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icmx.sharepoint.com/sites/MICGlobalERP/Shared Documents/ERP/Greg Solamon/Theresa Portfolio Projects/"/>
    </mc:Choice>
  </mc:AlternateContent>
  <xr:revisionPtr revIDLastSave="1531" documentId="13_ncr:1_{7CFD1135-E8A1-4D19-93E5-269A559D19F6}" xr6:coauthVersionLast="47" xr6:coauthVersionMax="47" xr10:uidLastSave="{9DA2350E-6C53-4BEF-9B84-52B9DD08786C}"/>
  <bookViews>
    <workbookView xWindow="28680" yWindow="-120" windowWidth="29040" windowHeight="15840" xr2:uid="{487CC13F-D43D-43AB-9B8A-284615C3417E}"/>
  </bookViews>
  <sheets>
    <sheet name="ABC Analysis" sheetId="3" r:id="rId1"/>
    <sheet name="Item Master" sheetId="1" r:id="rId2"/>
    <sheet name="Instrument Table" sheetId="2" r:id="rId3"/>
    <sheet name="Pivot Table" sheetId="4" r:id="rId4"/>
  </sheets>
  <definedNames>
    <definedName name="_xlnm._FilterDatabase" localSheetId="1" hidden="1">'Item Master'!$A$5:$S$5005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3" l="1"/>
  <c r="P12" i="1"/>
  <c r="P13" i="1"/>
  <c r="P14" i="1"/>
  <c r="P21" i="1"/>
  <c r="P28" i="1"/>
  <c r="P29" i="1"/>
  <c r="P30" i="1"/>
  <c r="P36" i="1"/>
  <c r="P37" i="1"/>
  <c r="P44" i="1"/>
  <c r="P45" i="1"/>
  <c r="P53" i="1"/>
  <c r="P54" i="1"/>
  <c r="P60" i="1"/>
  <c r="P61" i="1"/>
  <c r="P68" i="1"/>
  <c r="P69" i="1"/>
  <c r="P77" i="1"/>
  <c r="P84" i="1"/>
  <c r="P92" i="1"/>
  <c r="P93" i="1"/>
  <c r="P100" i="1"/>
  <c r="P101" i="1"/>
  <c r="O116" i="1"/>
  <c r="P117" i="1"/>
  <c r="P125" i="1"/>
  <c r="P141" i="1"/>
  <c r="P142" i="1"/>
  <c r="P148" i="1"/>
  <c r="P149" i="1"/>
  <c r="P157" i="1"/>
  <c r="P164" i="1"/>
  <c r="P166" i="1"/>
  <c r="P172" i="1"/>
  <c r="P173" i="1"/>
  <c r="P180" i="1"/>
  <c r="P181" i="1"/>
  <c r="O219" i="1"/>
  <c r="O299" i="1"/>
  <c r="P347" i="1"/>
  <c r="P377" i="1"/>
  <c r="P411" i="1"/>
  <c r="P515" i="1"/>
  <c r="O667" i="1"/>
  <c r="O763" i="1"/>
  <c r="P851" i="1"/>
  <c r="P987" i="1"/>
  <c r="P1129" i="1"/>
  <c r="P1131" i="1"/>
  <c r="O1139" i="1"/>
  <c r="O1149" i="1"/>
  <c r="P1153" i="1"/>
  <c r="O1175" i="1"/>
  <c r="P1209" i="1"/>
  <c r="P1212" i="1"/>
  <c r="O1257" i="1"/>
  <c r="O1269" i="1"/>
  <c r="P1283" i="1"/>
  <c r="P1289" i="1"/>
  <c r="O1301" i="1"/>
  <c r="P1321" i="1"/>
  <c r="O1331" i="1"/>
  <c r="O1339" i="1"/>
  <c r="P1345" i="1"/>
  <c r="O1417" i="1"/>
  <c r="O1449" i="1"/>
  <c r="P1481" i="1"/>
  <c r="P1513" i="1"/>
  <c r="P1521" i="1"/>
  <c r="O1561" i="1"/>
  <c r="O1601" i="1"/>
  <c r="O1611" i="1"/>
  <c r="P1625" i="1"/>
  <c r="O1655" i="1"/>
  <c r="O1673" i="1"/>
  <c r="P1683" i="1"/>
  <c r="O1705" i="1"/>
  <c r="O1731" i="1"/>
  <c r="O1737" i="1"/>
  <c r="P1761" i="1"/>
  <c r="O1771" i="1"/>
  <c r="P1777" i="1"/>
  <c r="P1801" i="1"/>
  <c r="P1827" i="1"/>
  <c r="O1829" i="1"/>
  <c r="O1835" i="1"/>
  <c r="O1843" i="1"/>
  <c r="O1849" i="1"/>
  <c r="P1859" i="1"/>
  <c r="O1889" i="1"/>
  <c r="O1907" i="1"/>
  <c r="O1919" i="1"/>
  <c r="O1967" i="1"/>
  <c r="O2011" i="1"/>
  <c r="O2035" i="1"/>
  <c r="P2099" i="1"/>
  <c r="O2163" i="1"/>
  <c r="P2209" i="1"/>
  <c r="O2227" i="1"/>
  <c r="O2235" i="1"/>
  <c r="P2248" i="1"/>
  <c r="O2275" i="1"/>
  <c r="O2299" i="1"/>
  <c r="P2313" i="1"/>
  <c r="O2331" i="1"/>
  <c r="P2353" i="1"/>
  <c r="P2371" i="1"/>
  <c r="P2440" i="1"/>
  <c r="P2441" i="1"/>
  <c r="P2481" i="1"/>
  <c r="O2547" i="1"/>
  <c r="O2559" i="1"/>
  <c r="O2563" i="1"/>
  <c r="P2579" i="1"/>
  <c r="O2659" i="1"/>
  <c r="P2673" i="1"/>
  <c r="O2683" i="1"/>
  <c r="P2687" i="1"/>
  <c r="O2715" i="1"/>
  <c r="P2721" i="1"/>
  <c r="O2731" i="1"/>
  <c r="P2753" i="1"/>
  <c r="O2763" i="1"/>
  <c r="O2779" i="1"/>
  <c r="P2795" i="1"/>
  <c r="O2811" i="1"/>
  <c r="P2849" i="1"/>
  <c r="O2859" i="1"/>
  <c r="O2871" i="1"/>
  <c r="P2904" i="1"/>
  <c r="O2923" i="1"/>
  <c r="O2979" i="1"/>
  <c r="P2985" i="1"/>
  <c r="P2987" i="1"/>
  <c r="O3003" i="1"/>
  <c r="P3025" i="1"/>
  <c r="O3059" i="1"/>
  <c r="O3080" i="1"/>
  <c r="O3099" i="1"/>
  <c r="P3103" i="1"/>
  <c r="P3113" i="1"/>
  <c r="O3123" i="1"/>
  <c r="O3143" i="1"/>
  <c r="P3153" i="1"/>
  <c r="O3171" i="1"/>
  <c r="P3175" i="1"/>
  <c r="O3179" i="1"/>
  <c r="O3183" i="1"/>
  <c r="P3185" i="1"/>
  <c r="O3191" i="1"/>
  <c r="P3195" i="1"/>
  <c r="P3207" i="1"/>
  <c r="P3227" i="1"/>
  <c r="O3232" i="1"/>
  <c r="P3235" i="1"/>
  <c r="P3239" i="1"/>
  <c r="P3265" i="1"/>
  <c r="O3304" i="1"/>
  <c r="O3307" i="1"/>
  <c r="P3315" i="1"/>
  <c r="O3319" i="1"/>
  <c r="P3321" i="1"/>
  <c r="O3323" i="1"/>
  <c r="P3331" i="1"/>
  <c r="O3344" i="1"/>
  <c r="O3355" i="1"/>
  <c r="O3363" i="1"/>
  <c r="P3369" i="1"/>
  <c r="P3376" i="1"/>
  <c r="P3383" i="1"/>
  <c r="O3403" i="1"/>
  <c r="O3407" i="1"/>
  <c r="P3409" i="1"/>
  <c r="O3415" i="1"/>
  <c r="O3416" i="1"/>
  <c r="P3424" i="1"/>
  <c r="P3441" i="1"/>
  <c r="O3443" i="1"/>
  <c r="P3451" i="1"/>
  <c r="O3463" i="1"/>
  <c r="O3467" i="1"/>
  <c r="O3475" i="1"/>
  <c r="O3479" i="1"/>
  <c r="O3488" i="1"/>
  <c r="P3489" i="1"/>
  <c r="P3521" i="1"/>
  <c r="O3527" i="1"/>
  <c r="O3531" i="1"/>
  <c r="O3535" i="1"/>
  <c r="O3539" i="1"/>
  <c r="P3552" i="1"/>
  <c r="P3561" i="1"/>
  <c r="P3569" i="1"/>
  <c r="O3571" i="1"/>
  <c r="P3592" i="1"/>
  <c r="P3593" i="1"/>
  <c r="P3599" i="1"/>
  <c r="O3619" i="1"/>
  <c r="P3632" i="1"/>
  <c r="O3651" i="1"/>
  <c r="O3655" i="1"/>
  <c r="O3659" i="1"/>
  <c r="O3663" i="1"/>
  <c r="P3688" i="1"/>
  <c r="O3691" i="1"/>
  <c r="O3695" i="1"/>
  <c r="O3699" i="1"/>
  <c r="P3705" i="1"/>
  <c r="P3712" i="1"/>
  <c r="P3727" i="1"/>
  <c r="O3731" i="1"/>
  <c r="O3735" i="1"/>
  <c r="P3737" i="1"/>
  <c r="O3739" i="1"/>
  <c r="P3751" i="1"/>
  <c r="P3752" i="1"/>
  <c r="O3767" i="1"/>
  <c r="P3768" i="1"/>
  <c r="O3779" i="1"/>
  <c r="O3791" i="1"/>
  <c r="P3792" i="1"/>
  <c r="P3800" i="1"/>
  <c r="P3804" i="1"/>
  <c r="O3807" i="1"/>
  <c r="P3809" i="1"/>
  <c r="O3811" i="1"/>
  <c r="P3816" i="1"/>
  <c r="O3839" i="1"/>
  <c r="P3849" i="1"/>
  <c r="O3851" i="1"/>
  <c r="O3859" i="1"/>
  <c r="P3871" i="1"/>
  <c r="P3872" i="1"/>
  <c r="P3880" i="1"/>
  <c r="P3887" i="1"/>
  <c r="O3891" i="1"/>
  <c r="O3895" i="1"/>
  <c r="P3905" i="1"/>
  <c r="P3912" i="1"/>
  <c r="O3931" i="1"/>
  <c r="P3937" i="1"/>
  <c r="O3939" i="1"/>
  <c r="O3943" i="1"/>
  <c r="O3951" i="1"/>
  <c r="P3952" i="1"/>
  <c r="O3967" i="1"/>
  <c r="O3971" i="1"/>
  <c r="O3979" i="1"/>
  <c r="O3983" i="1"/>
  <c r="O3991" i="1"/>
  <c r="O3999" i="1"/>
  <c r="P4000" i="1"/>
  <c r="O4011" i="1"/>
  <c r="P4016" i="1"/>
  <c r="P4032" i="1"/>
  <c r="O4039" i="1"/>
  <c r="P4041" i="1"/>
  <c r="O4043" i="1"/>
  <c r="P4056" i="1"/>
  <c r="P4064" i="1"/>
  <c r="O4071" i="1"/>
  <c r="P4080" i="1"/>
  <c r="P4081" i="1"/>
  <c r="P4087" i="1"/>
  <c r="P4088" i="1"/>
  <c r="P4103" i="1"/>
  <c r="O4107" i="1"/>
  <c r="P4112" i="1"/>
  <c r="P4120" i="1"/>
  <c r="O4127" i="1"/>
  <c r="P4128" i="1"/>
  <c r="O4139" i="1"/>
  <c r="O4143" i="1"/>
  <c r="O4151" i="1"/>
  <c r="P4152" i="1"/>
  <c r="O4162" i="1"/>
  <c r="O4167" i="1"/>
  <c r="O4171" i="1"/>
  <c r="P4177" i="1"/>
  <c r="P4186" i="1"/>
  <c r="O4191" i="1"/>
  <c r="P4192" i="1"/>
  <c r="P4200" i="1"/>
  <c r="O4207" i="1"/>
  <c r="O4211" i="1"/>
  <c r="P4215" i="1"/>
  <c r="P4216" i="1"/>
  <c r="P4224" i="1"/>
  <c r="O4231" i="1"/>
  <c r="P4240" i="1"/>
  <c r="O4247" i="1"/>
  <c r="P4249" i="1"/>
  <c r="O4251" i="1"/>
  <c r="O4253" i="1"/>
  <c r="O4255" i="1"/>
  <c r="P4263" i="1"/>
  <c r="O4271" i="1"/>
  <c r="P4272" i="1"/>
  <c r="O4280" i="1"/>
  <c r="O4283" i="1"/>
  <c r="P4304" i="1"/>
  <c r="P4314" i="1"/>
  <c r="O4315" i="1"/>
  <c r="P4321" i="1"/>
  <c r="P4328" i="1"/>
  <c r="O4335" i="1"/>
  <c r="O4352" i="1"/>
  <c r="O4355" i="1"/>
  <c r="P4360" i="1"/>
  <c r="P4361" i="1"/>
  <c r="O4368" i="1"/>
  <c r="P4384" i="1"/>
  <c r="P4391" i="1"/>
  <c r="P4400" i="1"/>
  <c r="O4407" i="1"/>
  <c r="O4408" i="1"/>
  <c r="P4416" i="1"/>
  <c r="O4431" i="1"/>
  <c r="O4435" i="1"/>
  <c r="O4440" i="1"/>
  <c r="O4443" i="1"/>
  <c r="P4447" i="1"/>
  <c r="P4456" i="1"/>
  <c r="P4463" i="1"/>
  <c r="P4464" i="1"/>
  <c r="O4466" i="1"/>
  <c r="P4472" i="1"/>
  <c r="O4475" i="1"/>
  <c r="P4491" i="1"/>
  <c r="O4495" i="1"/>
  <c r="P4503" i="1"/>
  <c r="P4504" i="1"/>
  <c r="O4507" i="1"/>
  <c r="O4512" i="1"/>
  <c r="O4514" i="1"/>
  <c r="O4515" i="1"/>
  <c r="O4519" i="1"/>
  <c r="O4527" i="1"/>
  <c r="P4528" i="1"/>
  <c r="P4531" i="1"/>
  <c r="O4535" i="1"/>
  <c r="P4536" i="1"/>
  <c r="P4543" i="1"/>
  <c r="O4544" i="1"/>
  <c r="O4546" i="1"/>
  <c r="O4547" i="1"/>
  <c r="O4551" i="1"/>
  <c r="O4552" i="1"/>
  <c r="O4567" i="1"/>
  <c r="P4568" i="1"/>
  <c r="P4577" i="1"/>
  <c r="P4584" i="1"/>
  <c r="O4587" i="1"/>
  <c r="O4591" i="1"/>
  <c r="O4592" i="1"/>
  <c r="P4595" i="1"/>
  <c r="P4600" i="1"/>
  <c r="O4607" i="1"/>
  <c r="P4608" i="1"/>
  <c r="P4617" i="1"/>
  <c r="P4619" i="1"/>
  <c r="O4624" i="1"/>
  <c r="P4632" i="1"/>
  <c r="O4640" i="1"/>
  <c r="O4647" i="1"/>
  <c r="P4648" i="1"/>
  <c r="P4650" i="1"/>
  <c r="P4659" i="1"/>
  <c r="P4664" i="1"/>
  <c r="P4667" i="1"/>
  <c r="P4672" i="1"/>
  <c r="P4683" i="1"/>
  <c r="P4696" i="1"/>
  <c r="P4698" i="1"/>
  <c r="O4711" i="1"/>
  <c r="P4712" i="1"/>
  <c r="P4720" i="1"/>
  <c r="P4728" i="1"/>
  <c r="O4730" i="1"/>
  <c r="P4736" i="1"/>
  <c r="P4745" i="1"/>
  <c r="O4747" i="1"/>
  <c r="P4751" i="1"/>
  <c r="P4760" i="1"/>
  <c r="O4768" i="1"/>
  <c r="O4770" i="1"/>
  <c r="P4775" i="1"/>
  <c r="P4776" i="1"/>
  <c r="O4779" i="1"/>
  <c r="O4783" i="1"/>
  <c r="P4784" i="1"/>
  <c r="P4785" i="1"/>
  <c r="O4791" i="1"/>
  <c r="P4792" i="1"/>
  <c r="P4794" i="1"/>
  <c r="O4799" i="1"/>
  <c r="O4800" i="1"/>
  <c r="O4811" i="1"/>
  <c r="O4816" i="1"/>
  <c r="O4818" i="1"/>
  <c r="P4824" i="1"/>
  <c r="O4839" i="1"/>
  <c r="O4840" i="1"/>
  <c r="P4841" i="1"/>
  <c r="O4843" i="1"/>
  <c r="O4847" i="1"/>
  <c r="P4848" i="1"/>
  <c r="P4855" i="1"/>
  <c r="P4856" i="1"/>
  <c r="O4858" i="1"/>
  <c r="O4863" i="1"/>
  <c r="P4864" i="1"/>
  <c r="O4866" i="1"/>
  <c r="O4875" i="1"/>
  <c r="O4880" i="1"/>
  <c r="P4881" i="1"/>
  <c r="P4888" i="1"/>
  <c r="O4895" i="1"/>
  <c r="P4897" i="1"/>
  <c r="P4911" i="1"/>
  <c r="P4912" i="1"/>
  <c r="P4915" i="1"/>
  <c r="P4920" i="1"/>
  <c r="O4922" i="1"/>
  <c r="P4923" i="1"/>
  <c r="P4927" i="1"/>
  <c r="P4928" i="1"/>
  <c r="P4929" i="1"/>
  <c r="P4937" i="1"/>
  <c r="O4944" i="1"/>
  <c r="O4947" i="1"/>
  <c r="P4952" i="1"/>
  <c r="P4959" i="1"/>
  <c r="P4968" i="1"/>
  <c r="P4969" i="1"/>
  <c r="P4975" i="1"/>
  <c r="O4976" i="1"/>
  <c r="P4977" i="1"/>
  <c r="O4979" i="1"/>
  <c r="P4984" i="1"/>
  <c r="P4985" i="1"/>
  <c r="O4986" i="1"/>
  <c r="P4987" i="1"/>
  <c r="P4992" i="1"/>
  <c r="P5003" i="1"/>
  <c r="O27" i="1"/>
  <c r="O35" i="1"/>
  <c r="O83" i="1"/>
  <c r="O163" i="1"/>
  <c r="O235" i="1"/>
  <c r="O347" i="1"/>
  <c r="O443" i="1"/>
  <c r="O883" i="1"/>
  <c r="O1123" i="1"/>
  <c r="O1235" i="1"/>
  <c r="O1283" i="1"/>
  <c r="O1443" i="1"/>
  <c r="O1459" i="1"/>
  <c r="O1579" i="1"/>
  <c r="O1755" i="1"/>
  <c r="O2119" i="1"/>
  <c r="O2223" i="1"/>
  <c r="O2291" i="1"/>
  <c r="O2619" i="1"/>
  <c r="O2751" i="1"/>
  <c r="O2819" i="1"/>
  <c r="O2875" i="1"/>
  <c r="O4026" i="1"/>
  <c r="O4218" i="1"/>
  <c r="O4322" i="1"/>
  <c r="O4426" i="1"/>
  <c r="P2991" i="1"/>
  <c r="P3560" i="1"/>
  <c r="P4096" i="1"/>
  <c r="P2879" i="1"/>
  <c r="O3071" i="1"/>
  <c r="P3671" i="1"/>
  <c r="O4655" i="1"/>
  <c r="P51" i="1"/>
  <c r="P67" i="1"/>
  <c r="P139" i="1"/>
  <c r="P155" i="1"/>
  <c r="P427" i="1"/>
  <c r="P555" i="1"/>
  <c r="P731" i="1"/>
  <c r="P771" i="1"/>
  <c r="P1115" i="1"/>
  <c r="P1275" i="1"/>
  <c r="P1467" i="1"/>
  <c r="P2035" i="1"/>
  <c r="P2267" i="1"/>
  <c r="P4330" i="1"/>
  <c r="P10" i="1"/>
  <c r="P33" i="1"/>
  <c r="P41" i="1"/>
  <c r="P42" i="1"/>
  <c r="P43" i="1"/>
  <c r="P57" i="1"/>
  <c r="P59" i="1"/>
  <c r="P66" i="1"/>
  <c r="P81" i="1"/>
  <c r="P90" i="1"/>
  <c r="P91" i="1"/>
  <c r="P97" i="1"/>
  <c r="O99" i="1"/>
  <c r="O103" i="1"/>
  <c r="P105" i="1"/>
  <c r="P107" i="1"/>
  <c r="P113" i="1"/>
  <c r="O115" i="1"/>
  <c r="P122" i="1"/>
  <c r="O123" i="1"/>
  <c r="P131" i="1"/>
  <c r="P137" i="1"/>
  <c r="P146" i="1"/>
  <c r="P147" i="1"/>
  <c r="P163" i="1"/>
  <c r="O171" i="1"/>
  <c r="O175" i="1"/>
  <c r="P177" i="1"/>
  <c r="P179" i="1"/>
  <c r="P185" i="1"/>
  <c r="P186" i="1"/>
  <c r="P225" i="1"/>
  <c r="O227" i="1"/>
  <c r="P242" i="1"/>
  <c r="P273" i="1"/>
  <c r="P298" i="1"/>
  <c r="P314" i="1"/>
  <c r="O327" i="1"/>
  <c r="P329" i="1"/>
  <c r="P331" i="1"/>
  <c r="P337" i="1"/>
  <c r="O339" i="1"/>
  <c r="O363" i="1"/>
  <c r="P385" i="1"/>
  <c r="P402" i="1"/>
  <c r="O403" i="1"/>
  <c r="P417" i="1"/>
  <c r="P425" i="1"/>
  <c r="O435" i="1"/>
  <c r="P450" i="1"/>
  <c r="P451" i="1"/>
  <c r="O463" i="1"/>
  <c r="P465" i="1"/>
  <c r="P473" i="1"/>
  <c r="O483" i="1"/>
  <c r="O495" i="1"/>
  <c r="P505" i="1"/>
  <c r="O527" i="1"/>
  <c r="P529" i="1"/>
  <c r="P537" i="1"/>
  <c r="P593" i="1"/>
  <c r="O631" i="1"/>
  <c r="P633" i="1"/>
  <c r="O663" i="1"/>
  <c r="P673" i="1"/>
  <c r="P689" i="1"/>
  <c r="P698" i="1"/>
  <c r="P713" i="1"/>
  <c r="P721" i="1"/>
  <c r="P746" i="1"/>
  <c r="P747" i="1"/>
  <c r="P769" i="1"/>
  <c r="P777" i="1"/>
  <c r="O779" i="1"/>
  <c r="P818" i="1"/>
  <c r="P825" i="1"/>
  <c r="O827" i="1"/>
  <c r="P834" i="1"/>
  <c r="O863" i="1"/>
  <c r="P865" i="1"/>
  <c r="P873" i="1"/>
  <c r="P913" i="1"/>
  <c r="P921" i="1"/>
  <c r="O923" i="1"/>
  <c r="P931" i="1"/>
  <c r="P938" i="1"/>
  <c r="P961" i="1"/>
  <c r="P969" i="1"/>
  <c r="P1010" i="1"/>
  <c r="O1011" i="1"/>
  <c r="P1057" i="1"/>
  <c r="P1073" i="1"/>
  <c r="P1122" i="1"/>
  <c r="P1154" i="1"/>
  <c r="P1177" i="1"/>
  <c r="P1186" i="1"/>
  <c r="O1187" i="1"/>
  <c r="O1199" i="1"/>
  <c r="P1225" i="1"/>
  <c r="P1266" i="1"/>
  <c r="P1281" i="1"/>
  <c r="O1287" i="1"/>
  <c r="P1314" i="1"/>
  <c r="O1323" i="1"/>
  <c r="P1329" i="1"/>
  <c r="P1361" i="1"/>
  <c r="P1377" i="1"/>
  <c r="P1386" i="1"/>
  <c r="P1418" i="1"/>
  <c r="P1433" i="1"/>
  <c r="P1442" i="1"/>
  <c r="P1465" i="1"/>
  <c r="P1474" i="1"/>
  <c r="P1475" i="1"/>
  <c r="P1490" i="1"/>
  <c r="P1537" i="1"/>
  <c r="P1585" i="1"/>
  <c r="P1601" i="1"/>
  <c r="O1639" i="1"/>
  <c r="O1643" i="1"/>
  <c r="P1649" i="1"/>
  <c r="P1657" i="1"/>
  <c r="P1674" i="1"/>
  <c r="P1679" i="1"/>
  <c r="P1697" i="1"/>
  <c r="P1705" i="1"/>
  <c r="P1715" i="1"/>
  <c r="O1723" i="1"/>
  <c r="P1769" i="1"/>
  <c r="P1770" i="1"/>
  <c r="P1779" i="1"/>
  <c r="P1799" i="1"/>
  <c r="P1809" i="1"/>
  <c r="O1839" i="1"/>
  <c r="P1865" i="1"/>
  <c r="P1873" i="1"/>
  <c r="P1874" i="1"/>
  <c r="P1911" i="1"/>
  <c r="P1913" i="1"/>
  <c r="P1929" i="1"/>
  <c r="P1971" i="1"/>
  <c r="P1987" i="1"/>
  <c r="P2002" i="1"/>
  <c r="O2071" i="1"/>
  <c r="P2098" i="1"/>
  <c r="O2127" i="1"/>
  <c r="P2130" i="1"/>
  <c r="P2183" i="1"/>
  <c r="O2191" i="1"/>
  <c r="P2194" i="1"/>
  <c r="P2201" i="1"/>
  <c r="O2247" i="1"/>
  <c r="P2249" i="1"/>
  <c r="P2256" i="1"/>
  <c r="O2263" i="1"/>
  <c r="P2290" i="1"/>
  <c r="P2297" i="1"/>
  <c r="P2303" i="1"/>
  <c r="P2312" i="1"/>
  <c r="P2314" i="1"/>
  <c r="P2320" i="1"/>
  <c r="P2343" i="1"/>
  <c r="O2383" i="1"/>
  <c r="P2394" i="1"/>
  <c r="O2403" i="1"/>
  <c r="P2418" i="1"/>
  <c r="P2455" i="1"/>
  <c r="P2456" i="1"/>
  <c r="P2490" i="1"/>
  <c r="P2506" i="1"/>
  <c r="P2554" i="1"/>
  <c r="P2571" i="1"/>
  <c r="O2663" i="1"/>
  <c r="O2707" i="1"/>
  <c r="P2711" i="1"/>
  <c r="P2712" i="1"/>
  <c r="O2727" i="1"/>
  <c r="P2752" i="1"/>
  <c r="P2768" i="1"/>
  <c r="O2791" i="1"/>
  <c r="O2867" i="1"/>
  <c r="P2895" i="1"/>
  <c r="O2911" i="1"/>
  <c r="P2920" i="1"/>
  <c r="P2927" i="1"/>
  <c r="P2930" i="1"/>
  <c r="P2962" i="1"/>
  <c r="O3015" i="1"/>
  <c r="P3032" i="1"/>
  <c r="P3106" i="1"/>
  <c r="P3184" i="1"/>
  <c r="P3274" i="1"/>
  <c r="P3295" i="1"/>
  <c r="P3391" i="1"/>
  <c r="P3474" i="1"/>
  <c r="P3496" i="1"/>
  <c r="O3511" i="1"/>
  <c r="O3543" i="1"/>
  <c r="O3567" i="1"/>
  <c r="P3624" i="1"/>
  <c r="P3640" i="1"/>
  <c r="P3680" i="1"/>
  <c r="O3703" i="1"/>
  <c r="O3711" i="1"/>
  <c r="P3824" i="1"/>
  <c r="P3840" i="1"/>
  <c r="P3842" i="1"/>
  <c r="O3911" i="1"/>
  <c r="P4042" i="1"/>
  <c r="P4144" i="1"/>
  <c r="P4176" i="1"/>
  <c r="P4242" i="1"/>
  <c r="P4296" i="1"/>
  <c r="P4418" i="1"/>
  <c r="P4706" i="1"/>
  <c r="P4826" i="1"/>
  <c r="O8" i="1"/>
  <c r="P9" i="1"/>
  <c r="O17" i="1"/>
  <c r="O24" i="1"/>
  <c r="O25" i="1"/>
  <c r="P25" i="1"/>
  <c r="O33" i="1"/>
  <c r="O39" i="1"/>
  <c r="O41" i="1"/>
  <c r="O49" i="1"/>
  <c r="P49" i="1"/>
  <c r="O57" i="1"/>
  <c r="P58" i="1"/>
  <c r="O63" i="1"/>
  <c r="O64" i="1"/>
  <c r="O65" i="1"/>
  <c r="P65" i="1"/>
  <c r="O71" i="1"/>
  <c r="P73" i="1"/>
  <c r="O75" i="1"/>
  <c r="O81" i="1"/>
  <c r="P82" i="1"/>
  <c r="O88" i="1"/>
  <c r="P89" i="1"/>
  <c r="O97" i="1"/>
  <c r="O105" i="1"/>
  <c r="O120" i="1"/>
  <c r="P121" i="1"/>
  <c r="O127" i="1"/>
  <c r="P129" i="1"/>
  <c r="O130" i="1"/>
  <c r="O137" i="1"/>
  <c r="P145" i="1"/>
  <c r="O153" i="1"/>
  <c r="P153" i="1"/>
  <c r="O159" i="1"/>
  <c r="O160" i="1"/>
  <c r="O161" i="1"/>
  <c r="P162" i="1"/>
  <c r="O167" i="1"/>
  <c r="O168" i="1"/>
  <c r="O169" i="1"/>
  <c r="P169" i="1"/>
  <c r="O177" i="1"/>
  <c r="O185" i="1"/>
  <c r="O191" i="1"/>
  <c r="O193" i="1"/>
  <c r="P193" i="1"/>
  <c r="O201" i="1"/>
  <c r="P201" i="1"/>
  <c r="O209" i="1"/>
  <c r="P209" i="1"/>
  <c r="O217" i="1"/>
  <c r="P217" i="1"/>
  <c r="O223" i="1"/>
  <c r="O225" i="1"/>
  <c r="P233" i="1"/>
  <c r="P241" i="1"/>
  <c r="O247" i="1"/>
  <c r="O248" i="1"/>
  <c r="P249" i="1"/>
  <c r="O257" i="1"/>
  <c r="P257" i="1"/>
  <c r="O265" i="1"/>
  <c r="P265" i="1"/>
  <c r="O271" i="1"/>
  <c r="O273" i="1"/>
  <c r="P281" i="1"/>
  <c r="P282" i="1"/>
  <c r="P289" i="1"/>
  <c r="O297" i="1"/>
  <c r="P297" i="1"/>
  <c r="O305" i="1"/>
  <c r="P305" i="1"/>
  <c r="O306" i="1"/>
  <c r="O312" i="1"/>
  <c r="O313" i="1"/>
  <c r="P313" i="1"/>
  <c r="P321" i="1"/>
  <c r="O328" i="1"/>
  <c r="O329" i="1"/>
  <c r="O336" i="1"/>
  <c r="O344" i="1"/>
  <c r="P345" i="1"/>
  <c r="O351" i="1"/>
  <c r="O353" i="1"/>
  <c r="O360" i="1"/>
  <c r="P361" i="1"/>
  <c r="O369" i="1"/>
  <c r="P369" i="1"/>
  <c r="O385" i="1"/>
  <c r="P393" i="1"/>
  <c r="O401" i="1"/>
  <c r="P401" i="1"/>
  <c r="O407" i="1"/>
  <c r="O408" i="1"/>
  <c r="O409" i="1"/>
  <c r="P409" i="1"/>
  <c r="O425" i="1"/>
  <c r="O432" i="1"/>
  <c r="O433" i="1"/>
  <c r="P433" i="1"/>
  <c r="P441" i="1"/>
  <c r="P449" i="1"/>
  <c r="O457" i="1"/>
  <c r="P457" i="1"/>
  <c r="O465" i="1"/>
  <c r="O473" i="1"/>
  <c r="O480" i="1"/>
  <c r="P489" i="1"/>
  <c r="O497" i="1"/>
  <c r="P497" i="1"/>
  <c r="O504" i="1"/>
  <c r="O512" i="1"/>
  <c r="P513" i="1"/>
  <c r="O521" i="1"/>
  <c r="P521" i="1"/>
  <c r="O528" i="1"/>
  <c r="O536" i="1"/>
  <c r="O544" i="1"/>
  <c r="P545" i="1"/>
  <c r="O551" i="1"/>
  <c r="O553" i="1"/>
  <c r="P553" i="1"/>
  <c r="P561" i="1"/>
  <c r="O569" i="1"/>
  <c r="P569" i="1"/>
  <c r="O577" i="1"/>
  <c r="P577" i="1"/>
  <c r="P578" i="1"/>
  <c r="O584" i="1"/>
  <c r="P585" i="1"/>
  <c r="O593" i="1"/>
  <c r="P601" i="1"/>
  <c r="O608" i="1"/>
  <c r="O609" i="1"/>
  <c r="P609" i="1"/>
  <c r="P617" i="1"/>
  <c r="O625" i="1"/>
  <c r="P625" i="1"/>
  <c r="O633" i="1"/>
  <c r="P641" i="1"/>
  <c r="P642" i="1"/>
  <c r="O648" i="1"/>
  <c r="P649" i="1"/>
  <c r="O657" i="1"/>
  <c r="P657" i="1"/>
  <c r="O664" i="1"/>
  <c r="O665" i="1"/>
  <c r="P665" i="1"/>
  <c r="O680" i="1"/>
  <c r="P681" i="1"/>
  <c r="O696" i="1"/>
  <c r="P697" i="1"/>
  <c r="O698" i="1"/>
  <c r="O703" i="1"/>
  <c r="O705" i="1"/>
  <c r="P705" i="1"/>
  <c r="O713" i="1"/>
  <c r="O719" i="1"/>
  <c r="O721" i="1"/>
  <c r="P729" i="1"/>
  <c r="P730" i="1"/>
  <c r="O736" i="1"/>
  <c r="P737" i="1"/>
  <c r="O744" i="1"/>
  <c r="O745" i="1"/>
  <c r="P745" i="1"/>
  <c r="O753" i="1"/>
  <c r="O759" i="1"/>
  <c r="O761" i="1"/>
  <c r="P761" i="1"/>
  <c r="O776" i="1"/>
  <c r="P778" i="1"/>
  <c r="P785" i="1"/>
  <c r="P793" i="1"/>
  <c r="O801" i="1"/>
  <c r="P801" i="1"/>
  <c r="O802" i="1"/>
  <c r="O807" i="1"/>
  <c r="O809" i="1"/>
  <c r="P809" i="1"/>
  <c r="O816" i="1"/>
  <c r="O817" i="1"/>
  <c r="O825" i="1"/>
  <c r="P833" i="1"/>
  <c r="P841" i="1"/>
  <c r="O849" i="1"/>
  <c r="P849" i="1"/>
  <c r="O856" i="1"/>
  <c r="O857" i="1"/>
  <c r="P857" i="1"/>
  <c r="O865" i="1"/>
  <c r="O871" i="1"/>
  <c r="O873" i="1"/>
  <c r="O880" i="1"/>
  <c r="P881" i="1"/>
  <c r="O888" i="1"/>
  <c r="P889" i="1"/>
  <c r="O895" i="1"/>
  <c r="P897" i="1"/>
  <c r="O905" i="1"/>
  <c r="P905" i="1"/>
  <c r="O928" i="1"/>
  <c r="P929" i="1"/>
  <c r="O937" i="1"/>
  <c r="P937" i="1"/>
  <c r="O943" i="1"/>
  <c r="O945" i="1"/>
  <c r="P945" i="1"/>
  <c r="O953" i="1"/>
  <c r="P953" i="1"/>
  <c r="O960" i="1"/>
  <c r="O961" i="1"/>
  <c r="O962" i="1"/>
  <c r="O967" i="1"/>
  <c r="O968" i="1"/>
  <c r="O976" i="1"/>
  <c r="P977" i="1"/>
  <c r="P985" i="1"/>
  <c r="O992" i="1"/>
  <c r="O993" i="1"/>
  <c r="P993" i="1"/>
  <c r="O999" i="1"/>
  <c r="P1001" i="1"/>
  <c r="O1008" i="1"/>
  <c r="O1009" i="1"/>
  <c r="P1009" i="1"/>
  <c r="P1017" i="1"/>
  <c r="O1024" i="1"/>
  <c r="P1025" i="1"/>
  <c r="O1027" i="1"/>
  <c r="O1032" i="1"/>
  <c r="O1033" i="1"/>
  <c r="P1033" i="1"/>
  <c r="O1039" i="1"/>
  <c r="O1041" i="1"/>
  <c r="P1041" i="1"/>
  <c r="O1048" i="1"/>
  <c r="O1049" i="1"/>
  <c r="P1049" i="1"/>
  <c r="O1057" i="1"/>
  <c r="P1065" i="1"/>
  <c r="O1080" i="1"/>
  <c r="O1088" i="1"/>
  <c r="P1089" i="1"/>
  <c r="O1097" i="1"/>
  <c r="P1097" i="1"/>
  <c r="O1105" i="1"/>
  <c r="P1105" i="1"/>
  <c r="O1113" i="1"/>
  <c r="P1113" i="1"/>
  <c r="O1120" i="1"/>
  <c r="O1121" i="1"/>
  <c r="P1121" i="1"/>
  <c r="O1129" i="1"/>
  <c r="O1137" i="1"/>
  <c r="P1137" i="1"/>
  <c r="P1145" i="1"/>
  <c r="O1153" i="1"/>
  <c r="O1154" i="1"/>
  <c r="O1161" i="1"/>
  <c r="P1161" i="1"/>
  <c r="O1167" i="1"/>
  <c r="O1168" i="1"/>
  <c r="O1169" i="1"/>
  <c r="P1169" i="1"/>
  <c r="O1177" i="1"/>
  <c r="P1185" i="1"/>
  <c r="P1193" i="1"/>
  <c r="O1201" i="1"/>
  <c r="P1201" i="1"/>
  <c r="O1208" i="1"/>
  <c r="O1209" i="1"/>
  <c r="O1217" i="1"/>
  <c r="P1217" i="1"/>
  <c r="O1232" i="1"/>
  <c r="P1233" i="1"/>
  <c r="P1241" i="1"/>
  <c r="O1249" i="1"/>
  <c r="P1249" i="1"/>
  <c r="P1257" i="1"/>
  <c r="O1265" i="1"/>
  <c r="P1265" i="1"/>
  <c r="P1273" i="1"/>
  <c r="O1281" i="1"/>
  <c r="P1282" i="1"/>
  <c r="O1289" i="1"/>
  <c r="O1297" i="1"/>
  <c r="P1297" i="1"/>
  <c r="O1305" i="1"/>
  <c r="P1305" i="1"/>
  <c r="O1306" i="1"/>
  <c r="O1313" i="1"/>
  <c r="P1313" i="1"/>
  <c r="O1327" i="1"/>
  <c r="O1329" i="1"/>
  <c r="O1335" i="1"/>
  <c r="O1337" i="1"/>
  <c r="P1337" i="1"/>
  <c r="P1338" i="1"/>
  <c r="O1345" i="1"/>
  <c r="O1351" i="1"/>
  <c r="O1352" i="1"/>
  <c r="O1353" i="1"/>
  <c r="P1353" i="1"/>
  <c r="O1361" i="1"/>
  <c r="O1368" i="1"/>
  <c r="P1369" i="1"/>
  <c r="O1384" i="1"/>
  <c r="P1385" i="1"/>
  <c r="O1393" i="1"/>
  <c r="O1401" i="1"/>
  <c r="P1401" i="1"/>
  <c r="O1409" i="1"/>
  <c r="P1409" i="1"/>
  <c r="O1415" i="1"/>
  <c r="P1417" i="1"/>
  <c r="P1425" i="1"/>
  <c r="O1433" i="1"/>
  <c r="O1434" i="1"/>
  <c r="O1439" i="1"/>
  <c r="O1441" i="1"/>
  <c r="P1441" i="1"/>
  <c r="P1449" i="1"/>
  <c r="O1456" i="1"/>
  <c r="O1457" i="1"/>
  <c r="P1457" i="1"/>
  <c r="O1463" i="1"/>
  <c r="P1473" i="1"/>
  <c r="O1480" i="1"/>
  <c r="O1483" i="1"/>
  <c r="O1489" i="1"/>
  <c r="P1489" i="1"/>
  <c r="O1497" i="1"/>
  <c r="O1505" i="1"/>
  <c r="P1505" i="1"/>
  <c r="O1513" i="1"/>
  <c r="O1521" i="1"/>
  <c r="P1529" i="1"/>
  <c r="O1537" i="1"/>
  <c r="P1545" i="1"/>
  <c r="O1551" i="1"/>
  <c r="O1553" i="1"/>
  <c r="P1553" i="1"/>
  <c r="P1561" i="1"/>
  <c r="O1569" i="1"/>
  <c r="P1569" i="1"/>
  <c r="O1577" i="1"/>
  <c r="P1577" i="1"/>
  <c r="O1585" i="1"/>
  <c r="P1593" i="1"/>
  <c r="P1609" i="1"/>
  <c r="O1615" i="1"/>
  <c r="O1617" i="1"/>
  <c r="P1617" i="1"/>
  <c r="P1618" i="1"/>
  <c r="O1624" i="1"/>
  <c r="O1625" i="1"/>
  <c r="O1631" i="1"/>
  <c r="O1633" i="1"/>
  <c r="O1641" i="1"/>
  <c r="P1641" i="1"/>
  <c r="O1649" i="1"/>
  <c r="O1657" i="1"/>
  <c r="P1665" i="1"/>
  <c r="P1673" i="1"/>
  <c r="O1681" i="1"/>
  <c r="P1681" i="1"/>
  <c r="O1689" i="1"/>
  <c r="P1689" i="1"/>
  <c r="O1695" i="1"/>
  <c r="O1697" i="1"/>
  <c r="O1713" i="1"/>
  <c r="P1713" i="1"/>
  <c r="O1720" i="1"/>
  <c r="O1721" i="1"/>
  <c r="P1721" i="1"/>
  <c r="P1729" i="1"/>
  <c r="O1735" i="1"/>
  <c r="P1737" i="1"/>
  <c r="O1745" i="1"/>
  <c r="P1745" i="1"/>
  <c r="O1753" i="1"/>
  <c r="O1761" i="1"/>
  <c r="O1769" i="1"/>
  <c r="O1777" i="1"/>
  <c r="O1785" i="1"/>
  <c r="P1785" i="1"/>
  <c r="O1791" i="1"/>
  <c r="O1793" i="1"/>
  <c r="P1793" i="1"/>
  <c r="O1799" i="1"/>
  <c r="O1801" i="1"/>
  <c r="O1809" i="1"/>
  <c r="P1817" i="1"/>
  <c r="P1825" i="1"/>
  <c r="O1833" i="1"/>
  <c r="P1833" i="1"/>
  <c r="O1841" i="1"/>
  <c r="P1841" i="1"/>
  <c r="P1849" i="1"/>
  <c r="O1857" i="1"/>
  <c r="P1857" i="1"/>
  <c r="O1865" i="1"/>
  <c r="O1873" i="1"/>
  <c r="O1881" i="1"/>
  <c r="P1881" i="1"/>
  <c r="P1889" i="1"/>
  <c r="O1890" i="1"/>
  <c r="O1896" i="1"/>
  <c r="O1897" i="1"/>
  <c r="P1897" i="1"/>
  <c r="P1905" i="1"/>
  <c r="O1913" i="1"/>
  <c r="P1921" i="1"/>
  <c r="O1929" i="1"/>
  <c r="P1937" i="1"/>
  <c r="P1938" i="1"/>
  <c r="O1946" i="1"/>
  <c r="O1959" i="1"/>
  <c r="O1983" i="1"/>
  <c r="O1986" i="1"/>
  <c r="O1999" i="1"/>
  <c r="O2002" i="1"/>
  <c r="O2047" i="1"/>
  <c r="O2096" i="1"/>
  <c r="O2104" i="1"/>
  <c r="O2112" i="1"/>
  <c r="O2120" i="1"/>
  <c r="O2136" i="1"/>
  <c r="O2152" i="1"/>
  <c r="O2160" i="1"/>
  <c r="P2161" i="1"/>
  <c r="P2169" i="1"/>
  <c r="P2177" i="1"/>
  <c r="P2185" i="1"/>
  <c r="P2193" i="1"/>
  <c r="O2210" i="1"/>
  <c r="P2217" i="1"/>
  <c r="P2224" i="1"/>
  <c r="P2225" i="1"/>
  <c r="O2226" i="1"/>
  <c r="P2233" i="1"/>
  <c r="P2241" i="1"/>
  <c r="O2248" i="1"/>
  <c r="P2257" i="1"/>
  <c r="P2265" i="1"/>
  <c r="P2273" i="1"/>
  <c r="P2281" i="1"/>
  <c r="P2289" i="1"/>
  <c r="P2305" i="1"/>
  <c r="O2312" i="1"/>
  <c r="O2320" i="1"/>
  <c r="P2321" i="1"/>
  <c r="P2329" i="1"/>
  <c r="O2336" i="1"/>
  <c r="P2337" i="1"/>
  <c r="O2338" i="1"/>
  <c r="P2345" i="1"/>
  <c r="O2360" i="1"/>
  <c r="P2361" i="1"/>
  <c r="O2362" i="1"/>
  <c r="P2369" i="1"/>
  <c r="P2377" i="1"/>
  <c r="P2385" i="1"/>
  <c r="P2393" i="1"/>
  <c r="O2400" i="1"/>
  <c r="P2401" i="1"/>
  <c r="P2409" i="1"/>
  <c r="O2415" i="1"/>
  <c r="O2416" i="1"/>
  <c r="P2417" i="1"/>
  <c r="P2425" i="1"/>
  <c r="P2433" i="1"/>
  <c r="O2448" i="1"/>
  <c r="P2449" i="1"/>
  <c r="O2455" i="1"/>
  <c r="O2456" i="1"/>
  <c r="P2457" i="1"/>
  <c r="P2465" i="1"/>
  <c r="P2473" i="1"/>
  <c r="P2489" i="1"/>
  <c r="O2490" i="1"/>
  <c r="O2496" i="1"/>
  <c r="P2497" i="1"/>
  <c r="O2504" i="1"/>
  <c r="P2513" i="1"/>
  <c r="O2515" i="1"/>
  <c r="P2520" i="1"/>
  <c r="P2521" i="1"/>
  <c r="P2529" i="1"/>
  <c r="P2537" i="1"/>
  <c r="P2545" i="1"/>
  <c r="O2551" i="1"/>
  <c r="P2553" i="1"/>
  <c r="P2561" i="1"/>
  <c r="O2568" i="1"/>
  <c r="P2569" i="1"/>
  <c r="O2576" i="1"/>
  <c r="P2577" i="1"/>
  <c r="P2585" i="1"/>
  <c r="O2586" i="1"/>
  <c r="P2593" i="1"/>
  <c r="P2601" i="1"/>
  <c r="P2602" i="1"/>
  <c r="O2608" i="1"/>
  <c r="P2609" i="1"/>
  <c r="O2616" i="1"/>
  <c r="P2617" i="1"/>
  <c r="O2624" i="1"/>
  <c r="P2625" i="1"/>
  <c r="P2633" i="1"/>
  <c r="O2640" i="1"/>
  <c r="P2641" i="1"/>
  <c r="P2649" i="1"/>
  <c r="O2655" i="1"/>
  <c r="P2657" i="1"/>
  <c r="P2665" i="1"/>
  <c r="O2666" i="1"/>
  <c r="P2681" i="1"/>
  <c r="O2688" i="1"/>
  <c r="P2689" i="1"/>
  <c r="P2697" i="1"/>
  <c r="O2704" i="1"/>
  <c r="P2705" i="1"/>
  <c r="P2713" i="1"/>
  <c r="P2728" i="1"/>
  <c r="P2729" i="1"/>
  <c r="O2730" i="1"/>
  <c r="O2736" i="1"/>
  <c r="P2737" i="1"/>
  <c r="P2745" i="1"/>
  <c r="O2752" i="1"/>
  <c r="P2761" i="1"/>
  <c r="P2769" i="1"/>
  <c r="O2776" i="1"/>
  <c r="P2777" i="1"/>
  <c r="P2785" i="1"/>
  <c r="O2786" i="1"/>
  <c r="P2793" i="1"/>
  <c r="O2800" i="1"/>
  <c r="P2801" i="1"/>
  <c r="P2809" i="1"/>
  <c r="P2817" i="1"/>
  <c r="P2825" i="1"/>
  <c r="P2833" i="1"/>
  <c r="O2840" i="1"/>
  <c r="P2841" i="1"/>
  <c r="P2857" i="1"/>
  <c r="P2865" i="1"/>
  <c r="P2873" i="1"/>
  <c r="P2881" i="1"/>
  <c r="P2889" i="1"/>
  <c r="O2896" i="1"/>
  <c r="P2897" i="1"/>
  <c r="O2904" i="1"/>
  <c r="P2905" i="1"/>
  <c r="P2913" i="1"/>
  <c r="P2921" i="1"/>
  <c r="P2929" i="1"/>
  <c r="O2935" i="1"/>
  <c r="P2937" i="1"/>
  <c r="O2944" i="1"/>
  <c r="P2945" i="1"/>
  <c r="O2952" i="1"/>
  <c r="P2953" i="1"/>
  <c r="P2961" i="1"/>
  <c r="P2969" i="1"/>
  <c r="O2975" i="1"/>
  <c r="P2977" i="1"/>
  <c r="P2993" i="1"/>
  <c r="O3000" i="1"/>
  <c r="P3001" i="1"/>
  <c r="O3008" i="1"/>
  <c r="P3009" i="1"/>
  <c r="P3017" i="1"/>
  <c r="O3024" i="1"/>
  <c r="P3033" i="1"/>
  <c r="P3041" i="1"/>
  <c r="P3049" i="1"/>
  <c r="P3057" i="1"/>
  <c r="O3064" i="1"/>
  <c r="P3065" i="1"/>
  <c r="P3073" i="1"/>
  <c r="P3081" i="1"/>
  <c r="O3087" i="1"/>
  <c r="P3089" i="1"/>
  <c r="P3097" i="1"/>
  <c r="P3105" i="1"/>
  <c r="O3106" i="1"/>
  <c r="O3112" i="1"/>
  <c r="O3120" i="1"/>
  <c r="P3121" i="1"/>
  <c r="O3128" i="1"/>
  <c r="P3129" i="1"/>
  <c r="P3137" i="1"/>
  <c r="P3145" i="1"/>
  <c r="O3151" i="1"/>
  <c r="O3154" i="1"/>
  <c r="P3161" i="1"/>
  <c r="P3169" i="1"/>
  <c r="O3176" i="1"/>
  <c r="P3176" i="1"/>
  <c r="P3177" i="1"/>
  <c r="O3184" i="1"/>
  <c r="O3192" i="1"/>
  <c r="P3193" i="1"/>
  <c r="P3201" i="1"/>
  <c r="O3207" i="1"/>
  <c r="P3209" i="1"/>
  <c r="P3217" i="1"/>
  <c r="P3225" i="1"/>
  <c r="P3233" i="1"/>
  <c r="O3240" i="1"/>
  <c r="P3241" i="1"/>
  <c r="P3242" i="1"/>
  <c r="O3248" i="1"/>
  <c r="P3249" i="1"/>
  <c r="P3257" i="1"/>
  <c r="P3273" i="1"/>
  <c r="O3279" i="1"/>
  <c r="O3280" i="1"/>
  <c r="P3281" i="1"/>
  <c r="O3288" i="1"/>
  <c r="P3289" i="1"/>
  <c r="P3297" i="1"/>
  <c r="P3305" i="1"/>
  <c r="O3311" i="1"/>
  <c r="O3312" i="1"/>
  <c r="P3313" i="1"/>
  <c r="P3329" i="1"/>
  <c r="P3337" i="1"/>
  <c r="P3345" i="1"/>
  <c r="O3352" i="1"/>
  <c r="P3353" i="1"/>
  <c r="P3361" i="1"/>
  <c r="O3362" i="1"/>
  <c r="P3367" i="1"/>
  <c r="O3368" i="1"/>
  <c r="P3377" i="1"/>
  <c r="P3385" i="1"/>
  <c r="P3393" i="1"/>
  <c r="P3401" i="1"/>
  <c r="O3408" i="1"/>
  <c r="P3408" i="1"/>
  <c r="P3417" i="1"/>
  <c r="O3423" i="1"/>
  <c r="P3425" i="1"/>
  <c r="O3432" i="1"/>
  <c r="P3433" i="1"/>
  <c r="O3440" i="1"/>
  <c r="P3440" i="1"/>
  <c r="P3448" i="1"/>
  <c r="P3449" i="1"/>
  <c r="P3457" i="1"/>
  <c r="O3458" i="1"/>
  <c r="P3465" i="1"/>
  <c r="P3473" i="1"/>
  <c r="P3481" i="1"/>
  <c r="P3488" i="1"/>
  <c r="O3495" i="1"/>
  <c r="O3496" i="1"/>
  <c r="P3497" i="1"/>
  <c r="P3505" i="1"/>
  <c r="P3513" i="1"/>
  <c r="P3529" i="1"/>
  <c r="O3530" i="1"/>
  <c r="O3536" i="1"/>
  <c r="P3537" i="1"/>
  <c r="P3544" i="1"/>
  <c r="P3545" i="1"/>
  <c r="P3553" i="1"/>
  <c r="O3562" i="1"/>
  <c r="O3568" i="1"/>
  <c r="P3568" i="1"/>
  <c r="O3576" i="1"/>
  <c r="P3577" i="1"/>
  <c r="O3578" i="1"/>
  <c r="P3601" i="1"/>
  <c r="P3609" i="1"/>
  <c r="O3616" i="1"/>
  <c r="P3617" i="1"/>
  <c r="O3618" i="1"/>
  <c r="O3624" i="1"/>
  <c r="P3625" i="1"/>
  <c r="O3632" i="1"/>
  <c r="P3633" i="1"/>
  <c r="O3639" i="1"/>
  <c r="P3641" i="1"/>
  <c r="O3642" i="1"/>
  <c r="P3648" i="1"/>
  <c r="P3649" i="1"/>
  <c r="O3656" i="1"/>
  <c r="P3657" i="1"/>
  <c r="O3664" i="1"/>
  <c r="P3665" i="1"/>
  <c r="O3672" i="1"/>
  <c r="P3673" i="1"/>
  <c r="O3674" i="1"/>
  <c r="O3679" i="1"/>
  <c r="P3681" i="1"/>
  <c r="P3689" i="1"/>
  <c r="P3690" i="1"/>
  <c r="O3696" i="1"/>
  <c r="P3697" i="1"/>
  <c r="P3704" i="1"/>
  <c r="P3713" i="1"/>
  <c r="P3721" i="1"/>
  <c r="O3722" i="1"/>
  <c r="O3727" i="1"/>
  <c r="P3728" i="1"/>
  <c r="P3729" i="1"/>
  <c r="O3736" i="1"/>
  <c r="O3743" i="1"/>
  <c r="P3745" i="1"/>
  <c r="O3752" i="1"/>
  <c r="P3753" i="1"/>
  <c r="P3761" i="1"/>
  <c r="P3769" i="1"/>
  <c r="O3776" i="1"/>
  <c r="P3776" i="1"/>
  <c r="P3777" i="1"/>
  <c r="P3785" i="1"/>
  <c r="O3792" i="1"/>
  <c r="P3793" i="1"/>
  <c r="O3794" i="1"/>
  <c r="P3801" i="1"/>
  <c r="P3808" i="1"/>
  <c r="O3816" i="1"/>
  <c r="P3817" i="1"/>
  <c r="O3824" i="1"/>
  <c r="P3825" i="1"/>
  <c r="P3833" i="1"/>
  <c r="P3841" i="1"/>
  <c r="O3848" i="1"/>
  <c r="O3856" i="1"/>
  <c r="P3857" i="1"/>
  <c r="P3864" i="1"/>
  <c r="P3865" i="1"/>
  <c r="P3873" i="1"/>
  <c r="P3881" i="1"/>
  <c r="O3887" i="1"/>
  <c r="O3888" i="1"/>
  <c r="P3888" i="1"/>
  <c r="P3889" i="1"/>
  <c r="O3896" i="1"/>
  <c r="P3897" i="1"/>
  <c r="O3898" i="1"/>
  <c r="O3904" i="1"/>
  <c r="O3905" i="1"/>
  <c r="P3913" i="1"/>
  <c r="P3921" i="1"/>
  <c r="O3927" i="1"/>
  <c r="P3928" i="1"/>
  <c r="P3929" i="1"/>
  <c r="O3930" i="1"/>
  <c r="O3936" i="1"/>
  <c r="O3944" i="1"/>
  <c r="P3944" i="1"/>
  <c r="P3945" i="1"/>
  <c r="P3953" i="1"/>
  <c r="P3961" i="1"/>
  <c r="P3968" i="1"/>
  <c r="P3969" i="1"/>
  <c r="O3976" i="1"/>
  <c r="P3977" i="1"/>
  <c r="O3978" i="1"/>
  <c r="O3984" i="1"/>
  <c r="P3984" i="1"/>
  <c r="P3985" i="1"/>
  <c r="P3993" i="1"/>
  <c r="P4001" i="1"/>
  <c r="P4008" i="1"/>
  <c r="P4009" i="1"/>
  <c r="O4016" i="1"/>
  <c r="P4017" i="1"/>
  <c r="O4024" i="1"/>
  <c r="P4025" i="1"/>
  <c r="P4033" i="1"/>
  <c r="P4040" i="1"/>
  <c r="P4049" i="1"/>
  <c r="O4056" i="1"/>
  <c r="P4057" i="1"/>
  <c r="P4065" i="1"/>
  <c r="P4072" i="1"/>
  <c r="P4073" i="1"/>
  <c r="O4080" i="1"/>
  <c r="O4082" i="1"/>
  <c r="P4089" i="1"/>
  <c r="P4097" i="1"/>
  <c r="O4104" i="1"/>
  <c r="P4105" i="1"/>
  <c r="O4112" i="1"/>
  <c r="P4113" i="1"/>
  <c r="O4114" i="1"/>
  <c r="O4120" i="1"/>
  <c r="P4121" i="1"/>
  <c r="P4129" i="1"/>
  <c r="P4136" i="1"/>
  <c r="P4137" i="1"/>
  <c r="O4144" i="1"/>
  <c r="P4145" i="1"/>
  <c r="O4152" i="1"/>
  <c r="O4153" i="1"/>
  <c r="P4153" i="1"/>
  <c r="P4161" i="1"/>
  <c r="P4168" i="1"/>
  <c r="P4169" i="1"/>
  <c r="O4176" i="1"/>
  <c r="O4178" i="1"/>
  <c r="O4184" i="1"/>
  <c r="P4185" i="1"/>
  <c r="P4193" i="1"/>
  <c r="P4201" i="1"/>
  <c r="O4208" i="1"/>
  <c r="P4209" i="1"/>
  <c r="O4216" i="1"/>
  <c r="P4217" i="1"/>
  <c r="O4224" i="1"/>
  <c r="P4225" i="1"/>
  <c r="P4233" i="1"/>
  <c r="P4241" i="1"/>
  <c r="O4248" i="1"/>
  <c r="P4248" i="1"/>
  <c r="P4256" i="1"/>
  <c r="P4257" i="1"/>
  <c r="P4265" i="1"/>
  <c r="P4273" i="1"/>
  <c r="P4281" i="1"/>
  <c r="O4282" i="1"/>
  <c r="P4289" i="1"/>
  <c r="O4296" i="1"/>
  <c r="P4297" i="1"/>
  <c r="P4305" i="1"/>
  <c r="P4312" i="1"/>
  <c r="O4313" i="1"/>
  <c r="P4313" i="1"/>
  <c r="O4328" i="1"/>
  <c r="P4329" i="1"/>
  <c r="P4337" i="1"/>
  <c r="P4345" i="1"/>
  <c r="P4353" i="1"/>
  <c r="O4360" i="1"/>
  <c r="P4369" i="1"/>
  <c r="O4375" i="1"/>
  <c r="P4377" i="1"/>
  <c r="O4378" i="1"/>
  <c r="P4385" i="1"/>
  <c r="P4393" i="1"/>
  <c r="O4400" i="1"/>
  <c r="P4401" i="1"/>
  <c r="P4402" i="1"/>
  <c r="O4409" i="1"/>
  <c r="P4409" i="1"/>
  <c r="P4417" i="1"/>
  <c r="P4425" i="1"/>
  <c r="O4432" i="1"/>
  <c r="P4433" i="1"/>
  <c r="P4441" i="1"/>
  <c r="O4447" i="1"/>
  <c r="P4449" i="1"/>
  <c r="O4456" i="1"/>
  <c r="P4457" i="1"/>
  <c r="P4465" i="1"/>
  <c r="P4473" i="1"/>
  <c r="P4480" i="1"/>
  <c r="P4481" i="1"/>
  <c r="P4489" i="1"/>
  <c r="P4497" i="1"/>
  <c r="P4505" i="1"/>
  <c r="P4513" i="1"/>
  <c r="P4520" i="1"/>
  <c r="P4521" i="1"/>
  <c r="P4529" i="1"/>
  <c r="P4537" i="1"/>
  <c r="P4553" i="1"/>
  <c r="P4561" i="1"/>
  <c r="O4568" i="1"/>
  <c r="P4569" i="1"/>
  <c r="O4570" i="1"/>
  <c r="P4585" i="1"/>
  <c r="P4593" i="1"/>
  <c r="P4601" i="1"/>
  <c r="P4609" i="1"/>
  <c r="O4625" i="1"/>
  <c r="P4625" i="1"/>
  <c r="P4633" i="1"/>
  <c r="P4641" i="1"/>
  <c r="P4649" i="1"/>
  <c r="P4656" i="1"/>
  <c r="P4657" i="1"/>
  <c r="P4665" i="1"/>
  <c r="P4673" i="1"/>
  <c r="P4681" i="1"/>
  <c r="P4689" i="1"/>
  <c r="P4697" i="1"/>
  <c r="O4704" i="1"/>
  <c r="P4705" i="1"/>
  <c r="P4713" i="1"/>
  <c r="P4721" i="1"/>
  <c r="P4729" i="1"/>
  <c r="O4737" i="1"/>
  <c r="P4737" i="1"/>
  <c r="P4753" i="1"/>
  <c r="P4761" i="1"/>
  <c r="P4769" i="1"/>
  <c r="P4777" i="1"/>
  <c r="P4793" i="1"/>
  <c r="P4801" i="1"/>
  <c r="P4809" i="1"/>
  <c r="P4817" i="1"/>
  <c r="P4825" i="1"/>
  <c r="P4833" i="1"/>
  <c r="P4849" i="1"/>
  <c r="P4857" i="1"/>
  <c r="P4865" i="1"/>
  <c r="P4873" i="1"/>
  <c r="P4889" i="1"/>
  <c r="P4904" i="1"/>
  <c r="P4905" i="1"/>
  <c r="P4913" i="1"/>
  <c r="P4921" i="1"/>
  <c r="O4936" i="1"/>
  <c r="P4945" i="1"/>
  <c r="P4953" i="1"/>
  <c r="P4961" i="1"/>
  <c r="O4962" i="1"/>
  <c r="P4993" i="1"/>
  <c r="P5001" i="1"/>
  <c r="P11" i="1"/>
  <c r="P19" i="1"/>
  <c r="P115" i="1"/>
  <c r="P123" i="1"/>
  <c r="P235" i="1"/>
  <c r="P291" i="1"/>
  <c r="P459" i="1"/>
  <c r="P483" i="1"/>
  <c r="P955" i="1"/>
  <c r="P979" i="1"/>
  <c r="P1347" i="1"/>
  <c r="O114" i="1"/>
  <c r="O119" i="1"/>
  <c r="O121" i="1"/>
  <c r="O129" i="1"/>
  <c r="O151" i="1"/>
  <c r="O183" i="1"/>
  <c r="O249" i="1"/>
  <c r="O321" i="1"/>
  <c r="O361" i="1"/>
  <c r="O377" i="1"/>
  <c r="O417" i="1"/>
  <c r="O441" i="1"/>
  <c r="O505" i="1"/>
  <c r="O513" i="1"/>
  <c r="O529" i="1"/>
  <c r="O537" i="1"/>
  <c r="O561" i="1"/>
  <c r="O575" i="1"/>
  <c r="O603" i="1"/>
  <c r="O617" i="1"/>
  <c r="O666" i="1"/>
  <c r="O673" i="1"/>
  <c r="O689" i="1"/>
  <c r="O769" i="1"/>
  <c r="O777" i="1"/>
  <c r="O855" i="1"/>
  <c r="O859" i="1"/>
  <c r="O897" i="1"/>
  <c r="O913" i="1"/>
  <c r="O985" i="1"/>
  <c r="O1001" i="1"/>
  <c r="O1073" i="1"/>
  <c r="O1131" i="1"/>
  <c r="O1171" i="1"/>
  <c r="O1225" i="1"/>
  <c r="O1377" i="1"/>
  <c r="O1465" i="1"/>
  <c r="O1729" i="1"/>
  <c r="O1819" i="1"/>
  <c r="O1859" i="1"/>
  <c r="O2991" i="1"/>
  <c r="O3107" i="1"/>
  <c r="O7" i="1"/>
  <c r="O9" i="1"/>
  <c r="O15" i="1"/>
  <c r="O16" i="1"/>
  <c r="O47" i="1"/>
  <c r="O48" i="1"/>
  <c r="O66" i="1"/>
  <c r="O73" i="1"/>
  <c r="O74" i="1"/>
  <c r="O80" i="1"/>
  <c r="O87" i="1"/>
  <c r="O89" i="1"/>
  <c r="O112" i="1"/>
  <c r="O113" i="1"/>
  <c r="O146" i="1"/>
  <c r="O200" i="1"/>
  <c r="O208" i="1"/>
  <c r="O240" i="1"/>
  <c r="O242" i="1"/>
  <c r="O256" i="1"/>
  <c r="O263" i="1"/>
  <c r="O280" i="1"/>
  <c r="O288" i="1"/>
  <c r="O295" i="1"/>
  <c r="O304" i="1"/>
  <c r="O314" i="1"/>
  <c r="O352" i="1"/>
  <c r="O354" i="1"/>
  <c r="O399" i="1"/>
  <c r="O400" i="1"/>
  <c r="O402" i="1"/>
  <c r="O418" i="1"/>
  <c r="O448" i="1"/>
  <c r="O449" i="1"/>
  <c r="O450" i="1"/>
  <c r="O520" i="1"/>
  <c r="O568" i="1"/>
  <c r="O600" i="1"/>
  <c r="O616" i="1"/>
  <c r="O641" i="1"/>
  <c r="O656" i="1"/>
  <c r="O751" i="1"/>
  <c r="O784" i="1"/>
  <c r="O793" i="1"/>
  <c r="O808" i="1"/>
  <c r="O823" i="1"/>
  <c r="O824" i="1"/>
  <c r="O841" i="1"/>
  <c r="O848" i="1"/>
  <c r="O889" i="1"/>
  <c r="O903" i="1"/>
  <c r="O921" i="1"/>
  <c r="O951" i="1"/>
  <c r="O969" i="1"/>
  <c r="O1000" i="1"/>
  <c r="O1040" i="1"/>
  <c r="O1064" i="1"/>
  <c r="O1103" i="1"/>
  <c r="O1112" i="1"/>
  <c r="O1136" i="1"/>
  <c r="O1472" i="1"/>
  <c r="O1544" i="1"/>
  <c r="O1567" i="1"/>
  <c r="O1640" i="1"/>
  <c r="O1728" i="1"/>
  <c r="O1736" i="1"/>
  <c r="O2687" i="1"/>
  <c r="O2824" i="1"/>
  <c r="O2888" i="1"/>
  <c r="O3072" i="1"/>
  <c r="O3202" i="1"/>
  <c r="P7" i="1"/>
  <c r="P8" i="1"/>
  <c r="P15" i="1"/>
  <c r="P16" i="1"/>
  <c r="P17" i="1"/>
  <c r="P23" i="1"/>
  <c r="P24" i="1"/>
  <c r="P26" i="1"/>
  <c r="P31" i="1"/>
  <c r="P32" i="1"/>
  <c r="P39" i="1"/>
  <c r="P40" i="1"/>
  <c r="P47" i="1"/>
  <c r="P48" i="1"/>
  <c r="P50" i="1"/>
  <c r="P55" i="1"/>
  <c r="P56" i="1"/>
  <c r="P63" i="1"/>
  <c r="P64" i="1"/>
  <c r="P71" i="1"/>
  <c r="P72" i="1"/>
  <c r="P74" i="1"/>
  <c r="P79" i="1"/>
  <c r="P80" i="1"/>
  <c r="P87" i="1"/>
  <c r="P88" i="1"/>
  <c r="P95" i="1"/>
  <c r="P96" i="1"/>
  <c r="P103" i="1"/>
  <c r="P104" i="1"/>
  <c r="P111" i="1"/>
  <c r="P112" i="1"/>
  <c r="P119" i="1"/>
  <c r="P120" i="1"/>
  <c r="P127" i="1"/>
  <c r="P128" i="1"/>
  <c r="P135" i="1"/>
  <c r="P136" i="1"/>
  <c r="P138" i="1"/>
  <c r="P143" i="1"/>
  <c r="P144" i="1"/>
  <c r="P151" i="1"/>
  <c r="P152" i="1"/>
  <c r="P159" i="1"/>
  <c r="P160" i="1"/>
  <c r="P161" i="1"/>
  <c r="P167" i="1"/>
  <c r="P168" i="1"/>
  <c r="P175" i="1"/>
  <c r="P176" i="1"/>
  <c r="P183" i="1"/>
  <c r="P184" i="1"/>
  <c r="P191" i="1"/>
  <c r="P192" i="1"/>
  <c r="P200" i="1"/>
  <c r="P208" i="1"/>
  <c r="P215" i="1"/>
  <c r="P216" i="1"/>
  <c r="P223" i="1"/>
  <c r="P224" i="1"/>
  <c r="P232" i="1"/>
  <c r="P239" i="1"/>
  <c r="P240" i="1"/>
  <c r="P248" i="1"/>
  <c r="P256" i="1"/>
  <c r="P264" i="1"/>
  <c r="P272" i="1"/>
  <c r="P280" i="1"/>
  <c r="P288" i="1"/>
  <c r="P295" i="1"/>
  <c r="P296" i="1"/>
  <c r="P304" i="1"/>
  <c r="P312" i="1"/>
  <c r="P320" i="1"/>
  <c r="P327" i="1"/>
  <c r="P328" i="1"/>
  <c r="P335" i="1"/>
  <c r="P336" i="1"/>
  <c r="P344" i="1"/>
  <c r="P352" i="1"/>
  <c r="P353" i="1"/>
  <c r="P360" i="1"/>
  <c r="P368" i="1"/>
  <c r="P376" i="1"/>
  <c r="P384" i="1"/>
  <c r="P386" i="1"/>
  <c r="P392" i="1"/>
  <c r="P399" i="1"/>
  <c r="P400" i="1"/>
  <c r="P407" i="1"/>
  <c r="P408" i="1"/>
  <c r="P416" i="1"/>
  <c r="P424" i="1"/>
  <c r="P432" i="1"/>
  <c r="P440" i="1"/>
  <c r="P448" i="1"/>
  <c r="P456" i="1"/>
  <c r="P463" i="1"/>
  <c r="P464" i="1"/>
  <c r="P472" i="1"/>
  <c r="P479" i="1"/>
  <c r="P480" i="1"/>
  <c r="P481" i="1"/>
  <c r="P488" i="1"/>
  <c r="P496" i="1"/>
  <c r="P504" i="1"/>
  <c r="P512" i="1"/>
  <c r="P520" i="1"/>
  <c r="P527" i="1"/>
  <c r="P528" i="1"/>
  <c r="P536" i="1"/>
  <c r="P543" i="1"/>
  <c r="P544" i="1"/>
  <c r="P552" i="1"/>
  <c r="P559" i="1"/>
  <c r="P560" i="1"/>
  <c r="P568" i="1"/>
  <c r="P576" i="1"/>
  <c r="P584" i="1"/>
  <c r="P592" i="1"/>
  <c r="P599" i="1"/>
  <c r="P600" i="1"/>
  <c r="P608" i="1"/>
  <c r="P616" i="1"/>
  <c r="P624" i="1"/>
  <c r="P631" i="1"/>
  <c r="P632" i="1"/>
  <c r="P640" i="1"/>
  <c r="P648" i="1"/>
  <c r="P656" i="1"/>
  <c r="P664" i="1"/>
  <c r="P672" i="1"/>
  <c r="P680" i="1"/>
  <c r="P688" i="1"/>
  <c r="P696" i="1"/>
  <c r="P704" i="1"/>
  <c r="P712" i="1"/>
  <c r="P719" i="1"/>
  <c r="P720" i="1"/>
  <c r="P727" i="1"/>
  <c r="P728" i="1"/>
  <c r="P736" i="1"/>
  <c r="P744" i="1"/>
  <c r="P751" i="1"/>
  <c r="P752" i="1"/>
  <c r="P753" i="1"/>
  <c r="P759" i="1"/>
  <c r="P760" i="1"/>
  <c r="P768" i="1"/>
  <c r="P775" i="1"/>
  <c r="P776" i="1"/>
  <c r="P784" i="1"/>
  <c r="P792" i="1"/>
  <c r="P800" i="1"/>
  <c r="P808" i="1"/>
  <c r="P816" i="1"/>
  <c r="P817" i="1"/>
  <c r="P823" i="1"/>
  <c r="P824" i="1"/>
  <c r="P832" i="1"/>
  <c r="P840" i="1"/>
  <c r="P848" i="1"/>
  <c r="P856" i="1"/>
  <c r="P863" i="1"/>
  <c r="P864" i="1"/>
  <c r="P872" i="1"/>
  <c r="P880" i="1"/>
  <c r="P888" i="1"/>
  <c r="P896" i="1"/>
  <c r="P903" i="1"/>
  <c r="P904" i="1"/>
  <c r="P912" i="1"/>
  <c r="P920" i="1"/>
  <c r="P928" i="1"/>
  <c r="P936" i="1"/>
  <c r="P943" i="1"/>
  <c r="P944" i="1"/>
  <c r="P952" i="1"/>
  <c r="P960" i="1"/>
  <c r="P968" i="1"/>
  <c r="P976" i="1"/>
  <c r="P984" i="1"/>
  <c r="P992" i="1"/>
  <c r="P999" i="1"/>
  <c r="P1000" i="1"/>
  <c r="P1008" i="1"/>
  <c r="P1015" i="1"/>
  <c r="P1016" i="1"/>
  <c r="P1024" i="1"/>
  <c r="P1032" i="1"/>
  <c r="P1039" i="1"/>
  <c r="P1040" i="1"/>
  <c r="P1048" i="1"/>
  <c r="P1056" i="1"/>
  <c r="P1064" i="1"/>
  <c r="P1072" i="1"/>
  <c r="P1080" i="1"/>
  <c r="P1081" i="1"/>
  <c r="P1088" i="1"/>
  <c r="P1096" i="1"/>
  <c r="P1098" i="1"/>
  <c r="P1103" i="1"/>
  <c r="P1104" i="1"/>
  <c r="P1112" i="1"/>
  <c r="P1120" i="1"/>
  <c r="P1128" i="1"/>
  <c r="P1136" i="1"/>
  <c r="P1160" i="1"/>
  <c r="P1167" i="1"/>
  <c r="P1168" i="1"/>
  <c r="P1176" i="1"/>
  <c r="P1199" i="1"/>
  <c r="P1200" i="1"/>
  <c r="P1208" i="1"/>
  <c r="P1216" i="1"/>
  <c r="P1224" i="1"/>
  <c r="P1232" i="1"/>
  <c r="P1240" i="1"/>
  <c r="P1248" i="1"/>
  <c r="P1271" i="1"/>
  <c r="P1272" i="1"/>
  <c r="P1306" i="1"/>
  <c r="P1320" i="1"/>
  <c r="P1344" i="1"/>
  <c r="P1351" i="1"/>
  <c r="P1352" i="1"/>
  <c r="P1368" i="1"/>
  <c r="P1384" i="1"/>
  <c r="P1393" i="1"/>
  <c r="P1416" i="1"/>
  <c r="P1456" i="1"/>
  <c r="P1463" i="1"/>
  <c r="P1464" i="1"/>
  <c r="P1472" i="1"/>
  <c r="P1479" i="1"/>
  <c r="P1480" i="1"/>
  <c r="P1495" i="1"/>
  <c r="P1496" i="1"/>
  <c r="P1497" i="1"/>
  <c r="P1512" i="1"/>
  <c r="P1519" i="1"/>
  <c r="P1544" i="1"/>
  <c r="P1567" i="1"/>
  <c r="P1584" i="1"/>
  <c r="P1591" i="1"/>
  <c r="P1600" i="1"/>
  <c r="P1608" i="1"/>
  <c r="P1624" i="1"/>
  <c r="P1633" i="1"/>
  <c r="P1640" i="1"/>
  <c r="P1672" i="1"/>
  <c r="P1695" i="1"/>
  <c r="P1699" i="1"/>
  <c r="P1712" i="1"/>
  <c r="P1728" i="1"/>
  <c r="P1753" i="1"/>
  <c r="P1768" i="1"/>
  <c r="P1800" i="1"/>
  <c r="P1823" i="1"/>
  <c r="P1840" i="1"/>
  <c r="P1843" i="1"/>
  <c r="P1848" i="1"/>
  <c r="P1856" i="1"/>
  <c r="P1896" i="1"/>
  <c r="P1919" i="1"/>
  <c r="P1928" i="1"/>
  <c r="P1944" i="1"/>
  <c r="P1959" i="1"/>
  <c r="P1960" i="1"/>
  <c r="P1967" i="1"/>
  <c r="P1968" i="1"/>
  <c r="P1976" i="1"/>
  <c r="P1984" i="1"/>
  <c r="P2024" i="1"/>
  <c r="P2032" i="1"/>
  <c r="P2047" i="1"/>
  <c r="P2056" i="1"/>
  <c r="P2071" i="1"/>
  <c r="P2072" i="1"/>
  <c r="P2088" i="1"/>
  <c r="P2096" i="1"/>
  <c r="P2112" i="1"/>
  <c r="P2127" i="1"/>
  <c r="P2152" i="1"/>
  <c r="P2160" i="1"/>
  <c r="P2176" i="1"/>
  <c r="P2200" i="1"/>
  <c r="P2208" i="1"/>
  <c r="P2226" i="1"/>
  <c r="P2240" i="1"/>
  <c r="P2250" i="1"/>
  <c r="P2263" i="1"/>
  <c r="P2336" i="1"/>
  <c r="P2346" i="1"/>
  <c r="P2362" i="1"/>
  <c r="P2376" i="1"/>
  <c r="P2384" i="1"/>
  <c r="P2416" i="1"/>
  <c r="P2424" i="1"/>
  <c r="P2432" i="1"/>
  <c r="P2439" i="1"/>
  <c r="P2447" i="1"/>
  <c r="P2472" i="1"/>
  <c r="P2474" i="1"/>
  <c r="P2496" i="1"/>
  <c r="P2504" i="1"/>
  <c r="P2505" i="1"/>
  <c r="P2530" i="1"/>
  <c r="P2544" i="1"/>
  <c r="P2568" i="1"/>
  <c r="P2576" i="1"/>
  <c r="P2592" i="1"/>
  <c r="P2616" i="1"/>
  <c r="P2626" i="1"/>
  <c r="P2655" i="1"/>
  <c r="P2663" i="1"/>
  <c r="P2666" i="1"/>
  <c r="P2696" i="1"/>
  <c r="P2703" i="1"/>
  <c r="P2775" i="1"/>
  <c r="P2808" i="1"/>
  <c r="P2810" i="1"/>
  <c r="P2824" i="1"/>
  <c r="P2840" i="1"/>
  <c r="P2848" i="1"/>
  <c r="P2871" i="1"/>
  <c r="P2874" i="1"/>
  <c r="P2888" i="1"/>
  <c r="P2928" i="1"/>
  <c r="P2936" i="1"/>
  <c r="P2944" i="1"/>
  <c r="P2952" i="1"/>
  <c r="P2975" i="1"/>
  <c r="P2999" i="1"/>
  <c r="P3000" i="1"/>
  <c r="P3016" i="1"/>
  <c r="P3040" i="1"/>
  <c r="P3064" i="1"/>
  <c r="P3080" i="1"/>
  <c r="P3082" i="1"/>
  <c r="P3088" i="1"/>
  <c r="P3104" i="1"/>
  <c r="P3120" i="1"/>
  <c r="P3128" i="1"/>
  <c r="P3151" i="1"/>
  <c r="P3152" i="1"/>
  <c r="P3154" i="1"/>
  <c r="P3168" i="1"/>
  <c r="P3192" i="1"/>
  <c r="P3224" i="1"/>
  <c r="P3231" i="1"/>
  <c r="P3232" i="1"/>
  <c r="P3240" i="1"/>
  <c r="P3248" i="1"/>
  <c r="P3256" i="1"/>
  <c r="P3288" i="1"/>
  <c r="P3296" i="1"/>
  <c r="P3311" i="1"/>
  <c r="P3312" i="1"/>
  <c r="P3320" i="1"/>
  <c r="P3344" i="1"/>
  <c r="P3360" i="1"/>
  <c r="P3384" i="1"/>
  <c r="P3407" i="1"/>
  <c r="P3415" i="1"/>
  <c r="P3426" i="1"/>
  <c r="P3432" i="1"/>
  <c r="P3480" i="1"/>
  <c r="P3504" i="1"/>
  <c r="P3512" i="1"/>
  <c r="P3546" i="1"/>
  <c r="P3576" i="1"/>
  <c r="P3583" i="1"/>
  <c r="P3585" i="1"/>
  <c r="P3594" i="1"/>
  <c r="P3602" i="1"/>
  <c r="P3608" i="1"/>
  <c r="P3616" i="1"/>
  <c r="P3618" i="1"/>
  <c r="P3647" i="1"/>
  <c r="P3656" i="1"/>
  <c r="P3664" i="1"/>
  <c r="P3770" i="1"/>
  <c r="P3784" i="1"/>
  <c r="P3823" i="1"/>
  <c r="P3856" i="1"/>
  <c r="P3890" i="1"/>
  <c r="P3904" i="1"/>
  <c r="P3954" i="1"/>
  <c r="P3962" i="1"/>
  <c r="P3967" i="1"/>
  <c r="P4015" i="1"/>
  <c r="P4024" i="1"/>
  <c r="P4074" i="1"/>
  <c r="P4098" i="1"/>
  <c r="P4151" i="1"/>
  <c r="P4167" i="1"/>
  <c r="P4183" i="1"/>
  <c r="P4184" i="1"/>
  <c r="P4232" i="1"/>
  <c r="P4280" i="1"/>
  <c r="P4440" i="1"/>
  <c r="P4474" i="1"/>
  <c r="P4545" i="1"/>
  <c r="P4607" i="1"/>
  <c r="P4647" i="1"/>
  <c r="P4682" i="1"/>
  <c r="P4786" i="1"/>
  <c r="P4890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6" i="1"/>
  <c r="H8" i="2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7" i="2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6" i="1"/>
  <c r="I7" i="2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J7" i="2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C4006" i="1"/>
  <c r="C4506" i="1"/>
  <c r="C6" i="1"/>
  <c r="O4776" i="1" l="1"/>
  <c r="O4664" i="1"/>
  <c r="P3179" i="1"/>
  <c r="P4986" i="1"/>
  <c r="P4352" i="1"/>
  <c r="O4864" i="1"/>
  <c r="O4920" i="1"/>
  <c r="P4976" i="1"/>
  <c r="O4784" i="1"/>
  <c r="P4592" i="1"/>
  <c r="P4544" i="1"/>
  <c r="P4408" i="1"/>
  <c r="P4475" i="1"/>
  <c r="O108" i="1"/>
  <c r="P108" i="1"/>
  <c r="P4922" i="1"/>
  <c r="O4848" i="1"/>
  <c r="O4632" i="1"/>
  <c r="O4736" i="1"/>
  <c r="P4514" i="1"/>
  <c r="P165" i="1"/>
  <c r="P109" i="1"/>
  <c r="P85" i="1"/>
  <c r="P4840" i="1"/>
  <c r="P4800" i="1"/>
  <c r="O4912" i="1"/>
  <c r="P182" i="1"/>
  <c r="P158" i="1"/>
  <c r="P150" i="1"/>
  <c r="P134" i="1"/>
  <c r="P126" i="1"/>
  <c r="P118" i="1"/>
  <c r="P110" i="1"/>
  <c r="P102" i="1"/>
  <c r="P86" i="1"/>
  <c r="P70" i="1"/>
  <c r="P62" i="1"/>
  <c r="P46" i="1"/>
  <c r="P38" i="1"/>
  <c r="O4029" i="1"/>
  <c r="O3621" i="1"/>
  <c r="O2893" i="1"/>
  <c r="O2885" i="1"/>
  <c r="O1093" i="1"/>
  <c r="O205" i="1"/>
  <c r="O133" i="1"/>
  <c r="O4765" i="1"/>
  <c r="O4629" i="1"/>
  <c r="O4621" i="1"/>
  <c r="O4541" i="1"/>
  <c r="O4317" i="1"/>
  <c r="O4285" i="1"/>
  <c r="O4221" i="1"/>
  <c r="P4839" i="1"/>
  <c r="P4127" i="1"/>
  <c r="P4071" i="1"/>
  <c r="P4247" i="1"/>
  <c r="P133" i="1"/>
  <c r="O125" i="1"/>
  <c r="O29" i="1"/>
  <c r="O21" i="1"/>
  <c r="P4085" i="1"/>
  <c r="P2749" i="1"/>
  <c r="O2267" i="1"/>
  <c r="O331" i="1"/>
  <c r="O427" i="1"/>
  <c r="P1323" i="1"/>
  <c r="P99" i="1"/>
  <c r="P883" i="1"/>
  <c r="P435" i="1"/>
  <c r="P171" i="1"/>
  <c r="O43" i="1"/>
  <c r="P83" i="1"/>
  <c r="O731" i="1"/>
  <c r="P35" i="1"/>
  <c r="P403" i="1"/>
  <c r="P2811" i="1"/>
  <c r="O3227" i="1"/>
  <c r="P4591" i="1"/>
  <c r="P3543" i="1"/>
  <c r="P3143" i="1"/>
  <c r="P2559" i="1"/>
  <c r="P2223" i="1"/>
  <c r="O4698" i="1"/>
  <c r="O2711" i="1"/>
  <c r="P3951" i="1"/>
  <c r="O3871" i="1"/>
  <c r="O3671" i="1"/>
  <c r="O3383" i="1"/>
  <c r="O3175" i="1"/>
  <c r="O2895" i="1"/>
  <c r="P4231" i="1"/>
  <c r="P3911" i="1"/>
  <c r="P4791" i="1"/>
  <c r="O4775" i="1"/>
  <c r="O4391" i="1"/>
  <c r="O2183" i="1"/>
  <c r="O157" i="1"/>
  <c r="P3015" i="1"/>
  <c r="O4915" i="1"/>
  <c r="O45" i="1"/>
  <c r="O165" i="1"/>
  <c r="O516" i="1"/>
  <c r="O452" i="1"/>
  <c r="P140" i="1"/>
  <c r="P132" i="1"/>
  <c r="P124" i="1"/>
  <c r="P76" i="1"/>
  <c r="P52" i="1"/>
  <c r="P20" i="1"/>
  <c r="O988" i="1"/>
  <c r="O84" i="1"/>
  <c r="O884" i="1"/>
  <c r="O4884" i="1"/>
  <c r="O164" i="1"/>
  <c r="O1028" i="1"/>
  <c r="O4868" i="1"/>
  <c r="O732" i="1"/>
  <c r="O20" i="1"/>
  <c r="O3170" i="1"/>
  <c r="O2810" i="1"/>
  <c r="O2474" i="1"/>
  <c r="O490" i="1"/>
  <c r="O274" i="1"/>
  <c r="O170" i="1"/>
  <c r="P4858" i="1"/>
  <c r="P4842" i="1"/>
  <c r="P4762" i="1"/>
  <c r="P4722" i="1"/>
  <c r="P4618" i="1"/>
  <c r="P4282" i="1"/>
  <c r="P4178" i="1"/>
  <c r="P4154" i="1"/>
  <c r="P4026" i="1"/>
  <c r="P3578" i="1"/>
  <c r="P3490" i="1"/>
  <c r="P2322" i="1"/>
  <c r="P2090" i="1"/>
  <c r="P2050" i="1"/>
  <c r="P1818" i="1"/>
  <c r="P1434" i="1"/>
  <c r="P1330" i="1"/>
  <c r="P1250" i="1"/>
  <c r="P1234" i="1"/>
  <c r="P1138" i="1"/>
  <c r="P1018" i="1"/>
  <c r="P898" i="1"/>
  <c r="P826" i="1"/>
  <c r="P802" i="1"/>
  <c r="P738" i="1"/>
  <c r="P610" i="1"/>
  <c r="P434" i="1"/>
  <c r="P354" i="1"/>
  <c r="P234" i="1"/>
  <c r="P154" i="1"/>
  <c r="P114" i="1"/>
  <c r="P18" i="1"/>
  <c r="O4994" i="1"/>
  <c r="O4562" i="1"/>
  <c r="O4506" i="1"/>
  <c r="O4474" i="1"/>
  <c r="O4418" i="1"/>
  <c r="O4370" i="1"/>
  <c r="O4034" i="1"/>
  <c r="O3890" i="1"/>
  <c r="O3634" i="1"/>
  <c r="O3570" i="1"/>
  <c r="O3474" i="1"/>
  <c r="O3426" i="1"/>
  <c r="O2962" i="1"/>
  <c r="O2602" i="1"/>
  <c r="O2418" i="1"/>
  <c r="O2098" i="1"/>
  <c r="O1714" i="1"/>
  <c r="O1618" i="1"/>
  <c r="O1538" i="1"/>
  <c r="O1362" i="1"/>
  <c r="O298" i="1"/>
  <c r="O162" i="1"/>
  <c r="O82" i="1"/>
  <c r="O4738" i="1"/>
  <c r="O4610" i="1"/>
  <c r="O4074" i="1"/>
  <c r="O2290" i="1"/>
  <c r="O4975" i="1"/>
  <c r="O4954" i="1"/>
  <c r="O4906" i="1"/>
  <c r="O4826" i="1"/>
  <c r="O4690" i="1"/>
  <c r="O4602" i="1"/>
  <c r="O4362" i="1"/>
  <c r="O4314" i="1"/>
  <c r="O4266" i="1"/>
  <c r="O4226" i="1"/>
  <c r="O3938" i="1"/>
  <c r="O3834" i="1"/>
  <c r="O3778" i="1"/>
  <c r="O3682" i="1"/>
  <c r="O3626" i="1"/>
  <c r="O3466" i="1"/>
  <c r="O3306" i="1"/>
  <c r="O3010" i="1"/>
  <c r="O2282" i="1"/>
  <c r="O2066" i="1"/>
  <c r="O1874" i="1"/>
  <c r="O1866" i="1"/>
  <c r="O1698" i="1"/>
  <c r="O938" i="1"/>
  <c r="O786" i="1"/>
  <c r="O714" i="1"/>
  <c r="O474" i="1"/>
  <c r="O466" i="1"/>
  <c r="O386" i="1"/>
  <c r="O378" i="1"/>
  <c r="O290" i="1"/>
  <c r="O4946" i="1"/>
  <c r="O4722" i="1"/>
  <c r="O4674" i="1"/>
  <c r="O4634" i="1"/>
  <c r="O4538" i="1"/>
  <c r="O4498" i="1"/>
  <c r="O4402" i="1"/>
  <c r="O4306" i="1"/>
  <c r="O4258" i="1"/>
  <c r="O4210" i="1"/>
  <c r="O4058" i="1"/>
  <c r="O3970" i="1"/>
  <c r="O3874" i="1"/>
  <c r="O3818" i="1"/>
  <c r="O3714" i="1"/>
  <c r="O3354" i="1"/>
  <c r="O2938" i="1"/>
  <c r="O2874" i="1"/>
  <c r="O2698" i="1"/>
  <c r="O2394" i="1"/>
  <c r="O2202" i="1"/>
  <c r="O2194" i="1"/>
  <c r="O1938" i="1"/>
  <c r="O1490" i="1"/>
  <c r="O1338" i="1"/>
  <c r="O1282" i="1"/>
  <c r="O1082" i="1"/>
  <c r="O914" i="1"/>
  <c r="O834" i="1"/>
  <c r="O282" i="1"/>
  <c r="O138" i="1"/>
  <c r="O58" i="1"/>
  <c r="O4978" i="1"/>
  <c r="O4959" i="1"/>
  <c r="O4938" i="1"/>
  <c r="O4890" i="1"/>
  <c r="O4802" i="1"/>
  <c r="O4762" i="1"/>
  <c r="O4626" i="1"/>
  <c r="O4530" i="1"/>
  <c r="O4450" i="1"/>
  <c r="O4298" i="1"/>
  <c r="O4154" i="1"/>
  <c r="O3922" i="1"/>
  <c r="O3762" i="1"/>
  <c r="O3706" i="1"/>
  <c r="O3658" i="1"/>
  <c r="O3602" i="1"/>
  <c r="O3546" i="1"/>
  <c r="O3402" i="1"/>
  <c r="O2930" i="1"/>
  <c r="O2690" i="1"/>
  <c r="O2626" i="1"/>
  <c r="O2386" i="1"/>
  <c r="O1570" i="1"/>
  <c r="O1050" i="1"/>
  <c r="O746" i="1"/>
  <c r="O202" i="1"/>
  <c r="O42" i="1"/>
  <c r="O34" i="1"/>
  <c r="O4930" i="1"/>
  <c r="O4882" i="1"/>
  <c r="O4842" i="1"/>
  <c r="O4666" i="1"/>
  <c r="O4586" i="1"/>
  <c r="O4482" i="1"/>
  <c r="O4442" i="1"/>
  <c r="O4250" i="1"/>
  <c r="O4194" i="1"/>
  <c r="O3962" i="1"/>
  <c r="O3594" i="1"/>
  <c r="O3490" i="1"/>
  <c r="O3226" i="1"/>
  <c r="O3042" i="1"/>
  <c r="O1738" i="1"/>
  <c r="O1658" i="1"/>
  <c r="O1650" i="1"/>
  <c r="O898" i="1"/>
  <c r="O818" i="1"/>
  <c r="O530" i="1"/>
  <c r="O434" i="1"/>
  <c r="O258" i="1"/>
  <c r="O4903" i="1"/>
  <c r="O4874" i="1"/>
  <c r="O4855" i="1"/>
  <c r="O4794" i="1"/>
  <c r="O4706" i="1"/>
  <c r="O4599" i="1"/>
  <c r="O4463" i="1"/>
  <c r="O4434" i="1"/>
  <c r="O4386" i="1"/>
  <c r="O4330" i="1"/>
  <c r="O4311" i="1"/>
  <c r="O4186" i="1"/>
  <c r="O4138" i="1"/>
  <c r="O4111" i="1"/>
  <c r="O4063" i="1"/>
  <c r="O4042" i="1"/>
  <c r="O4002" i="1"/>
  <c r="O3954" i="1"/>
  <c r="O3906" i="1"/>
  <c r="O3879" i="1"/>
  <c r="O3858" i="1"/>
  <c r="O3746" i="1"/>
  <c r="O3698" i="1"/>
  <c r="O3615" i="1"/>
  <c r="O3586" i="1"/>
  <c r="O3330" i="1"/>
  <c r="O3295" i="1"/>
  <c r="O3274" i="1"/>
  <c r="O3034" i="1"/>
  <c r="O2978" i="1"/>
  <c r="O2850" i="1"/>
  <c r="O2815" i="1"/>
  <c r="O2703" i="1"/>
  <c r="O2674" i="1"/>
  <c r="O2554" i="1"/>
  <c r="O2506" i="1"/>
  <c r="O2314" i="1"/>
  <c r="O2199" i="1"/>
  <c r="O1679" i="1"/>
  <c r="O1495" i="1"/>
  <c r="O1194" i="1"/>
  <c r="O1151" i="1"/>
  <c r="O978" i="1"/>
  <c r="O927" i="1"/>
  <c r="O767" i="1"/>
  <c r="O615" i="1"/>
  <c r="O594" i="1"/>
  <c r="O559" i="1"/>
  <c r="O514" i="1"/>
  <c r="O426" i="1"/>
  <c r="O410" i="1"/>
  <c r="O215" i="1"/>
  <c r="O186" i="1"/>
  <c r="O178" i="1"/>
  <c r="O143" i="1"/>
  <c r="O106" i="1"/>
  <c r="O98" i="1"/>
  <c r="O90" i="1"/>
  <c r="O55" i="1"/>
  <c r="O868" i="1"/>
  <c r="O708" i="1"/>
  <c r="O476" i="1"/>
  <c r="O156" i="1"/>
  <c r="O76" i="1"/>
  <c r="O36" i="1"/>
  <c r="P764" i="1"/>
  <c r="O100" i="1"/>
  <c r="O28" i="1"/>
  <c r="O4876" i="1"/>
  <c r="O980" i="1"/>
  <c r="O652" i="1"/>
  <c r="O4780" i="1"/>
  <c r="O2596" i="1"/>
  <c r="O60" i="1"/>
  <c r="O4982" i="1"/>
  <c r="O4820" i="1"/>
  <c r="O2884" i="1"/>
  <c r="O2524" i="1"/>
  <c r="O1284" i="1"/>
  <c r="O932" i="1"/>
  <c r="O780" i="1"/>
  <c r="O148" i="1"/>
  <c r="O44" i="1"/>
  <c r="O4812" i="1"/>
  <c r="O1228" i="1"/>
  <c r="O1148" i="1"/>
  <c r="O1084" i="1"/>
  <c r="O1068" i="1"/>
  <c r="O924" i="1"/>
  <c r="O684" i="1"/>
  <c r="O140" i="1"/>
  <c r="O132" i="1"/>
  <c r="O4844" i="1"/>
  <c r="O4804" i="1"/>
  <c r="O2572" i="1"/>
  <c r="O4288" i="1"/>
  <c r="O5000" i="1"/>
  <c r="O4904" i="1"/>
  <c r="O4832" i="1"/>
  <c r="O4696" i="1"/>
  <c r="O4656" i="1"/>
  <c r="O4504" i="1"/>
  <c r="O4472" i="1"/>
  <c r="O4424" i="1"/>
  <c r="O4392" i="1"/>
  <c r="O4344" i="1"/>
  <c r="O4312" i="1"/>
  <c r="O4168" i="1"/>
  <c r="O4136" i="1"/>
  <c r="O4072" i="1"/>
  <c r="O4040" i="1"/>
  <c r="O4008" i="1"/>
  <c r="O3968" i="1"/>
  <c r="O3928" i="1"/>
  <c r="O3808" i="1"/>
  <c r="O3728" i="1"/>
  <c r="O3648" i="1"/>
  <c r="O3608" i="1"/>
  <c r="O3480" i="1"/>
  <c r="O3384" i="1"/>
  <c r="O3224" i="1"/>
  <c r="O2936" i="1"/>
  <c r="O2728" i="1"/>
  <c r="O2384" i="1"/>
  <c r="O2224" i="1"/>
  <c r="O2088" i="1"/>
  <c r="O2072" i="1"/>
  <c r="O2056" i="1"/>
  <c r="O1880" i="1"/>
  <c r="O1864" i="1"/>
  <c r="O1800" i="1"/>
  <c r="O1712" i="1"/>
  <c r="O1240" i="1"/>
  <c r="O1104" i="1"/>
  <c r="O944" i="1"/>
  <c r="O792" i="1"/>
  <c r="O728" i="1"/>
  <c r="O720" i="1"/>
  <c r="O712" i="1"/>
  <c r="O640" i="1"/>
  <c r="O632" i="1"/>
  <c r="O576" i="1"/>
  <c r="O488" i="1"/>
  <c r="O472" i="1"/>
  <c r="O464" i="1"/>
  <c r="O392" i="1"/>
  <c r="O384" i="1"/>
  <c r="O376" i="1"/>
  <c r="O296" i="1"/>
  <c r="O72" i="1"/>
  <c r="O4968" i="1"/>
  <c r="O4928" i="1"/>
  <c r="O4896" i="1"/>
  <c r="O4792" i="1"/>
  <c r="O4728" i="1"/>
  <c r="O4688" i="1"/>
  <c r="O4584" i="1"/>
  <c r="O4536" i="1"/>
  <c r="O4336" i="1"/>
  <c r="O4272" i="1"/>
  <c r="O4240" i="1"/>
  <c r="O4200" i="1"/>
  <c r="O4160" i="1"/>
  <c r="O4096" i="1"/>
  <c r="O3960" i="1"/>
  <c r="O3920" i="1"/>
  <c r="O3880" i="1"/>
  <c r="O3840" i="1"/>
  <c r="O3768" i="1"/>
  <c r="O3720" i="1"/>
  <c r="O3688" i="1"/>
  <c r="O3600" i="1"/>
  <c r="O3560" i="1"/>
  <c r="O3512" i="1"/>
  <c r="O3472" i="1"/>
  <c r="O3216" i="1"/>
  <c r="O3168" i="1"/>
  <c r="O3104" i="1"/>
  <c r="O3040" i="1"/>
  <c r="O2928" i="1"/>
  <c r="O2768" i="1"/>
  <c r="O2544" i="1"/>
  <c r="O2440" i="1"/>
  <c r="O2376" i="1"/>
  <c r="O2264" i="1"/>
  <c r="O2032" i="1"/>
  <c r="O2024" i="1"/>
  <c r="O2008" i="1"/>
  <c r="O1992" i="1"/>
  <c r="O1984" i="1"/>
  <c r="O1976" i="1"/>
  <c r="O1968" i="1"/>
  <c r="O1960" i="1"/>
  <c r="O1944" i="1"/>
  <c r="O1856" i="1"/>
  <c r="O1608" i="1"/>
  <c r="O1600" i="1"/>
  <c r="O1512" i="1"/>
  <c r="O1344" i="1"/>
  <c r="O1160" i="1"/>
  <c r="O1096" i="1"/>
  <c r="O1016" i="1"/>
  <c r="O936" i="1"/>
  <c r="O704" i="1"/>
  <c r="O624" i="1"/>
  <c r="O456" i="1"/>
  <c r="O368" i="1"/>
  <c r="O232" i="1"/>
  <c r="O224" i="1"/>
  <c r="O152" i="1"/>
  <c r="O4992" i="1"/>
  <c r="O4960" i="1"/>
  <c r="O4856" i="1"/>
  <c r="O4760" i="1"/>
  <c r="O4680" i="1"/>
  <c r="O4616" i="1"/>
  <c r="O4576" i="1"/>
  <c r="O4496" i="1"/>
  <c r="O4464" i="1"/>
  <c r="O4416" i="1"/>
  <c r="O4384" i="1"/>
  <c r="O4304" i="1"/>
  <c r="O4264" i="1"/>
  <c r="O4232" i="1"/>
  <c r="O4128" i="1"/>
  <c r="O4064" i="1"/>
  <c r="O4032" i="1"/>
  <c r="O4000" i="1"/>
  <c r="O3832" i="1"/>
  <c r="O3800" i="1"/>
  <c r="O3760" i="1"/>
  <c r="O3640" i="1"/>
  <c r="O3504" i="1"/>
  <c r="O3424" i="1"/>
  <c r="O3376" i="1"/>
  <c r="O3320" i="1"/>
  <c r="O3160" i="1"/>
  <c r="O3096" i="1"/>
  <c r="O2480" i="1"/>
  <c r="O2432" i="1"/>
  <c r="O2208" i="1"/>
  <c r="O2200" i="1"/>
  <c r="O1848" i="1"/>
  <c r="O1592" i="1"/>
  <c r="O1584" i="1"/>
  <c r="O1496" i="1"/>
  <c r="O1224" i="1"/>
  <c r="O1072" i="1"/>
  <c r="O920" i="1"/>
  <c r="O912" i="1"/>
  <c r="O840" i="1"/>
  <c r="O768" i="1"/>
  <c r="O688" i="1"/>
  <c r="O560" i="1"/>
  <c r="O216" i="1"/>
  <c r="O144" i="1"/>
  <c r="O136" i="1"/>
  <c r="O56" i="1"/>
  <c r="O4888" i="1"/>
  <c r="O4824" i="1"/>
  <c r="O4752" i="1"/>
  <c r="O4720" i="1"/>
  <c r="O4672" i="1"/>
  <c r="O4648" i="1"/>
  <c r="O4608" i="1"/>
  <c r="O4528" i="1"/>
  <c r="O4488" i="1"/>
  <c r="O4376" i="1"/>
  <c r="O4192" i="1"/>
  <c r="O4088" i="1"/>
  <c r="O3992" i="1"/>
  <c r="O3952" i="1"/>
  <c r="O3912" i="1"/>
  <c r="O3872" i="1"/>
  <c r="O3712" i="1"/>
  <c r="O3680" i="1"/>
  <c r="O3592" i="1"/>
  <c r="O3584" i="1"/>
  <c r="O3552" i="1"/>
  <c r="O3256" i="1"/>
  <c r="O3152" i="1"/>
  <c r="O3088" i="1"/>
  <c r="O3032" i="1"/>
  <c r="O2976" i="1"/>
  <c r="O2920" i="1"/>
  <c r="O2808" i="1"/>
  <c r="O2712" i="1"/>
  <c r="O2592" i="1"/>
  <c r="O2472" i="1"/>
  <c r="O2424" i="1"/>
  <c r="O2256" i="1"/>
  <c r="O1928" i="1"/>
  <c r="O1840" i="1"/>
  <c r="O1768" i="1"/>
  <c r="O1752" i="1"/>
  <c r="O1672" i="1"/>
  <c r="O1416" i="1"/>
  <c r="O1272" i="1"/>
  <c r="O1216" i="1"/>
  <c r="O1056" i="1"/>
  <c r="O904" i="1"/>
  <c r="O832" i="1"/>
  <c r="O760" i="1"/>
  <c r="O752" i="1"/>
  <c r="O672" i="1"/>
  <c r="O552" i="1"/>
  <c r="O440" i="1"/>
  <c r="O272" i="1"/>
  <c r="O128" i="1"/>
  <c r="O40" i="1"/>
  <c r="O32" i="1"/>
  <c r="O264" i="1"/>
  <c r="O4984" i="1"/>
  <c r="O4952" i="1"/>
  <c r="O4872" i="1"/>
  <c r="O4808" i="1"/>
  <c r="O4744" i="1"/>
  <c r="O4712" i="1"/>
  <c r="O4600" i="1"/>
  <c r="O4560" i="1"/>
  <c r="O4520" i="1"/>
  <c r="O4480" i="1"/>
  <c r="O4448" i="1"/>
  <c r="O4320" i="1"/>
  <c r="O4256" i="1"/>
  <c r="O4048" i="1"/>
  <c r="O3864" i="1"/>
  <c r="O3784" i="1"/>
  <c r="O3744" i="1"/>
  <c r="O3704" i="1"/>
  <c r="O3544" i="1"/>
  <c r="O3448" i="1"/>
  <c r="O3360" i="1"/>
  <c r="O3296" i="1"/>
  <c r="O3016" i="1"/>
  <c r="O2848" i="1"/>
  <c r="O2696" i="1"/>
  <c r="O2520" i="1"/>
  <c r="O2240" i="1"/>
  <c r="O2176" i="1"/>
  <c r="O1464" i="1"/>
  <c r="O1320" i="1"/>
  <c r="O1200" i="1"/>
  <c r="O1128" i="1"/>
  <c r="O984" i="1"/>
  <c r="O896" i="1"/>
  <c r="O592" i="1"/>
  <c r="O424" i="1"/>
  <c r="O416" i="1"/>
  <c r="O320" i="1"/>
  <c r="O192" i="1"/>
  <c r="O184" i="1"/>
  <c r="O176" i="1"/>
  <c r="O104" i="1"/>
  <c r="O96" i="1"/>
  <c r="O1248" i="1"/>
  <c r="O1176" i="1"/>
  <c r="O952" i="1"/>
  <c r="O872" i="1"/>
  <c r="O864" i="1"/>
  <c r="O800" i="1"/>
  <c r="O496" i="1"/>
  <c r="O1237" i="1"/>
  <c r="O181" i="1"/>
  <c r="O4939" i="1"/>
  <c r="O3987" i="1"/>
  <c r="O3947" i="1"/>
  <c r="O3907" i="1"/>
  <c r="O3867" i="1"/>
  <c r="O3707" i="1"/>
  <c r="O3675" i="1"/>
  <c r="O3587" i="1"/>
  <c r="O3579" i="1"/>
  <c r="O3547" i="1"/>
  <c r="O3419" i="1"/>
  <c r="O3371" i="1"/>
  <c r="O3267" i="1"/>
  <c r="O3219" i="1"/>
  <c r="O2891" i="1"/>
  <c r="O2827" i="1"/>
  <c r="O2771" i="1"/>
  <c r="O2675" i="1"/>
  <c r="O2611" i="1"/>
  <c r="O2179" i="1"/>
  <c r="O1827" i="1"/>
  <c r="O1563" i="1"/>
  <c r="O1475" i="1"/>
  <c r="O1203" i="1"/>
  <c r="O1043" i="1"/>
  <c r="O987" i="1"/>
  <c r="O4597" i="1"/>
  <c r="O2901" i="1"/>
  <c r="O2037" i="1"/>
  <c r="O5003" i="1"/>
  <c r="O4451" i="1"/>
  <c r="O4403" i="1"/>
  <c r="O4363" i="1"/>
  <c r="O4323" i="1"/>
  <c r="O4291" i="1"/>
  <c r="O4219" i="1"/>
  <c r="O4179" i="1"/>
  <c r="O4147" i="1"/>
  <c r="O4115" i="1"/>
  <c r="O4083" i="1"/>
  <c r="O4051" i="1"/>
  <c r="O4019" i="1"/>
  <c r="O3899" i="1"/>
  <c r="O3819" i="1"/>
  <c r="O3787" i="1"/>
  <c r="O3747" i="1"/>
  <c r="O3667" i="1"/>
  <c r="O3627" i="1"/>
  <c r="O3491" i="1"/>
  <c r="O3451" i="1"/>
  <c r="O3411" i="1"/>
  <c r="O3315" i="1"/>
  <c r="O3259" i="1"/>
  <c r="O2931" i="1"/>
  <c r="O2883" i="1"/>
  <c r="O2723" i="1"/>
  <c r="O2667" i="1"/>
  <c r="O2171" i="1"/>
  <c r="O1555" i="1"/>
  <c r="O1395" i="1"/>
  <c r="O1251" i="1"/>
  <c r="O979" i="1"/>
  <c r="O891" i="1"/>
  <c r="O651" i="1"/>
  <c r="O187" i="1"/>
  <c r="O70" i="1"/>
  <c r="O2155" i="1"/>
  <c r="O1883" i="1"/>
  <c r="O1715" i="1"/>
  <c r="O1355" i="1"/>
  <c r="O1243" i="1"/>
  <c r="O491" i="1"/>
  <c r="O395" i="1"/>
  <c r="O155" i="1"/>
  <c r="O4723" i="1"/>
  <c r="O4651" i="1"/>
  <c r="O4619" i="1"/>
  <c r="O4427" i="1"/>
  <c r="O2971" i="1"/>
  <c r="O2531" i="1"/>
  <c r="O2475" i="1"/>
  <c r="O2427" i="1"/>
  <c r="O2371" i="1"/>
  <c r="O2219" i="1"/>
  <c r="O2083" i="1"/>
  <c r="O2075" i="1"/>
  <c r="O2067" i="1"/>
  <c r="O787" i="1"/>
  <c r="O291" i="1"/>
  <c r="O46" i="1"/>
  <c r="O4851" i="1"/>
  <c r="O4787" i="1"/>
  <c r="O4755" i="1"/>
  <c r="O4683" i="1"/>
  <c r="O4579" i="1"/>
  <c r="O3139" i="1"/>
  <c r="O3075" i="1"/>
  <c r="O3019" i="1"/>
  <c r="O2963" i="1"/>
  <c r="O2523" i="1"/>
  <c r="O2467" i="1"/>
  <c r="O2259" i="1"/>
  <c r="O2043" i="1"/>
  <c r="O1995" i="1"/>
  <c r="O1987" i="1"/>
  <c r="O1979" i="1"/>
  <c r="O1971" i="1"/>
  <c r="O1963" i="1"/>
  <c r="O1955" i="1"/>
  <c r="O1947" i="1"/>
  <c r="O1939" i="1"/>
  <c r="O1091" i="1"/>
  <c r="O931" i="1"/>
  <c r="O843" i="1"/>
  <c r="O4883" i="1"/>
  <c r="O4819" i="1"/>
  <c r="O4715" i="1"/>
  <c r="O4675" i="1"/>
  <c r="O4611" i="1"/>
  <c r="O3131" i="1"/>
  <c r="O3067" i="1"/>
  <c r="O3011" i="1"/>
  <c r="O1779" i="1"/>
  <c r="O907" i="1"/>
  <c r="O555" i="1"/>
  <c r="O131" i="1"/>
  <c r="O102" i="1"/>
  <c r="O51" i="1"/>
  <c r="P653" i="1"/>
  <c r="O69" i="1"/>
  <c r="O4725" i="1"/>
  <c r="O4429" i="1"/>
  <c r="O2994" i="1"/>
  <c r="O2834" i="1"/>
  <c r="O2682" i="1"/>
  <c r="O2346" i="1"/>
  <c r="O2250" i="1"/>
  <c r="O2050" i="1"/>
  <c r="O2018" i="1"/>
  <c r="O1810" i="1"/>
  <c r="O1634" i="1"/>
  <c r="O1346" i="1"/>
  <c r="O1250" i="1"/>
  <c r="O1042" i="1"/>
  <c r="O738" i="1"/>
  <c r="O610" i="1"/>
  <c r="O18" i="1"/>
  <c r="O4853" i="1"/>
  <c r="O4469" i="1"/>
  <c r="O2653" i="1"/>
  <c r="O122" i="1"/>
  <c r="O10" i="1"/>
  <c r="O2861" i="1"/>
  <c r="O149" i="1"/>
  <c r="P2066" i="1"/>
  <c r="P1866" i="1"/>
  <c r="P1762" i="1"/>
  <c r="P1698" i="1"/>
  <c r="P1650" i="1"/>
  <c r="P1218" i="1"/>
  <c r="P1050" i="1"/>
  <c r="P962" i="1"/>
  <c r="P914" i="1"/>
  <c r="P866" i="1"/>
  <c r="P714" i="1"/>
  <c r="P666" i="1"/>
  <c r="P530" i="1"/>
  <c r="P466" i="1"/>
  <c r="P418" i="1"/>
  <c r="P410" i="1"/>
  <c r="P378" i="1"/>
  <c r="P178" i="1"/>
  <c r="P170" i="1"/>
  <c r="P130" i="1"/>
  <c r="P106" i="1"/>
  <c r="P98" i="1"/>
  <c r="P34" i="1"/>
  <c r="O4917" i="1"/>
  <c r="O4949" i="1"/>
  <c r="O4493" i="1"/>
  <c r="O3957" i="1"/>
  <c r="O2261" i="1"/>
  <c r="O77" i="1"/>
  <c r="O61" i="1"/>
  <c r="O5005" i="1"/>
  <c r="O4786" i="1"/>
  <c r="O4754" i="1"/>
  <c r="O4682" i="1"/>
  <c r="O4650" i="1"/>
  <c r="O4618" i="1"/>
  <c r="O4394" i="1"/>
  <c r="O4346" i="1"/>
  <c r="O4274" i="1"/>
  <c r="O4242" i="1"/>
  <c r="O4202" i="1"/>
  <c r="O4125" i="1"/>
  <c r="O4098" i="1"/>
  <c r="O3997" i="1"/>
  <c r="O3882" i="1"/>
  <c r="O3842" i="1"/>
  <c r="O3770" i="1"/>
  <c r="O3690" i="1"/>
  <c r="O3394" i="1"/>
  <c r="O3346" i="1"/>
  <c r="O3290" i="1"/>
  <c r="O3242" i="1"/>
  <c r="O3082" i="1"/>
  <c r="O2970" i="1"/>
  <c r="O2957" i="1"/>
  <c r="O2789" i="1"/>
  <c r="O2434" i="1"/>
  <c r="O2322" i="1"/>
  <c r="O1914" i="1"/>
  <c r="O1394" i="1"/>
  <c r="O1330" i="1"/>
  <c r="O1218" i="1"/>
  <c r="O1098" i="1"/>
  <c r="O345" i="1"/>
  <c r="O154" i="1"/>
  <c r="O50" i="1"/>
  <c r="O93" i="1"/>
  <c r="O13" i="1"/>
  <c r="O141" i="1"/>
  <c r="O4973" i="1"/>
  <c r="O4557" i="1"/>
  <c r="O3234" i="1"/>
  <c r="O2949" i="1"/>
  <c r="O2530" i="1"/>
  <c r="O2266" i="1"/>
  <c r="O2218" i="1"/>
  <c r="O2130" i="1"/>
  <c r="O2106" i="1"/>
  <c r="O1805" i="1"/>
  <c r="O1770" i="1"/>
  <c r="O1762" i="1"/>
  <c r="O1674" i="1"/>
  <c r="O1442" i="1"/>
  <c r="O1386" i="1"/>
  <c r="O866" i="1"/>
  <c r="O1937" i="1"/>
  <c r="O1901" i="1"/>
  <c r="O1825" i="1"/>
  <c r="O1818" i="1"/>
  <c r="O1665" i="1"/>
  <c r="O1609" i="1"/>
  <c r="O1545" i="1"/>
  <c r="O1481" i="1"/>
  <c r="O1474" i="1"/>
  <c r="O1385" i="1"/>
  <c r="O1241" i="1"/>
  <c r="O1234" i="1"/>
  <c r="O1193" i="1"/>
  <c r="O1186" i="1"/>
  <c r="O1145" i="1"/>
  <c r="O1138" i="1"/>
  <c r="O1089" i="1"/>
  <c r="O1081" i="1"/>
  <c r="O1066" i="1"/>
  <c r="O1025" i="1"/>
  <c r="O1018" i="1"/>
  <c r="O977" i="1"/>
  <c r="O929" i="1"/>
  <c r="O881" i="1"/>
  <c r="O833" i="1"/>
  <c r="O826" i="1"/>
  <c r="O785" i="1"/>
  <c r="O778" i="1"/>
  <c r="O737" i="1"/>
  <c r="O730" i="1"/>
  <c r="O697" i="1"/>
  <c r="O682" i="1"/>
  <c r="O649" i="1"/>
  <c r="O642" i="1"/>
  <c r="O601" i="1"/>
  <c r="O545" i="1"/>
  <c r="O489" i="1"/>
  <c r="O481" i="1"/>
  <c r="O393" i="1"/>
  <c r="O337" i="1"/>
  <c r="O289" i="1"/>
  <c r="O241" i="1"/>
  <c r="O234" i="1"/>
  <c r="O2187" i="1"/>
  <c r="O2090" i="1"/>
  <c r="O1921" i="1"/>
  <c r="O1899" i="1"/>
  <c r="O1858" i="1"/>
  <c r="O1851" i="1"/>
  <c r="O1817" i="1"/>
  <c r="O1739" i="1"/>
  <c r="O1690" i="1"/>
  <c r="O1683" i="1"/>
  <c r="O1627" i="1"/>
  <c r="O1593" i="1"/>
  <c r="O1571" i="1"/>
  <c r="O1529" i="1"/>
  <c r="O1473" i="1"/>
  <c r="O1458" i="1"/>
  <c r="O1425" i="1"/>
  <c r="O1418" i="1"/>
  <c r="O1369" i="1"/>
  <c r="O1321" i="1"/>
  <c r="O1314" i="1"/>
  <c r="O1273" i="1"/>
  <c r="O1266" i="1"/>
  <c r="O1233" i="1"/>
  <c r="O1185" i="1"/>
  <c r="O1122" i="1"/>
  <c r="O1065" i="1"/>
  <c r="O1017" i="1"/>
  <c r="O1010" i="1"/>
  <c r="O893" i="1"/>
  <c r="O729" i="1"/>
  <c r="O681" i="1"/>
  <c r="O585" i="1"/>
  <c r="O578" i="1"/>
  <c r="O522" i="1"/>
  <c r="O370" i="1"/>
  <c r="O281" i="1"/>
  <c r="O233" i="1"/>
  <c r="O145" i="1"/>
  <c r="O26" i="1"/>
  <c r="O1348" i="1"/>
  <c r="O1004" i="1"/>
  <c r="O964" i="1"/>
  <c r="O948" i="1"/>
  <c r="O916" i="1"/>
  <c r="O124" i="1"/>
  <c r="P2940" i="1"/>
  <c r="P2572" i="1"/>
  <c r="O4123" i="1"/>
  <c r="O3515" i="1"/>
  <c r="O3459" i="1"/>
  <c r="O3427" i="1"/>
  <c r="O3163" i="1"/>
  <c r="O3051" i="1"/>
  <c r="O2907" i="1"/>
  <c r="O2803" i="1"/>
  <c r="O2027" i="1"/>
  <c r="O1691" i="1"/>
  <c r="O955" i="1"/>
  <c r="O459" i="1"/>
  <c r="O411" i="1"/>
  <c r="O355" i="1"/>
  <c r="O283" i="1"/>
  <c r="O147" i="1"/>
  <c r="O107" i="1"/>
  <c r="P2931" i="1"/>
  <c r="P2891" i="1"/>
  <c r="P2555" i="1"/>
  <c r="P2395" i="1"/>
  <c r="P2187" i="1"/>
  <c r="P2340" i="1"/>
  <c r="P452" i="1"/>
  <c r="P156" i="1"/>
  <c r="P116" i="1"/>
  <c r="P4723" i="1"/>
  <c r="P4555" i="1"/>
  <c r="P4155" i="1"/>
  <c r="P3435" i="1"/>
  <c r="P3299" i="1"/>
  <c r="P2659" i="1"/>
  <c r="P2171" i="1"/>
  <c r="P1611" i="1"/>
  <c r="P1139" i="1"/>
  <c r="P843" i="1"/>
  <c r="P275" i="1"/>
  <c r="P75" i="1"/>
  <c r="P27" i="1"/>
  <c r="O4995" i="1"/>
  <c r="O4971" i="1"/>
  <c r="O4931" i="1"/>
  <c r="O4867" i="1"/>
  <c r="O4803" i="1"/>
  <c r="O4772" i="1"/>
  <c r="O4739" i="1"/>
  <c r="O4707" i="1"/>
  <c r="O4667" i="1"/>
  <c r="O4643" i="1"/>
  <c r="O4571" i="1"/>
  <c r="O4531" i="1"/>
  <c r="O4499" i="1"/>
  <c r="O4467" i="1"/>
  <c r="O4395" i="1"/>
  <c r="O4347" i="1"/>
  <c r="O4275" i="1"/>
  <c r="O4099" i="1"/>
  <c r="O3883" i="1"/>
  <c r="O3843" i="1"/>
  <c r="O3771" i="1"/>
  <c r="O3611" i="1"/>
  <c r="O3563" i="1"/>
  <c r="O3523" i="1"/>
  <c r="O3483" i="1"/>
  <c r="O3299" i="1"/>
  <c r="O3243" i="1"/>
  <c r="O3203" i="1"/>
  <c r="O3043" i="1"/>
  <c r="O2947" i="1"/>
  <c r="O2852" i="1"/>
  <c r="O2796" i="1"/>
  <c r="O2755" i="1"/>
  <c r="O2651" i="1"/>
  <c r="O2644" i="1"/>
  <c r="O2595" i="1"/>
  <c r="O2588" i="1"/>
  <c r="O2507" i="1"/>
  <c r="O2451" i="1"/>
  <c r="O2347" i="1"/>
  <c r="O2340" i="1"/>
  <c r="O2307" i="1"/>
  <c r="O2211" i="1"/>
  <c r="O2139" i="1"/>
  <c r="O1707" i="1"/>
  <c r="O1603" i="1"/>
  <c r="O4907" i="1"/>
  <c r="O4860" i="1"/>
  <c r="O4836" i="1"/>
  <c r="O4796" i="1"/>
  <c r="O4771" i="1"/>
  <c r="O4764" i="1"/>
  <c r="O4699" i="1"/>
  <c r="O4635" i="1"/>
  <c r="O4387" i="1"/>
  <c r="O4339" i="1"/>
  <c r="O4307" i="1"/>
  <c r="O4163" i="1"/>
  <c r="O3435" i="1"/>
  <c r="O3387" i="1"/>
  <c r="O3339" i="1"/>
  <c r="O3291" i="1"/>
  <c r="O3035" i="1"/>
  <c r="O2940" i="1"/>
  <c r="O2900" i="1"/>
  <c r="O2851" i="1"/>
  <c r="O2748" i="1"/>
  <c r="O2643" i="1"/>
  <c r="O2636" i="1"/>
  <c r="O2587" i="1"/>
  <c r="O2580" i="1"/>
  <c r="O2555" i="1"/>
  <c r="O2499" i="1"/>
  <c r="O2443" i="1"/>
  <c r="O2395" i="1"/>
  <c r="O2203" i="1"/>
  <c r="O2123" i="1"/>
  <c r="O2115" i="1"/>
  <c r="O2107" i="1"/>
  <c r="O2099" i="1"/>
  <c r="O1867" i="1"/>
  <c r="O1699" i="1"/>
  <c r="O1651" i="1"/>
  <c r="O1595" i="1"/>
  <c r="O1427" i="1"/>
  <c r="O1275" i="1"/>
  <c r="O1268" i="1"/>
  <c r="O4963" i="1"/>
  <c r="O4835" i="1"/>
  <c r="O4828" i="1"/>
  <c r="O4763" i="1"/>
  <c r="O4731" i="1"/>
  <c r="O4563" i="1"/>
  <c r="O4155" i="1"/>
  <c r="O4091" i="1"/>
  <c r="O3955" i="1"/>
  <c r="O3915" i="1"/>
  <c r="O3875" i="1"/>
  <c r="O3835" i="1"/>
  <c r="O3763" i="1"/>
  <c r="O3715" i="1"/>
  <c r="O3683" i="1"/>
  <c r="O3595" i="1"/>
  <c r="O3555" i="1"/>
  <c r="O3507" i="1"/>
  <c r="O3379" i="1"/>
  <c r="O3283" i="1"/>
  <c r="O3195" i="1"/>
  <c r="O3155" i="1"/>
  <c r="O3091" i="1"/>
  <c r="O2987" i="1"/>
  <c r="O2939" i="1"/>
  <c r="O2899" i="1"/>
  <c r="O2892" i="1"/>
  <c r="O2843" i="1"/>
  <c r="O2836" i="1"/>
  <c r="O2795" i="1"/>
  <c r="O2747" i="1"/>
  <c r="O2699" i="1"/>
  <c r="O2692" i="1"/>
  <c r="O2635" i="1"/>
  <c r="O2628" i="1"/>
  <c r="O2540" i="1"/>
  <c r="O2491" i="1"/>
  <c r="O2484" i="1"/>
  <c r="O2387" i="1"/>
  <c r="O2091" i="1"/>
  <c r="O1811" i="1"/>
  <c r="O1587" i="1"/>
  <c r="O1523" i="1"/>
  <c r="O1467" i="1"/>
  <c r="O1356" i="1"/>
  <c r="O1227" i="1"/>
  <c r="O1179" i="1"/>
  <c r="O908" i="1"/>
  <c r="O860" i="1"/>
  <c r="O812" i="1"/>
  <c r="O4987" i="1"/>
  <c r="O4923" i="1"/>
  <c r="O4899" i="1"/>
  <c r="O4827" i="1"/>
  <c r="O4555" i="1"/>
  <c r="O4483" i="1"/>
  <c r="O4411" i="1"/>
  <c r="O4379" i="1"/>
  <c r="O4299" i="1"/>
  <c r="O4227" i="1"/>
  <c r="O4059" i="1"/>
  <c r="O4027" i="1"/>
  <c r="O3995" i="1"/>
  <c r="O3827" i="1"/>
  <c r="O3795" i="1"/>
  <c r="O3755" i="1"/>
  <c r="O3708" i="1"/>
  <c r="O3635" i="1"/>
  <c r="O3499" i="1"/>
  <c r="O3331" i="1"/>
  <c r="O3275" i="1"/>
  <c r="O3235" i="1"/>
  <c r="O3187" i="1"/>
  <c r="O3147" i="1"/>
  <c r="O3083" i="1"/>
  <c r="O3027" i="1"/>
  <c r="O2835" i="1"/>
  <c r="O2828" i="1"/>
  <c r="O2787" i="1"/>
  <c r="O2780" i="1"/>
  <c r="O2739" i="1"/>
  <c r="O2691" i="1"/>
  <c r="O2684" i="1"/>
  <c r="O2627" i="1"/>
  <c r="O2579" i="1"/>
  <c r="O2539" i="1"/>
  <c r="O2532" i="1"/>
  <c r="O2483" i="1"/>
  <c r="O2476" i="1"/>
  <c r="O2435" i="1"/>
  <c r="O2379" i="1"/>
  <c r="O2323" i="1"/>
  <c r="O2283" i="1"/>
  <c r="O2243" i="1"/>
  <c r="O180" i="1"/>
  <c r="O772" i="1"/>
  <c r="O676" i="1"/>
  <c r="O179" i="1"/>
  <c r="O68" i="1"/>
  <c r="O771" i="1"/>
  <c r="O764" i="1"/>
  <c r="O716" i="1"/>
  <c r="O668" i="1"/>
  <c r="O460" i="1"/>
  <c r="O412" i="1"/>
  <c r="O275" i="1"/>
  <c r="O172" i="1"/>
  <c r="O139" i="1"/>
  <c r="O67" i="1"/>
  <c r="O1347" i="1"/>
  <c r="O1212" i="1"/>
  <c r="O1163" i="1"/>
  <c r="O1115" i="1"/>
  <c r="O996" i="1"/>
  <c r="O947" i="1"/>
  <c r="O851" i="1"/>
  <c r="O755" i="1"/>
  <c r="O747" i="1"/>
  <c r="O515" i="1"/>
  <c r="O508" i="1"/>
  <c r="O451" i="1"/>
  <c r="O92" i="1"/>
  <c r="O59" i="1"/>
  <c r="O19" i="1"/>
  <c r="O12" i="1"/>
  <c r="O4955" i="1"/>
  <c r="O4891" i="1"/>
  <c r="O4852" i="1"/>
  <c r="O4788" i="1"/>
  <c r="O4756" i="1"/>
  <c r="O4691" i="1"/>
  <c r="O4659" i="1"/>
  <c r="O4627" i="1"/>
  <c r="O4595" i="1"/>
  <c r="O4523" i="1"/>
  <c r="O4491" i="1"/>
  <c r="O4459" i="1"/>
  <c r="O4331" i="1"/>
  <c r="O4267" i="1"/>
  <c r="O4235" i="1"/>
  <c r="O4195" i="1"/>
  <c r="O4131" i="1"/>
  <c r="O4035" i="1"/>
  <c r="O4003" i="1"/>
  <c r="O3963" i="1"/>
  <c r="O3923" i="1"/>
  <c r="O3803" i="1"/>
  <c r="O3723" i="1"/>
  <c r="O3643" i="1"/>
  <c r="O3603" i="1"/>
  <c r="O3395" i="1"/>
  <c r="O3347" i="1"/>
  <c r="O3251" i="1"/>
  <c r="O3211" i="1"/>
  <c r="O3115" i="1"/>
  <c r="O2995" i="1"/>
  <c r="O2955" i="1"/>
  <c r="O2948" i="1"/>
  <c r="O2915" i="1"/>
  <c r="O2603" i="1"/>
  <c r="O2571" i="1"/>
  <c r="O2459" i="1"/>
  <c r="O2363" i="1"/>
  <c r="O2315" i="1"/>
  <c r="O91" i="1"/>
  <c r="O52" i="1"/>
  <c r="O11" i="1"/>
  <c r="O909" i="1"/>
  <c r="O373" i="1"/>
  <c r="O901" i="1"/>
  <c r="O365" i="1"/>
  <c r="O213" i="1"/>
  <c r="O173" i="1"/>
  <c r="O37" i="1"/>
  <c r="O53" i="1"/>
  <c r="O422" i="1"/>
  <c r="O4478" i="1"/>
  <c r="O1534" i="1"/>
  <c r="O4726" i="1"/>
  <c r="O2430" i="1"/>
  <c r="O150" i="1"/>
  <c r="O38" i="1"/>
  <c r="O4758" i="1"/>
  <c r="O4823" i="1"/>
  <c r="O3919" i="1"/>
  <c r="O3783" i="1"/>
  <c r="O4991" i="1"/>
  <c r="O4871" i="1"/>
  <c r="O4807" i="1"/>
  <c r="O4751" i="1"/>
  <c r="O4719" i="1"/>
  <c r="O4543" i="1"/>
  <c r="O4415" i="1"/>
  <c r="O4079" i="1"/>
  <c r="O4015" i="1"/>
  <c r="O3823" i="1"/>
  <c r="O3751" i="1"/>
  <c r="O3591" i="1"/>
  <c r="O3583" i="1"/>
  <c r="O3551" i="1"/>
  <c r="O3455" i="1"/>
  <c r="O3287" i="1"/>
  <c r="O3103" i="1"/>
  <c r="O2527" i="1"/>
  <c r="O1911" i="1"/>
  <c r="O1519" i="1"/>
  <c r="O4967" i="1"/>
  <c r="O4927" i="1"/>
  <c r="O4911" i="1"/>
  <c r="O4671" i="1"/>
  <c r="O4615" i="1"/>
  <c r="O4583" i="1"/>
  <c r="O4479" i="1"/>
  <c r="O4455" i="1"/>
  <c r="O4383" i="1"/>
  <c r="O4239" i="1"/>
  <c r="O4199" i="1"/>
  <c r="O4103" i="1"/>
  <c r="O3863" i="1"/>
  <c r="O3631" i="1"/>
  <c r="O3375" i="1"/>
  <c r="O3327" i="1"/>
  <c r="O3239" i="1"/>
  <c r="O2607" i="1"/>
  <c r="O2367" i="1"/>
  <c r="O4735" i="1"/>
  <c r="O4703" i="1"/>
  <c r="O4639" i="1"/>
  <c r="O4503" i="1"/>
  <c r="O4367" i="1"/>
  <c r="O4295" i="1"/>
  <c r="O4263" i="1"/>
  <c r="O3959" i="1"/>
  <c r="O3623" i="1"/>
  <c r="O3367" i="1"/>
  <c r="O3231" i="1"/>
  <c r="O2839" i="1"/>
  <c r="O4287" i="1"/>
  <c r="O4183" i="1"/>
  <c r="O2927" i="1"/>
  <c r="O2831" i="1"/>
  <c r="O2447" i="1"/>
  <c r="O2311" i="1"/>
  <c r="O3647" i="1"/>
  <c r="O3519" i="1"/>
  <c r="O3439" i="1"/>
  <c r="O3351" i="1"/>
  <c r="O3255" i="1"/>
  <c r="O3223" i="1"/>
  <c r="O3127" i="1"/>
  <c r="O3063" i="1"/>
  <c r="O2823" i="1"/>
  <c r="O2775" i="1"/>
  <c r="O2583" i="1"/>
  <c r="O2343" i="1"/>
  <c r="O2303" i="1"/>
  <c r="O2159" i="1"/>
  <c r="O2151" i="1"/>
  <c r="O2143" i="1"/>
  <c r="O1935" i="1"/>
  <c r="O1823" i="1"/>
  <c r="O1479" i="1"/>
  <c r="O599" i="1"/>
  <c r="O543" i="1"/>
  <c r="O479" i="1"/>
  <c r="O335" i="1"/>
  <c r="O287" i="1"/>
  <c r="O239" i="1"/>
  <c r="O4943" i="1"/>
  <c r="O4759" i="1"/>
  <c r="O4687" i="1"/>
  <c r="O4351" i="1"/>
  <c r="O4215" i="1"/>
  <c r="O4175" i="1"/>
  <c r="O4087" i="1"/>
  <c r="O3903" i="1"/>
  <c r="O3799" i="1"/>
  <c r="O3599" i="1"/>
  <c r="O3391" i="1"/>
  <c r="O3215" i="1"/>
  <c r="O2999" i="1"/>
  <c r="O2879" i="1"/>
  <c r="O2439" i="1"/>
  <c r="O111" i="1"/>
  <c r="O79" i="1"/>
  <c r="O135" i="1"/>
  <c r="O4989" i="1"/>
  <c r="O4957" i="1"/>
  <c r="O4933" i="1"/>
  <c r="O4909" i="1"/>
  <c r="O4893" i="1"/>
  <c r="O4877" i="1"/>
  <c r="O4869" i="1"/>
  <c r="O4861" i="1"/>
  <c r="O4797" i="1"/>
  <c r="O4773" i="1"/>
  <c r="O4733" i="1"/>
  <c r="O4613" i="1"/>
  <c r="O4573" i="1"/>
  <c r="O4549" i="1"/>
  <c r="O4509" i="1"/>
  <c r="O4485" i="1"/>
  <c r="O4477" i="1"/>
  <c r="O4309" i="1"/>
  <c r="O4277" i="1"/>
  <c r="O4261" i="1"/>
  <c r="O4245" i="1"/>
  <c r="O4173" i="1"/>
  <c r="O4093" i="1"/>
  <c r="O4077" i="1"/>
  <c r="O4069" i="1"/>
  <c r="O4037" i="1"/>
  <c r="O4013" i="1"/>
  <c r="O4005" i="1"/>
  <c r="O3989" i="1"/>
  <c r="O3981" i="1"/>
  <c r="O3949" i="1"/>
  <c r="O31" i="1"/>
  <c r="O1591" i="1"/>
  <c r="O1271" i="1"/>
  <c r="O1135" i="1"/>
  <c r="O1015" i="1"/>
  <c r="O775" i="1"/>
  <c r="O727" i="1"/>
  <c r="O639" i="1"/>
  <c r="O231" i="1"/>
  <c r="O95" i="1"/>
  <c r="O23" i="1"/>
  <c r="O4997" i="1"/>
  <c r="O4941" i="1"/>
  <c r="O4821" i="1"/>
  <c r="O4757" i="1"/>
  <c r="O4685" i="1"/>
  <c r="O4421" i="1"/>
  <c r="O4397" i="1"/>
  <c r="O4357" i="1"/>
  <c r="O4149" i="1"/>
  <c r="O4845" i="1"/>
  <c r="O4813" i="1"/>
  <c r="O4781" i="1"/>
  <c r="O4653" i="1"/>
  <c r="O4589" i="1"/>
  <c r="O4349" i="1"/>
  <c r="O4213" i="1"/>
  <c r="O4117" i="1"/>
  <c r="O2253" i="1"/>
  <c r="O1085" i="1"/>
  <c r="O85" i="1"/>
  <c r="O4805" i="1"/>
  <c r="O4749" i="1"/>
  <c r="O4717" i="1"/>
  <c r="O4677" i="1"/>
  <c r="O4461" i="1"/>
  <c r="O4389" i="1"/>
  <c r="O4341" i="1"/>
  <c r="O4205" i="1"/>
  <c r="O4053" i="1"/>
  <c r="O4965" i="1"/>
  <c r="O4925" i="1"/>
  <c r="O4741" i="1"/>
  <c r="O4669" i="1"/>
  <c r="O4581" i="1"/>
  <c r="O4413" i="1"/>
  <c r="O4333" i="1"/>
  <c r="O4165" i="1"/>
  <c r="O4045" i="1"/>
  <c r="O3941" i="1"/>
  <c r="O4837" i="1"/>
  <c r="O4645" i="1"/>
  <c r="O4605" i="1"/>
  <c r="O4533" i="1"/>
  <c r="O4453" i="1"/>
  <c r="O4381" i="1"/>
  <c r="O4237" i="1"/>
  <c r="O4197" i="1"/>
  <c r="O4157" i="1"/>
  <c r="O4133" i="1"/>
  <c r="O3933" i="1"/>
  <c r="O101" i="1"/>
  <c r="O4901" i="1"/>
  <c r="O4829" i="1"/>
  <c r="O4637" i="1"/>
  <c r="O4981" i="1"/>
  <c r="O4661" i="1"/>
  <c r="O4565" i="1"/>
  <c r="O4501" i="1"/>
  <c r="O4365" i="1"/>
  <c r="O4189" i="1"/>
  <c r="O4622" i="1"/>
  <c r="O4518" i="1"/>
  <c r="O2158" i="1"/>
  <c r="O430" i="1"/>
  <c r="O366" i="1"/>
  <c r="O214" i="1"/>
  <c r="O182" i="1"/>
  <c r="O174" i="1"/>
  <c r="O94" i="1"/>
  <c r="O78" i="1"/>
  <c r="O62" i="1"/>
  <c r="O22" i="1"/>
  <c r="O4566" i="1"/>
  <c r="O822" i="1"/>
  <c r="O774" i="1"/>
  <c r="O166" i="1"/>
  <c r="P94" i="1"/>
  <c r="P78" i="1"/>
  <c r="P22" i="1"/>
  <c r="O4934" i="1"/>
  <c r="O14" i="1"/>
  <c r="O126" i="1"/>
  <c r="O4686" i="1"/>
  <c r="O1694" i="1"/>
  <c r="O462" i="1"/>
  <c r="O374" i="1"/>
  <c r="O110" i="1"/>
  <c r="O4926" i="1"/>
  <c r="O4494" i="1"/>
  <c r="O4470" i="1"/>
  <c r="O3094" i="1"/>
  <c r="O2270" i="1"/>
  <c r="O1638" i="1"/>
  <c r="O1510" i="1"/>
  <c r="O1414" i="1"/>
  <c r="O454" i="1"/>
  <c r="O4782" i="1"/>
  <c r="O86" i="1"/>
  <c r="O54" i="1"/>
  <c r="O4774" i="1"/>
  <c r="O4678" i="1"/>
  <c r="O2046" i="1"/>
  <c r="O2014" i="1"/>
  <c r="O1566" i="1"/>
  <c r="O1406" i="1"/>
  <c r="P174" i="1"/>
  <c r="O158" i="1"/>
  <c r="O142" i="1"/>
  <c r="O134" i="1"/>
  <c r="O4830" i="1"/>
  <c r="O3078" i="1"/>
  <c r="O2262" i="1"/>
  <c r="O1726" i="1"/>
  <c r="O4598" i="1"/>
  <c r="O30" i="1"/>
  <c r="O3014" i="1"/>
  <c r="O2590" i="1"/>
  <c r="O1774" i="1"/>
  <c r="O1670" i="1"/>
  <c r="O1438" i="1"/>
  <c r="O118" i="1"/>
  <c r="O4990" i="1"/>
  <c r="O4854" i="1"/>
  <c r="O4638" i="1"/>
  <c r="O4574" i="1"/>
  <c r="O2550" i="1"/>
  <c r="O1662" i="1"/>
  <c r="O1542" i="1"/>
  <c r="O1382" i="1"/>
  <c r="O4444" i="1"/>
  <c r="O4436" i="1"/>
  <c r="P4404" i="1"/>
  <c r="O4748" i="1"/>
  <c r="O4740" i="1"/>
  <c r="O4732" i="1"/>
  <c r="P4228" i="1"/>
  <c r="P4212" i="1"/>
  <c r="O4228" i="1"/>
  <c r="O4220" i="1"/>
  <c r="O4212" i="1"/>
  <c r="O4204" i="1"/>
  <c r="O3804" i="1"/>
  <c r="O4476" i="1"/>
  <c r="O4468" i="1"/>
  <c r="O4460" i="1"/>
  <c r="O4452" i="1"/>
  <c r="O3772" i="1"/>
  <c r="O3740" i="1"/>
  <c r="O4301" i="1"/>
  <c r="O4021" i="1"/>
  <c r="O4724" i="1"/>
  <c r="O4716" i="1"/>
  <c r="O4428" i="1"/>
  <c r="O4420" i="1"/>
  <c r="O4412" i="1"/>
  <c r="O4404" i="1"/>
  <c r="O4396" i="1"/>
  <c r="O4388" i="1"/>
  <c r="O4380" i="1"/>
  <c r="O4196" i="1"/>
  <c r="O4188" i="1"/>
  <c r="O4180" i="1"/>
  <c r="O4172" i="1"/>
  <c r="O4164" i="1"/>
  <c r="O4140" i="1"/>
  <c r="O4708" i="1"/>
  <c r="O4700" i="1"/>
  <c r="O4692" i="1"/>
  <c r="O4684" i="1"/>
  <c r="O4676" i="1"/>
  <c r="O4668" i="1"/>
  <c r="O4372" i="1"/>
  <c r="O4364" i="1"/>
  <c r="O4356" i="1"/>
  <c r="O4132" i="1"/>
  <c r="O4124" i="1"/>
  <c r="O4116" i="1"/>
  <c r="O4108" i="1"/>
  <c r="O3676" i="1"/>
  <c r="O3644" i="1"/>
  <c r="O5004" i="1"/>
  <c r="O4660" i="1"/>
  <c r="O4652" i="1"/>
  <c r="O4644" i="1"/>
  <c r="O4636" i="1"/>
  <c r="O4628" i="1"/>
  <c r="P4340" i="1"/>
  <c r="O4084" i="1"/>
  <c r="O4076" i="1"/>
  <c r="O4068" i="1"/>
  <c r="O4060" i="1"/>
  <c r="O4052" i="1"/>
  <c r="O4044" i="1"/>
  <c r="O4028" i="1"/>
  <c r="O4012" i="1"/>
  <c r="O4004" i="1"/>
  <c r="O4996" i="1"/>
  <c r="O498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348" i="1"/>
  <c r="O4340" i="1"/>
  <c r="O4332" i="1"/>
  <c r="O4324" i="1"/>
  <c r="O4316" i="1"/>
  <c r="O4308" i="1"/>
  <c r="O4300" i="1"/>
  <c r="O3996" i="1"/>
  <c r="O3988" i="1"/>
  <c r="O3980" i="1"/>
  <c r="O3972" i="1"/>
  <c r="O4980" i="1"/>
  <c r="O4972" i="1"/>
  <c r="O4964" i="1"/>
  <c r="O4516" i="1"/>
  <c r="O4508" i="1"/>
  <c r="O4292" i="1"/>
  <c r="O4284" i="1"/>
  <c r="O4276" i="1"/>
  <c r="O3956" i="1"/>
  <c r="O3948" i="1"/>
  <c r="O3940" i="1"/>
  <c r="O3932" i="1"/>
  <c r="O4956" i="1"/>
  <c r="O4948" i="1"/>
  <c r="O4940" i="1"/>
  <c r="O4932" i="1"/>
  <c r="O4924" i="1"/>
  <c r="O4916" i="1"/>
  <c r="O4908" i="1"/>
  <c r="O4900" i="1"/>
  <c r="O4892" i="1"/>
  <c r="O4500" i="1"/>
  <c r="O4492" i="1"/>
  <c r="O4484" i="1"/>
  <c r="O4268" i="1"/>
  <c r="O4260" i="1"/>
  <c r="O4252" i="1"/>
  <c r="O4244" i="1"/>
  <c r="O4236" i="1"/>
  <c r="O3868" i="1"/>
  <c r="O3836" i="1"/>
  <c r="O4061" i="1"/>
  <c r="O4709" i="1"/>
  <c r="O4701" i="1"/>
  <c r="O4693" i="1"/>
  <c r="O4517" i="1"/>
  <c r="O4269" i="1"/>
  <c r="O4109" i="1"/>
  <c r="O4101" i="1"/>
  <c r="O4229" i="1"/>
  <c r="O4141" i="1"/>
  <c r="O4405" i="1"/>
  <c r="O4445" i="1"/>
  <c r="O4325" i="1"/>
  <c r="O4181" i="1"/>
  <c r="O4789" i="1"/>
  <c r="O4437" i="1"/>
  <c r="O4885" i="1"/>
  <c r="O4525" i="1"/>
  <c r="O4373" i="1"/>
  <c r="O4966" i="1"/>
  <c r="O4958" i="1"/>
  <c r="O4950" i="1"/>
  <c r="O4942" i="1"/>
  <c r="O4918" i="1"/>
  <c r="O4902" i="1"/>
  <c r="O4878" i="1"/>
  <c r="O4870" i="1"/>
  <c r="O4862" i="1"/>
  <c r="O4838" i="1"/>
  <c r="O4822" i="1"/>
  <c r="O4814" i="1"/>
  <c r="O4806" i="1"/>
  <c r="O4790" i="1"/>
  <c r="O4766" i="1"/>
  <c r="O4734" i="1"/>
  <c r="O4718" i="1"/>
  <c r="O4710" i="1"/>
  <c r="O4702" i="1"/>
  <c r="O4694" i="1"/>
  <c r="O4654" i="1"/>
  <c r="O4630" i="1"/>
  <c r="O4606" i="1"/>
  <c r="O4582" i="1"/>
  <c r="O4558" i="1"/>
  <c r="O4542" i="1"/>
  <c r="O4534" i="1"/>
  <c r="O3054" i="1"/>
  <c r="O2614" i="1"/>
  <c r="O2582" i="1"/>
  <c r="O2486" i="1"/>
  <c r="O2382" i="1"/>
  <c r="O2350" i="1"/>
  <c r="O4974" i="1"/>
  <c r="O4670" i="1"/>
  <c r="O4510" i="1"/>
  <c r="O2990" i="1"/>
  <c r="O2494" i="1"/>
  <c r="O4614" i="1"/>
  <c r="O4550" i="1"/>
  <c r="O2982" i="1"/>
  <c r="O2230" i="1"/>
  <c r="O4750" i="1"/>
  <c r="O4662" i="1"/>
  <c r="O4502" i="1"/>
  <c r="O3046" i="1"/>
  <c r="O4998" i="1"/>
  <c r="O4894" i="1"/>
  <c r="O4846" i="1"/>
  <c r="O4742" i="1"/>
  <c r="O4646" i="1"/>
  <c r="O4590" i="1"/>
  <c r="O4526" i="1"/>
  <c r="O4486" i="1"/>
  <c r="O3086" i="1"/>
  <c r="O3022" i="1"/>
  <c r="O4798" i="1"/>
  <c r="O4462" i="1"/>
  <c r="O4454" i="1"/>
  <c r="O4446" i="1"/>
  <c r="P4315" i="1"/>
  <c r="P4299" i="1"/>
  <c r="P4283" i="1"/>
  <c r="P4235" i="1"/>
  <c r="P4179" i="1"/>
  <c r="P4147" i="1"/>
  <c r="P4131" i="1"/>
  <c r="P4123" i="1"/>
  <c r="P4099" i="1"/>
  <c r="P4091" i="1"/>
  <c r="P4019" i="1"/>
  <c r="P4011" i="1"/>
  <c r="P3955" i="1"/>
  <c r="P3915" i="1"/>
  <c r="P3867" i="1"/>
  <c r="P3827" i="1"/>
  <c r="P3811" i="1"/>
  <c r="P3803" i="1"/>
  <c r="P3787" i="1"/>
  <c r="P3779" i="1"/>
  <c r="P3691" i="1"/>
  <c r="P3667" i="1"/>
  <c r="P3651" i="1"/>
  <c r="P3643" i="1"/>
  <c r="P3627" i="1"/>
  <c r="P3579" i="1"/>
  <c r="P3563" i="1"/>
  <c r="P3555" i="1"/>
  <c r="O3518" i="1"/>
  <c r="P3491" i="1"/>
  <c r="P3483" i="1"/>
  <c r="O2001" i="1"/>
  <c r="O1905" i="1"/>
  <c r="P2153" i="1"/>
  <c r="O2153" i="1"/>
  <c r="P2145" i="1"/>
  <c r="O2145" i="1"/>
  <c r="O2137" i="1"/>
  <c r="P2137" i="1"/>
  <c r="O2097" i="1"/>
  <c r="P2097" i="1"/>
  <c r="P2073" i="1"/>
  <c r="O2073" i="1"/>
  <c r="O1961" i="1"/>
  <c r="P1961" i="1"/>
  <c r="O5001" i="1"/>
  <c r="O4921" i="1"/>
  <c r="O4825" i="1"/>
  <c r="O4753" i="1"/>
  <c r="O4721" i="1"/>
  <c r="O4689" i="1"/>
  <c r="O4657" i="1"/>
  <c r="O4617" i="1"/>
  <c r="O4537" i="1"/>
  <c r="O4441" i="1"/>
  <c r="O4417" i="1"/>
  <c r="O4369" i="1"/>
  <c r="O4353" i="1"/>
  <c r="O4241" i="1"/>
  <c r="O4209" i="1"/>
  <c r="O4025" i="1"/>
  <c r="O3993" i="1"/>
  <c r="O3961" i="1"/>
  <c r="O3921" i="1"/>
  <c r="O3873" i="1"/>
  <c r="O3857" i="1"/>
  <c r="O3841" i="1"/>
  <c r="O3825" i="1"/>
  <c r="O3817" i="1"/>
  <c r="O3809" i="1"/>
  <c r="O3569" i="1"/>
  <c r="O3465" i="1"/>
  <c r="O3441" i="1"/>
  <c r="O3433" i="1"/>
  <c r="O3369" i="1"/>
  <c r="O3337" i="1"/>
  <c r="O3257" i="1"/>
  <c r="O3209" i="1"/>
  <c r="O2913" i="1"/>
  <c r="O2841" i="1"/>
  <c r="O2825" i="1"/>
  <c r="O2649" i="1"/>
  <c r="O2569" i="1"/>
  <c r="O2529" i="1"/>
  <c r="O2441" i="1"/>
  <c r="O2369" i="1"/>
  <c r="O3689" i="1"/>
  <c r="O3145" i="1"/>
  <c r="P1985" i="1"/>
  <c r="O1985" i="1"/>
  <c r="P1977" i="1"/>
  <c r="O1977" i="1"/>
  <c r="O4929" i="1"/>
  <c r="O4865" i="1"/>
  <c r="O4785" i="1"/>
  <c r="O4729" i="1"/>
  <c r="O4713" i="1"/>
  <c r="O4665" i="1"/>
  <c r="O4649" i="1"/>
  <c r="O4561" i="1"/>
  <c r="O4545" i="1"/>
  <c r="O4513" i="1"/>
  <c r="O4401" i="1"/>
  <c r="O4329" i="1"/>
  <c r="O4185" i="1"/>
  <c r="O4161" i="1"/>
  <c r="O4097" i="1"/>
  <c r="O4073" i="1"/>
  <c r="O4033" i="1"/>
  <c r="O4017" i="1"/>
  <c r="O3969" i="1"/>
  <c r="O3929" i="1"/>
  <c r="O3913" i="1"/>
  <c r="O3881" i="1"/>
  <c r="O3849" i="1"/>
  <c r="O3833" i="1"/>
  <c r="O3561" i="1"/>
  <c r="O3753" i="1"/>
  <c r="P2105" i="1"/>
  <c r="O2105" i="1"/>
  <c r="O2057" i="1"/>
  <c r="P2057" i="1"/>
  <c r="P2049" i="1"/>
  <c r="O2049" i="1"/>
  <c r="O2041" i="1"/>
  <c r="P2041" i="1"/>
  <c r="O2033" i="1"/>
  <c r="P2033" i="1"/>
  <c r="O2025" i="1"/>
  <c r="P2025" i="1"/>
  <c r="O2009" i="1"/>
  <c r="P2009" i="1"/>
  <c r="O1993" i="1"/>
  <c r="P1993" i="1"/>
  <c r="O3113" i="1"/>
  <c r="O4993" i="1"/>
  <c r="O4769" i="1"/>
  <c r="O4577" i="1"/>
  <c r="O4521" i="1"/>
  <c r="O4489" i="1"/>
  <c r="O4473" i="1"/>
  <c r="O4457" i="1"/>
  <c r="O4345" i="1"/>
  <c r="O4297" i="1"/>
  <c r="O4265" i="1"/>
  <c r="O4201" i="1"/>
  <c r="O4057" i="1"/>
  <c r="O4041" i="1"/>
  <c r="O3977" i="1"/>
  <c r="O3945" i="1"/>
  <c r="O3897" i="1"/>
  <c r="O4969" i="1"/>
  <c r="O4953" i="1"/>
  <c r="O4873" i="1"/>
  <c r="O4857" i="1"/>
  <c r="O4817" i="1"/>
  <c r="O4801" i="1"/>
  <c r="O4673" i="1"/>
  <c r="O4633" i="1"/>
  <c r="O4593" i="1"/>
  <c r="O4569" i="1"/>
  <c r="O4553" i="1"/>
  <c r="O4497" i="1"/>
  <c r="O4481" i="1"/>
  <c r="O4433" i="1"/>
  <c r="O4385" i="1"/>
  <c r="O4305" i="1"/>
  <c r="O4009" i="1"/>
  <c r="O2729" i="1"/>
  <c r="O2121" i="1"/>
  <c r="P2121" i="1"/>
  <c r="O2113" i="1"/>
  <c r="P2113" i="1"/>
  <c r="O2089" i="1"/>
  <c r="P2089" i="1"/>
  <c r="O2065" i="1"/>
  <c r="P2065" i="1"/>
  <c r="O2017" i="1"/>
  <c r="P2017" i="1"/>
  <c r="P1953" i="1"/>
  <c r="O1953" i="1"/>
  <c r="P1945" i="1"/>
  <c r="O1945" i="1"/>
  <c r="O3545" i="1"/>
  <c r="O4985" i="1"/>
  <c r="O4937" i="1"/>
  <c r="O4913" i="1"/>
  <c r="O4897" i="1"/>
  <c r="O4881" i="1"/>
  <c r="O4841" i="1"/>
  <c r="O4777" i="1"/>
  <c r="O4705" i="1"/>
  <c r="O4641" i="1"/>
  <c r="O4601" i="1"/>
  <c r="O4529" i="1"/>
  <c r="O4465" i="1"/>
  <c r="O4377" i="1"/>
  <c r="O4281" i="1"/>
  <c r="O4257" i="1"/>
  <c r="O4225" i="1"/>
  <c r="O4193" i="1"/>
  <c r="O4169" i="1"/>
  <c r="O4145" i="1"/>
  <c r="O4129" i="1"/>
  <c r="O4113" i="1"/>
  <c r="O4081" i="1"/>
  <c r="O4049" i="1"/>
  <c r="O4001" i="1"/>
  <c r="O3985" i="1"/>
  <c r="O3953" i="1"/>
  <c r="O3889" i="1"/>
  <c r="O3865" i="1"/>
  <c r="O3801" i="1"/>
  <c r="O3665" i="1"/>
  <c r="O3409" i="1"/>
  <c r="O3313" i="1"/>
  <c r="O3233" i="1"/>
  <c r="O2833" i="1"/>
  <c r="O2625" i="1"/>
  <c r="O2593" i="1"/>
  <c r="O2545" i="1"/>
  <c r="O2329" i="1"/>
  <c r="O2201" i="1"/>
  <c r="P2001" i="1"/>
  <c r="O2129" i="1"/>
  <c r="P2129" i="1"/>
  <c r="P2081" i="1"/>
  <c r="O2081" i="1"/>
  <c r="O1969" i="1"/>
  <c r="P1969" i="1"/>
  <c r="O4977" i="1"/>
  <c r="O4961" i="1"/>
  <c r="O4945" i="1"/>
  <c r="O4905" i="1"/>
  <c r="O4889" i="1"/>
  <c r="O4849" i="1"/>
  <c r="O4833" i="1"/>
  <c r="O4809" i="1"/>
  <c r="O4793" i="1"/>
  <c r="O4761" i="1"/>
  <c r="O4745" i="1"/>
  <c r="O4697" i="1"/>
  <c r="O4681" i="1"/>
  <c r="O4609" i="1"/>
  <c r="O4585" i="1"/>
  <c r="O4505" i="1"/>
  <c r="O4449" i="1"/>
  <c r="O4425" i="1"/>
  <c r="O4393" i="1"/>
  <c r="O4361" i="1"/>
  <c r="O4337" i="1"/>
  <c r="O4321" i="1"/>
  <c r="O4289" i="1"/>
  <c r="O4273" i="1"/>
  <c r="O4249" i="1"/>
  <c r="O4233" i="1"/>
  <c r="O4217" i="1"/>
  <c r="O4177" i="1"/>
  <c r="O4137" i="1"/>
  <c r="O4121" i="1"/>
  <c r="O4105" i="1"/>
  <c r="O4089" i="1"/>
  <c r="O4065" i="1"/>
  <c r="O3937" i="1"/>
  <c r="O2473" i="1"/>
  <c r="O3721" i="1"/>
  <c r="O3609" i="1"/>
  <c r="O3577" i="1"/>
  <c r="O3505" i="1"/>
  <c r="O3473" i="1"/>
  <c r="O3449" i="1"/>
  <c r="O3393" i="1"/>
  <c r="O3289" i="1"/>
  <c r="O3169" i="1"/>
  <c r="O3057" i="1"/>
  <c r="O3001" i="1"/>
  <c r="O2985" i="1"/>
  <c r="O2905" i="1"/>
  <c r="O2865" i="1"/>
  <c r="O2737" i="1"/>
  <c r="O2617" i="1"/>
  <c r="O2537" i="1"/>
  <c r="O2489" i="1"/>
  <c r="O2465" i="1"/>
  <c r="O2417" i="1"/>
  <c r="O2305" i="1"/>
  <c r="O2257" i="1"/>
  <c r="O2225" i="1"/>
  <c r="O2193" i="1"/>
  <c r="O3793" i="1"/>
  <c r="O3777" i="1"/>
  <c r="O3761" i="1"/>
  <c r="O3705" i="1"/>
  <c r="O3673" i="1"/>
  <c r="O3657" i="1"/>
  <c r="O3617" i="1"/>
  <c r="O3601" i="1"/>
  <c r="O3585" i="1"/>
  <c r="O3553" i="1"/>
  <c r="O3513" i="1"/>
  <c r="O3481" i="1"/>
  <c r="O3457" i="1"/>
  <c r="O3377" i="1"/>
  <c r="O3353" i="1"/>
  <c r="O3321" i="1"/>
  <c r="O3305" i="1"/>
  <c r="O3281" i="1"/>
  <c r="O3249" i="1"/>
  <c r="O3201" i="1"/>
  <c r="O3185" i="1"/>
  <c r="O3153" i="1"/>
  <c r="O3121" i="1"/>
  <c r="O3105" i="1"/>
  <c r="O3065" i="1"/>
  <c r="O3049" i="1"/>
  <c r="O3009" i="1"/>
  <c r="O2993" i="1"/>
  <c r="O2977" i="1"/>
  <c r="O2953" i="1"/>
  <c r="O2897" i="1"/>
  <c r="O2873" i="1"/>
  <c r="O2857" i="1"/>
  <c r="O2801" i="1"/>
  <c r="O2785" i="1"/>
  <c r="O2745" i="1"/>
  <c r="O2713" i="1"/>
  <c r="O2689" i="1"/>
  <c r="O2673" i="1"/>
  <c r="O2601" i="1"/>
  <c r="O2585" i="1"/>
  <c r="O2513" i="1"/>
  <c r="O2497" i="1"/>
  <c r="O2457" i="1"/>
  <c r="O2425" i="1"/>
  <c r="O2409" i="1"/>
  <c r="O2345" i="1"/>
  <c r="O2297" i="1"/>
  <c r="O2281" i="1"/>
  <c r="O2217" i="1"/>
  <c r="O3769" i="1"/>
  <c r="O3713" i="1"/>
  <c r="O3593" i="1"/>
  <c r="O3529" i="1"/>
  <c r="O3385" i="1"/>
  <c r="O3273" i="1"/>
  <c r="O3193" i="1"/>
  <c r="O3129" i="1"/>
  <c r="O3081" i="1"/>
  <c r="O3033" i="1"/>
  <c r="O2969" i="1"/>
  <c r="O2945" i="1"/>
  <c r="O2921" i="1"/>
  <c r="O2809" i="1"/>
  <c r="O2753" i="1"/>
  <c r="O2721" i="1"/>
  <c r="O2481" i="1"/>
  <c r="O2433" i="1"/>
  <c r="O2385" i="1"/>
  <c r="O2337" i="1"/>
  <c r="O2289" i="1"/>
  <c r="O2209" i="1"/>
  <c r="O2169" i="1"/>
  <c r="O3785" i="1"/>
  <c r="O3737" i="1"/>
  <c r="O3633" i="1"/>
  <c r="O3521" i="1"/>
  <c r="O3489" i="1"/>
  <c r="O3345" i="1"/>
  <c r="O3297" i="1"/>
  <c r="O3137" i="1"/>
  <c r="O3089" i="1"/>
  <c r="O3025" i="1"/>
  <c r="O2961" i="1"/>
  <c r="O2929" i="1"/>
  <c r="O2817" i="1"/>
  <c r="O2793" i="1"/>
  <c r="O2769" i="1"/>
  <c r="O2705" i="1"/>
  <c r="O2681" i="1"/>
  <c r="O2657" i="1"/>
  <c r="O2609" i="1"/>
  <c r="O2561" i="1"/>
  <c r="O2521" i="1"/>
  <c r="O2393" i="1"/>
  <c r="O2353" i="1"/>
  <c r="O2321" i="1"/>
  <c r="O2273" i="1"/>
  <c r="O2233" i="1"/>
  <c r="O2177" i="1"/>
  <c r="O3729" i="1"/>
  <c r="O3697" i="1"/>
  <c r="O3641" i="1"/>
  <c r="O3497" i="1"/>
  <c r="O3417" i="1"/>
  <c r="O3225" i="1"/>
  <c r="O3177" i="1"/>
  <c r="O3097" i="1"/>
  <c r="O2881" i="1"/>
  <c r="O2849" i="1"/>
  <c r="O2761" i="1"/>
  <c r="O2697" i="1"/>
  <c r="O2633" i="1"/>
  <c r="O2449" i="1"/>
  <c r="O2401" i="1"/>
  <c r="O2361" i="1"/>
  <c r="O2265" i="1"/>
  <c r="O2241" i="1"/>
  <c r="O2185" i="1"/>
  <c r="O3745" i="1"/>
  <c r="O3681" i="1"/>
  <c r="O3649" i="1"/>
  <c r="O3625" i="1"/>
  <c r="O3537" i="1"/>
  <c r="O3425" i="1"/>
  <c r="O3401" i="1"/>
  <c r="O3361" i="1"/>
  <c r="O3329" i="1"/>
  <c r="O3265" i="1"/>
  <c r="O3241" i="1"/>
  <c r="O3217" i="1"/>
  <c r="O3161" i="1"/>
  <c r="O3073" i="1"/>
  <c r="O3041" i="1"/>
  <c r="O3017" i="1"/>
  <c r="O2937" i="1"/>
  <c r="O2889" i="1"/>
  <c r="O2777" i="1"/>
  <c r="O2665" i="1"/>
  <c r="O2641" i="1"/>
  <c r="O2577" i="1"/>
  <c r="O2553" i="1"/>
  <c r="O2505" i="1"/>
  <c r="O2377" i="1"/>
  <c r="O2313" i="1"/>
  <c r="O2249" i="1"/>
  <c r="O2161" i="1"/>
  <c r="P6" i="1"/>
  <c r="O4910" i="1"/>
  <c r="O4886" i="1"/>
  <c r="G4506" i="1"/>
  <c r="J4506" i="1" s="1"/>
  <c r="O3973" i="1"/>
  <c r="P3973" i="1"/>
  <c r="O4293" i="1"/>
  <c r="P4293" i="1"/>
  <c r="O2732" i="1"/>
  <c r="P2732" i="1"/>
  <c r="O2380" i="1"/>
  <c r="P2380" i="1"/>
  <c r="O1292" i="1"/>
  <c r="P1292" i="1"/>
  <c r="O1260" i="1"/>
  <c r="P1260" i="1"/>
  <c r="O1204" i="1"/>
  <c r="P1204" i="1"/>
  <c r="O1140" i="1"/>
  <c r="P1140" i="1"/>
  <c r="O1100" i="1"/>
  <c r="P1100" i="1"/>
  <c r="O1076" i="1"/>
  <c r="P1076" i="1"/>
  <c r="O828" i="1"/>
  <c r="P828" i="1"/>
  <c r="O524" i="1"/>
  <c r="P524" i="1"/>
  <c r="O468" i="1"/>
  <c r="P468" i="1"/>
  <c r="P4906" i="1"/>
  <c r="P4863" i="1"/>
  <c r="P4847" i="1"/>
  <c r="P4799" i="1"/>
  <c r="P4703" i="1"/>
  <c r="P4599" i="1"/>
  <c r="P4583" i="1"/>
  <c r="P4535" i="1"/>
  <c r="P4519" i="1"/>
  <c r="P4495" i="1"/>
  <c r="P4383" i="1"/>
  <c r="P4356" i="1"/>
  <c r="P4335" i="1"/>
  <c r="P4295" i="1"/>
  <c r="P4258" i="1"/>
  <c r="P4226" i="1"/>
  <c r="P4191" i="1"/>
  <c r="P4143" i="1"/>
  <c r="P4084" i="1"/>
  <c r="P4002" i="1"/>
  <c r="P3983" i="1"/>
  <c r="P3927" i="1"/>
  <c r="P3743" i="1"/>
  <c r="P3714" i="1"/>
  <c r="P3703" i="1"/>
  <c r="P3663" i="1"/>
  <c r="P3644" i="1"/>
  <c r="P3631" i="1"/>
  <c r="P3511" i="1"/>
  <c r="P3466" i="1"/>
  <c r="P3402" i="1"/>
  <c r="P3354" i="1"/>
  <c r="P3330" i="1"/>
  <c r="P3290" i="1"/>
  <c r="P3226" i="1"/>
  <c r="P3202" i="1"/>
  <c r="P3183" i="1"/>
  <c r="P3010" i="1"/>
  <c r="P2892" i="1"/>
  <c r="P2823" i="1"/>
  <c r="P2730" i="1"/>
  <c r="P2682" i="1"/>
  <c r="P2586" i="1"/>
  <c r="P2551" i="1"/>
  <c r="P2527" i="1"/>
  <c r="P2386" i="1"/>
  <c r="P2367" i="1"/>
  <c r="P2338" i="1"/>
  <c r="P2199" i="1"/>
  <c r="P2151" i="1"/>
  <c r="P2119" i="1"/>
  <c r="P1983" i="1"/>
  <c r="P1935" i="1"/>
  <c r="P1791" i="1"/>
  <c r="P1335" i="1"/>
  <c r="P516" i="1"/>
  <c r="O4859" i="1"/>
  <c r="P4859" i="1"/>
  <c r="O4795" i="1"/>
  <c r="P4795" i="1"/>
  <c r="O4603" i="1"/>
  <c r="P4603" i="1"/>
  <c r="O4539" i="1"/>
  <c r="P4539" i="1"/>
  <c r="O4419" i="1"/>
  <c r="P4419" i="1"/>
  <c r="O4371" i="1"/>
  <c r="P4371" i="1"/>
  <c r="O4259" i="1"/>
  <c r="P4259" i="1"/>
  <c r="O4243" i="1"/>
  <c r="P4243" i="1"/>
  <c r="O4203" i="1"/>
  <c r="P4203" i="1"/>
  <c r="O4187" i="1"/>
  <c r="P4187" i="1"/>
  <c r="O4075" i="1"/>
  <c r="P4075" i="1"/>
  <c r="O4067" i="1"/>
  <c r="P4067" i="1"/>
  <c r="O4148" i="1"/>
  <c r="P4148" i="1"/>
  <c r="O4100" i="1"/>
  <c r="P4100" i="1"/>
  <c r="O3964" i="1"/>
  <c r="P3964" i="1"/>
  <c r="O2844" i="1"/>
  <c r="P2844" i="1"/>
  <c r="O1324" i="1"/>
  <c r="P1324" i="1"/>
  <c r="O1020" i="1"/>
  <c r="P1020" i="1"/>
  <c r="O956" i="1"/>
  <c r="P956" i="1"/>
  <c r="O900" i="1"/>
  <c r="P900" i="1"/>
  <c r="O724" i="1"/>
  <c r="P724" i="1"/>
  <c r="O612" i="1"/>
  <c r="P612" i="1"/>
  <c r="O572" i="1"/>
  <c r="P572" i="1"/>
  <c r="O428" i="1"/>
  <c r="P428" i="1"/>
  <c r="P4967" i="1"/>
  <c r="P4783" i="1"/>
  <c r="P4639" i="1"/>
  <c r="P4455" i="1"/>
  <c r="P4311" i="1"/>
  <c r="P3679" i="1"/>
  <c r="P3615" i="1"/>
  <c r="P1228" i="1"/>
  <c r="O5002" i="1"/>
  <c r="P5002" i="1"/>
  <c r="O4834" i="1"/>
  <c r="P4834" i="1"/>
  <c r="O4810" i="1"/>
  <c r="P4810" i="1"/>
  <c r="O4714" i="1"/>
  <c r="P4714" i="1"/>
  <c r="O4642" i="1"/>
  <c r="P4642" i="1"/>
  <c r="O4594" i="1"/>
  <c r="P4594" i="1"/>
  <c r="O4554" i="1"/>
  <c r="P4554" i="1"/>
  <c r="O4458" i="1"/>
  <c r="P4458" i="1"/>
  <c r="O4410" i="1"/>
  <c r="P4410" i="1"/>
  <c r="O4338" i="1"/>
  <c r="P4338" i="1"/>
  <c r="O4234" i="1"/>
  <c r="P4234" i="1"/>
  <c r="O3610" i="1"/>
  <c r="P3610" i="1"/>
  <c r="O3434" i="1"/>
  <c r="P3434" i="1"/>
  <c r="O3338" i="1"/>
  <c r="P3338" i="1"/>
  <c r="O3266" i="1"/>
  <c r="P3266" i="1"/>
  <c r="O3178" i="1"/>
  <c r="P3178" i="1"/>
  <c r="O3162" i="1"/>
  <c r="P3162" i="1"/>
  <c r="O3138" i="1"/>
  <c r="P3138" i="1"/>
  <c r="O3058" i="1"/>
  <c r="P3058" i="1"/>
  <c r="O2986" i="1"/>
  <c r="P2986" i="1"/>
  <c r="O2954" i="1"/>
  <c r="P2954" i="1"/>
  <c r="O2922" i="1"/>
  <c r="P2922" i="1"/>
  <c r="O2906" i="1"/>
  <c r="P2906" i="1"/>
  <c r="O2882" i="1"/>
  <c r="P2882" i="1"/>
  <c r="O2858" i="1"/>
  <c r="P2858" i="1"/>
  <c r="O2842" i="1"/>
  <c r="P2842" i="1"/>
  <c r="O2826" i="1"/>
  <c r="P2826" i="1"/>
  <c r="O2778" i="1"/>
  <c r="P2778" i="1"/>
  <c r="O2770" i="1"/>
  <c r="P2770" i="1"/>
  <c r="O2762" i="1"/>
  <c r="P2762" i="1"/>
  <c r="O2754" i="1"/>
  <c r="P2754" i="1"/>
  <c r="O2738" i="1"/>
  <c r="P2738" i="1"/>
  <c r="O2714" i="1"/>
  <c r="P2714" i="1"/>
  <c r="O2650" i="1"/>
  <c r="P2650" i="1"/>
  <c r="O2642" i="1"/>
  <c r="P2642" i="1"/>
  <c r="O2610" i="1"/>
  <c r="P2610" i="1"/>
  <c r="O2594" i="1"/>
  <c r="P2594" i="1"/>
  <c r="O2578" i="1"/>
  <c r="P2578" i="1"/>
  <c r="O2562" i="1"/>
  <c r="P2562" i="1"/>
  <c r="O2522" i="1"/>
  <c r="P2522" i="1"/>
  <c r="O2482" i="1"/>
  <c r="P2482" i="1"/>
  <c r="O2458" i="1"/>
  <c r="P2458" i="1"/>
  <c r="O2442" i="1"/>
  <c r="P2442" i="1"/>
  <c r="O2410" i="1"/>
  <c r="P2410" i="1"/>
  <c r="O2402" i="1"/>
  <c r="P2402" i="1"/>
  <c r="O2330" i="1"/>
  <c r="P2330" i="1"/>
  <c r="O2306" i="1"/>
  <c r="P2306" i="1"/>
  <c r="O2298" i="1"/>
  <c r="P2298" i="1"/>
  <c r="O2274" i="1"/>
  <c r="P2274" i="1"/>
  <c r="O2258" i="1"/>
  <c r="P2258" i="1"/>
  <c r="O2186" i="1"/>
  <c r="P2186" i="1"/>
  <c r="O2178" i="1"/>
  <c r="P2178" i="1"/>
  <c r="O2170" i="1"/>
  <c r="P2170" i="1"/>
  <c r="O2162" i="1"/>
  <c r="P2162" i="1"/>
  <c r="O2154" i="1"/>
  <c r="P2154" i="1"/>
  <c r="O2146" i="1"/>
  <c r="P2146" i="1"/>
  <c r="O2138" i="1"/>
  <c r="P2138" i="1"/>
  <c r="O2122" i="1"/>
  <c r="P2122" i="1"/>
  <c r="O2114" i="1"/>
  <c r="P2114" i="1"/>
  <c r="O2082" i="1"/>
  <c r="P2082" i="1"/>
  <c r="O2074" i="1"/>
  <c r="P2074" i="1"/>
  <c r="O2058" i="1"/>
  <c r="P2058" i="1"/>
  <c r="O2042" i="1"/>
  <c r="P2042" i="1"/>
  <c r="O2034" i="1"/>
  <c r="P2034" i="1"/>
  <c r="O2026" i="1"/>
  <c r="P2026" i="1"/>
  <c r="O2010" i="1"/>
  <c r="P2010" i="1"/>
  <c r="O1994" i="1"/>
  <c r="P1994" i="1"/>
  <c r="O1978" i="1"/>
  <c r="P1978" i="1"/>
  <c r="O1970" i="1"/>
  <c r="P1970" i="1"/>
  <c r="O1962" i="1"/>
  <c r="P1962" i="1"/>
  <c r="O1954" i="1"/>
  <c r="P1954" i="1"/>
  <c r="O1930" i="1"/>
  <c r="P1930" i="1"/>
  <c r="O1922" i="1"/>
  <c r="P1922" i="1"/>
  <c r="O1906" i="1"/>
  <c r="P1906" i="1"/>
  <c r="O1898" i="1"/>
  <c r="P1898" i="1"/>
  <c r="O1882" i="1"/>
  <c r="P1882" i="1"/>
  <c r="O1850" i="1"/>
  <c r="P1850" i="1"/>
  <c r="O1842" i="1"/>
  <c r="P1842" i="1"/>
  <c r="O1834" i="1"/>
  <c r="P1834" i="1"/>
  <c r="O1826" i="1"/>
  <c r="P1826" i="1"/>
  <c r="O1802" i="1"/>
  <c r="P1802" i="1"/>
  <c r="O1794" i="1"/>
  <c r="P1794" i="1"/>
  <c r="O1786" i="1"/>
  <c r="P1786" i="1"/>
  <c r="O1778" i="1"/>
  <c r="P1778" i="1"/>
  <c r="O1754" i="1"/>
  <c r="P1754" i="1"/>
  <c r="O1746" i="1"/>
  <c r="P1746" i="1"/>
  <c r="O1730" i="1"/>
  <c r="P1730" i="1"/>
  <c r="O1722" i="1"/>
  <c r="P1722" i="1"/>
  <c r="O1706" i="1"/>
  <c r="P1706" i="1"/>
  <c r="O1682" i="1"/>
  <c r="P1682" i="1"/>
  <c r="O1666" i="1"/>
  <c r="P1666" i="1"/>
  <c r="O1642" i="1"/>
  <c r="P1642" i="1"/>
  <c r="O1626" i="1"/>
  <c r="P1626" i="1"/>
  <c r="O1610" i="1"/>
  <c r="P1610" i="1"/>
  <c r="O1602" i="1"/>
  <c r="P1602" i="1"/>
  <c r="O1594" i="1"/>
  <c r="P1594" i="1"/>
  <c r="O1586" i="1"/>
  <c r="P1586" i="1"/>
  <c r="O1578" i="1"/>
  <c r="P1578" i="1"/>
  <c r="O1562" i="1"/>
  <c r="P1562" i="1"/>
  <c r="O1554" i="1"/>
  <c r="P1554" i="1"/>
  <c r="O1546" i="1"/>
  <c r="P1546" i="1"/>
  <c r="O1530" i="1"/>
  <c r="P1530" i="1"/>
  <c r="O1522" i="1"/>
  <c r="P1522" i="1"/>
  <c r="O1514" i="1"/>
  <c r="P1514" i="1"/>
  <c r="O1506" i="1"/>
  <c r="P1506" i="1"/>
  <c r="O1498" i="1"/>
  <c r="P1498" i="1"/>
  <c r="O1482" i="1"/>
  <c r="P1482" i="1"/>
  <c r="O1466" i="1"/>
  <c r="P1466" i="1"/>
  <c r="O1450" i="1"/>
  <c r="P1450" i="1"/>
  <c r="O1426" i="1"/>
  <c r="P1426" i="1"/>
  <c r="O1410" i="1"/>
  <c r="P1410" i="1"/>
  <c r="O1402" i="1"/>
  <c r="P1402" i="1"/>
  <c r="O1378" i="1"/>
  <c r="P1378" i="1"/>
  <c r="O1370" i="1"/>
  <c r="P1370" i="1"/>
  <c r="O1354" i="1"/>
  <c r="P1354" i="1"/>
  <c r="O1322" i="1"/>
  <c r="P1322" i="1"/>
  <c r="O1298" i="1"/>
  <c r="P1298" i="1"/>
  <c r="O1290" i="1"/>
  <c r="P1290" i="1"/>
  <c r="O1274" i="1"/>
  <c r="P1274" i="1"/>
  <c r="O1258" i="1"/>
  <c r="P1258" i="1"/>
  <c r="O1242" i="1"/>
  <c r="P1242" i="1"/>
  <c r="O1226" i="1"/>
  <c r="P1226" i="1"/>
  <c r="O1210" i="1"/>
  <c r="P1210" i="1"/>
  <c r="O1202" i="1"/>
  <c r="P1202" i="1"/>
  <c r="O1178" i="1"/>
  <c r="P1178" i="1"/>
  <c r="O1170" i="1"/>
  <c r="P1170" i="1"/>
  <c r="O1162" i="1"/>
  <c r="P1162" i="1"/>
  <c r="O1146" i="1"/>
  <c r="P1146" i="1"/>
  <c r="O1130" i="1"/>
  <c r="P1130" i="1"/>
  <c r="O1114" i="1"/>
  <c r="P1114" i="1"/>
  <c r="O1106" i="1"/>
  <c r="P1106" i="1"/>
  <c r="O1090" i="1"/>
  <c r="P1090" i="1"/>
  <c r="O1074" i="1"/>
  <c r="P1074" i="1"/>
  <c r="O1058" i="1"/>
  <c r="P1058" i="1"/>
  <c r="O1034" i="1"/>
  <c r="P1034" i="1"/>
  <c r="O1026" i="1"/>
  <c r="P1026" i="1"/>
  <c r="O1002" i="1"/>
  <c r="P1002" i="1"/>
  <c r="O994" i="1"/>
  <c r="P994" i="1"/>
  <c r="O986" i="1"/>
  <c r="P986" i="1"/>
  <c r="O970" i="1"/>
  <c r="P970" i="1"/>
  <c r="O954" i="1"/>
  <c r="P954" i="1"/>
  <c r="O946" i="1"/>
  <c r="P946" i="1"/>
  <c r="O930" i="1"/>
  <c r="P930" i="1"/>
  <c r="O922" i="1"/>
  <c r="P922" i="1"/>
  <c r="O906" i="1"/>
  <c r="P906" i="1"/>
  <c r="O890" i="1"/>
  <c r="P890" i="1"/>
  <c r="O882" i="1"/>
  <c r="P882" i="1"/>
  <c r="O874" i="1"/>
  <c r="P874" i="1"/>
  <c r="O858" i="1"/>
  <c r="P858" i="1"/>
  <c r="O850" i="1"/>
  <c r="P850" i="1"/>
  <c r="O842" i="1"/>
  <c r="P842" i="1"/>
  <c r="O810" i="1"/>
  <c r="P810" i="1"/>
  <c r="O794" i="1"/>
  <c r="P794" i="1"/>
  <c r="O770" i="1"/>
  <c r="P770" i="1"/>
  <c r="O762" i="1"/>
  <c r="P762" i="1"/>
  <c r="O754" i="1"/>
  <c r="P754" i="1"/>
  <c r="O722" i="1"/>
  <c r="P722" i="1"/>
  <c r="O706" i="1"/>
  <c r="P706" i="1"/>
  <c r="O690" i="1"/>
  <c r="P690" i="1"/>
  <c r="O674" i="1"/>
  <c r="P674" i="1"/>
  <c r="O658" i="1"/>
  <c r="P658" i="1"/>
  <c r="O650" i="1"/>
  <c r="P650" i="1"/>
  <c r="O634" i="1"/>
  <c r="P634" i="1"/>
  <c r="O626" i="1"/>
  <c r="P626" i="1"/>
  <c r="O618" i="1"/>
  <c r="P618" i="1"/>
  <c r="O602" i="1"/>
  <c r="P602" i="1"/>
  <c r="O586" i="1"/>
  <c r="P586" i="1"/>
  <c r="O570" i="1"/>
  <c r="P570" i="1"/>
  <c r="O562" i="1"/>
  <c r="P562" i="1"/>
  <c r="O554" i="1"/>
  <c r="P554" i="1"/>
  <c r="O546" i="1"/>
  <c r="P546" i="1"/>
  <c r="O538" i="1"/>
  <c r="P538" i="1"/>
  <c r="O506" i="1"/>
  <c r="P506" i="1"/>
  <c r="O498" i="1"/>
  <c r="P498" i="1"/>
  <c r="O482" i="1"/>
  <c r="P482" i="1"/>
  <c r="O458" i="1"/>
  <c r="P458" i="1"/>
  <c r="O442" i="1"/>
  <c r="P442" i="1"/>
  <c r="O394" i="1"/>
  <c r="P394" i="1"/>
  <c r="O362" i="1"/>
  <c r="P362" i="1"/>
  <c r="O346" i="1"/>
  <c r="P346" i="1"/>
  <c r="O338" i="1"/>
  <c r="P338" i="1"/>
  <c r="O330" i="1"/>
  <c r="P330" i="1"/>
  <c r="O322" i="1"/>
  <c r="P322" i="1"/>
  <c r="O4156" i="1"/>
  <c r="P4156" i="1"/>
  <c r="O3900" i="1"/>
  <c r="P3900" i="1"/>
  <c r="O2788" i="1"/>
  <c r="P2788" i="1"/>
  <c r="O2548" i="1"/>
  <c r="P2548" i="1"/>
  <c r="O2388" i="1"/>
  <c r="P2388" i="1"/>
  <c r="O2332" i="1"/>
  <c r="P2332" i="1"/>
  <c r="O1332" i="1"/>
  <c r="P1332" i="1"/>
  <c r="O1156" i="1"/>
  <c r="P1156" i="1"/>
  <c r="O1092" i="1"/>
  <c r="P1092" i="1"/>
  <c r="O892" i="1"/>
  <c r="P892" i="1"/>
  <c r="O604" i="1"/>
  <c r="P604" i="1"/>
  <c r="O420" i="1"/>
  <c r="P420" i="1"/>
  <c r="P4735" i="1"/>
  <c r="P4615" i="1"/>
  <c r="P4551" i="1"/>
  <c r="P4415" i="1"/>
  <c r="P4292" i="1"/>
  <c r="P4207" i="1"/>
  <c r="P3903" i="1"/>
  <c r="P3783" i="1"/>
  <c r="P3767" i="1"/>
  <c r="P2957" i="1"/>
  <c r="P1028" i="1"/>
  <c r="P684" i="1"/>
  <c r="O4914" i="1"/>
  <c r="P4914" i="1"/>
  <c r="O4898" i="1"/>
  <c r="P4898" i="1"/>
  <c r="O4850" i="1"/>
  <c r="P4850" i="1"/>
  <c r="O4778" i="1"/>
  <c r="P4778" i="1"/>
  <c r="O4658" i="1"/>
  <c r="P4658" i="1"/>
  <c r="O4490" i="1"/>
  <c r="P4490" i="1"/>
  <c r="O4354" i="1"/>
  <c r="P4354" i="1"/>
  <c r="O4290" i="1"/>
  <c r="P4290" i="1"/>
  <c r="O4170" i="1"/>
  <c r="P4170" i="1"/>
  <c r="O4122" i="1"/>
  <c r="P4122" i="1"/>
  <c r="O4106" i="1"/>
  <c r="P4106" i="1"/>
  <c r="O4010" i="1"/>
  <c r="P4010" i="1"/>
  <c r="O3994" i="1"/>
  <c r="P3994" i="1"/>
  <c r="O3866" i="1"/>
  <c r="P3866" i="1"/>
  <c r="O3850" i="1"/>
  <c r="P3850" i="1"/>
  <c r="O3666" i="1"/>
  <c r="P3666" i="1"/>
  <c r="O3522" i="1"/>
  <c r="P3522" i="1"/>
  <c r="O3498" i="1"/>
  <c r="P3498" i="1"/>
  <c r="O3482" i="1"/>
  <c r="P3482" i="1"/>
  <c r="O3410" i="1"/>
  <c r="P3410" i="1"/>
  <c r="O3210" i="1"/>
  <c r="P3210" i="1"/>
  <c r="O3114" i="1"/>
  <c r="P3114" i="1"/>
  <c r="O3090" i="1"/>
  <c r="P3090" i="1"/>
  <c r="O3066" i="1"/>
  <c r="P3066" i="1"/>
  <c r="O3050" i="1"/>
  <c r="P3050" i="1"/>
  <c r="O3026" i="1"/>
  <c r="P3026" i="1"/>
  <c r="O2946" i="1"/>
  <c r="P2946" i="1"/>
  <c r="O2898" i="1"/>
  <c r="P2898" i="1"/>
  <c r="O2234" i="1"/>
  <c r="P2234" i="1"/>
  <c r="P4979" i="1"/>
  <c r="P4962" i="1"/>
  <c r="P4939" i="1"/>
  <c r="P4875" i="1"/>
  <c r="P4759" i="1"/>
  <c r="P4731" i="1"/>
  <c r="P4719" i="1"/>
  <c r="P4634" i="1"/>
  <c r="P4570" i="1"/>
  <c r="P4530" i="1"/>
  <c r="P4467" i="1"/>
  <c r="P4450" i="1"/>
  <c r="P4427" i="1"/>
  <c r="P4412" i="1"/>
  <c r="P4394" i="1"/>
  <c r="P4375" i="1"/>
  <c r="P4274" i="1"/>
  <c r="P4239" i="1"/>
  <c r="P4202" i="1"/>
  <c r="P4114" i="1"/>
  <c r="P4063" i="1"/>
  <c r="P4039" i="1"/>
  <c r="P3972" i="1"/>
  <c r="P3956" i="1"/>
  <c r="P3943" i="1"/>
  <c r="P3919" i="1"/>
  <c r="P3879" i="1"/>
  <c r="P3863" i="1"/>
  <c r="P3839" i="1"/>
  <c r="P3799" i="1"/>
  <c r="P3762" i="1"/>
  <c r="P3695" i="1"/>
  <c r="P3676" i="1"/>
  <c r="P3642" i="1"/>
  <c r="P3626" i="1"/>
  <c r="P3591" i="1"/>
  <c r="P3463" i="1"/>
  <c r="P3423" i="1"/>
  <c r="P3394" i="1"/>
  <c r="P3375" i="1"/>
  <c r="P3351" i="1"/>
  <c r="P3327" i="1"/>
  <c r="P3306" i="1"/>
  <c r="P3127" i="1"/>
  <c r="P3071" i="1"/>
  <c r="P2978" i="1"/>
  <c r="P2935" i="1"/>
  <c r="P2839" i="1"/>
  <c r="P2815" i="1"/>
  <c r="P2791" i="1"/>
  <c r="P2698" i="1"/>
  <c r="P2674" i="1"/>
  <c r="P2583" i="1"/>
  <c r="P2434" i="1"/>
  <c r="P2415" i="1"/>
  <c r="P2311" i="1"/>
  <c r="P2247" i="1"/>
  <c r="P2143" i="1"/>
  <c r="P1999" i="1"/>
  <c r="P1810" i="1"/>
  <c r="P1714" i="1"/>
  <c r="P1690" i="1"/>
  <c r="P1639" i="1"/>
  <c r="P1615" i="1"/>
  <c r="P1551" i="1"/>
  <c r="P1415" i="1"/>
  <c r="P1135" i="1"/>
  <c r="P1068" i="1"/>
  <c r="P967" i="1"/>
  <c r="P951" i="1"/>
  <c r="P895" i="1"/>
  <c r="P855" i="1"/>
  <c r="P682" i="1"/>
  <c r="P663" i="1"/>
  <c r="P594" i="1"/>
  <c r="P575" i="1"/>
  <c r="P514" i="1"/>
  <c r="P495" i="1"/>
  <c r="P476" i="1"/>
  <c r="P460" i="1"/>
  <c r="P426" i="1"/>
  <c r="P370" i="1"/>
  <c r="P351" i="1"/>
  <c r="P271" i="1"/>
  <c r="P247" i="1"/>
  <c r="O3965" i="1"/>
  <c r="P3965" i="1"/>
  <c r="O4036" i="1"/>
  <c r="P4036" i="1"/>
  <c r="O2436" i="1"/>
  <c r="P2436" i="1"/>
  <c r="O2372" i="1"/>
  <c r="P2372" i="1"/>
  <c r="O1340" i="1"/>
  <c r="P1340" i="1"/>
  <c r="O1276" i="1"/>
  <c r="P1276" i="1"/>
  <c r="O1220" i="1"/>
  <c r="P1220" i="1"/>
  <c r="O1196" i="1"/>
  <c r="P1196" i="1"/>
  <c r="O1164" i="1"/>
  <c r="P1164" i="1"/>
  <c r="O1132" i="1"/>
  <c r="P1132" i="1"/>
  <c r="O1036" i="1"/>
  <c r="P1036" i="1"/>
  <c r="O1012" i="1"/>
  <c r="P1012" i="1"/>
  <c r="O972" i="1"/>
  <c r="P972" i="1"/>
  <c r="O940" i="1"/>
  <c r="P940" i="1"/>
  <c r="O876" i="1"/>
  <c r="P876" i="1"/>
  <c r="O660" i="1"/>
  <c r="P660" i="1"/>
  <c r="O556" i="1"/>
  <c r="P556" i="1"/>
  <c r="P4943" i="1"/>
  <c r="P4823" i="1"/>
  <c r="P4431" i="1"/>
  <c r="P4276" i="1"/>
  <c r="P4175" i="1"/>
  <c r="P3959" i="1"/>
  <c r="P3740" i="1"/>
  <c r="P3535" i="1"/>
  <c r="O4970" i="1"/>
  <c r="P4970" i="1"/>
  <c r="O4746" i="1"/>
  <c r="P4746" i="1"/>
  <c r="O4578" i="1"/>
  <c r="P4578" i="1"/>
  <c r="O4522" i="1"/>
  <c r="P4522" i="1"/>
  <c r="O4146" i="1"/>
  <c r="P4146" i="1"/>
  <c r="O4130" i="1"/>
  <c r="P4130" i="1"/>
  <c r="O4090" i="1"/>
  <c r="P4090" i="1"/>
  <c r="O4066" i="1"/>
  <c r="P4066" i="1"/>
  <c r="O4050" i="1"/>
  <c r="P4050" i="1"/>
  <c r="O4018" i="1"/>
  <c r="P4018" i="1"/>
  <c r="O3986" i="1"/>
  <c r="P3986" i="1"/>
  <c r="O3946" i="1"/>
  <c r="P3946" i="1"/>
  <c r="O3914" i="1"/>
  <c r="P3914" i="1"/>
  <c r="O3826" i="1"/>
  <c r="P3826" i="1"/>
  <c r="O3810" i="1"/>
  <c r="P3810" i="1"/>
  <c r="O3802" i="1"/>
  <c r="P3802" i="1"/>
  <c r="O3786" i="1"/>
  <c r="P3786" i="1"/>
  <c r="O3754" i="1"/>
  <c r="P3754" i="1"/>
  <c r="O3738" i="1"/>
  <c r="P3738" i="1"/>
  <c r="O3730" i="1"/>
  <c r="P3730" i="1"/>
  <c r="O3650" i="1"/>
  <c r="P3650" i="1"/>
  <c r="O3554" i="1"/>
  <c r="P3554" i="1"/>
  <c r="O3538" i="1"/>
  <c r="P3538" i="1"/>
  <c r="O3418" i="1"/>
  <c r="P3418" i="1"/>
  <c r="O3370" i="1"/>
  <c r="P3370" i="1"/>
  <c r="O3298" i="1"/>
  <c r="P3298" i="1"/>
  <c r="O3282" i="1"/>
  <c r="P3282" i="1"/>
  <c r="O3218" i="1"/>
  <c r="P3218" i="1"/>
  <c r="O3146" i="1"/>
  <c r="P3146" i="1"/>
  <c r="O3098" i="1"/>
  <c r="P3098" i="1"/>
  <c r="O3074" i="1"/>
  <c r="P3074" i="1"/>
  <c r="O3018" i="1"/>
  <c r="P3018" i="1"/>
  <c r="O3002" i="1"/>
  <c r="P3002" i="1"/>
  <c r="O2242" i="1"/>
  <c r="P2242" i="1"/>
  <c r="P4978" i="1"/>
  <c r="P4938" i="1"/>
  <c r="P4903" i="1"/>
  <c r="P4874" i="1"/>
  <c r="P4811" i="1"/>
  <c r="P4730" i="1"/>
  <c r="P4671" i="1"/>
  <c r="P4655" i="1"/>
  <c r="P4506" i="1"/>
  <c r="P4466" i="1"/>
  <c r="P4426" i="1"/>
  <c r="P4370" i="1"/>
  <c r="P4351" i="1"/>
  <c r="P4287" i="1"/>
  <c r="P4255" i="1"/>
  <c r="P4220" i="1"/>
  <c r="P4079" i="1"/>
  <c r="P4058" i="1"/>
  <c r="P3999" i="1"/>
  <c r="P3970" i="1"/>
  <c r="P3938" i="1"/>
  <c r="P3895" i="1"/>
  <c r="P3874" i="1"/>
  <c r="P3858" i="1"/>
  <c r="P3778" i="1"/>
  <c r="P3735" i="1"/>
  <c r="P3711" i="1"/>
  <c r="P3655" i="1"/>
  <c r="P3567" i="1"/>
  <c r="P3551" i="1"/>
  <c r="P3527" i="1"/>
  <c r="P3458" i="1"/>
  <c r="P3439" i="1"/>
  <c r="P3346" i="1"/>
  <c r="P3287" i="1"/>
  <c r="P3255" i="1"/>
  <c r="P3234" i="1"/>
  <c r="P3223" i="1"/>
  <c r="P2911" i="1"/>
  <c r="P2834" i="1"/>
  <c r="P2786" i="1"/>
  <c r="P2727" i="1"/>
  <c r="P2644" i="1"/>
  <c r="P2607" i="1"/>
  <c r="P2580" i="1"/>
  <c r="P2540" i="1"/>
  <c r="P2484" i="1"/>
  <c r="P2383" i="1"/>
  <c r="P2210" i="1"/>
  <c r="P2191" i="1"/>
  <c r="P2106" i="1"/>
  <c r="P1946" i="1"/>
  <c r="P1890" i="1"/>
  <c r="P1858" i="1"/>
  <c r="P1839" i="1"/>
  <c r="P1738" i="1"/>
  <c r="P1658" i="1"/>
  <c r="P1634" i="1"/>
  <c r="P1439" i="1"/>
  <c r="P1346" i="1"/>
  <c r="P1327" i="1"/>
  <c r="P1175" i="1"/>
  <c r="P1151" i="1"/>
  <c r="P1066" i="1"/>
  <c r="P1042" i="1"/>
  <c r="P1004" i="1"/>
  <c r="P964" i="1"/>
  <c r="P948" i="1"/>
  <c r="P908" i="1"/>
  <c r="P871" i="1"/>
  <c r="P786" i="1"/>
  <c r="P703" i="1"/>
  <c r="P639" i="1"/>
  <c r="P615" i="1"/>
  <c r="P551" i="1"/>
  <c r="P490" i="1"/>
  <c r="P474" i="1"/>
  <c r="P287" i="1"/>
  <c r="P231" i="1"/>
  <c r="O4020" i="1"/>
  <c r="P4020" i="1"/>
  <c r="O620" i="1"/>
  <c r="P620" i="1"/>
  <c r="P2884" i="1"/>
  <c r="O4999" i="1"/>
  <c r="P4999" i="1"/>
  <c r="O4983" i="1"/>
  <c r="P4983" i="1"/>
  <c r="O4951" i="1"/>
  <c r="P4951" i="1"/>
  <c r="O4935" i="1"/>
  <c r="P4935" i="1"/>
  <c r="O4919" i="1"/>
  <c r="P4919" i="1"/>
  <c r="O4887" i="1"/>
  <c r="P4887" i="1"/>
  <c r="O4879" i="1"/>
  <c r="P4879" i="1"/>
  <c r="O4831" i="1"/>
  <c r="P4831" i="1"/>
  <c r="O4815" i="1"/>
  <c r="P4815" i="1"/>
  <c r="O4743" i="1"/>
  <c r="P4743" i="1"/>
  <c r="O4727" i="1"/>
  <c r="P4727" i="1"/>
  <c r="O4695" i="1"/>
  <c r="P4695" i="1"/>
  <c r="O4679" i="1"/>
  <c r="P4679" i="1"/>
  <c r="O4623" i="1"/>
  <c r="P4623" i="1"/>
  <c r="O4575" i="1"/>
  <c r="P4575" i="1"/>
  <c r="O4559" i="1"/>
  <c r="P4559" i="1"/>
  <c r="O4487" i="1"/>
  <c r="P4487" i="1"/>
  <c r="O4471" i="1"/>
  <c r="P4471" i="1"/>
  <c r="O4439" i="1"/>
  <c r="P4439" i="1"/>
  <c r="O4423" i="1"/>
  <c r="P4423" i="1"/>
  <c r="O4223" i="1"/>
  <c r="P4223" i="1"/>
  <c r="O4135" i="1"/>
  <c r="P4135" i="1"/>
  <c r="O4119" i="1"/>
  <c r="P4119" i="1"/>
  <c r="O4095" i="1"/>
  <c r="P4095" i="1"/>
  <c r="O4023" i="1"/>
  <c r="P4023" i="1"/>
  <c r="O4007" i="1"/>
  <c r="P4007" i="1"/>
  <c r="O3935" i="1"/>
  <c r="P3935" i="1"/>
  <c r="O3847" i="1"/>
  <c r="P3847" i="1"/>
  <c r="O3775" i="1"/>
  <c r="P3775" i="1"/>
  <c r="O3719" i="1"/>
  <c r="P3719" i="1"/>
  <c r="O3687" i="1"/>
  <c r="P3687" i="1"/>
  <c r="O3503" i="1"/>
  <c r="P3503" i="1"/>
  <c r="O3487" i="1"/>
  <c r="P3487" i="1"/>
  <c r="O3471" i="1"/>
  <c r="P3471" i="1"/>
  <c r="O3263" i="1"/>
  <c r="P3263" i="1"/>
  <c r="O3247" i="1"/>
  <c r="P3247" i="1"/>
  <c r="O3199" i="1"/>
  <c r="P3199" i="1"/>
  <c r="O3167" i="1"/>
  <c r="P3167" i="1"/>
  <c r="O3111" i="1"/>
  <c r="P3111" i="1"/>
  <c r="O3095" i="1"/>
  <c r="P3095" i="1"/>
  <c r="O3079" i="1"/>
  <c r="P3079" i="1"/>
  <c r="O3047" i="1"/>
  <c r="P3047" i="1"/>
  <c r="O3031" i="1"/>
  <c r="P3031" i="1"/>
  <c r="O2983" i="1"/>
  <c r="P2983" i="1"/>
  <c r="O2967" i="1"/>
  <c r="P2967" i="1"/>
  <c r="O2951" i="1"/>
  <c r="P2951" i="1"/>
  <c r="O2919" i="1"/>
  <c r="P2919" i="1"/>
  <c r="O2903" i="1"/>
  <c r="P2903" i="1"/>
  <c r="O2887" i="1"/>
  <c r="P2887" i="1"/>
  <c r="O2855" i="1"/>
  <c r="P2855" i="1"/>
  <c r="O2807" i="1"/>
  <c r="P2807" i="1"/>
  <c r="O2799" i="1"/>
  <c r="P2799" i="1"/>
  <c r="O2783" i="1"/>
  <c r="P2783" i="1"/>
  <c r="O2767" i="1"/>
  <c r="P2767" i="1"/>
  <c r="O2735" i="1"/>
  <c r="P2735" i="1"/>
  <c r="O2719" i="1"/>
  <c r="P2719" i="1"/>
  <c r="O2671" i="1"/>
  <c r="P2671" i="1"/>
  <c r="O2639" i="1"/>
  <c r="P2639" i="1"/>
  <c r="O2623" i="1"/>
  <c r="P2623" i="1"/>
  <c r="O2591" i="1"/>
  <c r="P2591" i="1"/>
  <c r="O2575" i="1"/>
  <c r="P2575" i="1"/>
  <c r="O2567" i="1"/>
  <c r="P2567" i="1"/>
  <c r="O2519" i="1"/>
  <c r="P2519" i="1"/>
  <c r="O2503" i="1"/>
  <c r="P2503" i="1"/>
  <c r="O2487" i="1"/>
  <c r="P2487" i="1"/>
  <c r="O2471" i="1"/>
  <c r="P2471" i="1"/>
  <c r="O2423" i="1"/>
  <c r="P2423" i="1"/>
  <c r="O2407" i="1"/>
  <c r="P2407" i="1"/>
  <c r="O2391" i="1"/>
  <c r="P2391" i="1"/>
  <c r="O2375" i="1"/>
  <c r="P2375" i="1"/>
  <c r="O2359" i="1"/>
  <c r="P2359" i="1"/>
  <c r="O2327" i="1"/>
  <c r="P2327" i="1"/>
  <c r="O2319" i="1"/>
  <c r="P2319" i="1"/>
  <c r="O2295" i="1"/>
  <c r="P2295" i="1"/>
  <c r="O2287" i="1"/>
  <c r="P2287" i="1"/>
  <c r="O2279" i="1"/>
  <c r="P2279" i="1"/>
  <c r="O2271" i="1"/>
  <c r="P2271" i="1"/>
  <c r="O2255" i="1"/>
  <c r="P2255" i="1"/>
  <c r="O2239" i="1"/>
  <c r="P2239" i="1"/>
  <c r="O2231" i="1"/>
  <c r="P2231" i="1"/>
  <c r="O2215" i="1"/>
  <c r="P2215" i="1"/>
  <c r="O2207" i="1"/>
  <c r="P2207" i="1"/>
  <c r="O2175" i="1"/>
  <c r="P2175" i="1"/>
  <c r="O2167" i="1"/>
  <c r="P2167" i="1"/>
  <c r="O2135" i="1"/>
  <c r="P2135" i="1"/>
  <c r="O2111" i="1"/>
  <c r="P2111" i="1"/>
  <c r="O2103" i="1"/>
  <c r="P2103" i="1"/>
  <c r="O2095" i="1"/>
  <c r="P2095" i="1"/>
  <c r="O2087" i="1"/>
  <c r="P2087" i="1"/>
  <c r="O2079" i="1"/>
  <c r="P2079" i="1"/>
  <c r="O2063" i="1"/>
  <c r="P2063" i="1"/>
  <c r="O2055" i="1"/>
  <c r="P2055" i="1"/>
  <c r="O2031" i="1"/>
  <c r="P2031" i="1"/>
  <c r="O2015" i="1"/>
  <c r="P2015" i="1"/>
  <c r="O2007" i="1"/>
  <c r="P2007" i="1"/>
  <c r="O1991" i="1"/>
  <c r="P1991" i="1"/>
  <c r="O1975" i="1"/>
  <c r="P1975" i="1"/>
  <c r="O1943" i="1"/>
  <c r="P1943" i="1"/>
  <c r="O1927" i="1"/>
  <c r="P1927" i="1"/>
  <c r="O1895" i="1"/>
  <c r="P1895" i="1"/>
  <c r="O1879" i="1"/>
  <c r="P1879" i="1"/>
  <c r="O1863" i="1"/>
  <c r="P1863" i="1"/>
  <c r="O1847" i="1"/>
  <c r="P1847" i="1"/>
  <c r="O1831" i="1"/>
  <c r="P1831" i="1"/>
  <c r="O1815" i="1"/>
  <c r="P1815" i="1"/>
  <c r="O1783" i="1"/>
  <c r="P1783" i="1"/>
  <c r="O1767" i="1"/>
  <c r="P1767" i="1"/>
  <c r="O1751" i="1"/>
  <c r="P1751" i="1"/>
  <c r="O1719" i="1"/>
  <c r="P1719" i="1"/>
  <c r="O1703" i="1"/>
  <c r="P1703" i="1"/>
  <c r="O1687" i="1"/>
  <c r="P1687" i="1"/>
  <c r="O1671" i="1"/>
  <c r="P1671" i="1"/>
  <c r="O1647" i="1"/>
  <c r="P1647" i="1"/>
  <c r="O1599" i="1"/>
  <c r="P1599" i="1"/>
  <c r="O1583" i="1"/>
  <c r="P1583" i="1"/>
  <c r="O1559" i="1"/>
  <c r="P1559" i="1"/>
  <c r="O1543" i="1"/>
  <c r="P1543" i="1"/>
  <c r="O1535" i="1"/>
  <c r="P1535" i="1"/>
  <c r="O1527" i="1"/>
  <c r="P1527" i="1"/>
  <c r="O1511" i="1"/>
  <c r="P1511" i="1"/>
  <c r="O1503" i="1"/>
  <c r="P1503" i="1"/>
  <c r="O1487" i="1"/>
  <c r="P1487" i="1"/>
  <c r="O1471" i="1"/>
  <c r="P1471" i="1"/>
  <c r="O1455" i="1"/>
  <c r="P1455" i="1"/>
  <c r="O1447" i="1"/>
  <c r="P1447" i="1"/>
  <c r="O1431" i="1"/>
  <c r="P1431" i="1"/>
  <c r="O1423" i="1"/>
  <c r="P1423" i="1"/>
  <c r="O1407" i="1"/>
  <c r="P1407" i="1"/>
  <c r="O1399" i="1"/>
  <c r="P1399" i="1"/>
  <c r="O1391" i="1"/>
  <c r="P1391" i="1"/>
  <c r="O1383" i="1"/>
  <c r="P1383" i="1"/>
  <c r="O1375" i="1"/>
  <c r="P1375" i="1"/>
  <c r="O1367" i="1"/>
  <c r="P1367" i="1"/>
  <c r="O1359" i="1"/>
  <c r="P1359" i="1"/>
  <c r="O1343" i="1"/>
  <c r="P1343" i="1"/>
  <c r="O1319" i="1"/>
  <c r="P1319" i="1"/>
  <c r="O1311" i="1"/>
  <c r="P1311" i="1"/>
  <c r="O1303" i="1"/>
  <c r="P1303" i="1"/>
  <c r="O1295" i="1"/>
  <c r="P1295" i="1"/>
  <c r="O1279" i="1"/>
  <c r="P1279" i="1"/>
  <c r="O1263" i="1"/>
  <c r="P1263" i="1"/>
  <c r="O1255" i="1"/>
  <c r="P1255" i="1"/>
  <c r="O1247" i="1"/>
  <c r="P1247" i="1"/>
  <c r="O1239" i="1"/>
  <c r="P1239" i="1"/>
  <c r="O1231" i="1"/>
  <c r="P1231" i="1"/>
  <c r="O1223" i="1"/>
  <c r="P1223" i="1"/>
  <c r="O1215" i="1"/>
  <c r="P1215" i="1"/>
  <c r="O1207" i="1"/>
  <c r="P1207" i="1"/>
  <c r="O1191" i="1"/>
  <c r="P1191" i="1"/>
  <c r="O1183" i="1"/>
  <c r="P1183" i="1"/>
  <c r="O1159" i="1"/>
  <c r="P1159" i="1"/>
  <c r="O1143" i="1"/>
  <c r="P1143" i="1"/>
  <c r="O1127" i="1"/>
  <c r="P1127" i="1"/>
  <c r="O1119" i="1"/>
  <c r="P1119" i="1"/>
  <c r="O1111" i="1"/>
  <c r="P1111" i="1"/>
  <c r="O1095" i="1"/>
  <c r="P1095" i="1"/>
  <c r="O1087" i="1"/>
  <c r="P1087" i="1"/>
  <c r="O1079" i="1"/>
  <c r="P1079" i="1"/>
  <c r="O1071" i="1"/>
  <c r="P1071" i="1"/>
  <c r="O1063" i="1"/>
  <c r="P1063" i="1"/>
  <c r="O1055" i="1"/>
  <c r="P1055" i="1"/>
  <c r="O1047" i="1"/>
  <c r="P1047" i="1"/>
  <c r="O1031" i="1"/>
  <c r="P1031" i="1"/>
  <c r="O1023" i="1"/>
  <c r="P1023" i="1"/>
  <c r="O1007" i="1"/>
  <c r="P1007" i="1"/>
  <c r="O991" i="1"/>
  <c r="P991" i="1"/>
  <c r="O983" i="1"/>
  <c r="P983" i="1"/>
  <c r="O975" i="1"/>
  <c r="P975" i="1"/>
  <c r="O959" i="1"/>
  <c r="P959" i="1"/>
  <c r="O935" i="1"/>
  <c r="P935" i="1"/>
  <c r="O919" i="1"/>
  <c r="P919" i="1"/>
  <c r="O911" i="1"/>
  <c r="P911" i="1"/>
  <c r="O887" i="1"/>
  <c r="P887" i="1"/>
  <c r="O879" i="1"/>
  <c r="P879" i="1"/>
  <c r="O847" i="1"/>
  <c r="P847" i="1"/>
  <c r="O839" i="1"/>
  <c r="P839" i="1"/>
  <c r="O831" i="1"/>
  <c r="P831" i="1"/>
  <c r="O815" i="1"/>
  <c r="P815" i="1"/>
  <c r="O799" i="1"/>
  <c r="P799" i="1"/>
  <c r="O791" i="1"/>
  <c r="P791" i="1"/>
  <c r="O783" i="1"/>
  <c r="P783" i="1"/>
  <c r="O743" i="1"/>
  <c r="P743" i="1"/>
  <c r="O735" i="1"/>
  <c r="P735" i="1"/>
  <c r="O711" i="1"/>
  <c r="P711" i="1"/>
  <c r="O695" i="1"/>
  <c r="P695" i="1"/>
  <c r="O687" i="1"/>
  <c r="P687" i="1"/>
  <c r="O679" i="1"/>
  <c r="P679" i="1"/>
  <c r="O671" i="1"/>
  <c r="P671" i="1"/>
  <c r="O655" i="1"/>
  <c r="P655" i="1"/>
  <c r="O647" i="1"/>
  <c r="P647" i="1"/>
  <c r="O623" i="1"/>
  <c r="P623" i="1"/>
  <c r="O607" i="1"/>
  <c r="P607" i="1"/>
  <c r="O591" i="1"/>
  <c r="P591" i="1"/>
  <c r="O583" i="1"/>
  <c r="P583" i="1"/>
  <c r="O567" i="1"/>
  <c r="P567" i="1"/>
  <c r="O535" i="1"/>
  <c r="P535" i="1"/>
  <c r="O519" i="1"/>
  <c r="P519" i="1"/>
  <c r="O511" i="1"/>
  <c r="P511" i="1"/>
  <c r="O503" i="1"/>
  <c r="P503" i="1"/>
  <c r="O487" i="1"/>
  <c r="P487" i="1"/>
  <c r="O471" i="1"/>
  <c r="P471" i="1"/>
  <c r="O455" i="1"/>
  <c r="P455" i="1"/>
  <c r="O447" i="1"/>
  <c r="P447" i="1"/>
  <c r="O439" i="1"/>
  <c r="P439" i="1"/>
  <c r="O431" i="1"/>
  <c r="P431" i="1"/>
  <c r="O423" i="1"/>
  <c r="P423" i="1"/>
  <c r="O415" i="1"/>
  <c r="P415" i="1"/>
  <c r="O391" i="1"/>
  <c r="P391" i="1"/>
  <c r="O383" i="1"/>
  <c r="P383" i="1"/>
  <c r="O375" i="1"/>
  <c r="P375" i="1"/>
  <c r="O367" i="1"/>
  <c r="P367" i="1"/>
  <c r="O359" i="1"/>
  <c r="P359" i="1"/>
  <c r="O343" i="1"/>
  <c r="P343" i="1"/>
  <c r="O319" i="1"/>
  <c r="P319" i="1"/>
  <c r="O311" i="1"/>
  <c r="P311" i="1"/>
  <c r="O303" i="1"/>
  <c r="P303" i="1"/>
  <c r="O279" i="1"/>
  <c r="P279" i="1"/>
  <c r="O255" i="1"/>
  <c r="P255" i="1"/>
  <c r="O207" i="1"/>
  <c r="P207" i="1"/>
  <c r="O199" i="1"/>
  <c r="P199" i="1"/>
  <c r="P4157" i="1"/>
  <c r="O4092" i="1"/>
  <c r="P4092" i="1"/>
  <c r="P4348" i="1"/>
  <c r="P4284" i="1"/>
  <c r="P3708" i="1"/>
  <c r="P2948" i="1"/>
  <c r="P2852" i="1"/>
  <c r="P1148" i="1"/>
  <c r="P1084" i="1"/>
  <c r="P732" i="1"/>
  <c r="O4767" i="1"/>
  <c r="P4767" i="1"/>
  <c r="O4663" i="1"/>
  <c r="P4663" i="1"/>
  <c r="O4631" i="1"/>
  <c r="P4631" i="1"/>
  <c r="O4511" i="1"/>
  <c r="P4511" i="1"/>
  <c r="O4399" i="1"/>
  <c r="P4399" i="1"/>
  <c r="O4359" i="1"/>
  <c r="P4359" i="1"/>
  <c r="O4343" i="1"/>
  <c r="P4343" i="1"/>
  <c r="O4327" i="1"/>
  <c r="P4327" i="1"/>
  <c r="O4319" i="1"/>
  <c r="P4319" i="1"/>
  <c r="O4303" i="1"/>
  <c r="P4303" i="1"/>
  <c r="O4279" i="1"/>
  <c r="P4279" i="1"/>
  <c r="O4159" i="1"/>
  <c r="P4159" i="1"/>
  <c r="O4055" i="1"/>
  <c r="P4055" i="1"/>
  <c r="O4047" i="1"/>
  <c r="P4047" i="1"/>
  <c r="O4031" i="1"/>
  <c r="P4031" i="1"/>
  <c r="O3975" i="1"/>
  <c r="P3975" i="1"/>
  <c r="O3855" i="1"/>
  <c r="P3855" i="1"/>
  <c r="O3831" i="1"/>
  <c r="P3831" i="1"/>
  <c r="O3815" i="1"/>
  <c r="P3815" i="1"/>
  <c r="O3759" i="1"/>
  <c r="P3759" i="1"/>
  <c r="O3607" i="1"/>
  <c r="P3607" i="1"/>
  <c r="O3575" i="1"/>
  <c r="P3575" i="1"/>
  <c r="O3559" i="1"/>
  <c r="P3559" i="1"/>
  <c r="O3447" i="1"/>
  <c r="P3447" i="1"/>
  <c r="O3431" i="1"/>
  <c r="P3431" i="1"/>
  <c r="O3399" i="1"/>
  <c r="P3399" i="1"/>
  <c r="O3359" i="1"/>
  <c r="P3359" i="1"/>
  <c r="O3343" i="1"/>
  <c r="P3343" i="1"/>
  <c r="O3335" i="1"/>
  <c r="P3335" i="1"/>
  <c r="O3303" i="1"/>
  <c r="P3303" i="1"/>
  <c r="O3271" i="1"/>
  <c r="P3271" i="1"/>
  <c r="O3159" i="1"/>
  <c r="P3159" i="1"/>
  <c r="O3135" i="1"/>
  <c r="P3135" i="1"/>
  <c r="O3119" i="1"/>
  <c r="P3119" i="1"/>
  <c r="O3055" i="1"/>
  <c r="P3055" i="1"/>
  <c r="O3039" i="1"/>
  <c r="P3039" i="1"/>
  <c r="O3023" i="1"/>
  <c r="P3023" i="1"/>
  <c r="O3007" i="1"/>
  <c r="P3007" i="1"/>
  <c r="O2959" i="1"/>
  <c r="P2959" i="1"/>
  <c r="O2943" i="1"/>
  <c r="P2943" i="1"/>
  <c r="O2863" i="1"/>
  <c r="P2863" i="1"/>
  <c r="O2847" i="1"/>
  <c r="P2847" i="1"/>
  <c r="O2759" i="1"/>
  <c r="P2759" i="1"/>
  <c r="O2743" i="1"/>
  <c r="P2743" i="1"/>
  <c r="O2695" i="1"/>
  <c r="P2695" i="1"/>
  <c r="O2679" i="1"/>
  <c r="P2679" i="1"/>
  <c r="O2647" i="1"/>
  <c r="P2647" i="1"/>
  <c r="O2631" i="1"/>
  <c r="P2631" i="1"/>
  <c r="O2615" i="1"/>
  <c r="P2615" i="1"/>
  <c r="O2599" i="1"/>
  <c r="P2599" i="1"/>
  <c r="O2543" i="1"/>
  <c r="P2543" i="1"/>
  <c r="O2535" i="1"/>
  <c r="P2535" i="1"/>
  <c r="O2511" i="1"/>
  <c r="P2511" i="1"/>
  <c r="O2495" i="1"/>
  <c r="P2495" i="1"/>
  <c r="O2479" i="1"/>
  <c r="P2479" i="1"/>
  <c r="O2463" i="1"/>
  <c r="P2463" i="1"/>
  <c r="O2431" i="1"/>
  <c r="P2431" i="1"/>
  <c r="O2399" i="1"/>
  <c r="P2399" i="1"/>
  <c r="O2351" i="1"/>
  <c r="P2351" i="1"/>
  <c r="O2335" i="1"/>
  <c r="P2335" i="1"/>
  <c r="O2039" i="1"/>
  <c r="P2039" i="1"/>
  <c r="O2023" i="1"/>
  <c r="P2023" i="1"/>
  <c r="O1951" i="1"/>
  <c r="P1951" i="1"/>
  <c r="O1903" i="1"/>
  <c r="P1903" i="1"/>
  <c r="O1887" i="1"/>
  <c r="P1887" i="1"/>
  <c r="O1871" i="1"/>
  <c r="P1871" i="1"/>
  <c r="O1855" i="1"/>
  <c r="P1855" i="1"/>
  <c r="O1807" i="1"/>
  <c r="P1807" i="1"/>
  <c r="O1775" i="1"/>
  <c r="P1775" i="1"/>
  <c r="O1759" i="1"/>
  <c r="P1759" i="1"/>
  <c r="O1743" i="1"/>
  <c r="P1743" i="1"/>
  <c r="O1727" i="1"/>
  <c r="P1727" i="1"/>
  <c r="O1711" i="1"/>
  <c r="P1711" i="1"/>
  <c r="O1663" i="1"/>
  <c r="P1663" i="1"/>
  <c r="O1623" i="1"/>
  <c r="P1623" i="1"/>
  <c r="O1607" i="1"/>
  <c r="P1607" i="1"/>
  <c r="O1575" i="1"/>
  <c r="P1575" i="1"/>
  <c r="P4991" i="1"/>
  <c r="P4954" i="1"/>
  <c r="P4895" i="1"/>
  <c r="P4871" i="1"/>
  <c r="P4851" i="1"/>
  <c r="P4807" i="1"/>
  <c r="P4787" i="1"/>
  <c r="P4770" i="1"/>
  <c r="P4747" i="1"/>
  <c r="P4711" i="1"/>
  <c r="P4687" i="1"/>
  <c r="P4666" i="1"/>
  <c r="P4602" i="1"/>
  <c r="P4586" i="1"/>
  <c r="P4567" i="1"/>
  <c r="P4538" i="1"/>
  <c r="P4527" i="1"/>
  <c r="P4479" i="1"/>
  <c r="P4442" i="1"/>
  <c r="P4420" i="1"/>
  <c r="P4407" i="1"/>
  <c r="P4386" i="1"/>
  <c r="P4367" i="1"/>
  <c r="P4298" i="1"/>
  <c r="P4271" i="1"/>
  <c r="P4199" i="1"/>
  <c r="P4164" i="1"/>
  <c r="P4111" i="1"/>
  <c r="P4028" i="1"/>
  <c r="P3991" i="1"/>
  <c r="P3930" i="1"/>
  <c r="P3807" i="1"/>
  <c r="P3791" i="1"/>
  <c r="P3706" i="1"/>
  <c r="P3639" i="1"/>
  <c r="P3623" i="1"/>
  <c r="P3562" i="1"/>
  <c r="P3519" i="1"/>
  <c r="P3495" i="1"/>
  <c r="P3479" i="1"/>
  <c r="P3455" i="1"/>
  <c r="P3362" i="1"/>
  <c r="P3319" i="1"/>
  <c r="P3279" i="1"/>
  <c r="P3215" i="1"/>
  <c r="P3191" i="1"/>
  <c r="P3170" i="1"/>
  <c r="P3087" i="1"/>
  <c r="P3063" i="1"/>
  <c r="P2994" i="1"/>
  <c r="P2970" i="1"/>
  <c r="P2850" i="1"/>
  <c r="P2831" i="1"/>
  <c r="P2780" i="1"/>
  <c r="P2751" i="1"/>
  <c r="P2690" i="1"/>
  <c r="P2532" i="1"/>
  <c r="P2476" i="1"/>
  <c r="P2159" i="1"/>
  <c r="P2018" i="1"/>
  <c r="P1986" i="1"/>
  <c r="P1914" i="1"/>
  <c r="P1735" i="1"/>
  <c r="P1655" i="1"/>
  <c r="P1631" i="1"/>
  <c r="P1570" i="1"/>
  <c r="P1538" i="1"/>
  <c r="P1458" i="1"/>
  <c r="P1394" i="1"/>
  <c r="P1362" i="1"/>
  <c r="P1287" i="1"/>
  <c r="P1268" i="1"/>
  <c r="P1194" i="1"/>
  <c r="P1082" i="1"/>
  <c r="P978" i="1"/>
  <c r="P927" i="1"/>
  <c r="P884" i="1"/>
  <c r="P807" i="1"/>
  <c r="P767" i="1"/>
  <c r="P716" i="1"/>
  <c r="P652" i="1"/>
  <c r="P522" i="1"/>
  <c r="P508" i="1"/>
  <c r="P263" i="1"/>
  <c r="O266" i="1"/>
  <c r="P266" i="1"/>
  <c r="O250" i="1"/>
  <c r="P250" i="1"/>
  <c r="O226" i="1"/>
  <c r="P226" i="1"/>
  <c r="O218" i="1"/>
  <c r="P218" i="1"/>
  <c r="O210" i="1"/>
  <c r="P210" i="1"/>
  <c r="O194" i="1"/>
  <c r="P194" i="1"/>
  <c r="P258" i="1"/>
  <c r="P3715" i="1"/>
  <c r="P306" i="1"/>
  <c r="P290" i="1"/>
  <c r="P274" i="1"/>
  <c r="P202" i="1"/>
  <c r="P3971" i="1"/>
  <c r="P3891" i="1"/>
  <c r="P3875" i="1"/>
  <c r="P3619" i="1"/>
  <c r="O2355" i="1"/>
  <c r="P2355" i="1"/>
  <c r="P4971" i="1"/>
  <c r="P4955" i="1"/>
  <c r="P4907" i="1"/>
  <c r="P4891" i="1"/>
  <c r="P4843" i="1"/>
  <c r="P4827" i="1"/>
  <c r="P4779" i="1"/>
  <c r="P4763" i="1"/>
  <c r="P4715" i="1"/>
  <c r="P4699" i="1"/>
  <c r="P4651" i="1"/>
  <c r="P4635" i="1"/>
  <c r="P4587" i="1"/>
  <c r="P4571" i="1"/>
  <c r="P4523" i="1"/>
  <c r="P4507" i="1"/>
  <c r="P4459" i="1"/>
  <c r="P4443" i="1"/>
  <c r="P4411" i="1"/>
  <c r="P4403" i="1"/>
  <c r="P4387" i="1"/>
  <c r="P4355" i="1"/>
  <c r="P4331" i="1"/>
  <c r="P4275" i="1"/>
  <c r="P4227" i="1"/>
  <c r="P4171" i="1"/>
  <c r="P4115" i="1"/>
  <c r="P4059" i="1"/>
  <c r="P4043" i="1"/>
  <c r="P4027" i="1"/>
  <c r="P4003" i="1"/>
  <c r="P3987" i="1"/>
  <c r="P3947" i="1"/>
  <c r="P3931" i="1"/>
  <c r="P3859" i="1"/>
  <c r="P3843" i="1"/>
  <c r="P3771" i="1"/>
  <c r="P3755" i="1"/>
  <c r="P3731" i="1"/>
  <c r="P3707" i="1"/>
  <c r="P3611" i="1"/>
  <c r="P3595" i="1"/>
  <c r="P3547" i="1"/>
  <c r="P2982" i="1"/>
  <c r="O206" i="1"/>
  <c r="P206" i="1"/>
  <c r="P3086" i="1"/>
  <c r="P4963" i="1"/>
  <c r="P4899" i="1"/>
  <c r="P4835" i="1"/>
  <c r="P4771" i="1"/>
  <c r="P4707" i="1"/>
  <c r="P4643" i="1"/>
  <c r="P4579" i="1"/>
  <c r="P4515" i="1"/>
  <c r="P4451" i="1"/>
  <c r="P4395" i="1"/>
  <c r="P4349" i="1"/>
  <c r="P4339" i="1"/>
  <c r="P4291" i="1"/>
  <c r="P4165" i="1"/>
  <c r="P4107" i="1"/>
  <c r="P4051" i="1"/>
  <c r="P3995" i="1"/>
  <c r="P3963" i="1"/>
  <c r="P3939" i="1"/>
  <c r="P3851" i="1"/>
  <c r="P3763" i="1"/>
  <c r="P3739" i="1"/>
  <c r="P3603" i="1"/>
  <c r="P3539" i="1"/>
  <c r="P3523" i="1"/>
  <c r="P3507" i="1"/>
  <c r="P3419" i="1"/>
  <c r="P3387" i="1"/>
  <c r="P3371" i="1"/>
  <c r="P3267" i="1"/>
  <c r="P3251" i="1"/>
  <c r="P3163" i="1"/>
  <c r="P3131" i="1"/>
  <c r="P3115" i="1"/>
  <c r="P3075" i="1"/>
  <c r="P3043" i="1"/>
  <c r="P3027" i="1"/>
  <c r="P2915" i="1"/>
  <c r="P2899" i="1"/>
  <c r="P2779" i="1"/>
  <c r="P2627" i="1"/>
  <c r="P2427" i="1"/>
  <c r="P2123" i="1"/>
  <c r="P2083" i="1"/>
  <c r="P2067" i="1"/>
  <c r="P1907" i="1"/>
  <c r="P1811" i="1"/>
  <c r="P1739" i="1"/>
  <c r="P1595" i="1"/>
  <c r="P1395" i="1"/>
  <c r="P1243" i="1"/>
  <c r="P1179" i="1"/>
  <c r="P1091" i="1"/>
  <c r="P1027" i="1"/>
  <c r="P891" i="1"/>
  <c r="P827" i="1"/>
  <c r="P651" i="1"/>
  <c r="P219" i="1"/>
  <c r="P205" i="1"/>
  <c r="O2339" i="1"/>
  <c r="P2339" i="1"/>
  <c r="O2131" i="1"/>
  <c r="P2131" i="1"/>
  <c r="O1747" i="1"/>
  <c r="P1747" i="1"/>
  <c r="O1667" i="1"/>
  <c r="P1667" i="1"/>
  <c r="O1547" i="1"/>
  <c r="P1547" i="1"/>
  <c r="O1507" i="1"/>
  <c r="P1507" i="1"/>
  <c r="O1435" i="1"/>
  <c r="P1435" i="1"/>
  <c r="O1315" i="1"/>
  <c r="P1315" i="1"/>
  <c r="O1195" i="1"/>
  <c r="P1195" i="1"/>
  <c r="O1155" i="1"/>
  <c r="P1155" i="1"/>
  <c r="O1083" i="1"/>
  <c r="P1083" i="1"/>
  <c r="O1003" i="1"/>
  <c r="P1003" i="1"/>
  <c r="O963" i="1"/>
  <c r="P963" i="1"/>
  <c r="O795" i="1"/>
  <c r="P795" i="1"/>
  <c r="O723" i="1"/>
  <c r="P723" i="1"/>
  <c r="O683" i="1"/>
  <c r="P683" i="1"/>
  <c r="O635" i="1"/>
  <c r="P635" i="1"/>
  <c r="O595" i="1"/>
  <c r="P595" i="1"/>
  <c r="O563" i="1"/>
  <c r="P563" i="1"/>
  <c r="O475" i="1"/>
  <c r="P475" i="1"/>
  <c r="O323" i="1"/>
  <c r="P323" i="1"/>
  <c r="P3531" i="1"/>
  <c r="P3475" i="1"/>
  <c r="P3467" i="1"/>
  <c r="P3411" i="1"/>
  <c r="P3403" i="1"/>
  <c r="P3347" i="1"/>
  <c r="P3339" i="1"/>
  <c r="P3283" i="1"/>
  <c r="P3275" i="1"/>
  <c r="P3219" i="1"/>
  <c r="P3211" i="1"/>
  <c r="P3155" i="1"/>
  <c r="P3147" i="1"/>
  <c r="P3091" i="1"/>
  <c r="P3067" i="1"/>
  <c r="P3059" i="1"/>
  <c r="P3003" i="1"/>
  <c r="P2995" i="1"/>
  <c r="P2979" i="1"/>
  <c r="P2971" i="1"/>
  <c r="P2955" i="1"/>
  <c r="P2875" i="1"/>
  <c r="P2851" i="1"/>
  <c r="P2843" i="1"/>
  <c r="P2827" i="1"/>
  <c r="P2771" i="1"/>
  <c r="P2763" i="1"/>
  <c r="P2755" i="1"/>
  <c r="P2747" i="1"/>
  <c r="P2731" i="1"/>
  <c r="P2723" i="1"/>
  <c r="P2715" i="1"/>
  <c r="P2707" i="1"/>
  <c r="P2683" i="1"/>
  <c r="P2667" i="1"/>
  <c r="P2611" i="1"/>
  <c r="P2603" i="1"/>
  <c r="P2563" i="1"/>
  <c r="P2547" i="1"/>
  <c r="P2539" i="1"/>
  <c r="P2491" i="1"/>
  <c r="P2467" i="1"/>
  <c r="P2459" i="1"/>
  <c r="P2451" i="1"/>
  <c r="P2158" i="1"/>
  <c r="O2411" i="1"/>
  <c r="P2411" i="1"/>
  <c r="O2059" i="1"/>
  <c r="P2059" i="1"/>
  <c r="O1931" i="1"/>
  <c r="P1931" i="1"/>
  <c r="O1795" i="1"/>
  <c r="P1795" i="1"/>
  <c r="O1675" i="1"/>
  <c r="P1675" i="1"/>
  <c r="O1635" i="1"/>
  <c r="P1635" i="1"/>
  <c r="O1515" i="1"/>
  <c r="P1515" i="1"/>
  <c r="O1387" i="1"/>
  <c r="P1387" i="1"/>
  <c r="O1299" i="1"/>
  <c r="P1299" i="1"/>
  <c r="O1259" i="1"/>
  <c r="P1259" i="1"/>
  <c r="O1219" i="1"/>
  <c r="P1219" i="1"/>
  <c r="O1147" i="1"/>
  <c r="P1147" i="1"/>
  <c r="O1107" i="1"/>
  <c r="P1107" i="1"/>
  <c r="O1059" i="1"/>
  <c r="P1059" i="1"/>
  <c r="O1035" i="1"/>
  <c r="P1035" i="1"/>
  <c r="O811" i="1"/>
  <c r="P811" i="1"/>
  <c r="O739" i="1"/>
  <c r="P739" i="1"/>
  <c r="O699" i="1"/>
  <c r="P699" i="1"/>
  <c r="O611" i="1"/>
  <c r="P611" i="1"/>
  <c r="O571" i="1"/>
  <c r="P571" i="1"/>
  <c r="O531" i="1"/>
  <c r="P531" i="1"/>
  <c r="O499" i="1"/>
  <c r="P499" i="1"/>
  <c r="O467" i="1"/>
  <c r="P467" i="1"/>
  <c r="O387" i="1"/>
  <c r="P387" i="1"/>
  <c r="O307" i="1"/>
  <c r="P307" i="1"/>
  <c r="O267" i="1"/>
  <c r="P267" i="1"/>
  <c r="O243" i="1"/>
  <c r="P243" i="1"/>
  <c r="O203" i="1"/>
  <c r="P203" i="1"/>
  <c r="P5000" i="1"/>
  <c r="P4947" i="1"/>
  <c r="P4872" i="1"/>
  <c r="P4808" i="1"/>
  <c r="P4744" i="1"/>
  <c r="P4691" i="1"/>
  <c r="P4616" i="1"/>
  <c r="P4552" i="1"/>
  <c r="P4499" i="1"/>
  <c r="P4435" i="1"/>
  <c r="P4379" i="1"/>
  <c r="P4221" i="1"/>
  <c r="P4163" i="1"/>
  <c r="P3923" i="1"/>
  <c r="P3835" i="1"/>
  <c r="P3747" i="1"/>
  <c r="P3587" i="1"/>
  <c r="P3459" i="1"/>
  <c r="P3355" i="1"/>
  <c r="P3307" i="1"/>
  <c r="P3187" i="1"/>
  <c r="P2691" i="1"/>
  <c r="P2499" i="1"/>
  <c r="P2379" i="1"/>
  <c r="P2363" i="1"/>
  <c r="P2219" i="1"/>
  <c r="P2107" i="1"/>
  <c r="P1995" i="1"/>
  <c r="P1939" i="1"/>
  <c r="P1723" i="1"/>
  <c r="P1523" i="1"/>
  <c r="P1427" i="1"/>
  <c r="P1355" i="1"/>
  <c r="P1331" i="1"/>
  <c r="P779" i="1"/>
  <c r="P755" i="1"/>
  <c r="P355" i="1"/>
  <c r="P299" i="1"/>
  <c r="O3514" i="1"/>
  <c r="P3514" i="1"/>
  <c r="O3506" i="1"/>
  <c r="P3506" i="1"/>
  <c r="O3450" i="1"/>
  <c r="P3450" i="1"/>
  <c r="O3442" i="1"/>
  <c r="P3442" i="1"/>
  <c r="O3386" i="1"/>
  <c r="P3386" i="1"/>
  <c r="O3378" i="1"/>
  <c r="P3378" i="1"/>
  <c r="O3322" i="1"/>
  <c r="P3322" i="1"/>
  <c r="O3314" i="1"/>
  <c r="P3314" i="1"/>
  <c r="O3258" i="1"/>
  <c r="P3258" i="1"/>
  <c r="O3250" i="1"/>
  <c r="P3250" i="1"/>
  <c r="O3194" i="1"/>
  <c r="P3194" i="1"/>
  <c r="O3186" i="1"/>
  <c r="P3186" i="1"/>
  <c r="O3130" i="1"/>
  <c r="P3130" i="1"/>
  <c r="O3122" i="1"/>
  <c r="P3122" i="1"/>
  <c r="P4357" i="1"/>
  <c r="P4029" i="1"/>
  <c r="O2195" i="1"/>
  <c r="P2195" i="1"/>
  <c r="O2051" i="1"/>
  <c r="P2051" i="1"/>
  <c r="O2019" i="1"/>
  <c r="P2019" i="1"/>
  <c r="O1451" i="1"/>
  <c r="P1451" i="1"/>
  <c r="O1411" i="1"/>
  <c r="P1411" i="1"/>
  <c r="O1363" i="1"/>
  <c r="P1363" i="1"/>
  <c r="O1291" i="1"/>
  <c r="P1291" i="1"/>
  <c r="O1211" i="1"/>
  <c r="P1211" i="1"/>
  <c r="O1075" i="1"/>
  <c r="P1075" i="1"/>
  <c r="O1019" i="1"/>
  <c r="P1019" i="1"/>
  <c r="O899" i="1"/>
  <c r="P899" i="1"/>
  <c r="O819" i="1"/>
  <c r="P819" i="1"/>
  <c r="O691" i="1"/>
  <c r="P691" i="1"/>
  <c r="O659" i="1"/>
  <c r="P659" i="1"/>
  <c r="O619" i="1"/>
  <c r="P619" i="1"/>
  <c r="O587" i="1"/>
  <c r="P587" i="1"/>
  <c r="O539" i="1"/>
  <c r="P539" i="1"/>
  <c r="O419" i="1"/>
  <c r="P419" i="1"/>
  <c r="O371" i="1"/>
  <c r="P371" i="1"/>
  <c r="O251" i="1"/>
  <c r="P251" i="1"/>
  <c r="O211" i="1"/>
  <c r="P211" i="1"/>
  <c r="P4936" i="1"/>
  <c r="P4883" i="1"/>
  <c r="P4819" i="1"/>
  <c r="P4755" i="1"/>
  <c r="P4680" i="1"/>
  <c r="P4627" i="1"/>
  <c r="P4563" i="1"/>
  <c r="P4488" i="1"/>
  <c r="P4424" i="1"/>
  <c r="P4368" i="1"/>
  <c r="P4347" i="1"/>
  <c r="P4323" i="1"/>
  <c r="P4267" i="1"/>
  <c r="P4211" i="1"/>
  <c r="P4037" i="1"/>
  <c r="P3979" i="1"/>
  <c r="P3899" i="1"/>
  <c r="P3723" i="1"/>
  <c r="P3699" i="1"/>
  <c r="P3675" i="1"/>
  <c r="P3443" i="1"/>
  <c r="P3323" i="1"/>
  <c r="P3203" i="1"/>
  <c r="P3099" i="1"/>
  <c r="P3011" i="1"/>
  <c r="P2963" i="1"/>
  <c r="P2939" i="1"/>
  <c r="P2867" i="1"/>
  <c r="P2739" i="1"/>
  <c r="P2675" i="1"/>
  <c r="P2531" i="1"/>
  <c r="P2515" i="1"/>
  <c r="P2483" i="1"/>
  <c r="P2347" i="1"/>
  <c r="P2283" i="1"/>
  <c r="P2235" i="1"/>
  <c r="P2203" i="1"/>
  <c r="P1955" i="1"/>
  <c r="P1867" i="1"/>
  <c r="P4960" i="1"/>
  <c r="P4946" i="1"/>
  <c r="P4896" i="1"/>
  <c r="P4882" i="1"/>
  <c r="P4832" i="1"/>
  <c r="P4818" i="1"/>
  <c r="P4768" i="1"/>
  <c r="P4754" i="1"/>
  <c r="P4704" i="1"/>
  <c r="P4690" i="1"/>
  <c r="P4640" i="1"/>
  <c r="P4626" i="1"/>
  <c r="P4576" i="1"/>
  <c r="P4562" i="1"/>
  <c r="P4512" i="1"/>
  <c r="P4498" i="1"/>
  <c r="P4448" i="1"/>
  <c r="P4434" i="1"/>
  <c r="P4413" i="1"/>
  <c r="P4392" i="1"/>
  <c r="P4378" i="1"/>
  <c r="P4346" i="1"/>
  <c r="P4336" i="1"/>
  <c r="P4322" i="1"/>
  <c r="P4288" i="1"/>
  <c r="P4266" i="1"/>
  <c r="P4229" i="1"/>
  <c r="P4210" i="1"/>
  <c r="P4162" i="1"/>
  <c r="P4104" i="1"/>
  <c r="P4048" i="1"/>
  <c r="P3992" i="1"/>
  <c r="P3978" i="1"/>
  <c r="P3960" i="1"/>
  <c r="P3936" i="1"/>
  <c r="P3922" i="1"/>
  <c r="P3898" i="1"/>
  <c r="P3848" i="1"/>
  <c r="P3834" i="1"/>
  <c r="P3760" i="1"/>
  <c r="P3746" i="1"/>
  <c r="P3736" i="1"/>
  <c r="P3722" i="1"/>
  <c r="P3698" i="1"/>
  <c r="P3674" i="1"/>
  <c r="P3600" i="1"/>
  <c r="P3586" i="1"/>
  <c r="P3536" i="1"/>
  <c r="P3427" i="1"/>
  <c r="P3416" i="1"/>
  <c r="P3368" i="1"/>
  <c r="P3280" i="1"/>
  <c r="P3171" i="1"/>
  <c r="P3160" i="1"/>
  <c r="P3112" i="1"/>
  <c r="P3083" i="1"/>
  <c r="P3072" i="1"/>
  <c r="P3024" i="1"/>
  <c r="P2923" i="1"/>
  <c r="P2907" i="1"/>
  <c r="P2896" i="1"/>
  <c r="P2883" i="1"/>
  <c r="P2835" i="1"/>
  <c r="P2819" i="1"/>
  <c r="P2803" i="1"/>
  <c r="P2787" i="1"/>
  <c r="P2776" i="1"/>
  <c r="P2704" i="1"/>
  <c r="P2640" i="1"/>
  <c r="P2624" i="1"/>
  <c r="P2608" i="1"/>
  <c r="P2448" i="1"/>
  <c r="P2435" i="1"/>
  <c r="P2315" i="1"/>
  <c r="P2299" i="1"/>
  <c r="P2264" i="1"/>
  <c r="P2136" i="1"/>
  <c r="P2120" i="1"/>
  <c r="P2043" i="1"/>
  <c r="P1752" i="1"/>
  <c r="P1736" i="1"/>
  <c r="P1603" i="1"/>
  <c r="P1592" i="1"/>
  <c r="P1459" i="1"/>
  <c r="P1443" i="1"/>
  <c r="P1251" i="1"/>
  <c r="P1227" i="1"/>
  <c r="P1203" i="1"/>
  <c r="P1163" i="1"/>
  <c r="P1011" i="1"/>
  <c r="P923" i="1"/>
  <c r="P395" i="1"/>
  <c r="P227" i="1"/>
  <c r="O2797" i="1"/>
  <c r="P2797" i="1"/>
  <c r="O2147" i="1"/>
  <c r="P2147" i="1"/>
  <c r="O2003" i="1"/>
  <c r="P2003" i="1"/>
  <c r="O1923" i="1"/>
  <c r="P1923" i="1"/>
  <c r="O1891" i="1"/>
  <c r="P1891" i="1"/>
  <c r="O1787" i="1"/>
  <c r="P1787" i="1"/>
  <c r="O1531" i="1"/>
  <c r="P1531" i="1"/>
  <c r="O1491" i="1"/>
  <c r="P1491" i="1"/>
  <c r="O1403" i="1"/>
  <c r="P1403" i="1"/>
  <c r="O1371" i="1"/>
  <c r="P1371" i="1"/>
  <c r="O1051" i="1"/>
  <c r="P1051" i="1"/>
  <c r="O971" i="1"/>
  <c r="P971" i="1"/>
  <c r="O939" i="1"/>
  <c r="P939" i="1"/>
  <c r="O867" i="1"/>
  <c r="P867" i="1"/>
  <c r="O707" i="1"/>
  <c r="P707" i="1"/>
  <c r="O627" i="1"/>
  <c r="P627" i="1"/>
  <c r="O579" i="1"/>
  <c r="P579" i="1"/>
  <c r="O547" i="1"/>
  <c r="P547" i="1"/>
  <c r="O507" i="1"/>
  <c r="P507" i="1"/>
  <c r="O379" i="1"/>
  <c r="P379" i="1"/>
  <c r="O259" i="1"/>
  <c r="P259" i="1"/>
  <c r="P4995" i="1"/>
  <c r="P4867" i="1"/>
  <c r="P4739" i="1"/>
  <c r="P4611" i="1"/>
  <c r="P4547" i="1"/>
  <c r="P4421" i="1"/>
  <c r="P4363" i="1"/>
  <c r="P4219" i="1"/>
  <c r="P4195" i="1"/>
  <c r="P4083" i="1"/>
  <c r="P4035" i="1"/>
  <c r="P3907" i="1"/>
  <c r="P3883" i="1"/>
  <c r="P3571" i="1"/>
  <c r="P3515" i="1"/>
  <c r="P3379" i="1"/>
  <c r="P3259" i="1"/>
  <c r="P3139" i="1"/>
  <c r="P3051" i="1"/>
  <c r="P2651" i="1"/>
  <c r="P2587" i="1"/>
  <c r="P1979" i="1"/>
  <c r="P1651" i="1"/>
  <c r="P1483" i="1"/>
  <c r="P1187" i="1"/>
  <c r="P859" i="1"/>
  <c r="P443" i="1"/>
  <c r="P365" i="1"/>
  <c r="P339" i="1"/>
  <c r="O3528" i="1"/>
  <c r="P3528" i="1"/>
  <c r="O3520" i="1"/>
  <c r="P3520" i="1"/>
  <c r="O3464" i="1"/>
  <c r="P3464" i="1"/>
  <c r="O3456" i="1"/>
  <c r="P3456" i="1"/>
  <c r="O3400" i="1"/>
  <c r="P3400" i="1"/>
  <c r="O3392" i="1"/>
  <c r="P3392" i="1"/>
  <c r="O3336" i="1"/>
  <c r="P3336" i="1"/>
  <c r="O3328" i="1"/>
  <c r="P3328" i="1"/>
  <c r="O3272" i="1"/>
  <c r="P3272" i="1"/>
  <c r="O3264" i="1"/>
  <c r="P3264" i="1"/>
  <c r="O3208" i="1"/>
  <c r="P3208" i="1"/>
  <c r="O3200" i="1"/>
  <c r="P3200" i="1"/>
  <c r="O3144" i="1"/>
  <c r="P3144" i="1"/>
  <c r="O3136" i="1"/>
  <c r="P3136" i="1"/>
  <c r="O3056" i="1"/>
  <c r="P3056" i="1"/>
  <c r="O3048" i="1"/>
  <c r="P3048" i="1"/>
  <c r="O2992" i="1"/>
  <c r="P2992" i="1"/>
  <c r="O2984" i="1"/>
  <c r="P2984" i="1"/>
  <c r="O2968" i="1"/>
  <c r="P2968" i="1"/>
  <c r="O2960" i="1"/>
  <c r="P2960" i="1"/>
  <c r="O2912" i="1"/>
  <c r="P2912" i="1"/>
  <c r="O2880" i="1"/>
  <c r="P2880" i="1"/>
  <c r="O2872" i="1"/>
  <c r="P2872" i="1"/>
  <c r="O2864" i="1"/>
  <c r="P2864" i="1"/>
  <c r="O2856" i="1"/>
  <c r="P2856" i="1"/>
  <c r="O2832" i="1"/>
  <c r="P2832" i="1"/>
  <c r="O2816" i="1"/>
  <c r="P2816" i="1"/>
  <c r="O2792" i="1"/>
  <c r="P2792" i="1"/>
  <c r="O2784" i="1"/>
  <c r="P2784" i="1"/>
  <c r="O2760" i="1"/>
  <c r="P2760" i="1"/>
  <c r="O2744" i="1"/>
  <c r="P2744" i="1"/>
  <c r="O2720" i="1"/>
  <c r="P2720" i="1"/>
  <c r="O2680" i="1"/>
  <c r="P2680" i="1"/>
  <c r="O2672" i="1"/>
  <c r="P2672" i="1"/>
  <c r="O2664" i="1"/>
  <c r="P2664" i="1"/>
  <c r="O2656" i="1"/>
  <c r="P2656" i="1"/>
  <c r="O2648" i="1"/>
  <c r="P2648" i="1"/>
  <c r="O2632" i="1"/>
  <c r="P2632" i="1"/>
  <c r="O2600" i="1"/>
  <c r="P2600" i="1"/>
  <c r="O2584" i="1"/>
  <c r="P2584" i="1"/>
  <c r="O2560" i="1"/>
  <c r="P2560" i="1"/>
  <c r="O2552" i="1"/>
  <c r="P2552" i="1"/>
  <c r="O2536" i="1"/>
  <c r="P2536" i="1"/>
  <c r="O2528" i="1"/>
  <c r="P2528" i="1"/>
  <c r="O2512" i="1"/>
  <c r="P2512" i="1"/>
  <c r="O2488" i="1"/>
  <c r="P2488" i="1"/>
  <c r="O2464" i="1"/>
  <c r="P2464" i="1"/>
  <c r="O2408" i="1"/>
  <c r="P2408" i="1"/>
  <c r="O2392" i="1"/>
  <c r="P2392" i="1"/>
  <c r="O2368" i="1"/>
  <c r="P2368" i="1"/>
  <c r="O2352" i="1"/>
  <c r="P2352" i="1"/>
  <c r="O2344" i="1"/>
  <c r="P2344" i="1"/>
  <c r="O2328" i="1"/>
  <c r="P2328" i="1"/>
  <c r="O2304" i="1"/>
  <c r="P2304" i="1"/>
  <c r="O2296" i="1"/>
  <c r="P2296" i="1"/>
  <c r="O2288" i="1"/>
  <c r="P2288" i="1"/>
  <c r="O2280" i="1"/>
  <c r="P2280" i="1"/>
  <c r="O2272" i="1"/>
  <c r="P2272" i="1"/>
  <c r="O2232" i="1"/>
  <c r="P2232" i="1"/>
  <c r="O2216" i="1"/>
  <c r="P2216" i="1"/>
  <c r="O2192" i="1"/>
  <c r="P2192" i="1"/>
  <c r="O2184" i="1"/>
  <c r="P2184" i="1"/>
  <c r="O2168" i="1"/>
  <c r="P2168" i="1"/>
  <c r="O2144" i="1"/>
  <c r="P2144" i="1"/>
  <c r="O2128" i="1"/>
  <c r="P2128" i="1"/>
  <c r="O2080" i="1"/>
  <c r="P2080" i="1"/>
  <c r="O2064" i="1"/>
  <c r="P2064" i="1"/>
  <c r="O2048" i="1"/>
  <c r="P2048" i="1"/>
  <c r="O2040" i="1"/>
  <c r="P2040" i="1"/>
  <c r="O2016" i="1"/>
  <c r="P2016" i="1"/>
  <c r="O2000" i="1"/>
  <c r="P2000" i="1"/>
  <c r="O1952" i="1"/>
  <c r="P1952" i="1"/>
  <c r="O1936" i="1"/>
  <c r="P1936" i="1"/>
  <c r="O1920" i="1"/>
  <c r="P1920" i="1"/>
  <c r="O1912" i="1"/>
  <c r="P1912" i="1"/>
  <c r="O1904" i="1"/>
  <c r="P1904" i="1"/>
  <c r="O1888" i="1"/>
  <c r="P1888" i="1"/>
  <c r="O1872" i="1"/>
  <c r="P1872" i="1"/>
  <c r="O1832" i="1"/>
  <c r="P1832" i="1"/>
  <c r="O1824" i="1"/>
  <c r="P1824" i="1"/>
  <c r="O1816" i="1"/>
  <c r="P1816" i="1"/>
  <c r="O1808" i="1"/>
  <c r="P1808" i="1"/>
  <c r="O1792" i="1"/>
  <c r="P1792" i="1"/>
  <c r="O1784" i="1"/>
  <c r="P1784" i="1"/>
  <c r="O1776" i="1"/>
  <c r="P1776" i="1"/>
  <c r="O1760" i="1"/>
  <c r="P1760" i="1"/>
  <c r="O1744" i="1"/>
  <c r="P1744" i="1"/>
  <c r="O1704" i="1"/>
  <c r="P1704" i="1"/>
  <c r="O1696" i="1"/>
  <c r="P1696" i="1"/>
  <c r="O1688" i="1"/>
  <c r="P1688" i="1"/>
  <c r="O1680" i="1"/>
  <c r="P1680" i="1"/>
  <c r="O1664" i="1"/>
  <c r="P1664" i="1"/>
  <c r="O1656" i="1"/>
  <c r="P1656" i="1"/>
  <c r="O1648" i="1"/>
  <c r="P1648" i="1"/>
  <c r="O1632" i="1"/>
  <c r="P1632" i="1"/>
  <c r="O1616" i="1"/>
  <c r="P1616" i="1"/>
  <c r="O1576" i="1"/>
  <c r="P1576" i="1"/>
  <c r="O1568" i="1"/>
  <c r="P1568" i="1"/>
  <c r="O1560" i="1"/>
  <c r="P1560" i="1"/>
  <c r="O1552" i="1"/>
  <c r="P1552" i="1"/>
  <c r="O1536" i="1"/>
  <c r="P1536" i="1"/>
  <c r="O1528" i="1"/>
  <c r="P1528" i="1"/>
  <c r="O1520" i="1"/>
  <c r="P1520" i="1"/>
  <c r="O1504" i="1"/>
  <c r="P1504" i="1"/>
  <c r="O1488" i="1"/>
  <c r="P1488" i="1"/>
  <c r="O1448" i="1"/>
  <c r="P1448" i="1"/>
  <c r="O1440" i="1"/>
  <c r="P1440" i="1"/>
  <c r="O1432" i="1"/>
  <c r="P1432" i="1"/>
  <c r="O1424" i="1"/>
  <c r="P1424" i="1"/>
  <c r="O1408" i="1"/>
  <c r="P1408" i="1"/>
  <c r="O1400" i="1"/>
  <c r="P1400" i="1"/>
  <c r="O1392" i="1"/>
  <c r="P1392" i="1"/>
  <c r="O1376" i="1"/>
  <c r="P1376" i="1"/>
  <c r="O1360" i="1"/>
  <c r="P1360" i="1"/>
  <c r="O1336" i="1"/>
  <c r="P1336" i="1"/>
  <c r="O1328" i="1"/>
  <c r="P1328" i="1"/>
  <c r="O1312" i="1"/>
  <c r="P1312" i="1"/>
  <c r="O1304" i="1"/>
  <c r="P1304" i="1"/>
  <c r="O1296" i="1"/>
  <c r="P1296" i="1"/>
  <c r="O1288" i="1"/>
  <c r="P1288" i="1"/>
  <c r="O1280" i="1"/>
  <c r="P1280" i="1"/>
  <c r="O1264" i="1"/>
  <c r="P1264" i="1"/>
  <c r="O1256" i="1"/>
  <c r="P1256" i="1"/>
  <c r="O1192" i="1"/>
  <c r="P1192" i="1"/>
  <c r="O1184" i="1"/>
  <c r="P1184" i="1"/>
  <c r="O1077" i="1"/>
  <c r="P1077" i="1"/>
  <c r="O2419" i="1"/>
  <c r="P2419" i="1"/>
  <c r="O2251" i="1"/>
  <c r="P2251" i="1"/>
  <c r="O1915" i="1"/>
  <c r="P1915" i="1"/>
  <c r="O1875" i="1"/>
  <c r="P1875" i="1"/>
  <c r="O1803" i="1"/>
  <c r="P1803" i="1"/>
  <c r="O1763" i="1"/>
  <c r="P1763" i="1"/>
  <c r="O1659" i="1"/>
  <c r="P1659" i="1"/>
  <c r="O1619" i="1"/>
  <c r="P1619" i="1"/>
  <c r="O1539" i="1"/>
  <c r="P1539" i="1"/>
  <c r="O1499" i="1"/>
  <c r="P1499" i="1"/>
  <c r="O1419" i="1"/>
  <c r="P1419" i="1"/>
  <c r="O1379" i="1"/>
  <c r="P1379" i="1"/>
  <c r="O1307" i="1"/>
  <c r="P1307" i="1"/>
  <c r="O1267" i="1"/>
  <c r="P1267" i="1"/>
  <c r="O1099" i="1"/>
  <c r="P1099" i="1"/>
  <c r="O1067" i="1"/>
  <c r="P1067" i="1"/>
  <c r="O995" i="1"/>
  <c r="P995" i="1"/>
  <c r="O915" i="1"/>
  <c r="P915" i="1"/>
  <c r="O875" i="1"/>
  <c r="P875" i="1"/>
  <c r="O835" i="1"/>
  <c r="P835" i="1"/>
  <c r="O803" i="1"/>
  <c r="P803" i="1"/>
  <c r="O715" i="1"/>
  <c r="P715" i="1"/>
  <c r="O675" i="1"/>
  <c r="P675" i="1"/>
  <c r="O643" i="1"/>
  <c r="P643" i="1"/>
  <c r="O523" i="1"/>
  <c r="P523" i="1"/>
  <c r="O315" i="1"/>
  <c r="P315" i="1"/>
  <c r="O195" i="1"/>
  <c r="P195" i="1"/>
  <c r="P4931" i="1"/>
  <c r="P4803" i="1"/>
  <c r="P4675" i="1"/>
  <c r="P4483" i="1"/>
  <c r="P4307" i="1"/>
  <c r="P4251" i="1"/>
  <c r="P4139" i="1"/>
  <c r="P4093" i="1"/>
  <c r="P3819" i="1"/>
  <c r="P3795" i="1"/>
  <c r="P3683" i="1"/>
  <c r="P3659" i="1"/>
  <c r="P3635" i="1"/>
  <c r="P3499" i="1"/>
  <c r="P3395" i="1"/>
  <c r="P3291" i="1"/>
  <c r="P3243" i="1"/>
  <c r="P3123" i="1"/>
  <c r="P3035" i="1"/>
  <c r="P2947" i="1"/>
  <c r="P2387" i="1"/>
  <c r="P1851" i="1"/>
  <c r="P1555" i="1"/>
  <c r="P1123" i="1"/>
  <c r="P947" i="1"/>
  <c r="P603" i="1"/>
  <c r="P491" i="1"/>
  <c r="P283" i="1"/>
  <c r="P4994" i="1"/>
  <c r="P4944" i="1"/>
  <c r="P4930" i="1"/>
  <c r="P4880" i="1"/>
  <c r="P4866" i="1"/>
  <c r="P4816" i="1"/>
  <c r="P4802" i="1"/>
  <c r="P4752" i="1"/>
  <c r="P4738" i="1"/>
  <c r="P4688" i="1"/>
  <c r="P4674" i="1"/>
  <c r="P4624" i="1"/>
  <c r="P4610" i="1"/>
  <c r="P4560" i="1"/>
  <c r="P4546" i="1"/>
  <c r="P4496" i="1"/>
  <c r="P4482" i="1"/>
  <c r="P4432" i="1"/>
  <c r="P4376" i="1"/>
  <c r="P4362" i="1"/>
  <c r="P4344" i="1"/>
  <c r="P4320" i="1"/>
  <c r="P4306" i="1"/>
  <c r="P4285" i="1"/>
  <c r="P4264" i="1"/>
  <c r="P4250" i="1"/>
  <c r="P4218" i="1"/>
  <c r="P4208" i="1"/>
  <c r="P4194" i="1"/>
  <c r="P4160" i="1"/>
  <c r="P4138" i="1"/>
  <c r="P4101" i="1"/>
  <c r="P4082" i="1"/>
  <c r="P4034" i="1"/>
  <c r="P3976" i="1"/>
  <c r="P3920" i="1"/>
  <c r="P3906" i="1"/>
  <c r="P3896" i="1"/>
  <c r="P3882" i="1"/>
  <c r="P3832" i="1"/>
  <c r="P3818" i="1"/>
  <c r="P3794" i="1"/>
  <c r="P3744" i="1"/>
  <c r="P3720" i="1"/>
  <c r="P3696" i="1"/>
  <c r="P3682" i="1"/>
  <c r="P3672" i="1"/>
  <c r="P3658" i="1"/>
  <c r="P3634" i="1"/>
  <c r="P3584" i="1"/>
  <c r="P3570" i="1"/>
  <c r="P3530" i="1"/>
  <c r="P3472" i="1"/>
  <c r="P3363" i="1"/>
  <c r="P3352" i="1"/>
  <c r="P3304" i="1"/>
  <c r="P3216" i="1"/>
  <c r="P3107" i="1"/>
  <c r="P3096" i="1"/>
  <c r="P3019" i="1"/>
  <c r="P3008" i="1"/>
  <c r="P2976" i="1"/>
  <c r="P2859" i="1"/>
  <c r="P2800" i="1"/>
  <c r="P2736" i="1"/>
  <c r="P2699" i="1"/>
  <c r="P2688" i="1"/>
  <c r="P2635" i="1"/>
  <c r="P2619" i="1"/>
  <c r="P2507" i="1"/>
  <c r="P2480" i="1"/>
  <c r="P2443" i="1"/>
  <c r="P2400" i="1"/>
  <c r="P2360" i="1"/>
  <c r="P2275" i="1"/>
  <c r="P2259" i="1"/>
  <c r="P2211" i="1"/>
  <c r="P2115" i="1"/>
  <c r="P2104" i="1"/>
  <c r="P2008" i="1"/>
  <c r="P1992" i="1"/>
  <c r="P1880" i="1"/>
  <c r="P1864" i="1"/>
  <c r="P1731" i="1"/>
  <c r="P1720" i="1"/>
  <c r="P1587" i="1"/>
  <c r="P1571" i="1"/>
  <c r="P1339" i="1"/>
  <c r="P1235" i="1"/>
  <c r="P1171" i="1"/>
  <c r="P1085" i="1"/>
  <c r="P1043" i="1"/>
  <c r="P907" i="1"/>
  <c r="P787" i="1"/>
  <c r="P763" i="1"/>
  <c r="P667" i="1"/>
  <c r="P363" i="1"/>
  <c r="P366" i="1"/>
  <c r="P3034" i="1"/>
  <c r="P2938" i="1"/>
  <c r="P2643" i="1"/>
  <c r="P2595" i="1"/>
  <c r="P2523" i="1"/>
  <c r="P2475" i="1"/>
  <c r="P2403" i="1"/>
  <c r="P2331" i="1"/>
  <c r="P2307" i="1"/>
  <c r="P2291" i="1"/>
  <c r="P2243" i="1"/>
  <c r="P2227" i="1"/>
  <c r="P2179" i="1"/>
  <c r="P2163" i="1"/>
  <c r="P2155" i="1"/>
  <c r="P2139" i="1"/>
  <c r="P2091" i="1"/>
  <c r="P2075" i="1"/>
  <c r="P2027" i="1"/>
  <c r="P2011" i="1"/>
  <c r="P1963" i="1"/>
  <c r="P1947" i="1"/>
  <c r="P1899" i="1"/>
  <c r="P1883" i="1"/>
  <c r="P1835" i="1"/>
  <c r="P1819" i="1"/>
  <c r="P1771" i="1"/>
  <c r="P1755" i="1"/>
  <c r="P1707" i="1"/>
  <c r="P1691" i="1"/>
  <c r="P1643" i="1"/>
  <c r="P1627" i="1"/>
  <c r="P1579" i="1"/>
  <c r="P1563" i="1"/>
  <c r="O2914" i="1"/>
  <c r="P2914" i="1"/>
  <c r="O2890" i="1"/>
  <c r="P2890" i="1"/>
  <c r="O2866" i="1"/>
  <c r="P2866" i="1"/>
  <c r="O2818" i="1"/>
  <c r="P2818" i="1"/>
  <c r="O2802" i="1"/>
  <c r="P2802" i="1"/>
  <c r="O2794" i="1"/>
  <c r="P2794" i="1"/>
  <c r="O2746" i="1"/>
  <c r="P2746" i="1"/>
  <c r="O2722" i="1"/>
  <c r="P2722" i="1"/>
  <c r="O2706" i="1"/>
  <c r="P2706" i="1"/>
  <c r="O2658" i="1"/>
  <c r="P2658" i="1"/>
  <c r="O2634" i="1"/>
  <c r="P2634" i="1"/>
  <c r="O2618" i="1"/>
  <c r="P2618" i="1"/>
  <c r="O2570" i="1"/>
  <c r="P2570" i="1"/>
  <c r="O2546" i="1"/>
  <c r="P2546" i="1"/>
  <c r="O2538" i="1"/>
  <c r="P2538" i="1"/>
  <c r="O2514" i="1"/>
  <c r="P2514" i="1"/>
  <c r="O2498" i="1"/>
  <c r="P2498" i="1"/>
  <c r="O2466" i="1"/>
  <c r="P2466" i="1"/>
  <c r="O2450" i="1"/>
  <c r="P2450" i="1"/>
  <c r="O2426" i="1"/>
  <c r="P2426" i="1"/>
  <c r="O2378" i="1"/>
  <c r="P2378" i="1"/>
  <c r="O2370" i="1"/>
  <c r="P2370" i="1"/>
  <c r="O2354" i="1"/>
  <c r="P2354" i="1"/>
  <c r="P3042" i="1"/>
  <c r="O1152" i="1"/>
  <c r="P1152" i="1"/>
  <c r="O1144" i="1"/>
  <c r="P1144" i="1"/>
  <c r="P2282" i="1"/>
  <c r="P2218" i="1"/>
  <c r="P2266" i="1"/>
  <c r="P2202" i="1"/>
  <c r="O4398" i="1"/>
  <c r="P4398" i="1"/>
  <c r="O4350" i="1"/>
  <c r="P4350" i="1"/>
  <c r="O4294" i="1"/>
  <c r="P4294" i="1"/>
  <c r="O4246" i="1"/>
  <c r="P4246" i="1"/>
  <c r="O4206" i="1"/>
  <c r="P4206" i="1"/>
  <c r="O4150" i="1"/>
  <c r="P4150" i="1"/>
  <c r="O4102" i="1"/>
  <c r="P4102" i="1"/>
  <c r="O4046" i="1"/>
  <c r="P4046" i="1"/>
  <c r="O3998" i="1"/>
  <c r="P3998" i="1"/>
  <c r="O3950" i="1"/>
  <c r="P3950" i="1"/>
  <c r="O3902" i="1"/>
  <c r="P3902" i="1"/>
  <c r="O3854" i="1"/>
  <c r="P3854" i="1"/>
  <c r="O3798" i="1"/>
  <c r="P3798" i="1"/>
  <c r="O3750" i="1"/>
  <c r="P3750" i="1"/>
  <c r="O3702" i="1"/>
  <c r="P3702" i="1"/>
  <c r="O3646" i="1"/>
  <c r="P3646" i="1"/>
  <c r="O3598" i="1"/>
  <c r="P3598" i="1"/>
  <c r="O3454" i="1"/>
  <c r="P3454" i="1"/>
  <c r="O3406" i="1"/>
  <c r="P3406" i="1"/>
  <c r="O3366" i="1"/>
  <c r="P3366" i="1"/>
  <c r="O3318" i="1"/>
  <c r="P3318" i="1"/>
  <c r="O3262" i="1"/>
  <c r="P3262" i="1"/>
  <c r="O3206" i="1"/>
  <c r="P3206" i="1"/>
  <c r="O3158" i="1"/>
  <c r="P3158" i="1"/>
  <c r="O3102" i="1"/>
  <c r="P3102" i="1"/>
  <c r="O3006" i="1"/>
  <c r="P3006" i="1"/>
  <c r="O2958" i="1"/>
  <c r="P2958" i="1"/>
  <c r="O2902" i="1"/>
  <c r="P2902" i="1"/>
  <c r="O2846" i="1"/>
  <c r="P2846" i="1"/>
  <c r="O2798" i="1"/>
  <c r="P2798" i="1"/>
  <c r="O2750" i="1"/>
  <c r="P2750" i="1"/>
  <c r="O2702" i="1"/>
  <c r="P2702" i="1"/>
  <c r="O2646" i="1"/>
  <c r="P2646" i="1"/>
  <c r="O2606" i="1"/>
  <c r="P2606" i="1"/>
  <c r="O2566" i="1"/>
  <c r="P2566" i="1"/>
  <c r="O2518" i="1"/>
  <c r="P2518" i="1"/>
  <c r="O2470" i="1"/>
  <c r="P2470" i="1"/>
  <c r="O2422" i="1"/>
  <c r="P2422" i="1"/>
  <c r="O2366" i="1"/>
  <c r="P2366" i="1"/>
  <c r="O2318" i="1"/>
  <c r="P2318" i="1"/>
  <c r="O2278" i="1"/>
  <c r="P2278" i="1"/>
  <c r="O2222" i="1"/>
  <c r="P2222" i="1"/>
  <c r="O2174" i="1"/>
  <c r="P2174" i="1"/>
  <c r="O2126" i="1"/>
  <c r="P2126" i="1"/>
  <c r="O2078" i="1"/>
  <c r="P2078" i="1"/>
  <c r="O1966" i="1"/>
  <c r="P1966" i="1"/>
  <c r="O1910" i="1"/>
  <c r="P1910" i="1"/>
  <c r="O1846" i="1"/>
  <c r="P1846" i="1"/>
  <c r="O1798" i="1"/>
  <c r="P1798" i="1"/>
  <c r="O1742" i="1"/>
  <c r="P1742" i="1"/>
  <c r="O1654" i="1"/>
  <c r="P1654" i="1"/>
  <c r="O1598" i="1"/>
  <c r="P1598" i="1"/>
  <c r="O1494" i="1"/>
  <c r="P1494" i="1"/>
  <c r="O1374" i="1"/>
  <c r="P1374" i="1"/>
  <c r="O1334" i="1"/>
  <c r="P1334" i="1"/>
  <c r="O1278" i="1"/>
  <c r="P1278" i="1"/>
  <c r="O1230" i="1"/>
  <c r="P1230" i="1"/>
  <c r="O1182" i="1"/>
  <c r="P1182" i="1"/>
  <c r="O1126" i="1"/>
  <c r="P1126" i="1"/>
  <c r="O1078" i="1"/>
  <c r="P1078" i="1"/>
  <c r="O1030" i="1"/>
  <c r="P1030" i="1"/>
  <c r="O982" i="1"/>
  <c r="P982" i="1"/>
  <c r="O934" i="1"/>
  <c r="P934" i="1"/>
  <c r="O886" i="1"/>
  <c r="P886" i="1"/>
  <c r="O838" i="1"/>
  <c r="P838" i="1"/>
  <c r="O790" i="1"/>
  <c r="P790" i="1"/>
  <c r="O734" i="1"/>
  <c r="P734" i="1"/>
  <c r="O678" i="1"/>
  <c r="P678" i="1"/>
  <c r="O622" i="1"/>
  <c r="P622" i="1"/>
  <c r="O582" i="1"/>
  <c r="P582" i="1"/>
  <c r="O526" i="1"/>
  <c r="P526" i="1"/>
  <c r="O414" i="1"/>
  <c r="P414" i="1"/>
  <c r="O310" i="1"/>
  <c r="P310" i="1"/>
  <c r="O270" i="1"/>
  <c r="P270" i="1"/>
  <c r="O3877" i="1"/>
  <c r="P3877" i="1"/>
  <c r="O3829" i="1"/>
  <c r="P3829" i="1"/>
  <c r="O3773" i="1"/>
  <c r="P3773" i="1"/>
  <c r="O3725" i="1"/>
  <c r="P3725" i="1"/>
  <c r="O3677" i="1"/>
  <c r="P3677" i="1"/>
  <c r="O3565" i="1"/>
  <c r="P3565" i="1"/>
  <c r="O3517" i="1"/>
  <c r="P3517" i="1"/>
  <c r="O3469" i="1"/>
  <c r="P3469" i="1"/>
  <c r="O3429" i="1"/>
  <c r="P3429" i="1"/>
  <c r="O3365" i="1"/>
  <c r="P3365" i="1"/>
  <c r="O3317" i="1"/>
  <c r="P3317" i="1"/>
  <c r="O3261" i="1"/>
  <c r="P3261" i="1"/>
  <c r="O3213" i="1"/>
  <c r="P3213" i="1"/>
  <c r="O3173" i="1"/>
  <c r="P3173" i="1"/>
  <c r="O3117" i="1"/>
  <c r="P3117" i="1"/>
  <c r="O3069" i="1"/>
  <c r="P3069" i="1"/>
  <c r="O3021" i="1"/>
  <c r="P3021" i="1"/>
  <c r="O2981" i="1"/>
  <c r="P2981" i="1"/>
  <c r="O2925" i="1"/>
  <c r="P2925" i="1"/>
  <c r="O2813" i="1"/>
  <c r="P2813" i="1"/>
  <c r="O2773" i="1"/>
  <c r="P2773" i="1"/>
  <c r="O2709" i="1"/>
  <c r="P2709" i="1"/>
  <c r="O2661" i="1"/>
  <c r="P2661" i="1"/>
  <c r="O2605" i="1"/>
  <c r="P2605" i="1"/>
  <c r="O2557" i="1"/>
  <c r="P2557" i="1"/>
  <c r="O2501" i="1"/>
  <c r="P2501" i="1"/>
  <c r="O2445" i="1"/>
  <c r="P2445" i="1"/>
  <c r="O2397" i="1"/>
  <c r="P2397" i="1"/>
  <c r="O2349" i="1"/>
  <c r="P2349" i="1"/>
  <c r="O2293" i="1"/>
  <c r="P2293" i="1"/>
  <c r="O2245" i="1"/>
  <c r="P2245" i="1"/>
  <c r="O2197" i="1"/>
  <c r="P2197" i="1"/>
  <c r="O2157" i="1"/>
  <c r="P2157" i="1"/>
  <c r="O2125" i="1"/>
  <c r="P2125" i="1"/>
  <c r="O2069" i="1"/>
  <c r="P2069" i="1"/>
  <c r="O2029" i="1"/>
  <c r="P2029" i="1"/>
  <c r="O1989" i="1"/>
  <c r="P1989" i="1"/>
  <c r="O1949" i="1"/>
  <c r="P1949" i="1"/>
  <c r="O1909" i="1"/>
  <c r="P1909" i="1"/>
  <c r="O1861" i="1"/>
  <c r="P1861" i="1"/>
  <c r="O1757" i="1"/>
  <c r="P1757" i="1"/>
  <c r="O1725" i="1"/>
  <c r="P1725" i="1"/>
  <c r="O1685" i="1"/>
  <c r="P1685" i="1"/>
  <c r="O1637" i="1"/>
  <c r="P1637" i="1"/>
  <c r="O1597" i="1"/>
  <c r="P1597" i="1"/>
  <c r="O1557" i="1"/>
  <c r="P1557" i="1"/>
  <c r="O1509" i="1"/>
  <c r="P1509" i="1"/>
  <c r="O1469" i="1"/>
  <c r="P1469" i="1"/>
  <c r="O1429" i="1"/>
  <c r="P1429" i="1"/>
  <c r="O1389" i="1"/>
  <c r="P1389" i="1"/>
  <c r="O1349" i="1"/>
  <c r="P1349" i="1"/>
  <c r="O1261" i="1"/>
  <c r="P1261" i="1"/>
  <c r="O1221" i="1"/>
  <c r="P1221" i="1"/>
  <c r="O1165" i="1"/>
  <c r="P1165" i="1"/>
  <c r="O1125" i="1"/>
  <c r="P1125" i="1"/>
  <c r="O1037" i="1"/>
  <c r="P1037" i="1"/>
  <c r="O997" i="1"/>
  <c r="P997" i="1"/>
  <c r="O957" i="1"/>
  <c r="P957" i="1"/>
  <c r="O925" i="1"/>
  <c r="P925" i="1"/>
  <c r="O885" i="1"/>
  <c r="P885" i="1"/>
  <c r="O837" i="1"/>
  <c r="P837" i="1"/>
  <c r="O797" i="1"/>
  <c r="P797" i="1"/>
  <c r="O757" i="1"/>
  <c r="P757" i="1"/>
  <c r="O717" i="1"/>
  <c r="P717" i="1"/>
  <c r="O677" i="1"/>
  <c r="P677" i="1"/>
  <c r="O637" i="1"/>
  <c r="P637" i="1"/>
  <c r="O597" i="1"/>
  <c r="P597" i="1"/>
  <c r="O565" i="1"/>
  <c r="P565" i="1"/>
  <c r="O549" i="1"/>
  <c r="P549" i="1"/>
  <c r="O541" i="1"/>
  <c r="P541" i="1"/>
  <c r="O533" i="1"/>
  <c r="P533" i="1"/>
  <c r="O493" i="1"/>
  <c r="P493" i="1"/>
  <c r="O485" i="1"/>
  <c r="P485" i="1"/>
  <c r="O477" i="1"/>
  <c r="P477" i="1"/>
  <c r="O469" i="1"/>
  <c r="P469" i="1"/>
  <c r="O461" i="1"/>
  <c r="P461" i="1"/>
  <c r="O453" i="1"/>
  <c r="P453" i="1"/>
  <c r="O445" i="1"/>
  <c r="P445" i="1"/>
  <c r="O437" i="1"/>
  <c r="P437" i="1"/>
  <c r="O429" i="1"/>
  <c r="P429" i="1"/>
  <c r="O421" i="1"/>
  <c r="P421" i="1"/>
  <c r="O413" i="1"/>
  <c r="P413" i="1"/>
  <c r="O405" i="1"/>
  <c r="P405" i="1"/>
  <c r="O397" i="1"/>
  <c r="P397" i="1"/>
  <c r="O389" i="1"/>
  <c r="P389" i="1"/>
  <c r="O381" i="1"/>
  <c r="P381" i="1"/>
  <c r="O357" i="1"/>
  <c r="P357" i="1"/>
  <c r="O349" i="1"/>
  <c r="P349" i="1"/>
  <c r="O341" i="1"/>
  <c r="P341" i="1"/>
  <c r="O333" i="1"/>
  <c r="P333" i="1"/>
  <c r="O325" i="1"/>
  <c r="P325" i="1"/>
  <c r="O317" i="1"/>
  <c r="P317" i="1"/>
  <c r="O309" i="1"/>
  <c r="P309" i="1"/>
  <c r="O301" i="1"/>
  <c r="P301" i="1"/>
  <c r="O293" i="1"/>
  <c r="P293" i="1"/>
  <c r="O285" i="1"/>
  <c r="P285" i="1"/>
  <c r="O277" i="1"/>
  <c r="P277" i="1"/>
  <c r="O269" i="1"/>
  <c r="P269" i="1"/>
  <c r="O261" i="1"/>
  <c r="P261" i="1"/>
  <c r="O253" i="1"/>
  <c r="P253" i="1"/>
  <c r="O245" i="1"/>
  <c r="P245" i="1"/>
  <c r="O237" i="1"/>
  <c r="P237" i="1"/>
  <c r="O229" i="1"/>
  <c r="P229" i="1"/>
  <c r="O221" i="1"/>
  <c r="P221" i="1"/>
  <c r="O197" i="1"/>
  <c r="P197" i="1"/>
  <c r="O189" i="1"/>
  <c r="P189" i="1"/>
  <c r="P2590" i="1"/>
  <c r="P2350" i="1"/>
  <c r="P1414" i="1"/>
  <c r="P454" i="1"/>
  <c r="P214" i="1"/>
  <c r="O3909" i="1"/>
  <c r="P3909" i="1"/>
  <c r="O3885" i="1"/>
  <c r="P3885" i="1"/>
  <c r="O3837" i="1"/>
  <c r="P3837" i="1"/>
  <c r="O3789" i="1"/>
  <c r="P3789" i="1"/>
  <c r="O3741" i="1"/>
  <c r="P3741" i="1"/>
  <c r="O3693" i="1"/>
  <c r="P3693" i="1"/>
  <c r="O3637" i="1"/>
  <c r="P3637" i="1"/>
  <c r="O3589" i="1"/>
  <c r="P3589" i="1"/>
  <c r="O3549" i="1"/>
  <c r="P3549" i="1"/>
  <c r="O3509" i="1"/>
  <c r="P3509" i="1"/>
  <c r="O3477" i="1"/>
  <c r="P3477" i="1"/>
  <c r="O3421" i="1"/>
  <c r="P3421" i="1"/>
  <c r="O3373" i="1"/>
  <c r="P3373" i="1"/>
  <c r="O3325" i="1"/>
  <c r="P3325" i="1"/>
  <c r="O3277" i="1"/>
  <c r="P3277" i="1"/>
  <c r="O3229" i="1"/>
  <c r="P3229" i="1"/>
  <c r="O3197" i="1"/>
  <c r="P3197" i="1"/>
  <c r="O3149" i="1"/>
  <c r="P3149" i="1"/>
  <c r="O3101" i="1"/>
  <c r="P3101" i="1"/>
  <c r="O3061" i="1"/>
  <c r="P3061" i="1"/>
  <c r="O3013" i="1"/>
  <c r="P3013" i="1"/>
  <c r="O2965" i="1"/>
  <c r="P2965" i="1"/>
  <c r="O2917" i="1"/>
  <c r="P2917" i="1"/>
  <c r="O2877" i="1"/>
  <c r="P2877" i="1"/>
  <c r="O2837" i="1"/>
  <c r="P2837" i="1"/>
  <c r="O2805" i="1"/>
  <c r="P2805" i="1"/>
  <c r="O2757" i="1"/>
  <c r="P2757" i="1"/>
  <c r="O2725" i="1"/>
  <c r="P2725" i="1"/>
  <c r="O2677" i="1"/>
  <c r="P2677" i="1"/>
  <c r="O2637" i="1"/>
  <c r="P2637" i="1"/>
  <c r="O2597" i="1"/>
  <c r="P2597" i="1"/>
  <c r="O2549" i="1"/>
  <c r="P2549" i="1"/>
  <c r="O2509" i="1"/>
  <c r="P2509" i="1"/>
  <c r="O2469" i="1"/>
  <c r="P2469" i="1"/>
  <c r="O2421" i="1"/>
  <c r="P2421" i="1"/>
  <c r="O2381" i="1"/>
  <c r="P2381" i="1"/>
  <c r="O2333" i="1"/>
  <c r="P2333" i="1"/>
  <c r="O2285" i="1"/>
  <c r="P2285" i="1"/>
  <c r="O2237" i="1"/>
  <c r="P2237" i="1"/>
  <c r="O2181" i="1"/>
  <c r="P2181" i="1"/>
  <c r="O2093" i="1"/>
  <c r="P2093" i="1"/>
  <c r="P4045" i="1"/>
  <c r="P3981" i="1"/>
  <c r="P2990" i="1"/>
  <c r="P2430" i="1"/>
  <c r="P2382" i="1"/>
  <c r="P2253" i="1"/>
  <c r="P2230" i="1"/>
  <c r="P1829" i="1"/>
  <c r="P1805" i="1"/>
  <c r="P1149" i="1"/>
  <c r="P1093" i="1"/>
  <c r="P462" i="1"/>
  <c r="P430" i="1"/>
  <c r="P373" i="1"/>
  <c r="P213" i="1"/>
  <c r="O3924" i="1"/>
  <c r="P3924" i="1"/>
  <c r="O3916" i="1"/>
  <c r="P3916" i="1"/>
  <c r="O3908" i="1"/>
  <c r="P3908" i="1"/>
  <c r="O3892" i="1"/>
  <c r="P3892" i="1"/>
  <c r="O3884" i="1"/>
  <c r="P3884" i="1"/>
  <c r="O3876" i="1"/>
  <c r="P3876" i="1"/>
  <c r="O3860" i="1"/>
  <c r="P3860" i="1"/>
  <c r="O3852" i="1"/>
  <c r="P3852" i="1"/>
  <c r="O3844" i="1"/>
  <c r="P3844" i="1"/>
  <c r="O3828" i="1"/>
  <c r="P3828" i="1"/>
  <c r="O3820" i="1"/>
  <c r="P3820" i="1"/>
  <c r="O3812" i="1"/>
  <c r="P3812" i="1"/>
  <c r="O3796" i="1"/>
  <c r="P3796" i="1"/>
  <c r="O3788" i="1"/>
  <c r="P3788" i="1"/>
  <c r="O3780" i="1"/>
  <c r="P3780" i="1"/>
  <c r="O3764" i="1"/>
  <c r="P3764" i="1"/>
  <c r="O3756" i="1"/>
  <c r="P3756" i="1"/>
  <c r="O3748" i="1"/>
  <c r="P3748" i="1"/>
  <c r="O3732" i="1"/>
  <c r="P3732" i="1"/>
  <c r="O3724" i="1"/>
  <c r="P3724" i="1"/>
  <c r="O3716" i="1"/>
  <c r="P3716" i="1"/>
  <c r="O3700" i="1"/>
  <c r="P3700" i="1"/>
  <c r="O3692" i="1"/>
  <c r="P3692" i="1"/>
  <c r="O3684" i="1"/>
  <c r="P3684" i="1"/>
  <c r="O3668" i="1"/>
  <c r="P3668" i="1"/>
  <c r="O3660" i="1"/>
  <c r="P3660" i="1"/>
  <c r="O3652" i="1"/>
  <c r="P3652" i="1"/>
  <c r="O3636" i="1"/>
  <c r="P3636" i="1"/>
  <c r="O3628" i="1"/>
  <c r="P3628" i="1"/>
  <c r="O3620" i="1"/>
  <c r="P3620" i="1"/>
  <c r="O3612" i="1"/>
  <c r="P3612" i="1"/>
  <c r="O3604" i="1"/>
  <c r="P3604" i="1"/>
  <c r="O3596" i="1"/>
  <c r="P3596" i="1"/>
  <c r="O3588" i="1"/>
  <c r="P3588" i="1"/>
  <c r="O3580" i="1"/>
  <c r="P3580" i="1"/>
  <c r="O3572" i="1"/>
  <c r="P3572" i="1"/>
  <c r="O3564" i="1"/>
  <c r="P3564" i="1"/>
  <c r="O3556" i="1"/>
  <c r="P3556" i="1"/>
  <c r="O3548" i="1"/>
  <c r="P3548" i="1"/>
  <c r="O3540" i="1"/>
  <c r="P3540" i="1"/>
  <c r="O3532" i="1"/>
  <c r="P3532" i="1"/>
  <c r="O3524" i="1"/>
  <c r="P3524" i="1"/>
  <c r="O3516" i="1"/>
  <c r="P3516" i="1"/>
  <c r="O3508" i="1"/>
  <c r="P3508" i="1"/>
  <c r="O3500" i="1"/>
  <c r="P3500" i="1"/>
  <c r="O3492" i="1"/>
  <c r="P3492" i="1"/>
  <c r="O3484" i="1"/>
  <c r="P3484" i="1"/>
  <c r="O3476" i="1"/>
  <c r="P3476" i="1"/>
  <c r="O3468" i="1"/>
  <c r="P3468" i="1"/>
  <c r="O3460" i="1"/>
  <c r="P3460" i="1"/>
  <c r="O3452" i="1"/>
  <c r="P3452" i="1"/>
  <c r="O3444" i="1"/>
  <c r="P3444" i="1"/>
  <c r="O3436" i="1"/>
  <c r="P3436" i="1"/>
  <c r="O3428" i="1"/>
  <c r="P3428" i="1"/>
  <c r="O3420" i="1"/>
  <c r="P3420" i="1"/>
  <c r="O3412" i="1"/>
  <c r="P3412" i="1"/>
  <c r="O3404" i="1"/>
  <c r="P3404" i="1"/>
  <c r="O3396" i="1"/>
  <c r="P3396" i="1"/>
  <c r="O3388" i="1"/>
  <c r="P3388" i="1"/>
  <c r="O3380" i="1"/>
  <c r="P3380" i="1"/>
  <c r="O3372" i="1"/>
  <c r="P3372" i="1"/>
  <c r="O3364" i="1"/>
  <c r="P3364" i="1"/>
  <c r="O4430" i="1"/>
  <c r="P4430" i="1"/>
  <c r="O4382" i="1"/>
  <c r="P4382" i="1"/>
  <c r="O4334" i="1"/>
  <c r="P4334" i="1"/>
  <c r="O4302" i="1"/>
  <c r="P4302" i="1"/>
  <c r="O4270" i="1"/>
  <c r="P4270" i="1"/>
  <c r="O4222" i="1"/>
  <c r="P4222" i="1"/>
  <c r="O4174" i="1"/>
  <c r="P4174" i="1"/>
  <c r="O4126" i="1"/>
  <c r="P4126" i="1"/>
  <c r="O4094" i="1"/>
  <c r="P4094" i="1"/>
  <c r="O4054" i="1"/>
  <c r="P4054" i="1"/>
  <c r="O4014" i="1"/>
  <c r="P4014" i="1"/>
  <c r="O3974" i="1"/>
  <c r="P3974" i="1"/>
  <c r="O3926" i="1"/>
  <c r="P3926" i="1"/>
  <c r="O3878" i="1"/>
  <c r="P3878" i="1"/>
  <c r="O3846" i="1"/>
  <c r="P3846" i="1"/>
  <c r="O3806" i="1"/>
  <c r="P3806" i="1"/>
  <c r="O3758" i="1"/>
  <c r="P3758" i="1"/>
  <c r="O3710" i="1"/>
  <c r="P3710" i="1"/>
  <c r="O3662" i="1"/>
  <c r="P3662" i="1"/>
  <c r="O3638" i="1"/>
  <c r="P3638" i="1"/>
  <c r="O3590" i="1"/>
  <c r="P3590" i="1"/>
  <c r="O3550" i="1"/>
  <c r="P3550" i="1"/>
  <c r="O3502" i="1"/>
  <c r="P3502" i="1"/>
  <c r="O3470" i="1"/>
  <c r="P3470" i="1"/>
  <c r="O3438" i="1"/>
  <c r="P3438" i="1"/>
  <c r="O3398" i="1"/>
  <c r="P3398" i="1"/>
  <c r="O3350" i="1"/>
  <c r="P3350" i="1"/>
  <c r="O3302" i="1"/>
  <c r="P3302" i="1"/>
  <c r="O3270" i="1"/>
  <c r="P3270" i="1"/>
  <c r="O3230" i="1"/>
  <c r="P3230" i="1"/>
  <c r="O3182" i="1"/>
  <c r="P3182" i="1"/>
  <c r="O3134" i="1"/>
  <c r="P3134" i="1"/>
  <c r="O3062" i="1"/>
  <c r="P3062" i="1"/>
  <c r="O2974" i="1"/>
  <c r="P2974" i="1"/>
  <c r="O2926" i="1"/>
  <c r="P2926" i="1"/>
  <c r="O2878" i="1"/>
  <c r="P2878" i="1"/>
  <c r="O2814" i="1"/>
  <c r="P2814" i="1"/>
  <c r="O2782" i="1"/>
  <c r="P2782" i="1"/>
  <c r="O2734" i="1"/>
  <c r="P2734" i="1"/>
  <c r="O2686" i="1"/>
  <c r="P2686" i="1"/>
  <c r="O2662" i="1"/>
  <c r="P2662" i="1"/>
  <c r="O2630" i="1"/>
  <c r="P2630" i="1"/>
  <c r="O2534" i="1"/>
  <c r="P2534" i="1"/>
  <c r="O2502" i="1"/>
  <c r="P2502" i="1"/>
  <c r="O2454" i="1"/>
  <c r="P2454" i="1"/>
  <c r="O2414" i="1"/>
  <c r="P2414" i="1"/>
  <c r="O2374" i="1"/>
  <c r="P2374" i="1"/>
  <c r="O2326" i="1"/>
  <c r="P2326" i="1"/>
  <c r="O2238" i="1"/>
  <c r="P2238" i="1"/>
  <c r="O2198" i="1"/>
  <c r="P2198" i="1"/>
  <c r="O2150" i="1"/>
  <c r="P2150" i="1"/>
  <c r="O2110" i="1"/>
  <c r="P2110" i="1"/>
  <c r="O2070" i="1"/>
  <c r="P2070" i="1"/>
  <c r="O2030" i="1"/>
  <c r="P2030" i="1"/>
  <c r="O1990" i="1"/>
  <c r="P1990" i="1"/>
  <c r="O1950" i="1"/>
  <c r="P1950" i="1"/>
  <c r="O1918" i="1"/>
  <c r="P1918" i="1"/>
  <c r="O1870" i="1"/>
  <c r="P1870" i="1"/>
  <c r="O1822" i="1"/>
  <c r="P1822" i="1"/>
  <c r="O1790" i="1"/>
  <c r="P1790" i="1"/>
  <c r="O1758" i="1"/>
  <c r="P1758" i="1"/>
  <c r="O1710" i="1"/>
  <c r="P1710" i="1"/>
  <c r="O1622" i="1"/>
  <c r="P1622" i="1"/>
  <c r="O1590" i="1"/>
  <c r="P1590" i="1"/>
  <c r="O1550" i="1"/>
  <c r="P1550" i="1"/>
  <c r="O1502" i="1"/>
  <c r="P1502" i="1"/>
  <c r="O1478" i="1"/>
  <c r="P1478" i="1"/>
  <c r="O1430" i="1"/>
  <c r="P1430" i="1"/>
  <c r="O1342" i="1"/>
  <c r="P1342" i="1"/>
  <c r="O1294" i="1"/>
  <c r="P1294" i="1"/>
  <c r="O1246" i="1"/>
  <c r="P1246" i="1"/>
  <c r="O1214" i="1"/>
  <c r="P1214" i="1"/>
  <c r="O1166" i="1"/>
  <c r="P1166" i="1"/>
  <c r="O1134" i="1"/>
  <c r="P1134" i="1"/>
  <c r="O1086" i="1"/>
  <c r="P1086" i="1"/>
  <c r="O1054" i="1"/>
  <c r="P1054" i="1"/>
  <c r="O1014" i="1"/>
  <c r="P1014" i="1"/>
  <c r="O974" i="1"/>
  <c r="P974" i="1"/>
  <c r="O926" i="1"/>
  <c r="P926" i="1"/>
  <c r="O878" i="1"/>
  <c r="P878" i="1"/>
  <c r="O830" i="1"/>
  <c r="P830" i="1"/>
  <c r="O798" i="1"/>
  <c r="P798" i="1"/>
  <c r="O758" i="1"/>
  <c r="P758" i="1"/>
  <c r="O718" i="1"/>
  <c r="P718" i="1"/>
  <c r="O670" i="1"/>
  <c r="P670" i="1"/>
  <c r="O638" i="1"/>
  <c r="P638" i="1"/>
  <c r="O590" i="1"/>
  <c r="P590" i="1"/>
  <c r="O558" i="1"/>
  <c r="P558" i="1"/>
  <c r="O510" i="1"/>
  <c r="P510" i="1"/>
  <c r="O470" i="1"/>
  <c r="P470" i="1"/>
  <c r="O334" i="1"/>
  <c r="P334" i="1"/>
  <c r="O286" i="1"/>
  <c r="P286" i="1"/>
  <c r="O254" i="1"/>
  <c r="P254" i="1"/>
  <c r="O230" i="1"/>
  <c r="P230" i="1"/>
  <c r="O190" i="1"/>
  <c r="P190" i="1"/>
  <c r="O3893" i="1"/>
  <c r="P3893" i="1"/>
  <c r="O3845" i="1"/>
  <c r="P3845" i="1"/>
  <c r="O3813" i="1"/>
  <c r="P3813" i="1"/>
  <c r="O3781" i="1"/>
  <c r="P3781" i="1"/>
  <c r="O3733" i="1"/>
  <c r="P3733" i="1"/>
  <c r="O3685" i="1"/>
  <c r="P3685" i="1"/>
  <c r="O3645" i="1"/>
  <c r="P3645" i="1"/>
  <c r="O3605" i="1"/>
  <c r="P3605" i="1"/>
  <c r="O3573" i="1"/>
  <c r="P3573" i="1"/>
  <c r="O3533" i="1"/>
  <c r="P3533" i="1"/>
  <c r="O3485" i="1"/>
  <c r="P3485" i="1"/>
  <c r="O3437" i="1"/>
  <c r="P3437" i="1"/>
  <c r="O3405" i="1"/>
  <c r="P3405" i="1"/>
  <c r="O3381" i="1"/>
  <c r="P3381" i="1"/>
  <c r="O3333" i="1"/>
  <c r="P3333" i="1"/>
  <c r="O3285" i="1"/>
  <c r="P3285" i="1"/>
  <c r="O3253" i="1"/>
  <c r="P3253" i="1"/>
  <c r="O3205" i="1"/>
  <c r="P3205" i="1"/>
  <c r="O3157" i="1"/>
  <c r="P3157" i="1"/>
  <c r="O3125" i="1"/>
  <c r="P3125" i="1"/>
  <c r="O3085" i="1"/>
  <c r="P3085" i="1"/>
  <c r="O3045" i="1"/>
  <c r="P3045" i="1"/>
  <c r="O2997" i="1"/>
  <c r="P2997" i="1"/>
  <c r="O2973" i="1"/>
  <c r="P2973" i="1"/>
  <c r="O2933" i="1"/>
  <c r="P2933" i="1"/>
  <c r="O2845" i="1"/>
  <c r="P2845" i="1"/>
  <c r="O2701" i="1"/>
  <c r="P2701" i="1"/>
  <c r="O2621" i="1"/>
  <c r="P2621" i="1"/>
  <c r="O2573" i="1"/>
  <c r="P2573" i="1"/>
  <c r="O2541" i="1"/>
  <c r="P2541" i="1"/>
  <c r="O2493" i="1"/>
  <c r="P2493" i="1"/>
  <c r="O2453" i="1"/>
  <c r="P2453" i="1"/>
  <c r="O2429" i="1"/>
  <c r="P2429" i="1"/>
  <c r="O2389" i="1"/>
  <c r="P2389" i="1"/>
  <c r="O2341" i="1"/>
  <c r="P2341" i="1"/>
  <c r="O2301" i="1"/>
  <c r="P2301" i="1"/>
  <c r="O2229" i="1"/>
  <c r="P2229" i="1"/>
  <c r="O2189" i="1"/>
  <c r="P2189" i="1"/>
  <c r="O2141" i="1"/>
  <c r="P2141" i="1"/>
  <c r="O2101" i="1"/>
  <c r="P2101" i="1"/>
  <c r="O2077" i="1"/>
  <c r="P2077" i="1"/>
  <c r="O1997" i="1"/>
  <c r="P1997" i="1"/>
  <c r="O1957" i="1"/>
  <c r="P1957" i="1"/>
  <c r="O1925" i="1"/>
  <c r="P1925" i="1"/>
  <c r="O1869" i="1"/>
  <c r="P1869" i="1"/>
  <c r="O1821" i="1"/>
  <c r="P1821" i="1"/>
  <c r="O1781" i="1"/>
  <c r="P1781" i="1"/>
  <c r="O1773" i="1"/>
  <c r="P1773" i="1"/>
  <c r="O1733" i="1"/>
  <c r="P1733" i="1"/>
  <c r="O1693" i="1"/>
  <c r="P1693" i="1"/>
  <c r="O1653" i="1"/>
  <c r="P1653" i="1"/>
  <c r="O1645" i="1"/>
  <c r="P1645" i="1"/>
  <c r="O1605" i="1"/>
  <c r="P1605" i="1"/>
  <c r="O1565" i="1"/>
  <c r="P1565" i="1"/>
  <c r="O1525" i="1"/>
  <c r="P1525" i="1"/>
  <c r="O1517" i="1"/>
  <c r="P1517" i="1"/>
  <c r="O1477" i="1"/>
  <c r="P1477" i="1"/>
  <c r="O1437" i="1"/>
  <c r="P1437" i="1"/>
  <c r="O1405" i="1"/>
  <c r="P1405" i="1"/>
  <c r="O1381" i="1"/>
  <c r="P1381" i="1"/>
  <c r="O1341" i="1"/>
  <c r="P1341" i="1"/>
  <c r="O1309" i="1"/>
  <c r="P1309" i="1"/>
  <c r="O1277" i="1"/>
  <c r="P1277" i="1"/>
  <c r="O1205" i="1"/>
  <c r="P1205" i="1"/>
  <c r="O1181" i="1"/>
  <c r="P1181" i="1"/>
  <c r="O1141" i="1"/>
  <c r="P1141" i="1"/>
  <c r="O1109" i="1"/>
  <c r="P1109" i="1"/>
  <c r="O1053" i="1"/>
  <c r="P1053" i="1"/>
  <c r="O1013" i="1"/>
  <c r="P1013" i="1"/>
  <c r="O973" i="1"/>
  <c r="P973" i="1"/>
  <c r="O933" i="1"/>
  <c r="P933" i="1"/>
  <c r="O869" i="1"/>
  <c r="P869" i="1"/>
  <c r="O829" i="1"/>
  <c r="P829" i="1"/>
  <c r="O805" i="1"/>
  <c r="P805" i="1"/>
  <c r="O773" i="1"/>
  <c r="P773" i="1"/>
  <c r="O733" i="1"/>
  <c r="P733" i="1"/>
  <c r="O693" i="1"/>
  <c r="P693" i="1"/>
  <c r="O661" i="1"/>
  <c r="P661" i="1"/>
  <c r="O629" i="1"/>
  <c r="P629" i="1"/>
  <c r="O589" i="1"/>
  <c r="P589" i="1"/>
  <c r="O557" i="1"/>
  <c r="P557" i="1"/>
  <c r="O501" i="1"/>
  <c r="P501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7" i="1"/>
  <c r="P4428" i="1"/>
  <c r="P4373" i="1"/>
  <c r="P4364" i="1"/>
  <c r="P4309" i="1"/>
  <c r="P4300" i="1"/>
  <c r="P4245" i="1"/>
  <c r="P4236" i="1"/>
  <c r="P4181" i="1"/>
  <c r="P4172" i="1"/>
  <c r="P4117" i="1"/>
  <c r="P4108" i="1"/>
  <c r="P4053" i="1"/>
  <c r="P4044" i="1"/>
  <c r="P3989" i="1"/>
  <c r="P3980" i="1"/>
  <c r="P3836" i="1"/>
  <c r="P2486" i="1"/>
  <c r="P2262" i="1"/>
  <c r="P1534" i="1"/>
  <c r="P1510" i="1"/>
  <c r="P1237" i="1"/>
  <c r="O4414" i="1"/>
  <c r="P4414" i="1"/>
  <c r="O4358" i="1"/>
  <c r="P4358" i="1"/>
  <c r="O4310" i="1"/>
  <c r="P4310" i="1"/>
  <c r="O4254" i="1"/>
  <c r="P4254" i="1"/>
  <c r="O4198" i="1"/>
  <c r="P4198" i="1"/>
  <c r="O4142" i="1"/>
  <c r="P4142" i="1"/>
  <c r="O4078" i="1"/>
  <c r="P4078" i="1"/>
  <c r="O4030" i="1"/>
  <c r="P4030" i="1"/>
  <c r="O3982" i="1"/>
  <c r="P3982" i="1"/>
  <c r="O3934" i="1"/>
  <c r="P3934" i="1"/>
  <c r="O3886" i="1"/>
  <c r="P3886" i="1"/>
  <c r="O3822" i="1"/>
  <c r="P3822" i="1"/>
  <c r="O3774" i="1"/>
  <c r="P3774" i="1"/>
  <c r="O3726" i="1"/>
  <c r="P3726" i="1"/>
  <c r="O3670" i="1"/>
  <c r="P3670" i="1"/>
  <c r="O3614" i="1"/>
  <c r="P3614" i="1"/>
  <c r="O3566" i="1"/>
  <c r="P3566" i="1"/>
  <c r="O3510" i="1"/>
  <c r="P3510" i="1"/>
  <c r="O3462" i="1"/>
  <c r="P3462" i="1"/>
  <c r="O3414" i="1"/>
  <c r="P3414" i="1"/>
  <c r="O3358" i="1"/>
  <c r="P3358" i="1"/>
  <c r="O3310" i="1"/>
  <c r="P3310" i="1"/>
  <c r="O3254" i="1"/>
  <c r="P3254" i="1"/>
  <c r="O3198" i="1"/>
  <c r="P3198" i="1"/>
  <c r="O3150" i="1"/>
  <c r="P3150" i="1"/>
  <c r="O3110" i="1"/>
  <c r="P3110" i="1"/>
  <c r="O2934" i="1"/>
  <c r="P2934" i="1"/>
  <c r="O2886" i="1"/>
  <c r="P2886" i="1"/>
  <c r="O2838" i="1"/>
  <c r="P2838" i="1"/>
  <c r="O2790" i="1"/>
  <c r="P2790" i="1"/>
  <c r="O2742" i="1"/>
  <c r="P2742" i="1"/>
  <c r="O2694" i="1"/>
  <c r="P2694" i="1"/>
  <c r="O2638" i="1"/>
  <c r="P2638" i="1"/>
  <c r="O2598" i="1"/>
  <c r="P2598" i="1"/>
  <c r="O2558" i="1"/>
  <c r="P2558" i="1"/>
  <c r="O2446" i="1"/>
  <c r="P2446" i="1"/>
  <c r="O2390" i="1"/>
  <c r="P2390" i="1"/>
  <c r="O2342" i="1"/>
  <c r="P2342" i="1"/>
  <c r="O2214" i="1"/>
  <c r="P2214" i="1"/>
  <c r="O2166" i="1"/>
  <c r="P2166" i="1"/>
  <c r="O2118" i="1"/>
  <c r="P2118" i="1"/>
  <c r="O2062" i="1"/>
  <c r="P2062" i="1"/>
  <c r="O2006" i="1"/>
  <c r="P2006" i="1"/>
  <c r="O1958" i="1"/>
  <c r="P1958" i="1"/>
  <c r="O1902" i="1"/>
  <c r="P1902" i="1"/>
  <c r="O1838" i="1"/>
  <c r="P1838" i="1"/>
  <c r="O1734" i="1"/>
  <c r="P1734" i="1"/>
  <c r="O1686" i="1"/>
  <c r="P1686" i="1"/>
  <c r="O1630" i="1"/>
  <c r="P1630" i="1"/>
  <c r="O1582" i="1"/>
  <c r="P1582" i="1"/>
  <c r="O1470" i="1"/>
  <c r="P1470" i="1"/>
  <c r="O1422" i="1"/>
  <c r="P1422" i="1"/>
  <c r="O1390" i="1"/>
  <c r="P1390" i="1"/>
  <c r="O1326" i="1"/>
  <c r="P1326" i="1"/>
  <c r="O1270" i="1"/>
  <c r="P1270" i="1"/>
  <c r="O1222" i="1"/>
  <c r="P1222" i="1"/>
  <c r="O1174" i="1"/>
  <c r="P1174" i="1"/>
  <c r="O1118" i="1"/>
  <c r="P1118" i="1"/>
  <c r="O1070" i="1"/>
  <c r="P1070" i="1"/>
  <c r="O1022" i="1"/>
  <c r="P1022" i="1"/>
  <c r="O966" i="1"/>
  <c r="P966" i="1"/>
  <c r="O910" i="1"/>
  <c r="P910" i="1"/>
  <c r="O854" i="1"/>
  <c r="P854" i="1"/>
  <c r="O726" i="1"/>
  <c r="P726" i="1"/>
  <c r="O686" i="1"/>
  <c r="P686" i="1"/>
  <c r="O630" i="1"/>
  <c r="P630" i="1"/>
  <c r="O574" i="1"/>
  <c r="P574" i="1"/>
  <c r="O534" i="1"/>
  <c r="P534" i="1"/>
  <c r="O486" i="1"/>
  <c r="P486" i="1"/>
  <c r="O438" i="1"/>
  <c r="P438" i="1"/>
  <c r="O390" i="1"/>
  <c r="P390" i="1"/>
  <c r="O342" i="1"/>
  <c r="P342" i="1"/>
  <c r="O294" i="1"/>
  <c r="P294" i="1"/>
  <c r="O246" i="1"/>
  <c r="P246" i="1"/>
  <c r="P1670" i="1"/>
  <c r="P1438" i="1"/>
  <c r="O3917" i="1"/>
  <c r="P3917" i="1"/>
  <c r="O3861" i="1"/>
  <c r="P3861" i="1"/>
  <c r="O3797" i="1"/>
  <c r="P3797" i="1"/>
  <c r="O3757" i="1"/>
  <c r="P3757" i="1"/>
  <c r="O3709" i="1"/>
  <c r="P3709" i="1"/>
  <c r="O3661" i="1"/>
  <c r="P3661" i="1"/>
  <c r="O3613" i="1"/>
  <c r="P3613" i="1"/>
  <c r="O3557" i="1"/>
  <c r="P3557" i="1"/>
  <c r="O3501" i="1"/>
  <c r="P3501" i="1"/>
  <c r="O3445" i="1"/>
  <c r="P3445" i="1"/>
  <c r="O3389" i="1"/>
  <c r="P3389" i="1"/>
  <c r="O3341" i="1"/>
  <c r="P3341" i="1"/>
  <c r="O3293" i="1"/>
  <c r="P3293" i="1"/>
  <c r="O3237" i="1"/>
  <c r="P3237" i="1"/>
  <c r="O3189" i="1"/>
  <c r="P3189" i="1"/>
  <c r="O3141" i="1"/>
  <c r="P3141" i="1"/>
  <c r="O3093" i="1"/>
  <c r="P3093" i="1"/>
  <c r="O3037" i="1"/>
  <c r="P3037" i="1"/>
  <c r="O2989" i="1"/>
  <c r="P2989" i="1"/>
  <c r="O2941" i="1"/>
  <c r="P2941" i="1"/>
  <c r="O2829" i="1"/>
  <c r="P2829" i="1"/>
  <c r="O2781" i="1"/>
  <c r="P2781" i="1"/>
  <c r="O2733" i="1"/>
  <c r="P2733" i="1"/>
  <c r="O2685" i="1"/>
  <c r="P2685" i="1"/>
  <c r="O2629" i="1"/>
  <c r="P2629" i="1"/>
  <c r="O2581" i="1"/>
  <c r="P2581" i="1"/>
  <c r="O2525" i="1"/>
  <c r="P2525" i="1"/>
  <c r="O2485" i="1"/>
  <c r="P2485" i="1"/>
  <c r="O2437" i="1"/>
  <c r="P2437" i="1"/>
  <c r="O2365" i="1"/>
  <c r="P2365" i="1"/>
  <c r="O2325" i="1"/>
  <c r="P2325" i="1"/>
  <c r="O2213" i="1"/>
  <c r="P2213" i="1"/>
  <c r="O2165" i="1"/>
  <c r="P2165" i="1"/>
  <c r="O2117" i="1"/>
  <c r="P2117" i="1"/>
  <c r="O2061" i="1"/>
  <c r="P2061" i="1"/>
  <c r="O2013" i="1"/>
  <c r="P2013" i="1"/>
  <c r="O1973" i="1"/>
  <c r="P1973" i="1"/>
  <c r="O1933" i="1"/>
  <c r="P1933" i="1"/>
  <c r="O1885" i="1"/>
  <c r="P1885" i="1"/>
  <c r="O1837" i="1"/>
  <c r="P1837" i="1"/>
  <c r="O1789" i="1"/>
  <c r="P1789" i="1"/>
  <c r="O1741" i="1"/>
  <c r="P1741" i="1"/>
  <c r="O1709" i="1"/>
  <c r="P1709" i="1"/>
  <c r="O1669" i="1"/>
  <c r="P1669" i="1"/>
  <c r="O1613" i="1"/>
  <c r="P1613" i="1"/>
  <c r="O1581" i="1"/>
  <c r="P1581" i="1"/>
  <c r="O1533" i="1"/>
  <c r="P1533" i="1"/>
  <c r="O1485" i="1"/>
  <c r="P1485" i="1"/>
  <c r="O1453" i="1"/>
  <c r="P1453" i="1"/>
  <c r="O1413" i="1"/>
  <c r="P1413" i="1"/>
  <c r="O1365" i="1"/>
  <c r="P1365" i="1"/>
  <c r="O1325" i="1"/>
  <c r="P1325" i="1"/>
  <c r="O1229" i="1"/>
  <c r="P1229" i="1"/>
  <c r="O1189" i="1"/>
  <c r="P1189" i="1"/>
  <c r="O1157" i="1"/>
  <c r="P1157" i="1"/>
  <c r="O1117" i="1"/>
  <c r="P1117" i="1"/>
  <c r="O1069" i="1"/>
  <c r="P1069" i="1"/>
  <c r="O1029" i="1"/>
  <c r="P1029" i="1"/>
  <c r="O989" i="1"/>
  <c r="P989" i="1"/>
  <c r="O949" i="1"/>
  <c r="P949" i="1"/>
  <c r="O861" i="1"/>
  <c r="P861" i="1"/>
  <c r="O821" i="1"/>
  <c r="P821" i="1"/>
  <c r="O781" i="1"/>
  <c r="P781" i="1"/>
  <c r="O741" i="1"/>
  <c r="P741" i="1"/>
  <c r="O701" i="1"/>
  <c r="P701" i="1"/>
  <c r="O669" i="1"/>
  <c r="P669" i="1"/>
  <c r="O613" i="1"/>
  <c r="P613" i="1"/>
  <c r="O581" i="1"/>
  <c r="P581" i="1"/>
  <c r="O509" i="1"/>
  <c r="P509" i="1"/>
  <c r="P4365" i="1"/>
  <c r="P4237" i="1"/>
  <c r="P3014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6" i="1"/>
  <c r="P4381" i="1"/>
  <c r="P4372" i="1"/>
  <c r="P4317" i="1"/>
  <c r="P4308" i="1"/>
  <c r="P4253" i="1"/>
  <c r="P4244" i="1"/>
  <c r="P4189" i="1"/>
  <c r="P4180" i="1"/>
  <c r="P4125" i="1"/>
  <c r="P4116" i="1"/>
  <c r="P4061" i="1"/>
  <c r="P4052" i="1"/>
  <c r="P3997" i="1"/>
  <c r="P3988" i="1"/>
  <c r="P3933" i="1"/>
  <c r="P3046" i="1"/>
  <c r="P3022" i="1"/>
  <c r="P2885" i="1"/>
  <c r="P2261" i="1"/>
  <c r="P1901" i="1"/>
  <c r="P1269" i="1"/>
  <c r="P893" i="1"/>
  <c r="O4406" i="1"/>
  <c r="P4406" i="1"/>
  <c r="O4366" i="1"/>
  <c r="P4366" i="1"/>
  <c r="O4326" i="1"/>
  <c r="P4326" i="1"/>
  <c r="O4278" i="1"/>
  <c r="P4278" i="1"/>
  <c r="O4230" i="1"/>
  <c r="P4230" i="1"/>
  <c r="O4182" i="1"/>
  <c r="P4182" i="1"/>
  <c r="O4158" i="1"/>
  <c r="P4158" i="1"/>
  <c r="O4110" i="1"/>
  <c r="P4110" i="1"/>
  <c r="O4062" i="1"/>
  <c r="P4062" i="1"/>
  <c r="O4006" i="1"/>
  <c r="P4006" i="1"/>
  <c r="O3966" i="1"/>
  <c r="P3966" i="1"/>
  <c r="O3918" i="1"/>
  <c r="P3918" i="1"/>
  <c r="O3870" i="1"/>
  <c r="P3870" i="1"/>
  <c r="O3830" i="1"/>
  <c r="P3830" i="1"/>
  <c r="O3790" i="1"/>
  <c r="P3790" i="1"/>
  <c r="O3742" i="1"/>
  <c r="P3742" i="1"/>
  <c r="O3694" i="1"/>
  <c r="P3694" i="1"/>
  <c r="O3654" i="1"/>
  <c r="P3654" i="1"/>
  <c r="O3606" i="1"/>
  <c r="P3606" i="1"/>
  <c r="O3558" i="1"/>
  <c r="P3558" i="1"/>
  <c r="O3526" i="1"/>
  <c r="P3526" i="1"/>
  <c r="O3494" i="1"/>
  <c r="P3494" i="1"/>
  <c r="O3446" i="1"/>
  <c r="P3446" i="1"/>
  <c r="O3390" i="1"/>
  <c r="P3390" i="1"/>
  <c r="O3342" i="1"/>
  <c r="P3342" i="1"/>
  <c r="O3294" i="1"/>
  <c r="P3294" i="1"/>
  <c r="O3246" i="1"/>
  <c r="P3246" i="1"/>
  <c r="O3214" i="1"/>
  <c r="P3214" i="1"/>
  <c r="O3174" i="1"/>
  <c r="P3174" i="1"/>
  <c r="O3126" i="1"/>
  <c r="P3126" i="1"/>
  <c r="O3030" i="1"/>
  <c r="P3030" i="1"/>
  <c r="O2942" i="1"/>
  <c r="P2942" i="1"/>
  <c r="O2910" i="1"/>
  <c r="P2910" i="1"/>
  <c r="O2862" i="1"/>
  <c r="P2862" i="1"/>
  <c r="O2822" i="1"/>
  <c r="P2822" i="1"/>
  <c r="O2774" i="1"/>
  <c r="P2774" i="1"/>
  <c r="O2726" i="1"/>
  <c r="P2726" i="1"/>
  <c r="O2678" i="1"/>
  <c r="P2678" i="1"/>
  <c r="O2574" i="1"/>
  <c r="P2574" i="1"/>
  <c r="O2526" i="1"/>
  <c r="P2526" i="1"/>
  <c r="O2478" i="1"/>
  <c r="P2478" i="1"/>
  <c r="O2398" i="1"/>
  <c r="P2398" i="1"/>
  <c r="O2358" i="1"/>
  <c r="P2358" i="1"/>
  <c r="O2310" i="1"/>
  <c r="P2310" i="1"/>
  <c r="O2286" i="1"/>
  <c r="P2286" i="1"/>
  <c r="O2182" i="1"/>
  <c r="P2182" i="1"/>
  <c r="O2142" i="1"/>
  <c r="P2142" i="1"/>
  <c r="O2094" i="1"/>
  <c r="P2094" i="1"/>
  <c r="O2054" i="1"/>
  <c r="P2054" i="1"/>
  <c r="O2022" i="1"/>
  <c r="P2022" i="1"/>
  <c r="O1974" i="1"/>
  <c r="P1974" i="1"/>
  <c r="O1934" i="1"/>
  <c r="P1934" i="1"/>
  <c r="O1886" i="1"/>
  <c r="P1886" i="1"/>
  <c r="O1862" i="1"/>
  <c r="P1862" i="1"/>
  <c r="O1814" i="1"/>
  <c r="P1814" i="1"/>
  <c r="O1766" i="1"/>
  <c r="P1766" i="1"/>
  <c r="O1718" i="1"/>
  <c r="P1718" i="1"/>
  <c r="O1678" i="1"/>
  <c r="P1678" i="1"/>
  <c r="O1646" i="1"/>
  <c r="P1646" i="1"/>
  <c r="O1606" i="1"/>
  <c r="P1606" i="1"/>
  <c r="O1558" i="1"/>
  <c r="P1558" i="1"/>
  <c r="O1526" i="1"/>
  <c r="P1526" i="1"/>
  <c r="O1486" i="1"/>
  <c r="P1486" i="1"/>
  <c r="O1446" i="1"/>
  <c r="P1446" i="1"/>
  <c r="O1398" i="1"/>
  <c r="P1398" i="1"/>
  <c r="O1366" i="1"/>
  <c r="P1366" i="1"/>
  <c r="O1318" i="1"/>
  <c r="P1318" i="1"/>
  <c r="O1286" i="1"/>
  <c r="P1286" i="1"/>
  <c r="O1238" i="1"/>
  <c r="P1238" i="1"/>
  <c r="O1190" i="1"/>
  <c r="P1190" i="1"/>
  <c r="O1142" i="1"/>
  <c r="P1142" i="1"/>
  <c r="O1110" i="1"/>
  <c r="P1110" i="1"/>
  <c r="O1062" i="1"/>
  <c r="P1062" i="1"/>
  <c r="O1006" i="1"/>
  <c r="P1006" i="1"/>
  <c r="O958" i="1"/>
  <c r="P958" i="1"/>
  <c r="O918" i="1"/>
  <c r="P918" i="1"/>
  <c r="O870" i="1"/>
  <c r="P870" i="1"/>
  <c r="O782" i="1"/>
  <c r="P782" i="1"/>
  <c r="O742" i="1"/>
  <c r="P742" i="1"/>
  <c r="O694" i="1"/>
  <c r="P694" i="1"/>
  <c r="O662" i="1"/>
  <c r="P662" i="1"/>
  <c r="O614" i="1"/>
  <c r="P614" i="1"/>
  <c r="O566" i="1"/>
  <c r="P566" i="1"/>
  <c r="O518" i="1"/>
  <c r="P518" i="1"/>
  <c r="O478" i="1"/>
  <c r="P478" i="1"/>
  <c r="O446" i="1"/>
  <c r="P446" i="1"/>
  <c r="O398" i="1"/>
  <c r="P398" i="1"/>
  <c r="O350" i="1"/>
  <c r="P350" i="1"/>
  <c r="O302" i="1"/>
  <c r="P302" i="1"/>
  <c r="O262" i="1"/>
  <c r="P262" i="1"/>
  <c r="O222" i="1"/>
  <c r="P222" i="1"/>
  <c r="P374" i="1"/>
  <c r="O3925" i="1"/>
  <c r="P3925" i="1"/>
  <c r="O3869" i="1"/>
  <c r="P3869" i="1"/>
  <c r="O3821" i="1"/>
  <c r="P3821" i="1"/>
  <c r="O3765" i="1"/>
  <c r="P3765" i="1"/>
  <c r="O3717" i="1"/>
  <c r="P3717" i="1"/>
  <c r="O3669" i="1"/>
  <c r="P3669" i="1"/>
  <c r="O3629" i="1"/>
  <c r="P3629" i="1"/>
  <c r="O3581" i="1"/>
  <c r="P3581" i="1"/>
  <c r="O3525" i="1"/>
  <c r="P3525" i="1"/>
  <c r="O3461" i="1"/>
  <c r="P3461" i="1"/>
  <c r="O3413" i="1"/>
  <c r="P3413" i="1"/>
  <c r="O3357" i="1"/>
  <c r="P3357" i="1"/>
  <c r="O3309" i="1"/>
  <c r="P3309" i="1"/>
  <c r="O3269" i="1"/>
  <c r="P3269" i="1"/>
  <c r="O3221" i="1"/>
  <c r="P3221" i="1"/>
  <c r="O3165" i="1"/>
  <c r="P3165" i="1"/>
  <c r="O3109" i="1"/>
  <c r="P3109" i="1"/>
  <c r="O3053" i="1"/>
  <c r="P3053" i="1"/>
  <c r="O3005" i="1"/>
  <c r="P3005" i="1"/>
  <c r="O2909" i="1"/>
  <c r="P2909" i="1"/>
  <c r="O2869" i="1"/>
  <c r="P2869" i="1"/>
  <c r="O2821" i="1"/>
  <c r="P2821" i="1"/>
  <c r="O2765" i="1"/>
  <c r="P2765" i="1"/>
  <c r="O2717" i="1"/>
  <c r="P2717" i="1"/>
  <c r="O2669" i="1"/>
  <c r="P2669" i="1"/>
  <c r="O2613" i="1"/>
  <c r="P2613" i="1"/>
  <c r="O2565" i="1"/>
  <c r="P2565" i="1"/>
  <c r="O2517" i="1"/>
  <c r="P2517" i="1"/>
  <c r="O2461" i="1"/>
  <c r="P2461" i="1"/>
  <c r="O2405" i="1"/>
  <c r="P2405" i="1"/>
  <c r="O2357" i="1"/>
  <c r="P2357" i="1"/>
  <c r="O2309" i="1"/>
  <c r="P2309" i="1"/>
  <c r="O2277" i="1"/>
  <c r="P2277" i="1"/>
  <c r="O2221" i="1"/>
  <c r="P2221" i="1"/>
  <c r="O2173" i="1"/>
  <c r="P2173" i="1"/>
  <c r="O2133" i="1"/>
  <c r="P2133" i="1"/>
  <c r="O2085" i="1"/>
  <c r="P2085" i="1"/>
  <c r="O2045" i="1"/>
  <c r="P2045" i="1"/>
  <c r="O2005" i="1"/>
  <c r="P2005" i="1"/>
  <c r="O1965" i="1"/>
  <c r="P1965" i="1"/>
  <c r="O1917" i="1"/>
  <c r="P1917" i="1"/>
  <c r="O1877" i="1"/>
  <c r="P1877" i="1"/>
  <c r="O1845" i="1"/>
  <c r="P1845" i="1"/>
  <c r="O1797" i="1"/>
  <c r="P1797" i="1"/>
  <c r="O1749" i="1"/>
  <c r="P1749" i="1"/>
  <c r="O1717" i="1"/>
  <c r="P1717" i="1"/>
  <c r="O1677" i="1"/>
  <c r="P1677" i="1"/>
  <c r="O1629" i="1"/>
  <c r="P1629" i="1"/>
  <c r="O1589" i="1"/>
  <c r="P1589" i="1"/>
  <c r="O1549" i="1"/>
  <c r="P1549" i="1"/>
  <c r="O1501" i="1"/>
  <c r="P1501" i="1"/>
  <c r="O1461" i="1"/>
  <c r="P1461" i="1"/>
  <c r="O1421" i="1"/>
  <c r="P1421" i="1"/>
  <c r="O1373" i="1"/>
  <c r="P1373" i="1"/>
  <c r="O1333" i="1"/>
  <c r="P1333" i="1"/>
  <c r="O1293" i="1"/>
  <c r="P1293" i="1"/>
  <c r="O1253" i="1"/>
  <c r="P1253" i="1"/>
  <c r="O1213" i="1"/>
  <c r="P1213" i="1"/>
  <c r="O1173" i="1"/>
  <c r="P1173" i="1"/>
  <c r="O1133" i="1"/>
  <c r="P1133" i="1"/>
  <c r="O1045" i="1"/>
  <c r="P1045" i="1"/>
  <c r="O1005" i="1"/>
  <c r="P1005" i="1"/>
  <c r="O965" i="1"/>
  <c r="P965" i="1"/>
  <c r="O917" i="1"/>
  <c r="P917" i="1"/>
  <c r="O877" i="1"/>
  <c r="P877" i="1"/>
  <c r="O845" i="1"/>
  <c r="P845" i="1"/>
  <c r="O789" i="1"/>
  <c r="P789" i="1"/>
  <c r="O749" i="1"/>
  <c r="P749" i="1"/>
  <c r="O709" i="1"/>
  <c r="P709" i="1"/>
  <c r="O685" i="1"/>
  <c r="P685" i="1"/>
  <c r="O645" i="1"/>
  <c r="P645" i="1"/>
  <c r="O605" i="1"/>
  <c r="P605" i="1"/>
  <c r="O525" i="1"/>
  <c r="P525" i="1"/>
  <c r="P4301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4516" i="1"/>
  <c r="P4508" i="1"/>
  <c r="P4500" i="1"/>
  <c r="P4492" i="1"/>
  <c r="P4484" i="1"/>
  <c r="P4476" i="1"/>
  <c r="P4468" i="1"/>
  <c r="P4460" i="1"/>
  <c r="P4452" i="1"/>
  <c r="P4444" i="1"/>
  <c r="P4389" i="1"/>
  <c r="P4380" i="1"/>
  <c r="P4325" i="1"/>
  <c r="P4316" i="1"/>
  <c r="P4261" i="1"/>
  <c r="P4252" i="1"/>
  <c r="P4197" i="1"/>
  <c r="P4188" i="1"/>
  <c r="P4133" i="1"/>
  <c r="P4124" i="1"/>
  <c r="P4069" i="1"/>
  <c r="P4060" i="1"/>
  <c r="P4005" i="1"/>
  <c r="P3996" i="1"/>
  <c r="P3941" i="1"/>
  <c r="P3772" i="1"/>
  <c r="P2893" i="1"/>
  <c r="P2861" i="1"/>
  <c r="P2494" i="1"/>
  <c r="P2270" i="1"/>
  <c r="P2037" i="1"/>
  <c r="P2014" i="1"/>
  <c r="P1566" i="1"/>
  <c r="P1542" i="1"/>
  <c r="P1301" i="1"/>
  <c r="P901" i="1"/>
  <c r="P774" i="1"/>
  <c r="O4422" i="1"/>
  <c r="P4422" i="1"/>
  <c r="O4374" i="1"/>
  <c r="P4374" i="1"/>
  <c r="O4318" i="1"/>
  <c r="P4318" i="1"/>
  <c r="O4262" i="1"/>
  <c r="P4262" i="1"/>
  <c r="O4214" i="1"/>
  <c r="P4214" i="1"/>
  <c r="O4166" i="1"/>
  <c r="P4166" i="1"/>
  <c r="O4118" i="1"/>
  <c r="P4118" i="1"/>
  <c r="O4070" i="1"/>
  <c r="P4070" i="1"/>
  <c r="O4022" i="1"/>
  <c r="P4022" i="1"/>
  <c r="O3958" i="1"/>
  <c r="P3958" i="1"/>
  <c r="O3910" i="1"/>
  <c r="P3910" i="1"/>
  <c r="O3862" i="1"/>
  <c r="P3862" i="1"/>
  <c r="O3814" i="1"/>
  <c r="P3814" i="1"/>
  <c r="O3766" i="1"/>
  <c r="P3766" i="1"/>
  <c r="O3718" i="1"/>
  <c r="P3718" i="1"/>
  <c r="O3686" i="1"/>
  <c r="P3686" i="1"/>
  <c r="O3630" i="1"/>
  <c r="P3630" i="1"/>
  <c r="O3574" i="1"/>
  <c r="P3574" i="1"/>
  <c r="O3534" i="1"/>
  <c r="P3534" i="1"/>
  <c r="O3486" i="1"/>
  <c r="P3486" i="1"/>
  <c r="O3430" i="1"/>
  <c r="P3430" i="1"/>
  <c r="O3382" i="1"/>
  <c r="P3382" i="1"/>
  <c r="O3334" i="1"/>
  <c r="P3334" i="1"/>
  <c r="O3286" i="1"/>
  <c r="P3286" i="1"/>
  <c r="O3238" i="1"/>
  <c r="P3238" i="1"/>
  <c r="O3190" i="1"/>
  <c r="P3190" i="1"/>
  <c r="O3142" i="1"/>
  <c r="P3142" i="1"/>
  <c r="O3038" i="1"/>
  <c r="P3038" i="1"/>
  <c r="O2998" i="1"/>
  <c r="P2998" i="1"/>
  <c r="O2950" i="1"/>
  <c r="P2950" i="1"/>
  <c r="O2894" i="1"/>
  <c r="P2894" i="1"/>
  <c r="O2854" i="1"/>
  <c r="P2854" i="1"/>
  <c r="O2806" i="1"/>
  <c r="P2806" i="1"/>
  <c r="O2758" i="1"/>
  <c r="P2758" i="1"/>
  <c r="O2710" i="1"/>
  <c r="P2710" i="1"/>
  <c r="O2654" i="1"/>
  <c r="P2654" i="1"/>
  <c r="O2542" i="1"/>
  <c r="P2542" i="1"/>
  <c r="O2438" i="1"/>
  <c r="P2438" i="1"/>
  <c r="O2334" i="1"/>
  <c r="P2334" i="1"/>
  <c r="O2294" i="1"/>
  <c r="P2294" i="1"/>
  <c r="O2246" i="1"/>
  <c r="P2246" i="1"/>
  <c r="O2190" i="1"/>
  <c r="P2190" i="1"/>
  <c r="O2134" i="1"/>
  <c r="P2134" i="1"/>
  <c r="O2086" i="1"/>
  <c r="P2086" i="1"/>
  <c r="O2038" i="1"/>
  <c r="P2038" i="1"/>
  <c r="O1982" i="1"/>
  <c r="P1982" i="1"/>
  <c r="O1926" i="1"/>
  <c r="P1926" i="1"/>
  <c r="O1878" i="1"/>
  <c r="P1878" i="1"/>
  <c r="O1830" i="1"/>
  <c r="P1830" i="1"/>
  <c r="O1782" i="1"/>
  <c r="P1782" i="1"/>
  <c r="O1614" i="1"/>
  <c r="P1614" i="1"/>
  <c r="O1574" i="1"/>
  <c r="P1574" i="1"/>
  <c r="O1462" i="1"/>
  <c r="P1462" i="1"/>
  <c r="O1358" i="1"/>
  <c r="P1358" i="1"/>
  <c r="O1302" i="1"/>
  <c r="P1302" i="1"/>
  <c r="O1254" i="1"/>
  <c r="P1254" i="1"/>
  <c r="O1206" i="1"/>
  <c r="P1206" i="1"/>
  <c r="O1158" i="1"/>
  <c r="P1158" i="1"/>
  <c r="O1094" i="1"/>
  <c r="P1094" i="1"/>
  <c r="O1038" i="1"/>
  <c r="P1038" i="1"/>
  <c r="O990" i="1"/>
  <c r="P990" i="1"/>
  <c r="O950" i="1"/>
  <c r="P950" i="1"/>
  <c r="O894" i="1"/>
  <c r="P894" i="1"/>
  <c r="O846" i="1"/>
  <c r="P846" i="1"/>
  <c r="O806" i="1"/>
  <c r="P806" i="1"/>
  <c r="O750" i="1"/>
  <c r="P750" i="1"/>
  <c r="O702" i="1"/>
  <c r="P702" i="1"/>
  <c r="O646" i="1"/>
  <c r="P646" i="1"/>
  <c r="O598" i="1"/>
  <c r="P598" i="1"/>
  <c r="O550" i="1"/>
  <c r="P550" i="1"/>
  <c r="O502" i="1"/>
  <c r="P502" i="1"/>
  <c r="O406" i="1"/>
  <c r="P406" i="1"/>
  <c r="O358" i="1"/>
  <c r="P358" i="1"/>
  <c r="O318" i="1"/>
  <c r="P318" i="1"/>
  <c r="O278" i="1"/>
  <c r="P278" i="1"/>
  <c r="O238" i="1"/>
  <c r="P238" i="1"/>
  <c r="O198" i="1"/>
  <c r="P198" i="1"/>
  <c r="P1694" i="1"/>
  <c r="P422" i="1"/>
  <c r="O3901" i="1"/>
  <c r="P3901" i="1"/>
  <c r="O3853" i="1"/>
  <c r="P3853" i="1"/>
  <c r="O3805" i="1"/>
  <c r="P3805" i="1"/>
  <c r="O3749" i="1"/>
  <c r="P3749" i="1"/>
  <c r="O3701" i="1"/>
  <c r="P3701" i="1"/>
  <c r="O3653" i="1"/>
  <c r="P3653" i="1"/>
  <c r="O3597" i="1"/>
  <c r="P3597" i="1"/>
  <c r="O3541" i="1"/>
  <c r="P3541" i="1"/>
  <c r="O3493" i="1"/>
  <c r="P3493" i="1"/>
  <c r="O3453" i="1"/>
  <c r="P3453" i="1"/>
  <c r="O3397" i="1"/>
  <c r="P3397" i="1"/>
  <c r="O3349" i="1"/>
  <c r="P3349" i="1"/>
  <c r="O3301" i="1"/>
  <c r="P3301" i="1"/>
  <c r="O3245" i="1"/>
  <c r="P3245" i="1"/>
  <c r="O3181" i="1"/>
  <c r="P3181" i="1"/>
  <c r="O3133" i="1"/>
  <c r="P3133" i="1"/>
  <c r="O3077" i="1"/>
  <c r="P3077" i="1"/>
  <c r="O3029" i="1"/>
  <c r="P3029" i="1"/>
  <c r="O2853" i="1"/>
  <c r="P2853" i="1"/>
  <c r="O2741" i="1"/>
  <c r="P2741" i="1"/>
  <c r="O2693" i="1"/>
  <c r="P2693" i="1"/>
  <c r="O2645" i="1"/>
  <c r="P2645" i="1"/>
  <c r="O2589" i="1"/>
  <c r="P2589" i="1"/>
  <c r="O2533" i="1"/>
  <c r="P2533" i="1"/>
  <c r="O2477" i="1"/>
  <c r="P2477" i="1"/>
  <c r="O2413" i="1"/>
  <c r="P2413" i="1"/>
  <c r="O2373" i="1"/>
  <c r="P2373" i="1"/>
  <c r="O2317" i="1"/>
  <c r="P2317" i="1"/>
  <c r="O2269" i="1"/>
  <c r="P2269" i="1"/>
  <c r="O2205" i="1"/>
  <c r="P2205" i="1"/>
  <c r="O2149" i="1"/>
  <c r="P2149" i="1"/>
  <c r="O2109" i="1"/>
  <c r="P2109" i="1"/>
  <c r="O2053" i="1"/>
  <c r="P2053" i="1"/>
  <c r="O2021" i="1"/>
  <c r="P2021" i="1"/>
  <c r="O1981" i="1"/>
  <c r="P1981" i="1"/>
  <c r="O1941" i="1"/>
  <c r="P1941" i="1"/>
  <c r="O1893" i="1"/>
  <c r="P1893" i="1"/>
  <c r="O1853" i="1"/>
  <c r="P1853" i="1"/>
  <c r="O1813" i="1"/>
  <c r="P1813" i="1"/>
  <c r="O1765" i="1"/>
  <c r="P1765" i="1"/>
  <c r="O1701" i="1"/>
  <c r="P1701" i="1"/>
  <c r="O1661" i="1"/>
  <c r="P1661" i="1"/>
  <c r="O1621" i="1"/>
  <c r="P1621" i="1"/>
  <c r="O1573" i="1"/>
  <c r="P1573" i="1"/>
  <c r="O1541" i="1"/>
  <c r="P1541" i="1"/>
  <c r="O1493" i="1"/>
  <c r="P1493" i="1"/>
  <c r="O1445" i="1"/>
  <c r="P1445" i="1"/>
  <c r="O1397" i="1"/>
  <c r="P1397" i="1"/>
  <c r="O1357" i="1"/>
  <c r="P1357" i="1"/>
  <c r="O1317" i="1"/>
  <c r="P1317" i="1"/>
  <c r="O1285" i="1"/>
  <c r="P1285" i="1"/>
  <c r="O1245" i="1"/>
  <c r="P1245" i="1"/>
  <c r="O1197" i="1"/>
  <c r="P1197" i="1"/>
  <c r="O1101" i="1"/>
  <c r="P1101" i="1"/>
  <c r="O1061" i="1"/>
  <c r="P1061" i="1"/>
  <c r="O1021" i="1"/>
  <c r="P1021" i="1"/>
  <c r="O981" i="1"/>
  <c r="P981" i="1"/>
  <c r="O941" i="1"/>
  <c r="P941" i="1"/>
  <c r="O853" i="1"/>
  <c r="P853" i="1"/>
  <c r="O813" i="1"/>
  <c r="P813" i="1"/>
  <c r="O765" i="1"/>
  <c r="P765" i="1"/>
  <c r="O725" i="1"/>
  <c r="P725" i="1"/>
  <c r="O621" i="1"/>
  <c r="P621" i="1"/>
  <c r="O573" i="1"/>
  <c r="P573" i="1"/>
  <c r="O517" i="1"/>
  <c r="P517" i="1"/>
  <c r="P4397" i="1"/>
  <c r="P4388" i="1"/>
  <c r="P4333" i="1"/>
  <c r="P4324" i="1"/>
  <c r="P4269" i="1"/>
  <c r="P4260" i="1"/>
  <c r="P4205" i="1"/>
  <c r="P4196" i="1"/>
  <c r="P4141" i="1"/>
  <c r="P4132" i="1"/>
  <c r="P4077" i="1"/>
  <c r="P4068" i="1"/>
  <c r="P4013" i="1"/>
  <c r="P4004" i="1"/>
  <c r="P3949" i="1"/>
  <c r="P3940" i="1"/>
  <c r="P3868" i="1"/>
  <c r="P3078" i="1"/>
  <c r="P3054" i="1"/>
  <c r="P2949" i="1"/>
  <c r="P2789" i="1"/>
  <c r="P2550" i="1"/>
  <c r="P909" i="1"/>
  <c r="P822" i="1"/>
  <c r="O4438" i="1"/>
  <c r="P4438" i="1"/>
  <c r="O4390" i="1"/>
  <c r="P4390" i="1"/>
  <c r="O4342" i="1"/>
  <c r="P4342" i="1"/>
  <c r="O4286" i="1"/>
  <c r="P4286" i="1"/>
  <c r="O4238" i="1"/>
  <c r="P4238" i="1"/>
  <c r="O4190" i="1"/>
  <c r="P4190" i="1"/>
  <c r="O4134" i="1"/>
  <c r="P4134" i="1"/>
  <c r="O4086" i="1"/>
  <c r="P4086" i="1"/>
  <c r="O4038" i="1"/>
  <c r="P4038" i="1"/>
  <c r="O3990" i="1"/>
  <c r="P3990" i="1"/>
  <c r="O3942" i="1"/>
  <c r="P3942" i="1"/>
  <c r="O3894" i="1"/>
  <c r="P3894" i="1"/>
  <c r="O3838" i="1"/>
  <c r="P3838" i="1"/>
  <c r="O3782" i="1"/>
  <c r="P3782" i="1"/>
  <c r="O3734" i="1"/>
  <c r="P3734" i="1"/>
  <c r="O3678" i="1"/>
  <c r="P3678" i="1"/>
  <c r="O3622" i="1"/>
  <c r="P3622" i="1"/>
  <c r="O3582" i="1"/>
  <c r="P3582" i="1"/>
  <c r="O3542" i="1"/>
  <c r="P3542" i="1"/>
  <c r="O3478" i="1"/>
  <c r="P3478" i="1"/>
  <c r="O3422" i="1"/>
  <c r="P3422" i="1"/>
  <c r="O3374" i="1"/>
  <c r="P3374" i="1"/>
  <c r="O3326" i="1"/>
  <c r="P3326" i="1"/>
  <c r="O3278" i="1"/>
  <c r="P3278" i="1"/>
  <c r="O3222" i="1"/>
  <c r="P3222" i="1"/>
  <c r="O3166" i="1"/>
  <c r="P3166" i="1"/>
  <c r="O3118" i="1"/>
  <c r="P3118" i="1"/>
  <c r="O3070" i="1"/>
  <c r="P3070" i="1"/>
  <c r="O2966" i="1"/>
  <c r="P2966" i="1"/>
  <c r="O2918" i="1"/>
  <c r="P2918" i="1"/>
  <c r="O2870" i="1"/>
  <c r="P2870" i="1"/>
  <c r="O2830" i="1"/>
  <c r="P2830" i="1"/>
  <c r="O2766" i="1"/>
  <c r="P2766" i="1"/>
  <c r="O2718" i="1"/>
  <c r="P2718" i="1"/>
  <c r="O2670" i="1"/>
  <c r="P2670" i="1"/>
  <c r="O2622" i="1"/>
  <c r="P2622" i="1"/>
  <c r="O2510" i="1"/>
  <c r="P2510" i="1"/>
  <c r="O2462" i="1"/>
  <c r="P2462" i="1"/>
  <c r="O2406" i="1"/>
  <c r="P2406" i="1"/>
  <c r="O2302" i="1"/>
  <c r="P2302" i="1"/>
  <c r="O2254" i="1"/>
  <c r="P2254" i="1"/>
  <c r="O2206" i="1"/>
  <c r="P2206" i="1"/>
  <c r="O2102" i="1"/>
  <c r="P2102" i="1"/>
  <c r="O1998" i="1"/>
  <c r="P1998" i="1"/>
  <c r="O1942" i="1"/>
  <c r="P1942" i="1"/>
  <c r="O1894" i="1"/>
  <c r="P1894" i="1"/>
  <c r="O1854" i="1"/>
  <c r="P1854" i="1"/>
  <c r="O1806" i="1"/>
  <c r="P1806" i="1"/>
  <c r="O1750" i="1"/>
  <c r="P1750" i="1"/>
  <c r="O1702" i="1"/>
  <c r="P1702" i="1"/>
  <c r="O1518" i="1"/>
  <c r="P1518" i="1"/>
  <c r="O1454" i="1"/>
  <c r="P1454" i="1"/>
  <c r="O1350" i="1"/>
  <c r="P1350" i="1"/>
  <c r="O1310" i="1"/>
  <c r="P1310" i="1"/>
  <c r="O1262" i="1"/>
  <c r="P1262" i="1"/>
  <c r="O1198" i="1"/>
  <c r="P1198" i="1"/>
  <c r="O1150" i="1"/>
  <c r="P1150" i="1"/>
  <c r="O1102" i="1"/>
  <c r="P1102" i="1"/>
  <c r="O1046" i="1"/>
  <c r="P1046" i="1"/>
  <c r="O998" i="1"/>
  <c r="P998" i="1"/>
  <c r="O942" i="1"/>
  <c r="P942" i="1"/>
  <c r="O902" i="1"/>
  <c r="P902" i="1"/>
  <c r="O862" i="1"/>
  <c r="P862" i="1"/>
  <c r="O814" i="1"/>
  <c r="P814" i="1"/>
  <c r="O766" i="1"/>
  <c r="P766" i="1"/>
  <c r="O710" i="1"/>
  <c r="P710" i="1"/>
  <c r="O654" i="1"/>
  <c r="P654" i="1"/>
  <c r="O606" i="1"/>
  <c r="P606" i="1"/>
  <c r="O542" i="1"/>
  <c r="P542" i="1"/>
  <c r="O494" i="1"/>
  <c r="P494" i="1"/>
  <c r="O382" i="1"/>
  <c r="P382" i="1"/>
  <c r="O326" i="1"/>
  <c r="P326" i="1"/>
  <c r="P4429" i="1"/>
  <c r="P4173" i="1"/>
  <c r="P4109" i="1"/>
  <c r="P4405" i="1"/>
  <c r="P4396" i="1"/>
  <c r="P4341" i="1"/>
  <c r="P4332" i="1"/>
  <c r="P4277" i="1"/>
  <c r="P4268" i="1"/>
  <c r="P4213" i="1"/>
  <c r="P4204" i="1"/>
  <c r="P4149" i="1"/>
  <c r="P4140" i="1"/>
  <c r="P4076" i="1"/>
  <c r="P4021" i="1"/>
  <c r="P4012" i="1"/>
  <c r="P3957" i="1"/>
  <c r="P3948" i="1"/>
  <c r="P2901" i="1"/>
  <c r="P2653" i="1"/>
  <c r="P2582" i="1"/>
  <c r="P2046" i="1"/>
  <c r="P1662" i="1"/>
  <c r="P1638" i="1"/>
  <c r="P1406" i="1"/>
  <c r="P1382" i="1"/>
  <c r="O3356" i="1"/>
  <c r="P3356" i="1"/>
  <c r="O3348" i="1"/>
  <c r="P3348" i="1"/>
  <c r="O3340" i="1"/>
  <c r="P3340" i="1"/>
  <c r="O3332" i="1"/>
  <c r="P3332" i="1"/>
  <c r="O3324" i="1"/>
  <c r="P3324" i="1"/>
  <c r="O3316" i="1"/>
  <c r="P3316" i="1"/>
  <c r="O3308" i="1"/>
  <c r="P3308" i="1"/>
  <c r="O3300" i="1"/>
  <c r="P3300" i="1"/>
  <c r="O3292" i="1"/>
  <c r="P3292" i="1"/>
  <c r="O3284" i="1"/>
  <c r="P3284" i="1"/>
  <c r="O3276" i="1"/>
  <c r="P3276" i="1"/>
  <c r="O3268" i="1"/>
  <c r="P3268" i="1"/>
  <c r="O3260" i="1"/>
  <c r="P3260" i="1"/>
  <c r="O3252" i="1"/>
  <c r="P3252" i="1"/>
  <c r="O3244" i="1"/>
  <c r="P3244" i="1"/>
  <c r="O3236" i="1"/>
  <c r="P3236" i="1"/>
  <c r="O3228" i="1"/>
  <c r="P3228" i="1"/>
  <c r="O3220" i="1"/>
  <c r="P3220" i="1"/>
  <c r="O3212" i="1"/>
  <c r="P3212" i="1"/>
  <c r="O3204" i="1"/>
  <c r="P3204" i="1"/>
  <c r="O3196" i="1"/>
  <c r="P3196" i="1"/>
  <c r="O3188" i="1"/>
  <c r="P3188" i="1"/>
  <c r="O3180" i="1"/>
  <c r="P3180" i="1"/>
  <c r="O3172" i="1"/>
  <c r="P3172" i="1"/>
  <c r="O3164" i="1"/>
  <c r="P3164" i="1"/>
  <c r="O3156" i="1"/>
  <c r="P3156" i="1"/>
  <c r="O3148" i="1"/>
  <c r="P3148" i="1"/>
  <c r="O3140" i="1"/>
  <c r="P3140" i="1"/>
  <c r="O3132" i="1"/>
  <c r="P3132" i="1"/>
  <c r="O3124" i="1"/>
  <c r="P3124" i="1"/>
  <c r="O3116" i="1"/>
  <c r="P3116" i="1"/>
  <c r="O3108" i="1"/>
  <c r="P3108" i="1"/>
  <c r="O3100" i="1"/>
  <c r="P3100" i="1"/>
  <c r="O3092" i="1"/>
  <c r="P3092" i="1"/>
  <c r="O3084" i="1"/>
  <c r="P3084" i="1"/>
  <c r="O3076" i="1"/>
  <c r="P3076" i="1"/>
  <c r="O3068" i="1"/>
  <c r="P3068" i="1"/>
  <c r="O3060" i="1"/>
  <c r="P3060" i="1"/>
  <c r="O3052" i="1"/>
  <c r="P3052" i="1"/>
  <c r="O3044" i="1"/>
  <c r="P3044" i="1"/>
  <c r="O3036" i="1"/>
  <c r="P3036" i="1"/>
  <c r="O3028" i="1"/>
  <c r="P3028" i="1"/>
  <c r="O3020" i="1"/>
  <c r="P3020" i="1"/>
  <c r="O3012" i="1"/>
  <c r="P3012" i="1"/>
  <c r="O3004" i="1"/>
  <c r="P3004" i="1"/>
  <c r="O2996" i="1"/>
  <c r="P2996" i="1"/>
  <c r="O2988" i="1"/>
  <c r="P2988" i="1"/>
  <c r="O2980" i="1"/>
  <c r="P2980" i="1"/>
  <c r="O2972" i="1"/>
  <c r="P2972" i="1"/>
  <c r="O2964" i="1"/>
  <c r="P2964" i="1"/>
  <c r="O2956" i="1"/>
  <c r="P2956" i="1"/>
  <c r="O2932" i="1"/>
  <c r="P2932" i="1"/>
  <c r="O2924" i="1"/>
  <c r="P2924" i="1"/>
  <c r="O2916" i="1"/>
  <c r="P2916" i="1"/>
  <c r="O2908" i="1"/>
  <c r="P2908" i="1"/>
  <c r="O2876" i="1"/>
  <c r="P2876" i="1"/>
  <c r="O2868" i="1"/>
  <c r="P2868" i="1"/>
  <c r="O2860" i="1"/>
  <c r="P2860" i="1"/>
  <c r="O2820" i="1"/>
  <c r="P2820" i="1"/>
  <c r="O2812" i="1"/>
  <c r="P2812" i="1"/>
  <c r="O2804" i="1"/>
  <c r="P2804" i="1"/>
  <c r="O2772" i="1"/>
  <c r="P2772" i="1"/>
  <c r="O2764" i="1"/>
  <c r="P2764" i="1"/>
  <c r="O2756" i="1"/>
  <c r="P2756" i="1"/>
  <c r="O2740" i="1"/>
  <c r="P2740" i="1"/>
  <c r="O2724" i="1"/>
  <c r="P2724" i="1"/>
  <c r="O2716" i="1"/>
  <c r="P2716" i="1"/>
  <c r="O2708" i="1"/>
  <c r="P2708" i="1"/>
  <c r="O2700" i="1"/>
  <c r="P2700" i="1"/>
  <c r="O2676" i="1"/>
  <c r="P2676" i="1"/>
  <c r="O2668" i="1"/>
  <c r="P2668" i="1"/>
  <c r="O2660" i="1"/>
  <c r="P2660" i="1"/>
  <c r="O2652" i="1"/>
  <c r="P2652" i="1"/>
  <c r="O2620" i="1"/>
  <c r="P2620" i="1"/>
  <c r="O2612" i="1"/>
  <c r="P2612" i="1"/>
  <c r="O2604" i="1"/>
  <c r="P2604" i="1"/>
  <c r="O2564" i="1"/>
  <c r="P2564" i="1"/>
  <c r="O2556" i="1"/>
  <c r="P2556" i="1"/>
  <c r="O2516" i="1"/>
  <c r="P2516" i="1"/>
  <c r="O2508" i="1"/>
  <c r="P2508" i="1"/>
  <c r="O2500" i="1"/>
  <c r="P2500" i="1"/>
  <c r="O2492" i="1"/>
  <c r="P2492" i="1"/>
  <c r="O2468" i="1"/>
  <c r="P2468" i="1"/>
  <c r="O2460" i="1"/>
  <c r="P2460" i="1"/>
  <c r="O2452" i="1"/>
  <c r="P2452" i="1"/>
  <c r="O2444" i="1"/>
  <c r="P2444" i="1"/>
  <c r="O2428" i="1"/>
  <c r="P2428" i="1"/>
  <c r="O2420" i="1"/>
  <c r="P2420" i="1"/>
  <c r="O2412" i="1"/>
  <c r="P2412" i="1"/>
  <c r="O2404" i="1"/>
  <c r="P2404" i="1"/>
  <c r="O2396" i="1"/>
  <c r="P2396" i="1"/>
  <c r="O2364" i="1"/>
  <c r="P2364" i="1"/>
  <c r="O2356" i="1"/>
  <c r="P2356" i="1"/>
  <c r="O2348" i="1"/>
  <c r="P2348" i="1"/>
  <c r="O2324" i="1"/>
  <c r="P2324" i="1"/>
  <c r="O2316" i="1"/>
  <c r="P2316" i="1"/>
  <c r="O2308" i="1"/>
  <c r="P2308" i="1"/>
  <c r="O2300" i="1"/>
  <c r="P2300" i="1"/>
  <c r="O2292" i="1"/>
  <c r="P2292" i="1"/>
  <c r="O2284" i="1"/>
  <c r="P2284" i="1"/>
  <c r="O2276" i="1"/>
  <c r="P2276" i="1"/>
  <c r="O2268" i="1"/>
  <c r="P2268" i="1"/>
  <c r="O2260" i="1"/>
  <c r="P2260" i="1"/>
  <c r="O2252" i="1"/>
  <c r="P2252" i="1"/>
  <c r="O2244" i="1"/>
  <c r="P2244" i="1"/>
  <c r="O2236" i="1"/>
  <c r="P2236" i="1"/>
  <c r="O2228" i="1"/>
  <c r="P2228" i="1"/>
  <c r="O2220" i="1"/>
  <c r="P2220" i="1"/>
  <c r="O2212" i="1"/>
  <c r="P2212" i="1"/>
  <c r="O2204" i="1"/>
  <c r="P2204" i="1"/>
  <c r="O2196" i="1"/>
  <c r="P2196" i="1"/>
  <c r="O2188" i="1"/>
  <c r="P2188" i="1"/>
  <c r="O2180" i="1"/>
  <c r="P2180" i="1"/>
  <c r="O2172" i="1"/>
  <c r="P2172" i="1"/>
  <c r="O2164" i="1"/>
  <c r="P2164" i="1"/>
  <c r="O2156" i="1"/>
  <c r="P2156" i="1"/>
  <c r="O2148" i="1"/>
  <c r="P2148" i="1"/>
  <c r="O2140" i="1"/>
  <c r="P2140" i="1"/>
  <c r="O2132" i="1"/>
  <c r="P2132" i="1"/>
  <c r="O2124" i="1"/>
  <c r="P2124" i="1"/>
  <c r="O2116" i="1"/>
  <c r="P2116" i="1"/>
  <c r="O2108" i="1"/>
  <c r="P2108" i="1"/>
  <c r="O2100" i="1"/>
  <c r="P2100" i="1"/>
  <c r="O2092" i="1"/>
  <c r="P2092" i="1"/>
  <c r="O2084" i="1"/>
  <c r="P2084" i="1"/>
  <c r="O2076" i="1"/>
  <c r="P2076" i="1"/>
  <c r="O2068" i="1"/>
  <c r="P2068" i="1"/>
  <c r="O2060" i="1"/>
  <c r="P2060" i="1"/>
  <c r="O2052" i="1"/>
  <c r="P2052" i="1"/>
  <c r="O2044" i="1"/>
  <c r="P2044" i="1"/>
  <c r="P2900" i="1"/>
  <c r="P2796" i="1"/>
  <c r="P2684" i="1"/>
  <c r="P2588" i="1"/>
  <c r="P2828" i="1"/>
  <c r="P2596" i="1"/>
  <c r="P2748" i="1"/>
  <c r="P2692" i="1"/>
  <c r="P2628" i="1"/>
  <c r="P2524" i="1"/>
  <c r="P2836" i="1"/>
  <c r="P2636" i="1"/>
  <c r="O2036" i="1"/>
  <c r="P2036" i="1"/>
  <c r="O2028" i="1"/>
  <c r="P2028" i="1"/>
  <c r="O2020" i="1"/>
  <c r="P2020" i="1"/>
  <c r="O2012" i="1"/>
  <c r="P2012" i="1"/>
  <c r="O2004" i="1"/>
  <c r="P2004" i="1"/>
  <c r="O1996" i="1"/>
  <c r="P1996" i="1"/>
  <c r="O1988" i="1"/>
  <c r="P1988" i="1"/>
  <c r="O1980" i="1"/>
  <c r="P1980" i="1"/>
  <c r="O1972" i="1"/>
  <c r="P1972" i="1"/>
  <c r="O1964" i="1"/>
  <c r="P1964" i="1"/>
  <c r="O1956" i="1"/>
  <c r="P1956" i="1"/>
  <c r="O1948" i="1"/>
  <c r="P1948" i="1"/>
  <c r="O1940" i="1"/>
  <c r="P1940" i="1"/>
  <c r="O1932" i="1"/>
  <c r="P1932" i="1"/>
  <c r="O1924" i="1"/>
  <c r="P1924" i="1"/>
  <c r="O1916" i="1"/>
  <c r="P1916" i="1"/>
  <c r="O1908" i="1"/>
  <c r="P1908" i="1"/>
  <c r="O1900" i="1"/>
  <c r="P1900" i="1"/>
  <c r="O1892" i="1"/>
  <c r="P1892" i="1"/>
  <c r="O1884" i="1"/>
  <c r="P1884" i="1"/>
  <c r="O1876" i="1"/>
  <c r="P1876" i="1"/>
  <c r="O1868" i="1"/>
  <c r="P1868" i="1"/>
  <c r="O1860" i="1"/>
  <c r="P1860" i="1"/>
  <c r="O1852" i="1"/>
  <c r="P1852" i="1"/>
  <c r="O1844" i="1"/>
  <c r="P1844" i="1"/>
  <c r="O1836" i="1"/>
  <c r="P1836" i="1"/>
  <c r="O1828" i="1"/>
  <c r="P1828" i="1"/>
  <c r="O1820" i="1"/>
  <c r="P1820" i="1"/>
  <c r="O1812" i="1"/>
  <c r="P1812" i="1"/>
  <c r="O1804" i="1"/>
  <c r="P1804" i="1"/>
  <c r="O1796" i="1"/>
  <c r="P1796" i="1"/>
  <c r="O1788" i="1"/>
  <c r="P1788" i="1"/>
  <c r="O1780" i="1"/>
  <c r="P1780" i="1"/>
  <c r="O1772" i="1"/>
  <c r="P1772" i="1"/>
  <c r="O1764" i="1"/>
  <c r="P1764" i="1"/>
  <c r="O1756" i="1"/>
  <c r="P1756" i="1"/>
  <c r="O1748" i="1"/>
  <c r="P1748" i="1"/>
  <c r="O1740" i="1"/>
  <c r="P1740" i="1"/>
  <c r="O1732" i="1"/>
  <c r="P1732" i="1"/>
  <c r="O1724" i="1"/>
  <c r="P1724" i="1"/>
  <c r="O1716" i="1"/>
  <c r="P1716" i="1"/>
  <c r="O1708" i="1"/>
  <c r="P1708" i="1"/>
  <c r="O1700" i="1"/>
  <c r="P1700" i="1"/>
  <c r="O1692" i="1"/>
  <c r="P1692" i="1"/>
  <c r="O1684" i="1"/>
  <c r="P1684" i="1"/>
  <c r="O1676" i="1"/>
  <c r="P1676" i="1"/>
  <c r="O1668" i="1"/>
  <c r="P1668" i="1"/>
  <c r="O1660" i="1"/>
  <c r="P1660" i="1"/>
  <c r="O1652" i="1"/>
  <c r="P1652" i="1"/>
  <c r="O1644" i="1"/>
  <c r="P1644" i="1"/>
  <c r="O1636" i="1"/>
  <c r="P1636" i="1"/>
  <c r="O1628" i="1"/>
  <c r="P1628" i="1"/>
  <c r="O1620" i="1"/>
  <c r="P1620" i="1"/>
  <c r="O1612" i="1"/>
  <c r="P1612" i="1"/>
  <c r="O1604" i="1"/>
  <c r="P1604" i="1"/>
  <c r="O1596" i="1"/>
  <c r="P1596" i="1"/>
  <c r="O1588" i="1"/>
  <c r="P1588" i="1"/>
  <c r="O1580" i="1"/>
  <c r="P1580" i="1"/>
  <c r="O1572" i="1"/>
  <c r="P1572" i="1"/>
  <c r="O1564" i="1"/>
  <c r="P1564" i="1"/>
  <c r="O1556" i="1"/>
  <c r="P1556" i="1"/>
  <c r="O1548" i="1"/>
  <c r="P1548" i="1"/>
  <c r="O1540" i="1"/>
  <c r="P1540" i="1"/>
  <c r="O1532" i="1"/>
  <c r="P1532" i="1"/>
  <c r="O1524" i="1"/>
  <c r="P1524" i="1"/>
  <c r="O1516" i="1"/>
  <c r="P1516" i="1"/>
  <c r="O1508" i="1"/>
  <c r="P1508" i="1"/>
  <c r="O1500" i="1"/>
  <c r="P1500" i="1"/>
  <c r="O1492" i="1"/>
  <c r="P1492" i="1"/>
  <c r="O1484" i="1"/>
  <c r="P1484" i="1"/>
  <c r="O1476" i="1"/>
  <c r="P1476" i="1"/>
  <c r="O1468" i="1"/>
  <c r="P1468" i="1"/>
  <c r="O1460" i="1"/>
  <c r="P1460" i="1"/>
  <c r="O1452" i="1"/>
  <c r="P1452" i="1"/>
  <c r="O1444" i="1"/>
  <c r="P1444" i="1"/>
  <c r="O1436" i="1"/>
  <c r="P1436" i="1"/>
  <c r="O1428" i="1"/>
  <c r="P1428" i="1"/>
  <c r="O1420" i="1"/>
  <c r="P1420" i="1"/>
  <c r="O1412" i="1"/>
  <c r="P1412" i="1"/>
  <c r="O1404" i="1"/>
  <c r="P1404" i="1"/>
  <c r="O1396" i="1"/>
  <c r="P1396" i="1"/>
  <c r="O1388" i="1"/>
  <c r="P1388" i="1"/>
  <c r="O1380" i="1"/>
  <c r="P1380" i="1"/>
  <c r="O1372" i="1"/>
  <c r="P1372" i="1"/>
  <c r="O1364" i="1"/>
  <c r="P1364" i="1"/>
  <c r="O1316" i="1"/>
  <c r="P1316" i="1"/>
  <c r="O1308" i="1"/>
  <c r="P1308" i="1"/>
  <c r="O1300" i="1"/>
  <c r="P1300" i="1"/>
  <c r="O1252" i="1"/>
  <c r="P1252" i="1"/>
  <c r="O1244" i="1"/>
  <c r="P1244" i="1"/>
  <c r="O1236" i="1"/>
  <c r="P1236" i="1"/>
  <c r="O1188" i="1"/>
  <c r="P1188" i="1"/>
  <c r="O1180" i="1"/>
  <c r="P1180" i="1"/>
  <c r="O1172" i="1"/>
  <c r="P1172" i="1"/>
  <c r="O1124" i="1"/>
  <c r="P1124" i="1"/>
  <c r="O1116" i="1"/>
  <c r="P1116" i="1"/>
  <c r="O1108" i="1"/>
  <c r="P1108" i="1"/>
  <c r="O1060" i="1"/>
  <c r="P1060" i="1"/>
  <c r="O1052" i="1"/>
  <c r="P1052" i="1"/>
  <c r="O1044" i="1"/>
  <c r="P1044" i="1"/>
  <c r="P1348" i="1"/>
  <c r="P1356" i="1"/>
  <c r="P1284" i="1"/>
  <c r="O852" i="1"/>
  <c r="P852" i="1"/>
  <c r="O844" i="1"/>
  <c r="P844" i="1"/>
  <c r="O836" i="1"/>
  <c r="P836" i="1"/>
  <c r="O820" i="1"/>
  <c r="P820" i="1"/>
  <c r="O804" i="1"/>
  <c r="P804" i="1"/>
  <c r="O796" i="1"/>
  <c r="P796" i="1"/>
  <c r="O788" i="1"/>
  <c r="P788" i="1"/>
  <c r="O756" i="1"/>
  <c r="P756" i="1"/>
  <c r="O748" i="1"/>
  <c r="P748" i="1"/>
  <c r="O740" i="1"/>
  <c r="P740" i="1"/>
  <c r="O700" i="1"/>
  <c r="P700" i="1"/>
  <c r="O692" i="1"/>
  <c r="P692" i="1"/>
  <c r="O644" i="1"/>
  <c r="P644" i="1"/>
  <c r="O636" i="1"/>
  <c r="P636" i="1"/>
  <c r="O628" i="1"/>
  <c r="P628" i="1"/>
  <c r="O596" i="1"/>
  <c r="P596" i="1"/>
  <c r="O588" i="1"/>
  <c r="P588" i="1"/>
  <c r="O580" i="1"/>
  <c r="P580" i="1"/>
  <c r="O564" i="1"/>
  <c r="P564" i="1"/>
  <c r="O548" i="1"/>
  <c r="P548" i="1"/>
  <c r="O540" i="1"/>
  <c r="P540" i="1"/>
  <c r="O532" i="1"/>
  <c r="P532" i="1"/>
  <c r="O500" i="1"/>
  <c r="P500" i="1"/>
  <c r="O492" i="1"/>
  <c r="P492" i="1"/>
  <c r="O484" i="1"/>
  <c r="P484" i="1"/>
  <c r="O444" i="1"/>
  <c r="P444" i="1"/>
  <c r="O436" i="1"/>
  <c r="P436" i="1"/>
  <c r="O404" i="1"/>
  <c r="P404" i="1"/>
  <c r="O396" i="1"/>
  <c r="P396" i="1"/>
  <c r="O388" i="1"/>
  <c r="P388" i="1"/>
  <c r="O380" i="1"/>
  <c r="P380" i="1"/>
  <c r="O372" i="1"/>
  <c r="P372" i="1"/>
  <c r="O364" i="1"/>
  <c r="P364" i="1"/>
  <c r="O356" i="1"/>
  <c r="P356" i="1"/>
  <c r="O348" i="1"/>
  <c r="P348" i="1"/>
  <c r="O340" i="1"/>
  <c r="P340" i="1"/>
  <c r="P980" i="1"/>
  <c r="P916" i="1"/>
  <c r="P860" i="1"/>
  <c r="P772" i="1"/>
  <c r="P988" i="1"/>
  <c r="P924" i="1"/>
  <c r="P780" i="1"/>
  <c r="P668" i="1"/>
  <c r="P996" i="1"/>
  <c r="P932" i="1"/>
  <c r="P868" i="1"/>
  <c r="P812" i="1"/>
  <c r="P708" i="1"/>
  <c r="P676" i="1"/>
  <c r="O332" i="1"/>
  <c r="P332" i="1"/>
  <c r="O324" i="1"/>
  <c r="P324" i="1"/>
  <c r="O316" i="1"/>
  <c r="P316" i="1"/>
  <c r="O308" i="1"/>
  <c r="P308" i="1"/>
  <c r="O300" i="1"/>
  <c r="P300" i="1"/>
  <c r="O292" i="1"/>
  <c r="P292" i="1"/>
  <c r="O284" i="1"/>
  <c r="P284" i="1"/>
  <c r="O276" i="1"/>
  <c r="P276" i="1"/>
  <c r="O268" i="1"/>
  <c r="P268" i="1"/>
  <c r="O260" i="1"/>
  <c r="P260" i="1"/>
  <c r="O252" i="1"/>
  <c r="P252" i="1"/>
  <c r="O244" i="1"/>
  <c r="P244" i="1"/>
  <c r="O236" i="1"/>
  <c r="P236" i="1"/>
  <c r="O228" i="1"/>
  <c r="P228" i="1"/>
  <c r="O220" i="1"/>
  <c r="P220" i="1"/>
  <c r="O212" i="1"/>
  <c r="P212" i="1"/>
  <c r="O204" i="1"/>
  <c r="P204" i="1"/>
  <c r="O196" i="1"/>
  <c r="P196" i="1"/>
  <c r="O188" i="1"/>
  <c r="P188" i="1"/>
  <c r="P3621" i="1"/>
  <c r="O2749" i="1"/>
  <c r="P3094" i="1"/>
  <c r="P2323" i="1"/>
  <c r="O4085" i="1"/>
  <c r="O653" i="1"/>
  <c r="P3518" i="1"/>
  <c r="P1774" i="1"/>
  <c r="P1726" i="1"/>
  <c r="O109" i="1"/>
  <c r="O117" i="1"/>
  <c r="P412" i="1"/>
  <c r="P187" i="1"/>
  <c r="P3932" i="1"/>
  <c r="P2614" i="1"/>
  <c r="O6" i="1"/>
  <c r="F6" i="1"/>
  <c r="D4006" i="1"/>
  <c r="D4506" i="1"/>
  <c r="F4506" i="1"/>
  <c r="F4006" i="1"/>
  <c r="C4196" i="1"/>
  <c r="C4176" i="1"/>
  <c r="C4166" i="1"/>
  <c r="C4167" i="1" s="1"/>
  <c r="C1356" i="1"/>
  <c r="C7" i="1"/>
  <c r="C4007" i="1"/>
  <c r="C4177" i="1"/>
  <c r="D6" i="1"/>
  <c r="I28" i="3" l="1"/>
  <c r="Q161" i="1"/>
  <c r="Q3094" i="1"/>
  <c r="Q1356" i="1"/>
  <c r="Q1252" i="1"/>
  <c r="Q1364" i="1"/>
  <c r="Q2084" i="1"/>
  <c r="Q1180" i="1"/>
  <c r="Q780" i="1"/>
  <c r="Q1108" i="1"/>
  <c r="Q1620" i="1"/>
  <c r="Q1876" i="1"/>
  <c r="Q2036" i="1"/>
  <c r="Q2212" i="1"/>
  <c r="Q2972" i="1"/>
  <c r="Q3196" i="1"/>
  <c r="Q2653" i="1"/>
  <c r="Q1102" i="1"/>
  <c r="Q2206" i="1"/>
  <c r="Q4390" i="1"/>
  <c r="Q1445" i="1"/>
  <c r="Q2149" i="1"/>
  <c r="Q198" i="1"/>
  <c r="Q990" i="1"/>
  <c r="Q3238" i="1"/>
  <c r="Q4422" i="1"/>
  <c r="Q4468" i="1"/>
  <c r="Q4980" i="1"/>
  <c r="Q1142" i="1"/>
  <c r="Q2142" i="1"/>
  <c r="Q4981" i="1"/>
  <c r="Q4470" i="1"/>
  <c r="Q4790" i="1"/>
  <c r="Q1829" i="1"/>
  <c r="Q2538" i="1"/>
  <c r="Q1883" i="1"/>
  <c r="Q1880" i="1"/>
  <c r="Q3794" i="1"/>
  <c r="Q4688" i="1"/>
  <c r="Q1784" i="1"/>
  <c r="Q2344" i="1"/>
  <c r="Q3048" i="1"/>
  <c r="Q2283" i="1"/>
  <c r="Q3587" i="1"/>
  <c r="Q3075" i="1"/>
  <c r="Q2891" i="1"/>
  <c r="Q1112" i="1"/>
  <c r="Q4984" i="1"/>
  <c r="Q784" i="1"/>
  <c r="Q1492" i="1"/>
  <c r="Q1748" i="1"/>
  <c r="Q1972" i="1"/>
  <c r="Q2180" i="1"/>
  <c r="Q2564" i="1"/>
  <c r="Q3164" i="1"/>
  <c r="Q1310" i="1"/>
  <c r="Q3166" i="1"/>
  <c r="Q4068" i="1"/>
  <c r="Q1813" i="1"/>
  <c r="Q2246" i="1"/>
  <c r="Q3814" i="1"/>
  <c r="Q4532" i="1"/>
  <c r="Q3030" i="1"/>
  <c r="Q4326" i="1"/>
  <c r="Q4661" i="1"/>
  <c r="Q4534" i="1"/>
  <c r="Q1824" i="1"/>
  <c r="Q2528" i="1"/>
  <c r="Q2864" i="1"/>
  <c r="Q339" i="1"/>
  <c r="Q2907" i="1"/>
  <c r="Q4626" i="1"/>
  <c r="Q2939" i="1"/>
  <c r="Q2363" i="1"/>
  <c r="Q2875" i="1"/>
  <c r="Q475" i="1"/>
  <c r="Q205" i="1"/>
  <c r="Q3419" i="1"/>
  <c r="Q4835" i="1"/>
  <c r="Q676" i="1"/>
  <c r="Q436" i="1"/>
  <c r="Q788" i="1"/>
  <c r="Q4204" i="1"/>
  <c r="Q4333" i="1"/>
  <c r="Q789" i="1"/>
  <c r="Q1501" i="1"/>
  <c r="Q2173" i="1"/>
  <c r="Q3005" i="1"/>
  <c r="Q3821" i="1"/>
  <c r="Q4317" i="1"/>
  <c r="Q4669" i="1"/>
  <c r="Q4861" i="1"/>
  <c r="Q581" i="1"/>
  <c r="Q1325" i="1"/>
  <c r="Q1669" i="1"/>
  <c r="Q2213" i="1"/>
  <c r="Q2941" i="1"/>
  <c r="Q3557" i="1"/>
  <c r="Q390" i="1"/>
  <c r="Q1070" i="1"/>
  <c r="Q2006" i="1"/>
  <c r="Q2934" i="1"/>
  <c r="Q3886" i="1"/>
  <c r="Q4364" i="1"/>
  <c r="Q4606" i="1"/>
  <c r="Q4798" i="1"/>
  <c r="Q773" i="1"/>
  <c r="Q1405" i="1"/>
  <c r="Q2141" i="1"/>
  <c r="Q2701" i="1"/>
  <c r="Q3645" i="1"/>
  <c r="Q638" i="1"/>
  <c r="Q1294" i="1"/>
  <c r="Q2030" i="1"/>
  <c r="Q2782" i="1"/>
  <c r="Q3710" i="1"/>
  <c r="Q4382" i="1"/>
  <c r="Q2230" i="1"/>
  <c r="Q309" i="1"/>
  <c r="Q485" i="1"/>
  <c r="Q997" i="1"/>
  <c r="Q1989" i="1"/>
  <c r="Q2773" i="1"/>
  <c r="Q3877" i="1"/>
  <c r="Q1654" i="1"/>
  <c r="Q2750" i="1"/>
  <c r="Q3902" i="1"/>
  <c r="Q2403" i="1"/>
  <c r="Q1992" i="1"/>
  <c r="Q3634" i="1"/>
  <c r="Q2387" i="1"/>
  <c r="Q507" i="1"/>
  <c r="Q1531" i="1"/>
  <c r="Q1592" i="1"/>
  <c r="Q2923" i="1"/>
  <c r="Q3936" i="1"/>
  <c r="Q4413" i="1"/>
  <c r="Q4896" i="1"/>
  <c r="Q2963" i="1"/>
  <c r="Q4883" i="1"/>
  <c r="Q419" i="1"/>
  <c r="Q659" i="1"/>
  <c r="Q1019" i="1"/>
  <c r="Q1363" i="1"/>
  <c r="Q2051" i="1"/>
  <c r="Q3130" i="1"/>
  <c r="Q3258" i="1"/>
  <c r="Q3386" i="1"/>
  <c r="Q3514" i="1"/>
  <c r="Q1427" i="1"/>
  <c r="Q2379" i="1"/>
  <c r="Q3747" i="1"/>
  <c r="Q4552" i="1"/>
  <c r="Q203" i="1"/>
  <c r="Q387" i="1"/>
  <c r="Q571" i="1"/>
  <c r="Q811" i="1"/>
  <c r="Q1147" i="1"/>
  <c r="Q1387" i="1"/>
  <c r="Q1795" i="1"/>
  <c r="Q2158" i="1"/>
  <c r="Q2603" i="1"/>
  <c r="Q2747" i="1"/>
  <c r="Q2955" i="1"/>
  <c r="Q3147" i="1"/>
  <c r="Q3403" i="1"/>
  <c r="Q219" i="1"/>
  <c r="Q1395" i="1"/>
  <c r="Q2427" i="1"/>
  <c r="Q3115" i="1"/>
  <c r="Q3507" i="1"/>
  <c r="Q3963" i="1"/>
  <c r="Q4395" i="1"/>
  <c r="Q4899" i="1"/>
  <c r="Q3611" i="1"/>
  <c r="Q3947" i="1"/>
  <c r="Q4227" i="1"/>
  <c r="Q4459" i="1"/>
  <c r="Q4715" i="1"/>
  <c r="Q4971" i="1"/>
  <c r="Q274" i="1"/>
  <c r="Q884" i="1"/>
  <c r="Q1394" i="1"/>
  <c r="Q1986" i="1"/>
  <c r="Q2831" i="1"/>
  <c r="Q3215" i="1"/>
  <c r="Q3562" i="1"/>
  <c r="Q4028" i="1"/>
  <c r="Q4407" i="1"/>
  <c r="Q4602" i="1"/>
  <c r="Q4851" i="1"/>
  <c r="Q1084" i="1"/>
  <c r="Q279" i="1"/>
  <c r="Q343" i="1"/>
  <c r="Q383" i="1"/>
  <c r="Q431" i="1"/>
  <c r="Q471" i="1"/>
  <c r="Q519" i="1"/>
  <c r="Q591" i="1"/>
  <c r="Q655" i="1"/>
  <c r="Q695" i="1"/>
  <c r="Q783" i="1"/>
  <c r="Q831" i="1"/>
  <c r="Q887" i="1"/>
  <c r="Q959" i="1"/>
  <c r="Q1007" i="1"/>
  <c r="Q1055" i="1"/>
  <c r="Q1087" i="1"/>
  <c r="Q1127" i="1"/>
  <c r="Q1191" i="1"/>
  <c r="Q1231" i="1"/>
  <c r="Q1263" i="1"/>
  <c r="Q1311" i="1"/>
  <c r="Q1367" i="1"/>
  <c r="Q1399" i="1"/>
  <c r="Q1447" i="1"/>
  <c r="Q1503" i="1"/>
  <c r="Q1543" i="1"/>
  <c r="Q1647" i="1"/>
  <c r="Q1719" i="1"/>
  <c r="Q1815" i="1"/>
  <c r="Q1879" i="1"/>
  <c r="Q1975" i="1"/>
  <c r="Q2031" i="1"/>
  <c r="Q2087" i="1"/>
  <c r="Q2135" i="1"/>
  <c r="Q2215" i="1"/>
  <c r="Q2271" i="1"/>
  <c r="Q2319" i="1"/>
  <c r="Q2391" i="1"/>
  <c r="Q2487" i="1"/>
  <c r="Q2575" i="1"/>
  <c r="Q2671" i="1"/>
  <c r="Q2783" i="1"/>
  <c r="Q2887" i="1"/>
  <c r="Q2967" i="1"/>
  <c r="Q3079" i="1"/>
  <c r="Q3199" i="1"/>
  <c r="Q3487" i="1"/>
  <c r="Q3775" i="1"/>
  <c r="Q4023" i="1"/>
  <c r="Q4223" i="1"/>
  <c r="Q4487" i="1"/>
  <c r="Q4679" i="1"/>
  <c r="Q4815" i="1"/>
  <c r="Q4919" i="1"/>
  <c r="Q4999" i="1"/>
  <c r="Q287" i="1"/>
  <c r="Q871" i="1"/>
  <c r="Q1175" i="1"/>
  <c r="Q1858" i="1"/>
  <c r="Q2540" i="1"/>
  <c r="Q3223" i="1"/>
  <c r="Q3551" i="1"/>
  <c r="Q3895" i="1"/>
  <c r="Q4287" i="1"/>
  <c r="Q4730" i="1"/>
  <c r="Q3002" i="1"/>
  <c r="Q3146" i="1"/>
  <c r="Q3370" i="1"/>
  <c r="Q3650" i="1"/>
  <c r="Q3786" i="1"/>
  <c r="Q3914" i="1"/>
  <c r="Q4050" i="1"/>
  <c r="Q4146" i="1"/>
  <c r="Q4970" i="1"/>
  <c r="Q4823" i="1"/>
  <c r="Q940" i="1"/>
  <c r="Q1132" i="1"/>
  <c r="Q1276" i="1"/>
  <c r="Q4036" i="1"/>
  <c r="Q426" i="1"/>
  <c r="Q682" i="1"/>
  <c r="Q1551" i="1"/>
  <c r="Q2247" i="1"/>
  <c r="Q2815" i="1"/>
  <c r="Q3351" i="1"/>
  <c r="Q3676" i="1"/>
  <c r="Q3943" i="1"/>
  <c r="Q4274" i="1"/>
  <c r="Q4570" i="1"/>
  <c r="Q4979" i="1"/>
  <c r="Q3903" i="1"/>
  <c r="Q4311" i="1"/>
  <c r="Q1935" i="1"/>
  <c r="Q2527" i="1"/>
  <c r="Q3183" i="1"/>
  <c r="Q3511" i="1"/>
  <c r="Q3983" i="1"/>
  <c r="Q4335" i="1"/>
  <c r="Q4703" i="1"/>
  <c r="Q2089" i="1"/>
  <c r="Q2105" i="1"/>
  <c r="Q2137" i="1"/>
  <c r="Q3483" i="1"/>
  <c r="Q3651" i="1"/>
  <c r="Q3867" i="1"/>
  <c r="Q4131" i="1"/>
  <c r="Q4340" i="1"/>
  <c r="Q1896" i="1"/>
  <c r="Q1129" i="1"/>
  <c r="Q353" i="1"/>
  <c r="Q3793" i="1"/>
  <c r="Q1208" i="1"/>
  <c r="Q3081" i="1"/>
  <c r="Q1460" i="1"/>
  <c r="Q1716" i="1"/>
  <c r="Q1940" i="1"/>
  <c r="Q2116" i="1"/>
  <c r="Q2356" i="1"/>
  <c r="Q2740" i="1"/>
  <c r="Q3068" i="1"/>
  <c r="Q3324" i="1"/>
  <c r="Q902" i="1"/>
  <c r="Q2918" i="1"/>
  <c r="Q2949" i="1"/>
  <c r="Q853" i="1"/>
  <c r="Q2373" i="1"/>
  <c r="Q358" i="1"/>
  <c r="Q1830" i="1"/>
  <c r="Q2998" i="1"/>
  <c r="Q2037" i="1"/>
  <c r="Q4660" i="1"/>
  <c r="Q958" i="1"/>
  <c r="Q1646" i="1"/>
  <c r="Q3246" i="1"/>
  <c r="Q1901" i="1"/>
  <c r="Q4789" i="1"/>
  <c r="Q4662" i="1"/>
  <c r="Q3013" i="1"/>
  <c r="Q1704" i="1"/>
  <c r="Q4547" i="1"/>
  <c r="Q2264" i="1"/>
  <c r="Q4392" i="1"/>
  <c r="Q4819" i="1"/>
  <c r="Q5000" i="1"/>
  <c r="Q3347" i="1"/>
  <c r="Q1315" i="1"/>
  <c r="Q2123" i="1"/>
  <c r="Q3939" i="1"/>
  <c r="Q3595" i="1"/>
  <c r="Q348" i="1"/>
  <c r="Q836" i="1"/>
  <c r="Q2901" i="1"/>
  <c r="Q4316" i="1"/>
  <c r="Q4668" i="1"/>
  <c r="Q4796" i="1"/>
  <c r="Q645" i="1"/>
  <c r="Q1333" i="1"/>
  <c r="Q2005" i="1"/>
  <c r="Q2765" i="1"/>
  <c r="Q3629" i="1"/>
  <c r="Q4061" i="1"/>
  <c r="Q4541" i="1"/>
  <c r="Q4733" i="1"/>
  <c r="Q4925" i="1"/>
  <c r="Q741" i="1"/>
  <c r="Q1117" i="1"/>
  <c r="Q1837" i="1"/>
  <c r="Q2685" i="1"/>
  <c r="Q1270" i="1"/>
  <c r="Q2214" i="1"/>
  <c r="Q3254" i="1"/>
  <c r="Q4078" i="1"/>
  <c r="Q4108" i="1"/>
  <c r="Q4542" i="1"/>
  <c r="Q4862" i="1"/>
  <c r="Q629" i="1"/>
  <c r="Q1277" i="1"/>
  <c r="Q1957" i="1"/>
  <c r="Q2997" i="1"/>
  <c r="Q3813" i="1"/>
  <c r="Q798" i="1"/>
  <c r="Q1502" i="1"/>
  <c r="Q2198" i="1"/>
  <c r="Q3230" i="1"/>
  <c r="Q3476" i="1"/>
  <c r="Q3572" i="1"/>
  <c r="Q3724" i="1"/>
  <c r="Q3852" i="1"/>
  <c r="Q245" i="1"/>
  <c r="Q421" i="1"/>
  <c r="Q677" i="1"/>
  <c r="Q1597" i="1"/>
  <c r="Q2557" i="1"/>
  <c r="Q3429" i="1"/>
  <c r="Q734" i="1"/>
  <c r="Q1334" i="1"/>
  <c r="Q2566" i="1"/>
  <c r="Q3702" i="1"/>
  <c r="Q1643" i="1"/>
  <c r="Q2155" i="1"/>
  <c r="Q2736" i="1"/>
  <c r="Q3818" i="1"/>
  <c r="Q4738" i="1"/>
  <c r="Q365" i="1"/>
  <c r="Q4611" i="1"/>
  <c r="Q923" i="1"/>
  <c r="Q4368" i="1"/>
  <c r="Q1726" i="1"/>
  <c r="Q988" i="1"/>
  <c r="Q1116" i="1"/>
  <c r="Q1300" i="1"/>
  <c r="Q1404" i="1"/>
  <c r="Q1532" i="1"/>
  <c r="Q1564" i="1"/>
  <c r="Q1596" i="1"/>
  <c r="Q1628" i="1"/>
  <c r="Q1660" i="1"/>
  <c r="Q1692" i="1"/>
  <c r="Q1724" i="1"/>
  <c r="Q1756" i="1"/>
  <c r="Q1788" i="1"/>
  <c r="Q1820" i="1"/>
  <c r="Q1852" i="1"/>
  <c r="Q1884" i="1"/>
  <c r="Q1916" i="1"/>
  <c r="Q1948" i="1"/>
  <c r="Q1980" i="1"/>
  <c r="Q2012" i="1"/>
  <c r="Q2636" i="1"/>
  <c r="Q2588" i="1"/>
  <c r="Q2060" i="1"/>
  <c r="Q2092" i="1"/>
  <c r="Q2124" i="1"/>
  <c r="Q2156" i="1"/>
  <c r="Q2188" i="1"/>
  <c r="Q2220" i="1"/>
  <c r="Q2252" i="1"/>
  <c r="Q2284" i="1"/>
  <c r="Q2316" i="1"/>
  <c r="Q2364" i="1"/>
  <c r="Q2420" i="1"/>
  <c r="Q2460" i="1"/>
  <c r="Q2508" i="1"/>
  <c r="Q2604" i="1"/>
  <c r="Q2660" i="1"/>
  <c r="Q2708" i="1"/>
  <c r="Q2756" i="1"/>
  <c r="Q2812" i="1"/>
  <c r="Q2876" i="1"/>
  <c r="Q2932" i="1"/>
  <c r="Q2980" i="1"/>
  <c r="Q3012" i="1"/>
  <c r="Q3044" i="1"/>
  <c r="Q3076" i="1"/>
  <c r="Q3108" i="1"/>
  <c r="Q3140" i="1"/>
  <c r="Q3172" i="1"/>
  <c r="Q3204" i="1"/>
  <c r="Q3236" i="1"/>
  <c r="Q3268" i="1"/>
  <c r="Q3300" i="1"/>
  <c r="Q3332" i="1"/>
  <c r="Q1382" i="1"/>
  <c r="Q3948" i="1"/>
  <c r="Q4213" i="1"/>
  <c r="Q4173" i="1"/>
  <c r="Q542" i="1"/>
  <c r="Q766" i="1"/>
  <c r="Q942" i="1"/>
  <c r="Q1150" i="1"/>
  <c r="Q1350" i="1"/>
  <c r="Q1750" i="1"/>
  <c r="Q1942" i="1"/>
  <c r="Q2254" i="1"/>
  <c r="Q2510" i="1"/>
  <c r="Q2766" i="1"/>
  <c r="Q2966" i="1"/>
  <c r="Q3222" i="1"/>
  <c r="Q3422" i="1"/>
  <c r="Q3622" i="1"/>
  <c r="Q3838" i="1"/>
  <c r="Q4038" i="1"/>
  <c r="Q4238" i="1"/>
  <c r="Q4438" i="1"/>
  <c r="Q3078" i="1"/>
  <c r="Q4132" i="1"/>
  <c r="Q4388" i="1"/>
  <c r="Q725" i="1"/>
  <c r="Q941" i="1"/>
  <c r="Q1101" i="1"/>
  <c r="Q1317" i="1"/>
  <c r="Q1493" i="1"/>
  <c r="Q1661" i="1"/>
  <c r="Q1853" i="1"/>
  <c r="Q2021" i="1"/>
  <c r="Q2205" i="1"/>
  <c r="Q2413" i="1"/>
  <c r="Q2645" i="1"/>
  <c r="Q3029" i="1"/>
  <c r="Q3245" i="1"/>
  <c r="Q3453" i="1"/>
  <c r="Q3653" i="1"/>
  <c r="Q3853" i="1"/>
  <c r="Q238" i="1"/>
  <c r="Q406" i="1"/>
  <c r="Q646" i="1"/>
  <c r="Q846" i="1"/>
  <c r="Q1038" i="1"/>
  <c r="Q1254" i="1"/>
  <c r="Q1574" i="1"/>
  <c r="Q1878" i="1"/>
  <c r="Q2086" i="1"/>
  <c r="Q2294" i="1"/>
  <c r="Q2654" i="1"/>
  <c r="Q2854" i="1"/>
  <c r="Q3038" i="1"/>
  <c r="Q3286" i="1"/>
  <c r="Q3486" i="1"/>
  <c r="Q3686" i="1"/>
  <c r="Q3862" i="1"/>
  <c r="Q4070" i="1"/>
  <c r="Q4262" i="1"/>
  <c r="Q774" i="1"/>
  <c r="Q2494" i="1"/>
  <c r="Q4069" i="1"/>
  <c r="Q4325" i="1"/>
  <c r="Q4484" i="1"/>
  <c r="Q4548" i="1"/>
  <c r="Q4612" i="1"/>
  <c r="Q4676" i="1"/>
  <c r="Q4740" i="1"/>
  <c r="Q4804" i="1"/>
  <c r="Q4868" i="1"/>
  <c r="Q4932" i="1"/>
  <c r="Q4996" i="1"/>
  <c r="Q262" i="1"/>
  <c r="Q446" i="1"/>
  <c r="Q614" i="1"/>
  <c r="Q782" i="1"/>
  <c r="Q1006" i="1"/>
  <c r="Q1190" i="1"/>
  <c r="Q1366" i="1"/>
  <c r="Q1526" i="1"/>
  <c r="Q1678" i="1"/>
  <c r="Q1862" i="1"/>
  <c r="Q2022" i="1"/>
  <c r="Q2182" i="1"/>
  <c r="Q2398" i="1"/>
  <c r="Q2678" i="1"/>
  <c r="Q2862" i="1"/>
  <c r="Q3126" i="1"/>
  <c r="Q3294" i="1"/>
  <c r="Q3494" i="1"/>
  <c r="Q3654" i="1"/>
  <c r="Q3830" i="1"/>
  <c r="Q4006" i="1"/>
  <c r="Q4182" i="1"/>
  <c r="Q4366" i="1"/>
  <c r="Q2885" i="1"/>
  <c r="Q4116" i="1"/>
  <c r="Q4372" i="1"/>
  <c r="Q4485" i="1"/>
  <c r="Q4549" i="1"/>
  <c r="Q4613" i="1"/>
  <c r="Q4677" i="1"/>
  <c r="Q4741" i="1"/>
  <c r="Q4805" i="1"/>
  <c r="Q4869" i="1"/>
  <c r="Q4933" i="1"/>
  <c r="Q4997" i="1"/>
  <c r="Q1670" i="1"/>
  <c r="Q1801" i="1"/>
  <c r="Q960" i="1"/>
  <c r="Q4418" i="1"/>
  <c r="Q4056" i="1"/>
  <c r="Q3057" i="1"/>
  <c r="Q105" i="1"/>
  <c r="Q1098" i="1"/>
  <c r="Q1396" i="1"/>
  <c r="Q1652" i="1"/>
  <c r="Q1844" i="1"/>
  <c r="Q2004" i="1"/>
  <c r="Q2148" i="1"/>
  <c r="Q2452" i="1"/>
  <c r="Q2868" i="1"/>
  <c r="Q4149" i="1"/>
  <c r="Q1702" i="1"/>
  <c r="Q3374" i="1"/>
  <c r="Q4190" i="1"/>
  <c r="Q1285" i="1"/>
  <c r="Q2589" i="1"/>
  <c r="Q3597" i="1"/>
  <c r="Q2038" i="1"/>
  <c r="Q3630" i="1"/>
  <c r="Q4005" i="1"/>
  <c r="Q4788" i="1"/>
  <c r="Q566" i="1"/>
  <c r="Q1974" i="1"/>
  <c r="Q3966" i="1"/>
  <c r="Q4469" i="1"/>
  <c r="Q4853" i="1"/>
  <c r="Q4309" i="1"/>
  <c r="Q4854" i="1"/>
  <c r="Q2677" i="1"/>
  <c r="Q3197" i="1"/>
  <c r="Q2450" i="1"/>
  <c r="Q1627" i="1"/>
  <c r="Q1171" i="1"/>
  <c r="Q2699" i="1"/>
  <c r="Q4250" i="1"/>
  <c r="Q4251" i="1"/>
  <c r="Q1267" i="1"/>
  <c r="Q2251" i="1"/>
  <c r="Q1328" i="1"/>
  <c r="Q1552" i="1"/>
  <c r="Q2216" i="1"/>
  <c r="Q2720" i="1"/>
  <c r="Q3328" i="1"/>
  <c r="Q1459" i="1"/>
  <c r="Q4210" i="1"/>
  <c r="Q4347" i="1"/>
  <c r="Q1003" i="1"/>
  <c r="Q2281" i="1"/>
  <c r="Q244" i="1"/>
  <c r="Q2828" i="1"/>
  <c r="Q3054" i="1"/>
  <c r="Q4060" i="1"/>
  <c r="Q4604" i="1"/>
  <c r="Q4860" i="1"/>
  <c r="Q965" i="1"/>
  <c r="Q1845" i="1"/>
  <c r="Q2565" i="1"/>
  <c r="Q3221" i="1"/>
  <c r="Q4605" i="1"/>
  <c r="Q4797" i="1"/>
  <c r="Q1485" i="1"/>
  <c r="Q2013" i="1"/>
  <c r="Q2485" i="1"/>
  <c r="Q3141" i="1"/>
  <c r="Q3757" i="1"/>
  <c r="Q574" i="1"/>
  <c r="Q1734" i="1"/>
  <c r="Q2742" i="1"/>
  <c r="Q3462" i="1"/>
  <c r="Q4310" i="1"/>
  <c r="Q4926" i="1"/>
  <c r="Q933" i="1"/>
  <c r="Q1525" i="1"/>
  <c r="Q2341" i="1"/>
  <c r="Q3333" i="1"/>
  <c r="Q230" i="1"/>
  <c r="Q974" i="1"/>
  <c r="Q3550" i="1"/>
  <c r="Q3412" i="1"/>
  <c r="Q3540" i="1"/>
  <c r="Q3684" i="1"/>
  <c r="Q213" i="1"/>
  <c r="Q277" i="1"/>
  <c r="Q453" i="1"/>
  <c r="Q1221" i="1"/>
  <c r="Q2157" i="1"/>
  <c r="Q3021" i="1"/>
  <c r="Q3677" i="1"/>
  <c r="Q934" i="1"/>
  <c r="Q1910" i="1"/>
  <c r="Q2958" i="1"/>
  <c r="Q4102" i="1"/>
  <c r="Q1899" i="1"/>
  <c r="Q1235" i="1"/>
  <c r="Q3216" i="1"/>
  <c r="Q4264" i="1"/>
  <c r="Q4994" i="1"/>
  <c r="Q2651" i="1"/>
  <c r="Q707" i="1"/>
  <c r="Q2003" i="1"/>
  <c r="Q2299" i="1"/>
  <c r="Q3368" i="1"/>
  <c r="Q4229" i="1"/>
  <c r="Q3723" i="1"/>
  <c r="Q3621" i="1"/>
  <c r="Q708" i="1"/>
  <c r="Q1044" i="1"/>
  <c r="Q1188" i="1"/>
  <c r="Q1372" i="1"/>
  <c r="Q1436" i="1"/>
  <c r="Q1468" i="1"/>
  <c r="Q1500" i="1"/>
  <c r="Q1774" i="1"/>
  <c r="Q188" i="1"/>
  <c r="Q220" i="1"/>
  <c r="Q252" i="1"/>
  <c r="Q284" i="1"/>
  <c r="Q316" i="1"/>
  <c r="Q812" i="1"/>
  <c r="Q772" i="1"/>
  <c r="Q356" i="1"/>
  <c r="Q388" i="1"/>
  <c r="Q444" i="1"/>
  <c r="Q532" i="1"/>
  <c r="Q580" i="1"/>
  <c r="Q636" i="1"/>
  <c r="Q740" i="1"/>
  <c r="Q796" i="1"/>
  <c r="Q844" i="1"/>
  <c r="Q2836" i="1"/>
  <c r="Q2684" i="1"/>
  <c r="Q1406" i="1"/>
  <c r="Q3957" i="1"/>
  <c r="Q4268" i="1"/>
  <c r="Q4429" i="1"/>
  <c r="Q3868" i="1"/>
  <c r="Q4141" i="1"/>
  <c r="Q4397" i="1"/>
  <c r="Q901" i="1"/>
  <c r="Q2861" i="1"/>
  <c r="Q4124" i="1"/>
  <c r="Q4380" i="1"/>
  <c r="Q4492" i="1"/>
  <c r="Q4556" i="1"/>
  <c r="Q4620" i="1"/>
  <c r="Q4684" i="1"/>
  <c r="Q4748" i="1"/>
  <c r="Q4812" i="1"/>
  <c r="Q4876" i="1"/>
  <c r="Q4940" i="1"/>
  <c r="Q5004" i="1"/>
  <c r="Q685" i="1"/>
  <c r="Q845" i="1"/>
  <c r="Q1005" i="1"/>
  <c r="Q1213" i="1"/>
  <c r="Q1373" i="1"/>
  <c r="Q1549" i="1"/>
  <c r="Q1717" i="1"/>
  <c r="Q1877" i="1"/>
  <c r="Q2045" i="1"/>
  <c r="Q2221" i="1"/>
  <c r="Q2405" i="1"/>
  <c r="Q2613" i="1"/>
  <c r="Q2821" i="1"/>
  <c r="Q3053" i="1"/>
  <c r="Q3269" i="1"/>
  <c r="Q3461" i="1"/>
  <c r="Q3669" i="1"/>
  <c r="Q3869" i="1"/>
  <c r="Q3022" i="1"/>
  <c r="Q4125" i="1"/>
  <c r="Q4381" i="1"/>
  <c r="Q4493" i="1"/>
  <c r="Q4557" i="1"/>
  <c r="Q4621" i="1"/>
  <c r="Q4685" i="1"/>
  <c r="Q4749" i="1"/>
  <c r="Q4813" i="1"/>
  <c r="Q4877" i="1"/>
  <c r="Q4941" i="1"/>
  <c r="Q5005" i="1"/>
  <c r="Q613" i="1"/>
  <c r="Q781" i="1"/>
  <c r="Q989" i="1"/>
  <c r="Q1157" i="1"/>
  <c r="Q1365" i="1"/>
  <c r="Q1533" i="1"/>
  <c r="Q1709" i="1"/>
  <c r="Q1885" i="1"/>
  <c r="Q2061" i="1"/>
  <c r="Q2325" i="1"/>
  <c r="Q2525" i="1"/>
  <c r="Q2733" i="1"/>
  <c r="Q2989" i="1"/>
  <c r="Q3189" i="1"/>
  <c r="Q3389" i="1"/>
  <c r="Q3613" i="1"/>
  <c r="Q3797" i="1"/>
  <c r="Q246" i="1"/>
  <c r="Q438" i="1"/>
  <c r="Q630" i="1"/>
  <c r="Q910" i="1"/>
  <c r="Q1118" i="1"/>
  <c r="Q1326" i="1"/>
  <c r="Q1582" i="1"/>
  <c r="Q1838" i="1"/>
  <c r="Q2062" i="1"/>
  <c r="Q2342" i="1"/>
  <c r="Q2598" i="1"/>
  <c r="Q2790" i="1"/>
  <c r="Q3110" i="1"/>
  <c r="Q3310" i="1"/>
  <c r="Q3510" i="1"/>
  <c r="Q3726" i="1"/>
  <c r="Q3934" i="1"/>
  <c r="Q4142" i="1"/>
  <c r="Q4358" i="1"/>
  <c r="Q2486" i="1"/>
  <c r="Q4172" i="1"/>
  <c r="Q4428" i="1"/>
  <c r="Q4494" i="1"/>
  <c r="Q4558" i="1"/>
  <c r="Q4622" i="1"/>
  <c r="Q4686" i="1"/>
  <c r="Q4750" i="1"/>
  <c r="Q4814" i="1"/>
  <c r="Q4878" i="1"/>
  <c r="Q4942" i="1"/>
  <c r="Q501" i="1"/>
  <c r="Q661" i="1"/>
  <c r="Q805" i="1"/>
  <c r="Q973" i="1"/>
  <c r="Q1141" i="1"/>
  <c r="Q1309" i="1"/>
  <c r="Q1437" i="1"/>
  <c r="Q1565" i="1"/>
  <c r="Q1693" i="1"/>
  <c r="Q1821" i="1"/>
  <c r="Q1997" i="1"/>
  <c r="Q2189" i="1"/>
  <c r="Q2389" i="1"/>
  <c r="Q2541" i="1"/>
  <c r="Q2845" i="1"/>
  <c r="Q3045" i="1"/>
  <c r="Q3205" i="1"/>
  <c r="Q3381" i="1"/>
  <c r="Q3533" i="1"/>
  <c r="Q3685" i="1"/>
  <c r="Q3845" i="1"/>
  <c r="Q254" i="1"/>
  <c r="Q510" i="1"/>
  <c r="Q670" i="1"/>
  <c r="Q830" i="1"/>
  <c r="Q1014" i="1"/>
  <c r="Q1166" i="1"/>
  <c r="Q1342" i="1"/>
  <c r="Q1550" i="1"/>
  <c r="Q1758" i="1"/>
  <c r="Q1918" i="1"/>
  <c r="Q2070" i="1"/>
  <c r="Q2238" i="1"/>
  <c r="Q2454" i="1"/>
  <c r="Q2662" i="1"/>
  <c r="Q2814" i="1"/>
  <c r="Q3062" i="1"/>
  <c r="Q3270" i="1"/>
  <c r="Q3438" i="1"/>
  <c r="Q3590" i="1"/>
  <c r="Q3758" i="1"/>
  <c r="Q3926" i="1"/>
  <c r="Q4094" i="1"/>
  <c r="Q4270" i="1"/>
  <c r="Q4430" i="1"/>
  <c r="Q3388" i="1"/>
  <c r="Q3420" i="1"/>
  <c r="Q3452" i="1"/>
  <c r="Q3484" i="1"/>
  <c r="Q3516" i="1"/>
  <c r="Q3548" i="1"/>
  <c r="Q3580" i="1"/>
  <c r="Q3612" i="1"/>
  <c r="Q3652" i="1"/>
  <c r="Q3692" i="1"/>
  <c r="Q3732" i="1"/>
  <c r="Q3780" i="1"/>
  <c r="Q3820" i="1"/>
  <c r="Q3860" i="1"/>
  <c r="Q3908" i="1"/>
  <c r="Q430" i="1"/>
  <c r="Q10" i="1"/>
  <c r="Q99" i="1"/>
  <c r="Q337" i="1"/>
  <c r="Q1843" i="1"/>
  <c r="Q1588" i="1"/>
  <c r="Q1780" i="1"/>
  <c r="Q2052" i="1"/>
  <c r="Q2244" i="1"/>
  <c r="Q2652" i="1"/>
  <c r="Q3004" i="1"/>
  <c r="Q3260" i="1"/>
  <c r="Q4405" i="1"/>
  <c r="Q2462" i="1"/>
  <c r="Q3782" i="1"/>
  <c r="Q3397" i="1"/>
  <c r="Q598" i="1"/>
  <c r="Q2542" i="1"/>
  <c r="Q4214" i="1"/>
  <c r="Q4916" i="1"/>
  <c r="Q742" i="1"/>
  <c r="Q2358" i="1"/>
  <c r="Q3790" i="1"/>
  <c r="Q4533" i="1"/>
  <c r="Q2333" i="1"/>
  <c r="Q3549" i="1"/>
  <c r="Q2354" i="1"/>
  <c r="Q3584" i="1"/>
  <c r="Q1851" i="1"/>
  <c r="Q315" i="1"/>
  <c r="Q1499" i="1"/>
  <c r="Q1432" i="1"/>
  <c r="Q1904" i="1"/>
  <c r="Q2288" i="1"/>
  <c r="Q2792" i="1"/>
  <c r="Q2587" i="1"/>
  <c r="Q3698" i="1"/>
  <c r="Q3091" i="1"/>
  <c r="Q683" i="1"/>
  <c r="Q4349" i="1"/>
  <c r="Q79" i="1"/>
  <c r="Q276" i="1"/>
  <c r="Q380" i="1"/>
  <c r="Q564" i="1"/>
  <c r="Q1348" i="1"/>
  <c r="Q4109" i="1"/>
  <c r="Q2270" i="1"/>
  <c r="Q4540" i="1"/>
  <c r="Q4732" i="1"/>
  <c r="Q4988" i="1"/>
  <c r="Q1173" i="1"/>
  <c r="Q1677" i="1"/>
  <c r="Q2357" i="1"/>
  <c r="Q3413" i="1"/>
  <c r="Q2261" i="1"/>
  <c r="Q4477" i="1"/>
  <c r="Q4989" i="1"/>
  <c r="Q949" i="1"/>
  <c r="Q3341" i="1"/>
  <c r="Q1438" i="1"/>
  <c r="Q854" i="1"/>
  <c r="Q1470" i="1"/>
  <c r="Q2558" i="1"/>
  <c r="Q3670" i="1"/>
  <c r="Q1534" i="1"/>
  <c r="Q4478" i="1"/>
  <c r="Q4670" i="1"/>
  <c r="Q4734" i="1"/>
  <c r="Q4990" i="1"/>
  <c r="Q1109" i="1"/>
  <c r="Q1653" i="1"/>
  <c r="Q2493" i="1"/>
  <c r="Q3485" i="1"/>
  <c r="Q470" i="1"/>
  <c r="Q1134" i="1"/>
  <c r="Q1870" i="1"/>
  <c r="Q2630" i="1"/>
  <c r="Q3398" i="1"/>
  <c r="Q3878" i="1"/>
  <c r="Q3380" i="1"/>
  <c r="Q3444" i="1"/>
  <c r="Q3636" i="1"/>
  <c r="Q3812" i="1"/>
  <c r="Q197" i="1"/>
  <c r="Q389" i="1"/>
  <c r="Q837" i="1"/>
  <c r="Q1757" i="1"/>
  <c r="Q2174" i="1"/>
  <c r="Q3206" i="1"/>
  <c r="Q4294" i="1"/>
  <c r="Q4482" i="1"/>
  <c r="Q4307" i="1"/>
  <c r="Q2776" i="1"/>
  <c r="Q3722" i="1"/>
  <c r="Q2347" i="1"/>
  <c r="Q2614" i="1"/>
  <c r="Q3518" i="1"/>
  <c r="Q868" i="1"/>
  <c r="Q860" i="1"/>
  <c r="Q1052" i="1"/>
  <c r="Q1124" i="1"/>
  <c r="Q1236" i="1"/>
  <c r="Q1308" i="1"/>
  <c r="Q1380" i="1"/>
  <c r="Q1412" i="1"/>
  <c r="Q1444" i="1"/>
  <c r="Q1476" i="1"/>
  <c r="Q1508" i="1"/>
  <c r="Q1540" i="1"/>
  <c r="Q1572" i="1"/>
  <c r="Q1604" i="1"/>
  <c r="Q1636" i="1"/>
  <c r="Q1668" i="1"/>
  <c r="Q1700" i="1"/>
  <c r="Q1732" i="1"/>
  <c r="Q1764" i="1"/>
  <c r="Q1796" i="1"/>
  <c r="Q1828" i="1"/>
  <c r="Q1860" i="1"/>
  <c r="Q1892" i="1"/>
  <c r="Q1924" i="1"/>
  <c r="Q1956" i="1"/>
  <c r="Q1988" i="1"/>
  <c r="Q2020" i="1"/>
  <c r="Q2524" i="1"/>
  <c r="Q2796" i="1"/>
  <c r="Q2068" i="1"/>
  <c r="Q2100" i="1"/>
  <c r="Q2132" i="1"/>
  <c r="Q2164" i="1"/>
  <c r="Q2196" i="1"/>
  <c r="Q2228" i="1"/>
  <c r="Q2260" i="1"/>
  <c r="Q2292" i="1"/>
  <c r="Q2324" i="1"/>
  <c r="Q2396" i="1"/>
  <c r="Q2428" i="1"/>
  <c r="Q2468" i="1"/>
  <c r="Q2516" i="1"/>
  <c r="Q2612" i="1"/>
  <c r="Q2668" i="1"/>
  <c r="Q2716" i="1"/>
  <c r="Q2764" i="1"/>
  <c r="Q2820" i="1"/>
  <c r="Q2908" i="1"/>
  <c r="Q2956" i="1"/>
  <c r="Q2988" i="1"/>
  <c r="Q3020" i="1"/>
  <c r="Q3052" i="1"/>
  <c r="Q3084" i="1"/>
  <c r="Q3116" i="1"/>
  <c r="Q3148" i="1"/>
  <c r="Q3180" i="1"/>
  <c r="Q3212" i="1"/>
  <c r="Q3244" i="1"/>
  <c r="Q3276" i="1"/>
  <c r="Q3308" i="1"/>
  <c r="Q3340" i="1"/>
  <c r="Q1638" i="1"/>
  <c r="Q4012" i="1"/>
  <c r="Q4277" i="1"/>
  <c r="Q326" i="1"/>
  <c r="Q606" i="1"/>
  <c r="Q814" i="1"/>
  <c r="Q998" i="1"/>
  <c r="Q1198" i="1"/>
  <c r="Q1454" i="1"/>
  <c r="Q1806" i="1"/>
  <c r="Q1998" i="1"/>
  <c r="Q2302" i="1"/>
  <c r="Q2622" i="1"/>
  <c r="Q2830" i="1"/>
  <c r="Q3070" i="1"/>
  <c r="Q3278" i="1"/>
  <c r="Q3478" i="1"/>
  <c r="Q3678" i="1"/>
  <c r="Q3894" i="1"/>
  <c r="Q4086" i="1"/>
  <c r="Q4286" i="1"/>
  <c r="Q822" i="1"/>
  <c r="Q3940" i="1"/>
  <c r="Q4196" i="1"/>
  <c r="Q517" i="1"/>
  <c r="Q765" i="1"/>
  <c r="Q981" i="1"/>
  <c r="Q1197" i="1"/>
  <c r="Q1357" i="1"/>
  <c r="Q1541" i="1"/>
  <c r="Q1701" i="1"/>
  <c r="Q1893" i="1"/>
  <c r="Q2053" i="1"/>
  <c r="Q2269" i="1"/>
  <c r="Q2477" i="1"/>
  <c r="Q2693" i="1"/>
  <c r="Q3077" i="1"/>
  <c r="Q3301" i="1"/>
  <c r="Q3493" i="1"/>
  <c r="Q3701" i="1"/>
  <c r="Q3901" i="1"/>
  <c r="Q278" i="1"/>
  <c r="Q502" i="1"/>
  <c r="Q702" i="1"/>
  <c r="Q894" i="1"/>
  <c r="Q1094" i="1"/>
  <c r="Q1302" i="1"/>
  <c r="Q1614" i="1"/>
  <c r="Q1926" i="1"/>
  <c r="Q2134" i="1"/>
  <c r="Q2334" i="1"/>
  <c r="Q2710" i="1"/>
  <c r="Q2894" i="1"/>
  <c r="Q3142" i="1"/>
  <c r="Q3334" i="1"/>
  <c r="Q3534" i="1"/>
  <c r="Q3718" i="1"/>
  <c r="Q3910" i="1"/>
  <c r="Q4118" i="1"/>
  <c r="Q4318" i="1"/>
  <c r="Q1301" i="1"/>
  <c r="Q2893" i="1"/>
  <c r="Q4133" i="1"/>
  <c r="Q4389" i="1"/>
  <c r="Q4500" i="1"/>
  <c r="Q4564" i="1"/>
  <c r="Q4628" i="1"/>
  <c r="Q4692" i="1"/>
  <c r="Q4756" i="1"/>
  <c r="Q4820" i="1"/>
  <c r="Q4884" i="1"/>
  <c r="Q4948" i="1"/>
  <c r="Q4301" i="1"/>
  <c r="Q302" i="1"/>
  <c r="Q478" i="1"/>
  <c r="Q662" i="1"/>
  <c r="Q870" i="1"/>
  <c r="Q1062" i="1"/>
  <c r="Q1238" i="1"/>
  <c r="Q1398" i="1"/>
  <c r="Q1558" i="1"/>
  <c r="Q1718" i="1"/>
  <c r="Q1886" i="1"/>
  <c r="Q2054" i="1"/>
  <c r="Q2286" i="1"/>
  <c r="Q2478" i="1"/>
  <c r="Q2726" i="1"/>
  <c r="Q2910" i="1"/>
  <c r="Q3174" i="1"/>
  <c r="Q3342" i="1"/>
  <c r="Q3526" i="1"/>
  <c r="Q3694" i="1"/>
  <c r="Q3870" i="1"/>
  <c r="Q4062" i="1"/>
  <c r="Q4230" i="1"/>
  <c r="Q4406" i="1"/>
  <c r="Q3046" i="1"/>
  <c r="Q4180" i="1"/>
  <c r="Q4436" i="1"/>
  <c r="Q4501" i="1"/>
  <c r="Q4565" i="1"/>
  <c r="Q4629" i="1"/>
  <c r="Q4693" i="1"/>
  <c r="Q4757" i="1"/>
  <c r="Q4821" i="1"/>
  <c r="Q4885" i="1"/>
  <c r="Q4949" i="1"/>
  <c r="Q3014" i="1"/>
  <c r="Q3836" i="1"/>
  <c r="Q4181" i="1"/>
  <c r="Q4437" i="1"/>
  <c r="Q4502" i="1"/>
  <c r="Q4566" i="1"/>
  <c r="Q4630" i="1"/>
  <c r="Q4694" i="1"/>
  <c r="Q4758" i="1"/>
  <c r="Q4822" i="1"/>
  <c r="Q4886" i="1"/>
  <c r="Q4950" i="1"/>
  <c r="Q249" i="1"/>
  <c r="Q2090" i="1"/>
  <c r="Q3873" i="1"/>
  <c r="Q167" i="1"/>
  <c r="Q2035" i="1"/>
  <c r="Q2308" i="1"/>
  <c r="Q2700" i="1"/>
  <c r="Q3036" i="1"/>
  <c r="Q3292" i="1"/>
  <c r="Q710" i="1"/>
  <c r="Q1894" i="1"/>
  <c r="Q1061" i="1"/>
  <c r="Q2853" i="1"/>
  <c r="Q806" i="1"/>
  <c r="Q4852" i="1"/>
  <c r="Q1486" i="1"/>
  <c r="Q2822" i="1"/>
  <c r="Q4158" i="1"/>
  <c r="Q4597" i="1"/>
  <c r="Q4918" i="1"/>
  <c r="Q2509" i="1"/>
  <c r="Q3741" i="1"/>
  <c r="Q2634" i="1"/>
  <c r="Q2331" i="1"/>
  <c r="Q3107" i="1"/>
  <c r="Q4432" i="1"/>
  <c r="Q1288" i="1"/>
  <c r="Q1392" i="1"/>
  <c r="Q1664" i="1"/>
  <c r="Q2144" i="1"/>
  <c r="Q2656" i="1"/>
  <c r="Q3456" i="1"/>
  <c r="Q2704" i="1"/>
  <c r="Q2731" i="1"/>
  <c r="Q1781" i="1"/>
  <c r="Q3157" i="1"/>
  <c r="Q1710" i="1"/>
  <c r="Q2414" i="1"/>
  <c r="Q2974" i="1"/>
  <c r="Q4054" i="1"/>
  <c r="Q4222" i="1"/>
  <c r="Q3508" i="1"/>
  <c r="Q3604" i="1"/>
  <c r="Q3764" i="1"/>
  <c r="Q3892" i="1"/>
  <c r="Q341" i="1"/>
  <c r="Q549" i="1"/>
  <c r="Q1429" i="1"/>
  <c r="Q2349" i="1"/>
  <c r="Q3213" i="1"/>
  <c r="Q526" i="1"/>
  <c r="Q1126" i="1"/>
  <c r="Q2366" i="1"/>
  <c r="Q3406" i="1"/>
  <c r="Q2218" i="1"/>
  <c r="Q363" i="1"/>
  <c r="Q2400" i="1"/>
  <c r="Q4082" i="1"/>
  <c r="Q3635" i="1"/>
  <c r="Q3907" i="1"/>
  <c r="Q1051" i="1"/>
  <c r="Q4640" i="1"/>
  <c r="Q3932" i="1"/>
  <c r="Q196" i="1"/>
  <c r="Q228" i="1"/>
  <c r="Q260" i="1"/>
  <c r="Q292" i="1"/>
  <c r="Q324" i="1"/>
  <c r="Q932" i="1"/>
  <c r="Q916" i="1"/>
  <c r="Q364" i="1"/>
  <c r="Q396" i="1"/>
  <c r="Q484" i="1"/>
  <c r="Q540" i="1"/>
  <c r="Q588" i="1"/>
  <c r="Q644" i="1"/>
  <c r="Q748" i="1"/>
  <c r="Q804" i="1"/>
  <c r="Q852" i="1"/>
  <c r="Q2628" i="1"/>
  <c r="Q2900" i="1"/>
  <c r="Q1662" i="1"/>
  <c r="Q4021" i="1"/>
  <c r="Q4332" i="1"/>
  <c r="Q909" i="1"/>
  <c r="Q3949" i="1"/>
  <c r="Q4205" i="1"/>
  <c r="Q1542" i="1"/>
  <c r="Q3772" i="1"/>
  <c r="Q4188" i="1"/>
  <c r="Q4444" i="1"/>
  <c r="Q4508" i="1"/>
  <c r="Q4572" i="1"/>
  <c r="Q4636" i="1"/>
  <c r="Q4700" i="1"/>
  <c r="Q4764" i="1"/>
  <c r="Q4828" i="1"/>
  <c r="Q4892" i="1"/>
  <c r="Q4956" i="1"/>
  <c r="Q525" i="1"/>
  <c r="Q709" i="1"/>
  <c r="Q877" i="1"/>
  <c r="Q1045" i="1"/>
  <c r="Q1253" i="1"/>
  <c r="Q1421" i="1"/>
  <c r="Q1589" i="1"/>
  <c r="Q1749" i="1"/>
  <c r="Q1917" i="1"/>
  <c r="Q2085" i="1"/>
  <c r="Q2277" i="1"/>
  <c r="Q2461" i="1"/>
  <c r="Q2669" i="1"/>
  <c r="Q2869" i="1"/>
  <c r="Q3109" i="1"/>
  <c r="Q3309" i="1"/>
  <c r="Q3525" i="1"/>
  <c r="Q3717" i="1"/>
  <c r="Q3925" i="1"/>
  <c r="Q3933" i="1"/>
  <c r="Q4189" i="1"/>
  <c r="Q4445" i="1"/>
  <c r="Q4509" i="1"/>
  <c r="Q4573" i="1"/>
  <c r="Q4637" i="1"/>
  <c r="Q4701" i="1"/>
  <c r="Q4765" i="1"/>
  <c r="Q4829" i="1"/>
  <c r="Q4893" i="1"/>
  <c r="Q4957" i="1"/>
  <c r="Q4237" i="1"/>
  <c r="Q669" i="1"/>
  <c r="Q821" i="1"/>
  <c r="Q1029" i="1"/>
  <c r="Q1189" i="1"/>
  <c r="Q1413" i="1"/>
  <c r="Q1581" i="1"/>
  <c r="Q1741" i="1"/>
  <c r="Q1933" i="1"/>
  <c r="Q2117" i="1"/>
  <c r="Q2365" i="1"/>
  <c r="Q2581" i="1"/>
  <c r="Q2781" i="1"/>
  <c r="Q3037" i="1"/>
  <c r="Q3237" i="1"/>
  <c r="Q3445" i="1"/>
  <c r="Q3661" i="1"/>
  <c r="Q3861" i="1"/>
  <c r="Q294" i="1"/>
  <c r="Q486" i="1"/>
  <c r="Q686" i="1"/>
  <c r="Q966" i="1"/>
  <c r="Q1174" i="1"/>
  <c r="Q1390" i="1"/>
  <c r="Q1630" i="1"/>
  <c r="Q1902" i="1"/>
  <c r="Q2118" i="1"/>
  <c r="Q2390" i="1"/>
  <c r="Q2638" i="1"/>
  <c r="Q2838" i="1"/>
  <c r="Q3150" i="1"/>
  <c r="Q3358" i="1"/>
  <c r="Q3566" i="1"/>
  <c r="Q3774" i="1"/>
  <c r="Q3982" i="1"/>
  <c r="Q4198" i="1"/>
  <c r="Q4414" i="1"/>
  <c r="Q3980" i="1"/>
  <c r="Q4236" i="1"/>
  <c r="Q4446" i="1"/>
  <c r="Q4510" i="1"/>
  <c r="Q4574" i="1"/>
  <c r="Q4638" i="1"/>
  <c r="Q4702" i="1"/>
  <c r="Q4766" i="1"/>
  <c r="Q4830" i="1"/>
  <c r="Q4894" i="1"/>
  <c r="Q4958" i="1"/>
  <c r="Q557" i="1"/>
  <c r="Q693" i="1"/>
  <c r="Q829" i="1"/>
  <c r="Q1013" i="1"/>
  <c r="Q1181" i="1"/>
  <c r="Q1341" i="1"/>
  <c r="Q1477" i="1"/>
  <c r="Q1605" i="1"/>
  <c r="Q1733" i="1"/>
  <c r="Q1869" i="1"/>
  <c r="Q2077" i="1"/>
  <c r="Q2229" i="1"/>
  <c r="Q2429" i="1"/>
  <c r="Q2573" i="1"/>
  <c r="Q2933" i="1"/>
  <c r="Q3085" i="1"/>
  <c r="Q3253" i="1"/>
  <c r="Q3405" i="1"/>
  <c r="Q3573" i="1"/>
  <c r="Q3733" i="1"/>
  <c r="Q3893" i="1"/>
  <c r="Q286" i="1"/>
  <c r="Q558" i="1"/>
  <c r="Q718" i="1"/>
  <c r="Q878" i="1"/>
  <c r="Q1054" i="1"/>
  <c r="Q1214" i="1"/>
  <c r="Q1430" i="1"/>
  <c r="Q1590" i="1"/>
  <c r="Q1790" i="1"/>
  <c r="Q1950" i="1"/>
  <c r="Q2110" i="1"/>
  <c r="Q2326" i="1"/>
  <c r="Q2502" i="1"/>
  <c r="Q2686" i="1"/>
  <c r="Q2878" i="1"/>
  <c r="Q3134" i="1"/>
  <c r="Q3302" i="1"/>
  <c r="Q3470" i="1"/>
  <c r="Q3638" i="1"/>
  <c r="Q3806" i="1"/>
  <c r="Q3974" i="1"/>
  <c r="Q4126" i="1"/>
  <c r="Q4302" i="1"/>
  <c r="Q3364" i="1"/>
  <c r="Q3396" i="1"/>
  <c r="Q3428" i="1"/>
  <c r="Q3460" i="1"/>
  <c r="Q3492" i="1"/>
  <c r="Q3524" i="1"/>
  <c r="Q3556" i="1"/>
  <c r="Q3588" i="1"/>
  <c r="Q3620" i="1"/>
  <c r="Q3660" i="1"/>
  <c r="Q3700" i="1"/>
  <c r="Q3748" i="1"/>
  <c r="Q3788" i="1"/>
  <c r="Q3828" i="1"/>
  <c r="Q3876" i="1"/>
  <c r="Q3916" i="1"/>
  <c r="Q1093" i="1"/>
  <c r="Q2990" i="1"/>
  <c r="Q2350" i="1"/>
  <c r="Q229" i="1"/>
  <c r="Q738" i="1"/>
  <c r="Q4713" i="1"/>
  <c r="Q39" i="1"/>
  <c r="Q4696" i="1"/>
  <c r="Q4889" i="1"/>
  <c r="Q3616" i="1"/>
  <c r="Q1556" i="1"/>
  <c r="Q1812" i="1"/>
  <c r="Q2596" i="1"/>
  <c r="Q2276" i="1"/>
  <c r="Q2412" i="1"/>
  <c r="Q2804" i="1"/>
  <c r="Q3132" i="1"/>
  <c r="Q3356" i="1"/>
  <c r="Q3582" i="1"/>
  <c r="Q4324" i="1"/>
  <c r="Q1621" i="1"/>
  <c r="Q3181" i="1"/>
  <c r="Q1206" i="1"/>
  <c r="Q3430" i="1"/>
  <c r="Q4261" i="1"/>
  <c r="Q4724" i="1"/>
  <c r="Q398" i="1"/>
  <c r="Q1814" i="1"/>
  <c r="Q3606" i="1"/>
  <c r="Q4308" i="1"/>
  <c r="Q4917" i="1"/>
  <c r="Q4053" i="1"/>
  <c r="Q4726" i="1"/>
  <c r="Q2093" i="1"/>
  <c r="Q3373" i="1"/>
  <c r="Q2746" i="1"/>
  <c r="Q2139" i="1"/>
  <c r="Q2360" i="1"/>
  <c r="Q4034" i="1"/>
  <c r="Q4944" i="1"/>
  <c r="Q715" i="1"/>
  <c r="Q1763" i="1"/>
  <c r="Q1504" i="1"/>
  <c r="Q1952" i="1"/>
  <c r="Q2408" i="1"/>
  <c r="Q2960" i="1"/>
  <c r="Q3883" i="1"/>
  <c r="Q3280" i="1"/>
  <c r="Q4882" i="1"/>
  <c r="Q1355" i="1"/>
  <c r="Q2563" i="1"/>
  <c r="Q1243" i="1"/>
  <c r="Q3169" i="1"/>
  <c r="Q212" i="1"/>
  <c r="Q924" i="1"/>
  <c r="Q500" i="1"/>
  <c r="Q700" i="1"/>
  <c r="Q4077" i="1"/>
  <c r="Q4476" i="1"/>
  <c r="Q4924" i="1"/>
  <c r="Q187" i="1"/>
  <c r="Q3823" i="1"/>
  <c r="Q3082" i="1"/>
  <c r="Q3496" i="1"/>
  <c r="Q335" i="1"/>
  <c r="Q3361" i="1"/>
  <c r="Q1777" i="1"/>
  <c r="Q2305" i="1"/>
  <c r="Q4402" i="1"/>
  <c r="Q107" i="1"/>
  <c r="Q3641" i="1"/>
  <c r="Q2201" i="1"/>
  <c r="Q3256" i="1"/>
  <c r="Q4888" i="1"/>
  <c r="Q2993" i="1"/>
  <c r="Q1065" i="1"/>
  <c r="Q3842" i="1"/>
  <c r="Q4923" i="1"/>
  <c r="Q792" i="1"/>
  <c r="Q352" i="1"/>
  <c r="Q3745" i="1"/>
  <c r="Q2521" i="1"/>
  <c r="Q110" i="1"/>
  <c r="Q898" i="1"/>
  <c r="Q1217" i="1"/>
  <c r="Q354" i="1"/>
  <c r="Q1153" i="1"/>
  <c r="Q4775" i="1"/>
  <c r="Q2226" i="1"/>
  <c r="Q2401" i="1"/>
  <c r="Q2457" i="1"/>
  <c r="Q67" i="1"/>
  <c r="Q2808" i="1"/>
  <c r="Q1665" i="1"/>
  <c r="Q2871" i="1"/>
  <c r="Q555" i="1"/>
  <c r="Q1705" i="1"/>
  <c r="Q2472" i="1"/>
  <c r="Q4721" i="1"/>
  <c r="Q4672" i="1"/>
  <c r="Q2824" i="1"/>
  <c r="Q4656" i="1"/>
  <c r="Q3377" i="1"/>
  <c r="Q132" i="1"/>
  <c r="Q74" i="1"/>
  <c r="Q14" i="1"/>
  <c r="Q521" i="1"/>
  <c r="Q553" i="1"/>
  <c r="Q2879" i="1"/>
  <c r="Q1464" i="1"/>
  <c r="Q4833" i="1"/>
  <c r="Q4033" i="1"/>
  <c r="Q4608" i="1"/>
  <c r="Q179" i="1"/>
  <c r="Q4192" i="1"/>
  <c r="Q1475" i="1"/>
  <c r="Q1193" i="1"/>
  <c r="Q3664" i="1"/>
  <c r="Q4945" i="1"/>
  <c r="Q4313" i="1"/>
  <c r="Q1329" i="1"/>
  <c r="Q1695" i="1"/>
  <c r="Q240" i="1"/>
  <c r="Q1911" i="1"/>
  <c r="Q4385" i="1"/>
  <c r="Q2659" i="1"/>
  <c r="Q4890" i="1"/>
  <c r="Q452" i="1"/>
  <c r="Q969" i="1"/>
  <c r="Q178" i="1"/>
  <c r="Q114" i="1"/>
  <c r="Q137" i="1"/>
  <c r="Q68" i="1"/>
  <c r="Q903" i="1"/>
  <c r="Q3409" i="1"/>
  <c r="Q1841" i="1"/>
  <c r="Q3391" i="1"/>
  <c r="Q4497" i="1"/>
  <c r="Q3017" i="1"/>
  <c r="Q2418" i="1"/>
  <c r="Q929" i="1"/>
  <c r="Q2848" i="1"/>
  <c r="Q3345" i="1"/>
  <c r="Q760" i="1"/>
  <c r="Q1032" i="1"/>
  <c r="Q4216" i="1"/>
  <c r="Q2728" i="1"/>
  <c r="Q3207" i="1"/>
  <c r="Q1120" i="1"/>
  <c r="Q4201" i="1"/>
  <c r="Q3426" i="1"/>
  <c r="Q4105" i="1"/>
  <c r="Q3281" i="1"/>
  <c r="Q537" i="1"/>
  <c r="Q165" i="1"/>
  <c r="Q945" i="1"/>
  <c r="Q4233" i="1"/>
  <c r="Q515" i="1"/>
  <c r="Q3881" i="1"/>
  <c r="Q2576" i="1"/>
  <c r="Q3953" i="1"/>
  <c r="Q2697" i="1"/>
  <c r="Q416" i="1"/>
  <c r="Q697" i="1"/>
  <c r="Q1984" i="1"/>
  <c r="Q4352" i="1"/>
  <c r="Q632" i="1"/>
  <c r="Q888" i="1"/>
  <c r="Q736" i="1"/>
  <c r="Q3937" i="1"/>
  <c r="Q1585" i="1"/>
  <c r="Q2626" i="1"/>
  <c r="Q329" i="1"/>
  <c r="Q77" i="1"/>
  <c r="Q1674" i="1"/>
  <c r="Q1105" i="1"/>
  <c r="Q4098" i="1"/>
  <c r="Q59" i="1"/>
  <c r="Q2705" i="1"/>
  <c r="Q4154" i="1"/>
  <c r="Q719" i="1"/>
  <c r="Q4723" i="1"/>
  <c r="Q4321" i="1"/>
  <c r="Q2345" i="1"/>
  <c r="Q2689" i="1"/>
  <c r="Q904" i="1"/>
  <c r="Q408" i="1"/>
  <c r="Q4521" i="1"/>
  <c r="Q3840" i="1"/>
  <c r="Q2545" i="1"/>
  <c r="Q4545" i="1"/>
  <c r="Q124" i="1"/>
  <c r="Q3433" i="1"/>
  <c r="Q1369" i="1"/>
  <c r="Q3401" i="1"/>
  <c r="Q459" i="1"/>
  <c r="Q714" i="1"/>
  <c r="Q3504" i="1"/>
  <c r="Q728" i="1"/>
  <c r="Q4416" i="1"/>
  <c r="Q65" i="1"/>
  <c r="Q1353" i="1"/>
  <c r="Q617" i="1"/>
  <c r="Q1441" i="1"/>
  <c r="Q996" i="1"/>
  <c r="Q980" i="1"/>
  <c r="Q1060" i="1"/>
  <c r="Q1172" i="1"/>
  <c r="Q1244" i="1"/>
  <c r="Q1316" i="1"/>
  <c r="Q1388" i="1"/>
  <c r="Q1420" i="1"/>
  <c r="Q1452" i="1"/>
  <c r="Q1484" i="1"/>
  <c r="Q1516" i="1"/>
  <c r="Q1548" i="1"/>
  <c r="Q1580" i="1"/>
  <c r="Q1612" i="1"/>
  <c r="Q1644" i="1"/>
  <c r="Q1676" i="1"/>
  <c r="Q1708" i="1"/>
  <c r="Q1740" i="1"/>
  <c r="Q1772" i="1"/>
  <c r="Q1804" i="1"/>
  <c r="Q1836" i="1"/>
  <c r="Q1868" i="1"/>
  <c r="Q1900" i="1"/>
  <c r="Q1932" i="1"/>
  <c r="Q1964" i="1"/>
  <c r="Q1996" i="1"/>
  <c r="Q2028" i="1"/>
  <c r="Q2692" i="1"/>
  <c r="Q2044" i="1"/>
  <c r="Q2076" i="1"/>
  <c r="Q2108" i="1"/>
  <c r="Q2140" i="1"/>
  <c r="Q2172" i="1"/>
  <c r="Q2204" i="1"/>
  <c r="Q2236" i="1"/>
  <c r="Q2268" i="1"/>
  <c r="Q2300" i="1"/>
  <c r="Q2348" i="1"/>
  <c r="Q2404" i="1"/>
  <c r="Q2444" i="1"/>
  <c r="Q2492" i="1"/>
  <c r="Q2556" i="1"/>
  <c r="Q2620" i="1"/>
  <c r="Q2676" i="1"/>
  <c r="Q2724" i="1"/>
  <c r="Q2772" i="1"/>
  <c r="Q2860" i="1"/>
  <c r="Q2916" i="1"/>
  <c r="Q2964" i="1"/>
  <c r="Q2996" i="1"/>
  <c r="Q3028" i="1"/>
  <c r="Q3060" i="1"/>
  <c r="Q3092" i="1"/>
  <c r="Q3124" i="1"/>
  <c r="Q3156" i="1"/>
  <c r="Q3188" i="1"/>
  <c r="Q3220" i="1"/>
  <c r="Q3252" i="1"/>
  <c r="Q3284" i="1"/>
  <c r="Q3316" i="1"/>
  <c r="Q3348" i="1"/>
  <c r="Q2046" i="1"/>
  <c r="Q4076" i="1"/>
  <c r="Q4341" i="1"/>
  <c r="Q382" i="1"/>
  <c r="Q654" i="1"/>
  <c r="Q862" i="1"/>
  <c r="Q1046" i="1"/>
  <c r="Q1262" i="1"/>
  <c r="Q1518" i="1"/>
  <c r="Q1854" i="1"/>
  <c r="Q2102" i="1"/>
  <c r="Q2406" i="1"/>
  <c r="Q2670" i="1"/>
  <c r="Q2870" i="1"/>
  <c r="Q3118" i="1"/>
  <c r="Q3326" i="1"/>
  <c r="Q3542" i="1"/>
  <c r="Q3734" i="1"/>
  <c r="Q3942" i="1"/>
  <c r="Q4134" i="1"/>
  <c r="Q4342" i="1"/>
  <c r="Q2550" i="1"/>
  <c r="Q4004" i="1"/>
  <c r="Q4260" i="1"/>
  <c r="Q573" i="1"/>
  <c r="Q813" i="1"/>
  <c r="Q1021" i="1"/>
  <c r="Q1245" i="1"/>
  <c r="Q1397" i="1"/>
  <c r="Q1573" i="1"/>
  <c r="Q1765" i="1"/>
  <c r="Q1941" i="1"/>
  <c r="Q2109" i="1"/>
  <c r="Q2317" i="1"/>
  <c r="Q2533" i="1"/>
  <c r="Q2741" i="1"/>
  <c r="Q3133" i="1"/>
  <c r="Q3349" i="1"/>
  <c r="Q3541" i="1"/>
  <c r="Q3749" i="1"/>
  <c r="Q422" i="1"/>
  <c r="Q318" i="1"/>
  <c r="Q550" i="1"/>
  <c r="Q750" i="1"/>
  <c r="Q950" i="1"/>
  <c r="Q1158" i="1"/>
  <c r="Q1358" i="1"/>
  <c r="Q1782" i="1"/>
  <c r="Q1982" i="1"/>
  <c r="Q2190" i="1"/>
  <c r="Q2438" i="1"/>
  <c r="Q2758" i="1"/>
  <c r="Q2950" i="1"/>
  <c r="Q3190" i="1"/>
  <c r="Q3382" i="1"/>
  <c r="Q3574" i="1"/>
  <c r="Q3766" i="1"/>
  <c r="Q3958" i="1"/>
  <c r="Q4166" i="1"/>
  <c r="Q4374" i="1"/>
  <c r="Q1566" i="1"/>
  <c r="Q3941" i="1"/>
  <c r="Q4197" i="1"/>
  <c r="Q4452" i="1"/>
  <c r="Q4516" i="1"/>
  <c r="Q4580" i="1"/>
  <c r="Q4644" i="1"/>
  <c r="Q4708" i="1"/>
  <c r="Q4772" i="1"/>
  <c r="Q4836" i="1"/>
  <c r="Q4900" i="1"/>
  <c r="Q4964" i="1"/>
  <c r="Q350" i="1"/>
  <c r="Q518" i="1"/>
  <c r="Q694" i="1"/>
  <c r="Q918" i="1"/>
  <c r="Q1110" i="1"/>
  <c r="Q1286" i="1"/>
  <c r="Q1446" i="1"/>
  <c r="Q1606" i="1"/>
  <c r="Q1766" i="1"/>
  <c r="Q1934" i="1"/>
  <c r="Q2094" i="1"/>
  <c r="Q2310" i="1"/>
  <c r="Q2526" i="1"/>
  <c r="Q2774" i="1"/>
  <c r="Q2942" i="1"/>
  <c r="Q3214" i="1"/>
  <c r="Q3390" i="1"/>
  <c r="Q3558" i="1"/>
  <c r="Q3742" i="1"/>
  <c r="Q3918" i="1"/>
  <c r="Q4110" i="1"/>
  <c r="Q4278" i="1"/>
  <c r="Q893" i="1"/>
  <c r="Q3988" i="1"/>
  <c r="Q4244" i="1"/>
  <c r="Q4453" i="1"/>
  <c r="Q4517" i="1"/>
  <c r="Q4581" i="1"/>
  <c r="Q4645" i="1"/>
  <c r="Q4709" i="1"/>
  <c r="Q4773" i="1"/>
  <c r="Q4837" i="1"/>
  <c r="Q4901" i="1"/>
  <c r="Q4965" i="1"/>
  <c r="Q4365" i="1"/>
  <c r="Q3989" i="1"/>
  <c r="Q4245" i="1"/>
  <c r="Q4454" i="1"/>
  <c r="Q4518" i="1"/>
  <c r="Q4582" i="1"/>
  <c r="Q4646" i="1"/>
  <c r="Q4710" i="1"/>
  <c r="Q4774" i="1"/>
  <c r="Q4838" i="1"/>
  <c r="Q4902" i="1"/>
  <c r="Q4966" i="1"/>
  <c r="Q1149" i="1"/>
  <c r="Q3981" i="1"/>
  <c r="Q2285" i="1"/>
  <c r="Q2469" i="1"/>
  <c r="Q2637" i="1"/>
  <c r="Q2805" i="1"/>
  <c r="Q2965" i="1"/>
  <c r="Q3149" i="1"/>
  <c r="Q3325" i="1"/>
  <c r="Q3509" i="1"/>
  <c r="Q3693" i="1"/>
  <c r="Q3885" i="1"/>
  <c r="Q2590" i="1"/>
  <c r="Q2426" i="1"/>
  <c r="Q2514" i="1"/>
  <c r="Q2618" i="1"/>
  <c r="Q2722" i="1"/>
  <c r="Q2818" i="1"/>
  <c r="Q1563" i="1"/>
  <c r="Q1819" i="1"/>
  <c r="Q2075" i="1"/>
  <c r="Q2291" i="1"/>
  <c r="Q2938" i="1"/>
  <c r="Q1043" i="1"/>
  <c r="Q1731" i="1"/>
  <c r="Q2259" i="1"/>
  <c r="Q2635" i="1"/>
  <c r="Q3019" i="1"/>
  <c r="Q3530" i="1"/>
  <c r="Q3720" i="1"/>
  <c r="Q3920" i="1"/>
  <c r="Q4208" i="1"/>
  <c r="Q4362" i="1"/>
  <c r="Q4624" i="1"/>
  <c r="Q4880" i="1"/>
  <c r="Q1123" i="1"/>
  <c r="Q3291" i="1"/>
  <c r="Q4093" i="1"/>
  <c r="Q195" i="1"/>
  <c r="Q675" i="1"/>
  <c r="Q875" i="1"/>
  <c r="Q1099" i="1"/>
  <c r="Q1419" i="1"/>
  <c r="Q1659" i="1"/>
  <c r="Q1915" i="1"/>
  <c r="Q1184" i="1"/>
  <c r="Q1280" i="1"/>
  <c r="Q1312" i="1"/>
  <c r="Q1376" i="1"/>
  <c r="Q1424" i="1"/>
  <c r="Q1488" i="1"/>
  <c r="Q1536" i="1"/>
  <c r="Q1576" i="1"/>
  <c r="Q1656" i="1"/>
  <c r="Q1696" i="1"/>
  <c r="Q1776" i="1"/>
  <c r="Q1816" i="1"/>
  <c r="Q1888" i="1"/>
  <c r="Q1936" i="1"/>
  <c r="Q2040" i="1"/>
  <c r="Q2128" i="1"/>
  <c r="Q2192" i="1"/>
  <c r="Q2280" i="1"/>
  <c r="Q2328" i="1"/>
  <c r="Q2392" i="1"/>
  <c r="Q2512" i="1"/>
  <c r="Q2560" i="1"/>
  <c r="Q2648" i="1"/>
  <c r="Q2680" i="1"/>
  <c r="Q2784" i="1"/>
  <c r="Q2856" i="1"/>
  <c r="Q2912" i="1"/>
  <c r="Q2992" i="1"/>
  <c r="Q3144" i="1"/>
  <c r="Q3272" i="1"/>
  <c r="Q3400" i="1"/>
  <c r="Q3528" i="1"/>
  <c r="Q1651" i="1"/>
  <c r="Q3515" i="1"/>
  <c r="Q4363" i="1"/>
  <c r="Q1251" i="1"/>
  <c r="Q2120" i="1"/>
  <c r="Q2624" i="1"/>
  <c r="Q2883" i="1"/>
  <c r="Q3160" i="1"/>
  <c r="Q3600" i="1"/>
  <c r="Q3848" i="1"/>
  <c r="Q4104" i="1"/>
  <c r="Q4346" i="1"/>
  <c r="Q4562" i="1"/>
  <c r="Q4818" i="1"/>
  <c r="Q2203" i="1"/>
  <c r="Q2739" i="1"/>
  <c r="Q3443" i="1"/>
  <c r="Q4267" i="1"/>
  <c r="Q4680" i="1"/>
  <c r="Q4357" i="1"/>
  <c r="Q779" i="1"/>
  <c r="Q2107" i="1"/>
  <c r="Q3640" i="1"/>
  <c r="Q264" i="1"/>
  <c r="Q4595" i="1"/>
  <c r="Q2712" i="1"/>
  <c r="Q1428" i="1"/>
  <c r="Q1524" i="1"/>
  <c r="Q1684" i="1"/>
  <c r="Q1908" i="1"/>
  <c r="Q2500" i="1"/>
  <c r="Q2924" i="1"/>
  <c r="Q3100" i="1"/>
  <c r="Q3228" i="1"/>
  <c r="Q494" i="1"/>
  <c r="Q2718" i="1"/>
  <c r="Q3990" i="1"/>
  <c r="Q621" i="1"/>
  <c r="Q1981" i="1"/>
  <c r="Q3805" i="1"/>
  <c r="Q1462" i="1"/>
  <c r="Q2806" i="1"/>
  <c r="Q4022" i="1"/>
  <c r="Q4596" i="1"/>
  <c r="Q222" i="1"/>
  <c r="Q1318" i="1"/>
  <c r="Q2574" i="1"/>
  <c r="Q3446" i="1"/>
  <c r="Q4052" i="1"/>
  <c r="Q4725" i="1"/>
  <c r="Q1510" i="1"/>
  <c r="Q4598" i="1"/>
  <c r="Q4982" i="1"/>
  <c r="Q2837" i="1"/>
  <c r="Q3909" i="1"/>
  <c r="Q2266" i="1"/>
  <c r="Q2866" i="1"/>
  <c r="Q366" i="1"/>
  <c r="Q3499" i="1"/>
  <c r="Q915" i="1"/>
  <c r="Q1192" i="1"/>
  <c r="Q1616" i="1"/>
  <c r="Q2048" i="1"/>
  <c r="Q2584" i="1"/>
  <c r="Q3200" i="1"/>
  <c r="Q395" i="1"/>
  <c r="Q3922" i="1"/>
  <c r="Q3699" i="1"/>
  <c r="Q4499" i="1"/>
  <c r="Q1667" i="1"/>
  <c r="Q308" i="1"/>
  <c r="Q628" i="1"/>
  <c r="Q412" i="1"/>
  <c r="Q2323" i="1"/>
  <c r="Q204" i="1"/>
  <c r="Q236" i="1"/>
  <c r="Q268" i="1"/>
  <c r="Q300" i="1"/>
  <c r="Q332" i="1"/>
  <c r="Q668" i="1"/>
  <c r="Q340" i="1"/>
  <c r="Q372" i="1"/>
  <c r="Q404" i="1"/>
  <c r="Q492" i="1"/>
  <c r="Q548" i="1"/>
  <c r="Q596" i="1"/>
  <c r="Q692" i="1"/>
  <c r="Q756" i="1"/>
  <c r="Q820" i="1"/>
  <c r="Q1284" i="1"/>
  <c r="Q2748" i="1"/>
  <c r="Q2582" i="1"/>
  <c r="Q4140" i="1"/>
  <c r="Q4396" i="1"/>
  <c r="Q2789" i="1"/>
  <c r="Q4013" i="1"/>
  <c r="Q4269" i="1"/>
  <c r="Q1694" i="1"/>
  <c r="Q2014" i="1"/>
  <c r="Q3996" i="1"/>
  <c r="Q4252" i="1"/>
  <c r="Q4460" i="1"/>
  <c r="Q4524" i="1"/>
  <c r="Q4588" i="1"/>
  <c r="Q4652" i="1"/>
  <c r="Q4716" i="1"/>
  <c r="Q4780" i="1"/>
  <c r="Q4844" i="1"/>
  <c r="Q4908" i="1"/>
  <c r="Q4972" i="1"/>
  <c r="Q605" i="1"/>
  <c r="Q749" i="1"/>
  <c r="Q917" i="1"/>
  <c r="Q1133" i="1"/>
  <c r="Q1293" i="1"/>
  <c r="Q1461" i="1"/>
  <c r="Q1629" i="1"/>
  <c r="Q1797" i="1"/>
  <c r="Q1965" i="1"/>
  <c r="Q2133" i="1"/>
  <c r="Q2309" i="1"/>
  <c r="Q2517" i="1"/>
  <c r="Q2717" i="1"/>
  <c r="Q2909" i="1"/>
  <c r="Q3165" i="1"/>
  <c r="Q3357" i="1"/>
  <c r="Q3581" i="1"/>
  <c r="Q3765" i="1"/>
  <c r="Q374" i="1"/>
  <c r="Q1269" i="1"/>
  <c r="Q3997" i="1"/>
  <c r="Q4253" i="1"/>
  <c r="Q4461" i="1"/>
  <c r="Q4525" i="1"/>
  <c r="Q4589" i="1"/>
  <c r="Q4653" i="1"/>
  <c r="Q4717" i="1"/>
  <c r="Q4781" i="1"/>
  <c r="Q4845" i="1"/>
  <c r="Q4909" i="1"/>
  <c r="Q4973" i="1"/>
  <c r="Q509" i="1"/>
  <c r="Q701" i="1"/>
  <c r="Q861" i="1"/>
  <c r="Q1069" i="1"/>
  <c r="Q1229" i="1"/>
  <c r="Q1453" i="1"/>
  <c r="Q1613" i="1"/>
  <c r="Q1789" i="1"/>
  <c r="Q1973" i="1"/>
  <c r="Q2165" i="1"/>
  <c r="Q2437" i="1"/>
  <c r="Q2629" i="1"/>
  <c r="Q2829" i="1"/>
  <c r="Q3093" i="1"/>
  <c r="Q3293" i="1"/>
  <c r="Q3501" i="1"/>
  <c r="Q3709" i="1"/>
  <c r="Q3917" i="1"/>
  <c r="Q342" i="1"/>
  <c r="Q534" i="1"/>
  <c r="Q726" i="1"/>
  <c r="Q1022" i="1"/>
  <c r="Q1222" i="1"/>
  <c r="Q1422" i="1"/>
  <c r="Q1686" i="1"/>
  <c r="Q1958" i="1"/>
  <c r="Q2166" i="1"/>
  <c r="Q2446" i="1"/>
  <c r="Q2694" i="1"/>
  <c r="Q2886" i="1"/>
  <c r="Q3198" i="1"/>
  <c r="Q3414" i="1"/>
  <c r="Q3614" i="1"/>
  <c r="Q3822" i="1"/>
  <c r="Q4030" i="1"/>
  <c r="Q4254" i="1"/>
  <c r="Q1237" i="1"/>
  <c r="Q4044" i="1"/>
  <c r="Q4300" i="1"/>
  <c r="Q4462" i="1"/>
  <c r="Q4526" i="1"/>
  <c r="Q4590" i="1"/>
  <c r="Q4654" i="1"/>
  <c r="Q4718" i="1"/>
  <c r="Q4782" i="1"/>
  <c r="Q4846" i="1"/>
  <c r="Q4910" i="1"/>
  <c r="Q4974" i="1"/>
  <c r="Q589" i="1"/>
  <c r="Q733" i="1"/>
  <c r="Q869" i="1"/>
  <c r="Q1053" i="1"/>
  <c r="Q1205" i="1"/>
  <c r="Q1381" i="1"/>
  <c r="Q1517" i="1"/>
  <c r="Q1645" i="1"/>
  <c r="Q1773" i="1"/>
  <c r="Q1925" i="1"/>
  <c r="Q2101" i="1"/>
  <c r="Q2301" i="1"/>
  <c r="Q2453" i="1"/>
  <c r="Q2621" i="1"/>
  <c r="Q2973" i="1"/>
  <c r="Q3125" i="1"/>
  <c r="Q3285" i="1"/>
  <c r="Q3437" i="1"/>
  <c r="Q3605" i="1"/>
  <c r="Q3781" i="1"/>
  <c r="Q190" i="1"/>
  <c r="Q334" i="1"/>
  <c r="Q590" i="1"/>
  <c r="Q758" i="1"/>
  <c r="Q926" i="1"/>
  <c r="Q1086" i="1"/>
  <c r="Q1246" i="1"/>
  <c r="Q1478" i="1"/>
  <c r="Q1622" i="1"/>
  <c r="Q1822" i="1"/>
  <c r="Q1990" i="1"/>
  <c r="Q2150" i="1"/>
  <c r="Q2374" i="1"/>
  <c r="Q2534" i="1"/>
  <c r="Q2734" i="1"/>
  <c r="Q2926" i="1"/>
  <c r="Q3182" i="1"/>
  <c r="Q3350" i="1"/>
  <c r="Q3502" i="1"/>
  <c r="Q3662" i="1"/>
  <c r="Q3846" i="1"/>
  <c r="Q4014" i="1"/>
  <c r="Q4174" i="1"/>
  <c r="Q4334" i="1"/>
  <c r="Q3372" i="1"/>
  <c r="Q3404" i="1"/>
  <c r="Q3436" i="1"/>
  <c r="Q3468" i="1"/>
  <c r="Q3500" i="1"/>
  <c r="Q3532" i="1"/>
  <c r="Q3564" i="1"/>
  <c r="Q3596" i="1"/>
  <c r="Q3628" i="1"/>
  <c r="Q3668" i="1"/>
  <c r="Q3716" i="1"/>
  <c r="Q3756" i="1"/>
  <c r="Q3796" i="1"/>
  <c r="Q3844" i="1"/>
  <c r="Q3884" i="1"/>
  <c r="Q3924" i="1"/>
  <c r="Q1805" i="1"/>
  <c r="Q4045" i="1"/>
  <c r="Q189" i="1"/>
  <c r="Q237" i="1"/>
  <c r="Q269" i="1"/>
  <c r="Q301" i="1"/>
  <c r="Q333" i="1"/>
  <c r="Q381" i="1"/>
  <c r="Q413" i="1"/>
  <c r="Q445" i="1"/>
  <c r="Q477" i="1"/>
  <c r="Q541" i="1"/>
  <c r="Q637" i="1"/>
  <c r="Q797" i="1"/>
  <c r="Q957" i="1"/>
  <c r="Q1165" i="1"/>
  <c r="Q1389" i="1"/>
  <c r="Q1557" i="1"/>
  <c r="Q1725" i="1"/>
  <c r="Q1949" i="1"/>
  <c r="Q2125" i="1"/>
  <c r="Q2293" i="1"/>
  <c r="Q2501" i="1"/>
  <c r="Q2709" i="1"/>
  <c r="Q2981" i="1"/>
  <c r="Q3173" i="1"/>
  <c r="Q3365" i="1"/>
  <c r="Q3565" i="1"/>
  <c r="Q3829" i="1"/>
  <c r="Q414" i="1"/>
  <c r="Q678" i="1"/>
  <c r="Q886" i="1"/>
  <c r="Q1078" i="1"/>
  <c r="Q1278" i="1"/>
  <c r="Q1598" i="1"/>
  <c r="Q1846" i="1"/>
  <c r="Q2126" i="1"/>
  <c r="Q2318" i="1"/>
  <c r="Q2518" i="1"/>
  <c r="Q2702" i="1"/>
  <c r="Q2902" i="1"/>
  <c r="Q3158" i="1"/>
  <c r="Q3366" i="1"/>
  <c r="Q3646" i="1"/>
  <c r="Q3854" i="1"/>
  <c r="Q4046" i="1"/>
  <c r="Q4246" i="1"/>
  <c r="Q2202" i="1"/>
  <c r="Q3042" i="1"/>
  <c r="Q1579" i="1"/>
  <c r="Q1835" i="1"/>
  <c r="Q2091" i="1"/>
  <c r="Q2307" i="1"/>
  <c r="Q3034" i="1"/>
  <c r="Q1085" i="1"/>
  <c r="Q1864" i="1"/>
  <c r="Q2275" i="1"/>
  <c r="Q2688" i="1"/>
  <c r="Q1442" i="1"/>
  <c r="Q3929" i="1"/>
  <c r="Q3225" i="1"/>
  <c r="Q4088" i="1"/>
  <c r="Q4921" i="1"/>
  <c r="Q3369" i="1"/>
  <c r="Q3096" i="1"/>
  <c r="Q3570" i="1"/>
  <c r="Q3744" i="1"/>
  <c r="Q3976" i="1"/>
  <c r="Q4218" i="1"/>
  <c r="Q4376" i="1"/>
  <c r="Q4674" i="1"/>
  <c r="Q4930" i="1"/>
  <c r="Q1555" i="1"/>
  <c r="Q3395" i="1"/>
  <c r="Q4139" i="1"/>
  <c r="Q1979" i="1"/>
  <c r="Q3571" i="1"/>
  <c r="Q4421" i="1"/>
  <c r="Q379" i="1"/>
  <c r="Q627" i="1"/>
  <c r="Q971" i="1"/>
  <c r="Q1491" i="1"/>
  <c r="Q1923" i="1"/>
  <c r="Q227" i="1"/>
  <c r="Q1443" i="1"/>
  <c r="Q2136" i="1"/>
  <c r="Q2640" i="1"/>
  <c r="Q2896" i="1"/>
  <c r="Q3171" i="1"/>
  <c r="Q3674" i="1"/>
  <c r="Q3898" i="1"/>
  <c r="Q4162" i="1"/>
  <c r="Q4378" i="1"/>
  <c r="Q4576" i="1"/>
  <c r="Q4832" i="1"/>
  <c r="Q2235" i="1"/>
  <c r="Q2867" i="1"/>
  <c r="Q3675" i="1"/>
  <c r="Q4323" i="1"/>
  <c r="Q4755" i="1"/>
  <c r="Q371" i="1"/>
  <c r="Q619" i="1"/>
  <c r="Q899" i="1"/>
  <c r="Q1291" i="1"/>
  <c r="Q2019" i="1"/>
  <c r="Q3122" i="1"/>
  <c r="Q3250" i="1"/>
  <c r="Q3378" i="1"/>
  <c r="Q3506" i="1"/>
  <c r="Q1331" i="1"/>
  <c r="Q2219" i="1"/>
  <c r="Q3459" i="1"/>
  <c r="Q4435" i="1"/>
  <c r="Q4947" i="1"/>
  <c r="Q307" i="1"/>
  <c r="Q531" i="1"/>
  <c r="Q739" i="1"/>
  <c r="Q1107" i="1"/>
  <c r="Q1299" i="1"/>
  <c r="Q1675" i="1"/>
  <c r="Q2411" i="1"/>
  <c r="Q2262" i="1"/>
  <c r="Q4117" i="1"/>
  <c r="Q4373" i="1"/>
  <c r="Q4486" i="1"/>
  <c r="Q4550" i="1"/>
  <c r="Q4614" i="1"/>
  <c r="Q4678" i="1"/>
  <c r="Q4742" i="1"/>
  <c r="Q4806" i="1"/>
  <c r="Q4870" i="1"/>
  <c r="Q4934" i="1"/>
  <c r="Q4998" i="1"/>
  <c r="Q373" i="1"/>
  <c r="Q2253" i="1"/>
  <c r="Q2181" i="1"/>
  <c r="Q2381" i="1"/>
  <c r="Q2549" i="1"/>
  <c r="Q2725" i="1"/>
  <c r="Q2877" i="1"/>
  <c r="Q3061" i="1"/>
  <c r="Q3229" i="1"/>
  <c r="Q3421" i="1"/>
  <c r="Q3589" i="1"/>
  <c r="Q3789" i="1"/>
  <c r="Q214" i="1"/>
  <c r="Q2282" i="1"/>
  <c r="Q2370" i="1"/>
  <c r="Q2466" i="1"/>
  <c r="Q2546" i="1"/>
  <c r="Q2658" i="1"/>
  <c r="Q2794" i="1"/>
  <c r="Q2890" i="1"/>
  <c r="Q1691" i="1"/>
  <c r="Q1947" i="1"/>
  <c r="Q2163" i="1"/>
  <c r="Q2475" i="1"/>
  <c r="Q667" i="1"/>
  <c r="Q1339" i="1"/>
  <c r="Q2008" i="1"/>
  <c r="Q2443" i="1"/>
  <c r="Q2800" i="1"/>
  <c r="Q3304" i="1"/>
  <c r="Q3658" i="1"/>
  <c r="Q3832" i="1"/>
  <c r="Q4101" i="1"/>
  <c r="Q4285" i="1"/>
  <c r="Q4496" i="1"/>
  <c r="Q4752" i="1"/>
  <c r="Q283" i="1"/>
  <c r="Q2947" i="1"/>
  <c r="Q3659" i="1"/>
  <c r="Q4483" i="1"/>
  <c r="Q523" i="1"/>
  <c r="Q803" i="1"/>
  <c r="Q995" i="1"/>
  <c r="Q1307" i="1"/>
  <c r="Q1539" i="1"/>
  <c r="Q1803" i="1"/>
  <c r="Q2419" i="1"/>
  <c r="Q1256" i="1"/>
  <c r="Q1296" i="1"/>
  <c r="Q1336" i="1"/>
  <c r="Q1400" i="1"/>
  <c r="Q1440" i="1"/>
  <c r="Q1520" i="1"/>
  <c r="Q1560" i="1"/>
  <c r="Q1632" i="1"/>
  <c r="Q1680" i="1"/>
  <c r="Q1744" i="1"/>
  <c r="Q1792" i="1"/>
  <c r="Q1832" i="1"/>
  <c r="Q1912" i="1"/>
  <c r="Q2000" i="1"/>
  <c r="Q2064" i="1"/>
  <c r="Q2168" i="1"/>
  <c r="Q2232" i="1"/>
  <c r="Q2296" i="1"/>
  <c r="Q2352" i="1"/>
  <c r="Q2464" i="1"/>
  <c r="Q2536" i="1"/>
  <c r="Q2600" i="1"/>
  <c r="Q2664" i="1"/>
  <c r="Q2744" i="1"/>
  <c r="Q2816" i="1"/>
  <c r="Q2872" i="1"/>
  <c r="Q2968" i="1"/>
  <c r="Q3056" i="1"/>
  <c r="Q3208" i="1"/>
  <c r="Q3336" i="1"/>
  <c r="Q3464" i="1"/>
  <c r="Q443" i="1"/>
  <c r="Q3051" i="1"/>
  <c r="Q4035" i="1"/>
  <c r="Q4739" i="1"/>
  <c r="Q1011" i="1"/>
  <c r="Q1603" i="1"/>
  <c r="Q2315" i="1"/>
  <c r="Q2787" i="1"/>
  <c r="Q3024" i="1"/>
  <c r="Q3416" i="1"/>
  <c r="Q3736" i="1"/>
  <c r="Q3960" i="1"/>
  <c r="Q4266" i="1"/>
  <c r="Q4434" i="1"/>
  <c r="Q4690" i="1"/>
  <c r="Q4946" i="1"/>
  <c r="Q2483" i="1"/>
  <c r="Q3011" i="1"/>
  <c r="Q3899" i="1"/>
  <c r="Q4424" i="1"/>
  <c r="Q4936" i="1"/>
  <c r="Q1523" i="1"/>
  <c r="Q2499" i="1"/>
  <c r="Q3835" i="1"/>
  <c r="Q4616" i="1"/>
  <c r="Q2451" i="1"/>
  <c r="Q2611" i="1"/>
  <c r="Q2755" i="1"/>
  <c r="Q2971" i="1"/>
  <c r="Q3155" i="1"/>
  <c r="Q3411" i="1"/>
  <c r="Q563" i="1"/>
  <c r="Q723" i="1"/>
  <c r="Q1083" i="1"/>
  <c r="Q1435" i="1"/>
  <c r="Q1747" i="1"/>
  <c r="Q651" i="1"/>
  <c r="Q1595" i="1"/>
  <c r="Q2627" i="1"/>
  <c r="Q2382" i="1"/>
  <c r="Q454" i="1"/>
  <c r="Q221" i="1"/>
  <c r="Q253" i="1"/>
  <c r="Q285" i="1"/>
  <c r="Q317" i="1"/>
  <c r="Q349" i="1"/>
  <c r="Q397" i="1"/>
  <c r="Q429" i="1"/>
  <c r="Q461" i="1"/>
  <c r="Q493" i="1"/>
  <c r="Q565" i="1"/>
  <c r="Q717" i="1"/>
  <c r="Q885" i="1"/>
  <c r="Q1037" i="1"/>
  <c r="Q1261" i="1"/>
  <c r="Q1469" i="1"/>
  <c r="Q1637" i="1"/>
  <c r="Q1861" i="1"/>
  <c r="Q2029" i="1"/>
  <c r="Q2197" i="1"/>
  <c r="Q2397" i="1"/>
  <c r="Q2605" i="1"/>
  <c r="Q2813" i="1"/>
  <c r="Q3069" i="1"/>
  <c r="Q3261" i="1"/>
  <c r="Q3469" i="1"/>
  <c r="Q3725" i="1"/>
  <c r="Q270" i="1"/>
  <c r="Q582" i="1"/>
  <c r="Q790" i="1"/>
  <c r="Q982" i="1"/>
  <c r="Q1182" i="1"/>
  <c r="Q1374" i="1"/>
  <c r="Q1742" i="1"/>
  <c r="Q1966" i="1"/>
  <c r="Q2222" i="1"/>
  <c r="Q2422" i="1"/>
  <c r="Q2606" i="1"/>
  <c r="Q2798" i="1"/>
  <c r="Q3006" i="1"/>
  <c r="Q3262" i="1"/>
  <c r="Q3454" i="1"/>
  <c r="Q3750" i="1"/>
  <c r="Q3950" i="1"/>
  <c r="Q4150" i="1"/>
  <c r="Q4350" i="1"/>
  <c r="Q1144" i="1"/>
  <c r="Q1707" i="1"/>
  <c r="Q1963" i="1"/>
  <c r="Q2179" i="1"/>
  <c r="Q2523" i="1"/>
  <c r="Q763" i="1"/>
  <c r="Q1571" i="1"/>
  <c r="Q2104" i="1"/>
  <c r="Q2480" i="1"/>
  <c r="Q2859" i="1"/>
  <c r="Q3352" i="1"/>
  <c r="Q3672" i="1"/>
  <c r="Q3882" i="1"/>
  <c r="Q4138" i="1"/>
  <c r="Q4306" i="1"/>
  <c r="Q4546" i="1"/>
  <c r="Q4802" i="1"/>
  <c r="Q491" i="1"/>
  <c r="Q3035" i="1"/>
  <c r="Q3683" i="1"/>
  <c r="Q4675" i="1"/>
  <c r="Q859" i="1"/>
  <c r="Q3139" i="1"/>
  <c r="Q4083" i="1"/>
  <c r="Q4867" i="1"/>
  <c r="Q547" i="1"/>
  <c r="Q867" i="1"/>
  <c r="Q1371" i="1"/>
  <c r="Q1787" i="1"/>
  <c r="Q2147" i="1"/>
  <c r="Q1163" i="1"/>
  <c r="Q1736" i="1"/>
  <c r="Q2435" i="1"/>
  <c r="Q2803" i="1"/>
  <c r="Q3072" i="1"/>
  <c r="Q3427" i="1"/>
  <c r="Q3746" i="1"/>
  <c r="Q3978" i="1"/>
  <c r="Q4288" i="1"/>
  <c r="Q4448" i="1"/>
  <c r="Q4704" i="1"/>
  <c r="Q4960" i="1"/>
  <c r="Q2515" i="1"/>
  <c r="Q3099" i="1"/>
  <c r="Q3979" i="1"/>
  <c r="Q4488" i="1"/>
  <c r="Q211" i="1"/>
  <c r="Q539" i="1"/>
  <c r="Q691" i="1"/>
  <c r="Q1075" i="1"/>
  <c r="Q1411" i="1"/>
  <c r="Q2195" i="1"/>
  <c r="Q3186" i="1"/>
  <c r="Q3314" i="1"/>
  <c r="Q3442" i="1"/>
  <c r="Q299" i="1"/>
  <c r="Q1723" i="1"/>
  <c r="Q2691" i="1"/>
  <c r="Q3923" i="1"/>
  <c r="Q4691" i="1"/>
  <c r="Q243" i="1"/>
  <c r="Q467" i="1"/>
  <c r="Q611" i="1"/>
  <c r="Q1035" i="1"/>
  <c r="Q1219" i="1"/>
  <c r="Q1515" i="1"/>
  <c r="Q1931" i="1"/>
  <c r="Q2459" i="1"/>
  <c r="Q2667" i="1"/>
  <c r="Q2763" i="1"/>
  <c r="Q2979" i="1"/>
  <c r="Q3211" i="1"/>
  <c r="Q3467" i="1"/>
  <c r="Q827" i="1"/>
  <c r="Q1739" i="1"/>
  <c r="Q2779" i="1"/>
  <c r="Q3163" i="1"/>
  <c r="Q3539" i="1"/>
  <c r="Q4051" i="1"/>
  <c r="Q4515" i="1"/>
  <c r="Q3086" i="1"/>
  <c r="Q3731" i="1"/>
  <c r="Q4003" i="1"/>
  <c r="Q4331" i="1"/>
  <c r="Q4523" i="1"/>
  <c r="Q4779" i="1"/>
  <c r="Q306" i="1"/>
  <c r="Q508" i="1"/>
  <c r="Q978" i="1"/>
  <c r="Q1538" i="1"/>
  <c r="Q2159" i="1"/>
  <c r="Q2544" i="1"/>
  <c r="Q462" i="1"/>
  <c r="Q2430" i="1"/>
  <c r="Q2237" i="1"/>
  <c r="Q2421" i="1"/>
  <c r="Q2597" i="1"/>
  <c r="Q2757" i="1"/>
  <c r="Q2917" i="1"/>
  <c r="Q3101" i="1"/>
  <c r="Q3277" i="1"/>
  <c r="Q3477" i="1"/>
  <c r="Q3637" i="1"/>
  <c r="Q3837" i="1"/>
  <c r="Q1414" i="1"/>
  <c r="Q2378" i="1"/>
  <c r="Q2498" i="1"/>
  <c r="Q2570" i="1"/>
  <c r="Q2706" i="1"/>
  <c r="Q2802" i="1"/>
  <c r="Q2914" i="1"/>
  <c r="Q1755" i="1"/>
  <c r="Q2011" i="1"/>
  <c r="Q2227" i="1"/>
  <c r="Q2595" i="1"/>
  <c r="Q787" i="1"/>
  <c r="Q1587" i="1"/>
  <c r="Q2115" i="1"/>
  <c r="Q2507" i="1"/>
  <c r="Q2976" i="1"/>
  <c r="Q3363" i="1"/>
  <c r="Q3682" i="1"/>
  <c r="Q3896" i="1"/>
  <c r="Q4160" i="1"/>
  <c r="Q4320" i="1"/>
  <c r="Q4560" i="1"/>
  <c r="Q4816" i="1"/>
  <c r="Q603" i="1"/>
  <c r="Q3123" i="1"/>
  <c r="Q3795" i="1"/>
  <c r="Q4803" i="1"/>
  <c r="Q643" i="1"/>
  <c r="Q835" i="1"/>
  <c r="Q1067" i="1"/>
  <c r="Q1379" i="1"/>
  <c r="Q1619" i="1"/>
  <c r="Q1875" i="1"/>
  <c r="Q1077" i="1"/>
  <c r="Q1264" i="1"/>
  <c r="Q1304" i="1"/>
  <c r="Q1360" i="1"/>
  <c r="Q1408" i="1"/>
  <c r="Q1448" i="1"/>
  <c r="Q1528" i="1"/>
  <c r="Q1568" i="1"/>
  <c r="Q1648" i="1"/>
  <c r="Q1688" i="1"/>
  <c r="Q1760" i="1"/>
  <c r="Q1808" i="1"/>
  <c r="Q1872" i="1"/>
  <c r="Q1920" i="1"/>
  <c r="Q2016" i="1"/>
  <c r="Q2080" i="1"/>
  <c r="Q2184" i="1"/>
  <c r="Q2272" i="1"/>
  <c r="Q2304" i="1"/>
  <c r="Q2368" i="1"/>
  <c r="Q2488" i="1"/>
  <c r="Q2552" i="1"/>
  <c r="Q2632" i="1"/>
  <c r="Q2672" i="1"/>
  <c r="Q2760" i="1"/>
  <c r="Q2832" i="1"/>
  <c r="Q2880" i="1"/>
  <c r="Q2984" i="1"/>
  <c r="Q3136" i="1"/>
  <c r="Q3264" i="1"/>
  <c r="Q3392" i="1"/>
  <c r="Q3520" i="1"/>
  <c r="Q1187" i="1"/>
  <c r="Q3259" i="1"/>
  <c r="Q4195" i="1"/>
  <c r="Q4995" i="1"/>
  <c r="Q1203" i="1"/>
  <c r="Q1752" i="1"/>
  <c r="Q2448" i="1"/>
  <c r="Q2819" i="1"/>
  <c r="Q3083" i="1"/>
  <c r="Q3536" i="1"/>
  <c r="Q3760" i="1"/>
  <c r="Q3992" i="1"/>
  <c r="Q4322" i="1"/>
  <c r="Q4498" i="1"/>
  <c r="Q4754" i="1"/>
  <c r="Q1867" i="1"/>
  <c r="Q2531" i="1"/>
  <c r="Q3203" i="1"/>
  <c r="Q4037" i="1"/>
  <c r="Q4563" i="1"/>
  <c r="Q355" i="1"/>
  <c r="Q1939" i="1"/>
  <c r="Q3187" i="1"/>
  <c r="Q4163" i="1"/>
  <c r="Q4744" i="1"/>
  <c r="Q2467" i="1"/>
  <c r="Q2683" i="1"/>
  <c r="Q2771" i="1"/>
  <c r="Q2995" i="1"/>
  <c r="Q3219" i="1"/>
  <c r="Q3475" i="1"/>
  <c r="Q595" i="1"/>
  <c r="Q795" i="1"/>
  <c r="Q1155" i="1"/>
  <c r="Q1507" i="1"/>
  <c r="Q2131" i="1"/>
  <c r="Q891" i="1"/>
  <c r="Q1811" i="1"/>
  <c r="Q2899" i="1"/>
  <c r="Q3251" i="1"/>
  <c r="Q3603" i="1"/>
  <c r="Q4107" i="1"/>
  <c r="Q4579" i="1"/>
  <c r="Q206" i="1"/>
  <c r="Q3755" i="1"/>
  <c r="Q4027" i="1"/>
  <c r="Q4355" i="1"/>
  <c r="Q4571" i="1"/>
  <c r="Q4827" i="1"/>
  <c r="Q3619" i="1"/>
  <c r="Q3715" i="1"/>
  <c r="Q226" i="1"/>
  <c r="Q522" i="1"/>
  <c r="Q1082" i="1"/>
  <c r="Q1570" i="1"/>
  <c r="Q2476" i="1"/>
  <c r="Q2994" i="1"/>
  <c r="Q3362" i="1"/>
  <c r="Q3706" i="1"/>
  <c r="Q4199" i="1"/>
  <c r="Q4479" i="1"/>
  <c r="Q4711" i="1"/>
  <c r="Q4954" i="1"/>
  <c r="Q1663" i="1"/>
  <c r="Q1759" i="1"/>
  <c r="Q1871" i="1"/>
  <c r="Q2023" i="1"/>
  <c r="Q2399" i="1"/>
  <c r="Q2495" i="1"/>
  <c r="Q2599" i="1"/>
  <c r="Q261" i="1"/>
  <c r="Q293" i="1"/>
  <c r="Q325" i="1"/>
  <c r="Q357" i="1"/>
  <c r="Q405" i="1"/>
  <c r="Q437" i="1"/>
  <c r="Q469" i="1"/>
  <c r="Q533" i="1"/>
  <c r="Q597" i="1"/>
  <c r="Q757" i="1"/>
  <c r="Q925" i="1"/>
  <c r="Q1125" i="1"/>
  <c r="Q1349" i="1"/>
  <c r="Q1509" i="1"/>
  <c r="Q1685" i="1"/>
  <c r="Q1909" i="1"/>
  <c r="Q2069" i="1"/>
  <c r="Q2245" i="1"/>
  <c r="Q2445" i="1"/>
  <c r="Q2661" i="1"/>
  <c r="Q2925" i="1"/>
  <c r="Q3117" i="1"/>
  <c r="Q3317" i="1"/>
  <c r="Q3517" i="1"/>
  <c r="Q3773" i="1"/>
  <c r="Q310" i="1"/>
  <c r="Q622" i="1"/>
  <c r="Q838" i="1"/>
  <c r="Q1030" i="1"/>
  <c r="Q1230" i="1"/>
  <c r="Q1494" i="1"/>
  <c r="Q1798" i="1"/>
  <c r="Q2078" i="1"/>
  <c r="Q2278" i="1"/>
  <c r="Q2470" i="1"/>
  <c r="Q2646" i="1"/>
  <c r="Q2846" i="1"/>
  <c r="Q3102" i="1"/>
  <c r="Q3318" i="1"/>
  <c r="Q3598" i="1"/>
  <c r="Q3798" i="1"/>
  <c r="Q3998" i="1"/>
  <c r="Q4206" i="1"/>
  <c r="Q4398" i="1"/>
  <c r="Q1152" i="1"/>
  <c r="Q1771" i="1"/>
  <c r="Q2027" i="1"/>
  <c r="Q2243" i="1"/>
  <c r="Q2643" i="1"/>
  <c r="Q907" i="1"/>
  <c r="Q1720" i="1"/>
  <c r="Q2211" i="1"/>
  <c r="Q2619" i="1"/>
  <c r="Q3008" i="1"/>
  <c r="Q3472" i="1"/>
  <c r="Q3696" i="1"/>
  <c r="Q3906" i="1"/>
  <c r="Q4194" i="1"/>
  <c r="Q4344" i="1"/>
  <c r="Q4610" i="1"/>
  <c r="Q4866" i="1"/>
  <c r="Q947" i="1"/>
  <c r="Q3243" i="1"/>
  <c r="Q3819" i="1"/>
  <c r="Q4931" i="1"/>
  <c r="Q1483" i="1"/>
  <c r="Q3379" i="1"/>
  <c r="Q4219" i="1"/>
  <c r="Q259" i="1"/>
  <c r="Q579" i="1"/>
  <c r="Q939" i="1"/>
  <c r="Q1403" i="1"/>
  <c r="Q1891" i="1"/>
  <c r="Q2797" i="1"/>
  <c r="Q1227" i="1"/>
  <c r="Q2043" i="1"/>
  <c r="Q2608" i="1"/>
  <c r="Q2835" i="1"/>
  <c r="Q3112" i="1"/>
  <c r="Q3586" i="1"/>
  <c r="Q3834" i="1"/>
  <c r="Q4048" i="1"/>
  <c r="Q4336" i="1"/>
  <c r="Q4512" i="1"/>
  <c r="Q4768" i="1"/>
  <c r="Q1955" i="1"/>
  <c r="Q2675" i="1"/>
  <c r="Q3323" i="1"/>
  <c r="Q4211" i="1"/>
  <c r="Q4627" i="1"/>
  <c r="Q251" i="1"/>
  <c r="Q587" i="1"/>
  <c r="Q819" i="1"/>
  <c r="Q1211" i="1"/>
  <c r="Q1451" i="1"/>
  <c r="Q4029" i="1"/>
  <c r="Q3194" i="1"/>
  <c r="Q3322" i="1"/>
  <c r="Q3355" i="1"/>
  <c r="Q4379" i="1"/>
  <c r="Q4872" i="1"/>
  <c r="Q2539" i="1"/>
  <c r="Q2715" i="1"/>
  <c r="Q2843" i="1"/>
  <c r="Q3059" i="1"/>
  <c r="Q3283" i="1"/>
  <c r="Q323" i="1"/>
  <c r="Q635" i="1"/>
  <c r="Q963" i="1"/>
  <c r="Q1195" i="1"/>
  <c r="Q1547" i="1"/>
  <c r="Q2339" i="1"/>
  <c r="Q1091" i="1"/>
  <c r="Q2067" i="1"/>
  <c r="Q3027" i="1"/>
  <c r="Q3371" i="1"/>
  <c r="Q3763" i="1"/>
  <c r="Q4291" i="1"/>
  <c r="Q4707" i="1"/>
  <c r="Q2982" i="1"/>
  <c r="Q3843" i="1"/>
  <c r="Q4059" i="1"/>
  <c r="Q4403" i="1"/>
  <c r="Q4635" i="1"/>
  <c r="Q4891" i="1"/>
  <c r="Q3891" i="1"/>
  <c r="Q194" i="1"/>
  <c r="Q250" i="1"/>
  <c r="Q716" i="1"/>
  <c r="Q1268" i="1"/>
  <c r="Q1655" i="1"/>
  <c r="Q2690" i="1"/>
  <c r="Q3087" i="1"/>
  <c r="Q3479" i="1"/>
  <c r="Q3807" i="1"/>
  <c r="Q4298" i="1"/>
  <c r="Q4538" i="1"/>
  <c r="Q4770" i="1"/>
  <c r="Q1575" i="1"/>
  <c r="Q1711" i="1"/>
  <c r="Q1775" i="1"/>
  <c r="Q1887" i="1"/>
  <c r="Q2039" i="1"/>
  <c r="Q2431" i="1"/>
  <c r="Q3131" i="1"/>
  <c r="Q3523" i="1"/>
  <c r="Q3995" i="1"/>
  <c r="Q4451" i="1"/>
  <c r="Q4963" i="1"/>
  <c r="Q3707" i="1"/>
  <c r="Q3987" i="1"/>
  <c r="Q4275" i="1"/>
  <c r="Q4507" i="1"/>
  <c r="Q4763" i="1"/>
  <c r="Q2355" i="1"/>
  <c r="Q290" i="1"/>
  <c r="Q218" i="1"/>
  <c r="Q263" i="1"/>
  <c r="Q927" i="1"/>
  <c r="Q1458" i="1"/>
  <c r="Q2018" i="1"/>
  <c r="Q2850" i="1"/>
  <c r="Q3279" i="1"/>
  <c r="Q3623" i="1"/>
  <c r="Q4111" i="1"/>
  <c r="Q4420" i="1"/>
  <c r="Q4666" i="1"/>
  <c r="Q4871" i="1"/>
  <c r="Q1623" i="1"/>
  <c r="Q1743" i="1"/>
  <c r="Q1855" i="1"/>
  <c r="Q1951" i="1"/>
  <c r="Q2351" i="1"/>
  <c r="Q2479" i="1"/>
  <c r="Q2543" i="1"/>
  <c r="Q2647" i="1"/>
  <c r="Q2759" i="1"/>
  <c r="Q2959" i="1"/>
  <c r="Q3055" i="1"/>
  <c r="Q3271" i="1"/>
  <c r="Q3359" i="1"/>
  <c r="Q3559" i="1"/>
  <c r="Q3815" i="1"/>
  <c r="Q4031" i="1"/>
  <c r="Q4279" i="1"/>
  <c r="Q4343" i="1"/>
  <c r="Q4631" i="1"/>
  <c r="Q1148" i="1"/>
  <c r="Q4157" i="1"/>
  <c r="Q474" i="1"/>
  <c r="Q908" i="1"/>
  <c r="Q1327" i="1"/>
  <c r="Q1890" i="1"/>
  <c r="Q2580" i="1"/>
  <c r="Q3234" i="1"/>
  <c r="Q3567" i="1"/>
  <c r="Q3938" i="1"/>
  <c r="Q4351" i="1"/>
  <c r="Q4811" i="1"/>
  <c r="Q4943" i="1"/>
  <c r="Q460" i="1"/>
  <c r="Q855" i="1"/>
  <c r="Q1615" i="1"/>
  <c r="Q2311" i="1"/>
  <c r="Q2839" i="1"/>
  <c r="Q3375" i="1"/>
  <c r="Q3695" i="1"/>
  <c r="Q3956" i="1"/>
  <c r="Q4375" i="1"/>
  <c r="Q4634" i="1"/>
  <c r="Q2234" i="1"/>
  <c r="Q3050" i="1"/>
  <c r="Q3210" i="1"/>
  <c r="Q3522" i="1"/>
  <c r="Q3994" i="1"/>
  <c r="Q4170" i="1"/>
  <c r="Q4658" i="1"/>
  <c r="Q4914" i="1"/>
  <c r="Q4207" i="1"/>
  <c r="Q604" i="1"/>
  <c r="Q1332" i="1"/>
  <c r="Q2788" i="1"/>
  <c r="Q330" i="1"/>
  <c r="Q394" i="1"/>
  <c r="Q498" i="1"/>
  <c r="Q554" i="1"/>
  <c r="Q602" i="1"/>
  <c r="Q650" i="1"/>
  <c r="Q706" i="1"/>
  <c r="Q770" i="1"/>
  <c r="Q850" i="1"/>
  <c r="Q890" i="1"/>
  <c r="Q946" i="1"/>
  <c r="Q994" i="1"/>
  <c r="Q1058" i="1"/>
  <c r="Q1114" i="1"/>
  <c r="Q1170" i="1"/>
  <c r="Q1226" i="1"/>
  <c r="Q1290" i="1"/>
  <c r="Q1370" i="1"/>
  <c r="Q1426" i="1"/>
  <c r="Q1498" i="1"/>
  <c r="Q1530" i="1"/>
  <c r="Q1578" i="1"/>
  <c r="Q1610" i="1"/>
  <c r="Q1682" i="1"/>
  <c r="Q1746" i="1"/>
  <c r="Q1794" i="1"/>
  <c r="Q1842" i="1"/>
  <c r="Q1906" i="1"/>
  <c r="Q1962" i="1"/>
  <c r="Q2010" i="1"/>
  <c r="Q2058" i="1"/>
  <c r="Q2122" i="1"/>
  <c r="Q2162" i="1"/>
  <c r="Q2258" i="1"/>
  <c r="Q2330" i="1"/>
  <c r="Q2458" i="1"/>
  <c r="Q2578" i="1"/>
  <c r="Q2650" i="1"/>
  <c r="Q2762" i="1"/>
  <c r="Q2842" i="1"/>
  <c r="Q2922" i="1"/>
  <c r="Q3138" i="1"/>
  <c r="Q3338" i="1"/>
  <c r="Q4338" i="1"/>
  <c r="Q4594" i="1"/>
  <c r="Q4834" i="1"/>
  <c r="Q4455" i="1"/>
  <c r="Q612" i="1"/>
  <c r="Q1020" i="1"/>
  <c r="Q4100" i="1"/>
  <c r="Q4187" i="1"/>
  <c r="Q4371" i="1"/>
  <c r="Q4795" i="1"/>
  <c r="Q1983" i="1"/>
  <c r="Q2551" i="1"/>
  <c r="Q3202" i="1"/>
  <c r="Q3631" i="1"/>
  <c r="Q4002" i="1"/>
  <c r="Q4356" i="1"/>
  <c r="Q4799" i="1"/>
  <c r="Q828" i="1"/>
  <c r="Q1204" i="1"/>
  <c r="Q2732" i="1"/>
  <c r="Q1969" i="1"/>
  <c r="Q1945" i="1"/>
  <c r="Q1993" i="1"/>
  <c r="Q2041" i="1"/>
  <c r="Q3491" i="1"/>
  <c r="Q3667" i="1"/>
  <c r="Q3915" i="1"/>
  <c r="Q4147" i="1"/>
  <c r="Q174" i="1"/>
  <c r="Q169" i="1"/>
  <c r="Q609" i="1"/>
  <c r="Q1201" i="1"/>
  <c r="Q1489" i="1"/>
  <c r="Q434" i="1"/>
  <c r="Q745" i="1"/>
  <c r="Q1209" i="1"/>
  <c r="Q170" i="1"/>
  <c r="Q361" i="1"/>
  <c r="Q1001" i="1"/>
  <c r="Q1250" i="1"/>
  <c r="Q1449" i="1"/>
  <c r="Q1681" i="1"/>
  <c r="Q146" i="1"/>
  <c r="Q577" i="1"/>
  <c r="Q905" i="1"/>
  <c r="Q1417" i="1"/>
  <c r="Q1857" i="1"/>
  <c r="Q13" i="1"/>
  <c r="Q85" i="1"/>
  <c r="Q181" i="1"/>
  <c r="Q233" i="1"/>
  <c r="Q30" i="1"/>
  <c r="Q118" i="1"/>
  <c r="Q378" i="1"/>
  <c r="Q593" i="1"/>
  <c r="Q1073" i="1"/>
  <c r="Q2602" i="1"/>
  <c r="Q2931" i="1"/>
  <c r="Q3315" i="1"/>
  <c r="Q3752" i="1"/>
  <c r="Q3969" i="1"/>
  <c r="Q4112" i="1"/>
  <c r="Q4505" i="1"/>
  <c r="Q4720" i="1"/>
  <c r="Q4986" i="1"/>
  <c r="Q843" i="1"/>
  <c r="Q96" i="1"/>
  <c r="Q399" i="1"/>
  <c r="Q768" i="1"/>
  <c r="Q1176" i="1"/>
  <c r="Q1968" i="1"/>
  <c r="Q2810" i="1"/>
  <c r="Q3576" i="1"/>
  <c r="Q3015" i="1"/>
  <c r="Q731" i="1"/>
  <c r="Q1096" i="1"/>
  <c r="Q3904" i="1"/>
  <c r="Q1240" i="1"/>
  <c r="Q273" i="1"/>
  <c r="Q529" i="1"/>
  <c r="Q721" i="1"/>
  <c r="Q1177" i="1"/>
  <c r="Q1649" i="1"/>
  <c r="Q2066" i="1"/>
  <c r="Q2673" i="1"/>
  <c r="Q2865" i="1"/>
  <c r="Q3201" i="1"/>
  <c r="Q3425" i="1"/>
  <c r="Q3944" i="1"/>
  <c r="Q4241" i="1"/>
  <c r="Q4457" i="1"/>
  <c r="Q4667" i="1"/>
  <c r="Q4929" i="1"/>
  <c r="Q883" i="1"/>
  <c r="Q103" i="1"/>
  <c r="Q400" i="1"/>
  <c r="Q775" i="1"/>
  <c r="Q1199" i="1"/>
  <c r="Q1971" i="1"/>
  <c r="Q2928" i="1"/>
  <c r="Q4167" i="1"/>
  <c r="Q3488" i="1"/>
  <c r="Q4472" i="1"/>
  <c r="Q403" i="1"/>
  <c r="Q1040" i="1"/>
  <c r="Q3599" i="1"/>
  <c r="Q520" i="1"/>
  <c r="Q681" i="1"/>
  <c r="Q1137" i="1"/>
  <c r="Q1418" i="1"/>
  <c r="Q2193" i="1"/>
  <c r="Q2481" i="1"/>
  <c r="Q3049" i="1"/>
  <c r="Q3451" i="1"/>
  <c r="Q3800" i="1"/>
  <c r="Q4081" i="1"/>
  <c r="Q4753" i="1"/>
  <c r="Q4913" i="1"/>
  <c r="Q164" i="1"/>
  <c r="Q60" i="1"/>
  <c r="Q320" i="1"/>
  <c r="Q696" i="1"/>
  <c r="Q1081" i="1"/>
  <c r="Q1800" i="1"/>
  <c r="Q2554" i="1"/>
  <c r="Q3360" i="1"/>
  <c r="Q4706" i="1"/>
  <c r="Q3257" i="1"/>
  <c r="Q11" i="1"/>
  <c r="Q4384" i="1"/>
  <c r="Q1064" i="1"/>
  <c r="Q1377" i="1"/>
  <c r="Q1762" i="1"/>
  <c r="Q2249" i="1"/>
  <c r="Q2633" i="1"/>
  <c r="Q3121" i="1"/>
  <c r="Q3648" i="1"/>
  <c r="Q3905" i="1"/>
  <c r="Q4145" i="1"/>
  <c r="Q4353" i="1"/>
  <c r="Q4528" i="1"/>
  <c r="Q4952" i="1"/>
  <c r="Q955" i="1"/>
  <c r="Q135" i="1"/>
  <c r="Q456" i="1"/>
  <c r="Q832" i="1"/>
  <c r="Q1306" i="1"/>
  <c r="Q2096" i="1"/>
  <c r="Q2936" i="1"/>
  <c r="Q3890" i="1"/>
  <c r="Q3295" i="1"/>
  <c r="Q4584" i="1"/>
  <c r="Q1168" i="1"/>
  <c r="Q117" i="1"/>
  <c r="Q393" i="1"/>
  <c r="Q730" i="1"/>
  <c r="Q977" i="1"/>
  <c r="Q1234" i="1"/>
  <c r="Q1713" i="1"/>
  <c r="Q2312" i="1"/>
  <c r="Q2729" i="1"/>
  <c r="Q4032" i="1"/>
  <c r="Q4977" i="1"/>
  <c r="Q599" i="1"/>
  <c r="Q2568" i="1"/>
  <c r="Q72" i="1"/>
  <c r="Q3312" i="1"/>
  <c r="Q1833" i="1"/>
  <c r="Q2737" i="1"/>
  <c r="Q3073" i="1"/>
  <c r="Q3649" i="1"/>
  <c r="Q4026" i="1"/>
  <c r="Q4328" i="1"/>
  <c r="Q4529" i="1"/>
  <c r="Q4729" i="1"/>
  <c r="Q411" i="1"/>
  <c r="Q88" i="1"/>
  <c r="Q384" i="1"/>
  <c r="Q753" i="1"/>
  <c r="Q1160" i="1"/>
  <c r="Q1959" i="1"/>
  <c r="Q2703" i="1"/>
  <c r="Q3512" i="1"/>
  <c r="Q4794" i="1"/>
  <c r="Q2569" i="1"/>
  <c r="Q3632" i="1"/>
  <c r="Q4193" i="1"/>
  <c r="Q432" i="1"/>
  <c r="Q4855" i="1"/>
  <c r="Q1889" i="1"/>
  <c r="Q2506" i="1"/>
  <c r="Q2745" i="1"/>
  <c r="Q3657" i="1"/>
  <c r="Q3921" i="1"/>
  <c r="Q4040" i="1"/>
  <c r="Q4441" i="1"/>
  <c r="Q4601" i="1"/>
  <c r="Q4840" i="1"/>
  <c r="Q108" i="1"/>
  <c r="Q7" i="1"/>
  <c r="Q192" i="1"/>
  <c r="Q559" i="1"/>
  <c r="Q952" i="1"/>
  <c r="Q1519" i="1"/>
  <c r="Q2346" i="1"/>
  <c r="Q3151" i="1"/>
  <c r="Q4215" i="1"/>
  <c r="Q2897" i="1"/>
  <c r="Q3424" i="1"/>
  <c r="Q4297" i="1"/>
  <c r="Q1131" i="1"/>
  <c r="Q3239" i="1"/>
  <c r="Q4911" i="1"/>
  <c r="Q2970" i="1"/>
  <c r="Q3319" i="1"/>
  <c r="Q3639" i="1"/>
  <c r="Q4164" i="1"/>
  <c r="Q4442" i="1"/>
  <c r="Q4687" i="1"/>
  <c r="Q4895" i="1"/>
  <c r="Q2852" i="1"/>
  <c r="Q199" i="1"/>
  <c r="Q303" i="1"/>
  <c r="Q359" i="1"/>
  <c r="Q391" i="1"/>
  <c r="Q439" i="1"/>
  <c r="Q487" i="1"/>
  <c r="Q535" i="1"/>
  <c r="Q607" i="1"/>
  <c r="Q671" i="1"/>
  <c r="Q711" i="1"/>
  <c r="Q791" i="1"/>
  <c r="Q839" i="1"/>
  <c r="Q911" i="1"/>
  <c r="Q975" i="1"/>
  <c r="Q1023" i="1"/>
  <c r="Q1063" i="1"/>
  <c r="Q1095" i="1"/>
  <c r="Q1143" i="1"/>
  <c r="Q1207" i="1"/>
  <c r="Q1239" i="1"/>
  <c r="Q1279" i="1"/>
  <c r="Q1319" i="1"/>
  <c r="Q1375" i="1"/>
  <c r="Q1407" i="1"/>
  <c r="Q1455" i="1"/>
  <c r="Q1511" i="1"/>
  <c r="Q1559" i="1"/>
  <c r="Q1671" i="1"/>
  <c r="Q1751" i="1"/>
  <c r="Q1831" i="1"/>
  <c r="Q1895" i="1"/>
  <c r="Q1991" i="1"/>
  <c r="Q2055" i="1"/>
  <c r="Q2095" i="1"/>
  <c r="Q2167" i="1"/>
  <c r="Q2231" i="1"/>
  <c r="Q2279" i="1"/>
  <c r="Q2327" i="1"/>
  <c r="Q2407" i="1"/>
  <c r="Q2503" i="1"/>
  <c r="Q2591" i="1"/>
  <c r="Q2719" i="1"/>
  <c r="Q2799" i="1"/>
  <c r="Q2903" i="1"/>
  <c r="Q2983" i="1"/>
  <c r="Q3095" i="1"/>
  <c r="Q3247" i="1"/>
  <c r="Q3503" i="1"/>
  <c r="Q3847" i="1"/>
  <c r="Q4095" i="1"/>
  <c r="Q4423" i="1"/>
  <c r="Q4559" i="1"/>
  <c r="Q4695" i="1"/>
  <c r="Q4831" i="1"/>
  <c r="Q4935" i="1"/>
  <c r="Q2884" i="1"/>
  <c r="Q490" i="1"/>
  <c r="Q948" i="1"/>
  <c r="Q1346" i="1"/>
  <c r="Q1946" i="1"/>
  <c r="Q2607" i="1"/>
  <c r="Q3255" i="1"/>
  <c r="Q3655" i="1"/>
  <c r="Q3970" i="1"/>
  <c r="Q4370" i="1"/>
  <c r="Q4874" i="1"/>
  <c r="Q3018" i="1"/>
  <c r="Q3218" i="1"/>
  <c r="Q3418" i="1"/>
  <c r="Q3730" i="1"/>
  <c r="Q3802" i="1"/>
  <c r="Q3946" i="1"/>
  <c r="Q4066" i="1"/>
  <c r="Q4522" i="1"/>
  <c r="Q3535" i="1"/>
  <c r="Q556" i="1"/>
  <c r="Q972" i="1"/>
  <c r="Q1164" i="1"/>
  <c r="Q1340" i="1"/>
  <c r="Q3965" i="1"/>
  <c r="Q476" i="1"/>
  <c r="Q895" i="1"/>
  <c r="Q1639" i="1"/>
  <c r="Q2415" i="1"/>
  <c r="Q2935" i="1"/>
  <c r="Q3394" i="1"/>
  <c r="Q3762" i="1"/>
  <c r="Q3972" i="1"/>
  <c r="Q4394" i="1"/>
  <c r="Q4719" i="1"/>
  <c r="Q4292" i="1"/>
  <c r="Q4639" i="1"/>
  <c r="Q2119" i="1"/>
  <c r="Q2586" i="1"/>
  <c r="Q3226" i="1"/>
  <c r="Q3644" i="1"/>
  <c r="Q4084" i="1"/>
  <c r="Q4383" i="1"/>
  <c r="Q4847" i="1"/>
  <c r="Q4015" i="1"/>
  <c r="Q2113" i="1"/>
  <c r="Q1961" i="1"/>
  <c r="Q3691" i="1"/>
  <c r="Q3955" i="1"/>
  <c r="Q4179" i="1"/>
  <c r="Q4212" i="1"/>
  <c r="Q186" i="1"/>
  <c r="Q793" i="1"/>
  <c r="Q1249" i="1"/>
  <c r="Q81" i="1"/>
  <c r="Q441" i="1"/>
  <c r="Q801" i="1"/>
  <c r="Q1297" i="1"/>
  <c r="Q182" i="1"/>
  <c r="Q402" i="1"/>
  <c r="Q665" i="1"/>
  <c r="Q1257" i="1"/>
  <c r="Q1490" i="1"/>
  <c r="Q1737" i="1"/>
  <c r="Q177" i="1"/>
  <c r="Q625" i="1"/>
  <c r="Q953" i="1"/>
  <c r="Q1457" i="1"/>
  <c r="Q1905" i="1"/>
  <c r="Q21" i="1"/>
  <c r="Q93" i="1"/>
  <c r="Q4085" i="1"/>
  <c r="Q18" i="1"/>
  <c r="Q281" i="1"/>
  <c r="Q38" i="1"/>
  <c r="Q126" i="1"/>
  <c r="Q385" i="1"/>
  <c r="Q689" i="1"/>
  <c r="Q2273" i="1"/>
  <c r="Q2609" i="1"/>
  <c r="Q3329" i="1"/>
  <c r="Q3785" i="1"/>
  <c r="Q4009" i="1"/>
  <c r="Q4161" i="1"/>
  <c r="Q4531" i="1"/>
  <c r="Q4745" i="1"/>
  <c r="Q4992" i="1"/>
  <c r="Q1139" i="1"/>
  <c r="Q125" i="1"/>
  <c r="Q440" i="1"/>
  <c r="Q817" i="1"/>
  <c r="Q1248" i="1"/>
  <c r="Q2071" i="1"/>
  <c r="Q2927" i="1"/>
  <c r="Q3618" i="1"/>
  <c r="Q3561" i="1"/>
  <c r="Q1859" i="1"/>
  <c r="Q1456" i="1"/>
  <c r="Q4607" i="1"/>
  <c r="Q1856" i="1"/>
  <c r="Q769" i="1"/>
  <c r="Q1218" i="1"/>
  <c r="Q1697" i="1"/>
  <c r="Q2713" i="1"/>
  <c r="Q2905" i="1"/>
  <c r="Q3673" i="1"/>
  <c r="Q3977" i="1"/>
  <c r="Q4248" i="1"/>
  <c r="Q4475" i="1"/>
  <c r="Q4681" i="1"/>
  <c r="Q4969" i="1"/>
  <c r="Q1212" i="1"/>
  <c r="Q127" i="1"/>
  <c r="Q448" i="1"/>
  <c r="Q823" i="1"/>
  <c r="Q1271" i="1"/>
  <c r="Q2072" i="1"/>
  <c r="Q3104" i="1"/>
  <c r="Q4242" i="1"/>
  <c r="Q3521" i="1"/>
  <c r="Q4503" i="1"/>
  <c r="Q979" i="1"/>
  <c r="Q1320" i="1"/>
  <c r="Q4184" i="1"/>
  <c r="Q816" i="1"/>
  <c r="Q729" i="1"/>
  <c r="Q1185" i="1"/>
  <c r="Q1425" i="1"/>
  <c r="Q2289" i="1"/>
  <c r="Q2537" i="1"/>
  <c r="Q2873" i="1"/>
  <c r="Q3113" i="1"/>
  <c r="Q3465" i="1"/>
  <c r="Q3825" i="1"/>
  <c r="Q4113" i="1"/>
  <c r="Q4345" i="1"/>
  <c r="Q4760" i="1"/>
  <c r="Q4937" i="1"/>
  <c r="Q331" i="1"/>
  <c r="Q80" i="1"/>
  <c r="Q360" i="1"/>
  <c r="Q744" i="1"/>
  <c r="Q1122" i="1"/>
  <c r="Q1919" i="1"/>
  <c r="Q2663" i="1"/>
  <c r="Q3474" i="1"/>
  <c r="Q2585" i="1"/>
  <c r="Q3568" i="1"/>
  <c r="Q87" i="1"/>
  <c r="Q4776" i="1"/>
  <c r="Q1544" i="1"/>
  <c r="Q1433" i="1"/>
  <c r="Q1769" i="1"/>
  <c r="Q2256" i="1"/>
  <c r="Q2769" i="1"/>
  <c r="Q3177" i="1"/>
  <c r="Q3393" i="1"/>
  <c r="Q3681" i="1"/>
  <c r="Q3912" i="1"/>
  <c r="Q4152" i="1"/>
  <c r="Q4360" i="1"/>
  <c r="Q4593" i="1"/>
  <c r="Q4728" i="1"/>
  <c r="Q5001" i="1"/>
  <c r="Q1283" i="1"/>
  <c r="Q152" i="1"/>
  <c r="Q496" i="1"/>
  <c r="Q880" i="1"/>
  <c r="Q1416" i="1"/>
  <c r="Q2200" i="1"/>
  <c r="Q3040" i="1"/>
  <c r="Q4024" i="1"/>
  <c r="Q4071" i="1"/>
  <c r="Q4737" i="1"/>
  <c r="Q1768" i="1"/>
  <c r="Q149" i="1"/>
  <c r="Q433" i="1"/>
  <c r="Q737" i="1"/>
  <c r="Q1018" i="1"/>
  <c r="Q1241" i="1"/>
  <c r="Q1818" i="1"/>
  <c r="Q2393" i="1"/>
  <c r="Q2825" i="1"/>
  <c r="Q4177" i="1"/>
  <c r="Q44" i="1"/>
  <c r="Q840" i="1"/>
  <c r="Q3064" i="1"/>
  <c r="Q296" i="1"/>
  <c r="Q4103" i="1"/>
  <c r="Q1874" i="1"/>
  <c r="Q2449" i="1"/>
  <c r="Q2785" i="1"/>
  <c r="Q3137" i="1"/>
  <c r="Q3435" i="1"/>
  <c r="Q3689" i="1"/>
  <c r="Q4089" i="1"/>
  <c r="Q4361" i="1"/>
  <c r="Q4555" i="1"/>
  <c r="Q4736" i="1"/>
  <c r="Q4953" i="1"/>
  <c r="Q747" i="1"/>
  <c r="Q112" i="1"/>
  <c r="Q424" i="1"/>
  <c r="Q800" i="1"/>
  <c r="Q1224" i="1"/>
  <c r="Q2032" i="1"/>
  <c r="Q2874" i="1"/>
  <c r="Q3602" i="1"/>
  <c r="Q1897" i="1"/>
  <c r="Q2849" i="1"/>
  <c r="Q3665" i="1"/>
  <c r="Q4240" i="1"/>
  <c r="Q727" i="1"/>
  <c r="Q1386" i="1"/>
  <c r="Q2513" i="1"/>
  <c r="Q2752" i="1"/>
  <c r="Q3145" i="1"/>
  <c r="Q3489" i="1"/>
  <c r="Q3729" i="1"/>
  <c r="Q3928" i="1"/>
  <c r="Q4065" i="1"/>
  <c r="Q4473" i="1"/>
  <c r="Q4641" i="1"/>
  <c r="Q4762" i="1"/>
  <c r="Q4864" i="1"/>
  <c r="Q148" i="1"/>
  <c r="Q31" i="1"/>
  <c r="Q239" i="1"/>
  <c r="Q608" i="1"/>
  <c r="Q1008" i="1"/>
  <c r="Q1633" i="1"/>
  <c r="Q2432" i="1"/>
  <c r="Q3231" i="1"/>
  <c r="Q4447" i="1"/>
  <c r="Q2937" i="1"/>
  <c r="Q3577" i="1"/>
  <c r="Q4449" i="1"/>
  <c r="Q32" i="1"/>
  <c r="Q3671" i="1"/>
  <c r="Q4975" i="1"/>
  <c r="Q3647" i="1"/>
  <c r="Q2679" i="1"/>
  <c r="Q2847" i="1"/>
  <c r="Q3007" i="1"/>
  <c r="Q3119" i="1"/>
  <c r="Q3303" i="1"/>
  <c r="Q3399" i="1"/>
  <c r="Q3575" i="1"/>
  <c r="Q3831" i="1"/>
  <c r="Q4047" i="1"/>
  <c r="Q4303" i="1"/>
  <c r="Q4359" i="1"/>
  <c r="Q4663" i="1"/>
  <c r="Q2948" i="1"/>
  <c r="Q620" i="1"/>
  <c r="Q551" i="1"/>
  <c r="Q964" i="1"/>
  <c r="Q1439" i="1"/>
  <c r="Q2106" i="1"/>
  <c r="Q2644" i="1"/>
  <c r="Q3287" i="1"/>
  <c r="Q3711" i="1"/>
  <c r="Q3999" i="1"/>
  <c r="Q4426" i="1"/>
  <c r="Q4903" i="1"/>
  <c r="Q3740" i="1"/>
  <c r="Q495" i="1"/>
  <c r="Q951" i="1"/>
  <c r="Q1690" i="1"/>
  <c r="Q2434" i="1"/>
  <c r="Q2978" i="1"/>
  <c r="Q3423" i="1"/>
  <c r="Q3799" i="1"/>
  <c r="Q4039" i="1"/>
  <c r="Q4412" i="1"/>
  <c r="Q4731" i="1"/>
  <c r="Q2898" i="1"/>
  <c r="Q3066" i="1"/>
  <c r="Q3410" i="1"/>
  <c r="Q3666" i="1"/>
  <c r="Q4010" i="1"/>
  <c r="Q4290" i="1"/>
  <c r="Q4778" i="1"/>
  <c r="Q684" i="1"/>
  <c r="Q4415" i="1"/>
  <c r="Q892" i="1"/>
  <c r="Q2332" i="1"/>
  <c r="Q3900" i="1"/>
  <c r="Q338" i="1"/>
  <c r="Q442" i="1"/>
  <c r="Q506" i="1"/>
  <c r="Q562" i="1"/>
  <c r="Q618" i="1"/>
  <c r="Q658" i="1"/>
  <c r="Q722" i="1"/>
  <c r="Q794" i="1"/>
  <c r="Q858" i="1"/>
  <c r="Q906" i="1"/>
  <c r="Q954" i="1"/>
  <c r="Q1002" i="1"/>
  <c r="Q1074" i="1"/>
  <c r="Q1130" i="1"/>
  <c r="Q1178" i="1"/>
  <c r="Q1242" i="1"/>
  <c r="Q1298" i="1"/>
  <c r="Q1378" i="1"/>
  <c r="Q1450" i="1"/>
  <c r="Q1506" i="1"/>
  <c r="Q1546" i="1"/>
  <c r="Q1586" i="1"/>
  <c r="Q1626" i="1"/>
  <c r="Q1706" i="1"/>
  <c r="Q1754" i="1"/>
  <c r="Q1802" i="1"/>
  <c r="Q1850" i="1"/>
  <c r="Q1922" i="1"/>
  <c r="Q1970" i="1"/>
  <c r="Q2026" i="1"/>
  <c r="Q2074" i="1"/>
  <c r="Q2138" i="1"/>
  <c r="Q2170" i="1"/>
  <c r="Q2274" i="1"/>
  <c r="Q2402" i="1"/>
  <c r="Q2482" i="1"/>
  <c r="Q2594" i="1"/>
  <c r="Q2714" i="1"/>
  <c r="Q2770" i="1"/>
  <c r="Q2858" i="1"/>
  <c r="Q2954" i="1"/>
  <c r="Q3162" i="1"/>
  <c r="Q3434" i="1"/>
  <c r="Q4410" i="1"/>
  <c r="Q4642" i="1"/>
  <c r="Q5002" i="1"/>
  <c r="Q4783" i="1"/>
  <c r="Q724" i="1"/>
  <c r="Q1324" i="1"/>
  <c r="Q4148" i="1"/>
  <c r="Q4203" i="1"/>
  <c r="Q4419" i="1"/>
  <c r="Q4859" i="1"/>
  <c r="Q2151" i="1"/>
  <c r="Q2682" i="1"/>
  <c r="Q3290" i="1"/>
  <c r="Q3663" i="1"/>
  <c r="Q4143" i="1"/>
  <c r="Q4495" i="1"/>
  <c r="Q4863" i="1"/>
  <c r="Q1076" i="1"/>
  <c r="Q1260" i="1"/>
  <c r="Q4293" i="1"/>
  <c r="Q1953" i="1"/>
  <c r="Q2009" i="1"/>
  <c r="Q2145" i="1"/>
  <c r="Q3555" i="1"/>
  <c r="Q3779" i="1"/>
  <c r="Q4011" i="1"/>
  <c r="Q4235" i="1"/>
  <c r="Q4228" i="1"/>
  <c r="Q34" i="1"/>
  <c r="Q193" i="1"/>
  <c r="Q889" i="1"/>
  <c r="Q1282" i="1"/>
  <c r="Q106" i="1"/>
  <c r="Q505" i="1"/>
  <c r="Q834" i="1"/>
  <c r="Q9" i="1"/>
  <c r="Q209" i="1"/>
  <c r="Q409" i="1"/>
  <c r="Q713" i="1"/>
  <c r="Q1049" i="1"/>
  <c r="Q1505" i="1"/>
  <c r="Q1793" i="1"/>
  <c r="Q217" i="1"/>
  <c r="Q746" i="1"/>
  <c r="Q1009" i="1"/>
  <c r="Q1513" i="1"/>
  <c r="Q2050" i="1"/>
  <c r="Q29" i="1"/>
  <c r="Q101" i="1"/>
  <c r="Q25" i="1"/>
  <c r="Q314" i="1"/>
  <c r="Q46" i="1"/>
  <c r="Q134" i="1"/>
  <c r="Q122" i="1"/>
  <c r="Q418" i="1"/>
  <c r="Q866" i="1"/>
  <c r="Q2321" i="1"/>
  <c r="Q2665" i="1"/>
  <c r="Q3033" i="1"/>
  <c r="Q3792" i="1"/>
  <c r="Q4016" i="1"/>
  <c r="Q4168" i="1"/>
  <c r="Q4537" i="1"/>
  <c r="Q27" i="1"/>
  <c r="Q1611" i="1"/>
  <c r="Q143" i="1"/>
  <c r="Q480" i="1"/>
  <c r="Q863" i="1"/>
  <c r="Q1368" i="1"/>
  <c r="Q2176" i="1"/>
  <c r="Q3000" i="1"/>
  <c r="Q3962" i="1"/>
  <c r="Q3721" i="1"/>
  <c r="Q47" i="1"/>
  <c r="Q1712" i="1"/>
  <c r="Q4456" i="1"/>
  <c r="Q2439" i="1"/>
  <c r="Q865" i="1"/>
  <c r="Q1225" i="1"/>
  <c r="Q1761" i="1"/>
  <c r="Q2425" i="1"/>
  <c r="Q2761" i="1"/>
  <c r="Q2945" i="1"/>
  <c r="Q3235" i="1"/>
  <c r="Q3457" i="1"/>
  <c r="Q3680" i="1"/>
  <c r="Q3984" i="1"/>
  <c r="Q4273" i="1"/>
  <c r="Q4481" i="1"/>
  <c r="Q4777" i="1"/>
  <c r="Q28" i="1"/>
  <c r="Q1683" i="1"/>
  <c r="Q144" i="1"/>
  <c r="Q481" i="1"/>
  <c r="Q864" i="1"/>
  <c r="Q1384" i="1"/>
  <c r="Q2183" i="1"/>
  <c r="Q3168" i="1"/>
  <c r="Q4544" i="1"/>
  <c r="Q3801" i="1"/>
  <c r="Q4568" i="1"/>
  <c r="Q24" i="1"/>
  <c r="Q1608" i="1"/>
  <c r="Q4786" i="1"/>
  <c r="Q1352" i="1"/>
  <c r="Q777" i="1"/>
  <c r="Q1233" i="1"/>
  <c r="Q1473" i="1"/>
  <c r="Q2571" i="1"/>
  <c r="Q2913" i="1"/>
  <c r="Q3195" i="1"/>
  <c r="Q3505" i="1"/>
  <c r="Q3872" i="1"/>
  <c r="Q4120" i="1"/>
  <c r="Q4417" i="1"/>
  <c r="Q4791" i="1"/>
  <c r="Q4976" i="1"/>
  <c r="Q483" i="1"/>
  <c r="Q104" i="1"/>
  <c r="Q407" i="1"/>
  <c r="Q776" i="1"/>
  <c r="Q1200" i="1"/>
  <c r="Q1976" i="1"/>
  <c r="Q2840" i="1"/>
  <c r="Q3585" i="1"/>
  <c r="Q2777" i="1"/>
  <c r="Q3728" i="1"/>
  <c r="Q328" i="1"/>
  <c r="Q4922" i="1"/>
  <c r="Q2056" i="1"/>
  <c r="Q1537" i="1"/>
  <c r="Q1866" i="1"/>
  <c r="Q2297" i="1"/>
  <c r="Q2817" i="1"/>
  <c r="Q3217" i="1"/>
  <c r="Q3440" i="1"/>
  <c r="Q3688" i="1"/>
  <c r="Q3945" i="1"/>
  <c r="Q4249" i="1"/>
  <c r="Q4625" i="1"/>
  <c r="Q43" i="1"/>
  <c r="Q1827" i="1"/>
  <c r="Q183" i="1"/>
  <c r="Q543" i="1"/>
  <c r="Q936" i="1"/>
  <c r="Q1496" i="1"/>
  <c r="Q2303" i="1"/>
  <c r="Q3120" i="1"/>
  <c r="Q4183" i="1"/>
  <c r="Q3690" i="1"/>
  <c r="Q4858" i="1"/>
  <c r="Q2362" i="1"/>
  <c r="Q162" i="1"/>
  <c r="Q489" i="1"/>
  <c r="Q778" i="1"/>
  <c r="Q1025" i="1"/>
  <c r="Q1385" i="1"/>
  <c r="Q1825" i="1"/>
  <c r="Q2441" i="1"/>
  <c r="Q2921" i="1"/>
  <c r="Q4217" i="1"/>
  <c r="Q172" i="1"/>
  <c r="Q999" i="1"/>
  <c r="Q3384" i="1"/>
  <c r="Q560" i="1"/>
  <c r="Q1553" i="1"/>
  <c r="Q1881" i="1"/>
  <c r="Q2456" i="1"/>
  <c r="Q2833" i="1"/>
  <c r="Q3441" i="1"/>
  <c r="Q3769" i="1"/>
  <c r="Q4096" i="1"/>
  <c r="Q4257" i="1"/>
  <c r="Q4857" i="1"/>
  <c r="Q987" i="1"/>
  <c r="Q138" i="1"/>
  <c r="Q464" i="1"/>
  <c r="Q848" i="1"/>
  <c r="Q1344" i="1"/>
  <c r="Q2127" i="1"/>
  <c r="Q2952" i="1"/>
  <c r="Q3751" i="1"/>
  <c r="Q2002" i="1"/>
  <c r="Q2904" i="1"/>
  <c r="Q3697" i="1"/>
  <c r="Q4265" i="1"/>
  <c r="Q1015" i="1"/>
  <c r="Q1401" i="1"/>
  <c r="Q1938" i="1"/>
  <c r="Q2520" i="1"/>
  <c r="Q2793" i="1"/>
  <c r="Q3179" i="1"/>
  <c r="Q3537" i="1"/>
  <c r="Q3961" i="1"/>
  <c r="Q4072" i="1"/>
  <c r="Q4491" i="1"/>
  <c r="Q4648" i="1"/>
  <c r="Q4769" i="1"/>
  <c r="Q180" i="1"/>
  <c r="Q50" i="1"/>
  <c r="Q295" i="1"/>
  <c r="Q664" i="1"/>
  <c r="Q1056" i="1"/>
  <c r="Q1753" i="1"/>
  <c r="Q2504" i="1"/>
  <c r="Q3311" i="1"/>
  <c r="Q4647" i="1"/>
  <c r="Q3089" i="1"/>
  <c r="Q3625" i="1"/>
  <c r="Q4480" i="1"/>
  <c r="Q2999" i="1"/>
  <c r="Q3871" i="1"/>
  <c r="Q3176" i="1"/>
  <c r="Q3967" i="1"/>
  <c r="Q3450" i="1"/>
  <c r="Q755" i="1"/>
  <c r="Q1995" i="1"/>
  <c r="Q3307" i="1"/>
  <c r="Q4221" i="1"/>
  <c r="Q4808" i="1"/>
  <c r="Q267" i="1"/>
  <c r="Q499" i="1"/>
  <c r="Q699" i="1"/>
  <c r="Q1059" i="1"/>
  <c r="Q1259" i="1"/>
  <c r="Q1635" i="1"/>
  <c r="Q2059" i="1"/>
  <c r="Q2491" i="1"/>
  <c r="Q2707" i="1"/>
  <c r="Q2827" i="1"/>
  <c r="Q3003" i="1"/>
  <c r="Q3275" i="1"/>
  <c r="Q3531" i="1"/>
  <c r="Q1027" i="1"/>
  <c r="Q1907" i="1"/>
  <c r="Q2915" i="1"/>
  <c r="Q3267" i="1"/>
  <c r="Q3739" i="1"/>
  <c r="Q4165" i="1"/>
  <c r="Q4643" i="1"/>
  <c r="Q3771" i="1"/>
  <c r="Q4043" i="1"/>
  <c r="Q4387" i="1"/>
  <c r="Q4587" i="1"/>
  <c r="Q4843" i="1"/>
  <c r="Q3875" i="1"/>
  <c r="Q258" i="1"/>
  <c r="Q652" i="1"/>
  <c r="Q1194" i="1"/>
  <c r="Q1631" i="1"/>
  <c r="Q2532" i="1"/>
  <c r="Q3063" i="1"/>
  <c r="Q3455" i="1"/>
  <c r="Q3791" i="1"/>
  <c r="Q4271" i="1"/>
  <c r="Q4527" i="1"/>
  <c r="Q4747" i="1"/>
  <c r="Q4991" i="1"/>
  <c r="Q3708" i="1"/>
  <c r="Q207" i="1"/>
  <c r="Q311" i="1"/>
  <c r="Q367" i="1"/>
  <c r="Q415" i="1"/>
  <c r="Q447" i="1"/>
  <c r="Q503" i="1"/>
  <c r="Q567" i="1"/>
  <c r="Q623" i="1"/>
  <c r="Q679" i="1"/>
  <c r="Q735" i="1"/>
  <c r="Q799" i="1"/>
  <c r="Q847" i="1"/>
  <c r="Q919" i="1"/>
  <c r="Q983" i="1"/>
  <c r="Q1031" i="1"/>
  <c r="Q1071" i="1"/>
  <c r="Q1111" i="1"/>
  <c r="Q1159" i="1"/>
  <c r="Q1215" i="1"/>
  <c r="Q1247" i="1"/>
  <c r="Q1295" i="1"/>
  <c r="Q1343" i="1"/>
  <c r="Q1383" i="1"/>
  <c r="Q1423" i="1"/>
  <c r="Q1471" i="1"/>
  <c r="Q1527" i="1"/>
  <c r="Q1583" i="1"/>
  <c r="Q1687" i="1"/>
  <c r="Q1767" i="1"/>
  <c r="Q1847" i="1"/>
  <c r="Q1927" i="1"/>
  <c r="Q2007" i="1"/>
  <c r="Q2063" i="1"/>
  <c r="Q2103" i="1"/>
  <c r="Q2175" i="1"/>
  <c r="Q2239" i="1"/>
  <c r="Q2287" i="1"/>
  <c r="Q2359" i="1"/>
  <c r="Q2423" i="1"/>
  <c r="Q2519" i="1"/>
  <c r="Q2623" i="1"/>
  <c r="Q2735" i="1"/>
  <c r="Q2807" i="1"/>
  <c r="Q2919" i="1"/>
  <c r="Q3031" i="1"/>
  <c r="Q3111" i="1"/>
  <c r="Q3263" i="1"/>
  <c r="Q3687" i="1"/>
  <c r="Q3935" i="1"/>
  <c r="Q4119" i="1"/>
  <c r="Q4439" i="1"/>
  <c r="Q4575" i="1"/>
  <c r="Q4727" i="1"/>
  <c r="Q4879" i="1"/>
  <c r="Q4951" i="1"/>
  <c r="Q615" i="1"/>
  <c r="Q1004" i="1"/>
  <c r="Q1634" i="1"/>
  <c r="Q2191" i="1"/>
  <c r="Q2727" i="1"/>
  <c r="Q3346" i="1"/>
  <c r="Q3735" i="1"/>
  <c r="Q4058" i="1"/>
  <c r="Q4466" i="1"/>
  <c r="Q4938" i="1"/>
  <c r="Q3074" i="1"/>
  <c r="Q3282" i="1"/>
  <c r="Q3538" i="1"/>
  <c r="Q3738" i="1"/>
  <c r="Q3810" i="1"/>
  <c r="Q3986" i="1"/>
  <c r="Q4090" i="1"/>
  <c r="Q4578" i="1"/>
  <c r="Q3959" i="1"/>
  <c r="Q660" i="1"/>
  <c r="Q1012" i="1"/>
  <c r="Q1196" i="1"/>
  <c r="Q2372" i="1"/>
  <c r="Q247" i="1"/>
  <c r="Q514" i="1"/>
  <c r="Q967" i="1"/>
  <c r="Q1714" i="1"/>
  <c r="Q2583" i="1"/>
  <c r="Q3071" i="1"/>
  <c r="Q3463" i="1"/>
  <c r="Q3839" i="1"/>
  <c r="Q4063" i="1"/>
  <c r="Q4427" i="1"/>
  <c r="Q4759" i="1"/>
  <c r="Q1028" i="1"/>
  <c r="Q4551" i="1"/>
  <c r="Q4967" i="1"/>
  <c r="Q2199" i="1"/>
  <c r="Q2730" i="1"/>
  <c r="Q3330" i="1"/>
  <c r="Q3703" i="1"/>
  <c r="Q4191" i="1"/>
  <c r="Q4519" i="1"/>
  <c r="Q4906" i="1"/>
  <c r="Q2081" i="1"/>
  <c r="Q2017" i="1"/>
  <c r="Q2121" i="1"/>
  <c r="Q2049" i="1"/>
  <c r="Q1977" i="1"/>
  <c r="Q3563" i="1"/>
  <c r="Q3787" i="1"/>
  <c r="Q4019" i="1"/>
  <c r="Q4283" i="1"/>
  <c r="Q22" i="1"/>
  <c r="Q41" i="1"/>
  <c r="Q297" i="1"/>
  <c r="Q937" i="1"/>
  <c r="Q1289" i="1"/>
  <c r="Q113" i="1"/>
  <c r="Q561" i="1"/>
  <c r="Q841" i="1"/>
  <c r="Q449" i="1"/>
  <c r="Q1113" i="1"/>
  <c r="Q1305" i="1"/>
  <c r="Q1569" i="1"/>
  <c r="Q265" i="1"/>
  <c r="Q761" i="1"/>
  <c r="Q1121" i="1"/>
  <c r="Q1577" i="1"/>
  <c r="Q2171" i="1"/>
  <c r="Q45" i="1"/>
  <c r="Q109" i="1"/>
  <c r="Q58" i="1"/>
  <c r="Q321" i="1"/>
  <c r="Q54" i="1"/>
  <c r="Q142" i="1"/>
  <c r="Q129" i="1"/>
  <c r="Q425" i="1"/>
  <c r="Q873" i="1"/>
  <c r="Q2369" i="1"/>
  <c r="Q2753" i="1"/>
  <c r="Q3097" i="1"/>
  <c r="Q3490" i="1"/>
  <c r="Q4041" i="1"/>
  <c r="Q4617" i="1"/>
  <c r="Q4801" i="1"/>
  <c r="Q75" i="1"/>
  <c r="Q2340" i="1"/>
  <c r="Q168" i="1"/>
  <c r="Q527" i="1"/>
  <c r="Q912" i="1"/>
  <c r="Q1479" i="1"/>
  <c r="Q2250" i="1"/>
  <c r="Q3103" i="1"/>
  <c r="Q4151" i="1"/>
  <c r="Q4000" i="1"/>
  <c r="Q159" i="1"/>
  <c r="Q2024" i="1"/>
  <c r="Q451" i="1"/>
  <c r="Q121" i="1"/>
  <c r="Q377" i="1"/>
  <c r="Q633" i="1"/>
  <c r="Q913" i="1"/>
  <c r="Q1361" i="1"/>
  <c r="Q1809" i="1"/>
  <c r="Q2473" i="1"/>
  <c r="Q2768" i="1"/>
  <c r="Q3041" i="1"/>
  <c r="Q3241" i="1"/>
  <c r="Q3497" i="1"/>
  <c r="Q3705" i="1"/>
  <c r="Q4087" i="1"/>
  <c r="Q4305" i="1"/>
  <c r="Q4513" i="1"/>
  <c r="Q4784" i="1"/>
  <c r="Q76" i="1"/>
  <c r="Q2749" i="1"/>
  <c r="Q175" i="1"/>
  <c r="Q528" i="1"/>
  <c r="Q920" i="1"/>
  <c r="Q1480" i="1"/>
  <c r="Q2263" i="1"/>
  <c r="Q3248" i="1"/>
  <c r="Q4698" i="1"/>
  <c r="Q3880" i="1"/>
  <c r="Q4600" i="1"/>
  <c r="Q111" i="1"/>
  <c r="Q1944" i="1"/>
  <c r="Q3857" i="1"/>
  <c r="Q2160" i="1"/>
  <c r="Q818" i="1"/>
  <c r="Q1266" i="1"/>
  <c r="Q1529" i="1"/>
  <c r="Q2329" i="1"/>
  <c r="Q2577" i="1"/>
  <c r="Q2920" i="1"/>
  <c r="Q3209" i="1"/>
  <c r="Q3553" i="1"/>
  <c r="Q3897" i="1"/>
  <c r="Q4169" i="1"/>
  <c r="Q4464" i="1"/>
  <c r="Q4817" i="1"/>
  <c r="Q4987" i="1"/>
  <c r="Q931" i="1"/>
  <c r="Q128" i="1"/>
  <c r="Q450" i="1"/>
  <c r="Q824" i="1"/>
  <c r="Q1272" i="1"/>
  <c r="Q2088" i="1"/>
  <c r="Q2930" i="1"/>
  <c r="Q3656" i="1"/>
  <c r="Q2811" i="1"/>
  <c r="Q3808" i="1"/>
  <c r="Q504" i="1"/>
  <c r="Q155" i="1"/>
  <c r="Q2895" i="1"/>
  <c r="Q1601" i="1"/>
  <c r="Q1873" i="1"/>
  <c r="Q2337" i="1"/>
  <c r="Q3473" i="1"/>
  <c r="Q3713" i="1"/>
  <c r="Q3952" i="1"/>
  <c r="Q4256" i="1"/>
  <c r="Q4393" i="1"/>
  <c r="Q4632" i="1"/>
  <c r="Q4785" i="1"/>
  <c r="Q91" i="1"/>
  <c r="Q23" i="1"/>
  <c r="Q223" i="1"/>
  <c r="Q592" i="1"/>
  <c r="Q992" i="1"/>
  <c r="Q1600" i="1"/>
  <c r="Q2416" i="1"/>
  <c r="Q3192" i="1"/>
  <c r="Q4280" i="1"/>
  <c r="Q4136" i="1"/>
  <c r="Q4928" i="1"/>
  <c r="Q3088" i="1"/>
  <c r="Q234" i="1"/>
  <c r="Q545" i="1"/>
  <c r="Q785" i="1"/>
  <c r="Q1089" i="1"/>
  <c r="Q1474" i="1"/>
  <c r="Q1937" i="1"/>
  <c r="Q2497" i="1"/>
  <c r="Q3065" i="1"/>
  <c r="Q4425" i="1"/>
  <c r="Q1323" i="1"/>
  <c r="Q1216" i="1"/>
  <c r="Q4377" i="1"/>
  <c r="Q856" i="1"/>
  <c r="Q1617" i="1"/>
  <c r="Q2169" i="1"/>
  <c r="Q2579" i="1"/>
  <c r="Q2889" i="1"/>
  <c r="Q3265" i="1"/>
  <c r="Q3448" i="1"/>
  <c r="Q3776" i="1"/>
  <c r="Q4282" i="1"/>
  <c r="Q4401" i="1"/>
  <c r="Q4897" i="1"/>
  <c r="Q12" i="1"/>
  <c r="Q1347" i="1"/>
  <c r="Q160" i="1"/>
  <c r="Q512" i="1"/>
  <c r="Q896" i="1"/>
  <c r="Q1463" i="1"/>
  <c r="Q2223" i="1"/>
  <c r="Q3080" i="1"/>
  <c r="Q3911" i="1"/>
  <c r="Q2177" i="1"/>
  <c r="Q2985" i="1"/>
  <c r="Q3704" i="1"/>
  <c r="Q4968" i="1"/>
  <c r="Q1472" i="1"/>
  <c r="Q2265" i="1"/>
  <c r="Q2841" i="1"/>
  <c r="Q3185" i="1"/>
  <c r="Q3544" i="1"/>
  <c r="Q3809" i="1"/>
  <c r="Q3968" i="1"/>
  <c r="Q4504" i="1"/>
  <c r="Q4659" i="1"/>
  <c r="Q4793" i="1"/>
  <c r="Q4985" i="1"/>
  <c r="Q435" i="1"/>
  <c r="Q71" i="1"/>
  <c r="Q336" i="1"/>
  <c r="Q720" i="1"/>
  <c r="Q1103" i="1"/>
  <c r="Q1848" i="1"/>
  <c r="Q2592" i="1"/>
  <c r="Q3407" i="1"/>
  <c r="Q4839" i="1"/>
  <c r="Q3153" i="1"/>
  <c r="Q3737" i="1"/>
  <c r="Q4577" i="1"/>
  <c r="Q3954" i="1"/>
  <c r="Q3887" i="1"/>
  <c r="Q3951" i="1"/>
  <c r="Q2322" i="1"/>
  <c r="Q2511" i="1"/>
  <c r="Q2615" i="1"/>
  <c r="Q2695" i="1"/>
  <c r="Q2863" i="1"/>
  <c r="Q3023" i="1"/>
  <c r="Q3135" i="1"/>
  <c r="Q3335" i="1"/>
  <c r="Q3431" i="1"/>
  <c r="Q3607" i="1"/>
  <c r="Q3855" i="1"/>
  <c r="Q4055" i="1"/>
  <c r="Q4319" i="1"/>
  <c r="Q4399" i="1"/>
  <c r="Q4767" i="1"/>
  <c r="Q4284" i="1"/>
  <c r="Q4020" i="1"/>
  <c r="Q639" i="1"/>
  <c r="Q1042" i="1"/>
  <c r="Q1658" i="1"/>
  <c r="Q2210" i="1"/>
  <c r="Q2786" i="1"/>
  <c r="Q3439" i="1"/>
  <c r="Q3778" i="1"/>
  <c r="Q4079" i="1"/>
  <c r="Q4506" i="1"/>
  <c r="Q4978" i="1"/>
  <c r="Q4175" i="1"/>
  <c r="Q271" i="1"/>
  <c r="Q575" i="1"/>
  <c r="Q1068" i="1"/>
  <c r="Q1810" i="1"/>
  <c r="Q2674" i="1"/>
  <c r="Q3127" i="1"/>
  <c r="Q3591" i="1"/>
  <c r="Q3863" i="1"/>
  <c r="Q4114" i="1"/>
  <c r="Q4450" i="1"/>
  <c r="Q4875" i="1"/>
  <c r="Q2946" i="1"/>
  <c r="Q3090" i="1"/>
  <c r="Q3482" i="1"/>
  <c r="Q3850" i="1"/>
  <c r="Q4106" i="1"/>
  <c r="Q4354" i="1"/>
  <c r="Q4850" i="1"/>
  <c r="Q2957" i="1"/>
  <c r="Q4615" i="1"/>
  <c r="Q1092" i="1"/>
  <c r="Q2388" i="1"/>
  <c r="Q4156" i="1"/>
  <c r="Q346" i="1"/>
  <c r="Q458" i="1"/>
  <c r="Q538" i="1"/>
  <c r="Q570" i="1"/>
  <c r="Q626" i="1"/>
  <c r="Q674" i="1"/>
  <c r="Q754" i="1"/>
  <c r="Q810" i="1"/>
  <c r="Q874" i="1"/>
  <c r="Q922" i="1"/>
  <c r="Q970" i="1"/>
  <c r="Q1026" i="1"/>
  <c r="Q1090" i="1"/>
  <c r="Q1146" i="1"/>
  <c r="Q1202" i="1"/>
  <c r="Q1258" i="1"/>
  <c r="Q1322" i="1"/>
  <c r="Q1402" i="1"/>
  <c r="Q1466" i="1"/>
  <c r="Q1514" i="1"/>
  <c r="Q1554" i="1"/>
  <c r="Q1594" i="1"/>
  <c r="Q1642" i="1"/>
  <c r="Q1722" i="1"/>
  <c r="Q1778" i="1"/>
  <c r="Q1826" i="1"/>
  <c r="Q1882" i="1"/>
  <c r="Q1930" i="1"/>
  <c r="Q1978" i="1"/>
  <c r="Q2034" i="1"/>
  <c r="Q2082" i="1"/>
  <c r="Q2146" i="1"/>
  <c r="Q2178" i="1"/>
  <c r="Q2298" i="1"/>
  <c r="Q2410" i="1"/>
  <c r="Q2522" i="1"/>
  <c r="Q2610" i="1"/>
  <c r="Q2738" i="1"/>
  <c r="Q2778" i="1"/>
  <c r="Q2882" i="1"/>
  <c r="Q2986" i="1"/>
  <c r="Q3178" i="1"/>
  <c r="Q3610" i="1"/>
  <c r="Q4458" i="1"/>
  <c r="Q4714" i="1"/>
  <c r="Q1228" i="1"/>
  <c r="Q428" i="1"/>
  <c r="Q900" i="1"/>
  <c r="Q2844" i="1"/>
  <c r="Q4067" i="1"/>
  <c r="Q4243" i="1"/>
  <c r="Q4539" i="1"/>
  <c r="Q516" i="1"/>
  <c r="Q2338" i="1"/>
  <c r="Q2823" i="1"/>
  <c r="Q3354" i="1"/>
  <c r="Q3714" i="1"/>
  <c r="Q4226" i="1"/>
  <c r="Q4535" i="1"/>
  <c r="Q468" i="1"/>
  <c r="Q1100" i="1"/>
  <c r="Q1292" i="1"/>
  <c r="Q3973" i="1"/>
  <c r="Q2129" i="1"/>
  <c r="Q2025" i="1"/>
  <c r="Q2057" i="1"/>
  <c r="Q2073" i="1"/>
  <c r="Q2153" i="1"/>
  <c r="Q3579" i="1"/>
  <c r="Q3803" i="1"/>
  <c r="Q4091" i="1"/>
  <c r="Q4299" i="1"/>
  <c r="Q78" i="1"/>
  <c r="Q66" i="1"/>
  <c r="Q345" i="1"/>
  <c r="Q985" i="1"/>
  <c r="Q1330" i="1"/>
  <c r="Q145" i="1"/>
  <c r="Q657" i="1"/>
  <c r="Q897" i="1"/>
  <c r="Q42" i="1"/>
  <c r="Q257" i="1"/>
  <c r="Q513" i="1"/>
  <c r="Q1338" i="1"/>
  <c r="Q57" i="1"/>
  <c r="Q313" i="1"/>
  <c r="Q802" i="1"/>
  <c r="Q1169" i="1"/>
  <c r="Q1641" i="1"/>
  <c r="Q2185" i="1"/>
  <c r="Q53" i="1"/>
  <c r="Q133" i="1"/>
  <c r="Q90" i="1"/>
  <c r="Q578" i="1"/>
  <c r="Q70" i="1"/>
  <c r="Q150" i="1"/>
  <c r="Q154" i="1"/>
  <c r="Q466" i="1"/>
  <c r="Q914" i="1"/>
  <c r="Q2417" i="1"/>
  <c r="Q2801" i="1"/>
  <c r="Q3161" i="1"/>
  <c r="Q3552" i="1"/>
  <c r="Q3817" i="1"/>
  <c r="Q4073" i="1"/>
  <c r="Q4649" i="1"/>
  <c r="Q4841" i="1"/>
  <c r="Q116" i="1"/>
  <c r="Q15" i="1"/>
  <c r="Q208" i="1"/>
  <c r="Q568" i="1"/>
  <c r="Q968" i="1"/>
  <c r="Q1567" i="1"/>
  <c r="Q2376" i="1"/>
  <c r="Q3154" i="1"/>
  <c r="Q4232" i="1"/>
  <c r="Q4224" i="1"/>
  <c r="Q224" i="1"/>
  <c r="Q2314" i="1"/>
  <c r="Q120" i="1"/>
  <c r="Q153" i="1"/>
  <c r="Q410" i="1"/>
  <c r="Q653" i="1"/>
  <c r="Q961" i="1"/>
  <c r="Q1465" i="1"/>
  <c r="Q2241" i="1"/>
  <c r="Q2529" i="1"/>
  <c r="Q3712" i="1"/>
  <c r="Q4137" i="1"/>
  <c r="Q4312" i="1"/>
  <c r="Q4520" i="1"/>
  <c r="Q4809" i="1"/>
  <c r="Q123" i="1"/>
  <c r="Q16" i="1"/>
  <c r="Q215" i="1"/>
  <c r="Q576" i="1"/>
  <c r="Q976" i="1"/>
  <c r="Q1584" i="1"/>
  <c r="Q2384" i="1"/>
  <c r="Q3344" i="1"/>
  <c r="Q4927" i="1"/>
  <c r="Q3993" i="1"/>
  <c r="Q4664" i="1"/>
  <c r="Q280" i="1"/>
  <c r="Q2208" i="1"/>
  <c r="Q20" i="1"/>
  <c r="Q2616" i="1"/>
  <c r="Q825" i="1"/>
  <c r="Q1273" i="1"/>
  <c r="Q1593" i="1"/>
  <c r="Q2377" i="1"/>
  <c r="Q2625" i="1"/>
  <c r="Q3297" i="1"/>
  <c r="Q3560" i="1"/>
  <c r="Q4017" i="1"/>
  <c r="Q4176" i="1"/>
  <c r="Q4553" i="1"/>
  <c r="Q4824" i="1"/>
  <c r="Q4993" i="1"/>
  <c r="Q1275" i="1"/>
  <c r="Q151" i="1"/>
  <c r="Q488" i="1"/>
  <c r="Q872" i="1"/>
  <c r="Q1393" i="1"/>
  <c r="Q2194" i="1"/>
  <c r="Q3016" i="1"/>
  <c r="Q3856" i="1"/>
  <c r="Q2881" i="1"/>
  <c r="Q4064" i="1"/>
  <c r="Q752" i="1"/>
  <c r="Q52" i="1"/>
  <c r="Q3546" i="1"/>
  <c r="Q1650" i="1"/>
  <c r="Q1929" i="1"/>
  <c r="Q2371" i="1"/>
  <c r="Q2940" i="1"/>
  <c r="Q3242" i="1"/>
  <c r="Q3513" i="1"/>
  <c r="Q3761" i="1"/>
  <c r="Q4400" i="1"/>
  <c r="Q4849" i="1"/>
  <c r="Q131" i="1"/>
  <c r="Q40" i="1"/>
  <c r="Q272" i="1"/>
  <c r="Q640" i="1"/>
  <c r="Q1039" i="1"/>
  <c r="Q1699" i="1"/>
  <c r="Q2474" i="1"/>
  <c r="Q3383" i="1"/>
  <c r="Q4591" i="1"/>
  <c r="Q4272" i="1"/>
  <c r="Q140" i="1"/>
  <c r="Q3415" i="1"/>
  <c r="Q241" i="1"/>
  <c r="Q601" i="1"/>
  <c r="Q826" i="1"/>
  <c r="Q1138" i="1"/>
  <c r="Q1481" i="1"/>
  <c r="Q2130" i="1"/>
  <c r="Q2553" i="1"/>
  <c r="Q3129" i="1"/>
  <c r="Q4619" i="1"/>
  <c r="Q64" i="1"/>
  <c r="Q1497" i="1"/>
  <c r="Q4543" i="1"/>
  <c r="Q1104" i="1"/>
  <c r="Q1673" i="1"/>
  <c r="Q2217" i="1"/>
  <c r="Q2593" i="1"/>
  <c r="Q2929" i="1"/>
  <c r="Q3299" i="1"/>
  <c r="Q3529" i="1"/>
  <c r="Q3841" i="1"/>
  <c r="Q4128" i="1"/>
  <c r="Q4289" i="1"/>
  <c r="Q4433" i="1"/>
  <c r="Q4633" i="1"/>
  <c r="Q4904" i="1"/>
  <c r="Q51" i="1"/>
  <c r="Q1987" i="1"/>
  <c r="Q191" i="1"/>
  <c r="Q552" i="1"/>
  <c r="Q944" i="1"/>
  <c r="Q1512" i="1"/>
  <c r="Q2336" i="1"/>
  <c r="Q3143" i="1"/>
  <c r="Q4074" i="1"/>
  <c r="Q2225" i="1"/>
  <c r="Q2991" i="1"/>
  <c r="Q3777" i="1"/>
  <c r="Q235" i="1"/>
  <c r="Q1967" i="1"/>
  <c r="Q1561" i="1"/>
  <c r="Q2313" i="1"/>
  <c r="Q2561" i="1"/>
  <c r="Q2977" i="1"/>
  <c r="Q3233" i="1"/>
  <c r="Q3816" i="1"/>
  <c r="Q4001" i="1"/>
  <c r="Q4225" i="1"/>
  <c r="Q4536" i="1"/>
  <c r="Q4665" i="1"/>
  <c r="Q4800" i="1"/>
  <c r="Q764" i="1"/>
  <c r="Q92" i="1"/>
  <c r="Q386" i="1"/>
  <c r="Q759" i="1"/>
  <c r="Q1167" i="1"/>
  <c r="Q1960" i="1"/>
  <c r="Q2775" i="1"/>
  <c r="Q3543" i="1"/>
  <c r="Q1849" i="1"/>
  <c r="Q3193" i="1"/>
  <c r="Q3888" i="1"/>
  <c r="Q4751" i="1"/>
  <c r="Q2343" i="1"/>
  <c r="Q4127" i="1"/>
  <c r="Q3727" i="1"/>
  <c r="Q3417" i="1"/>
  <c r="Q2547" i="1"/>
  <c r="Q2723" i="1"/>
  <c r="Q2851" i="1"/>
  <c r="Q3067" i="1"/>
  <c r="Q3339" i="1"/>
  <c r="Q1179" i="1"/>
  <c r="Q2083" i="1"/>
  <c r="Q3043" i="1"/>
  <c r="Q3387" i="1"/>
  <c r="Q3851" i="1"/>
  <c r="Q4339" i="1"/>
  <c r="Q4771" i="1"/>
  <c r="Q3547" i="1"/>
  <c r="Q3859" i="1"/>
  <c r="Q4115" i="1"/>
  <c r="Q4411" i="1"/>
  <c r="Q4651" i="1"/>
  <c r="Q4907" i="1"/>
  <c r="Q3971" i="1"/>
  <c r="Q767" i="1"/>
  <c r="Q1287" i="1"/>
  <c r="Q1735" i="1"/>
  <c r="Q2751" i="1"/>
  <c r="Q3170" i="1"/>
  <c r="Q3495" i="1"/>
  <c r="Q3930" i="1"/>
  <c r="Q4367" i="1"/>
  <c r="Q4567" i="1"/>
  <c r="Q4787" i="1"/>
  <c r="Q4348" i="1"/>
  <c r="Q255" i="1"/>
  <c r="Q319" i="1"/>
  <c r="Q375" i="1"/>
  <c r="Q423" i="1"/>
  <c r="Q455" i="1"/>
  <c r="Q511" i="1"/>
  <c r="Q583" i="1"/>
  <c r="Q647" i="1"/>
  <c r="Q687" i="1"/>
  <c r="Q743" i="1"/>
  <c r="Q815" i="1"/>
  <c r="Q879" i="1"/>
  <c r="Q935" i="1"/>
  <c r="Q991" i="1"/>
  <c r="Q1047" i="1"/>
  <c r="Q1079" i="1"/>
  <c r="Q1119" i="1"/>
  <c r="Q1183" i="1"/>
  <c r="Q1223" i="1"/>
  <c r="Q1255" i="1"/>
  <c r="Q1303" i="1"/>
  <c r="Q1359" i="1"/>
  <c r="Q1391" i="1"/>
  <c r="Q1431" i="1"/>
  <c r="Q1487" i="1"/>
  <c r="Q1535" i="1"/>
  <c r="Q1599" i="1"/>
  <c r="Q1703" i="1"/>
  <c r="Q1783" i="1"/>
  <c r="Q1863" i="1"/>
  <c r="Q1943" i="1"/>
  <c r="Q2015" i="1"/>
  <c r="Q2079" i="1"/>
  <c r="Q2111" i="1"/>
  <c r="Q2207" i="1"/>
  <c r="Q2255" i="1"/>
  <c r="Q2295" i="1"/>
  <c r="Q2375" i="1"/>
  <c r="Q2471" i="1"/>
  <c r="Q2567" i="1"/>
  <c r="Q2639" i="1"/>
  <c r="Q2767" i="1"/>
  <c r="Q2855" i="1"/>
  <c r="Q2951" i="1"/>
  <c r="Q3047" i="1"/>
  <c r="Q3167" i="1"/>
  <c r="Q3471" i="1"/>
  <c r="Q3719" i="1"/>
  <c r="Q4007" i="1"/>
  <c r="Q4135" i="1"/>
  <c r="Q4471" i="1"/>
  <c r="Q4623" i="1"/>
  <c r="Q4743" i="1"/>
  <c r="Q4887" i="1"/>
  <c r="Q4983" i="1"/>
  <c r="Q703" i="1"/>
  <c r="Q1066" i="1"/>
  <c r="Q1738" i="1"/>
  <c r="Q2383" i="1"/>
  <c r="Q2834" i="1"/>
  <c r="Q3458" i="1"/>
  <c r="Q3858" i="1"/>
  <c r="Q4220" i="1"/>
  <c r="Q4655" i="1"/>
  <c r="Q2242" i="1"/>
  <c r="Q3098" i="1"/>
  <c r="Q3298" i="1"/>
  <c r="Q3554" i="1"/>
  <c r="Q3754" i="1"/>
  <c r="Q3826" i="1"/>
  <c r="Q4018" i="1"/>
  <c r="Q4130" i="1"/>
  <c r="Q4746" i="1"/>
  <c r="Q4276" i="1"/>
  <c r="Q876" i="1"/>
  <c r="Q1036" i="1"/>
  <c r="Q1220" i="1"/>
  <c r="Q2436" i="1"/>
  <c r="Q351" i="1"/>
  <c r="Q594" i="1"/>
  <c r="Q1135" i="1"/>
  <c r="Q1999" i="1"/>
  <c r="Q2698" i="1"/>
  <c r="Q3306" i="1"/>
  <c r="Q3626" i="1"/>
  <c r="Q3879" i="1"/>
  <c r="Q4202" i="1"/>
  <c r="Q4467" i="1"/>
  <c r="Q4939" i="1"/>
  <c r="Q3767" i="1"/>
  <c r="Q4735" i="1"/>
  <c r="Q3615" i="1"/>
  <c r="Q1335" i="1"/>
  <c r="Q2367" i="1"/>
  <c r="Q2892" i="1"/>
  <c r="Q3402" i="1"/>
  <c r="Q3743" i="1"/>
  <c r="Q4258" i="1"/>
  <c r="Q4583" i="1"/>
  <c r="Q2065" i="1"/>
  <c r="Q1985" i="1"/>
  <c r="Q2097" i="1"/>
  <c r="Q3627" i="1"/>
  <c r="Q3811" i="1"/>
  <c r="Q4099" i="1"/>
  <c r="Q4315" i="1"/>
  <c r="Q94" i="1"/>
  <c r="Q73" i="1"/>
  <c r="Q401" i="1"/>
  <c r="Q1033" i="1"/>
  <c r="Q1337" i="1"/>
  <c r="Q201" i="1"/>
  <c r="Q698" i="1"/>
  <c r="Q993" i="1"/>
  <c r="Q49" i="1"/>
  <c r="Q298" i="1"/>
  <c r="Q569" i="1"/>
  <c r="Q849" i="1"/>
  <c r="Q1154" i="1"/>
  <c r="Q1345" i="1"/>
  <c r="Q1618" i="1"/>
  <c r="Q82" i="1"/>
  <c r="Q369" i="1"/>
  <c r="Q809" i="1"/>
  <c r="Q1265" i="1"/>
  <c r="Q1689" i="1"/>
  <c r="Q2233" i="1"/>
  <c r="Q61" i="1"/>
  <c r="Q141" i="1"/>
  <c r="Q97" i="1"/>
  <c r="Q585" i="1"/>
  <c r="Q86" i="1"/>
  <c r="Q158" i="1"/>
  <c r="Q173" i="1"/>
  <c r="Q473" i="1"/>
  <c r="Q921" i="1"/>
  <c r="Q2857" i="1"/>
  <c r="Q3592" i="1"/>
  <c r="Q3824" i="1"/>
  <c r="Q4080" i="1"/>
  <c r="Q4673" i="1"/>
  <c r="Q4865" i="1"/>
  <c r="Q156" i="1"/>
  <c r="Q35" i="1"/>
  <c r="Q248" i="1"/>
  <c r="Q624" i="1"/>
  <c r="Q1016" i="1"/>
  <c r="Q1672" i="1"/>
  <c r="Q2447" i="1"/>
  <c r="Q3240" i="1"/>
  <c r="Q4514" i="1"/>
  <c r="Q4263" i="1"/>
  <c r="Q376" i="1"/>
  <c r="Q2696" i="1"/>
  <c r="Q344" i="1"/>
  <c r="Q166" i="1"/>
  <c r="Q417" i="1"/>
  <c r="Q666" i="1"/>
  <c r="Q1050" i="1"/>
  <c r="Q1865" i="1"/>
  <c r="Q2248" i="1"/>
  <c r="Q2795" i="1"/>
  <c r="Q3105" i="1"/>
  <c r="Q3289" i="1"/>
  <c r="Q3578" i="1"/>
  <c r="Q3865" i="1"/>
  <c r="Q4144" i="1"/>
  <c r="Q4330" i="1"/>
  <c r="Q4585" i="1"/>
  <c r="Q4848" i="1"/>
  <c r="Q163" i="1"/>
  <c r="Q37" i="1"/>
  <c r="Q256" i="1"/>
  <c r="Q631" i="1"/>
  <c r="Q1024" i="1"/>
  <c r="Q1679" i="1"/>
  <c r="Q2455" i="1"/>
  <c r="Q3432" i="1"/>
  <c r="Q3305" i="1"/>
  <c r="Q4057" i="1"/>
  <c r="Q4825" i="1"/>
  <c r="Q463" i="1"/>
  <c r="Q2490" i="1"/>
  <c r="Q771" i="1"/>
  <c r="Q3232" i="1"/>
  <c r="Q1010" i="1"/>
  <c r="Q1314" i="1"/>
  <c r="Q1817" i="1"/>
  <c r="Q2433" i="1"/>
  <c r="Q2681" i="1"/>
  <c r="Q2953" i="1"/>
  <c r="Q3337" i="1"/>
  <c r="Q3593" i="1"/>
  <c r="Q4042" i="1"/>
  <c r="Q4618" i="1"/>
  <c r="Q4842" i="1"/>
  <c r="Q36" i="1"/>
  <c r="Q1715" i="1"/>
  <c r="Q176" i="1"/>
  <c r="Q536" i="1"/>
  <c r="Q928" i="1"/>
  <c r="Q1495" i="1"/>
  <c r="Q2290" i="1"/>
  <c r="Q3106" i="1"/>
  <c r="Q4178" i="1"/>
  <c r="Q3009" i="1"/>
  <c r="Q4465" i="1"/>
  <c r="Q943" i="1"/>
  <c r="Q200" i="1"/>
  <c r="Q4474" i="1"/>
  <c r="Q1657" i="1"/>
  <c r="Q2098" i="1"/>
  <c r="Q2385" i="1"/>
  <c r="Q2961" i="1"/>
  <c r="Q3249" i="1"/>
  <c r="Q3601" i="1"/>
  <c r="Q3768" i="1"/>
  <c r="Q3985" i="1"/>
  <c r="Q4281" i="1"/>
  <c r="Q4489" i="1"/>
  <c r="Q4657" i="1"/>
  <c r="Q4856" i="1"/>
  <c r="Q171" i="1"/>
  <c r="Q63" i="1"/>
  <c r="Q327" i="1"/>
  <c r="Q704" i="1"/>
  <c r="Q1088" i="1"/>
  <c r="Q1823" i="1"/>
  <c r="Q2559" i="1"/>
  <c r="Q3480" i="1"/>
  <c r="Q4722" i="1"/>
  <c r="Q4304" i="1"/>
  <c r="Q392" i="1"/>
  <c r="Q4231" i="1"/>
  <c r="Q282" i="1"/>
  <c r="Q642" i="1"/>
  <c r="Q833" i="1"/>
  <c r="Q1145" i="1"/>
  <c r="Q1545" i="1"/>
  <c r="Q2161" i="1"/>
  <c r="Q2572" i="1"/>
  <c r="Q3353" i="1"/>
  <c r="Q4683" i="1"/>
  <c r="Q136" i="1"/>
  <c r="Q1840" i="1"/>
  <c r="Q4609" i="1"/>
  <c r="Q1640" i="1"/>
  <c r="Q1721" i="1"/>
  <c r="Q2224" i="1"/>
  <c r="Q2962" i="1"/>
  <c r="Q3313" i="1"/>
  <c r="Q3617" i="1"/>
  <c r="Q4153" i="1"/>
  <c r="Q4296" i="1"/>
  <c r="Q100" i="1"/>
  <c r="Q26" i="1"/>
  <c r="Q232" i="1"/>
  <c r="Q600" i="1"/>
  <c r="Q1000" i="1"/>
  <c r="Q1624" i="1"/>
  <c r="Q2424" i="1"/>
  <c r="Q3224" i="1"/>
  <c r="Q4186" i="1"/>
  <c r="Q2361" i="1"/>
  <c r="Q3376" i="1"/>
  <c r="Q3864" i="1"/>
  <c r="Q2099" i="1"/>
  <c r="Q2505" i="1"/>
  <c r="Q1729" i="1"/>
  <c r="Q2320" i="1"/>
  <c r="Q2601" i="1"/>
  <c r="Q3025" i="1"/>
  <c r="Q3273" i="1"/>
  <c r="Q3569" i="1"/>
  <c r="Q4008" i="1"/>
  <c r="Q4369" i="1"/>
  <c r="Q4705" i="1"/>
  <c r="Q5003" i="1"/>
  <c r="Q1115" i="1"/>
  <c r="Q119" i="1"/>
  <c r="Q427" i="1"/>
  <c r="Q808" i="1"/>
  <c r="Q1232" i="1"/>
  <c r="Q2047" i="1"/>
  <c r="Q2888" i="1"/>
  <c r="Q3608" i="1"/>
  <c r="Q2395" i="1"/>
  <c r="Q3227" i="1"/>
  <c r="Q4129" i="1"/>
  <c r="Q4905" i="1"/>
  <c r="Q2687" i="1"/>
  <c r="Q4391" i="1"/>
  <c r="Q3481" i="1"/>
  <c r="Q3288" i="1"/>
  <c r="Q3931" i="1"/>
  <c r="Q4171" i="1"/>
  <c r="Q4443" i="1"/>
  <c r="Q4699" i="1"/>
  <c r="Q4955" i="1"/>
  <c r="Q202" i="1"/>
  <c r="Q210" i="1"/>
  <c r="Q266" i="1"/>
  <c r="Q807" i="1"/>
  <c r="Q1362" i="1"/>
  <c r="Q1914" i="1"/>
  <c r="Q2780" i="1"/>
  <c r="Q3191" i="1"/>
  <c r="Q3519" i="1"/>
  <c r="Q3991" i="1"/>
  <c r="Q4386" i="1"/>
  <c r="Q4586" i="1"/>
  <c r="Q4807" i="1"/>
  <c r="Q1607" i="1"/>
  <c r="Q1727" i="1"/>
  <c r="Q1807" i="1"/>
  <c r="Q1903" i="1"/>
  <c r="Q2335" i="1"/>
  <c r="Q2463" i="1"/>
  <c r="Q2535" i="1"/>
  <c r="Q2631" i="1"/>
  <c r="Q2743" i="1"/>
  <c r="Q2943" i="1"/>
  <c r="Q3039" i="1"/>
  <c r="Q3159" i="1"/>
  <c r="Q3343" i="1"/>
  <c r="Q3447" i="1"/>
  <c r="Q3759" i="1"/>
  <c r="Q3975" i="1"/>
  <c r="Q4159" i="1"/>
  <c r="Q4327" i="1"/>
  <c r="Q4511" i="1"/>
  <c r="Q732" i="1"/>
  <c r="Q4092" i="1"/>
  <c r="Q231" i="1"/>
  <c r="Q786" i="1"/>
  <c r="Q1151" i="1"/>
  <c r="Q1839" i="1"/>
  <c r="Q2484" i="1"/>
  <c r="Q2911" i="1"/>
  <c r="Q3527" i="1"/>
  <c r="Q3874" i="1"/>
  <c r="Q4255" i="1"/>
  <c r="Q4671" i="1"/>
  <c r="Q4431" i="1"/>
  <c r="Q370" i="1"/>
  <c r="Q663" i="1"/>
  <c r="Q1415" i="1"/>
  <c r="Q2143" i="1"/>
  <c r="Q2791" i="1"/>
  <c r="Q3327" i="1"/>
  <c r="Q3642" i="1"/>
  <c r="Q3919" i="1"/>
  <c r="Q4239" i="1"/>
  <c r="Q4530" i="1"/>
  <c r="Q4962" i="1"/>
  <c r="Q3026" i="1"/>
  <c r="Q3114" i="1"/>
  <c r="Q3498" i="1"/>
  <c r="Q3866" i="1"/>
  <c r="Q4122" i="1"/>
  <c r="Q4490" i="1"/>
  <c r="Q4898" i="1"/>
  <c r="Q3783" i="1"/>
  <c r="Q420" i="1"/>
  <c r="Q1156" i="1"/>
  <c r="Q2548" i="1"/>
  <c r="Q322" i="1"/>
  <c r="Q362" i="1"/>
  <c r="Q482" i="1"/>
  <c r="Q546" i="1"/>
  <c r="Q586" i="1"/>
  <c r="Q634" i="1"/>
  <c r="Q690" i="1"/>
  <c r="Q762" i="1"/>
  <c r="Q842" i="1"/>
  <c r="Q882" i="1"/>
  <c r="Q930" i="1"/>
  <c r="Q986" i="1"/>
  <c r="Q1034" i="1"/>
  <c r="Q1106" i="1"/>
  <c r="Q1162" i="1"/>
  <c r="Q1210" i="1"/>
  <c r="Q1274" i="1"/>
  <c r="Q1354" i="1"/>
  <c r="Q1410" i="1"/>
  <c r="Q1482" i="1"/>
  <c r="Q1522" i="1"/>
  <c r="Q1562" i="1"/>
  <c r="Q1602" i="1"/>
  <c r="Q1666" i="1"/>
  <c r="Q1730" i="1"/>
  <c r="Q1786" i="1"/>
  <c r="Q1834" i="1"/>
  <c r="Q1898" i="1"/>
  <c r="Q1954" i="1"/>
  <c r="Q1994" i="1"/>
  <c r="Q2042" i="1"/>
  <c r="Q2114" i="1"/>
  <c r="Q2154" i="1"/>
  <c r="Q2186" i="1"/>
  <c r="Q2306" i="1"/>
  <c r="Q2442" i="1"/>
  <c r="Q2562" i="1"/>
  <c r="Q2642" i="1"/>
  <c r="Q2754" i="1"/>
  <c r="Q2826" i="1"/>
  <c r="Q2906" i="1"/>
  <c r="Q3058" i="1"/>
  <c r="Q3266" i="1"/>
  <c r="Q4234" i="1"/>
  <c r="Q4554" i="1"/>
  <c r="Q4810" i="1"/>
  <c r="Q3679" i="1"/>
  <c r="Q572" i="1"/>
  <c r="Q956" i="1"/>
  <c r="Q3964" i="1"/>
  <c r="Q4075" i="1"/>
  <c r="Q4259" i="1"/>
  <c r="Q4603" i="1"/>
  <c r="Q1791" i="1"/>
  <c r="Q2386" i="1"/>
  <c r="Q3010" i="1"/>
  <c r="Q3466" i="1"/>
  <c r="Q3927" i="1"/>
  <c r="Q4295" i="1"/>
  <c r="Q4599" i="1"/>
  <c r="Q524" i="1"/>
  <c r="Q1140" i="1"/>
  <c r="Q2380" i="1"/>
  <c r="Q2001" i="1"/>
  <c r="Q2033" i="1"/>
  <c r="Q3643" i="1"/>
  <c r="Q3827" i="1"/>
  <c r="Q4123" i="1"/>
  <c r="Q4404" i="1"/>
  <c r="Q130" i="1"/>
  <c r="Q497" i="1"/>
  <c r="Q1097" i="1"/>
  <c r="Q1434" i="1"/>
  <c r="Q242" i="1"/>
  <c r="Q705" i="1"/>
  <c r="Q1041" i="1"/>
  <c r="Q62" i="1"/>
  <c r="Q305" i="1"/>
  <c r="Q610" i="1"/>
  <c r="Q938" i="1"/>
  <c r="Q1161" i="1"/>
  <c r="Q1409" i="1"/>
  <c r="Q1625" i="1"/>
  <c r="Q89" i="1"/>
  <c r="Q457" i="1"/>
  <c r="Q857" i="1"/>
  <c r="Q1313" i="1"/>
  <c r="Q1745" i="1"/>
  <c r="Q3804" i="1"/>
  <c r="Q69" i="1"/>
  <c r="Q157" i="1"/>
  <c r="Q641" i="1"/>
  <c r="Q102" i="1"/>
  <c r="Q33" i="1"/>
  <c r="Q185" i="1"/>
  <c r="Q530" i="1"/>
  <c r="Q962" i="1"/>
  <c r="Q2465" i="1"/>
  <c r="Q3274" i="1"/>
  <c r="Q4409" i="1"/>
  <c r="Q4912" i="1"/>
  <c r="Q275" i="1"/>
  <c r="Q55" i="1"/>
  <c r="Q304" i="1"/>
  <c r="Q680" i="1"/>
  <c r="Q1072" i="1"/>
  <c r="Q1779" i="1"/>
  <c r="Q2530" i="1"/>
  <c r="Q3320" i="1"/>
  <c r="Q4682" i="1"/>
  <c r="Q4792" i="1"/>
  <c r="Q544" i="1"/>
  <c r="Q3128" i="1"/>
  <c r="Q616" i="1"/>
  <c r="Q225" i="1"/>
  <c r="Q465" i="1"/>
  <c r="Q673" i="1"/>
  <c r="Q1057" i="1"/>
  <c r="Q1521" i="1"/>
  <c r="Q1913" i="1"/>
  <c r="Q2267" i="1"/>
  <c r="Q2617" i="1"/>
  <c r="Q2809" i="1"/>
  <c r="Q3633" i="1"/>
  <c r="Q3889" i="1"/>
  <c r="Q4155" i="1"/>
  <c r="Q4337" i="1"/>
  <c r="Q4592" i="1"/>
  <c r="Q4873" i="1"/>
  <c r="Q291" i="1"/>
  <c r="Q56" i="1"/>
  <c r="Q312" i="1"/>
  <c r="Q688" i="1"/>
  <c r="Q1080" i="1"/>
  <c r="Q1799" i="1"/>
  <c r="Q2655" i="1"/>
  <c r="Q3583" i="1"/>
  <c r="Q3367" i="1"/>
  <c r="Q4121" i="1"/>
  <c r="Q4959" i="1"/>
  <c r="Q648" i="1"/>
  <c r="Q2944" i="1"/>
  <c r="Q95" i="1"/>
  <c r="Q3784" i="1"/>
  <c r="Q1017" i="1"/>
  <c r="Q1321" i="1"/>
  <c r="Q1921" i="1"/>
  <c r="Q2440" i="1"/>
  <c r="Q2721" i="1"/>
  <c r="Q2987" i="1"/>
  <c r="Q3385" i="1"/>
  <c r="Q3753" i="1"/>
  <c r="Q4049" i="1"/>
  <c r="Q4209" i="1"/>
  <c r="Q4650" i="1"/>
  <c r="Q4881" i="1"/>
  <c r="Q84" i="1"/>
  <c r="Q17" i="1"/>
  <c r="Q216" i="1"/>
  <c r="Q584" i="1"/>
  <c r="Q984" i="1"/>
  <c r="Q1591" i="1"/>
  <c r="Q2394" i="1"/>
  <c r="Q3175" i="1"/>
  <c r="Q4247" i="1"/>
  <c r="Q3184" i="1"/>
  <c r="Q4561" i="1"/>
  <c r="Q1136" i="1"/>
  <c r="Q479" i="1"/>
  <c r="Q1281" i="1"/>
  <c r="Q1698" i="1"/>
  <c r="Q2187" i="1"/>
  <c r="Q2489" i="1"/>
  <c r="Q3001" i="1"/>
  <c r="Q3331" i="1"/>
  <c r="Q3833" i="1"/>
  <c r="Q4025" i="1"/>
  <c r="Q4689" i="1"/>
  <c r="Q4920" i="1"/>
  <c r="Q347" i="1"/>
  <c r="Q83" i="1"/>
  <c r="Q368" i="1"/>
  <c r="Q751" i="1"/>
  <c r="Q1128" i="1"/>
  <c r="Q1928" i="1"/>
  <c r="Q2666" i="1"/>
  <c r="Q3594" i="1"/>
  <c r="Q712" i="1"/>
  <c r="Q4329" i="1"/>
  <c r="Q672" i="1"/>
  <c r="Q98" i="1"/>
  <c r="Q289" i="1"/>
  <c r="Q649" i="1"/>
  <c r="Q881" i="1"/>
  <c r="Q1186" i="1"/>
  <c r="Q1609" i="1"/>
  <c r="Q2209" i="1"/>
  <c r="Q2641" i="1"/>
  <c r="Q3408" i="1"/>
  <c r="Q4761" i="1"/>
  <c r="Q184" i="1"/>
  <c r="Q2112" i="1"/>
  <c r="Q115" i="1"/>
  <c r="Q2240" i="1"/>
  <c r="Q1770" i="1"/>
  <c r="Q2257" i="1"/>
  <c r="Q2649" i="1"/>
  <c r="Q2969" i="1"/>
  <c r="Q3624" i="1"/>
  <c r="Q3913" i="1"/>
  <c r="Q4185" i="1"/>
  <c r="Q4314" i="1"/>
  <c r="Q4697" i="1"/>
  <c r="Q4915" i="1"/>
  <c r="Q147" i="1"/>
  <c r="Q48" i="1"/>
  <c r="Q288" i="1"/>
  <c r="Q656" i="1"/>
  <c r="Q1048" i="1"/>
  <c r="Q1728" i="1"/>
  <c r="Q2496" i="1"/>
  <c r="Q3296" i="1"/>
  <c r="Q4440" i="1"/>
  <c r="Q2409" i="1"/>
  <c r="Q3449" i="1"/>
  <c r="Q4097" i="1"/>
  <c r="Q8" i="1"/>
  <c r="Q3152" i="1"/>
  <c r="Q1785" i="1"/>
  <c r="Q2353" i="1"/>
  <c r="Q2657" i="1"/>
  <c r="Q3032" i="1"/>
  <c r="Q3849" i="1"/>
  <c r="Q4408" i="1"/>
  <c r="Q4569" i="1"/>
  <c r="Q4712" i="1"/>
  <c r="Q4826" i="1"/>
  <c r="Q19" i="1"/>
  <c r="Q1467" i="1"/>
  <c r="Q139" i="1"/>
  <c r="Q472" i="1"/>
  <c r="Q851" i="1"/>
  <c r="Q1351" i="1"/>
  <c r="Q2152" i="1"/>
  <c r="Q2975" i="1"/>
  <c r="Q3770" i="1"/>
  <c r="Q2555" i="1"/>
  <c r="Q3321" i="1"/>
  <c r="Q4200" i="1"/>
  <c r="Q4961" i="1"/>
  <c r="Q2711" i="1"/>
  <c r="Q4463" i="1"/>
  <c r="Q3609" i="1"/>
  <c r="Q3545" i="1"/>
  <c r="Q6" i="1"/>
  <c r="H6" i="1"/>
  <c r="J6" i="1" s="1"/>
  <c r="F4177" i="1"/>
  <c r="D4196" i="1"/>
  <c r="F4007" i="1"/>
  <c r="C4168" i="1"/>
  <c r="C4169" i="1" s="1"/>
  <c r="F7" i="1"/>
  <c r="C4008" i="1"/>
  <c r="C8" i="1"/>
  <c r="D4007" i="1"/>
  <c r="D7" i="1"/>
  <c r="D4166" i="1"/>
  <c r="F4166" i="1"/>
  <c r="C4197" i="1"/>
  <c r="F4196" i="1"/>
  <c r="D4176" i="1"/>
  <c r="F4176" i="1"/>
  <c r="D1356" i="1"/>
  <c r="F1356" i="1"/>
  <c r="D4167" i="1"/>
  <c r="F4167" i="1"/>
  <c r="C1357" i="1"/>
  <c r="C4178" i="1"/>
  <c r="D4177" i="1"/>
  <c r="S3609" i="1" l="1"/>
  <c r="S2975" i="1"/>
  <c r="S1113" i="1"/>
  <c r="S4463" i="1"/>
  <c r="S2152" i="1"/>
  <c r="S4712" i="1"/>
  <c r="S3152" i="1"/>
  <c r="S1728" i="1"/>
  <c r="S4314" i="1"/>
  <c r="S2240" i="1"/>
  <c r="S1609" i="1"/>
  <c r="S712" i="1"/>
  <c r="S347" i="1"/>
  <c r="S2187" i="1"/>
  <c r="S3175" i="1"/>
  <c r="S4881" i="1"/>
  <c r="S2440" i="1"/>
  <c r="S4959" i="1"/>
  <c r="S312" i="1"/>
  <c r="S3633" i="1"/>
  <c r="S465" i="1"/>
  <c r="S2530" i="1"/>
  <c r="S4409" i="1"/>
  <c r="S641" i="1"/>
  <c r="S89" i="1"/>
  <c r="S1041" i="1"/>
  <c r="S4123" i="1"/>
  <c r="S4599" i="1"/>
  <c r="S4259" i="1"/>
  <c r="S4234" i="1"/>
  <c r="S2442" i="1"/>
  <c r="S1898" i="1"/>
  <c r="S1482" i="1"/>
  <c r="S986" i="1"/>
  <c r="S546" i="1"/>
  <c r="S4898" i="1"/>
  <c r="S4530" i="1"/>
  <c r="S663" i="1"/>
  <c r="S2484" i="1"/>
  <c r="S4327" i="1"/>
  <c r="S2943" i="1"/>
  <c r="S1727" i="1"/>
  <c r="S2780" i="1"/>
  <c r="S4699" i="1"/>
  <c r="S4905" i="1"/>
  <c r="S808" i="1"/>
  <c r="S3569" i="1"/>
  <c r="S3864" i="1"/>
  <c r="S600" i="1"/>
  <c r="S2962" i="1"/>
  <c r="S3353" i="1"/>
  <c r="S4231" i="1"/>
  <c r="S704" i="1"/>
  <c r="S3985" i="1"/>
  <c r="S4474" i="1"/>
  <c r="S1495" i="1"/>
  <c r="S4042" i="1"/>
  <c r="S1010" i="1"/>
  <c r="S3432" i="1"/>
  <c r="S4848" i="1"/>
  <c r="S2795" i="1"/>
  <c r="S2696" i="1"/>
  <c r="S624" i="1"/>
  <c r="S3592" i="1"/>
  <c r="S97" i="1"/>
  <c r="S82" i="1"/>
  <c r="S993" i="1"/>
  <c r="S4315" i="1"/>
  <c r="S4258" i="1"/>
  <c r="S3767" i="1"/>
  <c r="S1999" i="1"/>
  <c r="S4276" i="1"/>
  <c r="S3098" i="1"/>
  <c r="S1738" i="1"/>
  <c r="S4135" i="1"/>
  <c r="S2767" i="1"/>
  <c r="S2111" i="1"/>
  <c r="S1535" i="1"/>
  <c r="S1183" i="1"/>
  <c r="S743" i="1"/>
  <c r="S319" i="1"/>
  <c r="S3170" i="1"/>
  <c r="S4411" i="1"/>
  <c r="S3043" i="1"/>
  <c r="S3417" i="1"/>
  <c r="S3543" i="1"/>
  <c r="S4800" i="1"/>
  <c r="S2561" i="1"/>
  <c r="S4074" i="1"/>
  <c r="S51" i="1"/>
  <c r="S3299" i="1"/>
  <c r="S64" i="1"/>
  <c r="S601" i="1"/>
  <c r="S1699" i="1"/>
  <c r="S3761" i="1"/>
  <c r="S52" i="1"/>
  <c r="S872" i="1"/>
  <c r="S4017" i="1"/>
  <c r="S2616" i="1"/>
  <c r="S2384" i="1"/>
  <c r="S4520" i="1"/>
  <c r="S653" i="1"/>
  <c r="S3154" i="1"/>
  <c r="S4841" i="1"/>
  <c r="S914" i="1"/>
  <c r="S53" i="1"/>
  <c r="S513" i="1"/>
  <c r="S345" i="1"/>
  <c r="S2073" i="1"/>
  <c r="S4535" i="1"/>
  <c r="S4243" i="1"/>
  <c r="S3610" i="1"/>
  <c r="S2410" i="1"/>
  <c r="S1882" i="1"/>
  <c r="S1466" i="1"/>
  <c r="S970" i="1"/>
  <c r="S538" i="1"/>
  <c r="S4850" i="1"/>
  <c r="S4450" i="1"/>
  <c r="S575" i="1"/>
  <c r="S2786" i="1"/>
  <c r="S4399" i="1"/>
  <c r="S3023" i="1"/>
  <c r="S3954" i="1"/>
  <c r="S1103" i="1"/>
  <c r="S4504" i="1"/>
  <c r="S2711" i="1"/>
  <c r="S1351" i="1"/>
  <c r="S4569" i="1"/>
  <c r="S8" i="1"/>
  <c r="S1048" i="1"/>
  <c r="S4185" i="1"/>
  <c r="S115" i="1"/>
  <c r="S1186" i="1"/>
  <c r="S3594" i="1"/>
  <c r="S4920" i="1"/>
  <c r="S1698" i="1"/>
  <c r="S2394" i="1"/>
  <c r="S4650" i="1"/>
  <c r="S1921" i="1"/>
  <c r="S4121" i="1"/>
  <c r="S56" i="1"/>
  <c r="S2809" i="1"/>
  <c r="S225" i="1"/>
  <c r="S1779" i="1"/>
  <c r="S3274" i="1"/>
  <c r="S157" i="1"/>
  <c r="S1625" i="1"/>
  <c r="S705" i="1"/>
  <c r="S3827" i="1"/>
  <c r="S4295" i="1"/>
  <c r="S4075" i="1"/>
  <c r="S3266" i="1"/>
  <c r="S2306" i="1"/>
  <c r="S1834" i="1"/>
  <c r="S1410" i="1"/>
  <c r="S930" i="1"/>
  <c r="S482" i="1"/>
  <c r="S4490" i="1"/>
  <c r="S4239" i="1"/>
  <c r="S370" i="1"/>
  <c r="S1839" i="1"/>
  <c r="S4159" i="1"/>
  <c r="S2743" i="1"/>
  <c r="S1607" i="1"/>
  <c r="S1914" i="1"/>
  <c r="S4443" i="1"/>
  <c r="S4129" i="1"/>
  <c r="S427" i="1"/>
  <c r="S3273" i="1"/>
  <c r="S3376" i="1"/>
  <c r="S232" i="1"/>
  <c r="S2224" i="1"/>
  <c r="S2572" i="1"/>
  <c r="S392" i="1"/>
  <c r="S327" i="1"/>
  <c r="S3768" i="1"/>
  <c r="S200" i="1"/>
  <c r="S928" i="1"/>
  <c r="S3593" i="1"/>
  <c r="S3232" i="1"/>
  <c r="S2455" i="1"/>
  <c r="S4585" i="1"/>
  <c r="S2248" i="1"/>
  <c r="S376" i="1"/>
  <c r="S248" i="1"/>
  <c r="S2857" i="1"/>
  <c r="S141" i="1"/>
  <c r="S1618" i="1"/>
  <c r="S698" i="1"/>
  <c r="S4099" i="1"/>
  <c r="S3743" i="1"/>
  <c r="S4939" i="1"/>
  <c r="S1135" i="1"/>
  <c r="S4746" i="1"/>
  <c r="S2242" i="1"/>
  <c r="S1066" i="1"/>
  <c r="S4007" i="1"/>
  <c r="S2639" i="1"/>
  <c r="S2079" i="1"/>
  <c r="S1487" i="1"/>
  <c r="S1119" i="1"/>
  <c r="S687" i="1"/>
  <c r="S255" i="1"/>
  <c r="S2751" i="1"/>
  <c r="S4115" i="1"/>
  <c r="S2083" i="1"/>
  <c r="S3727" i="1"/>
  <c r="S2775" i="1"/>
  <c r="S4665" i="1"/>
  <c r="S2313" i="1"/>
  <c r="S3143" i="1"/>
  <c r="S4904" i="1"/>
  <c r="S2929" i="1"/>
  <c r="S4619" i="1"/>
  <c r="S241" i="1"/>
  <c r="S1039" i="1"/>
  <c r="S3513" i="1"/>
  <c r="S752" i="1"/>
  <c r="S488" i="1"/>
  <c r="S3560" i="1"/>
  <c r="S20" i="1"/>
  <c r="S1584" i="1"/>
  <c r="S4312" i="1"/>
  <c r="S410" i="1"/>
  <c r="S2376" i="1"/>
  <c r="S4649" i="1"/>
  <c r="S466" i="1"/>
  <c r="S2185" i="1"/>
  <c r="S257" i="1"/>
  <c r="S66" i="1"/>
  <c r="S2057" i="1"/>
  <c r="S4226" i="1"/>
  <c r="S4067" i="1"/>
  <c r="S3178" i="1"/>
  <c r="S2298" i="1"/>
  <c r="S1826" i="1"/>
  <c r="S1402" i="1"/>
  <c r="S922" i="1"/>
  <c r="S458" i="1"/>
  <c r="S4354" i="1"/>
  <c r="S4114" i="1"/>
  <c r="S271" i="1"/>
  <c r="S2210" i="1"/>
  <c r="S4319" i="1"/>
  <c r="S2863" i="1"/>
  <c r="S4577" i="1"/>
  <c r="S720" i="1"/>
  <c r="S3968" i="1"/>
  <c r="S3704" i="1"/>
  <c r="S512" i="1"/>
  <c r="S3448" i="1"/>
  <c r="S1216" i="1"/>
  <c r="S785" i="1"/>
  <c r="S2416" i="1"/>
  <c r="S4632" i="1"/>
  <c r="S1601" i="1"/>
  <c r="S2088" i="1"/>
  <c r="S4464" i="1"/>
  <c r="S1529" i="1"/>
  <c r="S3880" i="1"/>
  <c r="S2749" i="1"/>
  <c r="S3241" i="1"/>
  <c r="S377" i="1"/>
  <c r="S2250" i="1"/>
  <c r="S4617" i="1"/>
  <c r="S129" i="1"/>
  <c r="S1577" i="1"/>
  <c r="S841" i="1"/>
  <c r="S4283" i="1"/>
  <c r="S2081" i="1"/>
  <c r="S4967" i="1"/>
  <c r="S3071" i="1"/>
  <c r="S1012" i="1"/>
  <c r="S3538" i="1"/>
  <c r="S2727" i="1"/>
  <c r="S4961" i="1"/>
  <c r="S851" i="1"/>
  <c r="S4408" i="1"/>
  <c r="S4097" i="1"/>
  <c r="S656" i="1"/>
  <c r="S3913" i="1"/>
  <c r="S2112" i="1"/>
  <c r="S881" i="1"/>
  <c r="S2666" i="1"/>
  <c r="S4689" i="1"/>
  <c r="S1281" i="1"/>
  <c r="S1591" i="1"/>
  <c r="S4209" i="1"/>
  <c r="S1321" i="1"/>
  <c r="S3367" i="1"/>
  <c r="S291" i="1"/>
  <c r="S2617" i="1"/>
  <c r="S616" i="1"/>
  <c r="S1072" i="1"/>
  <c r="S2465" i="1"/>
  <c r="S69" i="1"/>
  <c r="S1409" i="1"/>
  <c r="S242" i="1"/>
  <c r="S3643" i="1"/>
  <c r="S3927" i="1"/>
  <c r="S3964" i="1"/>
  <c r="S3058" i="1"/>
  <c r="S2186" i="1"/>
  <c r="S1786" i="1"/>
  <c r="S1354" i="1"/>
  <c r="S882" i="1"/>
  <c r="S362" i="1"/>
  <c r="S4122" i="1"/>
  <c r="S3919" i="1"/>
  <c r="S4431" i="1"/>
  <c r="S1151" i="1"/>
  <c r="S3975" i="1"/>
  <c r="S2631" i="1"/>
  <c r="S4807" i="1"/>
  <c r="S1362" i="1"/>
  <c r="S4171" i="1"/>
  <c r="S3227" i="1"/>
  <c r="S119" i="1"/>
  <c r="S3025" i="1"/>
  <c r="S2361" i="1"/>
  <c r="S26" i="1"/>
  <c r="S1721" i="1"/>
  <c r="S2161" i="1"/>
  <c r="S4304" i="1"/>
  <c r="S63" i="1"/>
  <c r="S3601" i="1"/>
  <c r="S943" i="1"/>
  <c r="S536" i="1"/>
  <c r="S3337" i="1"/>
  <c r="S771" i="1"/>
  <c r="S1679" i="1"/>
  <c r="S4330" i="1"/>
  <c r="S1865" i="1"/>
  <c r="S4263" i="1"/>
  <c r="S35" i="1"/>
  <c r="S921" i="1"/>
  <c r="S61" i="1"/>
  <c r="S1345" i="1"/>
  <c r="S201" i="1"/>
  <c r="S3811" i="1"/>
  <c r="S3402" i="1"/>
  <c r="S4467" i="1"/>
  <c r="S594" i="1"/>
  <c r="S4130" i="1"/>
  <c r="S4655" i="1"/>
  <c r="S703" i="1"/>
  <c r="S3719" i="1"/>
  <c r="S2567" i="1"/>
  <c r="S2015" i="1"/>
  <c r="S1431" i="1"/>
  <c r="S1079" i="1"/>
  <c r="S647" i="1"/>
  <c r="S4348" i="1"/>
  <c r="S1735" i="1"/>
  <c r="S3859" i="1"/>
  <c r="S1179" i="1"/>
  <c r="S4127" i="1"/>
  <c r="S1960" i="1"/>
  <c r="S4536" i="1"/>
  <c r="S1561" i="1"/>
  <c r="S2336" i="1"/>
  <c r="S4633" i="1"/>
  <c r="S2593" i="1"/>
  <c r="S3129" i="1"/>
  <c r="S3415" i="1"/>
  <c r="S640" i="1"/>
  <c r="S3242" i="1"/>
  <c r="S4064" i="1"/>
  <c r="S151" i="1"/>
  <c r="S3297" i="1"/>
  <c r="S2208" i="1"/>
  <c r="S976" i="1"/>
  <c r="S4137" i="1"/>
  <c r="S153" i="1"/>
  <c r="S1567" i="1"/>
  <c r="S4073" i="1"/>
  <c r="S154" i="1"/>
  <c r="S1641" i="1"/>
  <c r="S42" i="1"/>
  <c r="S78" i="1"/>
  <c r="S2025" i="1"/>
  <c r="S3714" i="1"/>
  <c r="S2844" i="1"/>
  <c r="S2986" i="1"/>
  <c r="S2178" i="1"/>
  <c r="S1778" i="1"/>
  <c r="S1322" i="1"/>
  <c r="S874" i="1"/>
  <c r="S346" i="1"/>
  <c r="S4106" i="1"/>
  <c r="S3863" i="1"/>
  <c r="S4175" i="1"/>
  <c r="S1658" i="1"/>
  <c r="S4055" i="1"/>
  <c r="S2695" i="1"/>
  <c r="S3737" i="1"/>
  <c r="S336" i="1"/>
  <c r="S3809" i="1"/>
  <c r="S2985" i="1"/>
  <c r="S160" i="1"/>
  <c r="S3265" i="1"/>
  <c r="S1323" i="1"/>
  <c r="S545" i="1"/>
  <c r="S1600" i="1"/>
  <c r="S4393" i="1"/>
  <c r="S2895" i="1"/>
  <c r="S1272" i="1"/>
  <c r="S4169" i="1"/>
  <c r="S1266" i="1"/>
  <c r="S4698" i="1"/>
  <c r="S76" i="1"/>
  <c r="S3041" i="1"/>
  <c r="S121" i="1"/>
  <c r="S1479" i="1"/>
  <c r="S4041" i="1"/>
  <c r="S142" i="1"/>
  <c r="S1121" i="1"/>
  <c r="S561" i="1"/>
  <c r="S4019" i="1"/>
  <c r="S4906" i="1"/>
  <c r="S4551" i="1"/>
  <c r="S2583" i="1"/>
  <c r="S660" i="1"/>
  <c r="S3282" i="1"/>
  <c r="S2191" i="1"/>
  <c r="S4439" i="1"/>
  <c r="S2807" i="1"/>
  <c r="S2175" i="1"/>
  <c r="S1583" i="1"/>
  <c r="S1215" i="1"/>
  <c r="S4826" i="1"/>
  <c r="S1785" i="1"/>
  <c r="S4697" i="1"/>
  <c r="S2209" i="1"/>
  <c r="S2489" i="1"/>
  <c r="S4247" i="1"/>
  <c r="S84" i="1"/>
  <c r="S2721" i="1"/>
  <c r="S648" i="1"/>
  <c r="S673" i="1"/>
  <c r="S3320" i="1"/>
  <c r="S457" i="1"/>
  <c r="S62" i="1"/>
  <c r="S4603" i="1"/>
  <c r="S2562" i="1"/>
  <c r="S1034" i="1"/>
  <c r="S586" i="1"/>
  <c r="S1415" i="1"/>
  <c r="S4511" i="1"/>
  <c r="S3039" i="1"/>
  <c r="S2687" i="1"/>
  <c r="S1232" i="1"/>
  <c r="S1000" i="1"/>
  <c r="S3313" i="1"/>
  <c r="S282" i="1"/>
  <c r="S1657" i="1"/>
  <c r="S2290" i="1"/>
  <c r="S3305" i="1"/>
  <c r="S163" i="1"/>
  <c r="S344" i="1"/>
  <c r="S3824" i="1"/>
  <c r="S585" i="1"/>
  <c r="S369" i="1"/>
  <c r="S49" i="1"/>
  <c r="S94" i="1"/>
  <c r="S4583" i="1"/>
  <c r="S4735" i="1"/>
  <c r="S2698" i="1"/>
  <c r="S876" i="1"/>
  <c r="S3298" i="1"/>
  <c r="S2383" i="1"/>
  <c r="S4471" i="1"/>
  <c r="S2855" i="1"/>
  <c r="S2207" i="1"/>
  <c r="S1599" i="1"/>
  <c r="S1223" i="1"/>
  <c r="S815" i="1"/>
  <c r="S375" i="1"/>
  <c r="S3495" i="1"/>
  <c r="S4651" i="1"/>
  <c r="S3387" i="1"/>
  <c r="S2547" i="1"/>
  <c r="S1849" i="1"/>
  <c r="S764" i="1"/>
  <c r="S2977" i="1"/>
  <c r="S2225" i="1"/>
  <c r="S1987" i="1"/>
  <c r="S3529" i="1"/>
  <c r="S1497" i="1"/>
  <c r="S826" i="1"/>
  <c r="S2474" i="1"/>
  <c r="S4400" i="1"/>
  <c r="S3546" i="1"/>
  <c r="S1393" i="1"/>
  <c r="S4176" i="1"/>
  <c r="S825" i="1"/>
  <c r="S3344" i="1"/>
  <c r="S4809" i="1"/>
  <c r="S961" i="1"/>
  <c r="S4232" i="1"/>
  <c r="S116" i="1"/>
  <c r="S2417" i="1"/>
  <c r="S133" i="1"/>
  <c r="S1338" i="1"/>
  <c r="S985" i="1"/>
  <c r="S2153" i="1"/>
  <c r="S468" i="1"/>
  <c r="S4539" i="1"/>
  <c r="S4458" i="1"/>
  <c r="S2522" i="1"/>
  <c r="S1930" i="1"/>
  <c r="S1514" i="1"/>
  <c r="S1026" i="1"/>
  <c r="S570" i="1"/>
  <c r="S2957" i="1"/>
  <c r="S4875" i="1"/>
  <c r="S1068" i="1"/>
  <c r="S3439" i="1"/>
  <c r="S4767" i="1"/>
  <c r="S3135" i="1"/>
  <c r="S3887" i="1"/>
  <c r="S1848" i="1"/>
  <c r="S4659" i="1"/>
  <c r="S1472" i="1"/>
  <c r="S1463" i="1"/>
  <c r="S4282" i="1"/>
  <c r="S856" i="1"/>
  <c r="S1474" i="1"/>
  <c r="S4280" i="1"/>
  <c r="S91" i="1"/>
  <c r="S2337" i="1"/>
  <c r="S3656" i="1"/>
  <c r="S4987" i="1"/>
  <c r="S2577" i="1"/>
  <c r="S111" i="1"/>
  <c r="S528" i="1"/>
  <c r="S3705" i="1"/>
  <c r="S913" i="1"/>
  <c r="S4151" i="1"/>
  <c r="S75" i="1"/>
  <c r="S873" i="1"/>
  <c r="S45" i="1"/>
  <c r="S4200" i="1"/>
  <c r="S472" i="1"/>
  <c r="S3849" i="1"/>
  <c r="S3449" i="1"/>
  <c r="S288" i="1"/>
  <c r="S3624" i="1"/>
  <c r="S184" i="1"/>
  <c r="S649" i="1"/>
  <c r="S1928" i="1"/>
  <c r="S4025" i="1"/>
  <c r="S479" i="1"/>
  <c r="S984" i="1"/>
  <c r="S4049" i="1"/>
  <c r="S1017" i="1"/>
  <c r="S3583" i="1"/>
  <c r="S4873" i="1"/>
  <c r="S2267" i="1"/>
  <c r="S3128" i="1"/>
  <c r="S680" i="1"/>
  <c r="S962" i="1"/>
  <c r="S3804" i="1"/>
  <c r="S1161" i="1"/>
  <c r="S1434" i="1"/>
  <c r="S2033" i="1"/>
  <c r="S3466" i="1"/>
  <c r="S956" i="1"/>
  <c r="S2906" i="1"/>
  <c r="S2154" i="1"/>
  <c r="S1730" i="1"/>
  <c r="S1274" i="1"/>
  <c r="S842" i="1"/>
  <c r="S322" i="1"/>
  <c r="S3866" i="1"/>
  <c r="S3642" i="1"/>
  <c r="S4671" i="1"/>
  <c r="S786" i="1"/>
  <c r="S3759" i="1"/>
  <c r="S2535" i="1"/>
  <c r="S4586" i="1"/>
  <c r="S807" i="1"/>
  <c r="S3931" i="1"/>
  <c r="S2395" i="1"/>
  <c r="S1115" i="1"/>
  <c r="S2601" i="1"/>
  <c r="S4186" i="1"/>
  <c r="S100" i="1"/>
  <c r="S1640" i="1"/>
  <c r="S1545" i="1"/>
  <c r="S4722" i="1"/>
  <c r="S171" i="1"/>
  <c r="S3249" i="1"/>
  <c r="S4465" i="1"/>
  <c r="S176" i="1"/>
  <c r="S2953" i="1"/>
  <c r="S2490" i="1"/>
  <c r="S1024" i="1"/>
  <c r="S4144" i="1"/>
  <c r="S1050" i="1"/>
  <c r="S4514" i="1"/>
  <c r="S156" i="1"/>
  <c r="S473" i="1"/>
  <c r="S2233" i="1"/>
  <c r="S1154" i="1"/>
  <c r="S1337" i="1"/>
  <c r="S3627" i="1"/>
  <c r="S2892" i="1"/>
  <c r="S4202" i="1"/>
  <c r="S351" i="1"/>
  <c r="S4018" i="1"/>
  <c r="S4220" i="1"/>
  <c r="S4983" i="1"/>
  <c r="S3471" i="1"/>
  <c r="S2471" i="1"/>
  <c r="S1943" i="1"/>
  <c r="S1391" i="1"/>
  <c r="S1047" i="1"/>
  <c r="S583" i="1"/>
  <c r="S4787" i="1"/>
  <c r="S1287" i="1"/>
  <c r="S3547" i="1"/>
  <c r="S3339" i="1"/>
  <c r="S2343" i="1"/>
  <c r="S1167" i="1"/>
  <c r="S4225" i="1"/>
  <c r="S1967" i="1"/>
  <c r="S1512" i="1"/>
  <c r="S4433" i="1"/>
  <c r="S2217" i="1"/>
  <c r="S2553" i="1"/>
  <c r="S140" i="1"/>
  <c r="S272" i="1"/>
  <c r="S2940" i="1"/>
  <c r="S2881" i="1"/>
  <c r="S1275" i="1"/>
  <c r="S2625" i="1"/>
  <c r="S280" i="1"/>
  <c r="S576" i="1"/>
  <c r="S3712" i="1"/>
  <c r="S120" i="1"/>
  <c r="S968" i="1"/>
  <c r="S3817" i="1"/>
  <c r="S150" i="1"/>
  <c r="S1169" i="1"/>
  <c r="S897" i="1"/>
  <c r="S4299" i="1"/>
  <c r="S2129" i="1"/>
  <c r="S3354" i="1"/>
  <c r="S900" i="1"/>
  <c r="S2882" i="1"/>
  <c r="S2146" i="1"/>
  <c r="S1722" i="1"/>
  <c r="S1258" i="1"/>
  <c r="S810" i="1"/>
  <c r="S4156" i="1"/>
  <c r="S3850" i="1"/>
  <c r="S3591" i="1"/>
  <c r="S4978" i="1"/>
  <c r="S1042" i="1"/>
  <c r="S3855" i="1"/>
  <c r="S2615" i="1"/>
  <c r="S3153" i="1"/>
  <c r="S71" i="1"/>
  <c r="S3544" i="1"/>
  <c r="S2177" i="1"/>
  <c r="S1347" i="1"/>
  <c r="S2889" i="1"/>
  <c r="S4425" i="1"/>
  <c r="S234" i="1"/>
  <c r="S992" i="1"/>
  <c r="S4256" i="1"/>
  <c r="S155" i="1"/>
  <c r="S824" i="1"/>
  <c r="S3897" i="1"/>
  <c r="S818" i="1"/>
  <c r="S3248" i="1"/>
  <c r="S4784" i="1"/>
  <c r="S2768" i="1"/>
  <c r="S451" i="1"/>
  <c r="S912" i="1"/>
  <c r="S3490" i="1"/>
  <c r="S54" i="1"/>
  <c r="S761" i="1"/>
  <c r="S113" i="1"/>
  <c r="S3787" i="1"/>
  <c r="S4519" i="1"/>
  <c r="S1028" i="1"/>
  <c r="S1714" i="1"/>
  <c r="S3959" i="1"/>
  <c r="S3074" i="1"/>
  <c r="S1634" i="1"/>
  <c r="S4119" i="1"/>
  <c r="S2735" i="1"/>
  <c r="S2103" i="1"/>
  <c r="S1527" i="1"/>
  <c r="S1159" i="1"/>
  <c r="S735" i="1"/>
  <c r="S311" i="1"/>
  <c r="S3455" i="1"/>
  <c r="S4843" i="1"/>
  <c r="S3267" i="1"/>
  <c r="S2707" i="1"/>
  <c r="S267" i="1"/>
  <c r="S3176" i="1"/>
  <c r="S2504" i="1"/>
  <c r="S4648" i="1"/>
  <c r="S1938" i="1"/>
  <c r="S2952" i="1"/>
  <c r="S4257" i="1"/>
  <c r="S560" i="1"/>
  <c r="S1385" i="1"/>
  <c r="S4183" i="1"/>
  <c r="S43" i="1"/>
  <c r="S2297" i="1"/>
  <c r="S3585" i="1"/>
  <c r="S4976" i="1"/>
  <c r="S2571" i="1"/>
  <c r="S4568" i="1"/>
  <c r="S144" i="1"/>
  <c r="S3457" i="1"/>
  <c r="S2439" i="1"/>
  <c r="S1368" i="1"/>
  <c r="S4016" i="1"/>
  <c r="S134" i="1"/>
  <c r="S1009" i="1"/>
  <c r="S209" i="1"/>
  <c r="S34" i="1"/>
  <c r="S1953" i="1"/>
  <c r="S3290" i="1"/>
  <c r="S2496" i="1"/>
  <c r="S1770" i="1"/>
  <c r="S4329" i="1"/>
  <c r="S83" i="1"/>
  <c r="S688" i="1"/>
  <c r="S3889" i="1"/>
  <c r="S4912" i="1"/>
  <c r="S102" i="1"/>
  <c r="S4404" i="1"/>
  <c r="S524" i="1"/>
  <c r="S4554" i="1"/>
  <c r="S1954" i="1"/>
  <c r="S1522" i="1"/>
  <c r="S3783" i="1"/>
  <c r="S4962" i="1"/>
  <c r="S2911" i="1"/>
  <c r="S1807" i="1"/>
  <c r="S3191" i="1"/>
  <c r="S4955" i="1"/>
  <c r="S4008" i="1"/>
  <c r="S2099" i="1"/>
  <c r="S4683" i="1"/>
  <c r="S1088" i="1"/>
  <c r="S4281" i="1"/>
  <c r="S4618" i="1"/>
  <c r="S1314" i="1"/>
  <c r="S3105" i="1"/>
  <c r="S1016" i="1"/>
  <c r="S3321" i="1"/>
  <c r="S139" i="1"/>
  <c r="S3032" i="1"/>
  <c r="S2409" i="1"/>
  <c r="S48" i="1"/>
  <c r="S2969" i="1"/>
  <c r="S4761" i="1"/>
  <c r="S289" i="1"/>
  <c r="S1128" i="1"/>
  <c r="S3833" i="1"/>
  <c r="S1136" i="1"/>
  <c r="S584" i="1"/>
  <c r="S3753" i="1"/>
  <c r="S3784" i="1"/>
  <c r="S2655" i="1"/>
  <c r="S4592" i="1"/>
  <c r="S1913" i="1"/>
  <c r="S544" i="1"/>
  <c r="S304" i="1"/>
  <c r="S530" i="1"/>
  <c r="S1745" i="1"/>
  <c r="S938" i="1"/>
  <c r="S1097" i="1"/>
  <c r="S2001" i="1"/>
  <c r="S3010" i="1"/>
  <c r="S572" i="1"/>
  <c r="S2826" i="1"/>
  <c r="S2114" i="1"/>
  <c r="S1666" i="1"/>
  <c r="S1210" i="1"/>
  <c r="S762" i="1"/>
  <c r="S2548" i="1"/>
  <c r="S3498" i="1"/>
  <c r="S3327" i="1"/>
  <c r="S4255" i="1"/>
  <c r="S231" i="1"/>
  <c r="S3447" i="1"/>
  <c r="S2463" i="1"/>
  <c r="S4386" i="1"/>
  <c r="S266" i="1"/>
  <c r="S3288" i="1"/>
  <c r="S3608" i="1"/>
  <c r="S5003" i="1"/>
  <c r="S2320" i="1"/>
  <c r="S3224" i="1"/>
  <c r="S4296" i="1"/>
  <c r="S4609" i="1"/>
  <c r="S1145" i="1"/>
  <c r="S3480" i="1"/>
  <c r="S4856" i="1"/>
  <c r="S2961" i="1"/>
  <c r="S3009" i="1"/>
  <c r="S1715" i="1"/>
  <c r="S2681" i="1"/>
  <c r="S463" i="1"/>
  <c r="S631" i="1"/>
  <c r="S3865" i="1"/>
  <c r="S666" i="1"/>
  <c r="S3240" i="1"/>
  <c r="S4865" i="1"/>
  <c r="S173" i="1"/>
  <c r="S1689" i="1"/>
  <c r="S849" i="1"/>
  <c r="S1033" i="1"/>
  <c r="S2097" i="1"/>
  <c r="S2367" i="1"/>
  <c r="S3879" i="1"/>
  <c r="S2436" i="1"/>
  <c r="S3826" i="1"/>
  <c r="S3858" i="1"/>
  <c r="S4887" i="1"/>
  <c r="S3167" i="1"/>
  <c r="S2375" i="1"/>
  <c r="S1863" i="1"/>
  <c r="S1359" i="1"/>
  <c r="S991" i="1"/>
  <c r="S511" i="1"/>
  <c r="S4567" i="1"/>
  <c r="S767" i="1"/>
  <c r="S4771" i="1"/>
  <c r="S3067" i="1"/>
  <c r="S4751" i="1"/>
  <c r="S759" i="1"/>
  <c r="S4001" i="1"/>
  <c r="S235" i="1"/>
  <c r="S944" i="1"/>
  <c r="S4289" i="1"/>
  <c r="S1673" i="1"/>
  <c r="S2130" i="1"/>
  <c r="S4272" i="1"/>
  <c r="S40" i="1"/>
  <c r="S2371" i="1"/>
  <c r="S3856" i="1"/>
  <c r="S4993" i="1"/>
  <c r="S2377" i="1"/>
  <c r="S4664" i="1"/>
  <c r="S215" i="1"/>
  <c r="S2529" i="1"/>
  <c r="S2314" i="1"/>
  <c r="S568" i="1"/>
  <c r="S3552" i="1"/>
  <c r="S70" i="1"/>
  <c r="S802" i="1"/>
  <c r="S657" i="1"/>
  <c r="S4091" i="1"/>
  <c r="S3973" i="1"/>
  <c r="S2823" i="1"/>
  <c r="S428" i="1"/>
  <c r="S2778" i="1"/>
  <c r="S2082" i="1"/>
  <c r="S1642" i="1"/>
  <c r="S1202" i="1"/>
  <c r="S754" i="1"/>
  <c r="S2388" i="1"/>
  <c r="S3482" i="1"/>
  <c r="S3127" i="1"/>
  <c r="S4506" i="1"/>
  <c r="S639" i="1"/>
  <c r="S3607" i="1"/>
  <c r="S2511" i="1"/>
  <c r="S4839" i="1"/>
  <c r="S435" i="1"/>
  <c r="S3185" i="1"/>
  <c r="S3911" i="1"/>
  <c r="S12" i="1"/>
  <c r="S2579" i="1"/>
  <c r="S3065" i="1"/>
  <c r="S3088" i="1"/>
  <c r="S592" i="1"/>
  <c r="S3952" i="1"/>
  <c r="S504" i="1"/>
  <c r="S450" i="1"/>
  <c r="S3553" i="1"/>
  <c r="S2160" i="1"/>
  <c r="S2263" i="1"/>
  <c r="S4513" i="1"/>
  <c r="S2473" i="1"/>
  <c r="S2024" i="1"/>
  <c r="S527" i="1"/>
  <c r="S3097" i="1"/>
  <c r="S321" i="1"/>
  <c r="S265" i="1"/>
  <c r="S1289" i="1"/>
  <c r="S3563" i="1"/>
  <c r="S4191" i="1"/>
  <c r="S4759" i="1"/>
  <c r="S967" i="1"/>
  <c r="S4578" i="1"/>
  <c r="S4938" i="1"/>
  <c r="S1004" i="1"/>
  <c r="S3935" i="1"/>
  <c r="S2623" i="1"/>
  <c r="S2063" i="1"/>
  <c r="S1471" i="1"/>
  <c r="S1111" i="1"/>
  <c r="S679" i="1"/>
  <c r="S207" i="1"/>
  <c r="S3063" i="1"/>
  <c r="S4587" i="1"/>
  <c r="S2915" i="1"/>
  <c r="S2491" i="1"/>
  <c r="S4808" i="1"/>
  <c r="S3871" i="1"/>
  <c r="S1753" i="1"/>
  <c r="S4491" i="1"/>
  <c r="S1401" i="1"/>
  <c r="S2127" i="1"/>
  <c r="S4096" i="1"/>
  <c r="S3384" i="1"/>
  <c r="S1025" i="1"/>
  <c r="S3120" i="1"/>
  <c r="S4625" i="1"/>
  <c r="S1866" i="1"/>
  <c r="S2840" i="1"/>
  <c r="S4791" i="1"/>
  <c r="S1473" i="1"/>
  <c r="S3801" i="1"/>
  <c r="S1683" i="1"/>
  <c r="S3235" i="1"/>
  <c r="S4456" i="1"/>
  <c r="S863" i="1"/>
  <c r="S3792" i="1"/>
  <c r="S46" i="1"/>
  <c r="S746" i="1"/>
  <c r="S9" i="1"/>
  <c r="S4228" i="1"/>
  <c r="S4293" i="1"/>
  <c r="S2682" i="1"/>
  <c r="S4783" i="1"/>
  <c r="S2770" i="1"/>
  <c r="S2074" i="1"/>
  <c r="S1626" i="1"/>
  <c r="S1178" i="1"/>
  <c r="S722" i="1"/>
  <c r="S2332" i="1"/>
  <c r="S3410" i="1"/>
  <c r="S2978" i="1"/>
  <c r="S3999" i="1"/>
  <c r="S620" i="1"/>
  <c r="S3399" i="1"/>
  <c r="S3671" i="1"/>
  <c r="S1633" i="1"/>
  <c r="S4641" i="1"/>
  <c r="S2513" i="1"/>
  <c r="S2874" i="1"/>
  <c r="S4736" i="1"/>
  <c r="S2449" i="1"/>
  <c r="S2825" i="1"/>
  <c r="S1768" i="1"/>
  <c r="S496" i="1"/>
  <c r="S3912" i="1"/>
  <c r="S1544" i="1"/>
  <c r="S1122" i="1"/>
  <c r="S4113" i="1"/>
  <c r="S1185" i="1"/>
  <c r="S4242" i="1"/>
  <c r="S4969" i="1"/>
  <c r="S1697" i="1"/>
  <c r="S3618" i="1"/>
  <c r="S4992" i="1"/>
  <c r="S2273" i="1"/>
  <c r="S93" i="1"/>
  <c r="S1490" i="1"/>
  <c r="S81" i="1"/>
  <c r="S1961" i="1"/>
  <c r="S2586" i="1"/>
  <c r="S3394" i="1"/>
  <c r="S1164" i="1"/>
  <c r="S3730" i="1"/>
  <c r="S3255" i="1"/>
  <c r="S4831" i="1"/>
  <c r="S3095" i="1"/>
  <c r="S2327" i="1"/>
  <c r="S1831" i="1"/>
  <c r="S1319" i="1"/>
  <c r="S975" i="1"/>
  <c r="S487" i="1"/>
  <c r="S4687" i="1"/>
  <c r="S1131" i="1"/>
  <c r="S952" i="1"/>
  <c r="S4040" i="1"/>
  <c r="S4193" i="1"/>
  <c r="S753" i="1"/>
  <c r="S3649" i="1"/>
  <c r="S4977" i="1"/>
  <c r="S393" i="1"/>
  <c r="S1306" i="1"/>
  <c r="S4145" i="1"/>
  <c r="S1064" i="1"/>
  <c r="S1081" i="1"/>
  <c r="S3800" i="1"/>
  <c r="S520" i="1"/>
  <c r="S1971" i="1"/>
  <c r="S4457" i="1"/>
  <c r="S1649" i="1"/>
  <c r="S731" i="1"/>
  <c r="S96" i="1"/>
  <c r="S3315" i="1"/>
  <c r="S233" i="1"/>
  <c r="S146" i="1"/>
  <c r="S745" i="1"/>
  <c r="S3915" i="1"/>
  <c r="S1204" i="1"/>
  <c r="S1983" i="1"/>
  <c r="S6" i="1"/>
  <c r="S2555" i="1"/>
  <c r="S1467" i="1"/>
  <c r="S2657" i="1"/>
  <c r="S4440" i="1"/>
  <c r="S147" i="1"/>
  <c r="S2649" i="1"/>
  <c r="S3408" i="1"/>
  <c r="S98" i="1"/>
  <c r="S751" i="1"/>
  <c r="S3331" i="1"/>
  <c r="S4561" i="1"/>
  <c r="S216" i="1"/>
  <c r="S3385" i="1"/>
  <c r="S95" i="1"/>
  <c r="S1799" i="1"/>
  <c r="S4337" i="1"/>
  <c r="S1521" i="1"/>
  <c r="S4792" i="1"/>
  <c r="S55" i="1"/>
  <c r="S185" i="1"/>
  <c r="S1313" i="1"/>
  <c r="S610" i="1"/>
  <c r="S497" i="1"/>
  <c r="S2380" i="1"/>
  <c r="S2386" i="1"/>
  <c r="S3679" i="1"/>
  <c r="S2754" i="1"/>
  <c r="S2042" i="1"/>
  <c r="S1602" i="1"/>
  <c r="S1162" i="1"/>
  <c r="S690" i="1"/>
  <c r="S1156" i="1"/>
  <c r="S3114" i="1"/>
  <c r="S2791" i="1"/>
  <c r="S3874" i="1"/>
  <c r="S4092" i="1"/>
  <c r="S3343" i="1"/>
  <c r="S2335" i="1"/>
  <c r="S3991" i="1"/>
  <c r="S210" i="1"/>
  <c r="S3481" i="1"/>
  <c r="S2888" i="1"/>
  <c r="S4705" i="1"/>
  <c r="S1729" i="1"/>
  <c r="S2424" i="1"/>
  <c r="S4153" i="1"/>
  <c r="S1840" i="1"/>
  <c r="S833" i="1"/>
  <c r="S2559" i="1"/>
  <c r="S4657" i="1"/>
  <c r="S2385" i="1"/>
  <c r="S4178" i="1"/>
  <c r="S36" i="1"/>
  <c r="S2433" i="1"/>
  <c r="S4825" i="1"/>
  <c r="S256" i="1"/>
  <c r="S3578" i="1"/>
  <c r="S417" i="1"/>
  <c r="S2447" i="1"/>
  <c r="S4673" i="1"/>
  <c r="S158" i="1"/>
  <c r="S1265" i="1"/>
  <c r="S569" i="1"/>
  <c r="S401" i="1"/>
  <c r="S1985" i="1"/>
  <c r="S1335" i="1"/>
  <c r="S3626" i="1"/>
  <c r="S1220" i="1"/>
  <c r="S3754" i="1"/>
  <c r="S3458" i="1"/>
  <c r="S4743" i="1"/>
  <c r="S3047" i="1"/>
  <c r="S2295" i="1"/>
  <c r="S1783" i="1"/>
  <c r="S1303" i="1"/>
  <c r="S935" i="1"/>
  <c r="S455" i="1"/>
  <c r="S4367" i="1"/>
  <c r="S3971" i="1"/>
  <c r="S4339" i="1"/>
  <c r="S2851" i="1"/>
  <c r="S3888" i="1"/>
  <c r="S386" i="1"/>
  <c r="S3816" i="1"/>
  <c r="S3777" i="1"/>
  <c r="S552" i="1"/>
  <c r="S4128" i="1"/>
  <c r="S1104" i="1"/>
  <c r="S1481" i="1"/>
  <c r="S4591" i="1"/>
  <c r="S131" i="1"/>
  <c r="S1929" i="1"/>
  <c r="S3016" i="1"/>
  <c r="S4824" i="1"/>
  <c r="S1593" i="1"/>
  <c r="S3993" i="1"/>
  <c r="S16" i="1"/>
  <c r="S2241" i="1"/>
  <c r="S224" i="1"/>
  <c r="S208" i="1"/>
  <c r="S3161" i="1"/>
  <c r="S578" i="1"/>
  <c r="S313" i="1"/>
  <c r="S145" i="1"/>
  <c r="S3803" i="1"/>
  <c r="S1292" i="1"/>
  <c r="S2338" i="1"/>
  <c r="S1228" i="1"/>
  <c r="S2738" i="1"/>
  <c r="S2034" i="1"/>
  <c r="S1594" i="1"/>
  <c r="S1146" i="1"/>
  <c r="S674" i="1"/>
  <c r="S1092" i="1"/>
  <c r="S3090" i="1"/>
  <c r="S2674" i="1"/>
  <c r="S4079" i="1"/>
  <c r="S4020" i="1"/>
  <c r="S3431" i="1"/>
  <c r="S2322" i="1"/>
  <c r="S3407" i="1"/>
  <c r="S4985" i="1"/>
  <c r="S2841" i="1"/>
  <c r="S3080" i="1"/>
  <c r="S4897" i="1"/>
  <c r="S2169" i="1"/>
  <c r="S2497" i="1"/>
  <c r="S4928" i="1"/>
  <c r="S223" i="1"/>
  <c r="S3713" i="1"/>
  <c r="S3808" i="1"/>
  <c r="S128" i="1"/>
  <c r="S3209" i="1"/>
  <c r="S3857" i="1"/>
  <c r="S1480" i="1"/>
  <c r="S4305" i="1"/>
  <c r="S1809" i="1"/>
  <c r="S159" i="1"/>
  <c r="S168" i="1"/>
  <c r="S2753" i="1"/>
  <c r="S58" i="1"/>
  <c r="S1569" i="1"/>
  <c r="S937" i="1"/>
  <c r="S1977" i="1"/>
  <c r="S3703" i="1"/>
  <c r="S4427" i="1"/>
  <c r="S514" i="1"/>
  <c r="S4090" i="1"/>
  <c r="S4466" i="1"/>
  <c r="S615" i="1"/>
  <c r="S3687" i="1"/>
  <c r="S2519" i="1"/>
  <c r="S2007" i="1"/>
  <c r="S1423" i="1"/>
  <c r="S1071" i="1"/>
  <c r="S623" i="1"/>
  <c r="S3708" i="1"/>
  <c r="S2532" i="1"/>
  <c r="S4387" i="1"/>
  <c r="S1907" i="1"/>
  <c r="S2059" i="1"/>
  <c r="S4221" i="1"/>
  <c r="S2999" i="1"/>
  <c r="S1056" i="1"/>
  <c r="S3545" i="1"/>
  <c r="S3770" i="1"/>
  <c r="S19" i="1"/>
  <c r="S2353" i="1"/>
  <c r="S3296" i="1"/>
  <c r="S4915" i="1"/>
  <c r="S2257" i="1"/>
  <c r="S2641" i="1"/>
  <c r="S672" i="1"/>
  <c r="S368" i="1"/>
  <c r="S3001" i="1"/>
  <c r="S3184" i="1"/>
  <c r="S17" i="1"/>
  <c r="S2987" i="1"/>
  <c r="S2944" i="1"/>
  <c r="S1080" i="1"/>
  <c r="S4155" i="1"/>
  <c r="S1057" i="1"/>
  <c r="S4682" i="1"/>
  <c r="S275" i="1"/>
  <c r="S33" i="1"/>
  <c r="S857" i="1"/>
  <c r="S305" i="1"/>
  <c r="S130" i="1"/>
  <c r="S1140" i="1"/>
  <c r="S1791" i="1"/>
  <c r="S4810" i="1"/>
  <c r="S2642" i="1"/>
  <c r="S1994" i="1"/>
  <c r="S1562" i="1"/>
  <c r="S1106" i="1"/>
  <c r="S634" i="1"/>
  <c r="S420" i="1"/>
  <c r="S3026" i="1"/>
  <c r="S2143" i="1"/>
  <c r="S3527" i="1"/>
  <c r="S732" i="1"/>
  <c r="S3159" i="1"/>
  <c r="S1903" i="1"/>
  <c r="S3519" i="1"/>
  <c r="S202" i="1"/>
  <c r="S4391" i="1"/>
  <c r="S2047" i="1"/>
  <c r="S4369" i="1"/>
  <c r="S2505" i="1"/>
  <c r="S1624" i="1"/>
  <c r="S3617" i="1"/>
  <c r="S136" i="1"/>
  <c r="S642" i="1"/>
  <c r="S1823" i="1"/>
  <c r="S4489" i="1"/>
  <c r="S2098" i="1"/>
  <c r="S3106" i="1"/>
  <c r="S4842" i="1"/>
  <c r="S1817" i="1"/>
  <c r="S4057" i="1"/>
  <c r="S37" i="1"/>
  <c r="S3289" i="1"/>
  <c r="S166" i="1"/>
  <c r="S1672" i="1"/>
  <c r="S4080" i="1"/>
  <c r="S86" i="1"/>
  <c r="S809" i="1"/>
  <c r="S298" i="1"/>
  <c r="S73" i="1"/>
  <c r="S2065" i="1"/>
  <c r="S3615" i="1"/>
  <c r="S3306" i="1"/>
  <c r="S1036" i="1"/>
  <c r="S3554" i="1"/>
  <c r="S2834" i="1"/>
  <c r="S4623" i="1"/>
  <c r="S2951" i="1"/>
  <c r="S2255" i="1"/>
  <c r="S1703" i="1"/>
  <c r="S1255" i="1"/>
  <c r="S879" i="1"/>
  <c r="S423" i="1"/>
  <c r="S3930" i="1"/>
  <c r="S4907" i="1"/>
  <c r="S3851" i="1"/>
  <c r="S2723" i="1"/>
  <c r="S3193" i="1"/>
  <c r="S92" i="1"/>
  <c r="S3233" i="1"/>
  <c r="S2991" i="1"/>
  <c r="S191" i="1"/>
  <c r="S3841" i="1"/>
  <c r="S4543" i="1"/>
  <c r="S1138" i="1"/>
  <c r="S3383" i="1"/>
  <c r="S4849" i="1"/>
  <c r="S1650" i="1"/>
  <c r="S2194" i="1"/>
  <c r="S4553" i="1"/>
  <c r="S1273" i="1"/>
  <c r="S4927" i="1"/>
  <c r="S123" i="1"/>
  <c r="S1465" i="1"/>
  <c r="S4224" i="1"/>
  <c r="S15" i="1"/>
  <c r="S2801" i="1"/>
  <c r="S90" i="1"/>
  <c r="S57" i="1"/>
  <c r="S1330" i="1"/>
  <c r="S3579" i="1"/>
  <c r="S1100" i="1"/>
  <c r="S516" i="1"/>
  <c r="S4714" i="1"/>
  <c r="S2610" i="1"/>
  <c r="S1978" i="1"/>
  <c r="S1554" i="1"/>
  <c r="S1090" i="1"/>
  <c r="S626" i="1"/>
  <c r="S4615" i="1"/>
  <c r="S2946" i="1"/>
  <c r="S1810" i="1"/>
  <c r="S3778" i="1"/>
  <c r="S4284" i="1"/>
  <c r="S3335" i="1"/>
  <c r="S3951" i="1"/>
  <c r="S2592" i="1"/>
  <c r="S4793" i="1"/>
  <c r="S2265" i="1"/>
  <c r="S2223" i="1"/>
  <c r="S4401" i="1"/>
  <c r="S1617" i="1"/>
  <c r="S1937" i="1"/>
  <c r="S41" i="1"/>
  <c r="S2121" i="1"/>
  <c r="S2730" i="1"/>
  <c r="S3839" i="1"/>
  <c r="S2372" i="1"/>
  <c r="S3810" i="1"/>
  <c r="S3735" i="1"/>
  <c r="S4879" i="1"/>
  <c r="S3111" i="1"/>
  <c r="S2359" i="1"/>
  <c r="S1847" i="1"/>
  <c r="S1343" i="1"/>
  <c r="S983" i="1"/>
  <c r="S503" i="1"/>
  <c r="S4747" i="1"/>
  <c r="S1194" i="1"/>
  <c r="S3771" i="1"/>
  <c r="S3531" i="1"/>
  <c r="S1259" i="1"/>
  <c r="S1995" i="1"/>
  <c r="S3625" i="1"/>
  <c r="S295" i="1"/>
  <c r="S3537" i="1"/>
  <c r="S3697" i="1"/>
  <c r="S464" i="1"/>
  <c r="S2833" i="1"/>
  <c r="S4217" i="1"/>
  <c r="S162" i="1"/>
  <c r="S936" i="1"/>
  <c r="S3688" i="1"/>
  <c r="S4922" i="1"/>
  <c r="S776" i="1"/>
  <c r="S3872" i="1"/>
  <c r="S1352" i="1"/>
  <c r="S2183" i="1"/>
  <c r="S4481" i="1"/>
  <c r="S2425" i="1"/>
  <c r="S3721" i="1"/>
  <c r="S1611" i="1"/>
  <c r="S2321" i="1"/>
  <c r="S101" i="1"/>
  <c r="S1505" i="1"/>
  <c r="S106" i="1"/>
  <c r="S3779" i="1"/>
  <c r="S4863" i="1"/>
  <c r="S4419" i="1"/>
  <c r="S4410" i="1"/>
  <c r="S2482" i="1"/>
  <c r="S1922" i="1"/>
  <c r="S1506" i="1"/>
  <c r="S1002" i="1"/>
  <c r="S562" i="1"/>
  <c r="S684" i="1"/>
  <c r="S4731" i="1"/>
  <c r="S951" i="1"/>
  <c r="S2644" i="1"/>
  <c r="S4359" i="1"/>
  <c r="S3007" i="1"/>
  <c r="S3577" i="1"/>
  <c r="S239" i="1"/>
  <c r="S3928" i="1"/>
  <c r="S4240" i="1"/>
  <c r="S800" i="1"/>
  <c r="S4089" i="1"/>
  <c r="S296" i="1"/>
  <c r="S1241" i="1"/>
  <c r="S4024" i="1"/>
  <c r="S5001" i="1"/>
  <c r="S3177" i="1"/>
  <c r="S3568" i="1"/>
  <c r="S80" i="1"/>
  <c r="S3113" i="1"/>
  <c r="S4184" i="1"/>
  <c r="S1271" i="1"/>
  <c r="S4248" i="1"/>
  <c r="S1856" i="1"/>
  <c r="S1248" i="1"/>
  <c r="S4161" i="1"/>
  <c r="S126" i="1"/>
  <c r="S1457" i="1"/>
  <c r="S402" i="1"/>
  <c r="S186" i="1"/>
  <c r="S4847" i="1"/>
  <c r="S4292" i="1"/>
  <c r="S1639" i="1"/>
  <c r="S3535" i="1"/>
  <c r="S3018" i="1"/>
  <c r="S1346" i="1"/>
  <c r="S4423" i="1"/>
  <c r="S2799" i="1"/>
  <c r="S2167" i="1"/>
  <c r="S1559" i="1"/>
  <c r="S1207" i="1"/>
  <c r="S791" i="1"/>
  <c r="S359" i="1"/>
  <c r="S3639" i="1"/>
  <c r="S2897" i="1"/>
  <c r="S7" i="1"/>
  <c r="S2745" i="1"/>
  <c r="S4794" i="1"/>
  <c r="S411" i="1"/>
  <c r="S1833" i="1"/>
  <c r="S2312" i="1"/>
  <c r="S4584" i="1"/>
  <c r="S135" i="1"/>
  <c r="S3121" i="1"/>
  <c r="S3257" i="1"/>
  <c r="S60" i="1"/>
  <c r="S2481" i="1"/>
  <c r="S403" i="1"/>
  <c r="S400" i="1"/>
  <c r="S3425" i="1"/>
  <c r="S529" i="1"/>
  <c r="S2810" i="1"/>
  <c r="S4720" i="1"/>
  <c r="S1073" i="1"/>
  <c r="S13" i="1"/>
  <c r="S1250" i="1"/>
  <c r="S1201" i="1"/>
  <c r="S2041" i="1"/>
  <c r="S4356" i="1"/>
  <c r="S4187" i="1"/>
  <c r="S3338" i="1"/>
  <c r="S2330" i="1"/>
  <c r="S1842" i="1"/>
  <c r="S1426" i="1"/>
  <c r="S946" i="1"/>
  <c r="S498" i="1"/>
  <c r="S4658" i="1"/>
  <c r="S4375" i="1"/>
  <c r="S460" i="1"/>
  <c r="S1890" i="1"/>
  <c r="S4279" i="1"/>
  <c r="S2759" i="1"/>
  <c r="S1623" i="1"/>
  <c r="S2018" i="1"/>
  <c r="S4507" i="1"/>
  <c r="S3131" i="1"/>
  <c r="S4538" i="1"/>
  <c r="S716" i="1"/>
  <c r="S3843" i="1"/>
  <c r="S1091" i="1"/>
  <c r="S3059" i="1"/>
  <c r="S3194" i="1"/>
  <c r="S4211" i="1"/>
  <c r="S3834" i="1"/>
  <c r="S1891" i="1"/>
  <c r="S4931" i="1"/>
  <c r="S3906" i="1"/>
  <c r="S2643" i="1"/>
  <c r="S3798" i="1"/>
  <c r="S2078" i="1"/>
  <c r="S3773" i="1"/>
  <c r="S2069" i="1"/>
  <c r="S597" i="1"/>
  <c r="S261" i="1"/>
  <c r="S4954" i="1"/>
  <c r="S1570" i="1"/>
  <c r="S4355" i="1"/>
  <c r="S2899" i="1"/>
  <c r="S3475" i="1"/>
  <c r="S3187" i="1"/>
  <c r="S4754" i="1"/>
  <c r="S2448" i="1"/>
  <c r="S3392" i="1"/>
  <c r="S2632" i="1"/>
  <c r="S2016" i="1"/>
  <c r="S1528" i="1"/>
  <c r="S1619" i="1"/>
  <c r="S603" i="1"/>
  <c r="S2976" i="1"/>
  <c r="S1755" i="1"/>
  <c r="S3837" i="1"/>
  <c r="S2421" i="1"/>
  <c r="S508" i="1"/>
  <c r="S4515" i="1"/>
  <c r="S3211" i="1"/>
  <c r="S1035" i="1"/>
  <c r="S299" i="1"/>
  <c r="S539" i="1"/>
  <c r="S4448" i="1"/>
  <c r="S1736" i="1"/>
  <c r="S4083" i="1"/>
  <c r="S4546" i="1"/>
  <c r="S2104" i="1"/>
  <c r="S4350" i="1"/>
  <c r="S2606" i="1"/>
  <c r="S790" i="1"/>
  <c r="S2605" i="1"/>
  <c r="S1037" i="1"/>
  <c r="S349" i="1"/>
  <c r="S1595" i="1"/>
  <c r="S3155" i="1"/>
  <c r="S1523" i="1"/>
  <c r="S4434" i="1"/>
  <c r="S1603" i="1"/>
  <c r="S3208" i="1"/>
  <c r="S2536" i="1"/>
  <c r="S1912" i="1"/>
  <c r="S1440" i="1"/>
  <c r="S1307" i="1"/>
  <c r="S4752" i="1"/>
  <c r="S2443" i="1"/>
  <c r="S2890" i="1"/>
  <c r="S3789" i="1"/>
  <c r="S2381" i="1"/>
  <c r="S4742" i="1"/>
  <c r="S2411" i="1"/>
  <c r="S4435" i="1"/>
  <c r="S2019" i="1"/>
  <c r="S2867" i="1"/>
  <c r="S3171" i="1"/>
  <c r="S971" i="1"/>
  <c r="S1555" i="1"/>
  <c r="S3096" i="1"/>
  <c r="S2275" i="1"/>
  <c r="S3042" i="1"/>
  <c r="S2902" i="1"/>
  <c r="S1078" i="1"/>
  <c r="S2981" i="1"/>
  <c r="S1389" i="1"/>
  <c r="S413" i="1"/>
  <c r="S1805" i="1"/>
  <c r="S3628" i="1"/>
  <c r="S3372" i="1"/>
  <c r="S3182" i="1"/>
  <c r="S1622" i="1"/>
  <c r="S190" i="1"/>
  <c r="S2453" i="1"/>
  <c r="S1205" i="1"/>
  <c r="S4782" i="1"/>
  <c r="S1237" i="1"/>
  <c r="S2694" i="1"/>
  <c r="S726" i="1"/>
  <c r="S2829" i="1"/>
  <c r="S1229" i="1"/>
  <c r="S4781" i="1"/>
  <c r="S1269" i="1"/>
  <c r="S2517" i="1"/>
  <c r="S1133" i="1"/>
  <c r="S4716" i="1"/>
  <c r="S1694" i="1"/>
  <c r="S1284" i="1"/>
  <c r="S372" i="1"/>
  <c r="S2323" i="1"/>
  <c r="S395" i="1"/>
  <c r="S366" i="1"/>
  <c r="S4725" i="1"/>
  <c r="S2806" i="1"/>
  <c r="S3228" i="1"/>
  <c r="S2712" i="1"/>
  <c r="S4267" i="1"/>
  <c r="S3848" i="1"/>
  <c r="S3515" i="1"/>
  <c r="S2856" i="1"/>
  <c r="S2280" i="1"/>
  <c r="S1696" i="1"/>
  <c r="S1280" i="1"/>
  <c r="S195" i="1"/>
  <c r="S3920" i="1"/>
  <c r="S2938" i="1"/>
  <c r="S2514" i="1"/>
  <c r="S2965" i="1"/>
  <c r="S4902" i="1"/>
  <c r="S4245" i="1"/>
  <c r="S4645" i="1"/>
  <c r="S4110" i="1"/>
  <c r="S2526" i="1"/>
  <c r="S1110" i="1"/>
  <c r="S4772" i="1"/>
  <c r="S1566" i="1"/>
  <c r="S2950" i="1"/>
  <c r="S950" i="1"/>
  <c r="S3133" i="1"/>
  <c r="S1397" i="1"/>
  <c r="S4342" i="1"/>
  <c r="S2670" i="1"/>
  <c r="S654" i="1"/>
  <c r="S3252" i="1"/>
  <c r="S2996" i="1"/>
  <c r="S2556" i="1"/>
  <c r="S2204" i="1"/>
  <c r="S1996" i="1"/>
  <c r="S1740" i="1"/>
  <c r="S1484" i="1"/>
  <c r="S980" i="1"/>
  <c r="S3504" i="1"/>
  <c r="S2545" i="1"/>
  <c r="S4723" i="1"/>
  <c r="S77" i="1"/>
  <c r="S4352" i="1"/>
  <c r="S515" i="1"/>
  <c r="S4201" i="1"/>
  <c r="S2848" i="1"/>
  <c r="S903" i="1"/>
  <c r="S2659" i="1"/>
  <c r="S3664" i="1"/>
  <c r="S1464" i="1"/>
  <c r="S4656" i="1"/>
  <c r="S1665" i="1"/>
  <c r="S354" i="1"/>
  <c r="S4923" i="1"/>
  <c r="S107" i="1"/>
  <c r="S3823" i="1"/>
  <c r="S212" i="1"/>
  <c r="S2960" i="1"/>
  <c r="S2360" i="1"/>
  <c r="S4308" i="1"/>
  <c r="S3181" i="1"/>
  <c r="S2276" i="1"/>
  <c r="S4713" i="1"/>
  <c r="S3828" i="1"/>
  <c r="S3524" i="1"/>
  <c r="S3974" i="1"/>
  <c r="S2502" i="1"/>
  <c r="S4968" i="1"/>
  <c r="S896" i="1"/>
  <c r="S3776" i="1"/>
  <c r="S4377" i="1"/>
  <c r="S1089" i="1"/>
  <c r="S3192" i="1"/>
  <c r="S4785" i="1"/>
  <c r="S1873" i="1"/>
  <c r="S2930" i="1"/>
  <c r="S4817" i="1"/>
  <c r="S2329" i="1"/>
  <c r="S4600" i="1"/>
  <c r="S175" i="1"/>
  <c r="S3497" i="1"/>
  <c r="S633" i="1"/>
  <c r="S3103" i="1"/>
  <c r="S4801" i="1"/>
  <c r="S425" i="1"/>
  <c r="S2171" i="1"/>
  <c r="S449" i="1"/>
  <c r="S22" i="1"/>
  <c r="S2017" i="1"/>
  <c r="S2199" i="1"/>
  <c r="S3463" i="1"/>
  <c r="S1196" i="1"/>
  <c r="S3738" i="1"/>
  <c r="S3346" i="1"/>
  <c r="S4727" i="1"/>
  <c r="S3031" i="1"/>
  <c r="S2287" i="1"/>
  <c r="S1767" i="1"/>
  <c r="S1295" i="1"/>
  <c r="S919" i="1"/>
  <c r="S447" i="1"/>
  <c r="S4527" i="1"/>
  <c r="S652" i="1"/>
  <c r="S4643" i="1"/>
  <c r="S3275" i="1"/>
  <c r="S1059" i="1"/>
  <c r="S755" i="1"/>
  <c r="S3089" i="1"/>
  <c r="S50" i="1"/>
  <c r="S3179" i="1"/>
  <c r="S2904" i="1"/>
  <c r="S138" i="1"/>
  <c r="S2456" i="1"/>
  <c r="S2921" i="1"/>
  <c r="S2362" i="1"/>
  <c r="S543" i="1"/>
  <c r="S3440" i="1"/>
  <c r="S328" i="1"/>
  <c r="S407" i="1"/>
  <c r="S3505" i="1"/>
  <c r="S4786" i="1"/>
  <c r="S1384" i="1"/>
  <c r="S4273" i="1"/>
  <c r="S1761" i="1"/>
  <c r="S3962" i="1"/>
  <c r="S27" i="1"/>
  <c r="S866" i="1"/>
  <c r="S29" i="1"/>
  <c r="S1049" i="1"/>
  <c r="S1282" i="1"/>
  <c r="S3555" i="1"/>
  <c r="S4495" i="1"/>
  <c r="S4203" i="1"/>
  <c r="S3434" i="1"/>
  <c r="S2402" i="1"/>
  <c r="S1850" i="1"/>
  <c r="S1450" i="1"/>
  <c r="S954" i="1"/>
  <c r="S506" i="1"/>
  <c r="S4778" i="1"/>
  <c r="S4412" i="1"/>
  <c r="S495" i="1"/>
  <c r="S2106" i="1"/>
  <c r="S4303" i="1"/>
  <c r="S2847" i="1"/>
  <c r="S2937" i="1"/>
  <c r="S31" i="1"/>
  <c r="S3729" i="1"/>
  <c r="S3665" i="1"/>
  <c r="S424" i="1"/>
  <c r="S3689" i="1"/>
  <c r="S3064" i="1"/>
  <c r="S1018" i="1"/>
  <c r="S3040" i="1"/>
  <c r="S4728" i="1"/>
  <c r="S2769" i="1"/>
  <c r="S2585" i="1"/>
  <c r="S331" i="1"/>
  <c r="S2873" i="1"/>
  <c r="S1320" i="1"/>
  <c r="S823" i="1"/>
  <c r="S3977" i="1"/>
  <c r="S4607" i="1"/>
  <c r="S817" i="1"/>
  <c r="S4009" i="1"/>
  <c r="S38" i="1"/>
  <c r="S953" i="1"/>
  <c r="S182" i="1"/>
  <c r="S4212" i="1"/>
  <c r="S4383" i="1"/>
  <c r="S4719" i="1"/>
  <c r="S895" i="1"/>
  <c r="S4522" i="1"/>
  <c r="S4874" i="1"/>
  <c r="S948" i="1"/>
  <c r="S4095" i="1"/>
  <c r="S2719" i="1"/>
  <c r="S2095" i="1"/>
  <c r="S1511" i="1"/>
  <c r="S1143" i="1"/>
  <c r="S711" i="1"/>
  <c r="S303" i="1"/>
  <c r="S3319" i="1"/>
  <c r="S4215" i="1"/>
  <c r="S108" i="1"/>
  <c r="S2506" i="1"/>
  <c r="S3512" i="1"/>
  <c r="S4729" i="1"/>
  <c r="S3312" i="1"/>
  <c r="S1713" i="1"/>
  <c r="S3295" i="1"/>
  <c r="S955" i="1"/>
  <c r="S2633" i="1"/>
  <c r="S4706" i="1"/>
  <c r="S164" i="1"/>
  <c r="S2193" i="1"/>
  <c r="S4472" i="1"/>
  <c r="S103" i="1"/>
  <c r="S3201" i="1"/>
  <c r="S273" i="1"/>
  <c r="S1968" i="1"/>
  <c r="S4505" i="1"/>
  <c r="S593" i="1"/>
  <c r="S1857" i="1"/>
  <c r="S1001" i="1"/>
  <c r="S609" i="1"/>
  <c r="S1993" i="1"/>
  <c r="S4002" i="1"/>
  <c r="S4100" i="1"/>
  <c r="S3138" i="1"/>
  <c r="S2258" i="1"/>
  <c r="S1794" i="1"/>
  <c r="S1370" i="1"/>
  <c r="S890" i="1"/>
  <c r="S394" i="1"/>
  <c r="S4170" i="1"/>
  <c r="S3956" i="1"/>
  <c r="S4943" i="1"/>
  <c r="S1327" i="1"/>
  <c r="S4031" i="1"/>
  <c r="S2647" i="1"/>
  <c r="S4871" i="1"/>
  <c r="S1458" i="1"/>
  <c r="S4275" i="1"/>
  <c r="S2431" i="1"/>
  <c r="S4298" i="1"/>
  <c r="S250" i="1"/>
  <c r="S2982" i="1"/>
  <c r="S2339" i="1"/>
  <c r="S2843" i="1"/>
  <c r="S4029" i="1"/>
  <c r="S3323" i="1"/>
  <c r="S3586" i="1"/>
  <c r="S1403" i="1"/>
  <c r="S3819" i="1"/>
  <c r="S3696" i="1"/>
  <c r="S2243" i="1"/>
  <c r="S3598" i="1"/>
  <c r="S1798" i="1"/>
  <c r="S3517" i="1"/>
  <c r="S1909" i="1"/>
  <c r="S533" i="1"/>
  <c r="S2599" i="1"/>
  <c r="S4711" i="1"/>
  <c r="S1082" i="1"/>
  <c r="S4027" i="1"/>
  <c r="S1811" i="1"/>
  <c r="S3219" i="1"/>
  <c r="S1939" i="1"/>
  <c r="S4498" i="1"/>
  <c r="S1752" i="1"/>
  <c r="S3264" i="1"/>
  <c r="S2552" i="1"/>
  <c r="S1920" i="1"/>
  <c r="S1448" i="1"/>
  <c r="S1379" i="1"/>
  <c r="S4816" i="1"/>
  <c r="S2507" i="1"/>
  <c r="S2914" i="1"/>
  <c r="S3637" i="1"/>
  <c r="S2237" i="1"/>
  <c r="S306" i="1"/>
  <c r="S4051" i="1"/>
  <c r="S2979" i="1"/>
  <c r="S611" i="1"/>
  <c r="S3442" i="1"/>
  <c r="S211" i="1"/>
  <c r="S4288" i="1"/>
  <c r="S1163" i="1"/>
  <c r="S3139" i="1"/>
  <c r="S4306" i="1"/>
  <c r="S1571" i="1"/>
  <c r="S4150" i="1"/>
  <c r="S2422" i="1"/>
  <c r="S582" i="1"/>
  <c r="S2397" i="1"/>
  <c r="S885" i="1"/>
  <c r="S317" i="1"/>
  <c r="S651" i="1"/>
  <c r="S2971" i="1"/>
  <c r="S4936" i="1"/>
  <c r="S4266" i="1"/>
  <c r="S1011" i="1"/>
  <c r="S3056" i="1"/>
  <c r="S2464" i="1"/>
  <c r="S1832" i="1"/>
  <c r="S1400" i="1"/>
  <c r="S995" i="1"/>
  <c r="S4496" i="1"/>
  <c r="S2008" i="1"/>
  <c r="S2794" i="1"/>
  <c r="S3589" i="1"/>
  <c r="S2181" i="1"/>
  <c r="S4678" i="1"/>
  <c r="S1675" i="1"/>
  <c r="S3459" i="1"/>
  <c r="S1291" i="1"/>
  <c r="S2235" i="1"/>
  <c r="S2896" i="1"/>
  <c r="S627" i="1"/>
  <c r="S4930" i="1"/>
  <c r="S3369" i="1"/>
  <c r="S1864" i="1"/>
  <c r="S2202" i="1"/>
  <c r="S2702" i="1"/>
  <c r="S886" i="1"/>
  <c r="S2709" i="1"/>
  <c r="S1165" i="1"/>
  <c r="S381" i="1"/>
  <c r="S3924" i="1"/>
  <c r="S3596" i="1"/>
  <c r="S4334" i="1"/>
  <c r="S2926" i="1"/>
  <c r="S1478" i="1"/>
  <c r="S3781" i="1"/>
  <c r="S2301" i="1"/>
  <c r="S1053" i="1"/>
  <c r="S4718" i="1"/>
  <c r="S4254" i="1"/>
  <c r="S2446" i="1"/>
  <c r="S534" i="1"/>
  <c r="S2629" i="1"/>
  <c r="S1069" i="1"/>
  <c r="S4717" i="1"/>
  <c r="S374" i="1"/>
  <c r="S2309" i="1"/>
  <c r="S917" i="1"/>
  <c r="S4652" i="1"/>
  <c r="S4269" i="1"/>
  <c r="S820" i="1"/>
  <c r="S340" i="1"/>
  <c r="S412" i="1"/>
  <c r="S3200" i="1"/>
  <c r="S2866" i="1"/>
  <c r="S4052" i="1"/>
  <c r="S1462" i="1"/>
  <c r="S3100" i="1"/>
  <c r="S4595" i="1"/>
  <c r="S3443" i="1"/>
  <c r="S3600" i="1"/>
  <c r="S1651" i="1"/>
  <c r="S2784" i="1"/>
  <c r="S2192" i="1"/>
  <c r="S1656" i="1"/>
  <c r="S1184" i="1"/>
  <c r="S4093" i="1"/>
  <c r="S3720" i="1"/>
  <c r="S2291" i="1"/>
  <c r="S2426" i="1"/>
  <c r="S2805" i="1"/>
  <c r="S4838" i="1"/>
  <c r="S3989" i="1"/>
  <c r="S4581" i="1"/>
  <c r="S3918" i="1"/>
  <c r="S2310" i="1"/>
  <c r="S918" i="1"/>
  <c r="S4708" i="1"/>
  <c r="S4374" i="1"/>
  <c r="S2758" i="1"/>
  <c r="S750" i="1"/>
  <c r="S2741" i="1"/>
  <c r="S1245" i="1"/>
  <c r="S4134" i="1"/>
  <c r="S2406" i="1"/>
  <c r="S382" i="1"/>
  <c r="S3220" i="1"/>
  <c r="S2964" i="1"/>
  <c r="S2492" i="1"/>
  <c r="S2172" i="1"/>
  <c r="S1964" i="1"/>
  <c r="S1708" i="1"/>
  <c r="S1452" i="1"/>
  <c r="S996" i="1"/>
  <c r="S714" i="1"/>
  <c r="S3840" i="1"/>
  <c r="S719" i="1"/>
  <c r="S329" i="1"/>
  <c r="S1984" i="1"/>
  <c r="S4233" i="1"/>
  <c r="S1120" i="1"/>
  <c r="S929" i="1"/>
  <c r="S68" i="1"/>
  <c r="S4385" i="1"/>
  <c r="S1193" i="1"/>
  <c r="S2879" i="1"/>
  <c r="S2824" i="1"/>
  <c r="S2808" i="1"/>
  <c r="S1217" i="1"/>
  <c r="S3842" i="1"/>
  <c r="S4402" i="1"/>
  <c r="S187" i="1"/>
  <c r="S3169" i="1"/>
  <c r="S2408" i="1"/>
  <c r="S2139" i="1"/>
  <c r="S3606" i="1"/>
  <c r="S1621" i="1"/>
  <c r="S2596" i="1"/>
  <c r="S738" i="1"/>
  <c r="S3788" i="1"/>
  <c r="S3492" i="1"/>
  <c r="S4575" i="1"/>
  <c r="S2919" i="1"/>
  <c r="S2239" i="1"/>
  <c r="S1687" i="1"/>
  <c r="S1247" i="1"/>
  <c r="S847" i="1"/>
  <c r="S415" i="1"/>
  <c r="S4271" i="1"/>
  <c r="S258" i="1"/>
  <c r="S4165" i="1"/>
  <c r="S3003" i="1"/>
  <c r="S699" i="1"/>
  <c r="S3450" i="1"/>
  <c r="S4647" i="1"/>
  <c r="S180" i="1"/>
  <c r="S2793" i="1"/>
  <c r="S2002" i="1"/>
  <c r="S987" i="1"/>
  <c r="S1881" i="1"/>
  <c r="S2441" i="1"/>
  <c r="S4858" i="1"/>
  <c r="S183" i="1"/>
  <c r="S3217" i="1"/>
  <c r="S3728" i="1"/>
  <c r="S104" i="1"/>
  <c r="S3195" i="1"/>
  <c r="S1608" i="1"/>
  <c r="S864" i="1"/>
  <c r="S3984" i="1"/>
  <c r="S1225" i="1"/>
  <c r="S3000" i="1"/>
  <c r="S4537" i="1"/>
  <c r="S418" i="1"/>
  <c r="S2050" i="1"/>
  <c r="S713" i="1"/>
  <c r="S889" i="1"/>
  <c r="S2145" i="1"/>
  <c r="S4143" i="1"/>
  <c r="S4148" i="1"/>
  <c r="S3162" i="1"/>
  <c r="S2274" i="1"/>
  <c r="S1802" i="1"/>
  <c r="S1378" i="1"/>
  <c r="S906" i="1"/>
  <c r="S442" i="1"/>
  <c r="S4290" i="1"/>
  <c r="S4039" i="1"/>
  <c r="S3740" i="1"/>
  <c r="S1439" i="1"/>
  <c r="S4047" i="1"/>
  <c r="S2679" i="1"/>
  <c r="S4447" i="1"/>
  <c r="S148" i="1"/>
  <c r="S3489" i="1"/>
  <c r="S2849" i="1"/>
  <c r="S112" i="1"/>
  <c r="S3435" i="1"/>
  <c r="S840" i="1"/>
  <c r="S737" i="1"/>
  <c r="S2200" i="1"/>
  <c r="S4593" i="1"/>
  <c r="S2256" i="1"/>
  <c r="S3474" i="1"/>
  <c r="S4937" i="1"/>
  <c r="S2537" i="1"/>
  <c r="S979" i="1"/>
  <c r="S448" i="1"/>
  <c r="S3673" i="1"/>
  <c r="S1456" i="1"/>
  <c r="S440" i="1"/>
  <c r="S3785" i="1"/>
  <c r="S281" i="1"/>
  <c r="S625" i="1"/>
  <c r="S1297" i="1"/>
  <c r="S4179" i="1"/>
  <c r="S4084" i="1"/>
  <c r="S4394" i="1"/>
  <c r="S476" i="1"/>
  <c r="S4066" i="1"/>
  <c r="S4370" i="1"/>
  <c r="S490" i="1"/>
  <c r="S3847" i="1"/>
  <c r="S2591" i="1"/>
  <c r="S2055" i="1"/>
  <c r="S1455" i="1"/>
  <c r="S1095" i="1"/>
  <c r="S671" i="1"/>
  <c r="S199" i="1"/>
  <c r="S2970" i="1"/>
  <c r="S3151" i="1"/>
  <c r="S4840" i="1"/>
  <c r="S1889" i="1"/>
  <c r="S2703" i="1"/>
  <c r="S4529" i="1"/>
  <c r="S72" i="1"/>
  <c r="S1234" i="1"/>
  <c r="S3890" i="1"/>
  <c r="S4952" i="1"/>
  <c r="S2249" i="1"/>
  <c r="S3360" i="1"/>
  <c r="S4913" i="1"/>
  <c r="S1418" i="1"/>
  <c r="S3488" i="1"/>
  <c r="S883" i="1"/>
  <c r="S2865" i="1"/>
  <c r="S1240" i="1"/>
  <c r="S1176" i="1"/>
  <c r="S4112" i="1"/>
  <c r="S378" i="1"/>
  <c r="S1417" i="1"/>
  <c r="S361" i="1"/>
  <c r="S169" i="1"/>
  <c r="S1945" i="1"/>
  <c r="S3631" i="1"/>
  <c r="S1020" i="1"/>
  <c r="S2922" i="1"/>
  <c r="S2162" i="1"/>
  <c r="S1746" i="1"/>
  <c r="S1290" i="1"/>
  <c r="S850" i="1"/>
  <c r="S330" i="1"/>
  <c r="S3994" i="1"/>
  <c r="S3695" i="1"/>
  <c r="S4811" i="1"/>
  <c r="S908" i="1"/>
  <c r="S3815" i="1"/>
  <c r="S2543" i="1"/>
  <c r="S4666" i="1"/>
  <c r="S927" i="1"/>
  <c r="S3987" i="1"/>
  <c r="S2039" i="1"/>
  <c r="S3807" i="1"/>
  <c r="S194" i="1"/>
  <c r="S4707" i="1"/>
  <c r="S1547" i="1"/>
  <c r="S2715" i="1"/>
  <c r="S1451" i="1"/>
  <c r="S2675" i="1"/>
  <c r="S3112" i="1"/>
  <c r="S939" i="1"/>
  <c r="S3243" i="1"/>
  <c r="S3472" i="1"/>
  <c r="S2027" i="1"/>
  <c r="S3318" i="1"/>
  <c r="S1494" i="1"/>
  <c r="S3317" i="1"/>
  <c r="S1685" i="1"/>
  <c r="S469" i="1"/>
  <c r="S2495" i="1"/>
  <c r="S4479" i="1"/>
  <c r="S522" i="1"/>
  <c r="S3755" i="1"/>
  <c r="S891" i="1"/>
  <c r="S2995" i="1"/>
  <c r="S355" i="1"/>
  <c r="S4322" i="1"/>
  <c r="S1203" i="1"/>
  <c r="S3136" i="1"/>
  <c r="S2488" i="1"/>
  <c r="S1872" i="1"/>
  <c r="S1408" i="1"/>
  <c r="S1067" i="1"/>
  <c r="S4560" i="1"/>
  <c r="S2115" i="1"/>
  <c r="S2802" i="1"/>
  <c r="S3477" i="1"/>
  <c r="S2430" i="1"/>
  <c r="S4779" i="1"/>
  <c r="S3539" i="1"/>
  <c r="S2763" i="1"/>
  <c r="S467" i="1"/>
  <c r="S3314" i="1"/>
  <c r="S4488" i="1"/>
  <c r="S3978" i="1"/>
  <c r="S2147" i="1"/>
  <c r="S859" i="1"/>
  <c r="S4138" i="1"/>
  <c r="S763" i="1"/>
  <c r="S3950" i="1"/>
  <c r="S2222" i="1"/>
  <c r="S270" i="1"/>
  <c r="S2197" i="1"/>
  <c r="S717" i="1"/>
  <c r="S285" i="1"/>
  <c r="S1747" i="1"/>
  <c r="S2755" i="1"/>
  <c r="S4424" i="1"/>
  <c r="S3960" i="1"/>
  <c r="S4739" i="1"/>
  <c r="S2968" i="1"/>
  <c r="S2352" i="1"/>
  <c r="S1792" i="1"/>
  <c r="S1336" i="1"/>
  <c r="S803" i="1"/>
  <c r="S4285" i="1"/>
  <c r="S1339" i="1"/>
  <c r="S2658" i="1"/>
  <c r="S3421" i="1"/>
  <c r="S2253" i="1"/>
  <c r="S4614" i="1"/>
  <c r="S1299" i="1"/>
  <c r="S2219" i="1"/>
  <c r="S899" i="1"/>
  <c r="S4832" i="1"/>
  <c r="S2640" i="1"/>
  <c r="S379" i="1"/>
  <c r="S4674" i="1"/>
  <c r="S4921" i="1"/>
  <c r="S1085" i="1"/>
  <c r="S4246" i="1"/>
  <c r="S2518" i="1"/>
  <c r="S678" i="1"/>
  <c r="S2501" i="1"/>
  <c r="S957" i="1"/>
  <c r="S333" i="1"/>
  <c r="S3884" i="1"/>
  <c r="S3564" i="1"/>
  <c r="S4174" i="1"/>
  <c r="S2734" i="1"/>
  <c r="S1246" i="1"/>
  <c r="S3605" i="1"/>
  <c r="S2101" i="1"/>
  <c r="S869" i="1"/>
  <c r="S4654" i="1"/>
  <c r="S4030" i="1"/>
  <c r="S2166" i="1"/>
  <c r="S342" i="1"/>
  <c r="S2437" i="1"/>
  <c r="S861" i="1"/>
  <c r="S4653" i="1"/>
  <c r="S3765" i="1"/>
  <c r="S2133" i="1"/>
  <c r="S749" i="1"/>
  <c r="S4588" i="1"/>
  <c r="S4013" i="1"/>
  <c r="S756" i="1"/>
  <c r="S668" i="1"/>
  <c r="S628" i="1"/>
  <c r="S2584" i="1"/>
  <c r="S2266" i="1"/>
  <c r="S3446" i="1"/>
  <c r="S3805" i="1"/>
  <c r="S2924" i="1"/>
  <c r="S264" i="1"/>
  <c r="S2739" i="1"/>
  <c r="S3160" i="1"/>
  <c r="S3528" i="1"/>
  <c r="S2680" i="1"/>
  <c r="S2128" i="1"/>
  <c r="S1576" i="1"/>
  <c r="S1915" i="1"/>
  <c r="S3291" i="1"/>
  <c r="S3530" i="1"/>
  <c r="S2075" i="1"/>
  <c r="S2590" i="1"/>
  <c r="S2637" i="1"/>
  <c r="S4774" i="1"/>
  <c r="S4365" i="1"/>
  <c r="S4517" i="1"/>
  <c r="S3742" i="1"/>
  <c r="S2094" i="1"/>
  <c r="S694" i="1"/>
  <c r="S4644" i="1"/>
  <c r="S4166" i="1"/>
  <c r="S2438" i="1"/>
  <c r="S550" i="1"/>
  <c r="S2533" i="1"/>
  <c r="S1021" i="1"/>
  <c r="S3942" i="1"/>
  <c r="S2102" i="1"/>
  <c r="S4341" i="1"/>
  <c r="S3188" i="1"/>
  <c r="S2916" i="1"/>
  <c r="S2444" i="1"/>
  <c r="S2140" i="1"/>
  <c r="S1932" i="1"/>
  <c r="S1676" i="1"/>
  <c r="S1420" i="1"/>
  <c r="S1441" i="1"/>
  <c r="S459" i="1"/>
  <c r="S4521" i="1"/>
  <c r="S4154" i="1"/>
  <c r="S2626" i="1"/>
  <c r="S697" i="1"/>
  <c r="S945" i="1"/>
  <c r="S3207" i="1"/>
  <c r="S2418" i="1"/>
  <c r="S137" i="1"/>
  <c r="S1911" i="1"/>
  <c r="S1475" i="1"/>
  <c r="S553" i="1"/>
  <c r="S4672" i="1"/>
  <c r="S67" i="1"/>
  <c r="S898" i="1"/>
  <c r="S1065" i="1"/>
  <c r="S2305" i="1"/>
  <c r="S4924" i="1"/>
  <c r="S1243" i="1"/>
  <c r="S1952" i="1"/>
  <c r="S2746" i="1"/>
  <c r="S1814" i="1"/>
  <c r="S4324" i="1"/>
  <c r="S1812" i="1"/>
  <c r="S229" i="1"/>
  <c r="S3748" i="1"/>
  <c r="S3460" i="1"/>
  <c r="S3638" i="1"/>
  <c r="S2110" i="1"/>
  <c r="S718" i="1"/>
  <c r="S3085" i="1"/>
  <c r="S1605" i="1"/>
  <c r="S4958" i="1"/>
  <c r="S4446" i="1"/>
  <c r="S3358" i="1"/>
  <c r="S1390" i="1"/>
  <c r="S3445" i="1"/>
  <c r="S1741" i="1"/>
  <c r="S4957" i="1"/>
  <c r="S4445" i="1"/>
  <c r="S2869" i="1"/>
  <c r="S1421" i="1"/>
  <c r="S4828" i="1"/>
  <c r="S3772" i="1"/>
  <c r="S2900" i="1"/>
  <c r="S484" i="1"/>
  <c r="S228" i="1"/>
  <c r="S2400" i="1"/>
  <c r="S2349" i="1"/>
  <c r="S4222" i="1"/>
  <c r="S2704" i="1"/>
  <c r="S3107" i="1"/>
  <c r="S2822" i="1"/>
  <c r="S3292" i="1"/>
  <c r="S249" i="1"/>
  <c r="S4502" i="1"/>
  <c r="S4757" i="1"/>
  <c r="S4406" i="1"/>
  <c r="S2910" i="1"/>
  <c r="S1398" i="1"/>
  <c r="S4948" i="1"/>
  <c r="S4389" i="1"/>
  <c r="S799" i="1"/>
  <c r="S367" i="1"/>
  <c r="S3791" i="1"/>
  <c r="S3875" i="1"/>
  <c r="S3739" i="1"/>
  <c r="S2827" i="1"/>
  <c r="S499" i="1"/>
  <c r="S3967" i="1"/>
  <c r="S3311" i="1"/>
  <c r="S4769" i="1"/>
  <c r="S2520" i="1"/>
  <c r="S3751" i="1"/>
  <c r="S4857" i="1"/>
  <c r="S1553" i="1"/>
  <c r="S1825" i="1"/>
  <c r="S3690" i="1"/>
  <c r="S1827" i="1"/>
  <c r="S2817" i="1"/>
  <c r="S2777" i="1"/>
  <c r="S483" i="1"/>
  <c r="S2913" i="1"/>
  <c r="S24" i="1"/>
  <c r="S481" i="1"/>
  <c r="S3680" i="1"/>
  <c r="S865" i="1"/>
  <c r="S2176" i="1"/>
  <c r="S4168" i="1"/>
  <c r="S122" i="1"/>
  <c r="S1513" i="1"/>
  <c r="S409" i="1"/>
  <c r="S193" i="1"/>
  <c r="S2009" i="1"/>
  <c r="S3663" i="1"/>
  <c r="S1324" i="1"/>
  <c r="S2954" i="1"/>
  <c r="S2170" i="1"/>
  <c r="S1754" i="1"/>
  <c r="S1298" i="1"/>
  <c r="S858" i="1"/>
  <c r="S338" i="1"/>
  <c r="S4010" i="1"/>
  <c r="S3799" i="1"/>
  <c r="S4903" i="1"/>
  <c r="S964" i="1"/>
  <c r="S3831" i="1"/>
  <c r="S3647" i="1"/>
  <c r="S3231" i="1"/>
  <c r="S4864" i="1"/>
  <c r="S3145" i="1"/>
  <c r="S1897" i="1"/>
  <c r="S747" i="1"/>
  <c r="S3137" i="1"/>
  <c r="S44" i="1"/>
  <c r="S433" i="1"/>
  <c r="S1416" i="1"/>
  <c r="S4360" i="1"/>
  <c r="S1769" i="1"/>
  <c r="S2663" i="1"/>
  <c r="S4760" i="1"/>
  <c r="S2289" i="1"/>
  <c r="S4503" i="1"/>
  <c r="S127" i="1"/>
  <c r="S2905" i="1"/>
  <c r="S1859" i="1"/>
  <c r="S125" i="1"/>
  <c r="S3329" i="1"/>
  <c r="S18" i="1"/>
  <c r="S177" i="1"/>
  <c r="S801" i="1"/>
  <c r="S3955" i="1"/>
  <c r="S3644" i="1"/>
  <c r="S3972" i="1"/>
  <c r="S3965" i="1"/>
  <c r="S3946" i="1"/>
  <c r="S3970" i="1"/>
  <c r="S2884" i="1"/>
  <c r="S3503" i="1"/>
  <c r="S2503" i="1"/>
  <c r="S1991" i="1"/>
  <c r="S1407" i="1"/>
  <c r="S1063" i="1"/>
  <c r="S607" i="1"/>
  <c r="S2852" i="1"/>
  <c r="S4911" i="1"/>
  <c r="S2346" i="1"/>
  <c r="S4601" i="1"/>
  <c r="S4855" i="1"/>
  <c r="S1959" i="1"/>
  <c r="S4328" i="1"/>
  <c r="S2568" i="1"/>
  <c r="S977" i="1"/>
  <c r="S2936" i="1"/>
  <c r="S4528" i="1"/>
  <c r="S1762" i="1"/>
  <c r="S2554" i="1"/>
  <c r="S4753" i="1"/>
  <c r="S1137" i="1"/>
  <c r="S4167" i="1"/>
  <c r="S4929" i="1"/>
  <c r="S2673" i="1"/>
  <c r="S3904" i="1"/>
  <c r="S768" i="1"/>
  <c r="S3969" i="1"/>
  <c r="S118" i="1"/>
  <c r="S905" i="1"/>
  <c r="S170" i="1"/>
  <c r="S174" i="1"/>
  <c r="S1969" i="1"/>
  <c r="S3202" i="1"/>
  <c r="S612" i="1"/>
  <c r="S2842" i="1"/>
  <c r="S2122" i="1"/>
  <c r="S1682" i="1"/>
  <c r="S1226" i="1"/>
  <c r="S770" i="1"/>
  <c r="S2788" i="1"/>
  <c r="S3522" i="1"/>
  <c r="S3375" i="1"/>
  <c r="S4351" i="1"/>
  <c r="S474" i="1"/>
  <c r="S3559" i="1"/>
  <c r="S2479" i="1"/>
  <c r="S4420" i="1"/>
  <c r="S263" i="1"/>
  <c r="S3707" i="1"/>
  <c r="S1887" i="1"/>
  <c r="S3479" i="1"/>
  <c r="S3891" i="1"/>
  <c r="S4291" i="1"/>
  <c r="S1195" i="1"/>
  <c r="S2539" i="1"/>
  <c r="S1211" i="1"/>
  <c r="S1955" i="1"/>
  <c r="S2835" i="1"/>
  <c r="S579" i="1"/>
  <c r="S947" i="1"/>
  <c r="S3008" i="1"/>
  <c r="S1771" i="1"/>
  <c r="S3102" i="1"/>
  <c r="S1230" i="1"/>
  <c r="S3117" i="1"/>
  <c r="S1509" i="1"/>
  <c r="S437" i="1"/>
  <c r="S2399" i="1"/>
  <c r="S4199" i="1"/>
  <c r="S226" i="1"/>
  <c r="S206" i="1"/>
  <c r="S2131" i="1"/>
  <c r="S2771" i="1"/>
  <c r="S4563" i="1"/>
  <c r="S3992" i="1"/>
  <c r="S4995" i="1"/>
  <c r="S2984" i="1"/>
  <c r="S2368" i="1"/>
  <c r="S1808" i="1"/>
  <c r="S1360" i="1"/>
  <c r="S835" i="1"/>
  <c r="S4320" i="1"/>
  <c r="S1587" i="1"/>
  <c r="S2706" i="1"/>
  <c r="S3277" i="1"/>
  <c r="S462" i="1"/>
  <c r="S4523" i="1"/>
  <c r="S3163" i="1"/>
  <c r="S2667" i="1"/>
  <c r="S243" i="1"/>
  <c r="S3186" i="1"/>
  <c r="S3979" i="1"/>
  <c r="S3746" i="1"/>
  <c r="S1787" i="1"/>
  <c r="S4675" i="1"/>
  <c r="S3882" i="1"/>
  <c r="S2523" i="1"/>
  <c r="S3750" i="1"/>
  <c r="S1966" i="1"/>
  <c r="S3725" i="1"/>
  <c r="S2029" i="1"/>
  <c r="S565" i="1"/>
  <c r="S253" i="1"/>
  <c r="S1435" i="1"/>
  <c r="S2611" i="1"/>
  <c r="S3899" i="1"/>
  <c r="S3736" i="1"/>
  <c r="S4035" i="1"/>
  <c r="S2872" i="1"/>
  <c r="S2296" i="1"/>
  <c r="S1744" i="1"/>
  <c r="S1296" i="1"/>
  <c r="S523" i="1"/>
  <c r="S4101" i="1"/>
  <c r="S667" i="1"/>
  <c r="S2546" i="1"/>
  <c r="S3229" i="1"/>
  <c r="S373" i="1"/>
  <c r="S4550" i="1"/>
  <c r="S1107" i="1"/>
  <c r="S1331" i="1"/>
  <c r="S619" i="1"/>
  <c r="S4576" i="1"/>
  <c r="S2136" i="1"/>
  <c r="S4421" i="1"/>
  <c r="S4376" i="1"/>
  <c r="S4088" i="1"/>
  <c r="S3034" i="1"/>
  <c r="S4046" i="1"/>
  <c r="S2318" i="1"/>
  <c r="S414" i="1"/>
  <c r="S2293" i="1"/>
  <c r="S797" i="1"/>
  <c r="S301" i="1"/>
  <c r="S3844" i="1"/>
  <c r="S3532" i="1"/>
  <c r="S4014" i="1"/>
  <c r="S2534" i="1"/>
  <c r="S1086" i="1"/>
  <c r="S3437" i="1"/>
  <c r="S1925" i="1"/>
  <c r="S733" i="1"/>
  <c r="S4590" i="1"/>
  <c r="S3822" i="1"/>
  <c r="S1958" i="1"/>
  <c r="S3917" i="1"/>
  <c r="S2165" i="1"/>
  <c r="S701" i="1"/>
  <c r="S4589" i="1"/>
  <c r="S3581" i="1"/>
  <c r="S1965" i="1"/>
  <c r="S605" i="1"/>
  <c r="S4524" i="1"/>
  <c r="S2789" i="1"/>
  <c r="S692" i="1"/>
  <c r="S332" i="1"/>
  <c r="S308" i="1"/>
  <c r="S2048" i="1"/>
  <c r="S3909" i="1"/>
  <c r="S2574" i="1"/>
  <c r="S1981" i="1"/>
  <c r="S2500" i="1"/>
  <c r="S3640" i="1"/>
  <c r="S2203" i="1"/>
  <c r="S2883" i="1"/>
  <c r="S3400" i="1"/>
  <c r="S2648" i="1"/>
  <c r="S2040" i="1"/>
  <c r="S1536" i="1"/>
  <c r="S1659" i="1"/>
  <c r="S1123" i="1"/>
  <c r="S3019" i="1"/>
  <c r="S1819" i="1"/>
  <c r="S3885" i="1"/>
  <c r="S2469" i="1"/>
  <c r="S4710" i="1"/>
  <c r="S4965" i="1"/>
  <c r="S4453" i="1"/>
  <c r="S3558" i="1"/>
  <c r="S1934" i="1"/>
  <c r="S518" i="1"/>
  <c r="S4580" i="1"/>
  <c r="S3958" i="1"/>
  <c r="S2190" i="1"/>
  <c r="S318" i="1"/>
  <c r="S2317" i="1"/>
  <c r="S813" i="1"/>
  <c r="S3734" i="1"/>
  <c r="S1854" i="1"/>
  <c r="S4076" i="1"/>
  <c r="S3156" i="1"/>
  <c r="S2860" i="1"/>
  <c r="S2404" i="1"/>
  <c r="S2108" i="1"/>
  <c r="S1900" i="1"/>
  <c r="S1644" i="1"/>
  <c r="S1388" i="1"/>
  <c r="S617" i="1"/>
  <c r="S3401" i="1"/>
  <c r="S408" i="1"/>
  <c r="S2705" i="1"/>
  <c r="S1585" i="1"/>
  <c r="S416" i="1"/>
  <c r="S165" i="1"/>
  <c r="S2728" i="1"/>
  <c r="S3017" i="1"/>
  <c r="S114" i="1"/>
  <c r="S240" i="1"/>
  <c r="S4192" i="1"/>
  <c r="S521" i="1"/>
  <c r="S4721" i="1"/>
  <c r="S2457" i="1"/>
  <c r="S110" i="1"/>
  <c r="S2993" i="1"/>
  <c r="S1777" i="1"/>
  <c r="S4476" i="1"/>
  <c r="S2563" i="1"/>
  <c r="S1504" i="1"/>
  <c r="S3373" i="1"/>
  <c r="S398" i="1"/>
  <c r="S3582" i="1"/>
  <c r="S1556" i="1"/>
  <c r="S2350" i="1"/>
  <c r="S3700" i="1"/>
  <c r="S3428" i="1"/>
  <c r="S3470" i="1"/>
  <c r="S1950" i="1"/>
  <c r="S558" i="1"/>
  <c r="S2933" i="1"/>
  <c r="S1477" i="1"/>
  <c r="S4894" i="1"/>
  <c r="S4236" i="1"/>
  <c r="S3150" i="1"/>
  <c r="S724" i="1"/>
  <c r="S2858" i="1"/>
  <c r="S2138" i="1"/>
  <c r="S1706" i="1"/>
  <c r="S1242" i="1"/>
  <c r="S794" i="1"/>
  <c r="S3900" i="1"/>
  <c r="S3666" i="1"/>
  <c r="S3423" i="1"/>
  <c r="S4426" i="1"/>
  <c r="S551" i="1"/>
  <c r="S3575" i="1"/>
  <c r="S4975" i="1"/>
  <c r="S2432" i="1"/>
  <c r="S4762" i="1"/>
  <c r="S2752" i="1"/>
  <c r="S3602" i="1"/>
  <c r="S4953" i="1"/>
  <c r="S2785" i="1"/>
  <c r="S4177" i="1"/>
  <c r="S149" i="1"/>
  <c r="S880" i="1"/>
  <c r="S4152" i="1"/>
  <c r="S1433" i="1"/>
  <c r="S1919" i="1"/>
  <c r="S4345" i="1"/>
  <c r="S1425" i="1"/>
  <c r="S3521" i="1"/>
  <c r="S1212" i="1"/>
  <c r="S2713" i="1"/>
  <c r="S3561" i="1"/>
  <c r="S1139" i="1"/>
  <c r="S2609" i="1"/>
  <c r="S4085" i="1"/>
  <c r="S1737" i="1"/>
  <c r="S441" i="1"/>
  <c r="S3691" i="1"/>
  <c r="S3226" i="1"/>
  <c r="S3762" i="1"/>
  <c r="S1340" i="1"/>
  <c r="S3802" i="1"/>
  <c r="S3655" i="1"/>
  <c r="S4935" i="1"/>
  <c r="S3247" i="1"/>
  <c r="S2407" i="1"/>
  <c r="S1895" i="1"/>
  <c r="S1375" i="1"/>
  <c r="S1023" i="1"/>
  <c r="S535" i="1"/>
  <c r="S4895" i="1"/>
  <c r="S3239" i="1"/>
  <c r="S1519" i="1"/>
  <c r="S4441" i="1"/>
  <c r="S432" i="1"/>
  <c r="S1160" i="1"/>
  <c r="S4026" i="1"/>
  <c r="S599" i="1"/>
  <c r="S730" i="1"/>
  <c r="S2096" i="1"/>
  <c r="S4353" i="1"/>
  <c r="S1377" i="1"/>
  <c r="S1800" i="1"/>
  <c r="S4081" i="1"/>
  <c r="S681" i="1"/>
  <c r="S2928" i="1"/>
  <c r="S4667" i="1"/>
  <c r="S2066" i="1"/>
  <c r="S1096" i="1"/>
  <c r="S399" i="1"/>
  <c r="S3752" i="1"/>
  <c r="S30" i="1"/>
  <c r="S577" i="1"/>
  <c r="S1209" i="1"/>
  <c r="S4147" i="1"/>
  <c r="S2732" i="1"/>
  <c r="S2551" i="1"/>
  <c r="S4455" i="1"/>
  <c r="S2762" i="1"/>
  <c r="S2058" i="1"/>
  <c r="S1610" i="1"/>
  <c r="S1170" i="1"/>
  <c r="S706" i="1"/>
  <c r="S1332" i="1"/>
  <c r="S3210" i="1"/>
  <c r="S2839" i="1"/>
  <c r="S3938" i="1"/>
  <c r="S4157" i="1"/>
  <c r="S3359" i="1"/>
  <c r="S2351" i="1"/>
  <c r="S4111" i="1"/>
  <c r="S218" i="1"/>
  <c r="S4963" i="1"/>
  <c r="S1775" i="1"/>
  <c r="S3087" i="1"/>
  <c r="S4891" i="1"/>
  <c r="S3763" i="1"/>
  <c r="S963" i="1"/>
  <c r="S4872" i="1"/>
  <c r="S819" i="1"/>
  <c r="S4768" i="1"/>
  <c r="S2608" i="1"/>
  <c r="S259" i="1"/>
  <c r="S4866" i="1"/>
  <c r="S2619" i="1"/>
  <c r="S1152" i="1"/>
  <c r="S2846" i="1"/>
  <c r="S1030" i="1"/>
  <c r="S2925" i="1"/>
  <c r="S1349" i="1"/>
  <c r="S405" i="1"/>
  <c r="S2023" i="1"/>
  <c r="S3706" i="1"/>
  <c r="S3715" i="1"/>
  <c r="S4579" i="1"/>
  <c r="S1507" i="1"/>
  <c r="S2683" i="1"/>
  <c r="S4037" i="1"/>
  <c r="S3760" i="1"/>
  <c r="S4195" i="1"/>
  <c r="S2880" i="1"/>
  <c r="S2304" i="1"/>
  <c r="S1760" i="1"/>
  <c r="S1304" i="1"/>
  <c r="S643" i="1"/>
  <c r="S4160" i="1"/>
  <c r="S787" i="1"/>
  <c r="S2570" i="1"/>
  <c r="S3101" i="1"/>
  <c r="S2544" i="1"/>
  <c r="S4331" i="1"/>
  <c r="S2779" i="1"/>
  <c r="S2459" i="1"/>
  <c r="S4691" i="1"/>
  <c r="S2195" i="1"/>
  <c r="S3099" i="1"/>
  <c r="S3427" i="1"/>
  <c r="S1371" i="1"/>
  <c r="S3683" i="1"/>
  <c r="S3672" i="1"/>
  <c r="S2179" i="1"/>
  <c r="S3454" i="1"/>
  <c r="S1742" i="1"/>
  <c r="S3469" i="1"/>
  <c r="S1861" i="1"/>
  <c r="S493" i="1"/>
  <c r="S221" i="1"/>
  <c r="S1083" i="1"/>
  <c r="S2451" i="1"/>
  <c r="S3011" i="1"/>
  <c r="S3416" i="1"/>
  <c r="S3051" i="1"/>
  <c r="S2816" i="1"/>
  <c r="S2232" i="1"/>
  <c r="S1680" i="1"/>
  <c r="S1256" i="1"/>
  <c r="S4483" i="1"/>
  <c r="S3832" i="1"/>
  <c r="S2475" i="1"/>
  <c r="S2466" i="1"/>
  <c r="S3061" i="1"/>
  <c r="S4998" i="1"/>
  <c r="S4486" i="1"/>
  <c r="S739" i="1"/>
  <c r="S3506" i="1"/>
  <c r="S371" i="1"/>
  <c r="S4378" i="1"/>
  <c r="S1443" i="1"/>
  <c r="S3571" i="1"/>
  <c r="S4218" i="1"/>
  <c r="S3225" i="1"/>
  <c r="S2307" i="1"/>
  <c r="S3854" i="1"/>
  <c r="S2126" i="1"/>
  <c r="S3829" i="1"/>
  <c r="S2125" i="1"/>
  <c r="S637" i="1"/>
  <c r="S269" i="1"/>
  <c r="S3796" i="1"/>
  <c r="S3500" i="1"/>
  <c r="S3846" i="1"/>
  <c r="S2374" i="1"/>
  <c r="S926" i="1"/>
  <c r="S3285" i="1"/>
  <c r="S1773" i="1"/>
  <c r="S589" i="1"/>
  <c r="S4526" i="1"/>
  <c r="S3614" i="1"/>
  <c r="S1686" i="1"/>
  <c r="S3709" i="1"/>
  <c r="S1973" i="1"/>
  <c r="S509" i="1"/>
  <c r="S4525" i="1"/>
  <c r="S3357" i="1"/>
  <c r="S1797" i="1"/>
  <c r="S4972" i="1"/>
  <c r="S4460" i="1"/>
  <c r="S4396" i="1"/>
  <c r="S596" i="1"/>
  <c r="S300" i="1"/>
  <c r="S1667" i="1"/>
  <c r="S1616" i="1"/>
  <c r="S2837" i="1"/>
  <c r="S1318" i="1"/>
  <c r="S621" i="1"/>
  <c r="S1908" i="1"/>
  <c r="S2107" i="1"/>
  <c r="S4818" i="1"/>
  <c r="S2624" i="1"/>
  <c r="S3272" i="1"/>
  <c r="S2560" i="1"/>
  <c r="S1936" i="1"/>
  <c r="S1488" i="1"/>
  <c r="S1419" i="1"/>
  <c r="S4880" i="1"/>
  <c r="S2635" i="1"/>
  <c r="S1563" i="1"/>
  <c r="S3693" i="1"/>
  <c r="S2285" i="1"/>
  <c r="S4646" i="1"/>
  <c r="S4901" i="1"/>
  <c r="S4244" i="1"/>
  <c r="S3390" i="1"/>
  <c r="S1766" i="1"/>
  <c r="S350" i="1"/>
  <c r="S4516" i="1"/>
  <c r="S3766" i="1"/>
  <c r="S1982" i="1"/>
  <c r="S422" i="1"/>
  <c r="S2109" i="1"/>
  <c r="S573" i="1"/>
  <c r="S3542" i="1"/>
  <c r="S1518" i="1"/>
  <c r="S2046" i="1"/>
  <c r="S3124" i="1"/>
  <c r="S2772" i="1"/>
  <c r="S2348" i="1"/>
  <c r="S2076" i="1"/>
  <c r="S1868" i="1"/>
  <c r="S1612" i="1"/>
  <c r="S1316" i="1"/>
  <c r="S1353" i="1"/>
  <c r="S1369" i="1"/>
  <c r="S904" i="1"/>
  <c r="S59" i="1"/>
  <c r="S3937" i="1"/>
  <c r="S2697" i="1"/>
  <c r="S537" i="1"/>
  <c r="S4216" i="1"/>
  <c r="S4497" i="1"/>
  <c r="S178" i="1"/>
  <c r="S1695" i="1"/>
  <c r="S179" i="1"/>
  <c r="S14" i="1"/>
  <c r="S2472" i="1"/>
  <c r="S2401" i="1"/>
  <c r="S2521" i="1"/>
  <c r="S4888" i="1"/>
  <c r="S3361" i="1"/>
  <c r="S4077" i="1"/>
  <c r="S1355" i="1"/>
  <c r="S1763" i="1"/>
  <c r="S2093" i="1"/>
  <c r="S4724" i="1"/>
  <c r="S3356" i="1"/>
  <c r="S3616" i="1"/>
  <c r="S2990" i="1"/>
  <c r="S3660" i="1"/>
  <c r="S3396" i="1"/>
  <c r="S3302" i="1"/>
  <c r="S1790" i="1"/>
  <c r="S286" i="1"/>
  <c r="S2573" i="1"/>
  <c r="S1341" i="1"/>
  <c r="S4830" i="1"/>
  <c r="S3980" i="1"/>
  <c r="S2838" i="1"/>
  <c r="S966" i="1"/>
  <c r="S3037" i="1"/>
  <c r="S1413" i="1"/>
  <c r="S4829" i="1"/>
  <c r="S3933" i="1"/>
  <c r="S2461" i="1"/>
  <c r="S1045" i="1"/>
  <c r="S4700" i="1"/>
  <c r="S4205" i="1"/>
  <c r="S852" i="1"/>
  <c r="S364" i="1"/>
  <c r="S3932" i="1"/>
  <c r="S2218" i="1"/>
  <c r="S549" i="1"/>
  <c r="S2974" i="1"/>
  <c r="S2656" i="1"/>
  <c r="S2634" i="1"/>
  <c r="S4852" i="1"/>
  <c r="S2700" i="1"/>
  <c r="S4886" i="1"/>
  <c r="S4181" i="1"/>
  <c r="S4629" i="1"/>
  <c r="S4062" i="1"/>
  <c r="S2478" i="1"/>
  <c r="S1062" i="1"/>
  <c r="S4820" i="1"/>
  <c r="S2893" i="1"/>
  <c r="S3142" i="1"/>
  <c r="S1094" i="1"/>
  <c r="S4834" i="1"/>
  <c r="S2650" i="1"/>
  <c r="S2010" i="1"/>
  <c r="S1578" i="1"/>
  <c r="S1114" i="1"/>
  <c r="S650" i="1"/>
  <c r="S604" i="1"/>
  <c r="S3050" i="1"/>
  <c r="S2311" i="1"/>
  <c r="S3567" i="1"/>
  <c r="S1148" i="1"/>
  <c r="S3271" i="1"/>
  <c r="S1951" i="1"/>
  <c r="S3623" i="1"/>
  <c r="S290" i="1"/>
  <c r="S4451" i="1"/>
  <c r="S1711" i="1"/>
  <c r="S2690" i="1"/>
  <c r="S4635" i="1"/>
  <c r="S3371" i="1"/>
  <c r="S635" i="1"/>
  <c r="S4379" i="1"/>
  <c r="S587" i="1"/>
  <c r="S4512" i="1"/>
  <c r="S2043" i="1"/>
  <c r="S4219" i="1"/>
  <c r="S4610" i="1"/>
  <c r="S2211" i="1"/>
  <c r="S4398" i="1"/>
  <c r="S2646" i="1"/>
  <c r="S838" i="1"/>
  <c r="S2661" i="1"/>
  <c r="S1125" i="1"/>
  <c r="S357" i="1"/>
  <c r="S1871" i="1"/>
  <c r="S3362" i="1"/>
  <c r="S3619" i="1"/>
  <c r="S4107" i="1"/>
  <c r="S1155" i="1"/>
  <c r="S2467" i="1"/>
  <c r="S3203" i="1"/>
  <c r="S3536" i="1"/>
  <c r="S3259" i="1"/>
  <c r="S2832" i="1"/>
  <c r="S2272" i="1"/>
  <c r="S1688" i="1"/>
  <c r="S1264" i="1"/>
  <c r="S4803" i="1"/>
  <c r="S3896" i="1"/>
  <c r="S2595" i="1"/>
  <c r="S2498" i="1"/>
  <c r="S2917" i="1"/>
  <c r="S2159" i="1"/>
  <c r="S4003" i="1"/>
  <c r="S1739" i="1"/>
  <c r="S1931" i="1"/>
  <c r="S3923" i="1"/>
  <c r="S1411" i="1"/>
  <c r="S2515" i="1"/>
  <c r="S3072" i="1"/>
  <c r="S867" i="1"/>
  <c r="S3035" i="1"/>
  <c r="S3352" i="1"/>
  <c r="S1963" i="1"/>
  <c r="S3262" i="1"/>
  <c r="S1374" i="1"/>
  <c r="S3261" i="1"/>
  <c r="S1637" i="1"/>
  <c r="S461" i="1"/>
  <c r="S454" i="1"/>
  <c r="S723" i="1"/>
  <c r="S4616" i="1"/>
  <c r="S2483" i="1"/>
  <c r="S3024" i="1"/>
  <c r="S443" i="1"/>
  <c r="S2744" i="1"/>
  <c r="S2168" i="1"/>
  <c r="S1632" i="1"/>
  <c r="S2419" i="1"/>
  <c r="S3659" i="1"/>
  <c r="S3658" i="1"/>
  <c r="S2163" i="1"/>
  <c r="S2370" i="1"/>
  <c r="S2877" i="1"/>
  <c r="S4934" i="1"/>
  <c r="S4373" i="1"/>
  <c r="S531" i="1"/>
  <c r="S3378" i="1"/>
  <c r="S4755" i="1"/>
  <c r="S4162" i="1"/>
  <c r="S227" i="1"/>
  <c r="S1979" i="1"/>
  <c r="S3976" i="1"/>
  <c r="S3929" i="1"/>
  <c r="S2091" i="1"/>
  <c r="S3646" i="1"/>
  <c r="S1846" i="1"/>
  <c r="S3565" i="1"/>
  <c r="S1949" i="1"/>
  <c r="S541" i="1"/>
  <c r="S237" i="1"/>
  <c r="S3756" i="1"/>
  <c r="S3468" i="1"/>
  <c r="S3662" i="1"/>
  <c r="S2150" i="1"/>
  <c r="S758" i="1"/>
  <c r="S3125" i="1"/>
  <c r="S1645" i="1"/>
  <c r="S4974" i="1"/>
  <c r="S4462" i="1"/>
  <c r="S3414" i="1"/>
  <c r="S1422" i="1"/>
  <c r="S3501" i="1"/>
  <c r="S1789" i="1"/>
  <c r="S4973" i="1"/>
  <c r="S4461" i="1"/>
  <c r="S3165" i="1"/>
  <c r="S1629" i="1"/>
  <c r="S4908" i="1"/>
  <c r="S4252" i="1"/>
  <c r="S4140" i="1"/>
  <c r="S548" i="1"/>
  <c r="S268" i="1"/>
  <c r="S4499" i="1"/>
  <c r="S1192" i="1"/>
  <c r="S4982" i="1"/>
  <c r="S222" i="1"/>
  <c r="S3990" i="1"/>
  <c r="S1684" i="1"/>
  <c r="S779" i="1"/>
  <c r="S4562" i="1"/>
  <c r="S2120" i="1"/>
  <c r="S3144" i="1"/>
  <c r="S2512" i="1"/>
  <c r="S1888" i="1"/>
  <c r="S1424" i="1"/>
  <c r="S1099" i="1"/>
  <c r="S4624" i="1"/>
  <c r="S2259" i="1"/>
  <c r="S2818" i="1"/>
  <c r="S3509" i="1"/>
  <c r="S3981" i="1"/>
  <c r="S4582" i="1"/>
  <c r="S4837" i="1"/>
  <c r="S3988" i="1"/>
  <c r="S3214" i="1"/>
  <c r="S1606" i="1"/>
  <c r="S4964" i="1"/>
  <c r="S4452" i="1"/>
  <c r="S3574" i="1"/>
  <c r="S1782" i="1"/>
  <c r="S3749" i="1"/>
  <c r="S1941" i="1"/>
  <c r="S4260" i="1"/>
  <c r="S3326" i="1"/>
  <c r="S1262" i="1"/>
  <c r="S3348" i="1"/>
  <c r="S3092" i="1"/>
  <c r="S2724" i="1"/>
  <c r="S2300" i="1"/>
  <c r="S2044" i="1"/>
  <c r="S1836" i="1"/>
  <c r="S1580" i="1"/>
  <c r="S1244" i="1"/>
  <c r="S65" i="1"/>
  <c r="S3433" i="1"/>
  <c r="S2689" i="1"/>
  <c r="S4098" i="1"/>
  <c r="S736" i="1"/>
  <c r="S3953" i="1"/>
  <c r="S3281" i="1"/>
  <c r="S1032" i="1"/>
  <c r="S3391" i="1"/>
  <c r="S969" i="1"/>
  <c r="S1329" i="1"/>
  <c r="S4608" i="1"/>
  <c r="S74" i="1"/>
  <c r="S1705" i="1"/>
  <c r="S2226" i="1"/>
  <c r="S3745" i="1"/>
  <c r="S3256" i="1"/>
  <c r="S335" i="1"/>
  <c r="S700" i="1"/>
  <c r="S4882" i="1"/>
  <c r="S715" i="1"/>
  <c r="S4726" i="1"/>
  <c r="S4261" i="1"/>
  <c r="S3132" i="1"/>
  <c r="S4889" i="1"/>
  <c r="S1093" i="1"/>
  <c r="S3620" i="1"/>
  <c r="S3364" i="1"/>
  <c r="S3134" i="1"/>
  <c r="S1590" i="1"/>
  <c r="S3893" i="1"/>
  <c r="S2429" i="1"/>
  <c r="S1181" i="1"/>
  <c r="S4766" i="1"/>
  <c r="S4072" i="1"/>
  <c r="S1015" i="1"/>
  <c r="S1344" i="1"/>
  <c r="S3769" i="1"/>
  <c r="S999" i="1"/>
  <c r="S778" i="1"/>
  <c r="S2303" i="1"/>
  <c r="S4249" i="1"/>
  <c r="S1537" i="1"/>
  <c r="S1976" i="1"/>
  <c r="S4417" i="1"/>
  <c r="S1233" i="1"/>
  <c r="S4544" i="1"/>
  <c r="S28" i="1"/>
  <c r="S2945" i="1"/>
  <c r="S1712" i="1"/>
  <c r="S480" i="1"/>
  <c r="S3033" i="1"/>
  <c r="S314" i="1"/>
  <c r="S217" i="1"/>
  <c r="S834" i="1"/>
  <c r="S4235" i="1"/>
  <c r="S1260" i="1"/>
  <c r="S2151" i="1"/>
  <c r="S5002" i="1"/>
  <c r="S2714" i="1"/>
  <c r="S2026" i="1"/>
  <c r="S1586" i="1"/>
  <c r="S1130" i="1"/>
  <c r="S658" i="1"/>
  <c r="S892" i="1"/>
  <c r="S3066" i="1"/>
  <c r="S2434" i="1"/>
  <c r="S3711" i="1"/>
  <c r="S2948" i="1"/>
  <c r="S3303" i="1"/>
  <c r="S32" i="1"/>
  <c r="S1008" i="1"/>
  <c r="S4473" i="1"/>
  <c r="S1386" i="1"/>
  <c r="S2032" i="1"/>
  <c r="S4555" i="1"/>
  <c r="S1874" i="1"/>
  <c r="S2393" i="1"/>
  <c r="S4737" i="1"/>
  <c r="S152" i="1"/>
  <c r="S3681" i="1"/>
  <c r="S4776" i="1"/>
  <c r="S744" i="1"/>
  <c r="S3825" i="1"/>
  <c r="S729" i="1"/>
  <c r="S3104" i="1"/>
  <c r="S4681" i="1"/>
  <c r="S1218" i="1"/>
  <c r="S2927" i="1"/>
  <c r="S4745" i="1"/>
  <c r="S689" i="1"/>
  <c r="S21" i="1"/>
  <c r="S1257" i="1"/>
  <c r="S1249" i="1"/>
  <c r="S2113" i="1"/>
  <c r="S2119" i="1"/>
  <c r="S2935" i="1"/>
  <c r="S972" i="1"/>
  <c r="S3418" i="1"/>
  <c r="S2607" i="1"/>
  <c r="S4695" i="1"/>
  <c r="S2983" i="1"/>
  <c r="S2279" i="1"/>
  <c r="S1751" i="1"/>
  <c r="S1279" i="1"/>
  <c r="S911" i="1"/>
  <c r="S439" i="1"/>
  <c r="S4442" i="1"/>
  <c r="S4297" i="1"/>
  <c r="S559" i="1"/>
  <c r="S3921" i="1"/>
  <c r="S3632" i="1"/>
  <c r="S384" i="1"/>
  <c r="S3073" i="1"/>
  <c r="S4032" i="1"/>
  <c r="S117" i="1"/>
  <c r="S832" i="1"/>
  <c r="S3905" i="1"/>
  <c r="S4384" i="1"/>
  <c r="S696" i="1"/>
  <c r="S3451" i="1"/>
  <c r="S3599" i="1"/>
  <c r="S1199" i="1"/>
  <c r="S4241" i="1"/>
  <c r="S1177" i="1"/>
  <c r="S3015" i="1"/>
  <c r="S843" i="1"/>
  <c r="S2931" i="1"/>
  <c r="S181" i="1"/>
  <c r="S1681" i="1"/>
  <c r="S434" i="1"/>
  <c r="S3667" i="1"/>
  <c r="S828" i="1"/>
  <c r="S4795" i="1"/>
  <c r="S4594" i="1"/>
  <c r="S2578" i="1"/>
  <c r="S1962" i="1"/>
  <c r="S1530" i="1"/>
  <c r="S1058" i="1"/>
  <c r="S602" i="1"/>
  <c r="S4207" i="1"/>
  <c r="S2234" i="1"/>
  <c r="S1615" i="1"/>
  <c r="S3234" i="1"/>
  <c r="S4631" i="1"/>
  <c r="S3055" i="1"/>
  <c r="S1855" i="1"/>
  <c r="S3279" i="1"/>
  <c r="S2355" i="1"/>
  <c r="S3995" i="1"/>
  <c r="S1575" i="1"/>
  <c r="S1655" i="1"/>
  <c r="S4403" i="1"/>
  <c r="S3027" i="1"/>
  <c r="S323" i="1"/>
  <c r="S3355" i="1"/>
  <c r="S251" i="1"/>
  <c r="S4336" i="1"/>
  <c r="S1227" i="1"/>
  <c r="S3379" i="1"/>
  <c r="S4344" i="1"/>
  <c r="S1720" i="1"/>
  <c r="S4206" i="1"/>
  <c r="S2470" i="1"/>
  <c r="S622" i="1"/>
  <c r="S2445" i="1"/>
  <c r="S925" i="1"/>
  <c r="S325" i="1"/>
  <c r="S1759" i="1"/>
  <c r="S2994" i="1"/>
  <c r="S4827" i="1"/>
  <c r="S3603" i="1"/>
  <c r="S795" i="1"/>
  <c r="S4744" i="1"/>
  <c r="S2531" i="1"/>
  <c r="S3083" i="1"/>
  <c r="S1187" i="1"/>
  <c r="S2760" i="1"/>
  <c r="S2184" i="1"/>
  <c r="S1648" i="1"/>
  <c r="S1077" i="1"/>
  <c r="S3795" i="1"/>
  <c r="S3682" i="1"/>
  <c r="S2227" i="1"/>
  <c r="S2378" i="1"/>
  <c r="S2757" i="1"/>
  <c r="S1538" i="1"/>
  <c r="S3731" i="1"/>
  <c r="S827" i="1"/>
  <c r="S1515" i="1"/>
  <c r="S2691" i="1"/>
  <c r="S1075" i="1"/>
  <c r="S4960" i="1"/>
  <c r="S2803" i="1"/>
  <c r="S547" i="1"/>
  <c r="S491" i="1"/>
  <c r="S2859" i="1"/>
  <c r="S1707" i="1"/>
  <c r="S3006" i="1"/>
  <c r="S1182" i="1"/>
  <c r="S3069" i="1"/>
  <c r="S1469" i="1"/>
  <c r="S429" i="1"/>
  <c r="S2382" i="1"/>
  <c r="S563" i="1"/>
  <c r="S3835" i="1"/>
  <c r="S4946" i="1"/>
  <c r="S2787" i="1"/>
  <c r="S3464" i="1"/>
  <c r="S2664" i="1"/>
  <c r="S2064" i="1"/>
  <c r="S1560" i="1"/>
  <c r="S1803" i="1"/>
  <c r="S2947" i="1"/>
  <c r="S3304" i="1"/>
  <c r="S1947" i="1"/>
  <c r="S2282" i="1"/>
  <c r="S2725" i="1"/>
  <c r="S4870" i="1"/>
  <c r="S4117" i="1"/>
  <c r="S307" i="1"/>
  <c r="S3250" i="1"/>
  <c r="S4323" i="1"/>
  <c r="S3898" i="1"/>
  <c r="S1923" i="1"/>
  <c r="S4139" i="1"/>
  <c r="S3744" i="1"/>
  <c r="S1442" i="1"/>
  <c r="S1835" i="1"/>
  <c r="S3366" i="1"/>
  <c r="S1598" i="1"/>
  <c r="S3365" i="1"/>
  <c r="S1725" i="1"/>
  <c r="S477" i="1"/>
  <c r="S189" i="1"/>
  <c r="S3716" i="1"/>
  <c r="S3436" i="1"/>
  <c r="S3502" i="1"/>
  <c r="S1990" i="1"/>
  <c r="S590" i="1"/>
  <c r="S2973" i="1"/>
  <c r="S1517" i="1"/>
  <c r="S4910" i="1"/>
  <c r="S4300" i="1"/>
  <c r="S3198" i="1"/>
  <c r="S1222" i="1"/>
  <c r="S3293" i="1"/>
  <c r="S1613" i="1"/>
  <c r="S4909" i="1"/>
  <c r="S4253" i="1"/>
  <c r="S2909" i="1"/>
  <c r="S1461" i="1"/>
  <c r="S4844" i="1"/>
  <c r="S3996" i="1"/>
  <c r="S2582" i="1"/>
  <c r="S492" i="1"/>
  <c r="S236" i="1"/>
  <c r="S3699" i="1"/>
  <c r="S915" i="1"/>
  <c r="S4598" i="1"/>
  <c r="S4596" i="1"/>
  <c r="S2718" i="1"/>
  <c r="S1524" i="1"/>
  <c r="S4357" i="1"/>
  <c r="S4346" i="1"/>
  <c r="S1251" i="1"/>
  <c r="S2992" i="1"/>
  <c r="S2392" i="1"/>
  <c r="S1816" i="1"/>
  <c r="S1376" i="1"/>
  <c r="S875" i="1"/>
  <c r="S4362" i="1"/>
  <c r="S1731" i="1"/>
  <c r="S2722" i="1"/>
  <c r="S3325" i="1"/>
  <c r="S1149" i="1"/>
  <c r="S4518" i="1"/>
  <c r="S4773" i="1"/>
  <c r="S893" i="1"/>
  <c r="S2942" i="1"/>
  <c r="S1446" i="1"/>
  <c r="S4900" i="1"/>
  <c r="S4197" i="1"/>
  <c r="S3382" i="1"/>
  <c r="S1358" i="1"/>
  <c r="S3541" i="1"/>
  <c r="S1765" i="1"/>
  <c r="S4004" i="1"/>
  <c r="S3118" i="1"/>
  <c r="S1046" i="1"/>
  <c r="S3316" i="1"/>
  <c r="S3060" i="1"/>
  <c r="S2676" i="1"/>
  <c r="S2268" i="1"/>
  <c r="S2692" i="1"/>
  <c r="S1804" i="1"/>
  <c r="S1548" i="1"/>
  <c r="S1172" i="1"/>
  <c r="S4416" i="1"/>
  <c r="S124" i="1"/>
  <c r="S2345" i="1"/>
  <c r="S1105" i="1"/>
  <c r="S888" i="1"/>
  <c r="S2576" i="1"/>
  <c r="S4105" i="1"/>
  <c r="S760" i="1"/>
  <c r="S1841" i="1"/>
  <c r="S452" i="1"/>
  <c r="S4313" i="1"/>
  <c r="S4033" i="1"/>
  <c r="S132" i="1"/>
  <c r="S555" i="1"/>
  <c r="S4775" i="1"/>
  <c r="S352" i="1"/>
  <c r="S2201" i="1"/>
  <c r="S3496" i="1"/>
  <c r="S500" i="1"/>
  <c r="S3280" i="1"/>
  <c r="S4944" i="1"/>
  <c r="S4053" i="1"/>
  <c r="S3430" i="1"/>
  <c r="S2804" i="1"/>
  <c r="S4696" i="1"/>
  <c r="S3916" i="1"/>
  <c r="S3588" i="1"/>
  <c r="S4302" i="1"/>
  <c r="S2878" i="1"/>
  <c r="S1430" i="1"/>
  <c r="S3733" i="1"/>
  <c r="S2229" i="1"/>
  <c r="S1013" i="1"/>
  <c r="S4702" i="1"/>
  <c r="S4198" i="1"/>
  <c r="S2390" i="1"/>
  <c r="S4136" i="1"/>
  <c r="S23" i="1"/>
  <c r="S3473" i="1"/>
  <c r="S2811" i="1"/>
  <c r="S931" i="1"/>
  <c r="S2920" i="1"/>
  <c r="S1944" i="1"/>
  <c r="S920" i="1"/>
  <c r="S4087" i="1"/>
  <c r="S1361" i="1"/>
  <c r="S4000" i="1"/>
  <c r="S2340" i="1"/>
  <c r="S2369" i="1"/>
  <c r="S109" i="1"/>
  <c r="S1305" i="1"/>
  <c r="S297" i="1"/>
  <c r="S2049" i="1"/>
  <c r="S3330" i="1"/>
  <c r="S4063" i="1"/>
  <c r="S247" i="1"/>
  <c r="S3986" i="1"/>
  <c r="S4058" i="1"/>
  <c r="S4951" i="1"/>
  <c r="S3263" i="1"/>
  <c r="S2423" i="1"/>
  <c r="S1927" i="1"/>
  <c r="S1383" i="1"/>
  <c r="S1031" i="1"/>
  <c r="S567" i="1"/>
  <c r="S4991" i="1"/>
  <c r="S1631" i="1"/>
  <c r="S4043" i="1"/>
  <c r="S1027" i="1"/>
  <c r="S1635" i="1"/>
  <c r="S3307" i="1"/>
  <c r="S4480" i="1"/>
  <c r="S664" i="1"/>
  <c r="S3961" i="1"/>
  <c r="S4265" i="1"/>
  <c r="S848" i="1"/>
  <c r="S3441" i="1"/>
  <c r="S172" i="1"/>
  <c r="S489" i="1"/>
  <c r="S1496" i="1"/>
  <c r="S3945" i="1"/>
  <c r="S2056" i="1"/>
  <c r="S1200" i="1"/>
  <c r="S4120" i="1"/>
  <c r="S777" i="1"/>
  <c r="S3168" i="1"/>
  <c r="S4777" i="1"/>
  <c r="S2761" i="1"/>
  <c r="S47" i="1"/>
  <c r="S143" i="1"/>
  <c r="S2665" i="1"/>
  <c r="S25" i="1"/>
  <c r="S1793" i="1"/>
  <c r="S505" i="1"/>
  <c r="S4011" i="1"/>
  <c r="S1076" i="1"/>
  <c r="S4859" i="1"/>
  <c r="S4642" i="1"/>
  <c r="S2594" i="1"/>
  <c r="S1970" i="1"/>
  <c r="S1546" i="1"/>
  <c r="S1074" i="1"/>
  <c r="S618" i="1"/>
  <c r="S4415" i="1"/>
  <c r="S2898" i="1"/>
  <c r="S1690" i="1"/>
  <c r="S3287" i="1"/>
  <c r="S4663" i="1"/>
  <c r="S3119" i="1"/>
  <c r="S4449" i="1"/>
  <c r="S608" i="1"/>
  <c r="S4065" i="1"/>
  <c r="S727" i="1"/>
  <c r="S1224" i="1"/>
  <c r="S4361" i="1"/>
  <c r="S4103" i="1"/>
  <c r="S1818" i="1"/>
  <c r="S4071" i="1"/>
  <c r="S1283" i="1"/>
  <c r="S3393" i="1"/>
  <c r="S87" i="1"/>
  <c r="S360" i="1"/>
  <c r="S3465" i="1"/>
  <c r="S816" i="1"/>
  <c r="S2072" i="1"/>
  <c r="S4475" i="1"/>
  <c r="S769" i="1"/>
  <c r="S2071" i="1"/>
  <c r="S4531" i="1"/>
  <c r="S385" i="1"/>
  <c r="S1905" i="1"/>
  <c r="S665" i="1"/>
  <c r="S793" i="1"/>
  <c r="S4015" i="1"/>
  <c r="S4639" i="1"/>
  <c r="S2415" i="1"/>
  <c r="S556" i="1"/>
  <c r="S3218" i="1"/>
  <c r="S1946" i="1"/>
  <c r="S4559" i="1"/>
  <c r="S2903" i="1"/>
  <c r="S2231" i="1"/>
  <c r="S1671" i="1"/>
  <c r="S1239" i="1"/>
  <c r="S839" i="1"/>
  <c r="S391" i="1"/>
  <c r="S4164" i="1"/>
  <c r="S3424" i="1"/>
  <c r="S192" i="1"/>
  <c r="S3657" i="1"/>
  <c r="S2569" i="1"/>
  <c r="S88" i="1"/>
  <c r="S2737" i="1"/>
  <c r="S2729" i="1"/>
  <c r="S1168" i="1"/>
  <c r="S456" i="1"/>
  <c r="S3648" i="1"/>
  <c r="S11" i="1"/>
  <c r="S320" i="1"/>
  <c r="S3049" i="1"/>
  <c r="S1040" i="1"/>
  <c r="S775" i="1"/>
  <c r="S3944" i="1"/>
  <c r="S721" i="1"/>
  <c r="S3576" i="1"/>
  <c r="S4986" i="1"/>
  <c r="S2602" i="1"/>
  <c r="S85" i="1"/>
  <c r="S1449" i="1"/>
  <c r="S1489" i="1"/>
  <c r="S3491" i="1"/>
  <c r="S4799" i="1"/>
  <c r="S4371" i="1"/>
  <c r="S4338" i="1"/>
  <c r="S2458" i="1"/>
  <c r="S1906" i="1"/>
  <c r="S1498" i="1"/>
  <c r="S994" i="1"/>
  <c r="S554" i="1"/>
  <c r="S4914" i="1"/>
  <c r="S4634" i="1"/>
  <c r="S855" i="1"/>
  <c r="S2580" i="1"/>
  <c r="S4343" i="1"/>
  <c r="S2959" i="1"/>
  <c r="S1743" i="1"/>
  <c r="S2850" i="1"/>
  <c r="S4763" i="1"/>
  <c r="S3523" i="1"/>
  <c r="S4770" i="1"/>
  <c r="S1268" i="1"/>
  <c r="S4059" i="1"/>
  <c r="S2067" i="1"/>
  <c r="S3283" i="1"/>
  <c r="S3322" i="1"/>
  <c r="S4627" i="1"/>
  <c r="S4048" i="1"/>
  <c r="S2797" i="1"/>
  <c r="S1483" i="1"/>
  <c r="S4194" i="1"/>
  <c r="S907" i="1"/>
  <c r="S3998" i="1"/>
  <c r="S2278" i="1"/>
  <c r="S310" i="1"/>
  <c r="S2245" i="1"/>
  <c r="S757" i="1"/>
  <c r="S293" i="1"/>
  <c r="S1663" i="1"/>
  <c r="S2476" i="1"/>
  <c r="S4571" i="1"/>
  <c r="S3251" i="1"/>
  <c r="S595" i="1"/>
  <c r="S4163" i="1"/>
  <c r="S1867" i="1"/>
  <c r="S2819" i="1"/>
  <c r="S3520" i="1"/>
  <c r="S2672" i="1"/>
  <c r="S2080" i="1"/>
  <c r="S1568" i="1"/>
  <c r="S1875" i="1"/>
  <c r="S3123" i="1"/>
  <c r="S3363" i="1"/>
  <c r="S2011" i="1"/>
  <c r="S1414" i="1"/>
  <c r="S2597" i="1"/>
  <c r="S978" i="1"/>
  <c r="S3086" i="1"/>
  <c r="S3467" i="1"/>
  <c r="S1219" i="1"/>
  <c r="S1723" i="1"/>
  <c r="S691" i="1"/>
  <c r="S4704" i="1"/>
  <c r="S2435" i="1"/>
  <c r="S4867" i="1"/>
  <c r="S4802" i="1"/>
  <c r="S2480" i="1"/>
  <c r="S1144" i="1"/>
  <c r="S2798" i="1"/>
  <c r="S982" i="1"/>
  <c r="S2813" i="1"/>
  <c r="S1261" i="1"/>
  <c r="S397" i="1"/>
  <c r="S2627" i="1"/>
  <c r="S3411" i="1"/>
  <c r="S2499" i="1"/>
  <c r="S4690" i="1"/>
  <c r="S2315" i="1"/>
  <c r="S3336" i="1"/>
  <c r="S2600" i="1"/>
  <c r="S2000" i="1"/>
  <c r="S1520" i="1"/>
  <c r="S1539" i="1"/>
  <c r="S283" i="1"/>
  <c r="S2800" i="1"/>
  <c r="S1691" i="1"/>
  <c r="S214" i="1"/>
  <c r="S2549" i="1"/>
  <c r="S4806" i="1"/>
  <c r="S2262" i="1"/>
  <c r="S4947" i="1"/>
  <c r="S3122" i="1"/>
  <c r="S3675" i="1"/>
  <c r="S3674" i="1"/>
  <c r="S1491" i="1"/>
  <c r="S3395" i="1"/>
  <c r="S3570" i="1"/>
  <c r="S2688" i="1"/>
  <c r="S1579" i="1"/>
  <c r="S3158" i="1"/>
  <c r="S1278" i="1"/>
  <c r="S3173" i="1"/>
  <c r="S1557" i="1"/>
  <c r="S445" i="1"/>
  <c r="S4045" i="1"/>
  <c r="S3668" i="1"/>
  <c r="S3404" i="1"/>
  <c r="S3350" i="1"/>
  <c r="S1822" i="1"/>
  <c r="S334" i="1"/>
  <c r="S2621" i="1"/>
  <c r="S1381" i="1"/>
  <c r="S4846" i="1"/>
  <c r="S4044" i="1"/>
  <c r="S2886" i="1"/>
  <c r="S1022" i="1"/>
  <c r="S3093" i="1"/>
  <c r="S1453" i="1"/>
  <c r="S4845" i="1"/>
  <c r="S3997" i="1"/>
  <c r="S2717" i="1"/>
  <c r="S1293" i="1"/>
  <c r="S4780" i="1"/>
  <c r="S2014" i="1"/>
  <c r="S2748" i="1"/>
  <c r="S404" i="1"/>
  <c r="S204" i="1"/>
  <c r="S3922" i="1"/>
  <c r="S3499" i="1"/>
  <c r="S1510" i="1"/>
  <c r="S4022" i="1"/>
  <c r="S494" i="1"/>
  <c r="S1428" i="1"/>
  <c r="S4680" i="1"/>
  <c r="S4104" i="1"/>
  <c r="S4363" i="1"/>
  <c r="S2912" i="1"/>
  <c r="S2328" i="1"/>
  <c r="S1776" i="1"/>
  <c r="S1312" i="1"/>
  <c r="S675" i="1"/>
  <c r="S4208" i="1"/>
  <c r="S1043" i="1"/>
  <c r="S2618" i="1"/>
  <c r="S3149" i="1"/>
  <c r="S4966" i="1"/>
  <c r="S4454" i="1"/>
  <c r="S4709" i="1"/>
  <c r="S4278" i="1"/>
  <c r="S2774" i="1"/>
  <c r="S1286" i="1"/>
  <c r="S4836" i="1"/>
  <c r="S3941" i="1"/>
  <c r="S3190" i="1"/>
  <c r="S1158" i="1"/>
  <c r="S3349" i="1"/>
  <c r="S1573" i="1"/>
  <c r="S2550" i="1"/>
  <c r="S2870" i="1"/>
  <c r="S862" i="1"/>
  <c r="S3284" i="1"/>
  <c r="S3028" i="1"/>
  <c r="S2620" i="1"/>
  <c r="S2236" i="1"/>
  <c r="S2028" i="1"/>
  <c r="S1772" i="1"/>
  <c r="S1516" i="1"/>
  <c r="S1060" i="1"/>
  <c r="S728" i="1"/>
  <c r="S4545" i="1"/>
  <c r="S4321" i="1"/>
  <c r="S1674" i="1"/>
  <c r="S632" i="1"/>
  <c r="S3881" i="1"/>
  <c r="S3426" i="1"/>
  <c r="S3345" i="1"/>
  <c r="S3409" i="1"/>
  <c r="S4890" i="1"/>
  <c r="S4945" i="1"/>
  <c r="S4833" i="1"/>
  <c r="S3377" i="1"/>
  <c r="S2871" i="1"/>
  <c r="S1153" i="1"/>
  <c r="S792" i="1"/>
  <c r="S3641" i="1"/>
  <c r="S3082" i="1"/>
  <c r="S924" i="1"/>
  <c r="S3883" i="1"/>
  <c r="S4034" i="1"/>
  <c r="S4917" i="1"/>
  <c r="S1206" i="1"/>
  <c r="S2412" i="1"/>
  <c r="S39" i="1"/>
  <c r="S3876" i="1"/>
  <c r="S3556" i="1"/>
  <c r="S486" i="1"/>
  <c r="S2581" i="1"/>
  <c r="S1029" i="1"/>
  <c r="S4701" i="1"/>
  <c r="S3717" i="1"/>
  <c r="S2085" i="1"/>
  <c r="S709" i="1"/>
  <c r="S4572" i="1"/>
  <c r="S909" i="1"/>
  <c r="S748" i="1"/>
  <c r="S932" i="1"/>
  <c r="S1051" i="1"/>
  <c r="S2366" i="1"/>
  <c r="S3892" i="1"/>
  <c r="S1710" i="1"/>
  <c r="S1664" i="1"/>
  <c r="S2509" i="1"/>
  <c r="S2853" i="1"/>
  <c r="S2035" i="1"/>
  <c r="S4758" i="1"/>
  <c r="S3014" i="1"/>
  <c r="S4501" i="1"/>
  <c r="S3694" i="1"/>
  <c r="S2054" i="1"/>
  <c r="S662" i="1"/>
  <c r="S4692" i="1"/>
  <c r="S4318" i="1"/>
  <c r="S2710" i="1"/>
  <c r="S702" i="1"/>
  <c r="S2693" i="1"/>
  <c r="S1197" i="1"/>
  <c r="S4086" i="1"/>
  <c r="S2302" i="1"/>
  <c r="S326" i="1"/>
  <c r="S3212" i="1"/>
  <c r="S2956" i="1"/>
  <c r="S2468" i="1"/>
  <c r="S2164" i="1"/>
  <c r="S1956" i="1"/>
  <c r="S1700" i="1"/>
  <c r="S1444" i="1"/>
  <c r="S868" i="1"/>
  <c r="S4294" i="1"/>
  <c r="S3636" i="1"/>
  <c r="S470" i="1"/>
  <c r="S4478" i="1"/>
  <c r="S949" i="1"/>
  <c r="S4988" i="1"/>
  <c r="S276" i="1"/>
  <c r="S2288" i="1"/>
  <c r="S3549" i="1"/>
  <c r="S2542" i="1"/>
  <c r="S2652" i="1"/>
  <c r="S10" i="1"/>
  <c r="S3652" i="1"/>
  <c r="S3388" i="1"/>
  <c r="S3270" i="1"/>
  <c r="S1758" i="1"/>
  <c r="S254" i="1"/>
  <c r="S2541" i="1"/>
  <c r="S1309" i="1"/>
  <c r="S4814" i="1"/>
  <c r="S2486" i="1"/>
  <c r="S2790" i="1"/>
  <c r="S910" i="1"/>
  <c r="S2989" i="1"/>
  <c r="S1365" i="1"/>
  <c r="S4813" i="1"/>
  <c r="S3022" i="1"/>
  <c r="S2405" i="1"/>
  <c r="S1005" i="1"/>
  <c r="S4684" i="1"/>
  <c r="S4397" i="1"/>
  <c r="S2836" i="1"/>
  <c r="S388" i="1"/>
  <c r="S188" i="1"/>
  <c r="S708" i="1"/>
  <c r="S2651" i="1"/>
  <c r="S1910" i="1"/>
  <c r="S213" i="1"/>
  <c r="S2341" i="1"/>
  <c r="S574" i="1"/>
  <c r="S3221" i="1"/>
  <c r="S2828" i="1"/>
  <c r="S2720" i="1"/>
  <c r="S2699" i="1"/>
  <c r="S4853" i="1"/>
  <c r="S2038" i="1"/>
  <c r="S2868" i="1"/>
  <c r="S105" i="1"/>
  <c r="S4933" i="1"/>
  <c r="S4372" i="1"/>
  <c r="S3494" i="1"/>
  <c r="S1862" i="1"/>
  <c r="S446" i="1"/>
  <c r="S4612" i="1"/>
  <c r="S4070" i="1"/>
  <c r="S2294" i="1"/>
  <c r="S406" i="1"/>
  <c r="S2413" i="1"/>
  <c r="S941" i="1"/>
  <c r="S3838" i="1"/>
  <c r="S1942" i="1"/>
  <c r="S4213" i="1"/>
  <c r="S3172" i="1"/>
  <c r="S2876" i="1"/>
  <c r="S2420" i="1"/>
  <c r="S2124" i="1"/>
  <c r="S1916" i="1"/>
  <c r="S1660" i="1"/>
  <c r="S988" i="1"/>
  <c r="S2736" i="1"/>
  <c r="S2557" i="1"/>
  <c r="S3476" i="1"/>
  <c r="S1277" i="1"/>
  <c r="S1270" i="1"/>
  <c r="S4061" i="1"/>
  <c r="S4316" i="1"/>
  <c r="S3347" i="1"/>
  <c r="S4662" i="1"/>
  <c r="S2998" i="1"/>
  <c r="S3324" i="1"/>
  <c r="S3081" i="1"/>
  <c r="S3867" i="1"/>
  <c r="S3983" i="1"/>
  <c r="S4570" i="1"/>
  <c r="S682" i="1"/>
  <c r="S4146" i="1"/>
  <c r="S4730" i="1"/>
  <c r="S871" i="1"/>
  <c r="S4023" i="1"/>
  <c r="S2671" i="1"/>
  <c r="S2087" i="1"/>
  <c r="S1503" i="1"/>
  <c r="S1127" i="1"/>
  <c r="S695" i="1"/>
  <c r="S279" i="1"/>
  <c r="S2831" i="1"/>
  <c r="S4227" i="1"/>
  <c r="S2427" i="1"/>
  <c r="S2158" i="1"/>
  <c r="S4552" i="1"/>
  <c r="S2051" i="1"/>
  <c r="S4413" i="1"/>
  <c r="S1992" i="1"/>
  <c r="S997" i="1"/>
  <c r="S1294" i="1"/>
  <c r="S4606" i="1"/>
  <c r="S2941" i="1"/>
  <c r="S3821" i="1"/>
  <c r="S436" i="1"/>
  <c r="S2939" i="1"/>
  <c r="S4661" i="1"/>
  <c r="S3166" i="1"/>
  <c r="S784" i="1"/>
  <c r="S2344" i="1"/>
  <c r="S4790" i="1"/>
  <c r="S3238" i="1"/>
  <c r="S2653" i="1"/>
  <c r="S780" i="1"/>
  <c r="S4126" i="1"/>
  <c r="S2686" i="1"/>
  <c r="S1214" i="1"/>
  <c r="S3573" i="1"/>
  <c r="S2077" i="1"/>
  <c r="S829" i="1"/>
  <c r="S4638" i="1"/>
  <c r="S3982" i="1"/>
  <c r="S2118" i="1"/>
  <c r="S294" i="1"/>
  <c r="S2365" i="1"/>
  <c r="S821" i="1"/>
  <c r="S4637" i="1"/>
  <c r="S3525" i="1"/>
  <c r="S1917" i="1"/>
  <c r="S525" i="1"/>
  <c r="S4508" i="1"/>
  <c r="S4332" i="1"/>
  <c r="S644" i="1"/>
  <c r="S324" i="1"/>
  <c r="S3907" i="1"/>
  <c r="S1126" i="1"/>
  <c r="S3764" i="1"/>
  <c r="S3157" i="1"/>
  <c r="S1392" i="1"/>
  <c r="S4918" i="1"/>
  <c r="S1061" i="1"/>
  <c r="S167" i="1"/>
  <c r="S4694" i="1"/>
  <c r="S4949" i="1"/>
  <c r="S4436" i="1"/>
  <c r="S3526" i="1"/>
  <c r="S1886" i="1"/>
  <c r="S478" i="1"/>
  <c r="S4628" i="1"/>
  <c r="S4118" i="1"/>
  <c r="S2334" i="1"/>
  <c r="S502" i="1"/>
  <c r="S2477" i="1"/>
  <c r="S981" i="1"/>
  <c r="S3894" i="1"/>
  <c r="S1998" i="1"/>
  <c r="S4277" i="1"/>
  <c r="S3180" i="1"/>
  <c r="S2908" i="1"/>
  <c r="S2428" i="1"/>
  <c r="S2132" i="1"/>
  <c r="S1924" i="1"/>
  <c r="S1668" i="1"/>
  <c r="S1412" i="1"/>
  <c r="S3518" i="1"/>
  <c r="S3206" i="1"/>
  <c r="S3444" i="1"/>
  <c r="S3485" i="1"/>
  <c r="S1534" i="1"/>
  <c r="S4989" i="1"/>
  <c r="S4732" i="1"/>
  <c r="S79" i="1"/>
  <c r="S1904" i="1"/>
  <c r="S2333" i="1"/>
  <c r="S598" i="1"/>
  <c r="S2244" i="1"/>
  <c r="S430" i="1"/>
  <c r="S3612" i="1"/>
  <c r="S4430" i="1"/>
  <c r="S3062" i="1"/>
  <c r="S1550" i="1"/>
  <c r="S3845" i="1"/>
  <c r="S2389" i="1"/>
  <c r="S1141" i="1"/>
  <c r="S4750" i="1"/>
  <c r="S4358" i="1"/>
  <c r="S2598" i="1"/>
  <c r="S630" i="1"/>
  <c r="S2733" i="1"/>
  <c r="S1157" i="1"/>
  <c r="S4749" i="1"/>
  <c r="S3869" i="1"/>
  <c r="S2221" i="1"/>
  <c r="S845" i="1"/>
  <c r="S4620" i="1"/>
  <c r="S4141" i="1"/>
  <c r="S844" i="1"/>
  <c r="S356" i="1"/>
  <c r="S1774" i="1"/>
  <c r="S3621" i="1"/>
  <c r="S4994" i="1"/>
  <c r="S934" i="1"/>
  <c r="S3684" i="1"/>
  <c r="S1525" i="1"/>
  <c r="S3757" i="1"/>
  <c r="S2565" i="1"/>
  <c r="S244" i="1"/>
  <c r="S2216" i="1"/>
  <c r="S1171" i="1"/>
  <c r="S4469" i="1"/>
  <c r="S3597" i="1"/>
  <c r="S2452" i="1"/>
  <c r="S3057" i="1"/>
  <c r="S4869" i="1"/>
  <c r="S4116" i="1"/>
  <c r="S3294" i="1"/>
  <c r="S1678" i="1"/>
  <c r="S262" i="1"/>
  <c r="S4548" i="1"/>
  <c r="S3862" i="1"/>
  <c r="S2086" i="1"/>
  <c r="S238" i="1"/>
  <c r="S2205" i="1"/>
  <c r="S725" i="1"/>
  <c r="S3622" i="1"/>
  <c r="S1750" i="1"/>
  <c r="S3948" i="1"/>
  <c r="S3140" i="1"/>
  <c r="S2812" i="1"/>
  <c r="S2364" i="1"/>
  <c r="S2092" i="1"/>
  <c r="S1884" i="1"/>
  <c r="S1628" i="1"/>
  <c r="S1726" i="1"/>
  <c r="S2155" i="1"/>
  <c r="S1597" i="1"/>
  <c r="S3230" i="1"/>
  <c r="S629" i="1"/>
  <c r="S2685" i="1"/>
  <c r="S3629" i="1"/>
  <c r="S2901" i="1"/>
  <c r="S5000" i="1"/>
  <c r="S4789" i="1"/>
  <c r="S1830" i="1"/>
  <c r="S3068" i="1"/>
  <c r="S1208" i="1"/>
  <c r="S3651" i="1"/>
  <c r="S3511" i="1"/>
  <c r="S4274" i="1"/>
  <c r="S426" i="1"/>
  <c r="S4050" i="1"/>
  <c r="S4287" i="1"/>
  <c r="S287" i="1"/>
  <c r="S3775" i="1"/>
  <c r="S2575" i="1"/>
  <c r="S2031" i="1"/>
  <c r="S1447" i="1"/>
  <c r="S1087" i="1"/>
  <c r="S655" i="1"/>
  <c r="S1084" i="1"/>
  <c r="S1986" i="1"/>
  <c r="S3947" i="1"/>
  <c r="S1395" i="1"/>
  <c r="S1795" i="1"/>
  <c r="S3747" i="1"/>
  <c r="S1363" i="1"/>
  <c r="S3936" i="1"/>
  <c r="S2403" i="1"/>
  <c r="S485" i="1"/>
  <c r="S638" i="1"/>
  <c r="S4364" i="1"/>
  <c r="S2213" i="1"/>
  <c r="S3005" i="1"/>
  <c r="S676" i="1"/>
  <c r="S4626" i="1"/>
  <c r="S4326" i="1"/>
  <c r="S1310" i="1"/>
  <c r="S4984" i="1"/>
  <c r="S1784" i="1"/>
  <c r="S4470" i="1"/>
  <c r="S990" i="1"/>
  <c r="S3196" i="1"/>
  <c r="S1180" i="1"/>
  <c r="S1054" i="1"/>
  <c r="S3405" i="1"/>
  <c r="S1869" i="1"/>
  <c r="S693" i="1"/>
  <c r="S4574" i="1"/>
  <c r="S3774" i="1"/>
  <c r="S1902" i="1"/>
  <c r="S3861" i="1"/>
  <c r="S2117" i="1"/>
  <c r="S669" i="1"/>
  <c r="S4573" i="1"/>
  <c r="S3309" i="1"/>
  <c r="S1749" i="1"/>
  <c r="S4956" i="1"/>
  <c r="S4444" i="1"/>
  <c r="S4021" i="1"/>
  <c r="S588" i="1"/>
  <c r="S292" i="1"/>
  <c r="S3635" i="1"/>
  <c r="S526" i="1"/>
  <c r="S3604" i="1"/>
  <c r="S1781" i="1"/>
  <c r="S1288" i="1"/>
  <c r="S4597" i="1"/>
  <c r="S1894" i="1"/>
  <c r="S3873" i="1"/>
  <c r="S4630" i="1"/>
  <c r="S4885" i="1"/>
  <c r="S4180" i="1"/>
  <c r="S3342" i="1"/>
  <c r="S1718" i="1"/>
  <c r="S302" i="1"/>
  <c r="S4564" i="1"/>
  <c r="S3910" i="1"/>
  <c r="S2134" i="1"/>
  <c r="S278" i="1"/>
  <c r="S2269" i="1"/>
  <c r="S765" i="1"/>
  <c r="S3678" i="1"/>
  <c r="S1806" i="1"/>
  <c r="S4012" i="1"/>
  <c r="S3148" i="1"/>
  <c r="S2820" i="1"/>
  <c r="S2396" i="1"/>
  <c r="S2100" i="1"/>
  <c r="S1892" i="1"/>
  <c r="S1636" i="1"/>
  <c r="S1380" i="1"/>
  <c r="S2614" i="1"/>
  <c r="S2174" i="1"/>
  <c r="S3380" i="1"/>
  <c r="S2493" i="1"/>
  <c r="S3670" i="1"/>
  <c r="S4477" i="1"/>
  <c r="S4540" i="1"/>
  <c r="S4349" i="1"/>
  <c r="S1432" i="1"/>
  <c r="S4533" i="1"/>
  <c r="S3397" i="1"/>
  <c r="S2052" i="1"/>
  <c r="S3908" i="1"/>
  <c r="S3580" i="1"/>
  <c r="S4270" i="1"/>
  <c r="S2814" i="1"/>
  <c r="S1342" i="1"/>
  <c r="S3685" i="1"/>
  <c r="S2189" i="1"/>
  <c r="S973" i="1"/>
  <c r="S4686" i="1"/>
  <c r="S4142" i="1"/>
  <c r="S2342" i="1"/>
  <c r="S438" i="1"/>
  <c r="S2525" i="1"/>
  <c r="S989" i="1"/>
  <c r="S4685" i="1"/>
  <c r="S3669" i="1"/>
  <c r="S2045" i="1"/>
  <c r="S685" i="1"/>
  <c r="S4556" i="1"/>
  <c r="S3868" i="1"/>
  <c r="S796" i="1"/>
  <c r="S772" i="1"/>
  <c r="S1500" i="1"/>
  <c r="S3723" i="1"/>
  <c r="S4264" i="1"/>
  <c r="S3677" i="1"/>
  <c r="S3540" i="1"/>
  <c r="S933" i="1"/>
  <c r="S3141" i="1"/>
  <c r="S1845" i="1"/>
  <c r="S2281" i="1"/>
  <c r="S1552" i="1"/>
  <c r="S1627" i="1"/>
  <c r="S3966" i="1"/>
  <c r="S2589" i="1"/>
  <c r="S2148" i="1"/>
  <c r="S4056" i="1"/>
  <c r="S4805" i="1"/>
  <c r="S2885" i="1"/>
  <c r="S3126" i="1"/>
  <c r="S1526" i="1"/>
  <c r="S4996" i="1"/>
  <c r="S4484" i="1"/>
  <c r="S3686" i="1"/>
  <c r="S1878" i="1"/>
  <c r="S3853" i="1"/>
  <c r="S2021" i="1"/>
  <c r="S4388" i="1"/>
  <c r="S3422" i="1"/>
  <c r="S1350" i="1"/>
  <c r="S1382" i="1"/>
  <c r="S3108" i="1"/>
  <c r="S2756" i="1"/>
  <c r="S2316" i="1"/>
  <c r="S2060" i="1"/>
  <c r="S1852" i="1"/>
  <c r="S1596" i="1"/>
  <c r="S4368" i="1"/>
  <c r="S1643" i="1"/>
  <c r="S677" i="1"/>
  <c r="S2198" i="1"/>
  <c r="S4862" i="1"/>
  <c r="S1837" i="1"/>
  <c r="S2765" i="1"/>
  <c r="S836" i="1"/>
  <c r="S4819" i="1"/>
  <c r="S1901" i="1"/>
  <c r="S358" i="1"/>
  <c r="S2740" i="1"/>
  <c r="S3793" i="1"/>
  <c r="S3483" i="1"/>
  <c r="S3183" i="1"/>
  <c r="S3943" i="1"/>
  <c r="S4036" i="1"/>
  <c r="S3914" i="1"/>
  <c r="S3895" i="1"/>
  <c r="S4999" i="1"/>
  <c r="S3487" i="1"/>
  <c r="S2487" i="1"/>
  <c r="S1975" i="1"/>
  <c r="S1399" i="1"/>
  <c r="S1055" i="1"/>
  <c r="S591" i="1"/>
  <c r="S4851" i="1"/>
  <c r="S1394" i="1"/>
  <c r="S3611" i="1"/>
  <c r="S219" i="1"/>
  <c r="S1387" i="1"/>
  <c r="S2379" i="1"/>
  <c r="S1019" i="1"/>
  <c r="S2923" i="1"/>
  <c r="S3902" i="1"/>
  <c r="S309" i="1"/>
  <c r="S3645" i="1"/>
  <c r="S3886" i="1"/>
  <c r="S1669" i="1"/>
  <c r="S2173" i="1"/>
  <c r="S4835" i="1"/>
  <c r="S2907" i="1"/>
  <c r="S3030" i="1"/>
  <c r="S3164" i="1"/>
  <c r="S1112" i="1"/>
  <c r="S4688" i="1"/>
  <c r="S4981" i="1"/>
  <c r="S198" i="1"/>
  <c r="S2972" i="1"/>
  <c r="S2084" i="1"/>
  <c r="S3806" i="1"/>
  <c r="S2326" i="1"/>
  <c r="S878" i="1"/>
  <c r="S3253" i="1"/>
  <c r="S1733" i="1"/>
  <c r="S557" i="1"/>
  <c r="S4510" i="1"/>
  <c r="S3566" i="1"/>
  <c r="S1630" i="1"/>
  <c r="S3661" i="1"/>
  <c r="S1933" i="1"/>
  <c r="S4237" i="1"/>
  <c r="S4509" i="1"/>
  <c r="S3109" i="1"/>
  <c r="S1589" i="1"/>
  <c r="S4892" i="1"/>
  <c r="S4188" i="1"/>
  <c r="S1662" i="1"/>
  <c r="S540" i="1"/>
  <c r="S260" i="1"/>
  <c r="S4082" i="1"/>
  <c r="S3213" i="1"/>
  <c r="S3508" i="1"/>
  <c r="S2731" i="1"/>
  <c r="S4432" i="1"/>
  <c r="S4158" i="1"/>
  <c r="S710" i="1"/>
  <c r="S2090" i="1"/>
  <c r="S4566" i="1"/>
  <c r="S4821" i="1"/>
  <c r="S3046" i="1"/>
  <c r="S3174" i="1"/>
  <c r="S1558" i="1"/>
  <c r="S4301" i="1"/>
  <c r="S4500" i="1"/>
  <c r="S3718" i="1"/>
  <c r="S1926" i="1"/>
  <c r="S3901" i="1"/>
  <c r="S2053" i="1"/>
  <c r="S517" i="1"/>
  <c r="S3478" i="1"/>
  <c r="S1454" i="1"/>
  <c r="S1638" i="1"/>
  <c r="S3116" i="1"/>
  <c r="S2764" i="1"/>
  <c r="S2324" i="1"/>
  <c r="S2068" i="1"/>
  <c r="S1860" i="1"/>
  <c r="S1604" i="1"/>
  <c r="S1308" i="1"/>
  <c r="S2347" i="1"/>
  <c r="S1757" i="1"/>
  <c r="S3878" i="1"/>
  <c r="S1653" i="1"/>
  <c r="S2558" i="1"/>
  <c r="S2261" i="1"/>
  <c r="S2270" i="1"/>
  <c r="S683" i="1"/>
  <c r="S1499" i="1"/>
  <c r="S3790" i="1"/>
  <c r="S3782" i="1"/>
  <c r="S1780" i="1"/>
  <c r="S3860" i="1"/>
  <c r="S3548" i="1"/>
  <c r="S4094" i="1"/>
  <c r="S2662" i="1"/>
  <c r="S1166" i="1"/>
  <c r="S3533" i="1"/>
  <c r="S1997" i="1"/>
  <c r="S805" i="1"/>
  <c r="S4622" i="1"/>
  <c r="S3934" i="1"/>
  <c r="S2062" i="1"/>
  <c r="S246" i="1"/>
  <c r="S2325" i="1"/>
  <c r="S781" i="1"/>
  <c r="S4621" i="1"/>
  <c r="S3461" i="1"/>
  <c r="S1877" i="1"/>
  <c r="S5004" i="1"/>
  <c r="S4492" i="1"/>
  <c r="S4429" i="1"/>
  <c r="S740" i="1"/>
  <c r="S812" i="1"/>
  <c r="S1468" i="1"/>
  <c r="S4229" i="1"/>
  <c r="S3216" i="1"/>
  <c r="S3021" i="1"/>
  <c r="S3412" i="1"/>
  <c r="S4926" i="1"/>
  <c r="S2485" i="1"/>
  <c r="S965" i="1"/>
  <c r="S1003" i="1"/>
  <c r="S1328" i="1"/>
  <c r="S2450" i="1"/>
  <c r="S1974" i="1"/>
  <c r="S1285" i="1"/>
  <c r="S2004" i="1"/>
  <c r="S4418" i="1"/>
  <c r="S4741" i="1"/>
  <c r="S4366" i="1"/>
  <c r="S2862" i="1"/>
  <c r="S1366" i="1"/>
  <c r="S4932" i="1"/>
  <c r="S4325" i="1"/>
  <c r="S3486" i="1"/>
  <c r="S1574" i="1"/>
  <c r="S3653" i="1"/>
  <c r="S1853" i="1"/>
  <c r="S4132" i="1"/>
  <c r="S3222" i="1"/>
  <c r="S1150" i="1"/>
  <c r="S3332" i="1"/>
  <c r="S3076" i="1"/>
  <c r="S2708" i="1"/>
  <c r="S2284" i="1"/>
  <c r="S2588" i="1"/>
  <c r="S1820" i="1"/>
  <c r="S1564" i="1"/>
  <c r="S923" i="1"/>
  <c r="S3702" i="1"/>
  <c r="S421" i="1"/>
  <c r="S1502" i="1"/>
  <c r="S4542" i="1"/>
  <c r="S1117" i="1"/>
  <c r="S2005" i="1"/>
  <c r="S348" i="1"/>
  <c r="S4392" i="1"/>
  <c r="S3246" i="1"/>
  <c r="S2373" i="1"/>
  <c r="S2356" i="1"/>
  <c r="S353" i="1"/>
  <c r="S2137" i="1"/>
  <c r="S2527" i="1"/>
  <c r="S3676" i="1"/>
  <c r="S1276" i="1"/>
  <c r="S3786" i="1"/>
  <c r="S3551" i="1"/>
  <c r="S4919" i="1"/>
  <c r="S3199" i="1"/>
  <c r="S2391" i="1"/>
  <c r="S1879" i="1"/>
  <c r="S1367" i="1"/>
  <c r="S1007" i="1"/>
  <c r="S519" i="1"/>
  <c r="S4602" i="1"/>
  <c r="S884" i="1"/>
  <c r="S4899" i="1"/>
  <c r="S3403" i="1"/>
  <c r="S1147" i="1"/>
  <c r="S1427" i="1"/>
  <c r="S659" i="1"/>
  <c r="S1592" i="1"/>
  <c r="S2750" i="1"/>
  <c r="S2230" i="1"/>
  <c r="S2701" i="1"/>
  <c r="S2934" i="1"/>
  <c r="S1325" i="1"/>
  <c r="S1501" i="1"/>
  <c r="S3419" i="1"/>
  <c r="S339" i="1"/>
  <c r="S4532" i="1"/>
  <c r="S2564" i="1"/>
  <c r="S2891" i="1"/>
  <c r="S3794" i="1"/>
  <c r="S2142" i="1"/>
  <c r="S2149" i="1"/>
  <c r="S2212" i="1"/>
  <c r="S1364" i="1"/>
  <c r="S3534" i="1"/>
  <c r="S1614" i="1"/>
  <c r="S3701" i="1"/>
  <c r="S1893" i="1"/>
  <c r="S4196" i="1"/>
  <c r="S3278" i="1"/>
  <c r="S1198" i="1"/>
  <c r="S3340" i="1"/>
  <c r="S3084" i="1"/>
  <c r="S2716" i="1"/>
  <c r="S2292" i="1"/>
  <c r="S2796" i="1"/>
  <c r="S1828" i="1"/>
  <c r="S1572" i="1"/>
  <c r="S1236" i="1"/>
  <c r="S3722" i="1"/>
  <c r="S837" i="1"/>
  <c r="S3398" i="1"/>
  <c r="S1109" i="1"/>
  <c r="S1470" i="1"/>
  <c r="S3413" i="1"/>
  <c r="S4109" i="1"/>
  <c r="S3091" i="1"/>
  <c r="S315" i="1"/>
  <c r="S2358" i="1"/>
  <c r="S2462" i="1"/>
  <c r="S1588" i="1"/>
  <c r="S3820" i="1"/>
  <c r="S3516" i="1"/>
  <c r="S3926" i="1"/>
  <c r="S2454" i="1"/>
  <c r="S1014" i="1"/>
  <c r="S3381" i="1"/>
  <c r="S1821" i="1"/>
  <c r="S661" i="1"/>
  <c r="S4558" i="1"/>
  <c r="S3726" i="1"/>
  <c r="S1838" i="1"/>
  <c r="S3797" i="1"/>
  <c r="S2061" i="1"/>
  <c r="S613" i="1"/>
  <c r="S4557" i="1"/>
  <c r="S3269" i="1"/>
  <c r="S1717" i="1"/>
  <c r="S4940" i="1"/>
  <c r="S4380" i="1"/>
  <c r="S4268" i="1"/>
  <c r="S636" i="1"/>
  <c r="S316" i="1"/>
  <c r="S1436" i="1"/>
  <c r="S3368" i="1"/>
  <c r="S1235" i="1"/>
  <c r="S2157" i="1"/>
  <c r="S3550" i="1"/>
  <c r="S4310" i="1"/>
  <c r="S2013" i="1"/>
  <c r="S4860" i="1"/>
  <c r="S4347" i="1"/>
  <c r="S2251" i="1"/>
  <c r="S3197" i="1"/>
  <c r="S566" i="1"/>
  <c r="S4190" i="1"/>
  <c r="S1844" i="1"/>
  <c r="S960" i="1"/>
  <c r="S4677" i="1"/>
  <c r="S4182" i="1"/>
  <c r="S2678" i="1"/>
  <c r="S1190" i="1"/>
  <c r="S4868" i="1"/>
  <c r="S4069" i="1"/>
  <c r="S3286" i="1"/>
  <c r="S1254" i="1"/>
  <c r="S3453" i="1"/>
  <c r="S1661" i="1"/>
  <c r="S3078" i="1"/>
  <c r="S2966" i="1"/>
  <c r="S942" i="1"/>
  <c r="S3300" i="1"/>
  <c r="S3044" i="1"/>
  <c r="S2660" i="1"/>
  <c r="S2252" i="1"/>
  <c r="S2636" i="1"/>
  <c r="S1788" i="1"/>
  <c r="S1532" i="1"/>
  <c r="S4611" i="1"/>
  <c r="S2566" i="1"/>
  <c r="S245" i="1"/>
  <c r="S798" i="1"/>
  <c r="S4108" i="1"/>
  <c r="S741" i="1"/>
  <c r="S1333" i="1"/>
  <c r="S3595" i="1"/>
  <c r="S2264" i="1"/>
  <c r="S1646" i="1"/>
  <c r="S853" i="1"/>
  <c r="S2116" i="1"/>
  <c r="S1129" i="1"/>
  <c r="S2105" i="1"/>
  <c r="S1935" i="1"/>
  <c r="S3351" i="1"/>
  <c r="S1132" i="1"/>
  <c r="S3650" i="1"/>
  <c r="S3223" i="1"/>
  <c r="S4815" i="1"/>
  <c r="S3079" i="1"/>
  <c r="S2319" i="1"/>
  <c r="S1815" i="1"/>
  <c r="S1311" i="1"/>
  <c r="S959" i="1"/>
  <c r="S471" i="1"/>
  <c r="S4407" i="1"/>
  <c r="S274" i="1"/>
  <c r="S4395" i="1"/>
  <c r="S3147" i="1"/>
  <c r="S811" i="1"/>
  <c r="S3514" i="1"/>
  <c r="S419" i="1"/>
  <c r="S1531" i="1"/>
  <c r="S1654" i="1"/>
  <c r="S4382" i="1"/>
  <c r="S2141" i="1"/>
  <c r="S2006" i="1"/>
  <c r="S581" i="1"/>
  <c r="S789" i="1"/>
  <c r="S205" i="1"/>
  <c r="S2864" i="1"/>
  <c r="S3814" i="1"/>
  <c r="S2180" i="1"/>
  <c r="S3075" i="1"/>
  <c r="S1880" i="1"/>
  <c r="S1142" i="1"/>
  <c r="S1445" i="1"/>
  <c r="S2036" i="1"/>
  <c r="S1252" i="1"/>
  <c r="S1174" i="1"/>
  <c r="S3237" i="1"/>
  <c r="S1581" i="1"/>
  <c r="S4893" i="1"/>
  <c r="S4189" i="1"/>
  <c r="S2669" i="1"/>
  <c r="S1253" i="1"/>
  <c r="S4764" i="1"/>
  <c r="S1542" i="1"/>
  <c r="S2628" i="1"/>
  <c r="S396" i="1"/>
  <c r="S196" i="1"/>
  <c r="S363" i="1"/>
  <c r="S1429" i="1"/>
  <c r="S4054" i="1"/>
  <c r="S3456" i="1"/>
  <c r="S2331" i="1"/>
  <c r="S1486" i="1"/>
  <c r="S3036" i="1"/>
  <c r="S4950" i="1"/>
  <c r="S4437" i="1"/>
  <c r="S4693" i="1"/>
  <c r="S4230" i="1"/>
  <c r="S2726" i="1"/>
  <c r="S1238" i="1"/>
  <c r="S4884" i="1"/>
  <c r="S4133" i="1"/>
  <c r="S3334" i="1"/>
  <c r="S1302" i="1"/>
  <c r="S3493" i="1"/>
  <c r="S1701" i="1"/>
  <c r="S3940" i="1"/>
  <c r="S3070" i="1"/>
  <c r="S998" i="1"/>
  <c r="S3308" i="1"/>
  <c r="S3052" i="1"/>
  <c r="S2668" i="1"/>
  <c r="S2260" i="1"/>
  <c r="S2524" i="1"/>
  <c r="S1796" i="1"/>
  <c r="S1540" i="1"/>
  <c r="S1124" i="1"/>
  <c r="S2776" i="1"/>
  <c r="S389" i="1"/>
  <c r="S2630" i="1"/>
  <c r="S4990" i="1"/>
  <c r="S854" i="1"/>
  <c r="S2357" i="1"/>
  <c r="S1348" i="1"/>
  <c r="S3698" i="1"/>
  <c r="S1851" i="1"/>
  <c r="S742" i="1"/>
  <c r="S4405" i="1"/>
  <c r="S1843" i="1"/>
  <c r="S3780" i="1"/>
  <c r="S3484" i="1"/>
  <c r="S3758" i="1"/>
  <c r="S2238" i="1"/>
  <c r="S830" i="1"/>
  <c r="S3205" i="1"/>
  <c r="S1693" i="1"/>
  <c r="S501" i="1"/>
  <c r="S4494" i="1"/>
  <c r="S3510" i="1"/>
  <c r="S1582" i="1"/>
  <c r="S3613" i="1"/>
  <c r="S1885" i="1"/>
  <c r="S5005" i="1"/>
  <c r="S4493" i="1"/>
  <c r="S3053" i="1"/>
  <c r="S1549" i="1"/>
  <c r="S4876" i="1"/>
  <c r="S4124" i="1"/>
  <c r="S3957" i="1"/>
  <c r="S580" i="1"/>
  <c r="S284" i="1"/>
  <c r="S1372" i="1"/>
  <c r="S2299" i="1"/>
  <c r="S1899" i="1"/>
  <c r="S1221" i="1"/>
  <c r="S974" i="1"/>
  <c r="S3462" i="1"/>
  <c r="S1485" i="1"/>
  <c r="S4604" i="1"/>
  <c r="S4210" i="1"/>
  <c r="S1267" i="1"/>
  <c r="S2677" i="1"/>
  <c r="S4788" i="1"/>
  <c r="S3374" i="1"/>
  <c r="S1652" i="1"/>
  <c r="S1801" i="1"/>
  <c r="S4613" i="1"/>
  <c r="S4006" i="1"/>
  <c r="S2398" i="1"/>
  <c r="S1006" i="1"/>
  <c r="S4804" i="1"/>
  <c r="S2494" i="1"/>
  <c r="S3038" i="1"/>
  <c r="S1038" i="1"/>
  <c r="S3245" i="1"/>
  <c r="S1493" i="1"/>
  <c r="S4438" i="1"/>
  <c r="S2766" i="1"/>
  <c r="S766" i="1"/>
  <c r="S3268" i="1"/>
  <c r="S3012" i="1"/>
  <c r="S2604" i="1"/>
  <c r="S2220" i="1"/>
  <c r="S2012" i="1"/>
  <c r="S1756" i="1"/>
  <c r="S1404" i="1"/>
  <c r="S365" i="1"/>
  <c r="S1334" i="1"/>
  <c r="S3852" i="1"/>
  <c r="S3813" i="1"/>
  <c r="S4078" i="1"/>
  <c r="S4925" i="1"/>
  <c r="S645" i="1"/>
  <c r="S3939" i="1"/>
  <c r="S4547" i="1"/>
  <c r="S958" i="1"/>
  <c r="S2949" i="1"/>
  <c r="S1940" i="1"/>
  <c r="S1896" i="1"/>
  <c r="S2089" i="1"/>
  <c r="S4311" i="1"/>
  <c r="S2815" i="1"/>
  <c r="S940" i="1"/>
  <c r="S3370" i="1"/>
  <c r="S2540" i="1"/>
  <c r="S4679" i="1"/>
  <c r="S2967" i="1"/>
  <c r="S2271" i="1"/>
  <c r="S1719" i="1"/>
  <c r="S1263" i="1"/>
  <c r="S887" i="1"/>
  <c r="S431" i="1"/>
  <c r="S4028" i="1"/>
  <c r="S4971" i="1"/>
  <c r="S3963" i="1"/>
  <c r="S2955" i="1"/>
  <c r="S571" i="1"/>
  <c r="S3386" i="1"/>
  <c r="S4883" i="1"/>
  <c r="S507" i="1"/>
  <c r="S3877" i="1"/>
  <c r="S3710" i="1"/>
  <c r="S1405" i="1"/>
  <c r="S1070" i="1"/>
  <c r="S4861" i="1"/>
  <c r="S4333" i="1"/>
  <c r="S475" i="1"/>
  <c r="S2528" i="1"/>
  <c r="S2246" i="1"/>
  <c r="S1972" i="1"/>
  <c r="S3587" i="1"/>
  <c r="S1883" i="1"/>
  <c r="S4980" i="1"/>
  <c r="S4390" i="1"/>
  <c r="S1876" i="1"/>
  <c r="S1356" i="1"/>
  <c r="S3301" i="1"/>
  <c r="S1541" i="1"/>
  <c r="S822" i="1"/>
  <c r="S2830" i="1"/>
  <c r="S814" i="1"/>
  <c r="S3276" i="1"/>
  <c r="S3020" i="1"/>
  <c r="S2612" i="1"/>
  <c r="S2228" i="1"/>
  <c r="S2020" i="1"/>
  <c r="S1764" i="1"/>
  <c r="S1508" i="1"/>
  <c r="S1052" i="1"/>
  <c r="S4307" i="1"/>
  <c r="S197" i="1"/>
  <c r="S1870" i="1"/>
  <c r="S4734" i="1"/>
  <c r="S1438" i="1"/>
  <c r="S1677" i="1"/>
  <c r="S564" i="1"/>
  <c r="S2587" i="1"/>
  <c r="S3584" i="1"/>
  <c r="S4916" i="1"/>
  <c r="S3260" i="1"/>
  <c r="S337" i="1"/>
  <c r="S3732" i="1"/>
  <c r="S3452" i="1"/>
  <c r="S3590" i="1"/>
  <c r="S2070" i="1"/>
  <c r="S670" i="1"/>
  <c r="S3045" i="1"/>
  <c r="S1565" i="1"/>
  <c r="S4942" i="1"/>
  <c r="S4428" i="1"/>
  <c r="S3310" i="1"/>
  <c r="S1326" i="1"/>
  <c r="S3389" i="1"/>
  <c r="S1709" i="1"/>
  <c r="S4941" i="1"/>
  <c r="S4381" i="1"/>
  <c r="S2821" i="1"/>
  <c r="S1373" i="1"/>
  <c r="S4812" i="1"/>
  <c r="S2861" i="1"/>
  <c r="S1406" i="1"/>
  <c r="S532" i="1"/>
  <c r="S252" i="1"/>
  <c r="S1188" i="1"/>
  <c r="S2003" i="1"/>
  <c r="S4102" i="1"/>
  <c r="S453" i="1"/>
  <c r="S230" i="1"/>
  <c r="S2742" i="1"/>
  <c r="S4797" i="1"/>
  <c r="S4060" i="1"/>
  <c r="S1459" i="1"/>
  <c r="S4251" i="1"/>
  <c r="S4854" i="1"/>
  <c r="S4005" i="1"/>
  <c r="S1702" i="1"/>
  <c r="S1396" i="1"/>
  <c r="S1670" i="1"/>
  <c r="S4549" i="1"/>
  <c r="S3830" i="1"/>
  <c r="S2182" i="1"/>
  <c r="S782" i="1"/>
  <c r="S4740" i="1"/>
  <c r="S774" i="1"/>
  <c r="S2854" i="1"/>
  <c r="S846" i="1"/>
  <c r="S3029" i="1"/>
  <c r="S1317" i="1"/>
  <c r="S4238" i="1"/>
  <c r="S2510" i="1"/>
  <c r="S542" i="1"/>
  <c r="S3236" i="1"/>
  <c r="S2980" i="1"/>
  <c r="S2508" i="1"/>
  <c r="S2188" i="1"/>
  <c r="S1980" i="1"/>
  <c r="S1724" i="1"/>
  <c r="S1300" i="1"/>
  <c r="S4738" i="1"/>
  <c r="S734" i="1"/>
  <c r="S3724" i="1"/>
  <c r="S2997" i="1"/>
  <c r="S3254" i="1"/>
  <c r="S4733" i="1"/>
  <c r="S4796" i="1"/>
  <c r="S2123" i="1"/>
  <c r="S1704" i="1"/>
  <c r="S4660" i="1"/>
  <c r="S2918" i="1"/>
  <c r="S1716" i="1"/>
  <c r="S4340" i="1"/>
  <c r="S4703" i="1"/>
  <c r="S3903" i="1"/>
  <c r="S2247" i="1"/>
  <c r="S4823" i="1"/>
  <c r="S3146" i="1"/>
  <c r="S1858" i="1"/>
  <c r="S4487" i="1"/>
  <c r="S2887" i="1"/>
  <c r="S2215" i="1"/>
  <c r="S1647" i="1"/>
  <c r="S1231" i="1"/>
  <c r="S831" i="1"/>
  <c r="S383" i="1"/>
  <c r="S3562" i="1"/>
  <c r="S4715" i="1"/>
  <c r="S3507" i="1"/>
  <c r="S2747" i="1"/>
  <c r="S387" i="1"/>
  <c r="S3258" i="1"/>
  <c r="S2963" i="1"/>
  <c r="S2387" i="1"/>
  <c r="S2773" i="1"/>
  <c r="S2782" i="1"/>
  <c r="S773" i="1"/>
  <c r="S390" i="1"/>
  <c r="S4669" i="1"/>
  <c r="S4204" i="1"/>
  <c r="S2875" i="1"/>
  <c r="S1824" i="1"/>
  <c r="S1813" i="1"/>
  <c r="S1748" i="1"/>
  <c r="S2283" i="1"/>
  <c r="S2538" i="1"/>
  <c r="S4468" i="1"/>
  <c r="S2206" i="1"/>
  <c r="S1620" i="1"/>
  <c r="S3094" i="1"/>
  <c r="I26" i="3"/>
  <c r="I27" i="3"/>
  <c r="I25" i="3"/>
  <c r="S4414" i="1"/>
  <c r="S2638" i="1"/>
  <c r="S686" i="1"/>
  <c r="S2781" i="1"/>
  <c r="S1189" i="1"/>
  <c r="S4765" i="1"/>
  <c r="S3925" i="1"/>
  <c r="S2277" i="1"/>
  <c r="S877" i="1"/>
  <c r="S4636" i="1"/>
  <c r="S3949" i="1"/>
  <c r="S804" i="1"/>
  <c r="S916" i="1"/>
  <c r="S4640" i="1"/>
  <c r="S3406" i="1"/>
  <c r="S341" i="1"/>
  <c r="S2414" i="1"/>
  <c r="S2144" i="1"/>
  <c r="S3741" i="1"/>
  <c r="S806" i="1"/>
  <c r="S2308" i="1"/>
  <c r="S4822" i="1"/>
  <c r="S3836" i="1"/>
  <c r="S4565" i="1"/>
  <c r="S3870" i="1"/>
  <c r="S2286" i="1"/>
  <c r="S870" i="1"/>
  <c r="S4756" i="1"/>
  <c r="S1301" i="1"/>
  <c r="S2894" i="1"/>
  <c r="S894" i="1"/>
  <c r="S3077" i="1"/>
  <c r="S1357" i="1"/>
  <c r="S4286" i="1"/>
  <c r="S2622" i="1"/>
  <c r="S606" i="1"/>
  <c r="S3244" i="1"/>
  <c r="S2988" i="1"/>
  <c r="S2516" i="1"/>
  <c r="S2196" i="1"/>
  <c r="S1988" i="1"/>
  <c r="S1732" i="1"/>
  <c r="S1476" i="1"/>
  <c r="S860" i="1"/>
  <c r="S4482" i="1"/>
  <c r="S3812" i="1"/>
  <c r="S1134" i="1"/>
  <c r="S4670" i="1"/>
  <c r="S3341" i="1"/>
  <c r="S1173" i="1"/>
  <c r="S380" i="1"/>
  <c r="S2792" i="1"/>
  <c r="S2354" i="1"/>
  <c r="S4214" i="1"/>
  <c r="S3004" i="1"/>
  <c r="S99" i="1"/>
  <c r="S3692" i="1"/>
  <c r="S3420" i="1"/>
  <c r="S3438" i="1"/>
  <c r="S1918" i="1"/>
  <c r="S510" i="1"/>
  <c r="S2845" i="1"/>
  <c r="S1437" i="1"/>
  <c r="S4878" i="1"/>
  <c r="S4172" i="1"/>
  <c r="S3110" i="1"/>
  <c r="S1118" i="1"/>
  <c r="S3189" i="1"/>
  <c r="S1533" i="1"/>
  <c r="S4877" i="1"/>
  <c r="S4125" i="1"/>
  <c r="S2613" i="1"/>
  <c r="S1213" i="1"/>
  <c r="S4748" i="1"/>
  <c r="S901" i="1"/>
  <c r="S2684" i="1"/>
  <c r="S444" i="1"/>
  <c r="S220" i="1"/>
  <c r="S1044" i="1"/>
  <c r="S707" i="1"/>
  <c r="S2958" i="1"/>
  <c r="S277" i="1"/>
  <c r="S3333" i="1"/>
  <c r="S1734" i="1"/>
  <c r="S4605" i="1"/>
  <c r="S3054" i="1"/>
  <c r="S3328" i="1"/>
  <c r="S4250" i="1"/>
  <c r="S4309" i="1"/>
  <c r="S3630" i="1"/>
  <c r="S4149" i="1"/>
  <c r="S1098" i="1"/>
  <c r="S4997" i="1"/>
  <c r="S4485" i="1"/>
  <c r="S3654" i="1"/>
  <c r="S2022" i="1"/>
  <c r="S614" i="1"/>
  <c r="S4676" i="1"/>
  <c r="S4262" i="1"/>
  <c r="S2654" i="1"/>
  <c r="S646" i="1"/>
  <c r="S2645" i="1"/>
  <c r="S1101" i="1"/>
  <c r="S4038" i="1"/>
  <c r="S2254" i="1"/>
  <c r="S4173" i="1"/>
  <c r="S3204" i="1"/>
  <c r="S2932" i="1"/>
  <c r="S2460" i="1"/>
  <c r="S2156" i="1"/>
  <c r="S1948" i="1"/>
  <c r="S1692" i="1"/>
  <c r="S1116" i="1"/>
  <c r="S3818" i="1"/>
  <c r="S3429" i="1"/>
  <c r="S3572" i="1"/>
  <c r="S1957" i="1"/>
  <c r="S2214" i="1"/>
  <c r="S4541" i="1"/>
  <c r="S4668" i="1"/>
  <c r="S1315" i="1"/>
  <c r="S3013" i="1"/>
  <c r="S2037" i="1"/>
  <c r="S902" i="1"/>
  <c r="S1460" i="1"/>
  <c r="S4131" i="1"/>
  <c r="S4335" i="1"/>
  <c r="S4979" i="1"/>
  <c r="S1551" i="1"/>
  <c r="S4970" i="1"/>
  <c r="S3002" i="1"/>
  <c r="S1175" i="1"/>
  <c r="S4223" i="1"/>
  <c r="S2783" i="1"/>
  <c r="S2135" i="1"/>
  <c r="S1543" i="1"/>
  <c r="S1191" i="1"/>
  <c r="S783" i="1"/>
  <c r="S343" i="1"/>
  <c r="S3215" i="1"/>
  <c r="S4459" i="1"/>
  <c r="S3115" i="1"/>
  <c r="S2603" i="1"/>
  <c r="S203" i="1"/>
  <c r="S3130" i="1"/>
  <c r="S4896" i="1"/>
  <c r="S3634" i="1"/>
  <c r="S1989" i="1"/>
  <c r="S2030" i="1"/>
  <c r="S4798" i="1"/>
  <c r="S3557" i="1"/>
  <c r="S4317" i="1"/>
  <c r="S788" i="1"/>
  <c r="S2363" i="1"/>
  <c r="S4534" i="1"/>
  <c r="S4068" i="1"/>
  <c r="S1492" i="1"/>
  <c r="S3048" i="1"/>
  <c r="S1829" i="1"/>
  <c r="S4422" i="1"/>
  <c r="S1102" i="1"/>
  <c r="S1108" i="1"/>
  <c r="S161" i="1"/>
  <c r="H7" i="1"/>
  <c r="I7" i="1" s="1"/>
  <c r="I6" i="1"/>
  <c r="C9" i="1"/>
  <c r="F4168" i="1"/>
  <c r="F8" i="1"/>
  <c r="F4008" i="1"/>
  <c r="F4169" i="1"/>
  <c r="D4168" i="1"/>
  <c r="F1357" i="1"/>
  <c r="F4178" i="1"/>
  <c r="C4009" i="1"/>
  <c r="D4008" i="1"/>
  <c r="D8" i="1"/>
  <c r="C4198" i="1"/>
  <c r="F4197" i="1"/>
  <c r="D4197" i="1"/>
  <c r="C1358" i="1"/>
  <c r="D1357" i="1"/>
  <c r="C4170" i="1"/>
  <c r="D4169" i="1"/>
  <c r="C4179" i="1"/>
  <c r="D4178" i="1"/>
  <c r="H26" i="3" l="1"/>
  <c r="L26" i="3" s="1"/>
  <c r="M26" i="3" s="1"/>
  <c r="H25" i="3"/>
  <c r="H27" i="3"/>
  <c r="L27" i="3" s="1"/>
  <c r="M27" i="3" s="1"/>
  <c r="H8" i="1"/>
  <c r="J7" i="1"/>
  <c r="F9" i="1"/>
  <c r="D9" i="1"/>
  <c r="C10" i="1"/>
  <c r="F4009" i="1"/>
  <c r="F4179" i="1"/>
  <c r="F4170" i="1"/>
  <c r="F1358" i="1"/>
  <c r="C4010" i="1"/>
  <c r="D4009" i="1"/>
  <c r="F4198" i="1"/>
  <c r="D4198" i="1"/>
  <c r="C4199" i="1"/>
  <c r="C1359" i="1"/>
  <c r="D1358" i="1"/>
  <c r="C4180" i="1"/>
  <c r="D4179" i="1"/>
  <c r="C4171" i="1"/>
  <c r="D4170" i="1"/>
  <c r="J27" i="3" l="1"/>
  <c r="P27" i="3" s="1"/>
  <c r="J25" i="3"/>
  <c r="J26" i="3"/>
  <c r="P26" i="3" s="1"/>
  <c r="O26" i="3"/>
  <c r="O27" i="3"/>
  <c r="L25" i="3"/>
  <c r="O25" i="3" s="1"/>
  <c r="H28" i="3"/>
  <c r="E27" i="3" s="1"/>
  <c r="H9" i="1"/>
  <c r="I9" i="1" s="1"/>
  <c r="J8" i="1"/>
  <c r="I8" i="1"/>
  <c r="C11" i="1"/>
  <c r="F10" i="1"/>
  <c r="D10" i="1"/>
  <c r="F1359" i="1"/>
  <c r="F4171" i="1"/>
  <c r="F4180" i="1"/>
  <c r="F4010" i="1"/>
  <c r="C4011" i="1"/>
  <c r="D4011" i="1" s="1"/>
  <c r="D4010" i="1"/>
  <c r="F4199" i="1"/>
  <c r="C4200" i="1"/>
  <c r="D4199" i="1"/>
  <c r="C1360" i="1"/>
  <c r="D1359" i="1"/>
  <c r="C4172" i="1"/>
  <c r="D4171" i="1"/>
  <c r="C4181" i="1"/>
  <c r="D4180" i="1"/>
  <c r="J28" i="3" l="1"/>
  <c r="P25" i="3"/>
  <c r="P28" i="3" s="1"/>
  <c r="E25" i="3"/>
  <c r="O28" i="3"/>
  <c r="M25" i="3"/>
  <c r="M28" i="3" s="1"/>
  <c r="L28" i="3"/>
  <c r="E26" i="3"/>
  <c r="H10" i="1"/>
  <c r="J9" i="1"/>
  <c r="F11" i="1"/>
  <c r="D11" i="1"/>
  <c r="C12" i="1"/>
  <c r="F1360" i="1"/>
  <c r="F4181" i="1"/>
  <c r="F4172" i="1"/>
  <c r="C4012" i="1"/>
  <c r="D4012" i="1" s="1"/>
  <c r="F4011" i="1"/>
  <c r="F4200" i="1"/>
  <c r="C4201" i="1"/>
  <c r="D4200" i="1"/>
  <c r="C1361" i="1"/>
  <c r="D1360" i="1"/>
  <c r="C4182" i="1"/>
  <c r="D4181" i="1"/>
  <c r="C4173" i="1"/>
  <c r="D4172" i="1"/>
  <c r="E28" i="3" l="1"/>
  <c r="H11" i="1"/>
  <c r="I11" i="1" s="1"/>
  <c r="J10" i="1"/>
  <c r="I10" i="1"/>
  <c r="C13" i="1"/>
  <c r="F12" i="1"/>
  <c r="D12" i="1"/>
  <c r="C4013" i="1"/>
  <c r="D4013" i="1" s="1"/>
  <c r="F1361" i="1"/>
  <c r="F4012" i="1"/>
  <c r="F4173" i="1"/>
  <c r="F4182" i="1"/>
  <c r="F4201" i="1"/>
  <c r="C4202" i="1"/>
  <c r="D4201" i="1"/>
  <c r="D1361" i="1"/>
  <c r="C1362" i="1"/>
  <c r="C4174" i="1"/>
  <c r="D4173" i="1"/>
  <c r="C4183" i="1"/>
  <c r="D4182" i="1"/>
  <c r="H12" i="1" l="1"/>
  <c r="I12" i="1" s="1"/>
  <c r="J11" i="1"/>
  <c r="F13" i="1"/>
  <c r="D13" i="1"/>
  <c r="C14" i="1"/>
  <c r="C4014" i="1"/>
  <c r="F4014" i="1" s="1"/>
  <c r="F4183" i="1"/>
  <c r="F4013" i="1"/>
  <c r="F4174" i="1"/>
  <c r="F1362" i="1"/>
  <c r="F4202" i="1"/>
  <c r="C4203" i="1"/>
  <c r="D4202" i="1"/>
  <c r="C1363" i="1"/>
  <c r="D1362" i="1"/>
  <c r="C4184" i="1"/>
  <c r="D4183" i="1"/>
  <c r="C4175" i="1"/>
  <c r="D4174" i="1"/>
  <c r="H13" i="1" l="1"/>
  <c r="I13" i="1" s="1"/>
  <c r="J12" i="1"/>
  <c r="C15" i="1"/>
  <c r="F14" i="1"/>
  <c r="D14" i="1"/>
  <c r="D4014" i="1"/>
  <c r="C4015" i="1"/>
  <c r="F4015" i="1" s="1"/>
  <c r="F1363" i="1"/>
  <c r="F4184" i="1"/>
  <c r="F4203" i="1"/>
  <c r="C4204" i="1"/>
  <c r="D4203" i="1"/>
  <c r="D4175" i="1"/>
  <c r="F4175" i="1"/>
  <c r="D1363" i="1"/>
  <c r="C1364" i="1"/>
  <c r="C4185" i="1"/>
  <c r="D4184" i="1"/>
  <c r="H4176" i="1" l="1"/>
  <c r="H14" i="1"/>
  <c r="J13" i="1"/>
  <c r="D15" i="1"/>
  <c r="C16" i="1"/>
  <c r="F15" i="1"/>
  <c r="C4016" i="1"/>
  <c r="D4016" i="1" s="1"/>
  <c r="D4015" i="1"/>
  <c r="F4185" i="1"/>
  <c r="F1364" i="1"/>
  <c r="F4204" i="1"/>
  <c r="C4205" i="1"/>
  <c r="D4204" i="1"/>
  <c r="C1365" i="1"/>
  <c r="D1364" i="1"/>
  <c r="C4186" i="1"/>
  <c r="D4185" i="1"/>
  <c r="H4177" i="1" l="1"/>
  <c r="J4176" i="1"/>
  <c r="I4176" i="1"/>
  <c r="H15" i="1"/>
  <c r="J14" i="1"/>
  <c r="I14" i="1"/>
  <c r="D16" i="1"/>
  <c r="C17" i="1"/>
  <c r="F16" i="1"/>
  <c r="C4017" i="1"/>
  <c r="F4017" i="1" s="1"/>
  <c r="F4016" i="1"/>
  <c r="F4186" i="1"/>
  <c r="F1365" i="1"/>
  <c r="F4205" i="1"/>
  <c r="C4206" i="1"/>
  <c r="D4205" i="1"/>
  <c r="C1366" i="1"/>
  <c r="D1365" i="1"/>
  <c r="C4187" i="1"/>
  <c r="D4186" i="1"/>
  <c r="H16" i="1" l="1"/>
  <c r="I16" i="1" s="1"/>
  <c r="J15" i="1"/>
  <c r="H4186" i="1"/>
  <c r="J4186" i="1" s="1"/>
  <c r="I15" i="1"/>
  <c r="J4177" i="1"/>
  <c r="I4177" i="1"/>
  <c r="H4178" i="1"/>
  <c r="F17" i="1"/>
  <c r="D17" i="1"/>
  <c r="C18" i="1"/>
  <c r="C19" i="1" s="1"/>
  <c r="C4018" i="1"/>
  <c r="F4018" i="1" s="1"/>
  <c r="D4017" i="1"/>
  <c r="F1366" i="1"/>
  <c r="F4187" i="1"/>
  <c r="F4206" i="1"/>
  <c r="C4207" i="1"/>
  <c r="D4206" i="1"/>
  <c r="C1367" i="1"/>
  <c r="D1366" i="1"/>
  <c r="C4188" i="1"/>
  <c r="D4187" i="1"/>
  <c r="I4186" i="1" l="1"/>
  <c r="J4178" i="1"/>
  <c r="I4178" i="1"/>
  <c r="H4179" i="1"/>
  <c r="H4187" i="1"/>
  <c r="J4187" i="1" s="1"/>
  <c r="H17" i="1"/>
  <c r="J16" i="1"/>
  <c r="F18" i="1"/>
  <c r="D18" i="1"/>
  <c r="C4019" i="1"/>
  <c r="D4019" i="1" s="1"/>
  <c r="D4018" i="1"/>
  <c r="F1367" i="1"/>
  <c r="F19" i="1"/>
  <c r="F4188" i="1"/>
  <c r="F4207" i="1"/>
  <c r="C4208" i="1"/>
  <c r="D4207" i="1"/>
  <c r="C1368" i="1"/>
  <c r="D1367" i="1"/>
  <c r="C20" i="1"/>
  <c r="D19" i="1"/>
  <c r="C4189" i="1"/>
  <c r="D4188" i="1"/>
  <c r="I4187" i="1" l="1"/>
  <c r="H18" i="1"/>
  <c r="I18" i="1" s="1"/>
  <c r="J17" i="1"/>
  <c r="I17" i="1"/>
  <c r="H4188" i="1"/>
  <c r="J4188" i="1" s="1"/>
  <c r="J4179" i="1"/>
  <c r="I4179" i="1"/>
  <c r="H4180" i="1"/>
  <c r="C4020" i="1"/>
  <c r="D4020" i="1" s="1"/>
  <c r="F4019" i="1"/>
  <c r="F1368" i="1"/>
  <c r="F4189" i="1"/>
  <c r="F20" i="1"/>
  <c r="F4208" i="1"/>
  <c r="C4209" i="1"/>
  <c r="D4208" i="1"/>
  <c r="D1368" i="1"/>
  <c r="C1369" i="1"/>
  <c r="C4190" i="1"/>
  <c r="D4189" i="1"/>
  <c r="C21" i="1"/>
  <c r="D20" i="1"/>
  <c r="C4021" i="1" l="1"/>
  <c r="F4021" i="1" s="1"/>
  <c r="I4188" i="1"/>
  <c r="H4189" i="1"/>
  <c r="J4189" i="1" s="1"/>
  <c r="J4180" i="1"/>
  <c r="I4180" i="1"/>
  <c r="H4181" i="1"/>
  <c r="H19" i="1"/>
  <c r="J18" i="1"/>
  <c r="F4020" i="1"/>
  <c r="F21" i="1"/>
  <c r="F4190" i="1"/>
  <c r="F1369" i="1"/>
  <c r="F4209" i="1"/>
  <c r="C4210" i="1"/>
  <c r="D4209" i="1"/>
  <c r="C1370" i="1"/>
  <c r="D1369" i="1"/>
  <c r="C22" i="1"/>
  <c r="D21" i="1"/>
  <c r="C4191" i="1"/>
  <c r="D4190" i="1"/>
  <c r="C4022" i="1" l="1"/>
  <c r="F4022" i="1" s="1"/>
  <c r="D4021" i="1"/>
  <c r="I4189" i="1"/>
  <c r="H20" i="1"/>
  <c r="J19" i="1"/>
  <c r="I19" i="1"/>
  <c r="J4181" i="1"/>
  <c r="I4181" i="1"/>
  <c r="H4182" i="1"/>
  <c r="H4190" i="1"/>
  <c r="J4190" i="1" s="1"/>
  <c r="F4191" i="1"/>
  <c r="F22" i="1"/>
  <c r="F1370" i="1"/>
  <c r="F4210" i="1"/>
  <c r="C4211" i="1"/>
  <c r="D4210" i="1"/>
  <c r="D1370" i="1"/>
  <c r="C1371" i="1"/>
  <c r="C4192" i="1"/>
  <c r="D4191" i="1"/>
  <c r="C23" i="1"/>
  <c r="D22" i="1"/>
  <c r="C4023" i="1" l="1"/>
  <c r="D4023" i="1" s="1"/>
  <c r="D4022" i="1"/>
  <c r="I4190" i="1"/>
  <c r="H4191" i="1"/>
  <c r="J4191" i="1" s="1"/>
  <c r="J4182" i="1"/>
  <c r="I4182" i="1"/>
  <c r="H4183" i="1"/>
  <c r="H21" i="1"/>
  <c r="J20" i="1"/>
  <c r="I20" i="1"/>
  <c r="F23" i="1"/>
  <c r="F4192" i="1"/>
  <c r="F1371" i="1"/>
  <c r="F4211" i="1"/>
  <c r="C4212" i="1"/>
  <c r="D4211" i="1"/>
  <c r="C1372" i="1"/>
  <c r="D1371" i="1"/>
  <c r="C24" i="1"/>
  <c r="D23" i="1"/>
  <c r="C4193" i="1"/>
  <c r="D4192" i="1"/>
  <c r="C4024" i="1" l="1"/>
  <c r="D4024" i="1" s="1"/>
  <c r="F4023" i="1"/>
  <c r="H4192" i="1"/>
  <c r="J4192" i="1" s="1"/>
  <c r="H22" i="1"/>
  <c r="J21" i="1"/>
  <c r="I21" i="1"/>
  <c r="J4183" i="1"/>
  <c r="I4183" i="1"/>
  <c r="H4184" i="1"/>
  <c r="I4191" i="1"/>
  <c r="F1372" i="1"/>
  <c r="F24" i="1"/>
  <c r="F4193" i="1"/>
  <c r="F4212" i="1"/>
  <c r="C4213" i="1"/>
  <c r="D4212" i="1"/>
  <c r="C1373" i="1"/>
  <c r="D1372" i="1"/>
  <c r="C4194" i="1"/>
  <c r="D4193" i="1"/>
  <c r="C25" i="1"/>
  <c r="D24" i="1"/>
  <c r="C4025" i="1" l="1"/>
  <c r="F4025" i="1" s="1"/>
  <c r="F4024" i="1"/>
  <c r="H4193" i="1"/>
  <c r="J4193" i="1" s="1"/>
  <c r="H23" i="1"/>
  <c r="J22" i="1"/>
  <c r="I22" i="1"/>
  <c r="J4184" i="1"/>
  <c r="I4184" i="1"/>
  <c r="H4185" i="1"/>
  <c r="I4192" i="1"/>
  <c r="F1373" i="1"/>
  <c r="F25" i="1"/>
  <c r="F4194" i="1"/>
  <c r="F4213" i="1"/>
  <c r="C4214" i="1"/>
  <c r="D4213" i="1"/>
  <c r="C1374" i="1"/>
  <c r="D1373" i="1"/>
  <c r="C26" i="1"/>
  <c r="D25" i="1"/>
  <c r="C4195" i="1"/>
  <c r="D4194" i="1"/>
  <c r="C4026" i="1" l="1"/>
  <c r="F4026" i="1" s="1"/>
  <c r="D4025" i="1"/>
  <c r="H4194" i="1"/>
  <c r="J4194" i="1" s="1"/>
  <c r="I4193" i="1"/>
  <c r="I4185" i="1"/>
  <c r="J4185" i="1"/>
  <c r="H24" i="1"/>
  <c r="J23" i="1"/>
  <c r="I23" i="1"/>
  <c r="F26" i="1"/>
  <c r="F1374" i="1"/>
  <c r="F4214" i="1"/>
  <c r="C4215" i="1"/>
  <c r="D4214" i="1"/>
  <c r="D4195" i="1"/>
  <c r="F4195" i="1"/>
  <c r="C1375" i="1"/>
  <c r="D1374" i="1"/>
  <c r="C27" i="1"/>
  <c r="D26" i="1"/>
  <c r="D4026" i="1" l="1"/>
  <c r="C4027" i="1"/>
  <c r="F4027" i="1" s="1"/>
  <c r="H4196" i="1"/>
  <c r="H4195" i="1"/>
  <c r="H25" i="1"/>
  <c r="J24" i="1"/>
  <c r="I24" i="1"/>
  <c r="I4194" i="1"/>
  <c r="F1375" i="1"/>
  <c r="F27" i="1"/>
  <c r="F4215" i="1"/>
  <c r="C4216" i="1"/>
  <c r="D4215" i="1"/>
  <c r="C1376" i="1"/>
  <c r="D1375" i="1"/>
  <c r="C28" i="1"/>
  <c r="D27" i="1"/>
  <c r="D4027" i="1" l="1"/>
  <c r="C4028" i="1"/>
  <c r="C4029" i="1" s="1"/>
  <c r="H26" i="1"/>
  <c r="J25" i="1"/>
  <c r="I25" i="1"/>
  <c r="I4195" i="1"/>
  <c r="J4195" i="1"/>
  <c r="H4197" i="1"/>
  <c r="J4196" i="1"/>
  <c r="I4196" i="1"/>
  <c r="F28" i="1"/>
  <c r="F1376" i="1"/>
  <c r="F4216" i="1"/>
  <c r="C4217" i="1"/>
  <c r="D4216" i="1"/>
  <c r="C1377" i="1"/>
  <c r="D1376" i="1"/>
  <c r="C29" i="1"/>
  <c r="D28" i="1"/>
  <c r="F4028" i="1" l="1"/>
  <c r="D4028" i="1"/>
  <c r="J4197" i="1"/>
  <c r="I4197" i="1"/>
  <c r="H4198" i="1"/>
  <c r="H27" i="1"/>
  <c r="J26" i="1"/>
  <c r="I26" i="1"/>
  <c r="H4216" i="1"/>
  <c r="J4216" i="1" s="1"/>
  <c r="F4029" i="1"/>
  <c r="F1377" i="1"/>
  <c r="F29" i="1"/>
  <c r="F4217" i="1"/>
  <c r="C4218" i="1"/>
  <c r="D4217" i="1"/>
  <c r="C1378" i="1"/>
  <c r="D1377" i="1"/>
  <c r="C30" i="1"/>
  <c r="D29" i="1"/>
  <c r="C4030" i="1"/>
  <c r="D4029" i="1"/>
  <c r="I4216" i="1" l="1"/>
  <c r="H28" i="1"/>
  <c r="J27" i="1"/>
  <c r="I27" i="1"/>
  <c r="J4198" i="1"/>
  <c r="I4198" i="1"/>
  <c r="H4199" i="1"/>
  <c r="H4217" i="1"/>
  <c r="I4217" i="1" s="1"/>
  <c r="F4030" i="1"/>
  <c r="F30" i="1"/>
  <c r="F1378" i="1"/>
  <c r="F4218" i="1"/>
  <c r="C4219" i="1"/>
  <c r="D4218" i="1"/>
  <c r="C1379" i="1"/>
  <c r="D1378" i="1"/>
  <c r="C4031" i="1"/>
  <c r="D4030" i="1"/>
  <c r="C31" i="1"/>
  <c r="D30" i="1"/>
  <c r="J4199" i="1" l="1"/>
  <c r="I4199" i="1"/>
  <c r="H4200" i="1"/>
  <c r="H4218" i="1"/>
  <c r="J4218" i="1" s="1"/>
  <c r="J4217" i="1"/>
  <c r="H29" i="1"/>
  <c r="J28" i="1"/>
  <c r="I28" i="1"/>
  <c r="F4031" i="1"/>
  <c r="F31" i="1"/>
  <c r="F1379" i="1"/>
  <c r="F4219" i="1"/>
  <c r="D4219" i="1"/>
  <c r="C4220" i="1"/>
  <c r="C1380" i="1"/>
  <c r="D1379" i="1"/>
  <c r="C32" i="1"/>
  <c r="D31" i="1"/>
  <c r="C4032" i="1"/>
  <c r="D4031" i="1"/>
  <c r="H30" i="1" l="1"/>
  <c r="J29" i="1"/>
  <c r="I29" i="1"/>
  <c r="H4219" i="1"/>
  <c r="J4219" i="1" s="1"/>
  <c r="I4218" i="1"/>
  <c r="J4200" i="1"/>
  <c r="I4200" i="1"/>
  <c r="H4201" i="1"/>
  <c r="F1380" i="1"/>
  <c r="F32" i="1"/>
  <c r="F4032" i="1"/>
  <c r="F4220" i="1"/>
  <c r="C4221" i="1"/>
  <c r="D4220" i="1"/>
  <c r="D1380" i="1"/>
  <c r="C1381" i="1"/>
  <c r="C4033" i="1"/>
  <c r="D4032" i="1"/>
  <c r="C33" i="1"/>
  <c r="D32" i="1"/>
  <c r="I4219" i="1" l="1"/>
  <c r="J4201" i="1"/>
  <c r="I4201" i="1"/>
  <c r="H4202" i="1"/>
  <c r="H4220" i="1"/>
  <c r="J4220" i="1" s="1"/>
  <c r="H31" i="1"/>
  <c r="J30" i="1"/>
  <c r="I30" i="1"/>
  <c r="F1381" i="1"/>
  <c r="F4033" i="1"/>
  <c r="F33" i="1"/>
  <c r="F4221" i="1"/>
  <c r="C4222" i="1"/>
  <c r="D4221" i="1"/>
  <c r="C1382" i="1"/>
  <c r="D1381" i="1"/>
  <c r="C4507" i="1"/>
  <c r="C34" i="1"/>
  <c r="D33" i="1"/>
  <c r="C4034" i="1"/>
  <c r="D4033" i="1"/>
  <c r="G4507" i="1" l="1"/>
  <c r="J4507" i="1" s="1"/>
  <c r="J4202" i="1"/>
  <c r="I4202" i="1"/>
  <c r="H4203" i="1"/>
  <c r="H4221" i="1"/>
  <c r="J4221" i="1" s="1"/>
  <c r="H32" i="1"/>
  <c r="J31" i="1"/>
  <c r="I31" i="1"/>
  <c r="I4220" i="1"/>
  <c r="F34" i="1"/>
  <c r="F1382" i="1"/>
  <c r="F4034" i="1"/>
  <c r="D4507" i="1"/>
  <c r="F4507" i="1"/>
  <c r="F4222" i="1"/>
  <c r="C4223" i="1"/>
  <c r="D4222" i="1"/>
  <c r="C4508" i="1"/>
  <c r="D1382" i="1"/>
  <c r="C1383" i="1"/>
  <c r="C4035" i="1"/>
  <c r="D4034" i="1"/>
  <c r="C35" i="1"/>
  <c r="D34" i="1"/>
  <c r="G4508" i="1" l="1"/>
  <c r="J4508" i="1" s="1"/>
  <c r="H33" i="1"/>
  <c r="J32" i="1"/>
  <c r="I32" i="1"/>
  <c r="I4221" i="1"/>
  <c r="H4507" i="1"/>
  <c r="I4507" i="1" s="1"/>
  <c r="H4222" i="1"/>
  <c r="J4222" i="1" s="1"/>
  <c r="J4203" i="1"/>
  <c r="I4203" i="1"/>
  <c r="H4204" i="1"/>
  <c r="C4509" i="1"/>
  <c r="C4510" i="1" s="1"/>
  <c r="F35" i="1"/>
  <c r="F1383" i="1"/>
  <c r="F4035" i="1"/>
  <c r="D4508" i="1"/>
  <c r="F4508" i="1"/>
  <c r="F4223" i="1"/>
  <c r="C4224" i="1"/>
  <c r="D4223" i="1"/>
  <c r="C1384" i="1"/>
  <c r="D1383" i="1"/>
  <c r="C36" i="1"/>
  <c r="D35" i="1"/>
  <c r="C4036" i="1"/>
  <c r="D4035" i="1"/>
  <c r="G4510" i="1" l="1"/>
  <c r="J4510" i="1" s="1"/>
  <c r="G4509" i="1"/>
  <c r="J4509" i="1" s="1"/>
  <c r="I4222" i="1"/>
  <c r="H34" i="1"/>
  <c r="J33" i="1"/>
  <c r="I33" i="1"/>
  <c r="H4223" i="1"/>
  <c r="J4223" i="1" s="1"/>
  <c r="H4508" i="1"/>
  <c r="I4508" i="1" s="1"/>
  <c r="J4204" i="1"/>
  <c r="I4204" i="1"/>
  <c r="H4205" i="1"/>
  <c r="F4509" i="1"/>
  <c r="D4509" i="1"/>
  <c r="F1384" i="1"/>
  <c r="F4510" i="1"/>
  <c r="F36" i="1"/>
  <c r="F4036" i="1"/>
  <c r="F4224" i="1"/>
  <c r="C4225" i="1"/>
  <c r="D4224" i="1"/>
  <c r="D1384" i="1"/>
  <c r="C1385" i="1"/>
  <c r="D4510" i="1"/>
  <c r="C4511" i="1"/>
  <c r="G4511" i="1" s="1"/>
  <c r="C4076" i="1"/>
  <c r="C4116" i="1"/>
  <c r="C4037" i="1"/>
  <c r="D4036" i="1"/>
  <c r="C37" i="1"/>
  <c r="D36" i="1"/>
  <c r="H4509" i="1" l="1"/>
  <c r="I4509" i="1" s="1"/>
  <c r="H4224" i="1"/>
  <c r="J4224" i="1" s="1"/>
  <c r="I4223" i="1"/>
  <c r="H35" i="1"/>
  <c r="J34" i="1"/>
  <c r="I34" i="1"/>
  <c r="H4510" i="1"/>
  <c r="I4510" i="1" s="1"/>
  <c r="J4205" i="1"/>
  <c r="I4205" i="1"/>
  <c r="H4206" i="1"/>
  <c r="F1385" i="1"/>
  <c r="F4116" i="1"/>
  <c r="F4076" i="1"/>
  <c r="F4511" i="1"/>
  <c r="F4037" i="1"/>
  <c r="F37" i="1"/>
  <c r="F4225" i="1"/>
  <c r="C4226" i="1"/>
  <c r="D4225" i="1"/>
  <c r="D4511" i="1"/>
  <c r="C4512" i="1"/>
  <c r="G4512" i="1" s="1"/>
  <c r="D1385" i="1"/>
  <c r="C1386" i="1"/>
  <c r="C4077" i="1"/>
  <c r="D4076" i="1"/>
  <c r="C4117" i="1"/>
  <c r="D4116" i="1"/>
  <c r="C38" i="1"/>
  <c r="D37" i="1"/>
  <c r="C4038" i="1"/>
  <c r="D4037" i="1"/>
  <c r="I4224" i="1" l="1"/>
  <c r="H4225" i="1"/>
  <c r="J4225" i="1" s="1"/>
  <c r="J4206" i="1"/>
  <c r="I4206" i="1"/>
  <c r="H4207" i="1"/>
  <c r="H36" i="1"/>
  <c r="J35" i="1"/>
  <c r="I35" i="1"/>
  <c r="H4511" i="1"/>
  <c r="J4511" i="1" s="1"/>
  <c r="F4038" i="1"/>
  <c r="F38" i="1"/>
  <c r="F4117" i="1"/>
  <c r="F4077" i="1"/>
  <c r="F1386" i="1"/>
  <c r="F4512" i="1"/>
  <c r="F4226" i="1"/>
  <c r="C4227" i="1"/>
  <c r="D4226" i="1"/>
  <c r="D1386" i="1"/>
  <c r="C1387" i="1"/>
  <c r="D4512" i="1"/>
  <c r="C4513" i="1"/>
  <c r="G4513" i="1" s="1"/>
  <c r="C4118" i="1"/>
  <c r="D4117" i="1"/>
  <c r="C4078" i="1"/>
  <c r="D4077" i="1"/>
  <c r="C4039" i="1"/>
  <c r="D4038" i="1"/>
  <c r="C39" i="1"/>
  <c r="D38" i="1"/>
  <c r="I4225" i="1" l="1"/>
  <c r="H37" i="1"/>
  <c r="J36" i="1"/>
  <c r="I36" i="1"/>
  <c r="H4226" i="1"/>
  <c r="J4226" i="1" s="1"/>
  <c r="I4511" i="1"/>
  <c r="J4207" i="1"/>
  <c r="I4207" i="1"/>
  <c r="H4208" i="1"/>
  <c r="H4512" i="1"/>
  <c r="J4512" i="1" s="1"/>
  <c r="F39" i="1"/>
  <c r="F4039" i="1"/>
  <c r="F4078" i="1"/>
  <c r="F4118" i="1"/>
  <c r="F4513" i="1"/>
  <c r="F1387" i="1"/>
  <c r="F4227" i="1"/>
  <c r="C4228" i="1"/>
  <c r="D4227" i="1"/>
  <c r="D4513" i="1"/>
  <c r="C4514" i="1"/>
  <c r="G4514" i="1" s="1"/>
  <c r="C1388" i="1"/>
  <c r="D1387" i="1"/>
  <c r="C4079" i="1"/>
  <c r="D4078" i="1"/>
  <c r="D4118" i="1"/>
  <c r="C4119" i="1"/>
  <c r="C40" i="1"/>
  <c r="D39" i="1"/>
  <c r="C4040" i="1"/>
  <c r="D4039" i="1"/>
  <c r="I4226" i="1" l="1"/>
  <c r="I4512" i="1"/>
  <c r="H38" i="1"/>
  <c r="J37" i="1"/>
  <c r="I37" i="1"/>
  <c r="H4227" i="1"/>
  <c r="J4227" i="1" s="1"/>
  <c r="J4208" i="1"/>
  <c r="I4208" i="1"/>
  <c r="H4209" i="1"/>
  <c r="H4513" i="1"/>
  <c r="J4513" i="1" s="1"/>
  <c r="F4040" i="1"/>
  <c r="F40" i="1"/>
  <c r="F4119" i="1"/>
  <c r="F4079" i="1"/>
  <c r="F1388" i="1"/>
  <c r="F4514" i="1"/>
  <c r="F4228" i="1"/>
  <c r="C4229" i="1"/>
  <c r="D4228" i="1"/>
  <c r="C1389" i="1"/>
  <c r="D1388" i="1"/>
  <c r="D4514" i="1"/>
  <c r="C4515" i="1"/>
  <c r="G4515" i="1" s="1"/>
  <c r="C4120" i="1"/>
  <c r="D4119" i="1"/>
  <c r="C4080" i="1"/>
  <c r="D4079" i="1"/>
  <c r="C4041" i="1"/>
  <c r="D4040" i="1"/>
  <c r="C41" i="1"/>
  <c r="D40" i="1"/>
  <c r="I4227" i="1" l="1"/>
  <c r="H4228" i="1"/>
  <c r="J4228" i="1" s="1"/>
  <c r="I4513" i="1"/>
  <c r="H39" i="1"/>
  <c r="J38" i="1"/>
  <c r="I38" i="1"/>
  <c r="H4514" i="1"/>
  <c r="I4514" i="1" s="1"/>
  <c r="J4209" i="1"/>
  <c r="I4209" i="1"/>
  <c r="H4210" i="1"/>
  <c r="F41" i="1"/>
  <c r="F4041" i="1"/>
  <c r="F4080" i="1"/>
  <c r="F4120" i="1"/>
  <c r="F4515" i="1"/>
  <c r="F1389" i="1"/>
  <c r="F4229" i="1"/>
  <c r="C4230" i="1"/>
  <c r="D4229" i="1"/>
  <c r="C1390" i="1"/>
  <c r="D1389" i="1"/>
  <c r="D4515" i="1"/>
  <c r="C4516" i="1"/>
  <c r="G4516" i="1" s="1"/>
  <c r="C4081" i="1"/>
  <c r="D4080" i="1"/>
  <c r="C4121" i="1"/>
  <c r="D4120" i="1"/>
  <c r="C42" i="1"/>
  <c r="D41" i="1"/>
  <c r="C4042" i="1"/>
  <c r="D4041" i="1"/>
  <c r="I4228" i="1" l="1"/>
  <c r="J4210" i="1"/>
  <c r="I4210" i="1"/>
  <c r="H4211" i="1"/>
  <c r="H4515" i="1"/>
  <c r="J4515" i="1" s="1"/>
  <c r="J4514" i="1"/>
  <c r="H40" i="1"/>
  <c r="J39" i="1"/>
  <c r="I39" i="1"/>
  <c r="H4229" i="1"/>
  <c r="J4229" i="1" s="1"/>
  <c r="F4042" i="1"/>
  <c r="F42" i="1"/>
  <c r="F4121" i="1"/>
  <c r="F4081" i="1"/>
  <c r="F4516" i="1"/>
  <c r="F1390" i="1"/>
  <c r="F4230" i="1"/>
  <c r="D4230" i="1"/>
  <c r="C4231" i="1"/>
  <c r="C1391" i="1"/>
  <c r="D1390" i="1"/>
  <c r="D4516" i="1"/>
  <c r="C4517" i="1"/>
  <c r="G4517" i="1" s="1"/>
  <c r="C4122" i="1"/>
  <c r="D4121" i="1"/>
  <c r="C4082" i="1"/>
  <c r="D4081" i="1"/>
  <c r="C4043" i="1"/>
  <c r="D4042" i="1"/>
  <c r="C43" i="1"/>
  <c r="D42" i="1"/>
  <c r="H4516" i="1" l="1"/>
  <c r="J4516" i="1" s="1"/>
  <c r="H41" i="1"/>
  <c r="J40" i="1"/>
  <c r="I40" i="1"/>
  <c r="J4211" i="1"/>
  <c r="I4211" i="1"/>
  <c r="H4212" i="1"/>
  <c r="I4229" i="1"/>
  <c r="H4230" i="1"/>
  <c r="J4230" i="1" s="1"/>
  <c r="I4515" i="1"/>
  <c r="F43" i="1"/>
  <c r="F4043" i="1"/>
  <c r="F4082" i="1"/>
  <c r="F4122" i="1"/>
  <c r="F4517" i="1"/>
  <c r="F1391" i="1"/>
  <c r="F4231" i="1"/>
  <c r="C4232" i="1"/>
  <c r="D4231" i="1"/>
  <c r="D4517" i="1"/>
  <c r="C4518" i="1"/>
  <c r="G4518" i="1" s="1"/>
  <c r="C1392" i="1"/>
  <c r="D1391" i="1"/>
  <c r="C4083" i="1"/>
  <c r="D4082" i="1"/>
  <c r="D4122" i="1"/>
  <c r="C4123" i="1"/>
  <c r="C44" i="1"/>
  <c r="D43" i="1"/>
  <c r="C4044" i="1"/>
  <c r="D4043" i="1"/>
  <c r="I4516" i="1" l="1"/>
  <c r="H4231" i="1"/>
  <c r="J4231" i="1" s="1"/>
  <c r="H4517" i="1"/>
  <c r="J4517" i="1" s="1"/>
  <c r="I4230" i="1"/>
  <c r="H42" i="1"/>
  <c r="J41" i="1"/>
  <c r="I41" i="1"/>
  <c r="J4212" i="1"/>
  <c r="I4212" i="1"/>
  <c r="H4213" i="1"/>
  <c r="F4044" i="1"/>
  <c r="F44" i="1"/>
  <c r="F4123" i="1"/>
  <c r="F4083" i="1"/>
  <c r="F1392" i="1"/>
  <c r="F4518" i="1"/>
  <c r="F4232" i="1"/>
  <c r="D4232" i="1"/>
  <c r="C4233" i="1"/>
  <c r="D4518" i="1"/>
  <c r="C4519" i="1"/>
  <c r="G4519" i="1" s="1"/>
  <c r="C1393" i="1"/>
  <c r="D1392" i="1"/>
  <c r="C4124" i="1"/>
  <c r="D4123" i="1"/>
  <c r="C4084" i="1"/>
  <c r="D4083" i="1"/>
  <c r="C4045" i="1"/>
  <c r="D4044" i="1"/>
  <c r="C45" i="1"/>
  <c r="D44" i="1"/>
  <c r="H4518" i="1" l="1"/>
  <c r="J4518" i="1" s="1"/>
  <c r="H43" i="1"/>
  <c r="J42" i="1"/>
  <c r="I42" i="1"/>
  <c r="J4213" i="1"/>
  <c r="I4213" i="1"/>
  <c r="H4214" i="1"/>
  <c r="I4517" i="1"/>
  <c r="H4232" i="1"/>
  <c r="J4232" i="1" s="1"/>
  <c r="I4231" i="1"/>
  <c r="F45" i="1"/>
  <c r="C4046" i="1"/>
  <c r="D4046" i="1" s="1"/>
  <c r="F4084" i="1"/>
  <c r="F4124" i="1"/>
  <c r="F1393" i="1"/>
  <c r="F4519" i="1"/>
  <c r="F4233" i="1"/>
  <c r="C4234" i="1"/>
  <c r="D4233" i="1"/>
  <c r="D4045" i="1"/>
  <c r="F4045" i="1"/>
  <c r="D4519" i="1"/>
  <c r="C4520" i="1"/>
  <c r="G4520" i="1" s="1"/>
  <c r="C1394" i="1"/>
  <c r="D1393" i="1"/>
  <c r="C4085" i="1"/>
  <c r="D4084" i="1"/>
  <c r="C4125" i="1"/>
  <c r="D4124" i="1"/>
  <c r="C46" i="1"/>
  <c r="D45" i="1"/>
  <c r="J4214" i="1" l="1"/>
  <c r="I4214" i="1"/>
  <c r="H4215" i="1"/>
  <c r="H4233" i="1"/>
  <c r="J4233" i="1" s="1"/>
  <c r="H4519" i="1"/>
  <c r="J4519" i="1" s="1"/>
  <c r="I4232" i="1"/>
  <c r="H44" i="1"/>
  <c r="J43" i="1"/>
  <c r="I43" i="1"/>
  <c r="I4518" i="1"/>
  <c r="C4047" i="1"/>
  <c r="D4047" i="1" s="1"/>
  <c r="F4046" i="1"/>
  <c r="F46" i="1"/>
  <c r="F4125" i="1"/>
  <c r="C4086" i="1"/>
  <c r="C4087" i="1" s="1"/>
  <c r="F1394" i="1"/>
  <c r="F4520" i="1"/>
  <c r="D4085" i="1"/>
  <c r="F4085" i="1"/>
  <c r="F4234" i="1"/>
  <c r="C4235" i="1"/>
  <c r="D4234" i="1"/>
  <c r="D4520" i="1"/>
  <c r="C4521" i="1"/>
  <c r="C1395" i="1"/>
  <c r="D1394" i="1"/>
  <c r="C4126" i="1"/>
  <c r="D4125" i="1"/>
  <c r="C47" i="1"/>
  <c r="D46" i="1"/>
  <c r="G4521" i="1" l="1"/>
  <c r="J4521" i="1" s="1"/>
  <c r="H4520" i="1"/>
  <c r="I4520" i="1" s="1"/>
  <c r="H45" i="1"/>
  <c r="J44" i="1"/>
  <c r="I44" i="1"/>
  <c r="I4519" i="1"/>
  <c r="I4233" i="1"/>
  <c r="I4215" i="1"/>
  <c r="J4215" i="1"/>
  <c r="H4234" i="1"/>
  <c r="J4234" i="1" s="1"/>
  <c r="C4048" i="1"/>
  <c r="F4048" i="1" s="1"/>
  <c r="F4047" i="1"/>
  <c r="F4086" i="1"/>
  <c r="D4086" i="1"/>
  <c r="F47" i="1"/>
  <c r="F4126" i="1"/>
  <c r="F1395" i="1"/>
  <c r="F4521" i="1"/>
  <c r="C4236" i="1"/>
  <c r="F4087" i="1"/>
  <c r="C4088" i="1"/>
  <c r="D4087" i="1"/>
  <c r="D4235" i="1"/>
  <c r="F4235" i="1"/>
  <c r="D4521" i="1"/>
  <c r="C4522" i="1"/>
  <c r="C1396" i="1"/>
  <c r="D1395" i="1"/>
  <c r="C4127" i="1"/>
  <c r="D4126" i="1"/>
  <c r="C48" i="1"/>
  <c r="D47" i="1"/>
  <c r="J4520" i="1" l="1"/>
  <c r="G4522" i="1"/>
  <c r="J4522" i="1" s="1"/>
  <c r="I4234" i="1"/>
  <c r="H4235" i="1"/>
  <c r="J4235" i="1" s="1"/>
  <c r="H4521" i="1"/>
  <c r="I4521" i="1" s="1"/>
  <c r="H46" i="1"/>
  <c r="J45" i="1"/>
  <c r="I45" i="1"/>
  <c r="C4237" i="1"/>
  <c r="C4049" i="1"/>
  <c r="F4049" i="1" s="1"/>
  <c r="F4236" i="1"/>
  <c r="D4236" i="1"/>
  <c r="D4048" i="1"/>
  <c r="F48" i="1"/>
  <c r="F4127" i="1"/>
  <c r="F1396" i="1"/>
  <c r="F4522" i="1"/>
  <c r="F4088" i="1"/>
  <c r="C4089" i="1"/>
  <c r="D4088" i="1"/>
  <c r="D4522" i="1"/>
  <c r="C4523" i="1"/>
  <c r="C1397" i="1"/>
  <c r="D1396" i="1"/>
  <c r="C4128" i="1"/>
  <c r="D4127" i="1"/>
  <c r="C49" i="1"/>
  <c r="D48" i="1"/>
  <c r="I4235" i="1" l="1"/>
  <c r="G4523" i="1"/>
  <c r="J4523" i="1" s="1"/>
  <c r="H47" i="1"/>
  <c r="J46" i="1"/>
  <c r="I46" i="1"/>
  <c r="H4522" i="1"/>
  <c r="I4522" i="1" s="1"/>
  <c r="H4236" i="1"/>
  <c r="I4236" i="1" s="1"/>
  <c r="C4050" i="1"/>
  <c r="D4050" i="1" s="1"/>
  <c r="D4237" i="1"/>
  <c r="D4049" i="1"/>
  <c r="F4237" i="1"/>
  <c r="C4238" i="1"/>
  <c r="C4239" i="1" s="1"/>
  <c r="F49" i="1"/>
  <c r="F4128" i="1"/>
  <c r="F1397" i="1"/>
  <c r="F4523" i="1"/>
  <c r="F4089" i="1"/>
  <c r="C4090" i="1"/>
  <c r="D4089" i="1"/>
  <c r="D4523" i="1"/>
  <c r="C4524" i="1"/>
  <c r="C1398" i="1"/>
  <c r="D1397" i="1"/>
  <c r="C4129" i="1"/>
  <c r="D4128" i="1"/>
  <c r="C50" i="1"/>
  <c r="D49" i="1"/>
  <c r="G4524" i="1" l="1"/>
  <c r="J4524" i="1" s="1"/>
  <c r="H4237" i="1"/>
  <c r="J4237" i="1" s="1"/>
  <c r="J4236" i="1"/>
  <c r="H48" i="1"/>
  <c r="J47" i="1"/>
  <c r="I47" i="1"/>
  <c r="H4523" i="1"/>
  <c r="I4523" i="1" s="1"/>
  <c r="F4050" i="1"/>
  <c r="C4051" i="1"/>
  <c r="C4052" i="1" s="1"/>
  <c r="F4238" i="1"/>
  <c r="D4238" i="1"/>
  <c r="F50" i="1"/>
  <c r="F4129" i="1"/>
  <c r="F1398" i="1"/>
  <c r="F4524" i="1"/>
  <c r="F4090" i="1"/>
  <c r="D4090" i="1"/>
  <c r="C4091" i="1"/>
  <c r="D4239" i="1"/>
  <c r="F4239" i="1"/>
  <c r="C4240" i="1"/>
  <c r="C1399" i="1"/>
  <c r="D1398" i="1"/>
  <c r="D4524" i="1"/>
  <c r="C4525" i="1"/>
  <c r="C4130" i="1"/>
  <c r="D4129" i="1"/>
  <c r="C51" i="1"/>
  <c r="D50" i="1"/>
  <c r="D4051" i="1" l="1"/>
  <c r="H4524" i="1"/>
  <c r="I4524" i="1" s="1"/>
  <c r="F4051" i="1"/>
  <c r="I4237" i="1"/>
  <c r="G4525" i="1"/>
  <c r="J4525" i="1" s="1"/>
  <c r="H49" i="1"/>
  <c r="J48" i="1"/>
  <c r="I48" i="1"/>
  <c r="H4238" i="1"/>
  <c r="J4238" i="1" s="1"/>
  <c r="C4526" i="1"/>
  <c r="G4526" i="1" s="1"/>
  <c r="F51" i="1"/>
  <c r="F4130" i="1"/>
  <c r="F1399" i="1"/>
  <c r="F4091" i="1"/>
  <c r="D4091" i="1"/>
  <c r="C4092" i="1"/>
  <c r="F4052" i="1"/>
  <c r="C4053" i="1"/>
  <c r="D4052" i="1"/>
  <c r="C4241" i="1"/>
  <c r="D4240" i="1"/>
  <c r="F4240" i="1"/>
  <c r="D4525" i="1"/>
  <c r="F4525" i="1"/>
  <c r="C1400" i="1"/>
  <c r="D1399" i="1"/>
  <c r="C4131" i="1"/>
  <c r="D4130" i="1"/>
  <c r="C52" i="1"/>
  <c r="D51" i="1"/>
  <c r="H4239" i="1" l="1"/>
  <c r="H4240" i="1" s="1"/>
  <c r="J4240" i="1" s="1"/>
  <c r="I4238" i="1"/>
  <c r="H4525" i="1"/>
  <c r="I4525" i="1" s="1"/>
  <c r="H50" i="1"/>
  <c r="J49" i="1"/>
  <c r="I49" i="1"/>
  <c r="F4526" i="1"/>
  <c r="D4526" i="1"/>
  <c r="C4527" i="1"/>
  <c r="G4527" i="1" s="1"/>
  <c r="F52" i="1"/>
  <c r="F4131" i="1"/>
  <c r="F1400" i="1"/>
  <c r="F4092" i="1"/>
  <c r="C4093" i="1"/>
  <c r="D4092" i="1"/>
  <c r="F4053" i="1"/>
  <c r="C4054" i="1"/>
  <c r="D4053" i="1"/>
  <c r="C4242" i="1"/>
  <c r="D4241" i="1"/>
  <c r="F4241" i="1"/>
  <c r="C1401" i="1"/>
  <c r="D1400" i="1"/>
  <c r="C4132" i="1"/>
  <c r="D4131" i="1"/>
  <c r="C53" i="1"/>
  <c r="D52" i="1"/>
  <c r="H51" i="1" l="1"/>
  <c r="J50" i="1"/>
  <c r="I50" i="1"/>
  <c r="H4241" i="1"/>
  <c r="J4241" i="1" s="1"/>
  <c r="H4526" i="1"/>
  <c r="I4526" i="1" s="1"/>
  <c r="I4240" i="1"/>
  <c r="J4239" i="1"/>
  <c r="I4239" i="1"/>
  <c r="D4527" i="1"/>
  <c r="F4527" i="1"/>
  <c r="C4528" i="1"/>
  <c r="G4528" i="1" s="1"/>
  <c r="F53" i="1"/>
  <c r="F4132" i="1"/>
  <c r="F1401" i="1"/>
  <c r="F4054" i="1"/>
  <c r="C4055" i="1"/>
  <c r="D4054" i="1"/>
  <c r="F4093" i="1"/>
  <c r="C4094" i="1"/>
  <c r="D4093" i="1"/>
  <c r="F4242" i="1"/>
  <c r="D4242" i="1"/>
  <c r="C4243" i="1"/>
  <c r="D1401" i="1"/>
  <c r="C1402" i="1"/>
  <c r="C4133" i="1"/>
  <c r="D4132" i="1"/>
  <c r="C54" i="1"/>
  <c r="D53" i="1"/>
  <c r="H4242" i="1" l="1"/>
  <c r="J4242" i="1" s="1"/>
  <c r="I4241" i="1"/>
  <c r="H4527" i="1"/>
  <c r="J4527" i="1" s="1"/>
  <c r="J4526" i="1"/>
  <c r="H52" i="1"/>
  <c r="J51" i="1"/>
  <c r="I51" i="1"/>
  <c r="C4529" i="1"/>
  <c r="G4529" i="1" s="1"/>
  <c r="F4528" i="1"/>
  <c r="D4528" i="1"/>
  <c r="F54" i="1"/>
  <c r="F4133" i="1"/>
  <c r="F1402" i="1"/>
  <c r="F4094" i="1"/>
  <c r="C4095" i="1"/>
  <c r="D4094" i="1"/>
  <c r="F4055" i="1"/>
  <c r="D4055" i="1"/>
  <c r="C4056" i="1"/>
  <c r="F4243" i="1"/>
  <c r="C4244" i="1"/>
  <c r="D4243" i="1"/>
  <c r="C1403" i="1"/>
  <c r="D1402" i="1"/>
  <c r="C4134" i="1"/>
  <c r="D4133" i="1"/>
  <c r="C55" i="1"/>
  <c r="D54" i="1"/>
  <c r="I4527" i="1" l="1"/>
  <c r="H53" i="1"/>
  <c r="J52" i="1"/>
  <c r="I52" i="1"/>
  <c r="H4243" i="1"/>
  <c r="J4243" i="1" s="1"/>
  <c r="I4242" i="1"/>
  <c r="H4528" i="1"/>
  <c r="I4528" i="1" s="1"/>
  <c r="D4529" i="1"/>
  <c r="F4529" i="1"/>
  <c r="C4530" i="1"/>
  <c r="G4530" i="1" s="1"/>
  <c r="F55" i="1"/>
  <c r="F4134" i="1"/>
  <c r="F1403" i="1"/>
  <c r="F4095" i="1"/>
  <c r="C4096" i="1"/>
  <c r="D4095" i="1"/>
  <c r="F4056" i="1"/>
  <c r="C4057" i="1"/>
  <c r="D4056" i="1"/>
  <c r="F4244" i="1"/>
  <c r="C4245" i="1"/>
  <c r="D4244" i="1"/>
  <c r="C1404" i="1"/>
  <c r="D1403" i="1"/>
  <c r="C4135" i="1"/>
  <c r="D4134" i="1"/>
  <c r="C56" i="1"/>
  <c r="D55" i="1"/>
  <c r="C1206" i="1"/>
  <c r="C556" i="1"/>
  <c r="H54" i="1" l="1"/>
  <c r="J53" i="1"/>
  <c r="I53" i="1"/>
  <c r="H4244" i="1"/>
  <c r="J4244" i="1" s="1"/>
  <c r="H4529" i="1"/>
  <c r="J4529" i="1" s="1"/>
  <c r="J4528" i="1"/>
  <c r="I4243" i="1"/>
  <c r="D4530" i="1"/>
  <c r="C4531" i="1"/>
  <c r="G4531" i="1" s="1"/>
  <c r="F4530" i="1"/>
  <c r="F556" i="1"/>
  <c r="F1206" i="1"/>
  <c r="F56" i="1"/>
  <c r="C4136" i="1"/>
  <c r="F1404" i="1"/>
  <c r="F4057" i="1"/>
  <c r="D4057" i="1"/>
  <c r="C4058" i="1"/>
  <c r="F4096" i="1"/>
  <c r="D4096" i="1"/>
  <c r="C4097" i="1"/>
  <c r="C4246" i="1"/>
  <c r="D4245" i="1"/>
  <c r="F4245" i="1"/>
  <c r="D4135" i="1"/>
  <c r="F4135" i="1"/>
  <c r="C1405" i="1"/>
  <c r="D1404" i="1"/>
  <c r="C557" i="1"/>
  <c r="D556" i="1"/>
  <c r="C1207" i="1"/>
  <c r="D1206" i="1"/>
  <c r="C57" i="1"/>
  <c r="D56" i="1"/>
  <c r="H4530" i="1" l="1"/>
  <c r="I4530" i="1" s="1"/>
  <c r="I4244" i="1"/>
  <c r="H4245" i="1"/>
  <c r="J4245" i="1" s="1"/>
  <c r="H55" i="1"/>
  <c r="J54" i="1"/>
  <c r="I54" i="1"/>
  <c r="I4529" i="1"/>
  <c r="D4136" i="1"/>
  <c r="C4137" i="1"/>
  <c r="F4137" i="1" s="1"/>
  <c r="F4531" i="1"/>
  <c r="D4531" i="1"/>
  <c r="C4532" i="1"/>
  <c r="G4532" i="1" s="1"/>
  <c r="F4136" i="1"/>
  <c r="F57" i="1"/>
  <c r="F1207" i="1"/>
  <c r="F557" i="1"/>
  <c r="F1405" i="1"/>
  <c r="F4097" i="1"/>
  <c r="C4098" i="1"/>
  <c r="D4097" i="1"/>
  <c r="F4058" i="1"/>
  <c r="C4059" i="1"/>
  <c r="D4058" i="1"/>
  <c r="C4247" i="1"/>
  <c r="D4246" i="1"/>
  <c r="F4246" i="1"/>
  <c r="D1405" i="1"/>
  <c r="C1406" i="1"/>
  <c r="C58" i="1"/>
  <c r="D57" i="1"/>
  <c r="C1208" i="1"/>
  <c r="D1207" i="1"/>
  <c r="C558" i="1"/>
  <c r="D557" i="1"/>
  <c r="H56" i="1" l="1"/>
  <c r="J55" i="1"/>
  <c r="I55" i="1"/>
  <c r="I4245" i="1"/>
  <c r="H4246" i="1"/>
  <c r="J4246" i="1" s="1"/>
  <c r="H4136" i="1"/>
  <c r="I4136" i="1" s="1"/>
  <c r="H4531" i="1"/>
  <c r="J4531" i="1" s="1"/>
  <c r="J4530" i="1"/>
  <c r="C4138" i="1"/>
  <c r="F4138" i="1" s="1"/>
  <c r="D4137" i="1"/>
  <c r="F4532" i="1"/>
  <c r="D4532" i="1"/>
  <c r="C4533" i="1"/>
  <c r="G4533" i="1" s="1"/>
  <c r="F558" i="1"/>
  <c r="F1208" i="1"/>
  <c r="F58" i="1"/>
  <c r="F1406" i="1"/>
  <c r="F4059" i="1"/>
  <c r="D4059" i="1"/>
  <c r="C4060" i="1"/>
  <c r="F4098" i="1"/>
  <c r="C4099" i="1"/>
  <c r="D4098" i="1"/>
  <c r="F4247" i="1"/>
  <c r="D4247" i="1"/>
  <c r="C4248" i="1"/>
  <c r="C1407" i="1"/>
  <c r="D1406" i="1"/>
  <c r="C559" i="1"/>
  <c r="D558" i="1"/>
  <c r="C1209" i="1"/>
  <c r="D1208" i="1"/>
  <c r="C59" i="1"/>
  <c r="D58" i="1"/>
  <c r="H4137" i="1" l="1"/>
  <c r="J4136" i="1"/>
  <c r="H4532" i="1"/>
  <c r="J4532" i="1" s="1"/>
  <c r="H4247" i="1"/>
  <c r="J4247" i="1" s="1"/>
  <c r="H57" i="1"/>
  <c r="J56" i="1"/>
  <c r="I56" i="1"/>
  <c r="I4246" i="1"/>
  <c r="I4531" i="1"/>
  <c r="C4139" i="1"/>
  <c r="F4139" i="1" s="1"/>
  <c r="D4138" i="1"/>
  <c r="C4534" i="1"/>
  <c r="G4534" i="1" s="1"/>
  <c r="F4533" i="1"/>
  <c r="D4533" i="1"/>
  <c r="F59" i="1"/>
  <c r="F1209" i="1"/>
  <c r="F559" i="1"/>
  <c r="F1407" i="1"/>
  <c r="F4099" i="1"/>
  <c r="D4099" i="1"/>
  <c r="C4100" i="1"/>
  <c r="F4060" i="1"/>
  <c r="C4061" i="1"/>
  <c r="D4060" i="1"/>
  <c r="F4248" i="1"/>
  <c r="C4249" i="1"/>
  <c r="D4248" i="1"/>
  <c r="C1408" i="1"/>
  <c r="D1407" i="1"/>
  <c r="C60" i="1"/>
  <c r="D59" i="1"/>
  <c r="C1210" i="1"/>
  <c r="D1209" i="1"/>
  <c r="C560" i="1"/>
  <c r="D559" i="1"/>
  <c r="I4247" i="1" l="1"/>
  <c r="H4248" i="1"/>
  <c r="J4248" i="1" s="1"/>
  <c r="J4137" i="1"/>
  <c r="I4137" i="1"/>
  <c r="H58" i="1"/>
  <c r="J57" i="1"/>
  <c r="I57" i="1"/>
  <c r="H4138" i="1"/>
  <c r="H4533" i="1"/>
  <c r="J4533" i="1" s="1"/>
  <c r="I4532" i="1"/>
  <c r="D4139" i="1"/>
  <c r="C4140" i="1"/>
  <c r="C4141" i="1" s="1"/>
  <c r="F4534" i="1"/>
  <c r="D4534" i="1"/>
  <c r="C4535" i="1"/>
  <c r="G4535" i="1" s="1"/>
  <c r="F560" i="1"/>
  <c r="F1210" i="1"/>
  <c r="F60" i="1"/>
  <c r="F1408" i="1"/>
  <c r="F4061" i="1"/>
  <c r="D4061" i="1"/>
  <c r="C4062" i="1"/>
  <c r="F4100" i="1"/>
  <c r="D4100" i="1"/>
  <c r="C4101" i="1"/>
  <c r="F4249" i="1"/>
  <c r="D4249" i="1"/>
  <c r="C4250" i="1"/>
  <c r="C1409" i="1"/>
  <c r="D1408" i="1"/>
  <c r="C561" i="1"/>
  <c r="D560" i="1"/>
  <c r="C1211" i="1"/>
  <c r="D1210" i="1"/>
  <c r="C61" i="1"/>
  <c r="D60" i="1"/>
  <c r="H4249" i="1" l="1"/>
  <c r="J4249" i="1" s="1"/>
  <c r="J4138" i="1"/>
  <c r="I4138" i="1"/>
  <c r="I4533" i="1"/>
  <c r="H59" i="1"/>
  <c r="J58" i="1"/>
  <c r="I58" i="1"/>
  <c r="I4248" i="1"/>
  <c r="H4139" i="1"/>
  <c r="H4534" i="1"/>
  <c r="J4534" i="1" s="1"/>
  <c r="D4140" i="1"/>
  <c r="F4140" i="1"/>
  <c r="F4535" i="1"/>
  <c r="D4535" i="1"/>
  <c r="C4536" i="1"/>
  <c r="F61" i="1"/>
  <c r="F1211" i="1"/>
  <c r="F561" i="1"/>
  <c r="F1409" i="1"/>
  <c r="F4101" i="1"/>
  <c r="C4102" i="1"/>
  <c r="D4101" i="1"/>
  <c r="F4141" i="1"/>
  <c r="C4142" i="1"/>
  <c r="D4141" i="1"/>
  <c r="F4062" i="1"/>
  <c r="C4063" i="1"/>
  <c r="D4062" i="1"/>
  <c r="F4250" i="1"/>
  <c r="D4250" i="1"/>
  <c r="C4251" i="1"/>
  <c r="C1410" i="1"/>
  <c r="D1409" i="1"/>
  <c r="C62" i="1"/>
  <c r="D61" i="1"/>
  <c r="C1212" i="1"/>
  <c r="D1211" i="1"/>
  <c r="C562" i="1"/>
  <c r="D561" i="1"/>
  <c r="G4536" i="1" l="1"/>
  <c r="J4536" i="1" s="1"/>
  <c r="H4535" i="1"/>
  <c r="J4535" i="1" s="1"/>
  <c r="I4534" i="1"/>
  <c r="I4249" i="1"/>
  <c r="J4139" i="1"/>
  <c r="I4139" i="1"/>
  <c r="H4140" i="1"/>
  <c r="J4140" i="1" s="1"/>
  <c r="H60" i="1"/>
  <c r="J59" i="1"/>
  <c r="I59" i="1"/>
  <c r="H4250" i="1"/>
  <c r="J4250" i="1" s="1"/>
  <c r="F4536" i="1"/>
  <c r="D4536" i="1"/>
  <c r="C4537" i="1"/>
  <c r="F562" i="1"/>
  <c r="F1212" i="1"/>
  <c r="F62" i="1"/>
  <c r="F1410" i="1"/>
  <c r="F4063" i="1"/>
  <c r="C4064" i="1"/>
  <c r="D4063" i="1"/>
  <c r="F4142" i="1"/>
  <c r="C4143" i="1"/>
  <c r="D4142" i="1"/>
  <c r="F4102" i="1"/>
  <c r="D4102" i="1"/>
  <c r="C4103" i="1"/>
  <c r="F4251" i="1"/>
  <c r="D4251" i="1"/>
  <c r="C4252" i="1"/>
  <c r="C1411" i="1"/>
  <c r="D1410" i="1"/>
  <c r="C563" i="1"/>
  <c r="D562" i="1"/>
  <c r="C1213" i="1"/>
  <c r="D1212" i="1"/>
  <c r="C63" i="1"/>
  <c r="D62" i="1"/>
  <c r="I4535" i="1" l="1"/>
  <c r="G4537" i="1"/>
  <c r="J4537" i="1" s="1"/>
  <c r="I4140" i="1"/>
  <c r="H4251" i="1"/>
  <c r="J4251" i="1" s="1"/>
  <c r="H4536" i="1"/>
  <c r="I4536" i="1" s="1"/>
  <c r="H4141" i="1"/>
  <c r="H4142" i="1" s="1"/>
  <c r="H61" i="1"/>
  <c r="J60" i="1"/>
  <c r="I60" i="1"/>
  <c r="I4250" i="1"/>
  <c r="F4537" i="1"/>
  <c r="D4537" i="1"/>
  <c r="C4538" i="1"/>
  <c r="F63" i="1"/>
  <c r="F1213" i="1"/>
  <c r="F563" i="1"/>
  <c r="F1411" i="1"/>
  <c r="F4143" i="1"/>
  <c r="C4144" i="1"/>
  <c r="D4143" i="1"/>
  <c r="F4064" i="1"/>
  <c r="C4065" i="1"/>
  <c r="D4064" i="1"/>
  <c r="F4103" i="1"/>
  <c r="C4104" i="1"/>
  <c r="D4103" i="1"/>
  <c r="F4252" i="1"/>
  <c r="C4253" i="1"/>
  <c r="D4252" i="1"/>
  <c r="C1412" i="1"/>
  <c r="D1411" i="1"/>
  <c r="C64" i="1"/>
  <c r="D63" i="1"/>
  <c r="C1214" i="1"/>
  <c r="D1213" i="1"/>
  <c r="C564" i="1"/>
  <c r="D563" i="1"/>
  <c r="G4538" i="1" l="1"/>
  <c r="J4538" i="1" s="1"/>
  <c r="J4142" i="1"/>
  <c r="I4142" i="1"/>
  <c r="H4143" i="1"/>
  <c r="J4143" i="1" s="1"/>
  <c r="H4252" i="1"/>
  <c r="J4252" i="1" s="1"/>
  <c r="I4251" i="1"/>
  <c r="H4537" i="1"/>
  <c r="I4537" i="1" s="1"/>
  <c r="H62" i="1"/>
  <c r="J61" i="1"/>
  <c r="I61" i="1"/>
  <c r="J4141" i="1"/>
  <c r="I4141" i="1"/>
  <c r="F4538" i="1"/>
  <c r="D4538" i="1"/>
  <c r="C4539" i="1"/>
  <c r="F564" i="1"/>
  <c r="F1214" i="1"/>
  <c r="F64" i="1"/>
  <c r="F1412" i="1"/>
  <c r="F4104" i="1"/>
  <c r="D4104" i="1"/>
  <c r="C4105" i="1"/>
  <c r="F4065" i="1"/>
  <c r="D4065" i="1"/>
  <c r="C4066" i="1"/>
  <c r="F4144" i="1"/>
  <c r="C4145" i="1"/>
  <c r="D4144" i="1"/>
  <c r="F4253" i="1"/>
  <c r="D4253" i="1"/>
  <c r="C4254" i="1"/>
  <c r="D1412" i="1"/>
  <c r="C1413" i="1"/>
  <c r="C565" i="1"/>
  <c r="D564" i="1"/>
  <c r="C1215" i="1"/>
  <c r="D1214" i="1"/>
  <c r="C65" i="1"/>
  <c r="D64" i="1"/>
  <c r="G4539" i="1" l="1"/>
  <c r="J4539" i="1" s="1"/>
  <c r="H63" i="1"/>
  <c r="J62" i="1"/>
  <c r="I62" i="1"/>
  <c r="I4143" i="1"/>
  <c r="H4253" i="1"/>
  <c r="J4253" i="1" s="1"/>
  <c r="H4538" i="1"/>
  <c r="I4538" i="1" s="1"/>
  <c r="H4144" i="1"/>
  <c r="J4144" i="1" s="1"/>
  <c r="I4252" i="1"/>
  <c r="F4539" i="1"/>
  <c r="D4539" i="1"/>
  <c r="C4540" i="1"/>
  <c r="F65" i="1"/>
  <c r="F1215" i="1"/>
  <c r="F565" i="1"/>
  <c r="F1413" i="1"/>
  <c r="C4146" i="1"/>
  <c r="D4145" i="1"/>
  <c r="F4145" i="1"/>
  <c r="F4066" i="1"/>
  <c r="D4066" i="1"/>
  <c r="C4067" i="1"/>
  <c r="F4105" i="1"/>
  <c r="D4105" i="1"/>
  <c r="C4106" i="1"/>
  <c r="F4254" i="1"/>
  <c r="C4255" i="1"/>
  <c r="D4254" i="1"/>
  <c r="C1414" i="1"/>
  <c r="D1413" i="1"/>
  <c r="C66" i="1"/>
  <c r="D65" i="1"/>
  <c r="C1216" i="1"/>
  <c r="D1215" i="1"/>
  <c r="C566" i="1"/>
  <c r="D565" i="1"/>
  <c r="G4540" i="1" l="1"/>
  <c r="J4540" i="1" s="1"/>
  <c r="I4144" i="1"/>
  <c r="I4253" i="1"/>
  <c r="H64" i="1"/>
  <c r="J63" i="1"/>
  <c r="I63" i="1"/>
  <c r="H4145" i="1"/>
  <c r="J4145" i="1" s="1"/>
  <c r="H4254" i="1"/>
  <c r="J4254" i="1" s="1"/>
  <c r="H4539" i="1"/>
  <c r="I4539" i="1" s="1"/>
  <c r="F4540" i="1"/>
  <c r="D4540" i="1"/>
  <c r="C4541" i="1"/>
  <c r="G4541" i="1" s="1"/>
  <c r="F566" i="1"/>
  <c r="F1216" i="1"/>
  <c r="F66" i="1"/>
  <c r="F1414" i="1"/>
  <c r="F4067" i="1"/>
  <c r="D4067" i="1"/>
  <c r="C4068" i="1"/>
  <c r="F4106" i="1"/>
  <c r="C4107" i="1"/>
  <c r="D4106" i="1"/>
  <c r="D4146" i="1"/>
  <c r="C4147" i="1"/>
  <c r="F4146" i="1"/>
  <c r="F4255" i="1"/>
  <c r="C4256" i="1"/>
  <c r="D4255" i="1"/>
  <c r="D1414" i="1"/>
  <c r="C1415" i="1"/>
  <c r="C567" i="1"/>
  <c r="D566" i="1"/>
  <c r="C1217" i="1"/>
  <c r="D1216" i="1"/>
  <c r="C67" i="1"/>
  <c r="D66" i="1"/>
  <c r="H4540" i="1" l="1"/>
  <c r="I4540" i="1" s="1"/>
  <c r="I4145" i="1"/>
  <c r="H4146" i="1"/>
  <c r="J4146" i="1" s="1"/>
  <c r="I4254" i="1"/>
  <c r="H4255" i="1"/>
  <c r="J4255" i="1" s="1"/>
  <c r="H65" i="1"/>
  <c r="J64" i="1"/>
  <c r="I64" i="1"/>
  <c r="D4541" i="1"/>
  <c r="C4542" i="1"/>
  <c r="G4542" i="1" s="1"/>
  <c r="F4541" i="1"/>
  <c r="F67" i="1"/>
  <c r="F1217" i="1"/>
  <c r="F567" i="1"/>
  <c r="F1415" i="1"/>
  <c r="F4147" i="1"/>
  <c r="C4148" i="1"/>
  <c r="D4147" i="1"/>
  <c r="F4107" i="1"/>
  <c r="D4107" i="1"/>
  <c r="C4108" i="1"/>
  <c r="F4068" i="1"/>
  <c r="C4069" i="1"/>
  <c r="D4068" i="1"/>
  <c r="F4256" i="1"/>
  <c r="C4257" i="1"/>
  <c r="D4256" i="1"/>
  <c r="D1415" i="1"/>
  <c r="C1416" i="1"/>
  <c r="C68" i="1"/>
  <c r="D67" i="1"/>
  <c r="C1218" i="1"/>
  <c r="D1217" i="1"/>
  <c r="C568" i="1"/>
  <c r="D567" i="1"/>
  <c r="I4255" i="1" l="1"/>
  <c r="H4541" i="1"/>
  <c r="J4541" i="1" s="1"/>
  <c r="H4256" i="1"/>
  <c r="J4256" i="1" s="1"/>
  <c r="H66" i="1"/>
  <c r="J65" i="1"/>
  <c r="I65" i="1"/>
  <c r="H4147" i="1"/>
  <c r="J4147" i="1" s="1"/>
  <c r="I4146" i="1"/>
  <c r="F4542" i="1"/>
  <c r="D4542" i="1"/>
  <c r="C4543" i="1"/>
  <c r="G4543" i="1" s="1"/>
  <c r="F568" i="1"/>
  <c r="F1218" i="1"/>
  <c r="F68" i="1"/>
  <c r="F1416" i="1"/>
  <c r="F4069" i="1"/>
  <c r="D4069" i="1"/>
  <c r="C4070" i="1"/>
  <c r="F4108" i="1"/>
  <c r="C4109" i="1"/>
  <c r="D4108" i="1"/>
  <c r="F4148" i="1"/>
  <c r="C4149" i="1"/>
  <c r="D4148" i="1"/>
  <c r="F4257" i="1"/>
  <c r="C4258" i="1"/>
  <c r="D4257" i="1"/>
  <c r="C1417" i="1"/>
  <c r="D1416" i="1"/>
  <c r="C569" i="1"/>
  <c r="D568" i="1"/>
  <c r="C1219" i="1"/>
  <c r="D1218" i="1"/>
  <c r="C69" i="1"/>
  <c r="D68" i="1"/>
  <c r="I4147" i="1" l="1"/>
  <c r="I4256" i="1"/>
  <c r="H4257" i="1"/>
  <c r="J4257" i="1" s="1"/>
  <c r="H67" i="1"/>
  <c r="J66" i="1"/>
  <c r="I66" i="1"/>
  <c r="I4541" i="1"/>
  <c r="H4148" i="1"/>
  <c r="J4148" i="1" s="1"/>
  <c r="H4542" i="1"/>
  <c r="I4542" i="1" s="1"/>
  <c r="F4543" i="1"/>
  <c r="C4544" i="1"/>
  <c r="G4544" i="1" s="1"/>
  <c r="D4543" i="1"/>
  <c r="F69" i="1"/>
  <c r="F1219" i="1"/>
  <c r="F569" i="1"/>
  <c r="F1417" i="1"/>
  <c r="F4149" i="1"/>
  <c r="D4149" i="1"/>
  <c r="C4150" i="1"/>
  <c r="F4109" i="1"/>
  <c r="C4110" i="1"/>
  <c r="D4109" i="1"/>
  <c r="F4070" i="1"/>
  <c r="C4071" i="1"/>
  <c r="D4070" i="1"/>
  <c r="F4258" i="1"/>
  <c r="C4259" i="1"/>
  <c r="D4258" i="1"/>
  <c r="D1417" i="1"/>
  <c r="C1418" i="1"/>
  <c r="C70" i="1"/>
  <c r="D69" i="1"/>
  <c r="C1220" i="1"/>
  <c r="D1219" i="1"/>
  <c r="C570" i="1"/>
  <c r="D569" i="1"/>
  <c r="H68" i="1" l="1"/>
  <c r="J67" i="1"/>
  <c r="I67" i="1"/>
  <c r="I4148" i="1"/>
  <c r="I4257" i="1"/>
  <c r="H4258" i="1"/>
  <c r="J4258" i="1" s="1"/>
  <c r="H4149" i="1"/>
  <c r="J4149" i="1" s="1"/>
  <c r="H4543" i="1"/>
  <c r="I4543" i="1" s="1"/>
  <c r="J4542" i="1"/>
  <c r="F4544" i="1"/>
  <c r="C4545" i="1"/>
  <c r="G4545" i="1" s="1"/>
  <c r="D4544" i="1"/>
  <c r="F570" i="1"/>
  <c r="F1220" i="1"/>
  <c r="F70" i="1"/>
  <c r="F1418" i="1"/>
  <c r="F4071" i="1"/>
  <c r="D4071" i="1"/>
  <c r="C4072" i="1"/>
  <c r="F4110" i="1"/>
  <c r="D4110" i="1"/>
  <c r="C4111" i="1"/>
  <c r="F4150" i="1"/>
  <c r="C4151" i="1"/>
  <c r="D4150" i="1"/>
  <c r="F4259" i="1"/>
  <c r="C4260" i="1"/>
  <c r="D4259" i="1"/>
  <c r="D1418" i="1"/>
  <c r="C1419" i="1"/>
  <c r="C571" i="1"/>
  <c r="D570" i="1"/>
  <c r="C1221" i="1"/>
  <c r="D1220" i="1"/>
  <c r="C71" i="1"/>
  <c r="D70" i="1"/>
  <c r="I4258" i="1" l="1"/>
  <c r="H4150" i="1"/>
  <c r="J4150" i="1" s="1"/>
  <c r="H69" i="1"/>
  <c r="J68" i="1"/>
  <c r="I68" i="1"/>
  <c r="I4149" i="1"/>
  <c r="H4259" i="1"/>
  <c r="J4259" i="1" s="1"/>
  <c r="H4544" i="1"/>
  <c r="J4544" i="1" s="1"/>
  <c r="J4543" i="1"/>
  <c r="C4546" i="1"/>
  <c r="G4546" i="1" s="1"/>
  <c r="D4545" i="1"/>
  <c r="F4545" i="1"/>
  <c r="F71" i="1"/>
  <c r="F1221" i="1"/>
  <c r="F571" i="1"/>
  <c r="F1419" i="1"/>
  <c r="F4151" i="1"/>
  <c r="C4152" i="1"/>
  <c r="D4151" i="1"/>
  <c r="F4111" i="1"/>
  <c r="C4112" i="1"/>
  <c r="D4111" i="1"/>
  <c r="F4072" i="1"/>
  <c r="C4073" i="1"/>
  <c r="D4072" i="1"/>
  <c r="F4260" i="1"/>
  <c r="C4261" i="1"/>
  <c r="D4260" i="1"/>
  <c r="C1420" i="1"/>
  <c r="D1419" i="1"/>
  <c r="C72" i="1"/>
  <c r="D71" i="1"/>
  <c r="C1222" i="1"/>
  <c r="D1221" i="1"/>
  <c r="C572" i="1"/>
  <c r="D571" i="1"/>
  <c r="I4259" i="1" l="1"/>
  <c r="I4150" i="1"/>
  <c r="I4544" i="1"/>
  <c r="H4260" i="1"/>
  <c r="J4260" i="1" s="1"/>
  <c r="H4151" i="1"/>
  <c r="J4151" i="1" s="1"/>
  <c r="H4545" i="1"/>
  <c r="J4545" i="1" s="1"/>
  <c r="H70" i="1"/>
  <c r="J69" i="1"/>
  <c r="I69" i="1"/>
  <c r="D4546" i="1"/>
  <c r="F4546" i="1"/>
  <c r="C4547" i="1"/>
  <c r="G4547" i="1" s="1"/>
  <c r="F572" i="1"/>
  <c r="F1222" i="1"/>
  <c r="F72" i="1"/>
  <c r="F1420" i="1"/>
  <c r="F4152" i="1"/>
  <c r="D4152" i="1"/>
  <c r="C4153" i="1"/>
  <c r="F4073" i="1"/>
  <c r="D4073" i="1"/>
  <c r="C4074" i="1"/>
  <c r="F4112" i="1"/>
  <c r="C4113" i="1"/>
  <c r="D4112" i="1"/>
  <c r="F4261" i="1"/>
  <c r="C4262" i="1"/>
  <c r="D4261" i="1"/>
  <c r="C1421" i="1"/>
  <c r="D1420" i="1"/>
  <c r="C573" i="1"/>
  <c r="D572" i="1"/>
  <c r="C1223" i="1"/>
  <c r="D1222" i="1"/>
  <c r="C73" i="1"/>
  <c r="D72" i="1"/>
  <c r="I4151" i="1" l="1"/>
  <c r="I4545" i="1"/>
  <c r="H4546" i="1"/>
  <c r="J4546" i="1" s="1"/>
  <c r="H71" i="1"/>
  <c r="J70" i="1"/>
  <c r="I70" i="1"/>
  <c r="H4261" i="1"/>
  <c r="J4261" i="1" s="1"/>
  <c r="H4152" i="1"/>
  <c r="J4152" i="1" s="1"/>
  <c r="I4260" i="1"/>
  <c r="F4547" i="1"/>
  <c r="C4548" i="1"/>
  <c r="G4548" i="1" s="1"/>
  <c r="D4547" i="1"/>
  <c r="F73" i="1"/>
  <c r="F1223" i="1"/>
  <c r="F573" i="1"/>
  <c r="F1421" i="1"/>
  <c r="F4113" i="1"/>
  <c r="C4114" i="1"/>
  <c r="D4113" i="1"/>
  <c r="F4074" i="1"/>
  <c r="D4074" i="1"/>
  <c r="C4075" i="1"/>
  <c r="F4153" i="1"/>
  <c r="C4154" i="1"/>
  <c r="D4153" i="1"/>
  <c r="F4262" i="1"/>
  <c r="C4263" i="1"/>
  <c r="D4262" i="1"/>
  <c r="C1422" i="1"/>
  <c r="D1421" i="1"/>
  <c r="C74" i="1"/>
  <c r="D73" i="1"/>
  <c r="C1224" i="1"/>
  <c r="D1223" i="1"/>
  <c r="C574" i="1"/>
  <c r="D573" i="1"/>
  <c r="H4262" i="1" l="1"/>
  <c r="J4262" i="1" s="1"/>
  <c r="H4547" i="1"/>
  <c r="J4547" i="1" s="1"/>
  <c r="I4152" i="1"/>
  <c r="H72" i="1"/>
  <c r="J71" i="1"/>
  <c r="I71" i="1"/>
  <c r="I4546" i="1"/>
  <c r="H4153" i="1"/>
  <c r="J4153" i="1" s="1"/>
  <c r="I4261" i="1"/>
  <c r="F4548" i="1"/>
  <c r="D4548" i="1"/>
  <c r="C4549" i="1"/>
  <c r="G4549" i="1" s="1"/>
  <c r="F574" i="1"/>
  <c r="F1224" i="1"/>
  <c r="F74" i="1"/>
  <c r="F1422" i="1"/>
  <c r="F4114" i="1"/>
  <c r="C4115" i="1"/>
  <c r="D4114" i="1"/>
  <c r="F4154" i="1"/>
  <c r="D4154" i="1"/>
  <c r="C4155" i="1"/>
  <c r="F4075" i="1"/>
  <c r="D4075" i="1"/>
  <c r="F4263" i="1"/>
  <c r="D4263" i="1"/>
  <c r="C4264" i="1"/>
  <c r="C1423" i="1"/>
  <c r="D1422" i="1"/>
  <c r="C575" i="1"/>
  <c r="D574" i="1"/>
  <c r="C1225" i="1"/>
  <c r="D1224" i="1"/>
  <c r="C75" i="1"/>
  <c r="D74" i="1"/>
  <c r="I4153" i="1" l="1"/>
  <c r="H4154" i="1"/>
  <c r="J4154" i="1" s="1"/>
  <c r="I4547" i="1"/>
  <c r="H4548" i="1"/>
  <c r="J4548" i="1" s="1"/>
  <c r="H4263" i="1"/>
  <c r="J4263" i="1" s="1"/>
  <c r="H4076" i="1"/>
  <c r="H73" i="1"/>
  <c r="J72" i="1"/>
  <c r="I72" i="1"/>
  <c r="I4262" i="1"/>
  <c r="F4549" i="1"/>
  <c r="D4549" i="1"/>
  <c r="C4550" i="1"/>
  <c r="G4550" i="1" s="1"/>
  <c r="F75" i="1"/>
  <c r="F1225" i="1"/>
  <c r="F575" i="1"/>
  <c r="F1423" i="1"/>
  <c r="C4156" i="1"/>
  <c r="F4155" i="1"/>
  <c r="D4155" i="1"/>
  <c r="F4115" i="1"/>
  <c r="D4115" i="1"/>
  <c r="F4264" i="1"/>
  <c r="D4264" i="1"/>
  <c r="C4265" i="1"/>
  <c r="D1423" i="1"/>
  <c r="C1424" i="1"/>
  <c r="C76" i="1"/>
  <c r="D75" i="1"/>
  <c r="C1226" i="1"/>
  <c r="D1225" i="1"/>
  <c r="C576" i="1"/>
  <c r="D575" i="1"/>
  <c r="I4548" i="1" l="1"/>
  <c r="I4263" i="1"/>
  <c r="H4116" i="1"/>
  <c r="H4264" i="1"/>
  <c r="J4264" i="1" s="1"/>
  <c r="H4077" i="1"/>
  <c r="J4076" i="1"/>
  <c r="I4076" i="1"/>
  <c r="H74" i="1"/>
  <c r="J73" i="1"/>
  <c r="I73" i="1"/>
  <c r="H4155" i="1"/>
  <c r="J4155" i="1" s="1"/>
  <c r="H4549" i="1"/>
  <c r="J4549" i="1" s="1"/>
  <c r="I4154" i="1"/>
  <c r="F4550" i="1"/>
  <c r="D4550" i="1"/>
  <c r="C4551" i="1"/>
  <c r="F576" i="1"/>
  <c r="F1226" i="1"/>
  <c r="F76" i="1"/>
  <c r="F1424" i="1"/>
  <c r="D4156" i="1"/>
  <c r="F4156" i="1"/>
  <c r="C4157" i="1"/>
  <c r="C4266" i="1"/>
  <c r="F4265" i="1"/>
  <c r="D4265" i="1"/>
  <c r="D1424" i="1"/>
  <c r="C1425" i="1"/>
  <c r="C577" i="1"/>
  <c r="D576" i="1"/>
  <c r="C1227" i="1"/>
  <c r="D1226" i="1"/>
  <c r="C77" i="1"/>
  <c r="D76" i="1"/>
  <c r="G4551" i="1" l="1"/>
  <c r="J4551" i="1" s="1"/>
  <c r="I4264" i="1"/>
  <c r="H4265" i="1"/>
  <c r="I4265" i="1" s="1"/>
  <c r="H4156" i="1"/>
  <c r="J4156" i="1" s="1"/>
  <c r="H4550" i="1"/>
  <c r="I4155" i="1"/>
  <c r="H75" i="1"/>
  <c r="J74" i="1"/>
  <c r="I74" i="1"/>
  <c r="H4117" i="1"/>
  <c r="J4116" i="1"/>
  <c r="I4116" i="1"/>
  <c r="I4549" i="1"/>
  <c r="H4078" i="1"/>
  <c r="J4077" i="1"/>
  <c r="I4077" i="1"/>
  <c r="C4552" i="1"/>
  <c r="F4551" i="1"/>
  <c r="D4551" i="1"/>
  <c r="F77" i="1"/>
  <c r="F1227" i="1"/>
  <c r="F577" i="1"/>
  <c r="F1425" i="1"/>
  <c r="F4157" i="1"/>
  <c r="C4158" i="1"/>
  <c r="D4157" i="1"/>
  <c r="C4267" i="1"/>
  <c r="D4266" i="1"/>
  <c r="F4266" i="1"/>
  <c r="D1425" i="1"/>
  <c r="C1426" i="1"/>
  <c r="C78" i="1"/>
  <c r="D77" i="1"/>
  <c r="C1228" i="1"/>
  <c r="D1227" i="1"/>
  <c r="C578" i="1"/>
  <c r="D577" i="1"/>
  <c r="G4552" i="1" l="1"/>
  <c r="J4552" i="1" s="1"/>
  <c r="J4265" i="1"/>
  <c r="H4551" i="1"/>
  <c r="I4551" i="1" s="1"/>
  <c r="J4117" i="1"/>
  <c r="I4117" i="1"/>
  <c r="H4118" i="1"/>
  <c r="H4157" i="1"/>
  <c r="J4157" i="1" s="1"/>
  <c r="H4079" i="1"/>
  <c r="J4078" i="1"/>
  <c r="I4078" i="1"/>
  <c r="H76" i="1"/>
  <c r="J75" i="1"/>
  <c r="I75" i="1"/>
  <c r="I4550" i="1"/>
  <c r="J4550" i="1"/>
  <c r="I4156" i="1"/>
  <c r="H4266" i="1"/>
  <c r="I4266" i="1" s="1"/>
  <c r="F4552" i="1"/>
  <c r="C4553" i="1"/>
  <c r="D4552" i="1"/>
  <c r="F578" i="1"/>
  <c r="F1228" i="1"/>
  <c r="F78" i="1"/>
  <c r="F1426" i="1"/>
  <c r="F4158" i="1"/>
  <c r="D4158" i="1"/>
  <c r="C4159" i="1"/>
  <c r="C4268" i="1"/>
  <c r="F4267" i="1"/>
  <c r="D4267" i="1"/>
  <c r="C1427" i="1"/>
  <c r="D1426" i="1"/>
  <c r="C579" i="1"/>
  <c r="D578" i="1"/>
  <c r="C1229" i="1"/>
  <c r="D1228" i="1"/>
  <c r="C79" i="1"/>
  <c r="D78" i="1"/>
  <c r="H4552" i="1" l="1"/>
  <c r="I4552" i="1" s="1"/>
  <c r="G4553" i="1"/>
  <c r="J4553" i="1" s="1"/>
  <c r="H4080" i="1"/>
  <c r="J4079" i="1"/>
  <c r="I4079" i="1"/>
  <c r="I4157" i="1"/>
  <c r="H77" i="1"/>
  <c r="J76" i="1"/>
  <c r="I76" i="1"/>
  <c r="J4118" i="1"/>
  <c r="I4118" i="1"/>
  <c r="H4119" i="1"/>
  <c r="H4267" i="1"/>
  <c r="J4267" i="1" s="1"/>
  <c r="J4266" i="1"/>
  <c r="H4158" i="1"/>
  <c r="J4158" i="1" s="1"/>
  <c r="F4553" i="1"/>
  <c r="D4553" i="1"/>
  <c r="C4554" i="1"/>
  <c r="F79" i="1"/>
  <c r="F1229" i="1"/>
  <c r="F579" i="1"/>
  <c r="F1427" i="1"/>
  <c r="F4159" i="1"/>
  <c r="D4159" i="1"/>
  <c r="C4160" i="1"/>
  <c r="F4268" i="1"/>
  <c r="C4269" i="1"/>
  <c r="D4268" i="1"/>
  <c r="C1428" i="1"/>
  <c r="D1427" i="1"/>
  <c r="C80" i="1"/>
  <c r="D79" i="1"/>
  <c r="C1230" i="1"/>
  <c r="D1229" i="1"/>
  <c r="C580" i="1"/>
  <c r="D579" i="1"/>
  <c r="H4553" i="1" l="1"/>
  <c r="I4553" i="1" s="1"/>
  <c r="G4554" i="1"/>
  <c r="J4554" i="1" s="1"/>
  <c r="I4158" i="1"/>
  <c r="J4119" i="1"/>
  <c r="I4119" i="1"/>
  <c r="H4120" i="1"/>
  <c r="H78" i="1"/>
  <c r="J77" i="1"/>
  <c r="I77" i="1"/>
  <c r="J4080" i="1"/>
  <c r="I4080" i="1"/>
  <c r="H4081" i="1"/>
  <c r="H4159" i="1"/>
  <c r="J4159" i="1" s="1"/>
  <c r="I4267" i="1"/>
  <c r="H4268" i="1"/>
  <c r="I4268" i="1" s="1"/>
  <c r="D4554" i="1"/>
  <c r="C4555" i="1"/>
  <c r="F4554" i="1"/>
  <c r="F580" i="1"/>
  <c r="F1230" i="1"/>
  <c r="F80" i="1"/>
  <c r="F1428" i="1"/>
  <c r="F4160" i="1"/>
  <c r="D4160" i="1"/>
  <c r="C4161" i="1"/>
  <c r="C4270" i="1"/>
  <c r="F4269" i="1"/>
  <c r="D4269" i="1"/>
  <c r="D1428" i="1"/>
  <c r="C1429" i="1"/>
  <c r="C581" i="1"/>
  <c r="D580" i="1"/>
  <c r="C1231" i="1"/>
  <c r="D1230" i="1"/>
  <c r="C81" i="1"/>
  <c r="D80" i="1"/>
  <c r="G4555" i="1" l="1"/>
  <c r="J4555" i="1" s="1"/>
  <c r="I4159" i="1"/>
  <c r="H4160" i="1"/>
  <c r="J4160" i="1" s="1"/>
  <c r="H79" i="1"/>
  <c r="J78" i="1"/>
  <c r="I78" i="1"/>
  <c r="J4120" i="1"/>
  <c r="I4120" i="1"/>
  <c r="H4121" i="1"/>
  <c r="H4269" i="1"/>
  <c r="I4269" i="1" s="1"/>
  <c r="J4268" i="1"/>
  <c r="J4081" i="1"/>
  <c r="I4081" i="1"/>
  <c r="H4082" i="1"/>
  <c r="H4554" i="1"/>
  <c r="I4554" i="1" s="1"/>
  <c r="D4555" i="1"/>
  <c r="C4556" i="1"/>
  <c r="G4556" i="1" s="1"/>
  <c r="F4555" i="1"/>
  <c r="F81" i="1"/>
  <c r="F1231" i="1"/>
  <c r="F581" i="1"/>
  <c r="F1429" i="1"/>
  <c r="F4161" i="1"/>
  <c r="C4162" i="1"/>
  <c r="D4161" i="1"/>
  <c r="C4271" i="1"/>
  <c r="D4270" i="1"/>
  <c r="F4270" i="1"/>
  <c r="D1429" i="1"/>
  <c r="C1430" i="1"/>
  <c r="C82" i="1"/>
  <c r="D81" i="1"/>
  <c r="C1232" i="1"/>
  <c r="D1231" i="1"/>
  <c r="C582" i="1"/>
  <c r="D581" i="1"/>
  <c r="J4082" i="1" l="1"/>
  <c r="I4082" i="1"/>
  <c r="H4083" i="1"/>
  <c r="H80" i="1"/>
  <c r="J79" i="1"/>
  <c r="I79" i="1"/>
  <c r="I4160" i="1"/>
  <c r="H4555" i="1"/>
  <c r="I4555" i="1" s="1"/>
  <c r="H4270" i="1"/>
  <c r="J4270" i="1" s="1"/>
  <c r="J4269" i="1"/>
  <c r="J4121" i="1"/>
  <c r="I4121" i="1"/>
  <c r="H4122" i="1"/>
  <c r="H4161" i="1"/>
  <c r="J4161" i="1" s="1"/>
  <c r="F4556" i="1"/>
  <c r="D4556" i="1"/>
  <c r="C4557" i="1"/>
  <c r="G4557" i="1" s="1"/>
  <c r="F582" i="1"/>
  <c r="F1232" i="1"/>
  <c r="F82" i="1"/>
  <c r="F1430" i="1"/>
  <c r="F4162" i="1"/>
  <c r="C4163" i="1"/>
  <c r="D4162" i="1"/>
  <c r="F4271" i="1"/>
  <c r="C4272" i="1"/>
  <c r="D4271" i="1"/>
  <c r="C1431" i="1"/>
  <c r="D1430" i="1"/>
  <c r="C583" i="1"/>
  <c r="D582" i="1"/>
  <c r="C1233" i="1"/>
  <c r="D1232" i="1"/>
  <c r="C83" i="1"/>
  <c r="D82" i="1"/>
  <c r="I4161" i="1" l="1"/>
  <c r="H81" i="1"/>
  <c r="J80" i="1"/>
  <c r="I80" i="1"/>
  <c r="J4083" i="1"/>
  <c r="I4083" i="1"/>
  <c r="H4084" i="1"/>
  <c r="H4271" i="1"/>
  <c r="J4271" i="1" s="1"/>
  <c r="H4556" i="1"/>
  <c r="I4556" i="1" s="1"/>
  <c r="H4162" i="1"/>
  <c r="J4162" i="1" s="1"/>
  <c r="I4270" i="1"/>
  <c r="J4122" i="1"/>
  <c r="I4122" i="1"/>
  <c r="H4123" i="1"/>
  <c r="D4557" i="1"/>
  <c r="C4558" i="1"/>
  <c r="G4558" i="1" s="1"/>
  <c r="F4557" i="1"/>
  <c r="F83" i="1"/>
  <c r="F1233" i="1"/>
  <c r="F583" i="1"/>
  <c r="F1431" i="1"/>
  <c r="F4163" i="1"/>
  <c r="C4164" i="1"/>
  <c r="D4163" i="1"/>
  <c r="F4272" i="1"/>
  <c r="C4273" i="1"/>
  <c r="D4272" i="1"/>
  <c r="D1431" i="1"/>
  <c r="C1432" i="1"/>
  <c r="C84" i="1"/>
  <c r="D83" i="1"/>
  <c r="C1234" i="1"/>
  <c r="D1233" i="1"/>
  <c r="C584" i="1"/>
  <c r="D583" i="1"/>
  <c r="H4557" i="1" l="1"/>
  <c r="I4557" i="1" s="1"/>
  <c r="J4556" i="1"/>
  <c r="H4272" i="1"/>
  <c r="J4272" i="1" s="1"/>
  <c r="H4163" i="1"/>
  <c r="J4163" i="1" s="1"/>
  <c r="I4271" i="1"/>
  <c r="H82" i="1"/>
  <c r="J81" i="1"/>
  <c r="I81" i="1"/>
  <c r="I4162" i="1"/>
  <c r="J4084" i="1"/>
  <c r="I4084" i="1"/>
  <c r="H4085" i="1"/>
  <c r="J4123" i="1"/>
  <c r="I4123" i="1"/>
  <c r="H4124" i="1"/>
  <c r="F4558" i="1"/>
  <c r="C4559" i="1"/>
  <c r="G4559" i="1" s="1"/>
  <c r="D4558" i="1"/>
  <c r="F584" i="1"/>
  <c r="F1234" i="1"/>
  <c r="F84" i="1"/>
  <c r="F1432" i="1"/>
  <c r="F4164" i="1"/>
  <c r="D4164" i="1"/>
  <c r="C4165" i="1"/>
  <c r="F4273" i="1"/>
  <c r="C4274" i="1"/>
  <c r="D4273" i="1"/>
  <c r="C1433" i="1"/>
  <c r="D1432" i="1"/>
  <c r="C585" i="1"/>
  <c r="D584" i="1"/>
  <c r="C1235" i="1"/>
  <c r="D1234" i="1"/>
  <c r="C85" i="1"/>
  <c r="D84" i="1"/>
  <c r="I4163" i="1" l="1"/>
  <c r="H4164" i="1"/>
  <c r="J4164" i="1" s="1"/>
  <c r="J4085" i="1"/>
  <c r="I4085" i="1"/>
  <c r="H4086" i="1"/>
  <c r="I4272" i="1"/>
  <c r="H4558" i="1"/>
  <c r="J4558" i="1" s="1"/>
  <c r="J4557" i="1"/>
  <c r="H4273" i="1"/>
  <c r="J4273" i="1" s="1"/>
  <c r="J4124" i="1"/>
  <c r="I4124" i="1"/>
  <c r="H4125" i="1"/>
  <c r="H83" i="1"/>
  <c r="J82" i="1"/>
  <c r="I82" i="1"/>
  <c r="F4559" i="1"/>
  <c r="D4559" i="1"/>
  <c r="C4560" i="1"/>
  <c r="G4560" i="1" s="1"/>
  <c r="F85" i="1"/>
  <c r="F1235" i="1"/>
  <c r="F585" i="1"/>
  <c r="F1433" i="1"/>
  <c r="D4165" i="1"/>
  <c r="F4165" i="1"/>
  <c r="F4274" i="1"/>
  <c r="D4274" i="1"/>
  <c r="C4275" i="1"/>
  <c r="D1433" i="1"/>
  <c r="C1434" i="1"/>
  <c r="C86" i="1"/>
  <c r="D85" i="1"/>
  <c r="C1236" i="1"/>
  <c r="D1235" i="1"/>
  <c r="C586" i="1"/>
  <c r="D585" i="1"/>
  <c r="H4166" i="1" l="1"/>
  <c r="H4165" i="1"/>
  <c r="H4559" i="1"/>
  <c r="J4559" i="1" s="1"/>
  <c r="I4273" i="1"/>
  <c r="J4086" i="1"/>
  <c r="I4086" i="1"/>
  <c r="H4087" i="1"/>
  <c r="H4274" i="1"/>
  <c r="J4274" i="1" s="1"/>
  <c r="H84" i="1"/>
  <c r="J83" i="1"/>
  <c r="I83" i="1"/>
  <c r="I4164" i="1"/>
  <c r="I4558" i="1"/>
  <c r="J4125" i="1"/>
  <c r="I4125" i="1"/>
  <c r="H4126" i="1"/>
  <c r="F4560" i="1"/>
  <c r="C4561" i="1"/>
  <c r="D4560" i="1"/>
  <c r="F586" i="1"/>
  <c r="F1236" i="1"/>
  <c r="F86" i="1"/>
  <c r="F1434" i="1"/>
  <c r="C4276" i="1"/>
  <c r="D4275" i="1"/>
  <c r="F4275" i="1"/>
  <c r="C1435" i="1"/>
  <c r="D1434" i="1"/>
  <c r="C587" i="1"/>
  <c r="D586" i="1"/>
  <c r="C1237" i="1"/>
  <c r="D1236" i="1"/>
  <c r="C87" i="1"/>
  <c r="D86" i="1"/>
  <c r="H4560" i="1" l="1"/>
  <c r="I4560" i="1" s="1"/>
  <c r="G4561" i="1"/>
  <c r="J4561" i="1" s="1"/>
  <c r="I4274" i="1"/>
  <c r="H85" i="1"/>
  <c r="J84" i="1"/>
  <c r="I84" i="1"/>
  <c r="J4087" i="1"/>
  <c r="I4087" i="1"/>
  <c r="H4088" i="1"/>
  <c r="J4126" i="1"/>
  <c r="I4126" i="1"/>
  <c r="H4127" i="1"/>
  <c r="H4275" i="1"/>
  <c r="J4275" i="1" s="1"/>
  <c r="I4559" i="1"/>
  <c r="I4165" i="1"/>
  <c r="J4165" i="1"/>
  <c r="H4167" i="1"/>
  <c r="J4166" i="1"/>
  <c r="I4166" i="1"/>
  <c r="F4561" i="1"/>
  <c r="D4561" i="1"/>
  <c r="C4562" i="1"/>
  <c r="F87" i="1"/>
  <c r="F1237" i="1"/>
  <c r="F587" i="1"/>
  <c r="F1435" i="1"/>
  <c r="C4277" i="1"/>
  <c r="D4276" i="1"/>
  <c r="F4276" i="1"/>
  <c r="C1436" i="1"/>
  <c r="D1435" i="1"/>
  <c r="C88" i="1"/>
  <c r="D87" i="1"/>
  <c r="C1238" i="1"/>
  <c r="D1237" i="1"/>
  <c r="C588" i="1"/>
  <c r="D587" i="1"/>
  <c r="G4562" i="1" l="1"/>
  <c r="J4562" i="1" s="1"/>
  <c r="J4560" i="1"/>
  <c r="J4127" i="1"/>
  <c r="I4127" i="1"/>
  <c r="H4128" i="1"/>
  <c r="J4088" i="1"/>
  <c r="I4088" i="1"/>
  <c r="H4089" i="1"/>
  <c r="H4561" i="1"/>
  <c r="I4561" i="1" s="1"/>
  <c r="H4276" i="1"/>
  <c r="J4276" i="1" s="1"/>
  <c r="H4168" i="1"/>
  <c r="J4167" i="1"/>
  <c r="I4167" i="1"/>
  <c r="I4275" i="1"/>
  <c r="H86" i="1"/>
  <c r="J85" i="1"/>
  <c r="I85" i="1"/>
  <c r="C4563" i="1"/>
  <c r="D4562" i="1"/>
  <c r="F4562" i="1"/>
  <c r="F588" i="1"/>
  <c r="F1238" i="1"/>
  <c r="F88" i="1"/>
  <c r="F1436" i="1"/>
  <c r="F4277" i="1"/>
  <c r="D4277" i="1"/>
  <c r="C4278" i="1"/>
  <c r="C1437" i="1"/>
  <c r="D1436" i="1"/>
  <c r="C589" i="1"/>
  <c r="D588" i="1"/>
  <c r="C1239" i="1"/>
  <c r="D1238" i="1"/>
  <c r="C89" i="1"/>
  <c r="D88" i="1"/>
  <c r="G4563" i="1" l="1"/>
  <c r="J4563" i="1" s="1"/>
  <c r="I4276" i="1"/>
  <c r="H4562" i="1"/>
  <c r="I4562" i="1" s="1"/>
  <c r="H87" i="1"/>
  <c r="J86" i="1"/>
  <c r="I86" i="1"/>
  <c r="H4277" i="1"/>
  <c r="J4277" i="1" s="1"/>
  <c r="J4128" i="1"/>
  <c r="I4128" i="1"/>
  <c r="H4129" i="1"/>
  <c r="J4168" i="1"/>
  <c r="H4169" i="1"/>
  <c r="I4168" i="1"/>
  <c r="J4089" i="1"/>
  <c r="I4089" i="1"/>
  <c r="H4090" i="1"/>
  <c r="C4564" i="1"/>
  <c r="F4563" i="1"/>
  <c r="D4563" i="1"/>
  <c r="F89" i="1"/>
  <c r="F1239" i="1"/>
  <c r="F589" i="1"/>
  <c r="F1437" i="1"/>
  <c r="F4278" i="1"/>
  <c r="C4279" i="1"/>
  <c r="D4278" i="1"/>
  <c r="D1437" i="1"/>
  <c r="C1438" i="1"/>
  <c r="C90" i="1"/>
  <c r="D89" i="1"/>
  <c r="C1240" i="1"/>
  <c r="D1239" i="1"/>
  <c r="C590" i="1"/>
  <c r="D589" i="1"/>
  <c r="G4564" i="1" l="1"/>
  <c r="J4564" i="1" s="1"/>
  <c r="H4563" i="1"/>
  <c r="I4563" i="1" s="1"/>
  <c r="J4090" i="1"/>
  <c r="I4090" i="1"/>
  <c r="H4091" i="1"/>
  <c r="J4129" i="1"/>
  <c r="I4129" i="1"/>
  <c r="H4130" i="1"/>
  <c r="H4278" i="1"/>
  <c r="J4278" i="1" s="1"/>
  <c r="H88" i="1"/>
  <c r="J87" i="1"/>
  <c r="I87" i="1"/>
  <c r="H4170" i="1"/>
  <c r="J4169" i="1"/>
  <c r="I4169" i="1"/>
  <c r="I4277" i="1"/>
  <c r="D4564" i="1"/>
  <c r="C4565" i="1"/>
  <c r="F4564" i="1"/>
  <c r="F590" i="1"/>
  <c r="F1240" i="1"/>
  <c r="F90" i="1"/>
  <c r="F1438" i="1"/>
  <c r="F4279" i="1"/>
  <c r="C4280" i="1"/>
  <c r="D4279" i="1"/>
  <c r="C1439" i="1"/>
  <c r="D1438" i="1"/>
  <c r="C591" i="1"/>
  <c r="D590" i="1"/>
  <c r="C1241" i="1"/>
  <c r="D1240" i="1"/>
  <c r="C91" i="1"/>
  <c r="D90" i="1"/>
  <c r="G4565" i="1" l="1"/>
  <c r="J4565" i="1" s="1"/>
  <c r="I4278" i="1"/>
  <c r="J4091" i="1"/>
  <c r="I4091" i="1"/>
  <c r="H4092" i="1"/>
  <c r="H89" i="1"/>
  <c r="J88" i="1"/>
  <c r="I88" i="1"/>
  <c r="H4171" i="1"/>
  <c r="J4170" i="1"/>
  <c r="I4170" i="1"/>
  <c r="H4279" i="1"/>
  <c r="J4279" i="1" s="1"/>
  <c r="J4130" i="1"/>
  <c r="I4130" i="1"/>
  <c r="H4131" i="1"/>
  <c r="H4564" i="1"/>
  <c r="I4564" i="1" s="1"/>
  <c r="C4566" i="1"/>
  <c r="G4566" i="1" s="1"/>
  <c r="D4565" i="1"/>
  <c r="F4565" i="1"/>
  <c r="F91" i="1"/>
  <c r="F1241" i="1"/>
  <c r="F591" i="1"/>
  <c r="F1439" i="1"/>
  <c r="C4281" i="1"/>
  <c r="F4280" i="1"/>
  <c r="D4280" i="1"/>
  <c r="D1439" i="1"/>
  <c r="C1440" i="1"/>
  <c r="C92" i="1"/>
  <c r="D91" i="1"/>
  <c r="C1242" i="1"/>
  <c r="D1241" i="1"/>
  <c r="C592" i="1"/>
  <c r="D591" i="1"/>
  <c r="I4279" i="1" l="1"/>
  <c r="H4172" i="1"/>
  <c r="J4171" i="1"/>
  <c r="I4171" i="1"/>
  <c r="H90" i="1"/>
  <c r="J89" i="1"/>
  <c r="I89" i="1"/>
  <c r="H4565" i="1"/>
  <c r="I4565" i="1" s="1"/>
  <c r="J4092" i="1"/>
  <c r="I4092" i="1"/>
  <c r="H4093" i="1"/>
  <c r="J4131" i="1"/>
  <c r="I4131" i="1"/>
  <c r="H4132" i="1"/>
  <c r="H4280" i="1"/>
  <c r="J4280" i="1" s="1"/>
  <c r="D4566" i="1"/>
  <c r="F4566" i="1"/>
  <c r="C4567" i="1"/>
  <c r="G4567" i="1" s="1"/>
  <c r="F592" i="1"/>
  <c r="F1242" i="1"/>
  <c r="F92" i="1"/>
  <c r="F1440" i="1"/>
  <c r="F4281" i="1"/>
  <c r="C4282" i="1"/>
  <c r="D4281" i="1"/>
  <c r="C1441" i="1"/>
  <c r="D1440" i="1"/>
  <c r="C593" i="1"/>
  <c r="D592" i="1"/>
  <c r="C1243" i="1"/>
  <c r="D1242" i="1"/>
  <c r="C93" i="1"/>
  <c r="D92" i="1"/>
  <c r="I4280" i="1" l="1"/>
  <c r="H4281" i="1"/>
  <c r="J4281" i="1" s="1"/>
  <c r="H91" i="1"/>
  <c r="J90" i="1"/>
  <c r="I90" i="1"/>
  <c r="J4093" i="1"/>
  <c r="I4093" i="1"/>
  <c r="H4094" i="1"/>
  <c r="H4566" i="1"/>
  <c r="I4566" i="1" s="1"/>
  <c r="J4132" i="1"/>
  <c r="I4132" i="1"/>
  <c r="H4133" i="1"/>
  <c r="H4173" i="1"/>
  <c r="J4172" i="1"/>
  <c r="I4172" i="1"/>
  <c r="C4568" i="1"/>
  <c r="G4568" i="1" s="1"/>
  <c r="D4567" i="1"/>
  <c r="F4567" i="1"/>
  <c r="F93" i="1"/>
  <c r="F1243" i="1"/>
  <c r="F593" i="1"/>
  <c r="F1441" i="1"/>
  <c r="F4282" i="1"/>
  <c r="C4283" i="1"/>
  <c r="D4282" i="1"/>
  <c r="D1441" i="1"/>
  <c r="C1442" i="1"/>
  <c r="C94" i="1"/>
  <c r="D93" i="1"/>
  <c r="C1244" i="1"/>
  <c r="D1243" i="1"/>
  <c r="C594" i="1"/>
  <c r="D593" i="1"/>
  <c r="H92" i="1" l="1"/>
  <c r="J91" i="1"/>
  <c r="I91" i="1"/>
  <c r="H4282" i="1"/>
  <c r="J4282" i="1" s="1"/>
  <c r="H4567" i="1"/>
  <c r="J4567" i="1" s="1"/>
  <c r="J4566" i="1"/>
  <c r="J4094" i="1"/>
  <c r="I4094" i="1"/>
  <c r="H4095" i="1"/>
  <c r="H4174" i="1"/>
  <c r="J4173" i="1"/>
  <c r="I4173" i="1"/>
  <c r="I4281" i="1"/>
  <c r="J4133" i="1"/>
  <c r="I4133" i="1"/>
  <c r="H4134" i="1"/>
  <c r="C4569" i="1"/>
  <c r="G4569" i="1" s="1"/>
  <c r="F4568" i="1"/>
  <c r="D4568" i="1"/>
  <c r="F594" i="1"/>
  <c r="F1244" i="1"/>
  <c r="F94" i="1"/>
  <c r="F1442" i="1"/>
  <c r="C4284" i="1"/>
  <c r="F4283" i="1"/>
  <c r="D4283" i="1"/>
  <c r="D1442" i="1"/>
  <c r="C1443" i="1"/>
  <c r="C595" i="1"/>
  <c r="D594" i="1"/>
  <c r="C1245" i="1"/>
  <c r="D1244" i="1"/>
  <c r="C95" i="1"/>
  <c r="D94" i="1"/>
  <c r="I4567" i="1" l="1"/>
  <c r="J4095" i="1"/>
  <c r="I4095" i="1"/>
  <c r="H4096" i="1"/>
  <c r="H93" i="1"/>
  <c r="J92" i="1"/>
  <c r="I92" i="1"/>
  <c r="J4134" i="1"/>
  <c r="I4134" i="1"/>
  <c r="H4135" i="1"/>
  <c r="I4282" i="1"/>
  <c r="H4283" i="1"/>
  <c r="J4283" i="1" s="1"/>
  <c r="H4175" i="1"/>
  <c r="J4174" i="1"/>
  <c r="I4174" i="1"/>
  <c r="H4568" i="1"/>
  <c r="J4568" i="1" s="1"/>
  <c r="C4570" i="1"/>
  <c r="G4570" i="1" s="1"/>
  <c r="F4569" i="1"/>
  <c r="D4569" i="1"/>
  <c r="F95" i="1"/>
  <c r="F1245" i="1"/>
  <c r="F595" i="1"/>
  <c r="F1443" i="1"/>
  <c r="F4284" i="1"/>
  <c r="C4285" i="1"/>
  <c r="D4284" i="1"/>
  <c r="C1444" i="1"/>
  <c r="D1443" i="1"/>
  <c r="C96" i="1"/>
  <c r="D95" i="1"/>
  <c r="C1246" i="1"/>
  <c r="D1245" i="1"/>
  <c r="C596" i="1"/>
  <c r="D595" i="1"/>
  <c r="I4135" i="1" l="1"/>
  <c r="J4135" i="1"/>
  <c r="J4175" i="1"/>
  <c r="I4175" i="1"/>
  <c r="H4284" i="1"/>
  <c r="J4284" i="1" s="1"/>
  <c r="J4096" i="1"/>
  <c r="I4096" i="1"/>
  <c r="H4097" i="1"/>
  <c r="H4569" i="1"/>
  <c r="J4569" i="1" s="1"/>
  <c r="I4568" i="1"/>
  <c r="I4283" i="1"/>
  <c r="H94" i="1"/>
  <c r="J93" i="1"/>
  <c r="I93" i="1"/>
  <c r="D4570" i="1"/>
  <c r="C4571" i="1"/>
  <c r="F4570" i="1"/>
  <c r="F596" i="1"/>
  <c r="F1246" i="1"/>
  <c r="F96" i="1"/>
  <c r="F1444" i="1"/>
  <c r="C4286" i="1"/>
  <c r="D4285" i="1"/>
  <c r="F4285" i="1"/>
  <c r="C1445" i="1"/>
  <c r="D1444" i="1"/>
  <c r="C597" i="1"/>
  <c r="D596" i="1"/>
  <c r="C1247" i="1"/>
  <c r="D1246" i="1"/>
  <c r="C97" i="1"/>
  <c r="D96" i="1"/>
  <c r="H4285" i="1" l="1"/>
  <c r="J4285" i="1" s="1"/>
  <c r="H4570" i="1"/>
  <c r="I4570" i="1" s="1"/>
  <c r="G4571" i="1"/>
  <c r="J4571" i="1" s="1"/>
  <c r="J4097" i="1"/>
  <c r="I4097" i="1"/>
  <c r="H4098" i="1"/>
  <c r="I4284" i="1"/>
  <c r="H95" i="1"/>
  <c r="J94" i="1"/>
  <c r="I94" i="1"/>
  <c r="I4569" i="1"/>
  <c r="F4571" i="1"/>
  <c r="D4571" i="1"/>
  <c r="C4572" i="1"/>
  <c r="F97" i="1"/>
  <c r="F1247" i="1"/>
  <c r="F597" i="1"/>
  <c r="F1445" i="1"/>
  <c r="F4286" i="1"/>
  <c r="C4287" i="1"/>
  <c r="D4286" i="1"/>
  <c r="D1445" i="1"/>
  <c r="C1446" i="1"/>
  <c r="C98" i="1"/>
  <c r="D97" i="1"/>
  <c r="C1248" i="1"/>
  <c r="D1247" i="1"/>
  <c r="C598" i="1"/>
  <c r="D597" i="1"/>
  <c r="I4285" i="1" l="1"/>
  <c r="J4570" i="1"/>
  <c r="G4572" i="1"/>
  <c r="J4572" i="1" s="1"/>
  <c r="H96" i="1"/>
  <c r="J95" i="1"/>
  <c r="I95" i="1"/>
  <c r="J4098" i="1"/>
  <c r="I4098" i="1"/>
  <c r="H4099" i="1"/>
  <c r="H4571" i="1"/>
  <c r="I4571" i="1" s="1"/>
  <c r="H4286" i="1"/>
  <c r="I4286" i="1" s="1"/>
  <c r="F4572" i="1"/>
  <c r="D4572" i="1"/>
  <c r="C4573" i="1"/>
  <c r="F598" i="1"/>
  <c r="F1248" i="1"/>
  <c r="F98" i="1"/>
  <c r="F1446" i="1"/>
  <c r="F4287" i="1"/>
  <c r="D4287" i="1"/>
  <c r="C4288" i="1"/>
  <c r="C1447" i="1"/>
  <c r="D1446" i="1"/>
  <c r="C599" i="1"/>
  <c r="D598" i="1"/>
  <c r="C1249" i="1"/>
  <c r="D1248" i="1"/>
  <c r="C99" i="1"/>
  <c r="D98" i="1"/>
  <c r="G4573" i="1" l="1"/>
  <c r="J4573" i="1" s="1"/>
  <c r="H4572" i="1"/>
  <c r="I4572" i="1" s="1"/>
  <c r="H4287" i="1"/>
  <c r="J4287" i="1" s="1"/>
  <c r="J4286" i="1"/>
  <c r="H97" i="1"/>
  <c r="J96" i="1"/>
  <c r="I96" i="1"/>
  <c r="J4099" i="1"/>
  <c r="I4099" i="1"/>
  <c r="H4100" i="1"/>
  <c r="F4573" i="1"/>
  <c r="D4573" i="1"/>
  <c r="C4574" i="1"/>
  <c r="F99" i="1"/>
  <c r="F1249" i="1"/>
  <c r="F599" i="1"/>
  <c r="F1447" i="1"/>
  <c r="F4288" i="1"/>
  <c r="C4289" i="1"/>
  <c r="D4288" i="1"/>
  <c r="C1448" i="1"/>
  <c r="D1447" i="1"/>
  <c r="C100" i="1"/>
  <c r="D99" i="1"/>
  <c r="C1250" i="1"/>
  <c r="D1249" i="1"/>
  <c r="C600" i="1"/>
  <c r="D599" i="1"/>
  <c r="G4574" i="1" l="1"/>
  <c r="J4574" i="1" s="1"/>
  <c r="H4573" i="1"/>
  <c r="I4573" i="1" s="1"/>
  <c r="J4100" i="1"/>
  <c r="I4100" i="1"/>
  <c r="H4101" i="1"/>
  <c r="H4288" i="1"/>
  <c r="J4288" i="1" s="1"/>
  <c r="H98" i="1"/>
  <c r="J97" i="1"/>
  <c r="I97" i="1"/>
  <c r="I4287" i="1"/>
  <c r="D4574" i="1"/>
  <c r="F4574" i="1"/>
  <c r="C4575" i="1"/>
  <c r="F600" i="1"/>
  <c r="F1250" i="1"/>
  <c r="F100" i="1"/>
  <c r="F1448" i="1"/>
  <c r="C4290" i="1"/>
  <c r="D4289" i="1"/>
  <c r="F4289" i="1"/>
  <c r="C1449" i="1"/>
  <c r="D1448" i="1"/>
  <c r="C601" i="1"/>
  <c r="D600" i="1"/>
  <c r="C1251" i="1"/>
  <c r="D1250" i="1"/>
  <c r="C101" i="1"/>
  <c r="D100" i="1"/>
  <c r="G4575" i="1" l="1"/>
  <c r="J4575" i="1" s="1"/>
  <c r="I4288" i="1"/>
  <c r="H4289" i="1"/>
  <c r="I4289" i="1" s="1"/>
  <c r="H4574" i="1"/>
  <c r="I4574" i="1" s="1"/>
  <c r="J4101" i="1"/>
  <c r="I4101" i="1"/>
  <c r="H4102" i="1"/>
  <c r="H99" i="1"/>
  <c r="J98" i="1"/>
  <c r="I98" i="1"/>
  <c r="F4575" i="1"/>
  <c r="D4575" i="1"/>
  <c r="C4576" i="1"/>
  <c r="G4576" i="1" s="1"/>
  <c r="F101" i="1"/>
  <c r="F1251" i="1"/>
  <c r="F601" i="1"/>
  <c r="F1449" i="1"/>
  <c r="F4290" i="1"/>
  <c r="C4291" i="1"/>
  <c r="D4290" i="1"/>
  <c r="D1449" i="1"/>
  <c r="C1450" i="1"/>
  <c r="C102" i="1"/>
  <c r="D101" i="1"/>
  <c r="C1252" i="1"/>
  <c r="D1251" i="1"/>
  <c r="C602" i="1"/>
  <c r="D601" i="1"/>
  <c r="H4290" i="1" l="1"/>
  <c r="J4289" i="1"/>
  <c r="H4575" i="1"/>
  <c r="I4575" i="1" s="1"/>
  <c r="J4102" i="1"/>
  <c r="I4102" i="1"/>
  <c r="H4103" i="1"/>
  <c r="H100" i="1"/>
  <c r="J99" i="1"/>
  <c r="I99" i="1"/>
  <c r="D4576" i="1"/>
  <c r="C4577" i="1"/>
  <c r="G4577" i="1" s="1"/>
  <c r="F4576" i="1"/>
  <c r="F602" i="1"/>
  <c r="F1252" i="1"/>
  <c r="F102" i="1"/>
  <c r="F1450" i="1"/>
  <c r="D4291" i="1"/>
  <c r="F4291" i="1"/>
  <c r="C4292" i="1"/>
  <c r="C1451" i="1"/>
  <c r="D1450" i="1"/>
  <c r="C603" i="1"/>
  <c r="D602" i="1"/>
  <c r="C1253" i="1"/>
  <c r="D1252" i="1"/>
  <c r="C103" i="1"/>
  <c r="D102" i="1"/>
  <c r="H4576" i="1" l="1"/>
  <c r="J4576" i="1" s="1"/>
  <c r="H4291" i="1"/>
  <c r="J4291" i="1" s="1"/>
  <c r="H101" i="1"/>
  <c r="J100" i="1"/>
  <c r="I100" i="1"/>
  <c r="I4290" i="1"/>
  <c r="J4290" i="1"/>
  <c r="J4103" i="1"/>
  <c r="I4103" i="1"/>
  <c r="H4104" i="1"/>
  <c r="F4577" i="1"/>
  <c r="D4577" i="1"/>
  <c r="C4578" i="1"/>
  <c r="G4578" i="1" s="1"/>
  <c r="F103" i="1"/>
  <c r="F1253" i="1"/>
  <c r="F603" i="1"/>
  <c r="F1451" i="1"/>
  <c r="C4293" i="1"/>
  <c r="D4292" i="1"/>
  <c r="F4292" i="1"/>
  <c r="D1451" i="1"/>
  <c r="C1452" i="1"/>
  <c r="C104" i="1"/>
  <c r="D103" i="1"/>
  <c r="C1254" i="1"/>
  <c r="D1253" i="1"/>
  <c r="C604" i="1"/>
  <c r="D603" i="1"/>
  <c r="I4576" i="1" l="1"/>
  <c r="H102" i="1"/>
  <c r="J101" i="1"/>
  <c r="I101" i="1"/>
  <c r="H4292" i="1"/>
  <c r="H4577" i="1"/>
  <c r="J4577" i="1" s="1"/>
  <c r="I4291" i="1"/>
  <c r="J4104" i="1"/>
  <c r="I4104" i="1"/>
  <c r="H4105" i="1"/>
  <c r="F4578" i="1"/>
  <c r="D4578" i="1"/>
  <c r="C4579" i="1"/>
  <c r="G4579" i="1" s="1"/>
  <c r="F604" i="1"/>
  <c r="F1254" i="1"/>
  <c r="F104" i="1"/>
  <c r="F1452" i="1"/>
  <c r="F4293" i="1"/>
  <c r="C4294" i="1"/>
  <c r="D4293" i="1"/>
  <c r="D1452" i="1"/>
  <c r="C1453" i="1"/>
  <c r="C605" i="1"/>
  <c r="D604" i="1"/>
  <c r="C1255" i="1"/>
  <c r="D1254" i="1"/>
  <c r="C105" i="1"/>
  <c r="D104" i="1"/>
  <c r="H4293" i="1" l="1"/>
  <c r="J4292" i="1"/>
  <c r="J4105" i="1"/>
  <c r="I4105" i="1"/>
  <c r="H4106" i="1"/>
  <c r="I4577" i="1"/>
  <c r="H103" i="1"/>
  <c r="J102" i="1"/>
  <c r="I102" i="1"/>
  <c r="I4292" i="1"/>
  <c r="H4578" i="1"/>
  <c r="J4578" i="1" s="1"/>
  <c r="D4579" i="1"/>
  <c r="C4580" i="1"/>
  <c r="G4580" i="1" s="1"/>
  <c r="F4579" i="1"/>
  <c r="F105" i="1"/>
  <c r="F1255" i="1"/>
  <c r="F605" i="1"/>
  <c r="F1453" i="1"/>
  <c r="C4295" i="1"/>
  <c r="F4294" i="1"/>
  <c r="D4294" i="1"/>
  <c r="D1453" i="1"/>
  <c r="C1454" i="1"/>
  <c r="C106" i="1"/>
  <c r="D105" i="1"/>
  <c r="C1256" i="1"/>
  <c r="D1255" i="1"/>
  <c r="C606" i="1"/>
  <c r="D605" i="1"/>
  <c r="H4579" i="1" l="1"/>
  <c r="J4579" i="1" s="1"/>
  <c r="J4106" i="1"/>
  <c r="I4106" i="1"/>
  <c r="H4107" i="1"/>
  <c r="H104" i="1"/>
  <c r="J103" i="1"/>
  <c r="I103" i="1"/>
  <c r="I4578" i="1"/>
  <c r="H4294" i="1"/>
  <c r="J4294" i="1" s="1"/>
  <c r="J4293" i="1"/>
  <c r="I4293" i="1"/>
  <c r="C4581" i="1"/>
  <c r="D4580" i="1"/>
  <c r="F4580" i="1"/>
  <c r="F606" i="1"/>
  <c r="F1256" i="1"/>
  <c r="F106" i="1"/>
  <c r="F1454" i="1"/>
  <c r="F4295" i="1"/>
  <c r="D4295" i="1"/>
  <c r="C4296" i="1"/>
  <c r="C1455" i="1"/>
  <c r="D1454" i="1"/>
  <c r="C607" i="1"/>
  <c r="D606" i="1"/>
  <c r="C1257" i="1"/>
  <c r="D1256" i="1"/>
  <c r="C107" i="1"/>
  <c r="D106" i="1"/>
  <c r="H4295" i="1" l="1"/>
  <c r="I4295" i="1" s="1"/>
  <c r="H4580" i="1"/>
  <c r="J4580" i="1" s="1"/>
  <c r="G4581" i="1"/>
  <c r="J4581" i="1" s="1"/>
  <c r="I4579" i="1"/>
  <c r="H105" i="1"/>
  <c r="J104" i="1"/>
  <c r="I104" i="1"/>
  <c r="H1256" i="1"/>
  <c r="J4107" i="1"/>
  <c r="I4107" i="1"/>
  <c r="H4108" i="1"/>
  <c r="I4294" i="1"/>
  <c r="F4581" i="1"/>
  <c r="D4581" i="1"/>
  <c r="C4582" i="1"/>
  <c r="F107" i="1"/>
  <c r="F1257" i="1"/>
  <c r="F607" i="1"/>
  <c r="F1455" i="1"/>
  <c r="F4296" i="1"/>
  <c r="C4297" i="1"/>
  <c r="D4296" i="1"/>
  <c r="C1456" i="1"/>
  <c r="D1455" i="1"/>
  <c r="C108" i="1"/>
  <c r="D107" i="1"/>
  <c r="C1258" i="1"/>
  <c r="D1257" i="1"/>
  <c r="C608" i="1"/>
  <c r="D607" i="1"/>
  <c r="J4295" i="1" l="1"/>
  <c r="I4580" i="1"/>
  <c r="G4582" i="1"/>
  <c r="J4582" i="1" s="1"/>
  <c r="H4296" i="1"/>
  <c r="I4296" i="1" s="1"/>
  <c r="H106" i="1"/>
  <c r="J105" i="1"/>
  <c r="I105" i="1"/>
  <c r="H4581" i="1"/>
  <c r="I4581" i="1" s="1"/>
  <c r="J4108" i="1"/>
  <c r="I4108" i="1"/>
  <c r="H4109" i="1"/>
  <c r="H1257" i="1"/>
  <c r="J1256" i="1"/>
  <c r="I1256" i="1"/>
  <c r="F4582" i="1"/>
  <c r="C4583" i="1"/>
  <c r="D4582" i="1"/>
  <c r="F608" i="1"/>
  <c r="F1258" i="1"/>
  <c r="F108" i="1"/>
  <c r="F1456" i="1"/>
  <c r="D4297" i="1"/>
  <c r="F4297" i="1"/>
  <c r="C4298" i="1"/>
  <c r="C1457" i="1"/>
  <c r="D1456" i="1"/>
  <c r="C609" i="1"/>
  <c r="D608" i="1"/>
  <c r="C1259" i="1"/>
  <c r="D1258" i="1"/>
  <c r="C109" i="1"/>
  <c r="D108" i="1"/>
  <c r="G4583" i="1" l="1"/>
  <c r="J4583" i="1" s="1"/>
  <c r="J4109" i="1"/>
  <c r="I4109" i="1"/>
  <c r="H4110" i="1"/>
  <c r="H107" i="1"/>
  <c r="J106" i="1"/>
  <c r="I106" i="1"/>
  <c r="H1258" i="1"/>
  <c r="J1257" i="1"/>
  <c r="H4582" i="1"/>
  <c r="I4582" i="1" s="1"/>
  <c r="I1257" i="1"/>
  <c r="H4297" i="1"/>
  <c r="J4297" i="1" s="1"/>
  <c r="J4296" i="1"/>
  <c r="D4583" i="1"/>
  <c r="F4583" i="1"/>
  <c r="C4584" i="1"/>
  <c r="F109" i="1"/>
  <c r="F1259" i="1"/>
  <c r="F609" i="1"/>
  <c r="F1457" i="1"/>
  <c r="F4298" i="1"/>
  <c r="C4299" i="1"/>
  <c r="D4298" i="1"/>
  <c r="C1458" i="1"/>
  <c r="D1457" i="1"/>
  <c r="C110" i="1"/>
  <c r="D109" i="1"/>
  <c r="C1260" i="1"/>
  <c r="D1259" i="1"/>
  <c r="C610" i="1"/>
  <c r="D609" i="1"/>
  <c r="G4584" i="1" l="1"/>
  <c r="J4584" i="1" s="1"/>
  <c r="I4297" i="1"/>
  <c r="H108" i="1"/>
  <c r="J107" i="1"/>
  <c r="I107" i="1"/>
  <c r="J4110" i="1"/>
  <c r="I4110" i="1"/>
  <c r="H4111" i="1"/>
  <c r="H1259" i="1"/>
  <c r="I1259" i="1" s="1"/>
  <c r="J1258" i="1"/>
  <c r="I1258" i="1"/>
  <c r="H4583" i="1"/>
  <c r="I4583" i="1" s="1"/>
  <c r="H4298" i="1"/>
  <c r="J4298" i="1" s="1"/>
  <c r="F4584" i="1"/>
  <c r="D4584" i="1"/>
  <c r="C4585" i="1"/>
  <c r="F610" i="1"/>
  <c r="F1260" i="1"/>
  <c r="F110" i="1"/>
  <c r="F1458" i="1"/>
  <c r="C4300" i="1"/>
  <c r="F4299" i="1"/>
  <c r="D4299" i="1"/>
  <c r="C1459" i="1"/>
  <c r="D1458" i="1"/>
  <c r="C611" i="1"/>
  <c r="D610" i="1"/>
  <c r="C1261" i="1"/>
  <c r="D1260" i="1"/>
  <c r="C111" i="1"/>
  <c r="D110" i="1"/>
  <c r="G4585" i="1" l="1"/>
  <c r="J4585" i="1" s="1"/>
  <c r="I4298" i="1"/>
  <c r="J4111" i="1"/>
  <c r="I4111" i="1"/>
  <c r="H4112" i="1"/>
  <c r="H4299" i="1"/>
  <c r="J4299" i="1" s="1"/>
  <c r="H4584" i="1"/>
  <c r="I4584" i="1" s="1"/>
  <c r="H1260" i="1"/>
  <c r="I1260" i="1" s="1"/>
  <c r="J1259" i="1"/>
  <c r="H109" i="1"/>
  <c r="J108" i="1"/>
  <c r="I108" i="1"/>
  <c r="D4585" i="1"/>
  <c r="F4585" i="1"/>
  <c r="C4586" i="1"/>
  <c r="G4586" i="1" s="1"/>
  <c r="F111" i="1"/>
  <c r="F1261" i="1"/>
  <c r="F611" i="1"/>
  <c r="F1459" i="1"/>
  <c r="F4300" i="1"/>
  <c r="D4300" i="1"/>
  <c r="C4301" i="1"/>
  <c r="C1460" i="1"/>
  <c r="D1459" i="1"/>
  <c r="C112" i="1"/>
  <c r="D111" i="1"/>
  <c r="C1262" i="1"/>
  <c r="D1261" i="1"/>
  <c r="C612" i="1"/>
  <c r="D611" i="1"/>
  <c r="H4585" i="1" l="1"/>
  <c r="I4585" i="1" s="1"/>
  <c r="I4299" i="1"/>
  <c r="J4112" i="1"/>
  <c r="I4112" i="1"/>
  <c r="H4113" i="1"/>
  <c r="H4300" i="1"/>
  <c r="J4300" i="1" s="1"/>
  <c r="H110" i="1"/>
  <c r="J109" i="1"/>
  <c r="I109" i="1"/>
  <c r="H1261" i="1"/>
  <c r="I1261" i="1" s="1"/>
  <c r="J1260" i="1"/>
  <c r="F4586" i="1"/>
  <c r="C4587" i="1"/>
  <c r="G4587" i="1" s="1"/>
  <c r="D4586" i="1"/>
  <c r="F612" i="1"/>
  <c r="F1262" i="1"/>
  <c r="F112" i="1"/>
  <c r="F1460" i="1"/>
  <c r="F4301" i="1"/>
  <c r="C4302" i="1"/>
  <c r="D4301" i="1"/>
  <c r="C1461" i="1"/>
  <c r="D1460" i="1"/>
  <c r="C613" i="1"/>
  <c r="D612" i="1"/>
  <c r="C1263" i="1"/>
  <c r="D1262" i="1"/>
  <c r="C113" i="1"/>
  <c r="D112" i="1"/>
  <c r="I4300" i="1" l="1"/>
  <c r="H4586" i="1"/>
  <c r="I4586" i="1" s="1"/>
  <c r="H1262" i="1"/>
  <c r="I1262" i="1" s="1"/>
  <c r="J1261" i="1"/>
  <c r="J4113" i="1"/>
  <c r="I4113" i="1"/>
  <c r="H4114" i="1"/>
  <c r="H4301" i="1"/>
  <c r="J4301" i="1" s="1"/>
  <c r="H111" i="1"/>
  <c r="J110" i="1"/>
  <c r="I110" i="1"/>
  <c r="F4587" i="1"/>
  <c r="D4587" i="1"/>
  <c r="C4588" i="1"/>
  <c r="G4588" i="1" s="1"/>
  <c r="F113" i="1"/>
  <c r="F1263" i="1"/>
  <c r="F613" i="1"/>
  <c r="F1461" i="1"/>
  <c r="F4302" i="1"/>
  <c r="C4303" i="1"/>
  <c r="D4302" i="1"/>
  <c r="C1462" i="1"/>
  <c r="D1461" i="1"/>
  <c r="C114" i="1"/>
  <c r="D113" i="1"/>
  <c r="C1264" i="1"/>
  <c r="D1263" i="1"/>
  <c r="C614" i="1"/>
  <c r="D613" i="1"/>
  <c r="H4587" i="1" l="1"/>
  <c r="J4587" i="1" s="1"/>
  <c r="J4586" i="1"/>
  <c r="J4114" i="1"/>
  <c r="I4114" i="1"/>
  <c r="H4115" i="1"/>
  <c r="H112" i="1"/>
  <c r="J111" i="1"/>
  <c r="I111" i="1"/>
  <c r="I4301" i="1"/>
  <c r="H1263" i="1"/>
  <c r="J1262" i="1"/>
  <c r="H4302" i="1"/>
  <c r="J4302" i="1" s="1"/>
  <c r="F4588" i="1"/>
  <c r="D4588" i="1"/>
  <c r="C4589" i="1"/>
  <c r="G4589" i="1" s="1"/>
  <c r="F614" i="1"/>
  <c r="F1264" i="1"/>
  <c r="F114" i="1"/>
  <c r="F1462" i="1"/>
  <c r="F4303" i="1"/>
  <c r="C4304" i="1"/>
  <c r="D4303" i="1"/>
  <c r="C1463" i="1"/>
  <c r="D1462" i="1"/>
  <c r="C615" i="1"/>
  <c r="D614" i="1"/>
  <c r="C1265" i="1"/>
  <c r="D1264" i="1"/>
  <c r="C115" i="1"/>
  <c r="D114" i="1"/>
  <c r="H4588" i="1" l="1"/>
  <c r="I4588" i="1" s="1"/>
  <c r="H4303" i="1"/>
  <c r="J4303" i="1" s="1"/>
  <c r="H1264" i="1"/>
  <c r="I1264" i="1" s="1"/>
  <c r="J1263" i="1"/>
  <c r="H113" i="1"/>
  <c r="J112" i="1"/>
  <c r="I112" i="1"/>
  <c r="I1263" i="1"/>
  <c r="I4587" i="1"/>
  <c r="I4302" i="1"/>
  <c r="I4115" i="1"/>
  <c r="J4115" i="1"/>
  <c r="D4589" i="1"/>
  <c r="C4590" i="1"/>
  <c r="G4590" i="1" s="1"/>
  <c r="F4589" i="1"/>
  <c r="F115" i="1"/>
  <c r="F1265" i="1"/>
  <c r="F615" i="1"/>
  <c r="F1463" i="1"/>
  <c r="F4304" i="1"/>
  <c r="C4305" i="1"/>
  <c r="D4304" i="1"/>
  <c r="D1463" i="1"/>
  <c r="C1464" i="1"/>
  <c r="C116" i="1"/>
  <c r="D115" i="1"/>
  <c r="C1266" i="1"/>
  <c r="D1265" i="1"/>
  <c r="C616" i="1"/>
  <c r="D615" i="1"/>
  <c r="J4588" i="1" l="1"/>
  <c r="H114" i="1"/>
  <c r="J113" i="1"/>
  <c r="I113" i="1"/>
  <c r="H4589" i="1"/>
  <c r="J4589" i="1" s="1"/>
  <c r="H1265" i="1"/>
  <c r="J1264" i="1"/>
  <c r="H4304" i="1"/>
  <c r="J4304" i="1" s="1"/>
  <c r="I4303" i="1"/>
  <c r="F4590" i="1"/>
  <c r="D4590" i="1"/>
  <c r="C4591" i="1"/>
  <c r="F616" i="1"/>
  <c r="F1266" i="1"/>
  <c r="F116" i="1"/>
  <c r="F1464" i="1"/>
  <c r="F4305" i="1"/>
  <c r="C4306" i="1"/>
  <c r="D4305" i="1"/>
  <c r="C1465" i="1"/>
  <c r="D1464" i="1"/>
  <c r="C617" i="1"/>
  <c r="D616" i="1"/>
  <c r="C1267" i="1"/>
  <c r="D1266" i="1"/>
  <c r="C117" i="1"/>
  <c r="D116" i="1"/>
  <c r="H4590" i="1" l="1"/>
  <c r="J4590" i="1" s="1"/>
  <c r="H4305" i="1"/>
  <c r="I4305" i="1" s="1"/>
  <c r="G4591" i="1"/>
  <c r="J4591" i="1" s="1"/>
  <c r="I4304" i="1"/>
  <c r="H1266" i="1"/>
  <c r="I1266" i="1" s="1"/>
  <c r="J1265" i="1"/>
  <c r="I4589" i="1"/>
  <c r="H115" i="1"/>
  <c r="J114" i="1"/>
  <c r="I114" i="1"/>
  <c r="I1265" i="1"/>
  <c r="F4591" i="1"/>
  <c r="D4591" i="1"/>
  <c r="C4592" i="1"/>
  <c r="F117" i="1"/>
  <c r="F1267" i="1"/>
  <c r="F617" i="1"/>
  <c r="F1465" i="1"/>
  <c r="F4306" i="1"/>
  <c r="C4307" i="1"/>
  <c r="D4306" i="1"/>
  <c r="C1466" i="1"/>
  <c r="D1465" i="1"/>
  <c r="C118" i="1"/>
  <c r="D117" i="1"/>
  <c r="C1268" i="1"/>
  <c r="D1267" i="1"/>
  <c r="C618" i="1"/>
  <c r="D617" i="1"/>
  <c r="I4590" i="1" l="1"/>
  <c r="J4305" i="1"/>
  <c r="G4592" i="1"/>
  <c r="J4592" i="1" s="1"/>
  <c r="H116" i="1"/>
  <c r="J115" i="1"/>
  <c r="I115" i="1"/>
  <c r="H4306" i="1"/>
  <c r="I4306" i="1" s="1"/>
  <c r="H4591" i="1"/>
  <c r="I4591" i="1" s="1"/>
  <c r="H1267" i="1"/>
  <c r="J1266" i="1"/>
  <c r="F4592" i="1"/>
  <c r="C4593" i="1"/>
  <c r="D4592" i="1"/>
  <c r="F618" i="1"/>
  <c r="F1268" i="1"/>
  <c r="F118" i="1"/>
  <c r="F1466" i="1"/>
  <c r="C4308" i="1"/>
  <c r="F4307" i="1"/>
  <c r="D4307" i="1"/>
  <c r="C1467" i="1"/>
  <c r="D1466" i="1"/>
  <c r="C619" i="1"/>
  <c r="D618" i="1"/>
  <c r="C1269" i="1"/>
  <c r="D1268" i="1"/>
  <c r="C119" i="1"/>
  <c r="D118" i="1"/>
  <c r="G4593" i="1" l="1"/>
  <c r="J4593" i="1" s="1"/>
  <c r="H1268" i="1"/>
  <c r="I1268" i="1" s="1"/>
  <c r="J1267" i="1"/>
  <c r="H117" i="1"/>
  <c r="J116" i="1"/>
  <c r="I116" i="1"/>
  <c r="H4592" i="1"/>
  <c r="I4592" i="1" s="1"/>
  <c r="I1267" i="1"/>
  <c r="H4307" i="1"/>
  <c r="J4307" i="1" s="1"/>
  <c r="J4306" i="1"/>
  <c r="D4593" i="1"/>
  <c r="C4594" i="1"/>
  <c r="F4593" i="1"/>
  <c r="F119" i="1"/>
  <c r="F1269" i="1"/>
  <c r="F619" i="1"/>
  <c r="F1467" i="1"/>
  <c r="C4309" i="1"/>
  <c r="F4308" i="1"/>
  <c r="D4308" i="1"/>
  <c r="D1467" i="1"/>
  <c r="C1468" i="1"/>
  <c r="C120" i="1"/>
  <c r="D119" i="1"/>
  <c r="C1270" i="1"/>
  <c r="D1269" i="1"/>
  <c r="C620" i="1"/>
  <c r="D619" i="1"/>
  <c r="I4307" i="1" l="1"/>
  <c r="G4594" i="1"/>
  <c r="J4594" i="1" s="1"/>
  <c r="H118" i="1"/>
  <c r="J117" i="1"/>
  <c r="I117" i="1"/>
  <c r="H4593" i="1"/>
  <c r="I4593" i="1" s="1"/>
  <c r="H4308" i="1"/>
  <c r="H1269" i="1"/>
  <c r="I1269" i="1" s="1"/>
  <c r="J1268" i="1"/>
  <c r="D4594" i="1"/>
  <c r="C4595" i="1"/>
  <c r="F4594" i="1"/>
  <c r="F620" i="1"/>
  <c r="F1270" i="1"/>
  <c r="F120" i="1"/>
  <c r="F1468" i="1"/>
  <c r="C4310" i="1"/>
  <c r="F4309" i="1"/>
  <c r="D4309" i="1"/>
  <c r="C1469" i="1"/>
  <c r="D1468" i="1"/>
  <c r="C621" i="1"/>
  <c r="D620" i="1"/>
  <c r="C1271" i="1"/>
  <c r="D1270" i="1"/>
  <c r="C121" i="1"/>
  <c r="D120" i="1"/>
  <c r="G4595" i="1" l="1"/>
  <c r="J4595" i="1" s="1"/>
  <c r="H4594" i="1"/>
  <c r="I4594" i="1" s="1"/>
  <c r="H1270" i="1"/>
  <c r="J1269" i="1"/>
  <c r="H4309" i="1"/>
  <c r="J4309" i="1" s="1"/>
  <c r="J4308" i="1"/>
  <c r="I4308" i="1"/>
  <c r="H119" i="1"/>
  <c r="J118" i="1"/>
  <c r="I118" i="1"/>
  <c r="C4596" i="1"/>
  <c r="D4595" i="1"/>
  <c r="F4595" i="1"/>
  <c r="F121" i="1"/>
  <c r="F1271" i="1"/>
  <c r="F621" i="1"/>
  <c r="F1469" i="1"/>
  <c r="C4311" i="1"/>
  <c r="F4310" i="1"/>
  <c r="D4310" i="1"/>
  <c r="C1470" i="1"/>
  <c r="D1469" i="1"/>
  <c r="C122" i="1"/>
  <c r="D121" i="1"/>
  <c r="C1272" i="1"/>
  <c r="D1271" i="1"/>
  <c r="C622" i="1"/>
  <c r="D621" i="1"/>
  <c r="G4596" i="1" l="1"/>
  <c r="J4596" i="1" s="1"/>
  <c r="I4309" i="1"/>
  <c r="H4595" i="1"/>
  <c r="I4595" i="1" s="1"/>
  <c r="H4310" i="1"/>
  <c r="J4310" i="1" s="1"/>
  <c r="H120" i="1"/>
  <c r="J119" i="1"/>
  <c r="I119" i="1"/>
  <c r="H1271" i="1"/>
  <c r="I1271" i="1" s="1"/>
  <c r="J1270" i="1"/>
  <c r="I1270" i="1"/>
  <c r="F4596" i="1"/>
  <c r="D4596" i="1"/>
  <c r="C4597" i="1"/>
  <c r="F622" i="1"/>
  <c r="F1272" i="1"/>
  <c r="F122" i="1"/>
  <c r="F1470" i="1"/>
  <c r="F4311" i="1"/>
  <c r="C4312" i="1"/>
  <c r="D4311" i="1"/>
  <c r="C1471" i="1"/>
  <c r="D1470" i="1"/>
  <c r="C623" i="1"/>
  <c r="D622" i="1"/>
  <c r="C1273" i="1"/>
  <c r="D1272" i="1"/>
  <c r="C123" i="1"/>
  <c r="D122" i="1"/>
  <c r="G4597" i="1" l="1"/>
  <c r="J4597" i="1" s="1"/>
  <c r="H4596" i="1"/>
  <c r="I4596" i="1" s="1"/>
  <c r="H4311" i="1"/>
  <c r="J4311" i="1" s="1"/>
  <c r="H121" i="1"/>
  <c r="J120" i="1"/>
  <c r="I120" i="1"/>
  <c r="I4310" i="1"/>
  <c r="H1272" i="1"/>
  <c r="I1272" i="1" s="1"/>
  <c r="J1271" i="1"/>
  <c r="C4598" i="1"/>
  <c r="D4597" i="1"/>
  <c r="F4597" i="1"/>
  <c r="F123" i="1"/>
  <c r="F1273" i="1"/>
  <c r="F623" i="1"/>
  <c r="F1471" i="1"/>
  <c r="F4312" i="1"/>
  <c r="C4313" i="1"/>
  <c r="D4312" i="1"/>
  <c r="C1472" i="1"/>
  <c r="D1471" i="1"/>
  <c r="C124" i="1"/>
  <c r="D123" i="1"/>
  <c r="C1274" i="1"/>
  <c r="D1273" i="1"/>
  <c r="C624" i="1"/>
  <c r="D623" i="1"/>
  <c r="G4598" i="1" l="1"/>
  <c r="J4598" i="1" s="1"/>
  <c r="H122" i="1"/>
  <c r="J121" i="1"/>
  <c r="I121" i="1"/>
  <c r="H4597" i="1"/>
  <c r="I4597" i="1" s="1"/>
  <c r="I4311" i="1"/>
  <c r="H4312" i="1"/>
  <c r="J4312" i="1" s="1"/>
  <c r="H1273" i="1"/>
  <c r="J1272" i="1"/>
  <c r="F4598" i="1"/>
  <c r="D4598" i="1"/>
  <c r="C4599" i="1"/>
  <c r="F624" i="1"/>
  <c r="F1274" i="1"/>
  <c r="F124" i="1"/>
  <c r="F1472" i="1"/>
  <c r="F4313" i="1"/>
  <c r="C4314" i="1"/>
  <c r="D4313" i="1"/>
  <c r="C1473" i="1"/>
  <c r="D1472" i="1"/>
  <c r="C625" i="1"/>
  <c r="D624" i="1"/>
  <c r="C1275" i="1"/>
  <c r="D1274" i="1"/>
  <c r="C125" i="1"/>
  <c r="D124" i="1"/>
  <c r="G4599" i="1" l="1"/>
  <c r="J4599" i="1" s="1"/>
  <c r="H4313" i="1"/>
  <c r="J4313" i="1" s="1"/>
  <c r="H1274" i="1"/>
  <c r="J1273" i="1"/>
  <c r="I4312" i="1"/>
  <c r="H123" i="1"/>
  <c r="J122" i="1"/>
  <c r="I122" i="1"/>
  <c r="H4598" i="1"/>
  <c r="I4598" i="1" s="1"/>
  <c r="I1273" i="1"/>
  <c r="F4599" i="1"/>
  <c r="D4599" i="1"/>
  <c r="C4600" i="1"/>
  <c r="F125" i="1"/>
  <c r="F1275" i="1"/>
  <c r="F625" i="1"/>
  <c r="F1473" i="1"/>
  <c r="F4314" i="1"/>
  <c r="C4315" i="1"/>
  <c r="D4314" i="1"/>
  <c r="C1474" i="1"/>
  <c r="D1473" i="1"/>
  <c r="C126" i="1"/>
  <c r="D125" i="1"/>
  <c r="C1276" i="1"/>
  <c r="D1275" i="1"/>
  <c r="C626" i="1"/>
  <c r="D625" i="1"/>
  <c r="G4600" i="1" l="1"/>
  <c r="J4600" i="1" s="1"/>
  <c r="H4599" i="1"/>
  <c r="I4599" i="1" s="1"/>
  <c r="H124" i="1"/>
  <c r="J123" i="1"/>
  <c r="I123" i="1"/>
  <c r="H1275" i="1"/>
  <c r="I1275" i="1" s="1"/>
  <c r="J1274" i="1"/>
  <c r="I1274" i="1"/>
  <c r="H4314" i="1"/>
  <c r="J4314" i="1" s="1"/>
  <c r="I4313" i="1"/>
  <c r="F4600" i="1"/>
  <c r="D4600" i="1"/>
  <c r="C4601" i="1"/>
  <c r="F626" i="1"/>
  <c r="F1276" i="1"/>
  <c r="F126" i="1"/>
  <c r="F1474" i="1"/>
  <c r="C4316" i="1"/>
  <c r="D4315" i="1"/>
  <c r="F4315" i="1"/>
  <c r="C1475" i="1"/>
  <c r="D1474" i="1"/>
  <c r="C627" i="1"/>
  <c r="D626" i="1"/>
  <c r="C1277" i="1"/>
  <c r="D1276" i="1"/>
  <c r="C127" i="1"/>
  <c r="D126" i="1"/>
  <c r="G4601" i="1" l="1"/>
  <c r="J4601" i="1" s="1"/>
  <c r="H4315" i="1"/>
  <c r="J4315" i="1" s="1"/>
  <c r="I4314" i="1"/>
  <c r="H125" i="1"/>
  <c r="J124" i="1"/>
  <c r="I124" i="1"/>
  <c r="H4600" i="1"/>
  <c r="I4600" i="1" s="1"/>
  <c r="H1276" i="1"/>
  <c r="I1276" i="1" s="1"/>
  <c r="J1275" i="1"/>
  <c r="C4602" i="1"/>
  <c r="F4601" i="1"/>
  <c r="D4601" i="1"/>
  <c r="F127" i="1"/>
  <c r="F1277" i="1"/>
  <c r="F627" i="1"/>
  <c r="F1475" i="1"/>
  <c r="D4316" i="1"/>
  <c r="C4317" i="1"/>
  <c r="F4316" i="1"/>
  <c r="D1475" i="1"/>
  <c r="C1476" i="1"/>
  <c r="C128" i="1"/>
  <c r="D127" i="1"/>
  <c r="C1278" i="1"/>
  <c r="D1277" i="1"/>
  <c r="C628" i="1"/>
  <c r="D627" i="1"/>
  <c r="I4315" i="1" l="1"/>
  <c r="G4602" i="1"/>
  <c r="J4602" i="1" s="1"/>
  <c r="H126" i="1"/>
  <c r="J125" i="1"/>
  <c r="I125" i="1"/>
  <c r="H1277" i="1"/>
  <c r="I1277" i="1" s="1"/>
  <c r="J1276" i="1"/>
  <c r="H4316" i="1"/>
  <c r="I4316" i="1" s="1"/>
  <c r="H4601" i="1"/>
  <c r="I4601" i="1" s="1"/>
  <c r="F4602" i="1"/>
  <c r="D4602" i="1"/>
  <c r="C4603" i="1"/>
  <c r="F628" i="1"/>
  <c r="F1278" i="1"/>
  <c r="F128" i="1"/>
  <c r="F1476" i="1"/>
  <c r="F4317" i="1"/>
  <c r="D4317" i="1"/>
  <c r="C4318" i="1"/>
  <c r="C1477" i="1"/>
  <c r="D1476" i="1"/>
  <c r="C629" i="1"/>
  <c r="D628" i="1"/>
  <c r="C1279" i="1"/>
  <c r="D1278" i="1"/>
  <c r="C129" i="1"/>
  <c r="D128" i="1"/>
  <c r="G4603" i="1" l="1"/>
  <c r="J4603" i="1" s="1"/>
  <c r="H4317" i="1"/>
  <c r="J4317" i="1" s="1"/>
  <c r="J4316" i="1"/>
  <c r="H4602" i="1"/>
  <c r="I4602" i="1" s="1"/>
  <c r="H127" i="1"/>
  <c r="J126" i="1"/>
  <c r="I126" i="1"/>
  <c r="H1278" i="1"/>
  <c r="I1278" i="1" s="1"/>
  <c r="J1277" i="1"/>
  <c r="F4603" i="1"/>
  <c r="D4603" i="1"/>
  <c r="C4604" i="1"/>
  <c r="F129" i="1"/>
  <c r="F1279" i="1"/>
  <c r="F629" i="1"/>
  <c r="F1477" i="1"/>
  <c r="F4318" i="1"/>
  <c r="C4319" i="1"/>
  <c r="D4318" i="1"/>
  <c r="C1478" i="1"/>
  <c r="D1477" i="1"/>
  <c r="C130" i="1"/>
  <c r="D129" i="1"/>
  <c r="C1280" i="1"/>
  <c r="D1279" i="1"/>
  <c r="C630" i="1"/>
  <c r="D629" i="1"/>
  <c r="I4317" i="1" l="1"/>
  <c r="G4604" i="1"/>
  <c r="J4604" i="1" s="1"/>
  <c r="H4603" i="1"/>
  <c r="I4603" i="1" s="1"/>
  <c r="H4318" i="1"/>
  <c r="I4318" i="1" s="1"/>
  <c r="H128" i="1"/>
  <c r="J127" i="1"/>
  <c r="I127" i="1"/>
  <c r="H1279" i="1"/>
  <c r="I1279" i="1" s="1"/>
  <c r="J1278" i="1"/>
  <c r="F4604" i="1"/>
  <c r="D4604" i="1"/>
  <c r="C4605" i="1"/>
  <c r="F630" i="1"/>
  <c r="F1280" i="1"/>
  <c r="F130" i="1"/>
  <c r="F1478" i="1"/>
  <c r="F4319" i="1"/>
  <c r="C4320" i="1"/>
  <c r="D4319" i="1"/>
  <c r="C1479" i="1"/>
  <c r="D1478" i="1"/>
  <c r="C631" i="1"/>
  <c r="D630" i="1"/>
  <c r="C1281" i="1"/>
  <c r="D1280" i="1"/>
  <c r="C131" i="1"/>
  <c r="D130" i="1"/>
  <c r="G4605" i="1" l="1"/>
  <c r="J4605" i="1" s="1"/>
  <c r="H4604" i="1"/>
  <c r="I4604" i="1" s="1"/>
  <c r="H1280" i="1"/>
  <c r="J1279" i="1"/>
  <c r="H129" i="1"/>
  <c r="J128" i="1"/>
  <c r="I128" i="1"/>
  <c r="H4319" i="1"/>
  <c r="I4319" i="1" s="1"/>
  <c r="J4318" i="1"/>
  <c r="D4605" i="1"/>
  <c r="C4606" i="1"/>
  <c r="G4606" i="1" s="1"/>
  <c r="F4605" i="1"/>
  <c r="F131" i="1"/>
  <c r="F1281" i="1"/>
  <c r="F631" i="1"/>
  <c r="F1479" i="1"/>
  <c r="C4321" i="1"/>
  <c r="F4320" i="1"/>
  <c r="D4320" i="1"/>
  <c r="C1480" i="1"/>
  <c r="D1479" i="1"/>
  <c r="C132" i="1"/>
  <c r="D131" i="1"/>
  <c r="C1282" i="1"/>
  <c r="D1281" i="1"/>
  <c r="C632" i="1"/>
  <c r="D631" i="1"/>
  <c r="H4605" i="1" l="1"/>
  <c r="I4605" i="1" s="1"/>
  <c r="H130" i="1"/>
  <c r="J129" i="1"/>
  <c r="I129" i="1"/>
  <c r="H4320" i="1"/>
  <c r="J4320" i="1" s="1"/>
  <c r="J4319" i="1"/>
  <c r="H1281" i="1"/>
  <c r="J1280" i="1"/>
  <c r="I1280" i="1"/>
  <c r="F4606" i="1"/>
  <c r="D4606" i="1"/>
  <c r="C4607" i="1"/>
  <c r="G4607" i="1" s="1"/>
  <c r="F632" i="1"/>
  <c r="F1282" i="1"/>
  <c r="F132" i="1"/>
  <c r="F1480" i="1"/>
  <c r="F4321" i="1"/>
  <c r="C4322" i="1"/>
  <c r="D4321" i="1"/>
  <c r="C1481" i="1"/>
  <c r="D1480" i="1"/>
  <c r="C633" i="1"/>
  <c r="D632" i="1"/>
  <c r="C1283" i="1"/>
  <c r="D1282" i="1"/>
  <c r="C133" i="1"/>
  <c r="D132" i="1"/>
  <c r="I4320" i="1" l="1"/>
  <c r="H4606" i="1"/>
  <c r="H4321" i="1"/>
  <c r="I4321" i="1" s="1"/>
  <c r="H131" i="1"/>
  <c r="J130" i="1"/>
  <c r="I130" i="1"/>
  <c r="H1282" i="1"/>
  <c r="J1281" i="1"/>
  <c r="I1281" i="1"/>
  <c r="F4607" i="1"/>
  <c r="D4607" i="1"/>
  <c r="C4608" i="1"/>
  <c r="G4608" i="1" s="1"/>
  <c r="F133" i="1"/>
  <c r="F1283" i="1"/>
  <c r="F633" i="1"/>
  <c r="F1481" i="1"/>
  <c r="F4322" i="1"/>
  <c r="C4323" i="1"/>
  <c r="D4322" i="1"/>
  <c r="C1482" i="1"/>
  <c r="D1481" i="1"/>
  <c r="C134" i="1"/>
  <c r="D133" i="1"/>
  <c r="C1284" i="1"/>
  <c r="D1283" i="1"/>
  <c r="C634" i="1"/>
  <c r="D633" i="1"/>
  <c r="H132" i="1" l="1"/>
  <c r="J131" i="1"/>
  <c r="I131" i="1"/>
  <c r="H4322" i="1"/>
  <c r="J4322" i="1" s="1"/>
  <c r="J4321" i="1"/>
  <c r="H1283" i="1"/>
  <c r="I1283" i="1" s="1"/>
  <c r="J1282" i="1"/>
  <c r="H4607" i="1"/>
  <c r="I4607" i="1" s="1"/>
  <c r="J4606" i="1"/>
  <c r="I4606" i="1"/>
  <c r="I1282" i="1"/>
  <c r="D4608" i="1"/>
  <c r="F4608" i="1"/>
  <c r="C4609" i="1"/>
  <c r="G4609" i="1" s="1"/>
  <c r="F634" i="1"/>
  <c r="F1284" i="1"/>
  <c r="F134" i="1"/>
  <c r="F1482" i="1"/>
  <c r="F4323" i="1"/>
  <c r="C4324" i="1"/>
  <c r="D4323" i="1"/>
  <c r="D1482" i="1"/>
  <c r="C1483" i="1"/>
  <c r="C635" i="1"/>
  <c r="D634" i="1"/>
  <c r="C1285" i="1"/>
  <c r="D1284" i="1"/>
  <c r="C135" i="1"/>
  <c r="D134" i="1"/>
  <c r="H4323" i="1" l="1"/>
  <c r="J4323" i="1" s="1"/>
  <c r="H4608" i="1"/>
  <c r="J4608" i="1" s="1"/>
  <c r="J4607" i="1"/>
  <c r="H133" i="1"/>
  <c r="J132" i="1"/>
  <c r="I132" i="1"/>
  <c r="I4322" i="1"/>
  <c r="H1284" i="1"/>
  <c r="J1283" i="1"/>
  <c r="D4609" i="1"/>
  <c r="C4610" i="1"/>
  <c r="G4610" i="1" s="1"/>
  <c r="F4609" i="1"/>
  <c r="F135" i="1"/>
  <c r="F1285" i="1"/>
  <c r="F635" i="1"/>
  <c r="F1483" i="1"/>
  <c r="F4324" i="1"/>
  <c r="D4324" i="1"/>
  <c r="C4325" i="1"/>
  <c r="D1483" i="1"/>
  <c r="C1484" i="1"/>
  <c r="C136" i="1"/>
  <c r="D135" i="1"/>
  <c r="C1286" i="1"/>
  <c r="D1285" i="1"/>
  <c r="C636" i="1"/>
  <c r="D635" i="1"/>
  <c r="H4324" i="1" l="1"/>
  <c r="J4324" i="1" s="1"/>
  <c r="H1285" i="1"/>
  <c r="I1285" i="1" s="1"/>
  <c r="J1284" i="1"/>
  <c r="I4608" i="1"/>
  <c r="I4323" i="1"/>
  <c r="H134" i="1"/>
  <c r="J133" i="1"/>
  <c r="I133" i="1"/>
  <c r="H4609" i="1"/>
  <c r="J4609" i="1" s="1"/>
  <c r="I1284" i="1"/>
  <c r="C4611" i="1"/>
  <c r="F4610" i="1"/>
  <c r="D4610" i="1"/>
  <c r="F636" i="1"/>
  <c r="F1286" i="1"/>
  <c r="F136" i="1"/>
  <c r="F1484" i="1"/>
  <c r="C4326" i="1"/>
  <c r="D4325" i="1"/>
  <c r="F4325" i="1"/>
  <c r="C1485" i="1"/>
  <c r="D1484" i="1"/>
  <c r="C637" i="1"/>
  <c r="D636" i="1"/>
  <c r="C1287" i="1"/>
  <c r="D1286" i="1"/>
  <c r="C137" i="1"/>
  <c r="D136" i="1"/>
  <c r="G4611" i="1" l="1"/>
  <c r="J4611" i="1" s="1"/>
  <c r="I4324" i="1"/>
  <c r="I4609" i="1"/>
  <c r="H4325" i="1"/>
  <c r="J4325" i="1" s="1"/>
  <c r="H4610" i="1"/>
  <c r="H1286" i="1"/>
  <c r="I1286" i="1" s="1"/>
  <c r="J1285" i="1"/>
  <c r="H135" i="1"/>
  <c r="J134" i="1"/>
  <c r="I134" i="1"/>
  <c r="F4611" i="1"/>
  <c r="D4611" i="1"/>
  <c r="C4612" i="1"/>
  <c r="F137" i="1"/>
  <c r="F1287" i="1"/>
  <c r="F637" i="1"/>
  <c r="F1485" i="1"/>
  <c r="F4326" i="1"/>
  <c r="C4327" i="1"/>
  <c r="D4326" i="1"/>
  <c r="D1485" i="1"/>
  <c r="C1486" i="1"/>
  <c r="C138" i="1"/>
  <c r="D137" i="1"/>
  <c r="C1288" i="1"/>
  <c r="D1287" i="1"/>
  <c r="C638" i="1"/>
  <c r="D637" i="1"/>
  <c r="G4612" i="1" l="1"/>
  <c r="J4612" i="1" s="1"/>
  <c r="I4325" i="1"/>
  <c r="H4611" i="1"/>
  <c r="I4611" i="1" s="1"/>
  <c r="H4326" i="1"/>
  <c r="J4326" i="1" s="1"/>
  <c r="H136" i="1"/>
  <c r="J135" i="1"/>
  <c r="I135" i="1"/>
  <c r="H1287" i="1"/>
  <c r="I1287" i="1" s="1"/>
  <c r="J1286" i="1"/>
  <c r="I4610" i="1"/>
  <c r="J4610" i="1"/>
  <c r="C4613" i="1"/>
  <c r="F4612" i="1"/>
  <c r="D4612" i="1"/>
  <c r="F638" i="1"/>
  <c r="F1288" i="1"/>
  <c r="F138" i="1"/>
  <c r="F1486" i="1"/>
  <c r="D4327" i="1"/>
  <c r="F4327" i="1"/>
  <c r="C4328" i="1"/>
  <c r="C1487" i="1"/>
  <c r="D1486" i="1"/>
  <c r="C639" i="1"/>
  <c r="D638" i="1"/>
  <c r="C1289" i="1"/>
  <c r="D1288" i="1"/>
  <c r="C139" i="1"/>
  <c r="D138" i="1"/>
  <c r="G4613" i="1" l="1"/>
  <c r="J4613" i="1" s="1"/>
  <c r="I4326" i="1"/>
  <c r="H1288" i="1"/>
  <c r="I1288" i="1" s="1"/>
  <c r="J1287" i="1"/>
  <c r="H4612" i="1"/>
  <c r="I4612" i="1" s="1"/>
  <c r="H137" i="1"/>
  <c r="J136" i="1"/>
  <c r="I136" i="1"/>
  <c r="H4327" i="1"/>
  <c r="J4327" i="1" s="1"/>
  <c r="D4613" i="1"/>
  <c r="C4614" i="1"/>
  <c r="F4613" i="1"/>
  <c r="F139" i="1"/>
  <c r="F1289" i="1"/>
  <c r="F639" i="1"/>
  <c r="F1487" i="1"/>
  <c r="F4328" i="1"/>
  <c r="C4329" i="1"/>
  <c r="D4328" i="1"/>
  <c r="C1488" i="1"/>
  <c r="D1487" i="1"/>
  <c r="C140" i="1"/>
  <c r="D139" i="1"/>
  <c r="C1290" i="1"/>
  <c r="D1289" i="1"/>
  <c r="C640" i="1"/>
  <c r="D639" i="1"/>
  <c r="I4327" i="1" l="1"/>
  <c r="G4614" i="1"/>
  <c r="J4614" i="1" s="1"/>
  <c r="H1289" i="1"/>
  <c r="J1288" i="1"/>
  <c r="H4613" i="1"/>
  <c r="I4613" i="1" s="1"/>
  <c r="H4328" i="1"/>
  <c r="J4328" i="1" s="1"/>
  <c r="H138" i="1"/>
  <c r="J137" i="1"/>
  <c r="I137" i="1"/>
  <c r="D4614" i="1"/>
  <c r="C4615" i="1"/>
  <c r="F4614" i="1"/>
  <c r="F640" i="1"/>
  <c r="F1290" i="1"/>
  <c r="F140" i="1"/>
  <c r="F1488" i="1"/>
  <c r="F4329" i="1"/>
  <c r="D4329" i="1"/>
  <c r="C4330" i="1"/>
  <c r="C1489" i="1"/>
  <c r="D1488" i="1"/>
  <c r="C641" i="1"/>
  <c r="D640" i="1"/>
  <c r="C1291" i="1"/>
  <c r="D1290" i="1"/>
  <c r="C141" i="1"/>
  <c r="D140" i="1"/>
  <c r="H4614" i="1" l="1"/>
  <c r="I4614" i="1" s="1"/>
  <c r="G4615" i="1"/>
  <c r="J4615" i="1" s="1"/>
  <c r="I4328" i="1"/>
  <c r="H139" i="1"/>
  <c r="J138" i="1"/>
  <c r="I138" i="1"/>
  <c r="H1290" i="1"/>
  <c r="I1290" i="1" s="1"/>
  <c r="J1289" i="1"/>
  <c r="H4329" i="1"/>
  <c r="J4329" i="1" s="1"/>
  <c r="I1289" i="1"/>
  <c r="D4615" i="1"/>
  <c r="F4615" i="1"/>
  <c r="C4616" i="1"/>
  <c r="F141" i="1"/>
  <c r="F1291" i="1"/>
  <c r="F641" i="1"/>
  <c r="F1489" i="1"/>
  <c r="C4331" i="1"/>
  <c r="F4330" i="1"/>
  <c r="D4330" i="1"/>
  <c r="C1490" i="1"/>
  <c r="D1489" i="1"/>
  <c r="C142" i="1"/>
  <c r="D141" i="1"/>
  <c r="C1292" i="1"/>
  <c r="D1291" i="1"/>
  <c r="C642" i="1"/>
  <c r="D641" i="1"/>
  <c r="G4616" i="1" l="1"/>
  <c r="J4616" i="1" s="1"/>
  <c r="I4329" i="1"/>
  <c r="H140" i="1"/>
  <c r="J139" i="1"/>
  <c r="I139" i="1"/>
  <c r="H1291" i="1"/>
  <c r="I1291" i="1" s="1"/>
  <c r="J1290" i="1"/>
  <c r="H4615" i="1"/>
  <c r="I4615" i="1" s="1"/>
  <c r="H4330" i="1"/>
  <c r="J4330" i="1" s="1"/>
  <c r="D4616" i="1"/>
  <c r="C4617" i="1"/>
  <c r="F4616" i="1"/>
  <c r="F642" i="1"/>
  <c r="F1292" i="1"/>
  <c r="F142" i="1"/>
  <c r="F1490" i="1"/>
  <c r="F4331" i="1"/>
  <c r="C4332" i="1"/>
  <c r="D4331" i="1"/>
  <c r="C1491" i="1"/>
  <c r="D1490" i="1"/>
  <c r="C643" i="1"/>
  <c r="D642" i="1"/>
  <c r="C1293" i="1"/>
  <c r="D1292" i="1"/>
  <c r="C143" i="1"/>
  <c r="D142" i="1"/>
  <c r="G4617" i="1" l="1"/>
  <c r="J4617" i="1" s="1"/>
  <c r="I4330" i="1"/>
  <c r="H4616" i="1"/>
  <c r="I4616" i="1" s="1"/>
  <c r="H1292" i="1"/>
  <c r="J1291" i="1"/>
  <c r="H4331" i="1"/>
  <c r="J4331" i="1" s="1"/>
  <c r="H141" i="1"/>
  <c r="J140" i="1"/>
  <c r="I140" i="1"/>
  <c r="D4617" i="1"/>
  <c r="C4618" i="1"/>
  <c r="F4617" i="1"/>
  <c r="F143" i="1"/>
  <c r="F1293" i="1"/>
  <c r="F643" i="1"/>
  <c r="F1491" i="1"/>
  <c r="F4332" i="1"/>
  <c r="D4332" i="1"/>
  <c r="C4333" i="1"/>
  <c r="C1492" i="1"/>
  <c r="D1491" i="1"/>
  <c r="C144" i="1"/>
  <c r="D143" i="1"/>
  <c r="C1294" i="1"/>
  <c r="D1293" i="1"/>
  <c r="C644" i="1"/>
  <c r="D643" i="1"/>
  <c r="G4618" i="1" l="1"/>
  <c r="J4618" i="1" s="1"/>
  <c r="I4331" i="1"/>
  <c r="H142" i="1"/>
  <c r="J141" i="1"/>
  <c r="I141" i="1"/>
  <c r="H4617" i="1"/>
  <c r="I4617" i="1" s="1"/>
  <c r="H1293" i="1"/>
  <c r="I1293" i="1" s="1"/>
  <c r="J1292" i="1"/>
  <c r="H4332" i="1"/>
  <c r="J4332" i="1" s="1"/>
  <c r="I1292" i="1"/>
  <c r="D4618" i="1"/>
  <c r="C4619" i="1"/>
  <c r="F4618" i="1"/>
  <c r="F644" i="1"/>
  <c r="F1294" i="1"/>
  <c r="F144" i="1"/>
  <c r="F1492" i="1"/>
  <c r="F4333" i="1"/>
  <c r="C4334" i="1"/>
  <c r="D4333" i="1"/>
  <c r="C1493" i="1"/>
  <c r="D1492" i="1"/>
  <c r="C645" i="1"/>
  <c r="D644" i="1"/>
  <c r="C1295" i="1"/>
  <c r="D1294" i="1"/>
  <c r="C145" i="1"/>
  <c r="D144" i="1"/>
  <c r="G4619" i="1" l="1"/>
  <c r="J4619" i="1" s="1"/>
  <c r="H4618" i="1"/>
  <c r="I4618" i="1" s="1"/>
  <c r="I4332" i="1"/>
  <c r="H143" i="1"/>
  <c r="J142" i="1"/>
  <c r="I142" i="1"/>
  <c r="H4333" i="1"/>
  <c r="J4333" i="1" s="1"/>
  <c r="H1294" i="1"/>
  <c r="I1294" i="1" s="1"/>
  <c r="J1293" i="1"/>
  <c r="F4619" i="1"/>
  <c r="D4619" i="1"/>
  <c r="C4620" i="1"/>
  <c r="F145" i="1"/>
  <c r="F1295" i="1"/>
  <c r="F645" i="1"/>
  <c r="F1493" i="1"/>
  <c r="F4334" i="1"/>
  <c r="D4334" i="1"/>
  <c r="C4335" i="1"/>
  <c r="C1494" i="1"/>
  <c r="D1493" i="1"/>
  <c r="C146" i="1"/>
  <c r="D145" i="1"/>
  <c r="C1296" i="1"/>
  <c r="D1295" i="1"/>
  <c r="C646" i="1"/>
  <c r="D645" i="1"/>
  <c r="G4620" i="1" l="1"/>
  <c r="J4620" i="1" s="1"/>
  <c r="H4619" i="1"/>
  <c r="I4619" i="1" s="1"/>
  <c r="H4334" i="1"/>
  <c r="J4334" i="1" s="1"/>
  <c r="H144" i="1"/>
  <c r="J143" i="1"/>
  <c r="I143" i="1"/>
  <c r="H1295" i="1"/>
  <c r="J1294" i="1"/>
  <c r="I4333" i="1"/>
  <c r="F4620" i="1"/>
  <c r="D4620" i="1"/>
  <c r="C4621" i="1"/>
  <c r="F646" i="1"/>
  <c r="F1296" i="1"/>
  <c r="F146" i="1"/>
  <c r="F1494" i="1"/>
  <c r="C4336" i="1"/>
  <c r="F4335" i="1"/>
  <c r="D4335" i="1"/>
  <c r="C1495" i="1"/>
  <c r="D1494" i="1"/>
  <c r="C647" i="1"/>
  <c r="D646" i="1"/>
  <c r="C1297" i="1"/>
  <c r="D1296" i="1"/>
  <c r="C147" i="1"/>
  <c r="D146" i="1"/>
  <c r="H4335" i="1" l="1"/>
  <c r="J4335" i="1" s="1"/>
  <c r="G4621" i="1"/>
  <c r="J4621" i="1" s="1"/>
  <c r="H145" i="1"/>
  <c r="J144" i="1"/>
  <c r="I144" i="1"/>
  <c r="H1296" i="1"/>
  <c r="J1295" i="1"/>
  <c r="I1295" i="1"/>
  <c r="I4334" i="1"/>
  <c r="H4620" i="1"/>
  <c r="I4620" i="1" s="1"/>
  <c r="D4621" i="1"/>
  <c r="F4621" i="1"/>
  <c r="C4622" i="1"/>
  <c r="F147" i="1"/>
  <c r="F1297" i="1"/>
  <c r="F647" i="1"/>
  <c r="F1495" i="1"/>
  <c r="D4336" i="1"/>
  <c r="F4336" i="1"/>
  <c r="C4337" i="1"/>
  <c r="C1496" i="1"/>
  <c r="D1495" i="1"/>
  <c r="C148" i="1"/>
  <c r="D147" i="1"/>
  <c r="C1298" i="1"/>
  <c r="D1297" i="1"/>
  <c r="C648" i="1"/>
  <c r="D647" i="1"/>
  <c r="I4335" i="1" l="1"/>
  <c r="G4622" i="1"/>
  <c r="J4622" i="1" s="1"/>
  <c r="H4621" i="1"/>
  <c r="I4621" i="1" s="1"/>
  <c r="H4336" i="1"/>
  <c r="J4336" i="1" s="1"/>
  <c r="H1297" i="1"/>
  <c r="J1296" i="1"/>
  <c r="H146" i="1"/>
  <c r="J145" i="1"/>
  <c r="I145" i="1"/>
  <c r="I1296" i="1"/>
  <c r="C4623" i="1"/>
  <c r="D4622" i="1"/>
  <c r="F4622" i="1"/>
  <c r="F648" i="1"/>
  <c r="F1298" i="1"/>
  <c r="F148" i="1"/>
  <c r="F1496" i="1"/>
  <c r="F4337" i="1"/>
  <c r="C4338" i="1"/>
  <c r="D4337" i="1"/>
  <c r="C1497" i="1"/>
  <c r="D1496" i="1"/>
  <c r="C649" i="1"/>
  <c r="D648" i="1"/>
  <c r="C1299" i="1"/>
  <c r="D1298" i="1"/>
  <c r="C149" i="1"/>
  <c r="D148" i="1"/>
  <c r="G4623" i="1" l="1"/>
  <c r="J4623" i="1" s="1"/>
  <c r="H4622" i="1"/>
  <c r="I4622" i="1" s="1"/>
  <c r="H147" i="1"/>
  <c r="J146" i="1"/>
  <c r="I146" i="1"/>
  <c r="H4337" i="1"/>
  <c r="J4337" i="1" s="1"/>
  <c r="H1298" i="1"/>
  <c r="J1297" i="1"/>
  <c r="I4336" i="1"/>
  <c r="I1297" i="1"/>
  <c r="C4624" i="1"/>
  <c r="D4623" i="1"/>
  <c r="F4623" i="1"/>
  <c r="F149" i="1"/>
  <c r="F1299" i="1"/>
  <c r="F649" i="1"/>
  <c r="F1497" i="1"/>
  <c r="F4338" i="1"/>
  <c r="C4339" i="1"/>
  <c r="D4338" i="1"/>
  <c r="C1498" i="1"/>
  <c r="D1497" i="1"/>
  <c r="C150" i="1"/>
  <c r="D149" i="1"/>
  <c r="C1300" i="1"/>
  <c r="D1299" i="1"/>
  <c r="C650" i="1"/>
  <c r="D649" i="1"/>
  <c r="G4624" i="1" l="1"/>
  <c r="J4624" i="1" s="1"/>
  <c r="I4337" i="1"/>
  <c r="H4623" i="1"/>
  <c r="I4623" i="1" s="1"/>
  <c r="H148" i="1"/>
  <c r="J147" i="1"/>
  <c r="I147" i="1"/>
  <c r="H4338" i="1"/>
  <c r="I4338" i="1" s="1"/>
  <c r="H1299" i="1"/>
  <c r="J1298" i="1"/>
  <c r="I1298" i="1"/>
  <c r="D4624" i="1"/>
  <c r="C4625" i="1"/>
  <c r="F4624" i="1"/>
  <c r="F650" i="1"/>
  <c r="F1300" i="1"/>
  <c r="F150" i="1"/>
  <c r="F1498" i="1"/>
  <c r="F4339" i="1"/>
  <c r="C4340" i="1"/>
  <c r="D4339" i="1"/>
  <c r="C1499" i="1"/>
  <c r="D1498" i="1"/>
  <c r="C651" i="1"/>
  <c r="D650" i="1"/>
  <c r="C1301" i="1"/>
  <c r="D1300" i="1"/>
  <c r="C151" i="1"/>
  <c r="D150" i="1"/>
  <c r="G4625" i="1" l="1"/>
  <c r="J4625" i="1" s="1"/>
  <c r="H149" i="1"/>
  <c r="J148" i="1"/>
  <c r="I148" i="1"/>
  <c r="H4624" i="1"/>
  <c r="I4624" i="1" s="1"/>
  <c r="H1300" i="1"/>
  <c r="I1300" i="1" s="1"/>
  <c r="J1299" i="1"/>
  <c r="I1299" i="1"/>
  <c r="H4339" i="1"/>
  <c r="J4339" i="1" s="1"/>
  <c r="J4338" i="1"/>
  <c r="C4626" i="1"/>
  <c r="D4625" i="1"/>
  <c r="F4625" i="1"/>
  <c r="F151" i="1"/>
  <c r="F1301" i="1"/>
  <c r="F651" i="1"/>
  <c r="F1499" i="1"/>
  <c r="C4341" i="1"/>
  <c r="F4340" i="1"/>
  <c r="D4340" i="1"/>
  <c r="C1500" i="1"/>
  <c r="D1499" i="1"/>
  <c r="C152" i="1"/>
  <c r="D151" i="1"/>
  <c r="C1302" i="1"/>
  <c r="D1301" i="1"/>
  <c r="C652" i="1"/>
  <c r="D651" i="1"/>
  <c r="G4626" i="1" l="1"/>
  <c r="J4626" i="1" s="1"/>
  <c r="H4340" i="1"/>
  <c r="J4340" i="1" s="1"/>
  <c r="H150" i="1"/>
  <c r="J149" i="1"/>
  <c r="I149" i="1"/>
  <c r="H4625" i="1"/>
  <c r="I4625" i="1" s="1"/>
  <c r="I4339" i="1"/>
  <c r="H1301" i="1"/>
  <c r="J1300" i="1"/>
  <c r="D4626" i="1"/>
  <c r="F4626" i="1"/>
  <c r="C4627" i="1"/>
  <c r="F652" i="1"/>
  <c r="F1302" i="1"/>
  <c r="F152" i="1"/>
  <c r="F1500" i="1"/>
  <c r="F4341" i="1"/>
  <c r="D4341" i="1"/>
  <c r="C4342" i="1"/>
  <c r="C1501" i="1"/>
  <c r="D1500" i="1"/>
  <c r="C653" i="1"/>
  <c r="D652" i="1"/>
  <c r="C1303" i="1"/>
  <c r="D1302" i="1"/>
  <c r="C153" i="1"/>
  <c r="D152" i="1"/>
  <c r="G4627" i="1" l="1"/>
  <c r="J4627" i="1" s="1"/>
  <c r="H151" i="1"/>
  <c r="J150" i="1"/>
  <c r="I150" i="1"/>
  <c r="H1302" i="1"/>
  <c r="I1302" i="1" s="1"/>
  <c r="J1301" i="1"/>
  <c r="H4341" i="1"/>
  <c r="J4341" i="1" s="1"/>
  <c r="H4626" i="1"/>
  <c r="I4626" i="1" s="1"/>
  <c r="I1301" i="1"/>
  <c r="I4340" i="1"/>
  <c r="F4627" i="1"/>
  <c r="C4628" i="1"/>
  <c r="D4627" i="1"/>
  <c r="F153" i="1"/>
  <c r="F1303" i="1"/>
  <c r="F653" i="1"/>
  <c r="F1501" i="1"/>
  <c r="F4342" i="1"/>
  <c r="D4342" i="1"/>
  <c r="C4343" i="1"/>
  <c r="C1502" i="1"/>
  <c r="D1501" i="1"/>
  <c r="C154" i="1"/>
  <c r="D153" i="1"/>
  <c r="C1304" i="1"/>
  <c r="D1303" i="1"/>
  <c r="C654" i="1"/>
  <c r="D653" i="1"/>
  <c r="H4627" i="1" l="1"/>
  <c r="I4627" i="1" s="1"/>
  <c r="G4628" i="1"/>
  <c r="J4628" i="1" s="1"/>
  <c r="H4342" i="1"/>
  <c r="J4342" i="1" s="1"/>
  <c r="H1303" i="1"/>
  <c r="J1302" i="1"/>
  <c r="H152" i="1"/>
  <c r="J151" i="1"/>
  <c r="I151" i="1"/>
  <c r="I4341" i="1"/>
  <c r="C4629" i="1"/>
  <c r="F4628" i="1"/>
  <c r="D4628" i="1"/>
  <c r="F654" i="1"/>
  <c r="F1304" i="1"/>
  <c r="F154" i="1"/>
  <c r="F1502" i="1"/>
  <c r="F4343" i="1"/>
  <c r="D4343" i="1"/>
  <c r="C4344" i="1"/>
  <c r="C1503" i="1"/>
  <c r="D1502" i="1"/>
  <c r="C655" i="1"/>
  <c r="D654" i="1"/>
  <c r="C1305" i="1"/>
  <c r="D1304" i="1"/>
  <c r="C155" i="1"/>
  <c r="D154" i="1"/>
  <c r="G4629" i="1" l="1"/>
  <c r="J4629" i="1" s="1"/>
  <c r="H4343" i="1"/>
  <c r="J4343" i="1" s="1"/>
  <c r="H1304" i="1"/>
  <c r="I1304" i="1" s="1"/>
  <c r="J1303" i="1"/>
  <c r="I1303" i="1"/>
  <c r="I4342" i="1"/>
  <c r="H4628" i="1"/>
  <c r="I4628" i="1" s="1"/>
  <c r="H153" i="1"/>
  <c r="J152" i="1"/>
  <c r="I152" i="1"/>
  <c r="F4629" i="1"/>
  <c r="D4629" i="1"/>
  <c r="C4630" i="1"/>
  <c r="F155" i="1"/>
  <c r="F1305" i="1"/>
  <c r="F655" i="1"/>
  <c r="F1503" i="1"/>
  <c r="F4344" i="1"/>
  <c r="C4345" i="1"/>
  <c r="D4344" i="1"/>
  <c r="C1504" i="1"/>
  <c r="D1503" i="1"/>
  <c r="C156" i="1"/>
  <c r="D155" i="1"/>
  <c r="C1306" i="1"/>
  <c r="D1305" i="1"/>
  <c r="C656" i="1"/>
  <c r="D655" i="1"/>
  <c r="G4630" i="1" l="1"/>
  <c r="J4630" i="1" s="1"/>
  <c r="H4629" i="1"/>
  <c r="I4629" i="1" s="1"/>
  <c r="H4344" i="1"/>
  <c r="J4344" i="1" s="1"/>
  <c r="H1305" i="1"/>
  <c r="J1305" i="1" s="1"/>
  <c r="J1304" i="1"/>
  <c r="H154" i="1"/>
  <c r="J153" i="1"/>
  <c r="I153" i="1"/>
  <c r="I4343" i="1"/>
  <c r="D4630" i="1"/>
  <c r="C4631" i="1"/>
  <c r="F4630" i="1"/>
  <c r="F656" i="1"/>
  <c r="F1306" i="1"/>
  <c r="F156" i="1"/>
  <c r="F1504" i="1"/>
  <c r="C4346" i="1"/>
  <c r="F4345" i="1"/>
  <c r="D4345" i="1"/>
  <c r="C1505" i="1"/>
  <c r="D1504" i="1"/>
  <c r="C657" i="1"/>
  <c r="D656" i="1"/>
  <c r="C1307" i="1"/>
  <c r="D1306" i="1"/>
  <c r="C157" i="1"/>
  <c r="D156" i="1"/>
  <c r="H4345" i="1" l="1"/>
  <c r="I4345" i="1" s="1"/>
  <c r="G4631" i="1"/>
  <c r="J4631" i="1" s="1"/>
  <c r="I1305" i="1"/>
  <c r="H1306" i="1"/>
  <c r="I1306" i="1" s="1"/>
  <c r="H4630" i="1"/>
  <c r="I4630" i="1" s="1"/>
  <c r="H155" i="1"/>
  <c r="J154" i="1"/>
  <c r="I154" i="1"/>
  <c r="I4344" i="1"/>
  <c r="D4631" i="1"/>
  <c r="F4631" i="1"/>
  <c r="C4632" i="1"/>
  <c r="F157" i="1"/>
  <c r="F1307" i="1"/>
  <c r="F657" i="1"/>
  <c r="F1505" i="1"/>
  <c r="D4346" i="1"/>
  <c r="C4347" i="1"/>
  <c r="F4346" i="1"/>
  <c r="C1506" i="1"/>
  <c r="D1505" i="1"/>
  <c r="C158" i="1"/>
  <c r="D157" i="1"/>
  <c r="C1308" i="1"/>
  <c r="D1307" i="1"/>
  <c r="C658" i="1"/>
  <c r="D657" i="1"/>
  <c r="J4345" i="1" l="1"/>
  <c r="G4632" i="1"/>
  <c r="J4632" i="1" s="1"/>
  <c r="H156" i="1"/>
  <c r="J155" i="1"/>
  <c r="I155" i="1"/>
  <c r="H4346" i="1"/>
  <c r="J4346" i="1" s="1"/>
  <c r="H4631" i="1"/>
  <c r="I4631" i="1" s="1"/>
  <c r="H1307" i="1"/>
  <c r="J1306" i="1"/>
  <c r="D4632" i="1"/>
  <c r="C4633" i="1"/>
  <c r="F4632" i="1"/>
  <c r="F658" i="1"/>
  <c r="F1308" i="1"/>
  <c r="F158" i="1"/>
  <c r="F1506" i="1"/>
  <c r="D4347" i="1"/>
  <c r="C4348" i="1"/>
  <c r="F4347" i="1"/>
  <c r="C1507" i="1"/>
  <c r="D1506" i="1"/>
  <c r="C659" i="1"/>
  <c r="D658" i="1"/>
  <c r="C1309" i="1"/>
  <c r="D1308" i="1"/>
  <c r="C159" i="1"/>
  <c r="D158" i="1"/>
  <c r="G4633" i="1" l="1"/>
  <c r="J4633" i="1" s="1"/>
  <c r="H1308" i="1"/>
  <c r="I1308" i="1" s="1"/>
  <c r="J1307" i="1"/>
  <c r="H4632" i="1"/>
  <c r="I4632" i="1" s="1"/>
  <c r="I1307" i="1"/>
  <c r="H4347" i="1"/>
  <c r="J4347" i="1" s="1"/>
  <c r="I4346" i="1"/>
  <c r="H157" i="1"/>
  <c r="J156" i="1"/>
  <c r="I156" i="1"/>
  <c r="F4633" i="1"/>
  <c r="D4633" i="1"/>
  <c r="C4634" i="1"/>
  <c r="F159" i="1"/>
  <c r="F1309" i="1"/>
  <c r="F659" i="1"/>
  <c r="F1507" i="1"/>
  <c r="F4348" i="1"/>
  <c r="D4348" i="1"/>
  <c r="C4349" i="1"/>
  <c r="C1508" i="1"/>
  <c r="D1507" i="1"/>
  <c r="C160" i="1"/>
  <c r="D159" i="1"/>
  <c r="C1310" i="1"/>
  <c r="D1309" i="1"/>
  <c r="C660" i="1"/>
  <c r="D659" i="1"/>
  <c r="G4634" i="1" l="1"/>
  <c r="J4634" i="1" s="1"/>
  <c r="I4347" i="1"/>
  <c r="H158" i="1"/>
  <c r="J157" i="1"/>
  <c r="I157" i="1"/>
  <c r="H1309" i="1"/>
  <c r="I1309" i="1" s="1"/>
  <c r="J1308" i="1"/>
  <c r="H4633" i="1"/>
  <c r="I4633" i="1" s="1"/>
  <c r="H4348" i="1"/>
  <c r="J4348" i="1" s="1"/>
  <c r="D4634" i="1"/>
  <c r="F4634" i="1"/>
  <c r="C4635" i="1"/>
  <c r="F660" i="1"/>
  <c r="F1310" i="1"/>
  <c r="F160" i="1"/>
  <c r="F1508" i="1"/>
  <c r="F4349" i="1"/>
  <c r="C4350" i="1"/>
  <c r="D4349" i="1"/>
  <c r="C1509" i="1"/>
  <c r="D1508" i="1"/>
  <c r="C661" i="1"/>
  <c r="D660" i="1"/>
  <c r="C1311" i="1"/>
  <c r="D1310" i="1"/>
  <c r="C161" i="1"/>
  <c r="D160" i="1"/>
  <c r="G4635" i="1" l="1"/>
  <c r="J4635" i="1" s="1"/>
  <c r="I4348" i="1"/>
  <c r="H4349" i="1"/>
  <c r="J4349" i="1" s="1"/>
  <c r="H159" i="1"/>
  <c r="J158" i="1"/>
  <c r="I158" i="1"/>
  <c r="H4634" i="1"/>
  <c r="I4634" i="1" s="1"/>
  <c r="H1310" i="1"/>
  <c r="J1309" i="1"/>
  <c r="D4635" i="1"/>
  <c r="F4635" i="1"/>
  <c r="C4636" i="1"/>
  <c r="G4636" i="1" s="1"/>
  <c r="F161" i="1"/>
  <c r="F1311" i="1"/>
  <c r="F661" i="1"/>
  <c r="F1509" i="1"/>
  <c r="F4350" i="1"/>
  <c r="C4351" i="1"/>
  <c r="D4350" i="1"/>
  <c r="D1509" i="1"/>
  <c r="C1510" i="1"/>
  <c r="C162" i="1"/>
  <c r="D161" i="1"/>
  <c r="C1312" i="1"/>
  <c r="D1311" i="1"/>
  <c r="C662" i="1"/>
  <c r="D661" i="1"/>
  <c r="H4635" i="1" l="1"/>
  <c r="I4635" i="1" s="1"/>
  <c r="I4349" i="1"/>
  <c r="H4350" i="1"/>
  <c r="J4350" i="1" s="1"/>
  <c r="H1311" i="1"/>
  <c r="I1311" i="1" s="1"/>
  <c r="J1310" i="1"/>
  <c r="I1310" i="1"/>
  <c r="H160" i="1"/>
  <c r="J159" i="1"/>
  <c r="I159" i="1"/>
  <c r="D4636" i="1"/>
  <c r="C4637" i="1"/>
  <c r="G4637" i="1" s="1"/>
  <c r="F4636" i="1"/>
  <c r="F662" i="1"/>
  <c r="F1312" i="1"/>
  <c r="F162" i="1"/>
  <c r="F1510" i="1"/>
  <c r="F4351" i="1"/>
  <c r="C4352" i="1"/>
  <c r="D4351" i="1"/>
  <c r="C1511" i="1"/>
  <c r="D1510" i="1"/>
  <c r="C663" i="1"/>
  <c r="D662" i="1"/>
  <c r="C1313" i="1"/>
  <c r="D1312" i="1"/>
  <c r="C163" i="1"/>
  <c r="D162" i="1"/>
  <c r="H4636" i="1" l="1"/>
  <c r="J4636" i="1" s="1"/>
  <c r="H161" i="1"/>
  <c r="J160" i="1"/>
  <c r="I160" i="1"/>
  <c r="H4351" i="1"/>
  <c r="J4351" i="1" s="1"/>
  <c r="I4350" i="1"/>
  <c r="H1312" i="1"/>
  <c r="J1311" i="1"/>
  <c r="F4637" i="1"/>
  <c r="C4638" i="1"/>
  <c r="G4638" i="1" s="1"/>
  <c r="D4637" i="1"/>
  <c r="F163" i="1"/>
  <c r="F1313" i="1"/>
  <c r="F663" i="1"/>
  <c r="F1511" i="1"/>
  <c r="C4353" i="1"/>
  <c r="F4352" i="1"/>
  <c r="D4352" i="1"/>
  <c r="C1512" i="1"/>
  <c r="D1511" i="1"/>
  <c r="C164" i="1"/>
  <c r="D163" i="1"/>
  <c r="C1314" i="1"/>
  <c r="D1313" i="1"/>
  <c r="C664" i="1"/>
  <c r="D663" i="1"/>
  <c r="H4352" i="1" l="1"/>
  <c r="J4352" i="1" s="1"/>
  <c r="I4636" i="1"/>
  <c r="H1313" i="1"/>
  <c r="J1312" i="1"/>
  <c r="H162" i="1"/>
  <c r="J161" i="1"/>
  <c r="I161" i="1"/>
  <c r="I1312" i="1"/>
  <c r="H4637" i="1"/>
  <c r="J4637" i="1" s="1"/>
  <c r="I4351" i="1"/>
  <c r="F4638" i="1"/>
  <c r="D4638" i="1"/>
  <c r="C4639" i="1"/>
  <c r="G4639" i="1" s="1"/>
  <c r="F664" i="1"/>
  <c r="F1314" i="1"/>
  <c r="F164" i="1"/>
  <c r="F1512" i="1"/>
  <c r="D4353" i="1"/>
  <c r="F4353" i="1"/>
  <c r="C4354" i="1"/>
  <c r="C1513" i="1"/>
  <c r="D1512" i="1"/>
  <c r="C665" i="1"/>
  <c r="D664" i="1"/>
  <c r="C1315" i="1"/>
  <c r="D1314" i="1"/>
  <c r="C165" i="1"/>
  <c r="D164" i="1"/>
  <c r="H1314" i="1" l="1"/>
  <c r="I1314" i="1" s="1"/>
  <c r="J1313" i="1"/>
  <c r="H4638" i="1"/>
  <c r="I4638" i="1" s="1"/>
  <c r="I1313" i="1"/>
  <c r="H4353" i="1"/>
  <c r="J4353" i="1" s="1"/>
  <c r="H163" i="1"/>
  <c r="J162" i="1"/>
  <c r="I162" i="1"/>
  <c r="I4637" i="1"/>
  <c r="I4352" i="1"/>
  <c r="F4639" i="1"/>
  <c r="D4639" i="1"/>
  <c r="C4640" i="1"/>
  <c r="G4640" i="1" s="1"/>
  <c r="F165" i="1"/>
  <c r="F1315" i="1"/>
  <c r="F665" i="1"/>
  <c r="F1513" i="1"/>
  <c r="D4354" i="1"/>
  <c r="F4354" i="1"/>
  <c r="C4355" i="1"/>
  <c r="C1514" i="1"/>
  <c r="D1513" i="1"/>
  <c r="C166" i="1"/>
  <c r="D165" i="1"/>
  <c r="C1316" i="1"/>
  <c r="D1315" i="1"/>
  <c r="C666" i="1"/>
  <c r="D665" i="1"/>
  <c r="I4353" i="1" l="1"/>
  <c r="H4354" i="1"/>
  <c r="J4354" i="1" s="1"/>
  <c r="H4639" i="1"/>
  <c r="I4639" i="1" s="1"/>
  <c r="J4638" i="1"/>
  <c r="H164" i="1"/>
  <c r="J163" i="1"/>
  <c r="I163" i="1"/>
  <c r="H1315" i="1"/>
  <c r="J1314" i="1"/>
  <c r="D4640" i="1"/>
  <c r="C4641" i="1"/>
  <c r="G4641" i="1" s="1"/>
  <c r="F4640" i="1"/>
  <c r="F666" i="1"/>
  <c r="F1316" i="1"/>
  <c r="F166" i="1"/>
  <c r="F1514" i="1"/>
  <c r="F4355" i="1"/>
  <c r="C4356" i="1"/>
  <c r="D4355" i="1"/>
  <c r="C1515" i="1"/>
  <c r="D1514" i="1"/>
  <c r="C667" i="1"/>
  <c r="D666" i="1"/>
  <c r="C1317" i="1"/>
  <c r="D1316" i="1"/>
  <c r="C167" i="1"/>
  <c r="D166" i="1"/>
  <c r="H4355" i="1" l="1"/>
  <c r="I4355" i="1" s="1"/>
  <c r="H165" i="1"/>
  <c r="J164" i="1"/>
  <c r="I164" i="1"/>
  <c r="H1316" i="1"/>
  <c r="I1316" i="1" s="1"/>
  <c r="J1315" i="1"/>
  <c r="H4640" i="1"/>
  <c r="J4640" i="1" s="1"/>
  <c r="J4639" i="1"/>
  <c r="I1315" i="1"/>
  <c r="I4354" i="1"/>
  <c r="F4641" i="1"/>
  <c r="C4642" i="1"/>
  <c r="G4642" i="1" s="1"/>
  <c r="D4641" i="1"/>
  <c r="F167" i="1"/>
  <c r="F1317" i="1"/>
  <c r="F667" i="1"/>
  <c r="F1515" i="1"/>
  <c r="C4357" i="1"/>
  <c r="D4356" i="1"/>
  <c r="F4356" i="1"/>
  <c r="C1516" i="1"/>
  <c r="D1515" i="1"/>
  <c r="C168" i="1"/>
  <c r="D167" i="1"/>
  <c r="C1318" i="1"/>
  <c r="D1317" i="1"/>
  <c r="C668" i="1"/>
  <c r="D667" i="1"/>
  <c r="J4355" i="1" l="1"/>
  <c r="I4640" i="1"/>
  <c r="H4356" i="1"/>
  <c r="I4356" i="1" s="1"/>
  <c r="H4641" i="1"/>
  <c r="J4641" i="1" s="1"/>
  <c r="H166" i="1"/>
  <c r="J165" i="1"/>
  <c r="I165" i="1"/>
  <c r="H1317" i="1"/>
  <c r="I1317" i="1" s="1"/>
  <c r="J1316" i="1"/>
  <c r="F4642" i="1"/>
  <c r="D4642" i="1"/>
  <c r="C4643" i="1"/>
  <c r="G4643" i="1" s="1"/>
  <c r="F668" i="1"/>
  <c r="F1318" i="1"/>
  <c r="F168" i="1"/>
  <c r="F1516" i="1"/>
  <c r="D4357" i="1"/>
  <c r="F4357" i="1"/>
  <c r="C4358" i="1"/>
  <c r="C1517" i="1"/>
  <c r="D1516" i="1"/>
  <c r="C669" i="1"/>
  <c r="D668" i="1"/>
  <c r="C1319" i="1"/>
  <c r="D1318" i="1"/>
  <c r="C169" i="1"/>
  <c r="D168" i="1"/>
  <c r="I4641" i="1" l="1"/>
  <c r="H1318" i="1"/>
  <c r="I1318" i="1" s="1"/>
  <c r="J1317" i="1"/>
  <c r="H167" i="1"/>
  <c r="J166" i="1"/>
  <c r="I166" i="1"/>
  <c r="H4642" i="1"/>
  <c r="J4642" i="1" s="1"/>
  <c r="H4357" i="1"/>
  <c r="I4357" i="1" s="1"/>
  <c r="J4356" i="1"/>
  <c r="C4644" i="1"/>
  <c r="G4644" i="1" s="1"/>
  <c r="D4643" i="1"/>
  <c r="F4643" i="1"/>
  <c r="F169" i="1"/>
  <c r="F1319" i="1"/>
  <c r="F669" i="1"/>
  <c r="F1517" i="1"/>
  <c r="F4358" i="1"/>
  <c r="C4359" i="1"/>
  <c r="D4358" i="1"/>
  <c r="D1517" i="1"/>
  <c r="C1518" i="1"/>
  <c r="C170" i="1"/>
  <c r="D169" i="1"/>
  <c r="C1320" i="1"/>
  <c r="D1319" i="1"/>
  <c r="C670" i="1"/>
  <c r="D669" i="1"/>
  <c r="I4642" i="1" l="1"/>
  <c r="H4643" i="1"/>
  <c r="J4643" i="1" s="1"/>
  <c r="H1319" i="1"/>
  <c r="J1318" i="1"/>
  <c r="H4358" i="1"/>
  <c r="J4358" i="1" s="1"/>
  <c r="J4357" i="1"/>
  <c r="H168" i="1"/>
  <c r="J167" i="1"/>
  <c r="I167" i="1"/>
  <c r="F4644" i="1"/>
  <c r="D4644" i="1"/>
  <c r="C4645" i="1"/>
  <c r="G4645" i="1" s="1"/>
  <c r="F670" i="1"/>
  <c r="F1320" i="1"/>
  <c r="F170" i="1"/>
  <c r="F1518" i="1"/>
  <c r="F4359" i="1"/>
  <c r="D4359" i="1"/>
  <c r="C4360" i="1"/>
  <c r="C1519" i="1"/>
  <c r="D1518" i="1"/>
  <c r="C671" i="1"/>
  <c r="D670" i="1"/>
  <c r="C1321" i="1"/>
  <c r="D1320" i="1"/>
  <c r="C171" i="1"/>
  <c r="D170" i="1"/>
  <c r="H1320" i="1" l="1"/>
  <c r="I1320" i="1" s="1"/>
  <c r="J1319" i="1"/>
  <c r="H4359" i="1"/>
  <c r="J4359" i="1" s="1"/>
  <c r="H169" i="1"/>
  <c r="J168" i="1"/>
  <c r="I168" i="1"/>
  <c r="I4358" i="1"/>
  <c r="I4643" i="1"/>
  <c r="H4644" i="1"/>
  <c r="J4644" i="1" s="1"/>
  <c r="I1319" i="1"/>
  <c r="D4645" i="1"/>
  <c r="C4646" i="1"/>
  <c r="F4645" i="1"/>
  <c r="F171" i="1"/>
  <c r="F1321" i="1"/>
  <c r="F671" i="1"/>
  <c r="F1519" i="1"/>
  <c r="C4361" i="1"/>
  <c r="F4360" i="1"/>
  <c r="D4360" i="1"/>
  <c r="C1520" i="1"/>
  <c r="D1519" i="1"/>
  <c r="C172" i="1"/>
  <c r="D171" i="1"/>
  <c r="C1322" i="1"/>
  <c r="D1321" i="1"/>
  <c r="C672" i="1"/>
  <c r="D671" i="1"/>
  <c r="H4645" i="1" l="1"/>
  <c r="I4645" i="1" s="1"/>
  <c r="G4646" i="1"/>
  <c r="J4646" i="1" s="1"/>
  <c r="I4359" i="1"/>
  <c r="H4360" i="1"/>
  <c r="J4360" i="1" s="1"/>
  <c r="I4644" i="1"/>
  <c r="H170" i="1"/>
  <c r="J169" i="1"/>
  <c r="I169" i="1"/>
  <c r="H1321" i="1"/>
  <c r="J1320" i="1"/>
  <c r="F4646" i="1"/>
  <c r="D4646" i="1"/>
  <c r="C4647" i="1"/>
  <c r="F672" i="1"/>
  <c r="F1322" i="1"/>
  <c r="F172" i="1"/>
  <c r="F1520" i="1"/>
  <c r="F4361" i="1"/>
  <c r="C4362" i="1"/>
  <c r="D4361" i="1"/>
  <c r="C1521" i="1"/>
  <c r="D1520" i="1"/>
  <c r="C673" i="1"/>
  <c r="D672" i="1"/>
  <c r="C1323" i="1"/>
  <c r="D1322" i="1"/>
  <c r="C173" i="1"/>
  <c r="D172" i="1"/>
  <c r="J4645" i="1" l="1"/>
  <c r="G4647" i="1"/>
  <c r="J4647" i="1" s="1"/>
  <c r="H4646" i="1"/>
  <c r="I4646" i="1" s="1"/>
  <c r="H4361" i="1"/>
  <c r="J4361" i="1" s="1"/>
  <c r="H1322" i="1"/>
  <c r="I1322" i="1" s="1"/>
  <c r="J1321" i="1"/>
  <c r="I4360" i="1"/>
  <c r="I1321" i="1"/>
  <c r="H171" i="1"/>
  <c r="J170" i="1"/>
  <c r="I170" i="1"/>
  <c r="C4648" i="1"/>
  <c r="D4647" i="1"/>
  <c r="F4647" i="1"/>
  <c r="F173" i="1"/>
  <c r="F1323" i="1"/>
  <c r="F673" i="1"/>
  <c r="F1521" i="1"/>
  <c r="F4362" i="1"/>
  <c r="C4363" i="1"/>
  <c r="D4362" i="1"/>
  <c r="C1522" i="1"/>
  <c r="D1521" i="1"/>
  <c r="C174" i="1"/>
  <c r="D173" i="1"/>
  <c r="C1324" i="1"/>
  <c r="D1323" i="1"/>
  <c r="C674" i="1"/>
  <c r="D673" i="1"/>
  <c r="G4648" i="1" l="1"/>
  <c r="J4648" i="1" s="1"/>
  <c r="H1323" i="1"/>
  <c r="I1323" i="1" s="1"/>
  <c r="J1322" i="1"/>
  <c r="H4647" i="1"/>
  <c r="I4647" i="1" s="1"/>
  <c r="H4362" i="1"/>
  <c r="J4362" i="1" s="1"/>
  <c r="I4361" i="1"/>
  <c r="H172" i="1"/>
  <c r="J171" i="1"/>
  <c r="I171" i="1"/>
  <c r="C4649" i="1"/>
  <c r="F4648" i="1"/>
  <c r="D4648" i="1"/>
  <c r="F674" i="1"/>
  <c r="F1324" i="1"/>
  <c r="F174" i="1"/>
  <c r="F1522" i="1"/>
  <c r="F4363" i="1"/>
  <c r="C4364" i="1"/>
  <c r="D4363" i="1"/>
  <c r="C1523" i="1"/>
  <c r="D1522" i="1"/>
  <c r="C675" i="1"/>
  <c r="D674" i="1"/>
  <c r="C1325" i="1"/>
  <c r="D1324" i="1"/>
  <c r="C175" i="1"/>
  <c r="D174" i="1"/>
  <c r="G4649" i="1" l="1"/>
  <c r="J4649" i="1" s="1"/>
  <c r="I4362" i="1"/>
  <c r="H4648" i="1"/>
  <c r="I4648" i="1" s="1"/>
  <c r="H4363" i="1"/>
  <c r="J4363" i="1" s="1"/>
  <c r="H173" i="1"/>
  <c r="J172" i="1"/>
  <c r="I172" i="1"/>
  <c r="H1324" i="1"/>
  <c r="I1324" i="1" s="1"/>
  <c r="J1323" i="1"/>
  <c r="F4649" i="1"/>
  <c r="D4649" i="1"/>
  <c r="C4650" i="1"/>
  <c r="F175" i="1"/>
  <c r="F1325" i="1"/>
  <c r="F675" i="1"/>
  <c r="F1523" i="1"/>
  <c r="F4364" i="1"/>
  <c r="C4365" i="1"/>
  <c r="D4364" i="1"/>
  <c r="D1523" i="1"/>
  <c r="C1524" i="1"/>
  <c r="C176" i="1"/>
  <c r="D175" i="1"/>
  <c r="C1326" i="1"/>
  <c r="D1325" i="1"/>
  <c r="C676" i="1"/>
  <c r="D675" i="1"/>
  <c r="G4650" i="1" l="1"/>
  <c r="J4650" i="1" s="1"/>
  <c r="H4364" i="1"/>
  <c r="J4364" i="1" s="1"/>
  <c r="H1325" i="1"/>
  <c r="J1324" i="1"/>
  <c r="H174" i="1"/>
  <c r="J173" i="1"/>
  <c r="I173" i="1"/>
  <c r="I4363" i="1"/>
  <c r="H4649" i="1"/>
  <c r="I4649" i="1" s="1"/>
  <c r="C4651" i="1"/>
  <c r="D4650" i="1"/>
  <c r="F4650" i="1"/>
  <c r="F676" i="1"/>
  <c r="F1326" i="1"/>
  <c r="F176" i="1"/>
  <c r="F1524" i="1"/>
  <c r="C4366" i="1"/>
  <c r="D4365" i="1"/>
  <c r="F4365" i="1"/>
  <c r="C1525" i="1"/>
  <c r="D1524" i="1"/>
  <c r="C677" i="1"/>
  <c r="D676" i="1"/>
  <c r="C1327" i="1"/>
  <c r="D1326" i="1"/>
  <c r="C177" i="1"/>
  <c r="D176" i="1"/>
  <c r="H4365" i="1" l="1"/>
  <c r="I4365" i="1" s="1"/>
  <c r="G4651" i="1"/>
  <c r="J4651" i="1" s="1"/>
  <c r="I4364" i="1"/>
  <c r="H1326" i="1"/>
  <c r="I1326" i="1" s="1"/>
  <c r="J1325" i="1"/>
  <c r="I1325" i="1"/>
  <c r="H4650" i="1"/>
  <c r="I4650" i="1" s="1"/>
  <c r="H175" i="1"/>
  <c r="J174" i="1"/>
  <c r="I174" i="1"/>
  <c r="D4651" i="1"/>
  <c r="F4651" i="1"/>
  <c r="C4652" i="1"/>
  <c r="G4652" i="1" s="1"/>
  <c r="F177" i="1"/>
  <c r="F1327" i="1"/>
  <c r="F677" i="1"/>
  <c r="F1525" i="1"/>
  <c r="F4366" i="1"/>
  <c r="D4366" i="1"/>
  <c r="C4367" i="1"/>
  <c r="C1526" i="1"/>
  <c r="D1525" i="1"/>
  <c r="C178" i="1"/>
  <c r="D177" i="1"/>
  <c r="C1328" i="1"/>
  <c r="D1327" i="1"/>
  <c r="C678" i="1"/>
  <c r="D677" i="1"/>
  <c r="J4365" i="1" l="1"/>
  <c r="H176" i="1"/>
  <c r="J175" i="1"/>
  <c r="I175" i="1"/>
  <c r="H4366" i="1"/>
  <c r="I4366" i="1" s="1"/>
  <c r="H4651" i="1"/>
  <c r="I4651" i="1" s="1"/>
  <c r="H1327" i="1"/>
  <c r="I1327" i="1" s="1"/>
  <c r="J1326" i="1"/>
  <c r="D4652" i="1"/>
  <c r="C4653" i="1"/>
  <c r="G4653" i="1" s="1"/>
  <c r="F4652" i="1"/>
  <c r="F678" i="1"/>
  <c r="F1328" i="1"/>
  <c r="F178" i="1"/>
  <c r="F1526" i="1"/>
  <c r="F4367" i="1"/>
  <c r="C4368" i="1"/>
  <c r="D4367" i="1"/>
  <c r="C1527" i="1"/>
  <c r="D1526" i="1"/>
  <c r="C679" i="1"/>
  <c r="D678" i="1"/>
  <c r="C1329" i="1"/>
  <c r="D1328" i="1"/>
  <c r="C179" i="1"/>
  <c r="D178" i="1"/>
  <c r="H177" i="1" l="1"/>
  <c r="J176" i="1"/>
  <c r="I176" i="1"/>
  <c r="H1328" i="1"/>
  <c r="I1328" i="1" s="1"/>
  <c r="J1327" i="1"/>
  <c r="H4652" i="1"/>
  <c r="J4652" i="1" s="1"/>
  <c r="H4367" i="1"/>
  <c r="I4367" i="1" s="1"/>
  <c r="J4366" i="1"/>
  <c r="F4653" i="1"/>
  <c r="D4653" i="1"/>
  <c r="C4654" i="1"/>
  <c r="G4654" i="1" s="1"/>
  <c r="F179" i="1"/>
  <c r="F1329" i="1"/>
  <c r="F679" i="1"/>
  <c r="F1527" i="1"/>
  <c r="F4368" i="1"/>
  <c r="D4368" i="1"/>
  <c r="C4369" i="1"/>
  <c r="D1527" i="1"/>
  <c r="C1528" i="1"/>
  <c r="C180" i="1"/>
  <c r="D179" i="1"/>
  <c r="C1330" i="1"/>
  <c r="D1329" i="1"/>
  <c r="C680" i="1"/>
  <c r="D679" i="1"/>
  <c r="I4652" i="1" l="1"/>
  <c r="H178" i="1"/>
  <c r="J177" i="1"/>
  <c r="I177" i="1"/>
  <c r="H4368" i="1"/>
  <c r="I4368" i="1" s="1"/>
  <c r="J4367" i="1"/>
  <c r="H4653" i="1"/>
  <c r="J4653" i="1" s="1"/>
  <c r="H1329" i="1"/>
  <c r="I1329" i="1" s="1"/>
  <c r="J1328" i="1"/>
  <c r="F4654" i="1"/>
  <c r="D4654" i="1"/>
  <c r="C4655" i="1"/>
  <c r="G4655" i="1" s="1"/>
  <c r="F680" i="1"/>
  <c r="F1330" i="1"/>
  <c r="F180" i="1"/>
  <c r="F1528" i="1"/>
  <c r="F4369" i="1"/>
  <c r="C4370" i="1"/>
  <c r="D4369" i="1"/>
  <c r="C1529" i="1"/>
  <c r="D1528" i="1"/>
  <c r="C681" i="1"/>
  <c r="D680" i="1"/>
  <c r="C1331" i="1"/>
  <c r="D1330" i="1"/>
  <c r="C181" i="1"/>
  <c r="D180" i="1"/>
  <c r="I4653" i="1" l="1"/>
  <c r="H4369" i="1"/>
  <c r="J4369" i="1" s="1"/>
  <c r="J4368" i="1"/>
  <c r="H1330" i="1"/>
  <c r="I1330" i="1" s="1"/>
  <c r="J1329" i="1"/>
  <c r="H4654" i="1"/>
  <c r="J4654" i="1" s="1"/>
  <c r="H179" i="1"/>
  <c r="J178" i="1"/>
  <c r="I178" i="1"/>
  <c r="F4655" i="1"/>
  <c r="D4655" i="1"/>
  <c r="C4656" i="1"/>
  <c r="G4656" i="1" s="1"/>
  <c r="F181" i="1"/>
  <c r="F1331" i="1"/>
  <c r="F681" i="1"/>
  <c r="F1529" i="1"/>
  <c r="C4371" i="1"/>
  <c r="F4370" i="1"/>
  <c r="D4370" i="1"/>
  <c r="D1529" i="1"/>
  <c r="C1530" i="1"/>
  <c r="C182" i="1"/>
  <c r="D181" i="1"/>
  <c r="C1332" i="1"/>
  <c r="D1331" i="1"/>
  <c r="C682" i="1"/>
  <c r="D681" i="1"/>
  <c r="I4369" i="1" l="1"/>
  <c r="I4654" i="1"/>
  <c r="H4370" i="1"/>
  <c r="J4370" i="1" s="1"/>
  <c r="H4655" i="1"/>
  <c r="J4655" i="1" s="1"/>
  <c r="H180" i="1"/>
  <c r="J179" i="1"/>
  <c r="I179" i="1"/>
  <c r="H1331" i="1"/>
  <c r="I1331" i="1" s="1"/>
  <c r="J1330" i="1"/>
  <c r="D4656" i="1"/>
  <c r="F4656" i="1"/>
  <c r="C4657" i="1"/>
  <c r="G4657" i="1" s="1"/>
  <c r="F682" i="1"/>
  <c r="F1332" i="1"/>
  <c r="F182" i="1"/>
  <c r="F1530" i="1"/>
  <c r="F4371" i="1"/>
  <c r="C4372" i="1"/>
  <c r="D4371" i="1"/>
  <c r="C1531" i="1"/>
  <c r="D1530" i="1"/>
  <c r="C683" i="1"/>
  <c r="D682" i="1"/>
  <c r="C1333" i="1"/>
  <c r="D1332" i="1"/>
  <c r="C183" i="1"/>
  <c r="D182" i="1"/>
  <c r="H4371" i="1" l="1"/>
  <c r="J4371" i="1" s="1"/>
  <c r="H181" i="1"/>
  <c r="J180" i="1"/>
  <c r="I180" i="1"/>
  <c r="I4655" i="1"/>
  <c r="H1332" i="1"/>
  <c r="I1332" i="1" s="1"/>
  <c r="J1331" i="1"/>
  <c r="H4656" i="1"/>
  <c r="J4656" i="1" s="1"/>
  <c r="I4370" i="1"/>
  <c r="F4657" i="1"/>
  <c r="D4657" i="1"/>
  <c r="C4658" i="1"/>
  <c r="G4658" i="1" s="1"/>
  <c r="F183" i="1"/>
  <c r="F1333" i="1"/>
  <c r="F683" i="1"/>
  <c r="F1531" i="1"/>
  <c r="F4372" i="1"/>
  <c r="C4373" i="1"/>
  <c r="D4372" i="1"/>
  <c r="C1532" i="1"/>
  <c r="D1531" i="1"/>
  <c r="C184" i="1"/>
  <c r="D183" i="1"/>
  <c r="C1334" i="1"/>
  <c r="D1333" i="1"/>
  <c r="C684" i="1"/>
  <c r="D683" i="1"/>
  <c r="I4656" i="1" l="1"/>
  <c r="H4372" i="1"/>
  <c r="J4372" i="1" s="1"/>
  <c r="H182" i="1"/>
  <c r="J181" i="1"/>
  <c r="I181" i="1"/>
  <c r="I4371" i="1"/>
  <c r="H4657" i="1"/>
  <c r="J4657" i="1" s="1"/>
  <c r="H1333" i="1"/>
  <c r="I1333" i="1" s="1"/>
  <c r="J1332" i="1"/>
  <c r="C4659" i="1"/>
  <c r="G4659" i="1" s="1"/>
  <c r="D4658" i="1"/>
  <c r="F4658" i="1"/>
  <c r="F684" i="1"/>
  <c r="F1334" i="1"/>
  <c r="F184" i="1"/>
  <c r="F1532" i="1"/>
  <c r="F4373" i="1"/>
  <c r="C4374" i="1"/>
  <c r="D4373" i="1"/>
  <c r="C1533" i="1"/>
  <c r="D1532" i="1"/>
  <c r="C685" i="1"/>
  <c r="D684" i="1"/>
  <c r="C1335" i="1"/>
  <c r="D1334" i="1"/>
  <c r="C185" i="1"/>
  <c r="D184" i="1"/>
  <c r="I4657" i="1" l="1"/>
  <c r="H4373" i="1"/>
  <c r="J4373" i="1" s="1"/>
  <c r="H183" i="1"/>
  <c r="J182" i="1"/>
  <c r="I182" i="1"/>
  <c r="I4372" i="1"/>
  <c r="H4658" i="1"/>
  <c r="J4658" i="1" s="1"/>
  <c r="H1334" i="1"/>
  <c r="J1333" i="1"/>
  <c r="D4659" i="1"/>
  <c r="F4659" i="1"/>
  <c r="C4660" i="1"/>
  <c r="G4660" i="1" s="1"/>
  <c r="F185" i="1"/>
  <c r="F1335" i="1"/>
  <c r="F685" i="1"/>
  <c r="F1533" i="1"/>
  <c r="F4374" i="1"/>
  <c r="D4374" i="1"/>
  <c r="C4375" i="1"/>
  <c r="D1533" i="1"/>
  <c r="C1534" i="1"/>
  <c r="C186" i="1"/>
  <c r="D185" i="1"/>
  <c r="C1336" i="1"/>
  <c r="D1335" i="1"/>
  <c r="C686" i="1"/>
  <c r="D685" i="1"/>
  <c r="H4374" i="1" l="1"/>
  <c r="J4374" i="1" s="1"/>
  <c r="I4658" i="1"/>
  <c r="H184" i="1"/>
  <c r="J183" i="1"/>
  <c r="I183" i="1"/>
  <c r="H4659" i="1"/>
  <c r="J4659" i="1" s="1"/>
  <c r="I4373" i="1"/>
  <c r="H1335" i="1"/>
  <c r="I1335" i="1" s="1"/>
  <c r="J1334" i="1"/>
  <c r="I1334" i="1"/>
  <c r="D4660" i="1"/>
  <c r="F4660" i="1"/>
  <c r="C4661" i="1"/>
  <c r="G4661" i="1" s="1"/>
  <c r="F686" i="1"/>
  <c r="F1336" i="1"/>
  <c r="F186" i="1"/>
  <c r="F1534" i="1"/>
  <c r="C4376" i="1"/>
  <c r="D4375" i="1"/>
  <c r="F4375" i="1"/>
  <c r="C1535" i="1"/>
  <c r="D1534" i="1"/>
  <c r="C687" i="1"/>
  <c r="D686" i="1"/>
  <c r="C1337" i="1"/>
  <c r="D1336" i="1"/>
  <c r="C187" i="1"/>
  <c r="D186" i="1"/>
  <c r="H4375" i="1" l="1"/>
  <c r="J4375" i="1" s="1"/>
  <c r="I4659" i="1"/>
  <c r="I4374" i="1"/>
  <c r="H4660" i="1"/>
  <c r="J4660" i="1" s="1"/>
  <c r="H1336" i="1"/>
  <c r="I1336" i="1" s="1"/>
  <c r="J1335" i="1"/>
  <c r="H185" i="1"/>
  <c r="J184" i="1"/>
  <c r="I184" i="1"/>
  <c r="C4662" i="1"/>
  <c r="F4661" i="1"/>
  <c r="D4661" i="1"/>
  <c r="F187" i="1"/>
  <c r="F1337" i="1"/>
  <c r="F687" i="1"/>
  <c r="F1535" i="1"/>
  <c r="F4376" i="1"/>
  <c r="D4376" i="1"/>
  <c r="C4377" i="1"/>
  <c r="D1535" i="1"/>
  <c r="C1536" i="1"/>
  <c r="C188" i="1"/>
  <c r="D187" i="1"/>
  <c r="C1338" i="1"/>
  <c r="D1337" i="1"/>
  <c r="C688" i="1"/>
  <c r="D687" i="1"/>
  <c r="G4662" i="1" l="1"/>
  <c r="J4662" i="1" s="1"/>
  <c r="H4661" i="1"/>
  <c r="H4376" i="1"/>
  <c r="J4376" i="1" s="1"/>
  <c r="H186" i="1"/>
  <c r="J185" i="1"/>
  <c r="I185" i="1"/>
  <c r="H1337" i="1"/>
  <c r="J1336" i="1"/>
  <c r="I4375" i="1"/>
  <c r="I4660" i="1"/>
  <c r="D4662" i="1"/>
  <c r="C4663" i="1"/>
  <c r="F4662" i="1"/>
  <c r="F688" i="1"/>
  <c r="F1338" i="1"/>
  <c r="F188" i="1"/>
  <c r="F1536" i="1"/>
  <c r="F4377" i="1"/>
  <c r="C4378" i="1"/>
  <c r="D4377" i="1"/>
  <c r="C1537" i="1"/>
  <c r="D1536" i="1"/>
  <c r="C689" i="1"/>
  <c r="D688" i="1"/>
  <c r="C1339" i="1"/>
  <c r="D1338" i="1"/>
  <c r="C189" i="1"/>
  <c r="D188" i="1"/>
  <c r="G4663" i="1" l="1"/>
  <c r="J4663" i="1" s="1"/>
  <c r="I4376" i="1"/>
  <c r="H4662" i="1"/>
  <c r="I4662" i="1" s="1"/>
  <c r="H1338" i="1"/>
  <c r="I1338" i="1" s="1"/>
  <c r="J1337" i="1"/>
  <c r="I4661" i="1"/>
  <c r="J4661" i="1"/>
  <c r="H4377" i="1"/>
  <c r="J4377" i="1" s="1"/>
  <c r="I1337" i="1"/>
  <c r="H187" i="1"/>
  <c r="J186" i="1"/>
  <c r="I186" i="1"/>
  <c r="D4663" i="1"/>
  <c r="C4664" i="1"/>
  <c r="F4663" i="1"/>
  <c r="F189" i="1"/>
  <c r="F1339" i="1"/>
  <c r="F689" i="1"/>
  <c r="F1537" i="1"/>
  <c r="F4378" i="1"/>
  <c r="C4379" i="1"/>
  <c r="D4378" i="1"/>
  <c r="C1538" i="1"/>
  <c r="D1537" i="1"/>
  <c r="C190" i="1"/>
  <c r="D189" i="1"/>
  <c r="C1340" i="1"/>
  <c r="D1339" i="1"/>
  <c r="C690" i="1"/>
  <c r="D689" i="1"/>
  <c r="G4664" i="1" l="1"/>
  <c r="J4664" i="1" s="1"/>
  <c r="I4377" i="1"/>
  <c r="H188" i="1"/>
  <c r="J187" i="1"/>
  <c r="I187" i="1"/>
  <c r="H1339" i="1"/>
  <c r="I1339" i="1" s="1"/>
  <c r="J1338" i="1"/>
  <c r="H4663" i="1"/>
  <c r="I4663" i="1" s="1"/>
  <c r="H4378" i="1"/>
  <c r="J4378" i="1" s="1"/>
  <c r="F4664" i="1"/>
  <c r="D4664" i="1"/>
  <c r="C4665" i="1"/>
  <c r="F690" i="1"/>
  <c r="F1340" i="1"/>
  <c r="F190" i="1"/>
  <c r="F1538" i="1"/>
  <c r="F4379" i="1"/>
  <c r="C4380" i="1"/>
  <c r="D4379" i="1"/>
  <c r="C1539" i="1"/>
  <c r="D1538" i="1"/>
  <c r="C691" i="1"/>
  <c r="D690" i="1"/>
  <c r="C1341" i="1"/>
  <c r="D1340" i="1"/>
  <c r="C191" i="1"/>
  <c r="D190" i="1"/>
  <c r="H4664" i="1" l="1"/>
  <c r="I4664" i="1" s="1"/>
  <c r="G4665" i="1"/>
  <c r="J4665" i="1" s="1"/>
  <c r="H4379" i="1"/>
  <c r="J4379" i="1" s="1"/>
  <c r="I4378" i="1"/>
  <c r="H189" i="1"/>
  <c r="J188" i="1"/>
  <c r="I188" i="1"/>
  <c r="H1340" i="1"/>
  <c r="J1339" i="1"/>
  <c r="C4666" i="1"/>
  <c r="D4665" i="1"/>
  <c r="F4665" i="1"/>
  <c r="F191" i="1"/>
  <c r="F1341" i="1"/>
  <c r="F691" i="1"/>
  <c r="F1539" i="1"/>
  <c r="C4381" i="1"/>
  <c r="F4380" i="1"/>
  <c r="D4380" i="1"/>
  <c r="C1540" i="1"/>
  <c r="D1539" i="1"/>
  <c r="C192" i="1"/>
  <c r="D191" i="1"/>
  <c r="C1342" i="1"/>
  <c r="D1341" i="1"/>
  <c r="C692" i="1"/>
  <c r="D691" i="1"/>
  <c r="G4666" i="1" l="1"/>
  <c r="J4666" i="1" s="1"/>
  <c r="I4379" i="1"/>
  <c r="H1341" i="1"/>
  <c r="I1341" i="1" s="1"/>
  <c r="J1340" i="1"/>
  <c r="I1340" i="1"/>
  <c r="H4665" i="1"/>
  <c r="I4665" i="1" s="1"/>
  <c r="H4380" i="1"/>
  <c r="J4380" i="1" s="1"/>
  <c r="H190" i="1"/>
  <c r="J189" i="1"/>
  <c r="I189" i="1"/>
  <c r="F4666" i="1"/>
  <c r="D4666" i="1"/>
  <c r="C4667" i="1"/>
  <c r="F692" i="1"/>
  <c r="F1342" i="1"/>
  <c r="F192" i="1"/>
  <c r="F1540" i="1"/>
  <c r="F4381" i="1"/>
  <c r="C4382" i="1"/>
  <c r="D4381" i="1"/>
  <c r="C1541" i="1"/>
  <c r="D1540" i="1"/>
  <c r="C693" i="1"/>
  <c r="D692" i="1"/>
  <c r="C1343" i="1"/>
  <c r="D1342" i="1"/>
  <c r="C193" i="1"/>
  <c r="D192" i="1"/>
  <c r="G4667" i="1" l="1"/>
  <c r="J4667" i="1" s="1"/>
  <c r="I4380" i="1"/>
  <c r="H4666" i="1"/>
  <c r="I4666" i="1" s="1"/>
  <c r="H4381" i="1"/>
  <c r="J4381" i="1" s="1"/>
  <c r="H191" i="1"/>
  <c r="J190" i="1"/>
  <c r="I190" i="1"/>
  <c r="H1342" i="1"/>
  <c r="I1342" i="1" s="1"/>
  <c r="J1341" i="1"/>
  <c r="F4667" i="1"/>
  <c r="D4667" i="1"/>
  <c r="C4668" i="1"/>
  <c r="G4668" i="1" s="1"/>
  <c r="F193" i="1"/>
  <c r="F1343" i="1"/>
  <c r="F693" i="1"/>
  <c r="F1541" i="1"/>
  <c r="F4382" i="1"/>
  <c r="D4382" i="1"/>
  <c r="C4383" i="1"/>
  <c r="C1542" i="1"/>
  <c r="D1541" i="1"/>
  <c r="C194" i="1"/>
  <c r="D193" i="1"/>
  <c r="C1344" i="1"/>
  <c r="D1343" i="1"/>
  <c r="C694" i="1"/>
  <c r="D693" i="1"/>
  <c r="I4381" i="1" l="1"/>
  <c r="H4382" i="1"/>
  <c r="J4382" i="1" s="1"/>
  <c r="H1343" i="1"/>
  <c r="J1342" i="1"/>
  <c r="H192" i="1"/>
  <c r="J191" i="1"/>
  <c r="I191" i="1"/>
  <c r="H4667" i="1"/>
  <c r="I4667" i="1" s="1"/>
  <c r="D4668" i="1"/>
  <c r="C4669" i="1"/>
  <c r="G4669" i="1" s="1"/>
  <c r="F4668" i="1"/>
  <c r="F694" i="1"/>
  <c r="F1344" i="1"/>
  <c r="F194" i="1"/>
  <c r="F1542" i="1"/>
  <c r="F4383" i="1"/>
  <c r="C4384" i="1"/>
  <c r="D4383" i="1"/>
  <c r="C1543" i="1"/>
  <c r="D1542" i="1"/>
  <c r="C695" i="1"/>
  <c r="D694" i="1"/>
  <c r="C1345" i="1"/>
  <c r="D1344" i="1"/>
  <c r="C195" i="1"/>
  <c r="D194" i="1"/>
  <c r="I4382" i="1" l="1"/>
  <c r="H4668" i="1"/>
  <c r="J4668" i="1" s="1"/>
  <c r="H193" i="1"/>
  <c r="J192" i="1"/>
  <c r="I192" i="1"/>
  <c r="H1344" i="1"/>
  <c r="I1344" i="1" s="1"/>
  <c r="J1343" i="1"/>
  <c r="H4383" i="1"/>
  <c r="J4383" i="1" s="1"/>
  <c r="I1343" i="1"/>
  <c r="F4669" i="1"/>
  <c r="D4669" i="1"/>
  <c r="C4670" i="1"/>
  <c r="G4670" i="1" s="1"/>
  <c r="F195" i="1"/>
  <c r="F1345" i="1"/>
  <c r="F695" i="1"/>
  <c r="F1543" i="1"/>
  <c r="F4384" i="1"/>
  <c r="C4385" i="1"/>
  <c r="D4384" i="1"/>
  <c r="C1544" i="1"/>
  <c r="D1543" i="1"/>
  <c r="C196" i="1"/>
  <c r="D195" i="1"/>
  <c r="C1346" i="1"/>
  <c r="D1345" i="1"/>
  <c r="C696" i="1"/>
  <c r="D695" i="1"/>
  <c r="H4669" i="1" l="1"/>
  <c r="I4669" i="1" s="1"/>
  <c r="H4384" i="1"/>
  <c r="J4384" i="1" s="1"/>
  <c r="I4383" i="1"/>
  <c r="H194" i="1"/>
  <c r="J193" i="1"/>
  <c r="I193" i="1"/>
  <c r="I4668" i="1"/>
  <c r="H1345" i="1"/>
  <c r="J1344" i="1"/>
  <c r="D4670" i="1"/>
  <c r="C4671" i="1"/>
  <c r="G4671" i="1" s="1"/>
  <c r="F4670" i="1"/>
  <c r="F696" i="1"/>
  <c r="F1346" i="1"/>
  <c r="F196" i="1"/>
  <c r="F1544" i="1"/>
  <c r="C4386" i="1"/>
  <c r="D4385" i="1"/>
  <c r="F4385" i="1"/>
  <c r="H4385" i="1" s="1"/>
  <c r="C1545" i="1"/>
  <c r="D1544" i="1"/>
  <c r="C697" i="1"/>
  <c r="D696" i="1"/>
  <c r="C1347" i="1"/>
  <c r="D1346" i="1"/>
  <c r="C197" i="1"/>
  <c r="D196" i="1"/>
  <c r="H1346" i="1" l="1"/>
  <c r="J1345" i="1"/>
  <c r="I1345" i="1"/>
  <c r="I4384" i="1"/>
  <c r="I4385" i="1"/>
  <c r="J4385" i="1"/>
  <c r="H4670" i="1"/>
  <c r="J4669" i="1"/>
  <c r="H195" i="1"/>
  <c r="J194" i="1"/>
  <c r="I194" i="1"/>
  <c r="D4671" i="1"/>
  <c r="C4672" i="1"/>
  <c r="G4672" i="1" s="1"/>
  <c r="F4671" i="1"/>
  <c r="F197" i="1"/>
  <c r="F1347" i="1"/>
  <c r="F697" i="1"/>
  <c r="F1545" i="1"/>
  <c r="D4386" i="1"/>
  <c r="C4387" i="1"/>
  <c r="F4386" i="1"/>
  <c r="D1545" i="1"/>
  <c r="C1546" i="1"/>
  <c r="C198" i="1"/>
  <c r="D197" i="1"/>
  <c r="C1348" i="1"/>
  <c r="D1347" i="1"/>
  <c r="C698" i="1"/>
  <c r="D697" i="1"/>
  <c r="H4671" i="1" l="1"/>
  <c r="J4670" i="1"/>
  <c r="H1347" i="1"/>
  <c r="I1347" i="1" s="1"/>
  <c r="J1346" i="1"/>
  <c r="I1346" i="1"/>
  <c r="H196" i="1"/>
  <c r="J195" i="1"/>
  <c r="I195" i="1"/>
  <c r="H4386" i="1"/>
  <c r="I4670" i="1"/>
  <c r="D4672" i="1"/>
  <c r="C4673" i="1"/>
  <c r="G4673" i="1" s="1"/>
  <c r="F4672" i="1"/>
  <c r="F698" i="1"/>
  <c r="F1348" i="1"/>
  <c r="F198" i="1"/>
  <c r="F1546" i="1"/>
  <c r="C4388" i="1"/>
  <c r="D4387" i="1"/>
  <c r="F4387" i="1"/>
  <c r="C1547" i="1"/>
  <c r="D1546" i="1"/>
  <c r="C699" i="1"/>
  <c r="D698" i="1"/>
  <c r="C1349" i="1"/>
  <c r="D1348" i="1"/>
  <c r="C199" i="1"/>
  <c r="D198" i="1"/>
  <c r="H197" i="1" l="1"/>
  <c r="J196" i="1"/>
  <c r="I196" i="1"/>
  <c r="H4672" i="1"/>
  <c r="J4672" i="1" s="1"/>
  <c r="J4671" i="1"/>
  <c r="I4671" i="1"/>
  <c r="H4387" i="1"/>
  <c r="J4387" i="1" s="1"/>
  <c r="J4386" i="1"/>
  <c r="I4386" i="1"/>
  <c r="H1348" i="1"/>
  <c r="I1348" i="1" s="1"/>
  <c r="J1347" i="1"/>
  <c r="F4673" i="1"/>
  <c r="D4673" i="1"/>
  <c r="C4674" i="1"/>
  <c r="G4674" i="1" s="1"/>
  <c r="F199" i="1"/>
  <c r="F1349" i="1"/>
  <c r="F699" i="1"/>
  <c r="F1547" i="1"/>
  <c r="F4388" i="1"/>
  <c r="C4389" i="1"/>
  <c r="D4388" i="1"/>
  <c r="C1548" i="1"/>
  <c r="D1547" i="1"/>
  <c r="C200" i="1"/>
  <c r="D199" i="1"/>
  <c r="C1350" i="1"/>
  <c r="D1349" i="1"/>
  <c r="C700" i="1"/>
  <c r="D699" i="1"/>
  <c r="I4672" i="1" l="1"/>
  <c r="H4388" i="1"/>
  <c r="I4388" i="1" s="1"/>
  <c r="I4387" i="1"/>
  <c r="H4673" i="1"/>
  <c r="J4673" i="1" s="1"/>
  <c r="H1349" i="1"/>
  <c r="J1348" i="1"/>
  <c r="H198" i="1"/>
  <c r="J197" i="1"/>
  <c r="I197" i="1"/>
  <c r="D4674" i="1"/>
  <c r="C4675" i="1"/>
  <c r="G4675" i="1" s="1"/>
  <c r="F4674" i="1"/>
  <c r="F700" i="1"/>
  <c r="F1350" i="1"/>
  <c r="F200" i="1"/>
  <c r="F1548" i="1"/>
  <c r="D4389" i="1"/>
  <c r="F4389" i="1"/>
  <c r="C4390" i="1"/>
  <c r="C1549" i="1"/>
  <c r="D1548" i="1"/>
  <c r="C701" i="1"/>
  <c r="D700" i="1"/>
  <c r="C1351" i="1"/>
  <c r="D1350" i="1"/>
  <c r="C201" i="1"/>
  <c r="D200" i="1"/>
  <c r="H199" i="1" l="1"/>
  <c r="J198" i="1"/>
  <c r="I198" i="1"/>
  <c r="H4389" i="1"/>
  <c r="J4389" i="1" s="1"/>
  <c r="J4388" i="1"/>
  <c r="H4674" i="1"/>
  <c r="J4674" i="1" s="1"/>
  <c r="H1350" i="1"/>
  <c r="I1350" i="1" s="1"/>
  <c r="J1349" i="1"/>
  <c r="I4673" i="1"/>
  <c r="I1349" i="1"/>
  <c r="D4675" i="1"/>
  <c r="C4676" i="1"/>
  <c r="G4676" i="1" s="1"/>
  <c r="F4675" i="1"/>
  <c r="F201" i="1"/>
  <c r="F1351" i="1"/>
  <c r="F701" i="1"/>
  <c r="F1549" i="1"/>
  <c r="C4391" i="1"/>
  <c r="F4390" i="1"/>
  <c r="D4390" i="1"/>
  <c r="C1550" i="1"/>
  <c r="D1549" i="1"/>
  <c r="C202" i="1"/>
  <c r="D201" i="1"/>
  <c r="C1352" i="1"/>
  <c r="D1351" i="1"/>
  <c r="C702" i="1"/>
  <c r="D701" i="1"/>
  <c r="H4390" i="1" l="1"/>
  <c r="J4390" i="1" s="1"/>
  <c r="H4675" i="1"/>
  <c r="J4675" i="1" s="1"/>
  <c r="I4674" i="1"/>
  <c r="H200" i="1"/>
  <c r="J199" i="1"/>
  <c r="I199" i="1"/>
  <c r="H1351" i="1"/>
  <c r="J1350" i="1"/>
  <c r="I4389" i="1"/>
  <c r="C4677" i="1"/>
  <c r="G4677" i="1" s="1"/>
  <c r="F4676" i="1"/>
  <c r="D4676" i="1"/>
  <c r="F702" i="1"/>
  <c r="F1352" i="1"/>
  <c r="F202" i="1"/>
  <c r="F1550" i="1"/>
  <c r="F4391" i="1"/>
  <c r="C4392" i="1"/>
  <c r="D4391" i="1"/>
  <c r="C1551" i="1"/>
  <c r="D1550" i="1"/>
  <c r="C703" i="1"/>
  <c r="D702" i="1"/>
  <c r="C1353" i="1"/>
  <c r="D1352" i="1"/>
  <c r="C203" i="1"/>
  <c r="D202" i="1"/>
  <c r="H1352" i="1" l="1"/>
  <c r="I1352" i="1" s="1"/>
  <c r="J1351" i="1"/>
  <c r="I1351" i="1"/>
  <c r="I4675" i="1"/>
  <c r="H201" i="1"/>
  <c r="J200" i="1"/>
  <c r="I200" i="1"/>
  <c r="H4391" i="1"/>
  <c r="J4391" i="1" s="1"/>
  <c r="I4390" i="1"/>
  <c r="H4676" i="1"/>
  <c r="J4676" i="1" s="1"/>
  <c r="D4677" i="1"/>
  <c r="C4678" i="1"/>
  <c r="F4677" i="1"/>
  <c r="F203" i="1"/>
  <c r="F1353" i="1"/>
  <c r="F703" i="1"/>
  <c r="F1551" i="1"/>
  <c r="F4392" i="1"/>
  <c r="D4392" i="1"/>
  <c r="C4393" i="1"/>
  <c r="C1552" i="1"/>
  <c r="D1551" i="1"/>
  <c r="C204" i="1"/>
  <c r="D203" i="1"/>
  <c r="C1354" i="1"/>
  <c r="D1353" i="1"/>
  <c r="C704" i="1"/>
  <c r="D703" i="1"/>
  <c r="H4677" i="1" l="1"/>
  <c r="I4677" i="1" s="1"/>
  <c r="G4678" i="1"/>
  <c r="J4678" i="1" s="1"/>
  <c r="I4676" i="1"/>
  <c r="H202" i="1"/>
  <c r="J201" i="1"/>
  <c r="I201" i="1"/>
  <c r="I4391" i="1"/>
  <c r="H4392" i="1"/>
  <c r="J4392" i="1" s="1"/>
  <c r="H1353" i="1"/>
  <c r="I1353" i="1" s="1"/>
  <c r="J1352" i="1"/>
  <c r="C4679" i="1"/>
  <c r="F4678" i="1"/>
  <c r="D4678" i="1"/>
  <c r="F704" i="1"/>
  <c r="F1354" i="1"/>
  <c r="F204" i="1"/>
  <c r="F1552" i="1"/>
  <c r="F4393" i="1"/>
  <c r="D4393" i="1"/>
  <c r="C4394" i="1"/>
  <c r="C1553" i="1"/>
  <c r="D1552" i="1"/>
  <c r="C705" i="1"/>
  <c r="D704" i="1"/>
  <c r="C1355" i="1"/>
  <c r="D1354" i="1"/>
  <c r="C205" i="1"/>
  <c r="D204" i="1"/>
  <c r="J4677" i="1" l="1"/>
  <c r="G4679" i="1"/>
  <c r="J4679" i="1" s="1"/>
  <c r="H203" i="1"/>
  <c r="J202" i="1"/>
  <c r="I202" i="1"/>
  <c r="I4392" i="1"/>
  <c r="H4678" i="1"/>
  <c r="I4678" i="1" s="1"/>
  <c r="H4393" i="1"/>
  <c r="J4393" i="1" s="1"/>
  <c r="H1354" i="1"/>
  <c r="J1353" i="1"/>
  <c r="C4680" i="1"/>
  <c r="D4679" i="1"/>
  <c r="F4679" i="1"/>
  <c r="F205" i="1"/>
  <c r="F705" i="1"/>
  <c r="F1553" i="1"/>
  <c r="F4394" i="1"/>
  <c r="D4394" i="1"/>
  <c r="C4395" i="1"/>
  <c r="D1355" i="1"/>
  <c r="F1355" i="1"/>
  <c r="D1553" i="1"/>
  <c r="C1554" i="1"/>
  <c r="C206" i="1"/>
  <c r="D205" i="1"/>
  <c r="C706" i="1"/>
  <c r="D705" i="1"/>
  <c r="G4680" i="1" l="1"/>
  <c r="J4680" i="1" s="1"/>
  <c r="I4393" i="1"/>
  <c r="H1355" i="1"/>
  <c r="J1355" i="1" s="1"/>
  <c r="J1354" i="1"/>
  <c r="H4394" i="1"/>
  <c r="J4394" i="1" s="1"/>
  <c r="I1354" i="1"/>
  <c r="H4679" i="1"/>
  <c r="I4679" i="1" s="1"/>
  <c r="H1356" i="1"/>
  <c r="H204" i="1"/>
  <c r="J203" i="1"/>
  <c r="I203" i="1"/>
  <c r="C4681" i="1"/>
  <c r="G4681" i="1" s="1"/>
  <c r="D4680" i="1"/>
  <c r="F4680" i="1"/>
  <c r="F706" i="1"/>
  <c r="F206" i="1"/>
  <c r="F1554" i="1"/>
  <c r="C4396" i="1"/>
  <c r="F4395" i="1"/>
  <c r="D4395" i="1"/>
  <c r="C1555" i="1"/>
  <c r="D1554" i="1"/>
  <c r="C707" i="1"/>
  <c r="D706" i="1"/>
  <c r="C207" i="1"/>
  <c r="D206" i="1"/>
  <c r="H4680" i="1" l="1"/>
  <c r="I4680" i="1" s="1"/>
  <c r="H4395" i="1"/>
  <c r="J4395" i="1" s="1"/>
  <c r="I1355" i="1"/>
  <c r="H205" i="1"/>
  <c r="J204" i="1"/>
  <c r="I204" i="1"/>
  <c r="H1357" i="1"/>
  <c r="J1356" i="1"/>
  <c r="I1356" i="1"/>
  <c r="I4394" i="1"/>
  <c r="D4681" i="1"/>
  <c r="F4681" i="1"/>
  <c r="C4682" i="1"/>
  <c r="G4682" i="1" s="1"/>
  <c r="F207" i="1"/>
  <c r="F707" i="1"/>
  <c r="F1555" i="1"/>
  <c r="C4397" i="1"/>
  <c r="D4396" i="1"/>
  <c r="F4396" i="1"/>
  <c r="C1556" i="1"/>
  <c r="D1555" i="1"/>
  <c r="C208" i="1"/>
  <c r="D207" i="1"/>
  <c r="C708" i="1"/>
  <c r="D707" i="1"/>
  <c r="I4395" i="1" l="1"/>
  <c r="H1358" i="1"/>
  <c r="J1357" i="1"/>
  <c r="I1357" i="1"/>
  <c r="H4396" i="1"/>
  <c r="I4396" i="1" s="1"/>
  <c r="H4681" i="1"/>
  <c r="I4681" i="1" s="1"/>
  <c r="H206" i="1"/>
  <c r="J205" i="1"/>
  <c r="I205" i="1"/>
  <c r="C4683" i="1"/>
  <c r="G4683" i="1" s="1"/>
  <c r="F4682" i="1"/>
  <c r="D4682" i="1"/>
  <c r="F708" i="1"/>
  <c r="F208" i="1"/>
  <c r="F1556" i="1"/>
  <c r="C4398" i="1"/>
  <c r="D4397" i="1"/>
  <c r="F4397" i="1"/>
  <c r="C1557" i="1"/>
  <c r="D1556" i="1"/>
  <c r="C709" i="1"/>
  <c r="D708" i="1"/>
  <c r="C209" i="1"/>
  <c r="D208" i="1"/>
  <c r="H1556" i="1" l="1"/>
  <c r="I1556" i="1" s="1"/>
  <c r="H207" i="1"/>
  <c r="J206" i="1"/>
  <c r="I206" i="1"/>
  <c r="H4397" i="1"/>
  <c r="J4397" i="1" s="1"/>
  <c r="J4396" i="1"/>
  <c r="H4682" i="1"/>
  <c r="J4681" i="1"/>
  <c r="H1359" i="1"/>
  <c r="J1358" i="1"/>
  <c r="I1358" i="1"/>
  <c r="C4684" i="1"/>
  <c r="G4684" i="1" s="1"/>
  <c r="D4683" i="1"/>
  <c r="F4683" i="1"/>
  <c r="F209" i="1"/>
  <c r="F709" i="1"/>
  <c r="F1557" i="1"/>
  <c r="D4398" i="1"/>
  <c r="F4398" i="1"/>
  <c r="C4399" i="1"/>
  <c r="C1558" i="1"/>
  <c r="D1557" i="1"/>
  <c r="C210" i="1"/>
  <c r="D209" i="1"/>
  <c r="C710" i="1"/>
  <c r="D709" i="1"/>
  <c r="H4683" i="1" l="1"/>
  <c r="J4683" i="1" s="1"/>
  <c r="J4682" i="1"/>
  <c r="H4398" i="1"/>
  <c r="J4398" i="1" s="1"/>
  <c r="H1360" i="1"/>
  <c r="J1359" i="1"/>
  <c r="I1359" i="1"/>
  <c r="H208" i="1"/>
  <c r="J207" i="1"/>
  <c r="I207" i="1"/>
  <c r="I4397" i="1"/>
  <c r="I4682" i="1"/>
  <c r="H1557" i="1"/>
  <c r="J1556" i="1"/>
  <c r="C4685" i="1"/>
  <c r="G4685" i="1" s="1"/>
  <c r="F4684" i="1"/>
  <c r="D4684" i="1"/>
  <c r="F710" i="1"/>
  <c r="F210" i="1"/>
  <c r="F1558" i="1"/>
  <c r="F4399" i="1"/>
  <c r="C4400" i="1"/>
  <c r="D4399" i="1"/>
  <c r="C1559" i="1"/>
  <c r="D1558" i="1"/>
  <c r="C711" i="1"/>
  <c r="D710" i="1"/>
  <c r="C211" i="1"/>
  <c r="D210" i="1"/>
  <c r="I4683" i="1" l="1"/>
  <c r="H4684" i="1"/>
  <c r="J4684" i="1" s="1"/>
  <c r="H4399" i="1"/>
  <c r="I4399" i="1" s="1"/>
  <c r="H1558" i="1"/>
  <c r="J1558" i="1" s="1"/>
  <c r="J1557" i="1"/>
  <c r="I4398" i="1"/>
  <c r="H209" i="1"/>
  <c r="J208" i="1"/>
  <c r="I208" i="1"/>
  <c r="H1361" i="1"/>
  <c r="J1360" i="1"/>
  <c r="I1360" i="1"/>
  <c r="I1557" i="1"/>
  <c r="F4685" i="1"/>
  <c r="D4685" i="1"/>
  <c r="C4686" i="1"/>
  <c r="F211" i="1"/>
  <c r="F711" i="1"/>
  <c r="F1559" i="1"/>
  <c r="F4400" i="1"/>
  <c r="D4400" i="1"/>
  <c r="C4401" i="1"/>
  <c r="D1559" i="1"/>
  <c r="C1560" i="1"/>
  <c r="C212" i="1"/>
  <c r="D211" i="1"/>
  <c r="C712" i="1"/>
  <c r="D711" i="1"/>
  <c r="G4686" i="1" l="1"/>
  <c r="J4686" i="1" s="1"/>
  <c r="H4685" i="1"/>
  <c r="I4685" i="1" s="1"/>
  <c r="I1558" i="1"/>
  <c r="H210" i="1"/>
  <c r="J209" i="1"/>
  <c r="I209" i="1"/>
  <c r="H1559" i="1"/>
  <c r="I1559" i="1" s="1"/>
  <c r="H4400" i="1"/>
  <c r="I4400" i="1" s="1"/>
  <c r="J4399" i="1"/>
  <c r="I4684" i="1"/>
  <c r="H1362" i="1"/>
  <c r="J1361" i="1"/>
  <c r="I1361" i="1"/>
  <c r="F4686" i="1"/>
  <c r="D4686" i="1"/>
  <c r="C4687" i="1"/>
  <c r="F712" i="1"/>
  <c r="F212" i="1"/>
  <c r="F1560" i="1"/>
  <c r="F4401" i="1"/>
  <c r="D4401" i="1"/>
  <c r="C4402" i="1"/>
  <c r="C1561" i="1"/>
  <c r="D1560" i="1"/>
  <c r="C713" i="1"/>
  <c r="D712" i="1"/>
  <c r="C213" i="1"/>
  <c r="D212" i="1"/>
  <c r="J4685" i="1" l="1"/>
  <c r="H4686" i="1"/>
  <c r="I4686" i="1" s="1"/>
  <c r="G4687" i="1"/>
  <c r="J4687" i="1" s="1"/>
  <c r="H4401" i="1"/>
  <c r="J4400" i="1"/>
  <c r="H1363" i="1"/>
  <c r="J1362" i="1"/>
  <c r="I1362" i="1"/>
  <c r="H211" i="1"/>
  <c r="J210" i="1"/>
  <c r="I210" i="1"/>
  <c r="H1560" i="1"/>
  <c r="J1559" i="1"/>
  <c r="F4687" i="1"/>
  <c r="D4687" i="1"/>
  <c r="C4688" i="1"/>
  <c r="F213" i="1"/>
  <c r="F713" i="1"/>
  <c r="F1561" i="1"/>
  <c r="F4402" i="1"/>
  <c r="C4403" i="1"/>
  <c r="D4402" i="1"/>
  <c r="C1562" i="1"/>
  <c r="D1561" i="1"/>
  <c r="C214" i="1"/>
  <c r="D213" i="1"/>
  <c r="C714" i="1"/>
  <c r="D713" i="1"/>
  <c r="G4688" i="1" l="1"/>
  <c r="J4688" i="1" s="1"/>
  <c r="H4402" i="1"/>
  <c r="I4402" i="1" s="1"/>
  <c r="J4401" i="1"/>
  <c r="H1561" i="1"/>
  <c r="I1561" i="1" s="1"/>
  <c r="J1560" i="1"/>
  <c r="I4401" i="1"/>
  <c r="H212" i="1"/>
  <c r="J211" i="1"/>
  <c r="I211" i="1"/>
  <c r="H4687" i="1"/>
  <c r="I4687" i="1" s="1"/>
  <c r="H1364" i="1"/>
  <c r="J1363" i="1"/>
  <c r="I1363" i="1"/>
  <c r="I1560" i="1"/>
  <c r="D4688" i="1"/>
  <c r="F4688" i="1"/>
  <c r="C4689" i="1"/>
  <c r="G4689" i="1" s="1"/>
  <c r="F714" i="1"/>
  <c r="F214" i="1"/>
  <c r="F1562" i="1"/>
  <c r="F4403" i="1"/>
  <c r="D4403" i="1"/>
  <c r="C4404" i="1"/>
  <c r="C1563" i="1"/>
  <c r="D1562" i="1"/>
  <c r="C715" i="1"/>
  <c r="D714" i="1"/>
  <c r="C215" i="1"/>
  <c r="D214" i="1"/>
  <c r="H4688" i="1" l="1"/>
  <c r="I4688" i="1" s="1"/>
  <c r="H1562" i="1"/>
  <c r="I1562" i="1" s="1"/>
  <c r="J1561" i="1"/>
  <c r="H1365" i="1"/>
  <c r="J1364" i="1"/>
  <c r="I1364" i="1"/>
  <c r="H213" i="1"/>
  <c r="J212" i="1"/>
  <c r="I212" i="1"/>
  <c r="H4403" i="1"/>
  <c r="J4402" i="1"/>
  <c r="F4689" i="1"/>
  <c r="D4689" i="1"/>
  <c r="C4690" i="1"/>
  <c r="G4690" i="1" s="1"/>
  <c r="F215" i="1"/>
  <c r="F715" i="1"/>
  <c r="F1563" i="1"/>
  <c r="F4404" i="1"/>
  <c r="D4404" i="1"/>
  <c r="C4405" i="1"/>
  <c r="D1563" i="1"/>
  <c r="C1564" i="1"/>
  <c r="C216" i="1"/>
  <c r="D215" i="1"/>
  <c r="C716" i="1"/>
  <c r="D715" i="1"/>
  <c r="H1366" i="1" l="1"/>
  <c r="J1365" i="1"/>
  <c r="I1365" i="1"/>
  <c r="H4689" i="1"/>
  <c r="I4689" i="1" s="1"/>
  <c r="H214" i="1"/>
  <c r="J213" i="1"/>
  <c r="I213" i="1"/>
  <c r="H4404" i="1"/>
  <c r="I4404" i="1" s="1"/>
  <c r="J4403" i="1"/>
  <c r="I4403" i="1"/>
  <c r="H1563" i="1"/>
  <c r="J1562" i="1"/>
  <c r="F4690" i="1"/>
  <c r="D4690" i="1"/>
  <c r="C4691" i="1"/>
  <c r="G4691" i="1" s="1"/>
  <c r="F716" i="1"/>
  <c r="F216" i="1"/>
  <c r="F1564" i="1"/>
  <c r="F4405" i="1"/>
  <c r="D4405" i="1"/>
  <c r="C4406" i="1"/>
  <c r="C1565" i="1"/>
  <c r="D1564" i="1"/>
  <c r="C717" i="1"/>
  <c r="D716" i="1"/>
  <c r="C217" i="1"/>
  <c r="D216" i="1"/>
  <c r="H4690" i="1" l="1"/>
  <c r="I4690" i="1" s="1"/>
  <c r="J4689" i="1"/>
  <c r="H1564" i="1"/>
  <c r="I1564" i="1" s="1"/>
  <c r="J1563" i="1"/>
  <c r="H4405" i="1"/>
  <c r="J4405" i="1" s="1"/>
  <c r="J4404" i="1"/>
  <c r="H215" i="1"/>
  <c r="J214" i="1"/>
  <c r="I214" i="1"/>
  <c r="H1367" i="1"/>
  <c r="J1366" i="1"/>
  <c r="I1366" i="1"/>
  <c r="I1563" i="1"/>
  <c r="F4691" i="1"/>
  <c r="C4692" i="1"/>
  <c r="G4692" i="1" s="1"/>
  <c r="D4691" i="1"/>
  <c r="F217" i="1"/>
  <c r="F717" i="1"/>
  <c r="F1565" i="1"/>
  <c r="D4406" i="1"/>
  <c r="C4407" i="1"/>
  <c r="F4406" i="1"/>
  <c r="D1565" i="1"/>
  <c r="C1566" i="1"/>
  <c r="C218" i="1"/>
  <c r="D217" i="1"/>
  <c r="C718" i="1"/>
  <c r="D717" i="1"/>
  <c r="I4405" i="1" l="1"/>
  <c r="H4406" i="1"/>
  <c r="I4406" i="1" s="1"/>
  <c r="H1368" i="1"/>
  <c r="J1367" i="1"/>
  <c r="I1367" i="1"/>
  <c r="H1565" i="1"/>
  <c r="J1564" i="1"/>
  <c r="H216" i="1"/>
  <c r="J215" i="1"/>
  <c r="I215" i="1"/>
  <c r="H4691" i="1"/>
  <c r="J4691" i="1" s="1"/>
  <c r="J4690" i="1"/>
  <c r="C4693" i="1"/>
  <c r="G4693" i="1" s="1"/>
  <c r="D4692" i="1"/>
  <c r="F4692" i="1"/>
  <c r="F718" i="1"/>
  <c r="F218" i="1"/>
  <c r="F1566" i="1"/>
  <c r="F4407" i="1"/>
  <c r="C4408" i="1"/>
  <c r="D4407" i="1"/>
  <c r="C1567" i="1"/>
  <c r="D1566" i="1"/>
  <c r="C719" i="1"/>
  <c r="D718" i="1"/>
  <c r="C219" i="1"/>
  <c r="D218" i="1"/>
  <c r="H4692" i="1" l="1"/>
  <c r="J4692" i="1" s="1"/>
  <c r="H217" i="1"/>
  <c r="J216" i="1"/>
  <c r="I216" i="1"/>
  <c r="H1369" i="1"/>
  <c r="J1368" i="1"/>
  <c r="I1368" i="1"/>
  <c r="I4691" i="1"/>
  <c r="H1566" i="1"/>
  <c r="J1565" i="1"/>
  <c r="H4407" i="1"/>
  <c r="J4407" i="1" s="1"/>
  <c r="J4406" i="1"/>
  <c r="I1565" i="1"/>
  <c r="D4693" i="1"/>
  <c r="F4693" i="1"/>
  <c r="C4694" i="1"/>
  <c r="F219" i="1"/>
  <c r="F719" i="1"/>
  <c r="F1567" i="1"/>
  <c r="C4409" i="1"/>
  <c r="D4408" i="1"/>
  <c r="F4408" i="1"/>
  <c r="C1568" i="1"/>
  <c r="D1567" i="1"/>
  <c r="C220" i="1"/>
  <c r="D219" i="1"/>
  <c r="C720" i="1"/>
  <c r="D719" i="1"/>
  <c r="G4694" i="1" l="1"/>
  <c r="J4694" i="1" s="1"/>
  <c r="H4693" i="1"/>
  <c r="I4693" i="1" s="1"/>
  <c r="H1567" i="1"/>
  <c r="J1566" i="1"/>
  <c r="H218" i="1"/>
  <c r="J217" i="1"/>
  <c r="I217" i="1"/>
  <c r="I1566" i="1"/>
  <c r="I4692" i="1"/>
  <c r="H4408" i="1"/>
  <c r="I4407" i="1"/>
  <c r="J1369" i="1"/>
  <c r="I1369" i="1"/>
  <c r="H1370" i="1"/>
  <c r="F4694" i="1"/>
  <c r="D4694" i="1"/>
  <c r="C4695" i="1"/>
  <c r="F720" i="1"/>
  <c r="F220" i="1"/>
  <c r="F1568" i="1"/>
  <c r="C4410" i="1"/>
  <c r="D4409" i="1"/>
  <c r="F4409" i="1"/>
  <c r="C1569" i="1"/>
  <c r="D1568" i="1"/>
  <c r="C721" i="1"/>
  <c r="D720" i="1"/>
  <c r="C221" i="1"/>
  <c r="D220" i="1"/>
  <c r="G4695" i="1" l="1"/>
  <c r="J4695" i="1" s="1"/>
  <c r="J4693" i="1"/>
  <c r="H219" i="1"/>
  <c r="J218" i="1"/>
  <c r="I218" i="1"/>
  <c r="H4409" i="1"/>
  <c r="J4408" i="1"/>
  <c r="I4408" i="1"/>
  <c r="H1568" i="1"/>
  <c r="J1567" i="1"/>
  <c r="I1567" i="1"/>
  <c r="H4694" i="1"/>
  <c r="I4694" i="1" s="1"/>
  <c r="H1371" i="1"/>
  <c r="J1370" i="1"/>
  <c r="I1370" i="1"/>
  <c r="F4695" i="1"/>
  <c r="D4695" i="1"/>
  <c r="C4696" i="1"/>
  <c r="F221" i="1"/>
  <c r="F721" i="1"/>
  <c r="F1569" i="1"/>
  <c r="C4411" i="1"/>
  <c r="F4410" i="1"/>
  <c r="D4410" i="1"/>
  <c r="D1569" i="1"/>
  <c r="C1570" i="1"/>
  <c r="C222" i="1"/>
  <c r="D221" i="1"/>
  <c r="C722" i="1"/>
  <c r="D721" i="1"/>
  <c r="G4696" i="1" l="1"/>
  <c r="J4696" i="1" s="1"/>
  <c r="H4410" i="1"/>
  <c r="H1569" i="1"/>
  <c r="J1568" i="1"/>
  <c r="H4695" i="1"/>
  <c r="I4695" i="1" s="1"/>
  <c r="H1372" i="1"/>
  <c r="J1371" i="1"/>
  <c r="I1371" i="1"/>
  <c r="H220" i="1"/>
  <c r="J219" i="1"/>
  <c r="I219" i="1"/>
  <c r="I4409" i="1"/>
  <c r="J4409" i="1"/>
  <c r="I1568" i="1"/>
  <c r="F4696" i="1"/>
  <c r="D4696" i="1"/>
  <c r="C4697" i="1"/>
  <c r="G4697" i="1" s="1"/>
  <c r="F722" i="1"/>
  <c r="F222" i="1"/>
  <c r="F1570" i="1"/>
  <c r="F4411" i="1"/>
  <c r="C4412" i="1"/>
  <c r="D4411" i="1"/>
  <c r="C1571" i="1"/>
  <c r="D1570" i="1"/>
  <c r="C723" i="1"/>
  <c r="D722" i="1"/>
  <c r="C223" i="1"/>
  <c r="D222" i="1"/>
  <c r="H4696" i="1" l="1"/>
  <c r="I4696" i="1" s="1"/>
  <c r="H1570" i="1"/>
  <c r="I1570" i="1" s="1"/>
  <c r="J1569" i="1"/>
  <c r="I1569" i="1"/>
  <c r="H221" i="1"/>
  <c r="J220" i="1"/>
  <c r="I220" i="1"/>
  <c r="H4411" i="1"/>
  <c r="J4410" i="1"/>
  <c r="I4410" i="1"/>
  <c r="H1373" i="1"/>
  <c r="J1372" i="1"/>
  <c r="I1372" i="1"/>
  <c r="F4697" i="1"/>
  <c r="D4697" i="1"/>
  <c r="C4698" i="1"/>
  <c r="G4698" i="1" s="1"/>
  <c r="F223" i="1"/>
  <c r="F723" i="1"/>
  <c r="F1571" i="1"/>
  <c r="F4412" i="1"/>
  <c r="C4413" i="1"/>
  <c r="D4412" i="1"/>
  <c r="D1571" i="1"/>
  <c r="C1572" i="1"/>
  <c r="C224" i="1"/>
  <c r="D223" i="1"/>
  <c r="C724" i="1"/>
  <c r="D723" i="1"/>
  <c r="H4412" i="1" l="1"/>
  <c r="J4411" i="1"/>
  <c r="H222" i="1"/>
  <c r="J221" i="1"/>
  <c r="I221" i="1"/>
  <c r="H1374" i="1"/>
  <c r="J1373" i="1"/>
  <c r="I1373" i="1"/>
  <c r="H4697" i="1"/>
  <c r="I4697" i="1" s="1"/>
  <c r="H1571" i="1"/>
  <c r="I1571" i="1" s="1"/>
  <c r="J1570" i="1"/>
  <c r="I4411" i="1"/>
  <c r="F4698" i="1"/>
  <c r="D4698" i="1"/>
  <c r="C4699" i="1"/>
  <c r="G4699" i="1" s="1"/>
  <c r="F724" i="1"/>
  <c r="F224" i="1"/>
  <c r="F1572" i="1"/>
  <c r="F4413" i="1"/>
  <c r="D4413" i="1"/>
  <c r="C4414" i="1"/>
  <c r="C1573" i="1"/>
  <c r="D1572" i="1"/>
  <c r="C725" i="1"/>
  <c r="D724" i="1"/>
  <c r="C225" i="1"/>
  <c r="D224" i="1"/>
  <c r="H4698" i="1" l="1"/>
  <c r="I4698" i="1" s="1"/>
  <c r="J4697" i="1"/>
  <c r="H223" i="1"/>
  <c r="J222" i="1"/>
  <c r="I222" i="1"/>
  <c r="H1375" i="1"/>
  <c r="J1374" i="1"/>
  <c r="I1374" i="1"/>
  <c r="H1572" i="1"/>
  <c r="J1571" i="1"/>
  <c r="H4413" i="1"/>
  <c r="J4412" i="1"/>
  <c r="I4412" i="1"/>
  <c r="F4699" i="1"/>
  <c r="C4700" i="1"/>
  <c r="G4700" i="1" s="1"/>
  <c r="D4699" i="1"/>
  <c r="F225" i="1"/>
  <c r="F725" i="1"/>
  <c r="F1573" i="1"/>
  <c r="F4414" i="1"/>
  <c r="D4414" i="1"/>
  <c r="C4415" i="1"/>
  <c r="C1574" i="1"/>
  <c r="D1573" i="1"/>
  <c r="C226" i="1"/>
  <c r="D225" i="1"/>
  <c r="C726" i="1"/>
  <c r="D725" i="1"/>
  <c r="H4414" i="1" l="1"/>
  <c r="I4414" i="1" s="1"/>
  <c r="H1376" i="1"/>
  <c r="J1375" i="1"/>
  <c r="I1375" i="1"/>
  <c r="H4699" i="1"/>
  <c r="J4699" i="1" s="1"/>
  <c r="J4698" i="1"/>
  <c r="I4413" i="1"/>
  <c r="J4413" i="1"/>
  <c r="H1573" i="1"/>
  <c r="J1572" i="1"/>
  <c r="H224" i="1"/>
  <c r="J223" i="1"/>
  <c r="I223" i="1"/>
  <c r="I1572" i="1"/>
  <c r="C4701" i="1"/>
  <c r="G4701" i="1" s="1"/>
  <c r="D4700" i="1"/>
  <c r="F4700" i="1"/>
  <c r="F726" i="1"/>
  <c r="F226" i="1"/>
  <c r="F1574" i="1"/>
  <c r="C4416" i="1"/>
  <c r="D4415" i="1"/>
  <c r="F4415" i="1"/>
  <c r="C1575" i="1"/>
  <c r="D1574" i="1"/>
  <c r="C727" i="1"/>
  <c r="D726" i="1"/>
  <c r="C227" i="1"/>
  <c r="D226" i="1"/>
  <c r="I4699" i="1" l="1"/>
  <c r="H4415" i="1"/>
  <c r="J4414" i="1"/>
  <c r="H1574" i="1"/>
  <c r="I1574" i="1" s="1"/>
  <c r="J1573" i="1"/>
  <c r="H1377" i="1"/>
  <c r="J1376" i="1"/>
  <c r="I1376" i="1"/>
  <c r="H225" i="1"/>
  <c r="J224" i="1"/>
  <c r="I224" i="1"/>
  <c r="H4700" i="1"/>
  <c r="J4700" i="1" s="1"/>
  <c r="I1573" i="1"/>
  <c r="F4701" i="1"/>
  <c r="D4701" i="1"/>
  <c r="C4702" i="1"/>
  <c r="G4702" i="1" s="1"/>
  <c r="F227" i="1"/>
  <c r="F727" i="1"/>
  <c r="F1575" i="1"/>
  <c r="D4416" i="1"/>
  <c r="F4416" i="1"/>
  <c r="C4417" i="1"/>
  <c r="D1575" i="1"/>
  <c r="C1576" i="1"/>
  <c r="C228" i="1"/>
  <c r="D227" i="1"/>
  <c r="C728" i="1"/>
  <c r="D727" i="1"/>
  <c r="I4700" i="1" l="1"/>
  <c r="H1378" i="1"/>
  <c r="J1377" i="1"/>
  <c r="I1377" i="1"/>
  <c r="H4701" i="1"/>
  <c r="J4701" i="1" s="1"/>
  <c r="H4416" i="1"/>
  <c r="I4416" i="1" s="1"/>
  <c r="H1575" i="1"/>
  <c r="J1574" i="1"/>
  <c r="H226" i="1"/>
  <c r="J225" i="1"/>
  <c r="I225" i="1"/>
  <c r="I4415" i="1"/>
  <c r="J4415" i="1"/>
  <c r="C4703" i="1"/>
  <c r="G4703" i="1" s="1"/>
  <c r="F4702" i="1"/>
  <c r="D4702" i="1"/>
  <c r="F728" i="1"/>
  <c r="F228" i="1"/>
  <c r="F1576" i="1"/>
  <c r="F4417" i="1"/>
  <c r="D4417" i="1"/>
  <c r="C4418" i="1"/>
  <c r="C1577" i="1"/>
  <c r="D1576" i="1"/>
  <c r="C729" i="1"/>
  <c r="D728" i="1"/>
  <c r="C229" i="1"/>
  <c r="D228" i="1"/>
  <c r="H4702" i="1" l="1"/>
  <c r="J4702" i="1" s="1"/>
  <c r="H4417" i="1"/>
  <c r="J4417" i="1" s="1"/>
  <c r="J4416" i="1"/>
  <c r="H227" i="1"/>
  <c r="J226" i="1"/>
  <c r="I226" i="1"/>
  <c r="I4701" i="1"/>
  <c r="H1576" i="1"/>
  <c r="I1576" i="1" s="1"/>
  <c r="J1575" i="1"/>
  <c r="H1379" i="1"/>
  <c r="J1378" i="1"/>
  <c r="I1378" i="1"/>
  <c r="I1575" i="1"/>
  <c r="D4703" i="1"/>
  <c r="F4703" i="1"/>
  <c r="C4704" i="1"/>
  <c r="G4704" i="1" s="1"/>
  <c r="F229" i="1"/>
  <c r="F729" i="1"/>
  <c r="F1577" i="1"/>
  <c r="F4418" i="1"/>
  <c r="C4419" i="1"/>
  <c r="D4418" i="1"/>
  <c r="C1578" i="1"/>
  <c r="D1577" i="1"/>
  <c r="C230" i="1"/>
  <c r="D229" i="1"/>
  <c r="C730" i="1"/>
  <c r="D729" i="1"/>
  <c r="I4417" i="1" l="1"/>
  <c r="H1577" i="1"/>
  <c r="J1576" i="1"/>
  <c r="H4703" i="1"/>
  <c r="J4703" i="1" s="1"/>
  <c r="H1380" i="1"/>
  <c r="J1379" i="1"/>
  <c r="I1379" i="1"/>
  <c r="I4702" i="1"/>
  <c r="H4418" i="1"/>
  <c r="J4418" i="1" s="1"/>
  <c r="H228" i="1"/>
  <c r="J227" i="1"/>
  <c r="I227" i="1"/>
  <c r="F4704" i="1"/>
  <c r="C4705" i="1"/>
  <c r="G4705" i="1" s="1"/>
  <c r="D4704" i="1"/>
  <c r="F730" i="1"/>
  <c r="F230" i="1"/>
  <c r="F1578" i="1"/>
  <c r="C4420" i="1"/>
  <c r="F4419" i="1"/>
  <c r="D4419" i="1"/>
  <c r="C1579" i="1"/>
  <c r="D1578" i="1"/>
  <c r="C731" i="1"/>
  <c r="D730" i="1"/>
  <c r="C231" i="1"/>
  <c r="D230" i="1"/>
  <c r="I4703" i="1" l="1"/>
  <c r="I4418" i="1"/>
  <c r="H4704" i="1"/>
  <c r="J4704" i="1" s="1"/>
  <c r="H1578" i="1"/>
  <c r="I1578" i="1" s="1"/>
  <c r="J1577" i="1"/>
  <c r="H229" i="1"/>
  <c r="J228" i="1"/>
  <c r="I228" i="1"/>
  <c r="H4419" i="1"/>
  <c r="J4419" i="1" s="1"/>
  <c r="H1381" i="1"/>
  <c r="J1380" i="1"/>
  <c r="I1380" i="1"/>
  <c r="I1577" i="1"/>
  <c r="F4705" i="1"/>
  <c r="D4705" i="1"/>
  <c r="C4706" i="1"/>
  <c r="G4706" i="1" s="1"/>
  <c r="F231" i="1"/>
  <c r="F731" i="1"/>
  <c r="F1579" i="1"/>
  <c r="F4420" i="1"/>
  <c r="C4421" i="1"/>
  <c r="D4420" i="1"/>
  <c r="D1579" i="1"/>
  <c r="C1580" i="1"/>
  <c r="C232" i="1"/>
  <c r="D231" i="1"/>
  <c r="C732" i="1"/>
  <c r="D731" i="1"/>
  <c r="H1579" i="1" l="1"/>
  <c r="J1579" i="1" s="1"/>
  <c r="J1578" i="1"/>
  <c r="H4420" i="1"/>
  <c r="J4420" i="1" s="1"/>
  <c r="H230" i="1"/>
  <c r="J229" i="1"/>
  <c r="I229" i="1"/>
  <c r="H1382" i="1"/>
  <c r="J1381" i="1"/>
  <c r="I1381" i="1"/>
  <c r="H4705" i="1"/>
  <c r="J4705" i="1" s="1"/>
  <c r="I4704" i="1"/>
  <c r="I4419" i="1"/>
  <c r="D4706" i="1"/>
  <c r="C4707" i="1"/>
  <c r="F4706" i="1"/>
  <c r="F732" i="1"/>
  <c r="F232" i="1"/>
  <c r="F1580" i="1"/>
  <c r="C4422" i="1"/>
  <c r="D4421" i="1"/>
  <c r="F4421" i="1"/>
  <c r="C1581" i="1"/>
  <c r="D1580" i="1"/>
  <c r="C733" i="1"/>
  <c r="D732" i="1"/>
  <c r="C233" i="1"/>
  <c r="D232" i="1"/>
  <c r="H4706" i="1" l="1"/>
  <c r="I4706" i="1" s="1"/>
  <c r="G4707" i="1"/>
  <c r="J4707" i="1" s="1"/>
  <c r="I4705" i="1"/>
  <c r="H1580" i="1"/>
  <c r="J1580" i="1" s="1"/>
  <c r="H4421" i="1"/>
  <c r="J4421" i="1" s="1"/>
  <c r="H231" i="1"/>
  <c r="J230" i="1"/>
  <c r="I230" i="1"/>
  <c r="H1383" i="1"/>
  <c r="J1382" i="1"/>
  <c r="I1382" i="1"/>
  <c r="I4420" i="1"/>
  <c r="I1579" i="1"/>
  <c r="F4707" i="1"/>
  <c r="D4707" i="1"/>
  <c r="C4708" i="1"/>
  <c r="F233" i="1"/>
  <c r="F733" i="1"/>
  <c r="F1581" i="1"/>
  <c r="D4422" i="1"/>
  <c r="C4423" i="1"/>
  <c r="F4422" i="1"/>
  <c r="C1582" i="1"/>
  <c r="D1581" i="1"/>
  <c r="C234" i="1"/>
  <c r="D233" i="1"/>
  <c r="C734" i="1"/>
  <c r="D733" i="1"/>
  <c r="J4706" i="1" l="1"/>
  <c r="G4708" i="1"/>
  <c r="J4708" i="1" s="1"/>
  <c r="H232" i="1"/>
  <c r="J231" i="1"/>
  <c r="I231" i="1"/>
  <c r="I4421" i="1"/>
  <c r="H1581" i="1"/>
  <c r="J1581" i="1" s="1"/>
  <c r="H1384" i="1"/>
  <c r="J1383" i="1"/>
  <c r="I1383" i="1"/>
  <c r="I1580" i="1"/>
  <c r="H4422" i="1"/>
  <c r="J4422" i="1" s="1"/>
  <c r="H4707" i="1"/>
  <c r="I4707" i="1" s="1"/>
  <c r="F4708" i="1"/>
  <c r="D4708" i="1"/>
  <c r="C4709" i="1"/>
  <c r="F734" i="1"/>
  <c r="F234" i="1"/>
  <c r="F1582" i="1"/>
  <c r="F4423" i="1"/>
  <c r="D4423" i="1"/>
  <c r="C4424" i="1"/>
  <c r="C1583" i="1"/>
  <c r="D1582" i="1"/>
  <c r="C735" i="1"/>
  <c r="D734" i="1"/>
  <c r="C235" i="1"/>
  <c r="D234" i="1"/>
  <c r="I4422" i="1" l="1"/>
  <c r="G4709" i="1"/>
  <c r="J4709" i="1" s="1"/>
  <c r="H1385" i="1"/>
  <c r="J1384" i="1"/>
  <c r="I1384" i="1"/>
  <c r="H4708" i="1"/>
  <c r="I4708" i="1" s="1"/>
  <c r="I1581" i="1"/>
  <c r="H233" i="1"/>
  <c r="J232" i="1"/>
  <c r="I232" i="1"/>
  <c r="H4423" i="1"/>
  <c r="J4423" i="1" s="1"/>
  <c r="H1582" i="1"/>
  <c r="J1582" i="1" s="1"/>
  <c r="F4709" i="1"/>
  <c r="D4709" i="1"/>
  <c r="C4710" i="1"/>
  <c r="G4710" i="1" s="1"/>
  <c r="F235" i="1"/>
  <c r="F735" i="1"/>
  <c r="F1583" i="1"/>
  <c r="F4424" i="1"/>
  <c r="C4425" i="1"/>
  <c r="D4424" i="1"/>
  <c r="C1584" i="1"/>
  <c r="D1583" i="1"/>
  <c r="C236" i="1"/>
  <c r="D235" i="1"/>
  <c r="C736" i="1"/>
  <c r="D735" i="1"/>
  <c r="I4423" i="1" l="1"/>
  <c r="H4709" i="1"/>
  <c r="I4709" i="1" s="1"/>
  <c r="H4424" i="1"/>
  <c r="J4424" i="1" s="1"/>
  <c r="I1582" i="1"/>
  <c r="H1386" i="1"/>
  <c r="J1385" i="1"/>
  <c r="I1385" i="1"/>
  <c r="H234" i="1"/>
  <c r="J233" i="1"/>
  <c r="I233" i="1"/>
  <c r="H1583" i="1"/>
  <c r="J1583" i="1" s="1"/>
  <c r="F4710" i="1"/>
  <c r="C4711" i="1"/>
  <c r="G4711" i="1" s="1"/>
  <c r="D4710" i="1"/>
  <c r="F736" i="1"/>
  <c r="F236" i="1"/>
  <c r="F1584" i="1"/>
  <c r="F4425" i="1"/>
  <c r="C4426" i="1"/>
  <c r="D4425" i="1"/>
  <c r="C1585" i="1"/>
  <c r="D1584" i="1"/>
  <c r="C737" i="1"/>
  <c r="D736" i="1"/>
  <c r="C237" i="1"/>
  <c r="D236" i="1"/>
  <c r="I1583" i="1" l="1"/>
  <c r="H235" i="1"/>
  <c r="J234" i="1"/>
  <c r="I234" i="1"/>
  <c r="H4710" i="1"/>
  <c r="I4710" i="1" s="1"/>
  <c r="H1584" i="1"/>
  <c r="J1584" i="1" s="1"/>
  <c r="H1387" i="1"/>
  <c r="J1386" i="1"/>
  <c r="I1386" i="1"/>
  <c r="I4424" i="1"/>
  <c r="H4425" i="1"/>
  <c r="J4425" i="1" s="1"/>
  <c r="D4711" i="1"/>
  <c r="C4712" i="1"/>
  <c r="G4712" i="1" s="1"/>
  <c r="F4711" i="1"/>
  <c r="F237" i="1"/>
  <c r="F737" i="1"/>
  <c r="F1585" i="1"/>
  <c r="D4426" i="1"/>
  <c r="F4426" i="1"/>
  <c r="C4427" i="1"/>
  <c r="C1586" i="1"/>
  <c r="D1585" i="1"/>
  <c r="C238" i="1"/>
  <c r="D237" i="1"/>
  <c r="C738" i="1"/>
  <c r="D737" i="1"/>
  <c r="I1584" i="1" l="1"/>
  <c r="I4425" i="1"/>
  <c r="H1388" i="1"/>
  <c r="J1387" i="1"/>
  <c r="I1387" i="1"/>
  <c r="H1585" i="1"/>
  <c r="J1585" i="1" s="1"/>
  <c r="H4711" i="1"/>
  <c r="J4711" i="1" s="1"/>
  <c r="J4710" i="1"/>
  <c r="H236" i="1"/>
  <c r="J235" i="1"/>
  <c r="I235" i="1"/>
  <c r="H4426" i="1"/>
  <c r="J4426" i="1" s="1"/>
  <c r="D4712" i="1"/>
  <c r="C4713" i="1"/>
  <c r="G4713" i="1" s="1"/>
  <c r="F4712" i="1"/>
  <c r="F738" i="1"/>
  <c r="F238" i="1"/>
  <c r="F1586" i="1"/>
  <c r="F4427" i="1"/>
  <c r="D4427" i="1"/>
  <c r="C4428" i="1"/>
  <c r="C1587" i="1"/>
  <c r="D1586" i="1"/>
  <c r="C739" i="1"/>
  <c r="D738" i="1"/>
  <c r="C239" i="1"/>
  <c r="D238" i="1"/>
  <c r="I4426" i="1" l="1"/>
  <c r="H4712" i="1"/>
  <c r="J4712" i="1" s="1"/>
  <c r="H237" i="1"/>
  <c r="J236" i="1"/>
  <c r="I236" i="1"/>
  <c r="H4427" i="1"/>
  <c r="J4427" i="1" s="1"/>
  <c r="I4711" i="1"/>
  <c r="H1586" i="1"/>
  <c r="J1586" i="1" s="1"/>
  <c r="I1585" i="1"/>
  <c r="H1389" i="1"/>
  <c r="J1388" i="1"/>
  <c r="I1388" i="1"/>
  <c r="D4713" i="1"/>
  <c r="C4714" i="1"/>
  <c r="G4714" i="1" s="1"/>
  <c r="F4713" i="1"/>
  <c r="F239" i="1"/>
  <c r="F739" i="1"/>
  <c r="F1587" i="1"/>
  <c r="F4428" i="1"/>
  <c r="D4428" i="1"/>
  <c r="C4429" i="1"/>
  <c r="C1588" i="1"/>
  <c r="D1587" i="1"/>
  <c r="C240" i="1"/>
  <c r="D239" i="1"/>
  <c r="C740" i="1"/>
  <c r="D739" i="1"/>
  <c r="I1586" i="1" l="1"/>
  <c r="I4427" i="1"/>
  <c r="H1390" i="1"/>
  <c r="J1389" i="1"/>
  <c r="I1389" i="1"/>
  <c r="H4428" i="1"/>
  <c r="J4428" i="1" s="1"/>
  <c r="H1587" i="1"/>
  <c r="J1587" i="1" s="1"/>
  <c r="H238" i="1"/>
  <c r="J237" i="1"/>
  <c r="I237" i="1"/>
  <c r="I4712" i="1"/>
  <c r="H4713" i="1"/>
  <c r="J4713" i="1" s="1"/>
  <c r="C4715" i="1"/>
  <c r="G4715" i="1" s="1"/>
  <c r="D4714" i="1"/>
  <c r="F4714" i="1"/>
  <c r="F740" i="1"/>
  <c r="F240" i="1"/>
  <c r="F1588" i="1"/>
  <c r="F4429" i="1"/>
  <c r="D4429" i="1"/>
  <c r="C4430" i="1"/>
  <c r="C1589" i="1"/>
  <c r="D1588" i="1"/>
  <c r="C741" i="1"/>
  <c r="D740" i="1"/>
  <c r="C241" i="1"/>
  <c r="D240" i="1"/>
  <c r="H4429" i="1" l="1"/>
  <c r="J4429" i="1" s="1"/>
  <c r="H1588" i="1"/>
  <c r="J1588" i="1" s="1"/>
  <c r="I4713" i="1"/>
  <c r="H1391" i="1"/>
  <c r="J1390" i="1"/>
  <c r="I1390" i="1"/>
  <c r="H239" i="1"/>
  <c r="J238" i="1"/>
  <c r="I238" i="1"/>
  <c r="H4714" i="1"/>
  <c r="J4714" i="1" s="1"/>
  <c r="I1587" i="1"/>
  <c r="I4428" i="1"/>
  <c r="F4715" i="1"/>
  <c r="D4715" i="1"/>
  <c r="C4716" i="1"/>
  <c r="G4716" i="1" s="1"/>
  <c r="F241" i="1"/>
  <c r="F741" i="1"/>
  <c r="F1589" i="1"/>
  <c r="F4430" i="1"/>
  <c r="C4431" i="1"/>
  <c r="D4430" i="1"/>
  <c r="C1590" i="1"/>
  <c r="D1589" i="1"/>
  <c r="C242" i="1"/>
  <c r="D241" i="1"/>
  <c r="C742" i="1"/>
  <c r="D741" i="1"/>
  <c r="I4714" i="1" l="1"/>
  <c r="H1589" i="1"/>
  <c r="J1589" i="1" s="1"/>
  <c r="H1392" i="1"/>
  <c r="J1391" i="1"/>
  <c r="I1391" i="1"/>
  <c r="I1588" i="1"/>
  <c r="H4715" i="1"/>
  <c r="J4715" i="1" s="1"/>
  <c r="I4429" i="1"/>
  <c r="H4430" i="1"/>
  <c r="J4430" i="1" s="1"/>
  <c r="H240" i="1"/>
  <c r="J239" i="1"/>
  <c r="I239" i="1"/>
  <c r="C4717" i="1"/>
  <c r="G4717" i="1" s="1"/>
  <c r="F4716" i="1"/>
  <c r="D4716" i="1"/>
  <c r="F742" i="1"/>
  <c r="F242" i="1"/>
  <c r="F1590" i="1"/>
  <c r="F4431" i="1"/>
  <c r="C4432" i="1"/>
  <c r="D4431" i="1"/>
  <c r="C1591" i="1"/>
  <c r="D1590" i="1"/>
  <c r="C743" i="1"/>
  <c r="D742" i="1"/>
  <c r="C243" i="1"/>
  <c r="D242" i="1"/>
  <c r="I4715" i="1" l="1"/>
  <c r="H4431" i="1"/>
  <c r="J4431" i="1" s="1"/>
  <c r="H4716" i="1"/>
  <c r="J4716" i="1" s="1"/>
  <c r="H241" i="1"/>
  <c r="J240" i="1"/>
  <c r="I240" i="1"/>
  <c r="I4430" i="1"/>
  <c r="I1589" i="1"/>
  <c r="H1393" i="1"/>
  <c r="J1392" i="1"/>
  <c r="I1392" i="1"/>
  <c r="H1590" i="1"/>
  <c r="J1590" i="1" s="1"/>
  <c r="F4717" i="1"/>
  <c r="D4717" i="1"/>
  <c r="C4718" i="1"/>
  <c r="G4718" i="1" s="1"/>
  <c r="F243" i="1"/>
  <c r="F743" i="1"/>
  <c r="F1591" i="1"/>
  <c r="F4432" i="1"/>
  <c r="D4432" i="1"/>
  <c r="C4433" i="1"/>
  <c r="C1592" i="1"/>
  <c r="D1591" i="1"/>
  <c r="C244" i="1"/>
  <c r="D243" i="1"/>
  <c r="C744" i="1"/>
  <c r="D743" i="1"/>
  <c r="I4431" i="1" l="1"/>
  <c r="I1590" i="1"/>
  <c r="H1591" i="1"/>
  <c r="J1591" i="1" s="1"/>
  <c r="H4717" i="1"/>
  <c r="J4717" i="1" s="1"/>
  <c r="H1394" i="1"/>
  <c r="J1393" i="1"/>
  <c r="I1393" i="1"/>
  <c r="H242" i="1"/>
  <c r="J241" i="1"/>
  <c r="I241" i="1"/>
  <c r="H4432" i="1"/>
  <c r="J4432" i="1" s="1"/>
  <c r="I4716" i="1"/>
  <c r="F4718" i="1"/>
  <c r="D4718" i="1"/>
  <c r="C4719" i="1"/>
  <c r="G4719" i="1" s="1"/>
  <c r="F744" i="1"/>
  <c r="F244" i="1"/>
  <c r="F1592" i="1"/>
  <c r="F4433" i="1"/>
  <c r="D4433" i="1"/>
  <c r="C4434" i="1"/>
  <c r="C1593" i="1"/>
  <c r="D1592" i="1"/>
  <c r="C745" i="1"/>
  <c r="D744" i="1"/>
  <c r="C245" i="1"/>
  <c r="D244" i="1"/>
  <c r="I4717" i="1" l="1"/>
  <c r="H1592" i="1"/>
  <c r="J1592" i="1" s="1"/>
  <c r="H4718" i="1"/>
  <c r="J4718" i="1" s="1"/>
  <c r="H243" i="1"/>
  <c r="J242" i="1"/>
  <c r="I242" i="1"/>
  <c r="I1591" i="1"/>
  <c r="H4433" i="1"/>
  <c r="J4433" i="1" s="1"/>
  <c r="I4432" i="1"/>
  <c r="H1395" i="1"/>
  <c r="J1394" i="1"/>
  <c r="I1394" i="1"/>
  <c r="C4720" i="1"/>
  <c r="D4719" i="1"/>
  <c r="F4719" i="1"/>
  <c r="F245" i="1"/>
  <c r="F745" i="1"/>
  <c r="F1593" i="1"/>
  <c r="F4434" i="1"/>
  <c r="D4434" i="1"/>
  <c r="C4435" i="1"/>
  <c r="D1593" i="1"/>
  <c r="C1594" i="1"/>
  <c r="C246" i="1"/>
  <c r="D245" i="1"/>
  <c r="C746" i="1"/>
  <c r="D745" i="1"/>
  <c r="H4719" i="1" l="1"/>
  <c r="I4719" i="1" s="1"/>
  <c r="G4720" i="1"/>
  <c r="J4720" i="1" s="1"/>
  <c r="H1593" i="1"/>
  <c r="J1593" i="1" s="1"/>
  <c r="I1592" i="1"/>
  <c r="H4434" i="1"/>
  <c r="J4434" i="1" s="1"/>
  <c r="H1396" i="1"/>
  <c r="J1395" i="1"/>
  <c r="I1395" i="1"/>
  <c r="I4433" i="1"/>
  <c r="H244" i="1"/>
  <c r="J243" i="1"/>
  <c r="I243" i="1"/>
  <c r="I4718" i="1"/>
  <c r="C4721" i="1"/>
  <c r="F4720" i="1"/>
  <c r="D4720" i="1"/>
  <c r="F746" i="1"/>
  <c r="F246" i="1"/>
  <c r="F1594" i="1"/>
  <c r="C4436" i="1"/>
  <c r="F4435" i="1"/>
  <c r="D4435" i="1"/>
  <c r="C1595" i="1"/>
  <c r="D1594" i="1"/>
  <c r="C747" i="1"/>
  <c r="D746" i="1"/>
  <c r="C247" i="1"/>
  <c r="D246" i="1"/>
  <c r="J4719" i="1" l="1"/>
  <c r="G4721" i="1"/>
  <c r="J4721" i="1" s="1"/>
  <c r="I1593" i="1"/>
  <c r="H1594" i="1"/>
  <c r="J1594" i="1" s="1"/>
  <c r="H1397" i="1"/>
  <c r="J1396" i="1"/>
  <c r="I1396" i="1"/>
  <c r="H4435" i="1"/>
  <c r="J4435" i="1" s="1"/>
  <c r="H245" i="1"/>
  <c r="J244" i="1"/>
  <c r="I244" i="1"/>
  <c r="I4434" i="1"/>
  <c r="H4720" i="1"/>
  <c r="I4720" i="1" s="1"/>
  <c r="F4721" i="1"/>
  <c r="D4721" i="1"/>
  <c r="C4722" i="1"/>
  <c r="G4722" i="1" s="1"/>
  <c r="F247" i="1"/>
  <c r="F747" i="1"/>
  <c r="F1595" i="1"/>
  <c r="F4436" i="1"/>
  <c r="C4437" i="1"/>
  <c r="D4436" i="1"/>
  <c r="D1595" i="1"/>
  <c r="C1596" i="1"/>
  <c r="C248" i="1"/>
  <c r="D247" i="1"/>
  <c r="C748" i="1"/>
  <c r="D747" i="1"/>
  <c r="H1595" i="1" l="1"/>
  <c r="J1595" i="1" s="1"/>
  <c r="H1398" i="1"/>
  <c r="J1397" i="1"/>
  <c r="I1397" i="1"/>
  <c r="H4436" i="1"/>
  <c r="J4436" i="1" s="1"/>
  <c r="H4721" i="1"/>
  <c r="I4721" i="1" s="1"/>
  <c r="H246" i="1"/>
  <c r="J245" i="1"/>
  <c r="I245" i="1"/>
  <c r="I1594" i="1"/>
  <c r="I4435" i="1"/>
  <c r="F4722" i="1"/>
  <c r="C4723" i="1"/>
  <c r="G4723" i="1" s="1"/>
  <c r="D4722" i="1"/>
  <c r="F748" i="1"/>
  <c r="F248" i="1"/>
  <c r="F1596" i="1"/>
  <c r="D4437" i="1"/>
  <c r="F4437" i="1"/>
  <c r="C4438" i="1"/>
  <c r="C1597" i="1"/>
  <c r="D1596" i="1"/>
  <c r="C749" i="1"/>
  <c r="D748" i="1"/>
  <c r="C249" i="1"/>
  <c r="D248" i="1"/>
  <c r="H1399" i="1" l="1"/>
  <c r="J1398" i="1"/>
  <c r="I1398" i="1"/>
  <c r="H4722" i="1"/>
  <c r="J4722" i="1" s="1"/>
  <c r="H247" i="1"/>
  <c r="J246" i="1"/>
  <c r="I246" i="1"/>
  <c r="H4437" i="1"/>
  <c r="J4437" i="1" s="1"/>
  <c r="H1596" i="1"/>
  <c r="J1596" i="1" s="1"/>
  <c r="I4436" i="1"/>
  <c r="I1595" i="1"/>
  <c r="F4723" i="1"/>
  <c r="D4723" i="1"/>
  <c r="C4724" i="1"/>
  <c r="G4724" i="1" s="1"/>
  <c r="F249" i="1"/>
  <c r="F749" i="1"/>
  <c r="F1597" i="1"/>
  <c r="C4439" i="1"/>
  <c r="D4438" i="1"/>
  <c r="F4438" i="1"/>
  <c r="C1598" i="1"/>
  <c r="D1597" i="1"/>
  <c r="C250" i="1"/>
  <c r="D249" i="1"/>
  <c r="C750" i="1"/>
  <c r="D749" i="1"/>
  <c r="H4723" i="1" l="1"/>
  <c r="I4723" i="1" s="1"/>
  <c r="I4722" i="1"/>
  <c r="I4437" i="1"/>
  <c r="H1597" i="1"/>
  <c r="J1597" i="1" s="1"/>
  <c r="I1596" i="1"/>
  <c r="H4438" i="1"/>
  <c r="J4438" i="1" s="1"/>
  <c r="H1400" i="1"/>
  <c r="J1399" i="1"/>
  <c r="I1399" i="1"/>
  <c r="H248" i="1"/>
  <c r="J247" i="1"/>
  <c r="I247" i="1"/>
  <c r="D4724" i="1"/>
  <c r="C4725" i="1"/>
  <c r="G4725" i="1" s="1"/>
  <c r="F4724" i="1"/>
  <c r="F750" i="1"/>
  <c r="F250" i="1"/>
  <c r="F1598" i="1"/>
  <c r="F4439" i="1"/>
  <c r="D4439" i="1"/>
  <c r="C4440" i="1"/>
  <c r="C1599" i="1"/>
  <c r="D1598" i="1"/>
  <c r="C751" i="1"/>
  <c r="D750" i="1"/>
  <c r="C251" i="1"/>
  <c r="D250" i="1"/>
  <c r="J4723" i="1" l="1"/>
  <c r="I4438" i="1"/>
  <c r="H4724" i="1"/>
  <c r="J4724" i="1" s="1"/>
  <c r="H1401" i="1"/>
  <c r="J1400" i="1"/>
  <c r="I1400" i="1"/>
  <c r="H4439" i="1"/>
  <c r="J4439" i="1" s="1"/>
  <c r="H249" i="1"/>
  <c r="J248" i="1"/>
  <c r="I248" i="1"/>
  <c r="I1597" i="1"/>
  <c r="H1598" i="1"/>
  <c r="J1598" i="1" s="1"/>
  <c r="D4725" i="1"/>
  <c r="C4726" i="1"/>
  <c r="G4726" i="1" s="1"/>
  <c r="F4725" i="1"/>
  <c r="F251" i="1"/>
  <c r="F751" i="1"/>
  <c r="F1599" i="1"/>
  <c r="C4441" i="1"/>
  <c r="D4440" i="1"/>
  <c r="F4440" i="1"/>
  <c r="D1599" i="1"/>
  <c r="C1600" i="1"/>
  <c r="C252" i="1"/>
  <c r="D251" i="1"/>
  <c r="C752" i="1"/>
  <c r="D751" i="1"/>
  <c r="I4439" i="1" l="1"/>
  <c r="I1598" i="1"/>
  <c r="H4440" i="1"/>
  <c r="J4440" i="1" s="1"/>
  <c r="H1599" i="1"/>
  <c r="J1599" i="1" s="1"/>
  <c r="I4724" i="1"/>
  <c r="H4725" i="1"/>
  <c r="J4725" i="1" s="1"/>
  <c r="H1402" i="1"/>
  <c r="J1401" i="1"/>
  <c r="I1401" i="1"/>
  <c r="H250" i="1"/>
  <c r="J249" i="1"/>
  <c r="I249" i="1"/>
  <c r="C4727" i="1"/>
  <c r="D4726" i="1"/>
  <c r="F4726" i="1"/>
  <c r="F752" i="1"/>
  <c r="F252" i="1"/>
  <c r="F1600" i="1"/>
  <c r="F4441" i="1"/>
  <c r="D4441" i="1"/>
  <c r="C4442" i="1"/>
  <c r="C1601" i="1"/>
  <c r="D1600" i="1"/>
  <c r="C753" i="1"/>
  <c r="D752" i="1"/>
  <c r="C253" i="1"/>
  <c r="D252" i="1"/>
  <c r="H4726" i="1" l="1"/>
  <c r="I4726" i="1" s="1"/>
  <c r="G4727" i="1"/>
  <c r="J4727" i="1" s="1"/>
  <c r="H4441" i="1"/>
  <c r="J4441" i="1" s="1"/>
  <c r="H251" i="1"/>
  <c r="J250" i="1"/>
  <c r="I250" i="1"/>
  <c r="H1600" i="1"/>
  <c r="J1600" i="1" s="1"/>
  <c r="I1599" i="1"/>
  <c r="H1403" i="1"/>
  <c r="J1402" i="1"/>
  <c r="I1402" i="1"/>
  <c r="I4440" i="1"/>
  <c r="I4725" i="1"/>
  <c r="D4727" i="1"/>
  <c r="F4727" i="1"/>
  <c r="C4728" i="1"/>
  <c r="F253" i="1"/>
  <c r="F753" i="1"/>
  <c r="F1601" i="1"/>
  <c r="F4442" i="1"/>
  <c r="C4443" i="1"/>
  <c r="D4442" i="1"/>
  <c r="D1601" i="1"/>
  <c r="C1602" i="1"/>
  <c r="C254" i="1"/>
  <c r="D253" i="1"/>
  <c r="C754" i="1"/>
  <c r="D753" i="1"/>
  <c r="J4726" i="1" l="1"/>
  <c r="G4728" i="1"/>
  <c r="J4728" i="1" s="1"/>
  <c r="I1600" i="1"/>
  <c r="H4727" i="1"/>
  <c r="I4727" i="1" s="1"/>
  <c r="H4442" i="1"/>
  <c r="J4442" i="1" s="1"/>
  <c r="H252" i="1"/>
  <c r="J251" i="1"/>
  <c r="I251" i="1"/>
  <c r="H1601" i="1"/>
  <c r="J1601" i="1" s="1"/>
  <c r="I4441" i="1"/>
  <c r="H1404" i="1"/>
  <c r="J1403" i="1"/>
  <c r="I1403" i="1"/>
  <c r="F4728" i="1"/>
  <c r="D4728" i="1"/>
  <c r="C4729" i="1"/>
  <c r="G4729" i="1" s="1"/>
  <c r="F754" i="1"/>
  <c r="F254" i="1"/>
  <c r="F1602" i="1"/>
  <c r="F4443" i="1"/>
  <c r="D4443" i="1"/>
  <c r="C4444" i="1"/>
  <c r="C1603" i="1"/>
  <c r="D1602" i="1"/>
  <c r="C755" i="1"/>
  <c r="D754" i="1"/>
  <c r="C255" i="1"/>
  <c r="D254" i="1"/>
  <c r="H1405" i="1" l="1"/>
  <c r="J1404" i="1"/>
  <c r="I1404" i="1"/>
  <c r="H253" i="1"/>
  <c r="J252" i="1"/>
  <c r="I252" i="1"/>
  <c r="H4728" i="1"/>
  <c r="I4728" i="1" s="1"/>
  <c r="H4443" i="1"/>
  <c r="J4443" i="1" s="1"/>
  <c r="H1602" i="1"/>
  <c r="J1602" i="1" s="1"/>
  <c r="I1601" i="1"/>
  <c r="I4442" i="1"/>
  <c r="F4729" i="1"/>
  <c r="D4729" i="1"/>
  <c r="C4730" i="1"/>
  <c r="G4730" i="1" s="1"/>
  <c r="F255" i="1"/>
  <c r="F755" i="1"/>
  <c r="F1603" i="1"/>
  <c r="F4444" i="1"/>
  <c r="D4444" i="1"/>
  <c r="C4445" i="1"/>
  <c r="C1604" i="1"/>
  <c r="D1603" i="1"/>
  <c r="C256" i="1"/>
  <c r="D255" i="1"/>
  <c r="C756" i="1"/>
  <c r="D755" i="1"/>
  <c r="I4443" i="1" l="1"/>
  <c r="H4444" i="1"/>
  <c r="J4444" i="1" s="1"/>
  <c r="H1406" i="1"/>
  <c r="J1405" i="1"/>
  <c r="I1405" i="1"/>
  <c r="H4729" i="1"/>
  <c r="I4729" i="1" s="1"/>
  <c r="H254" i="1"/>
  <c r="J253" i="1"/>
  <c r="I253" i="1"/>
  <c r="H1603" i="1"/>
  <c r="J1603" i="1" s="1"/>
  <c r="I1602" i="1"/>
  <c r="F4730" i="1"/>
  <c r="C4731" i="1"/>
  <c r="G4731" i="1" s="1"/>
  <c r="D4730" i="1"/>
  <c r="F756" i="1"/>
  <c r="F256" i="1"/>
  <c r="F1604" i="1"/>
  <c r="F4445" i="1"/>
  <c r="D4445" i="1"/>
  <c r="C4446" i="1"/>
  <c r="C1605" i="1"/>
  <c r="D1604" i="1"/>
  <c r="C757" i="1"/>
  <c r="D756" i="1"/>
  <c r="C257" i="1"/>
  <c r="D256" i="1"/>
  <c r="I1603" i="1" l="1"/>
  <c r="H1604" i="1"/>
  <c r="J1604" i="1" s="1"/>
  <c r="I4444" i="1"/>
  <c r="H4730" i="1"/>
  <c r="I4730" i="1" s="1"/>
  <c r="J4729" i="1"/>
  <c r="H4445" i="1"/>
  <c r="J4445" i="1" s="1"/>
  <c r="H255" i="1"/>
  <c r="J254" i="1"/>
  <c r="I254" i="1"/>
  <c r="H756" i="1"/>
  <c r="J756" i="1" s="1"/>
  <c r="H1407" i="1"/>
  <c r="J1406" i="1"/>
  <c r="I1406" i="1"/>
  <c r="F4731" i="1"/>
  <c r="C4732" i="1"/>
  <c r="G4732" i="1" s="1"/>
  <c r="D4731" i="1"/>
  <c r="F257" i="1"/>
  <c r="F757" i="1"/>
  <c r="F1605" i="1"/>
  <c r="D4446" i="1"/>
  <c r="F4446" i="1"/>
  <c r="C4447" i="1"/>
  <c r="C1606" i="1"/>
  <c r="D1605" i="1"/>
  <c r="C258" i="1"/>
  <c r="D257" i="1"/>
  <c r="C758" i="1"/>
  <c r="D757" i="1"/>
  <c r="I756" i="1" l="1"/>
  <c r="H256" i="1"/>
  <c r="J255" i="1"/>
  <c r="I255" i="1"/>
  <c r="H4731" i="1"/>
  <c r="J4731" i="1" s="1"/>
  <c r="J4730" i="1"/>
  <c r="H4446" i="1"/>
  <c r="J4446" i="1" s="1"/>
  <c r="H1408" i="1"/>
  <c r="J1407" i="1"/>
  <c r="I1407" i="1"/>
  <c r="I1604" i="1"/>
  <c r="H1605" i="1"/>
  <c r="J1605" i="1" s="1"/>
  <c r="H757" i="1"/>
  <c r="I757" i="1" s="1"/>
  <c r="I4445" i="1"/>
  <c r="D4732" i="1"/>
  <c r="C4733" i="1"/>
  <c r="G4733" i="1" s="1"/>
  <c r="F4732" i="1"/>
  <c r="F758" i="1"/>
  <c r="F258" i="1"/>
  <c r="F1606" i="1"/>
  <c r="F4447" i="1"/>
  <c r="C4448" i="1"/>
  <c r="D4447" i="1"/>
  <c r="C1607" i="1"/>
  <c r="D1606" i="1"/>
  <c r="C759" i="1"/>
  <c r="D758" i="1"/>
  <c r="C259" i="1"/>
  <c r="D258" i="1"/>
  <c r="I4731" i="1" l="1"/>
  <c r="H4447" i="1"/>
  <c r="J4447" i="1" s="1"/>
  <c r="H1606" i="1"/>
  <c r="J1606" i="1" s="1"/>
  <c r="I4446" i="1"/>
  <c r="H4732" i="1"/>
  <c r="J4732" i="1" s="1"/>
  <c r="H758" i="1"/>
  <c r="J758" i="1" s="1"/>
  <c r="J757" i="1"/>
  <c r="I1605" i="1"/>
  <c r="H1409" i="1"/>
  <c r="J1408" i="1"/>
  <c r="I1408" i="1"/>
  <c r="H257" i="1"/>
  <c r="J256" i="1"/>
  <c r="I256" i="1"/>
  <c r="C4734" i="1"/>
  <c r="F4733" i="1"/>
  <c r="D4733" i="1"/>
  <c r="F259" i="1"/>
  <c r="F759" i="1"/>
  <c r="F1607" i="1"/>
  <c r="C4449" i="1"/>
  <c r="F4448" i="1"/>
  <c r="D4448" i="1"/>
  <c r="C1608" i="1"/>
  <c r="D1607" i="1"/>
  <c r="C260" i="1"/>
  <c r="D259" i="1"/>
  <c r="C760" i="1"/>
  <c r="D759" i="1"/>
  <c r="G4734" i="1" l="1"/>
  <c r="J4734" i="1" s="1"/>
  <c r="H4733" i="1"/>
  <c r="I4733" i="1" s="1"/>
  <c r="H4448" i="1"/>
  <c r="J4448" i="1" s="1"/>
  <c r="I758" i="1"/>
  <c r="H1607" i="1"/>
  <c r="J1607" i="1" s="1"/>
  <c r="I1606" i="1"/>
  <c r="H258" i="1"/>
  <c r="J257" i="1"/>
  <c r="I257" i="1"/>
  <c r="H759" i="1"/>
  <c r="H1410" i="1"/>
  <c r="J1409" i="1"/>
  <c r="I1409" i="1"/>
  <c r="I4732" i="1"/>
  <c r="I4447" i="1"/>
  <c r="C4735" i="1"/>
  <c r="F4734" i="1"/>
  <c r="D4734" i="1"/>
  <c r="F760" i="1"/>
  <c r="F260" i="1"/>
  <c r="F1608" i="1"/>
  <c r="F4449" i="1"/>
  <c r="C4450" i="1"/>
  <c r="D4449" i="1"/>
  <c r="C1609" i="1"/>
  <c r="D1608" i="1"/>
  <c r="C761" i="1"/>
  <c r="D760" i="1"/>
  <c r="C261" i="1"/>
  <c r="D260" i="1"/>
  <c r="J4733" i="1" l="1"/>
  <c r="G4735" i="1"/>
  <c r="J4735" i="1" s="1"/>
  <c r="H4449" i="1"/>
  <c r="J4449" i="1" s="1"/>
  <c r="I1607" i="1"/>
  <c r="H1608" i="1"/>
  <c r="J1608" i="1" s="1"/>
  <c r="I4448" i="1"/>
  <c r="H760" i="1"/>
  <c r="J759" i="1"/>
  <c r="H4734" i="1"/>
  <c r="I4734" i="1" s="1"/>
  <c r="H1411" i="1"/>
  <c r="J1410" i="1"/>
  <c r="I1410" i="1"/>
  <c r="H259" i="1"/>
  <c r="J258" i="1"/>
  <c r="I258" i="1"/>
  <c r="I759" i="1"/>
  <c r="D4735" i="1"/>
  <c r="F4735" i="1"/>
  <c r="C4736" i="1"/>
  <c r="G4736" i="1" s="1"/>
  <c r="F261" i="1"/>
  <c r="F761" i="1"/>
  <c r="F1609" i="1"/>
  <c r="C4451" i="1"/>
  <c r="D4450" i="1"/>
  <c r="F4450" i="1"/>
  <c r="C1610" i="1"/>
  <c r="D1609" i="1"/>
  <c r="C262" i="1"/>
  <c r="D261" i="1"/>
  <c r="C762" i="1"/>
  <c r="D761" i="1"/>
  <c r="H4735" i="1" l="1"/>
  <c r="I4735" i="1" s="1"/>
  <c r="I1608" i="1"/>
  <c r="H260" i="1"/>
  <c r="J259" i="1"/>
  <c r="I259" i="1"/>
  <c r="H4450" i="1"/>
  <c r="J4450" i="1" s="1"/>
  <c r="H1412" i="1"/>
  <c r="J1411" i="1"/>
  <c r="I1411" i="1"/>
  <c r="H761" i="1"/>
  <c r="I761" i="1" s="1"/>
  <c r="J760" i="1"/>
  <c r="H1609" i="1"/>
  <c r="J1609" i="1" s="1"/>
  <c r="I760" i="1"/>
  <c r="I4449" i="1"/>
  <c r="C4737" i="1"/>
  <c r="G4737" i="1" s="1"/>
  <c r="F4736" i="1"/>
  <c r="D4736" i="1"/>
  <c r="F762" i="1"/>
  <c r="F262" i="1"/>
  <c r="F1610" i="1"/>
  <c r="F4451" i="1"/>
  <c r="C4452" i="1"/>
  <c r="D4451" i="1"/>
  <c r="C1611" i="1"/>
  <c r="D1610" i="1"/>
  <c r="C763" i="1"/>
  <c r="D762" i="1"/>
  <c r="C263" i="1"/>
  <c r="D262" i="1"/>
  <c r="H1413" i="1" l="1"/>
  <c r="J1412" i="1"/>
  <c r="I1412" i="1"/>
  <c r="I1609" i="1"/>
  <c r="I4450" i="1"/>
  <c r="H4736" i="1"/>
  <c r="J4736" i="1" s="1"/>
  <c r="H261" i="1"/>
  <c r="J260" i="1"/>
  <c r="I260" i="1"/>
  <c r="H762" i="1"/>
  <c r="I762" i="1" s="1"/>
  <c r="J761" i="1"/>
  <c r="H4451" i="1"/>
  <c r="J4451" i="1" s="1"/>
  <c r="H1610" i="1"/>
  <c r="J1610" i="1" s="1"/>
  <c r="D4737" i="1"/>
  <c r="F4737" i="1"/>
  <c r="C4738" i="1"/>
  <c r="G4738" i="1" s="1"/>
  <c r="F263" i="1"/>
  <c r="F763" i="1"/>
  <c r="F1611" i="1"/>
  <c r="F4452" i="1"/>
  <c r="C4453" i="1"/>
  <c r="D4452" i="1"/>
  <c r="C1612" i="1"/>
  <c r="D1611" i="1"/>
  <c r="C264" i="1"/>
  <c r="D263" i="1"/>
  <c r="C764" i="1"/>
  <c r="D763" i="1"/>
  <c r="I4736" i="1" l="1"/>
  <c r="H1611" i="1"/>
  <c r="J1611" i="1" s="1"/>
  <c r="I1610" i="1"/>
  <c r="H4452" i="1"/>
  <c r="J4452" i="1" s="1"/>
  <c r="I4451" i="1"/>
  <c r="H1414" i="1"/>
  <c r="J1413" i="1"/>
  <c r="I1413" i="1"/>
  <c r="H4737" i="1"/>
  <c r="I4737" i="1" s="1"/>
  <c r="H262" i="1"/>
  <c r="J261" i="1"/>
  <c r="I261" i="1"/>
  <c r="H763" i="1"/>
  <c r="J762" i="1"/>
  <c r="C4739" i="1"/>
  <c r="G4739" i="1" s="1"/>
  <c r="F4738" i="1"/>
  <c r="D4738" i="1"/>
  <c r="F764" i="1"/>
  <c r="F264" i="1"/>
  <c r="F1612" i="1"/>
  <c r="F4453" i="1"/>
  <c r="C4454" i="1"/>
  <c r="D4453" i="1"/>
  <c r="D1612" i="1"/>
  <c r="C1613" i="1"/>
  <c r="C765" i="1"/>
  <c r="D764" i="1"/>
  <c r="C265" i="1"/>
  <c r="D264" i="1"/>
  <c r="H1415" i="1" l="1"/>
  <c r="J1414" i="1"/>
  <c r="I1414" i="1"/>
  <c r="H4738" i="1"/>
  <c r="J4738" i="1" s="1"/>
  <c r="J4737" i="1"/>
  <c r="I4452" i="1"/>
  <c r="H764" i="1"/>
  <c r="J763" i="1"/>
  <c r="I1611" i="1"/>
  <c r="H4453" i="1"/>
  <c r="J4453" i="1" s="1"/>
  <c r="H1612" i="1"/>
  <c r="J1612" i="1" s="1"/>
  <c r="H263" i="1"/>
  <c r="J262" i="1"/>
  <c r="I262" i="1"/>
  <c r="I763" i="1"/>
  <c r="D4739" i="1"/>
  <c r="C4740" i="1"/>
  <c r="G4740" i="1" s="1"/>
  <c r="F4739" i="1"/>
  <c r="F265" i="1"/>
  <c r="F765" i="1"/>
  <c r="F1613" i="1"/>
  <c r="F4454" i="1"/>
  <c r="C4455" i="1"/>
  <c r="D4454" i="1"/>
  <c r="C1614" i="1"/>
  <c r="D1613" i="1"/>
  <c r="C266" i="1"/>
  <c r="D265" i="1"/>
  <c r="C766" i="1"/>
  <c r="D765" i="1"/>
  <c r="H4739" i="1" l="1"/>
  <c r="J4739" i="1" s="1"/>
  <c r="I4738" i="1"/>
  <c r="I4453" i="1"/>
  <c r="H765" i="1"/>
  <c r="I765" i="1" s="1"/>
  <c r="J764" i="1"/>
  <c r="I1612" i="1"/>
  <c r="I764" i="1"/>
  <c r="H1613" i="1"/>
  <c r="J1613" i="1" s="1"/>
  <c r="H264" i="1"/>
  <c r="J263" i="1"/>
  <c r="I263" i="1"/>
  <c r="H4454" i="1"/>
  <c r="J4454" i="1" s="1"/>
  <c r="H1416" i="1"/>
  <c r="J1415" i="1"/>
  <c r="I1415" i="1"/>
  <c r="C4741" i="1"/>
  <c r="F4740" i="1"/>
  <c r="D4740" i="1"/>
  <c r="F766" i="1"/>
  <c r="F266" i="1"/>
  <c r="F1614" i="1"/>
  <c r="C4456" i="1"/>
  <c r="D4455" i="1"/>
  <c r="F4455" i="1"/>
  <c r="D1614" i="1"/>
  <c r="C1615" i="1"/>
  <c r="C767" i="1"/>
  <c r="D766" i="1"/>
  <c r="C267" i="1"/>
  <c r="D266" i="1"/>
  <c r="H4740" i="1" l="1"/>
  <c r="I4740" i="1" s="1"/>
  <c r="I4739" i="1"/>
  <c r="G4741" i="1"/>
  <c r="J4741" i="1" s="1"/>
  <c r="H1417" i="1"/>
  <c r="J1416" i="1"/>
  <c r="I1416" i="1"/>
  <c r="H1614" i="1"/>
  <c r="J1614" i="1" s="1"/>
  <c r="H265" i="1"/>
  <c r="J264" i="1"/>
  <c r="I264" i="1"/>
  <c r="I1613" i="1"/>
  <c r="J4740" i="1"/>
  <c r="H4455" i="1"/>
  <c r="J4455" i="1" s="1"/>
  <c r="I4454" i="1"/>
  <c r="H766" i="1"/>
  <c r="I766" i="1" s="1"/>
  <c r="J765" i="1"/>
  <c r="D4741" i="1"/>
  <c r="F4741" i="1"/>
  <c r="C4742" i="1"/>
  <c r="F267" i="1"/>
  <c r="F767" i="1"/>
  <c r="F1615" i="1"/>
  <c r="C4457" i="1"/>
  <c r="D4456" i="1"/>
  <c r="F4456" i="1"/>
  <c r="C1616" i="1"/>
  <c r="D1615" i="1"/>
  <c r="C268" i="1"/>
  <c r="D267" i="1"/>
  <c r="C768" i="1"/>
  <c r="D767" i="1"/>
  <c r="G4742" i="1" l="1"/>
  <c r="J4742" i="1" s="1"/>
  <c r="I4455" i="1"/>
  <c r="H266" i="1"/>
  <c r="J265" i="1"/>
  <c r="I265" i="1"/>
  <c r="H4741" i="1"/>
  <c r="I4741" i="1" s="1"/>
  <c r="H767" i="1"/>
  <c r="J766" i="1"/>
  <c r="H4456" i="1"/>
  <c r="J4456" i="1" s="1"/>
  <c r="I1614" i="1"/>
  <c r="H1615" i="1"/>
  <c r="J1615" i="1" s="1"/>
  <c r="H1418" i="1"/>
  <c r="J1417" i="1"/>
  <c r="I1417" i="1"/>
  <c r="D4742" i="1"/>
  <c r="F4742" i="1"/>
  <c r="C4743" i="1"/>
  <c r="G4743" i="1" s="1"/>
  <c r="F768" i="1"/>
  <c r="F268" i="1"/>
  <c r="F1616" i="1"/>
  <c r="D4457" i="1"/>
  <c r="F4457" i="1"/>
  <c r="C4458" i="1"/>
  <c r="D1616" i="1"/>
  <c r="C1617" i="1"/>
  <c r="C769" i="1"/>
  <c r="D768" i="1"/>
  <c r="C269" i="1"/>
  <c r="D268" i="1"/>
  <c r="H4457" i="1" l="1"/>
  <c r="J4457" i="1" s="1"/>
  <c r="I4456" i="1"/>
  <c r="H267" i="1"/>
  <c r="J266" i="1"/>
  <c r="I266" i="1"/>
  <c r="I1615" i="1"/>
  <c r="H768" i="1"/>
  <c r="I768" i="1" s="1"/>
  <c r="J767" i="1"/>
  <c r="I767" i="1"/>
  <c r="H1419" i="1"/>
  <c r="J1418" i="1"/>
  <c r="I1418" i="1"/>
  <c r="H1616" i="1"/>
  <c r="J1616" i="1" s="1"/>
  <c r="H4742" i="1"/>
  <c r="I4742" i="1" s="1"/>
  <c r="C4744" i="1"/>
  <c r="G4744" i="1" s="1"/>
  <c r="D4743" i="1"/>
  <c r="F4743" i="1"/>
  <c r="F269" i="1"/>
  <c r="F769" i="1"/>
  <c r="F1617" i="1"/>
  <c r="F4458" i="1"/>
  <c r="C4459" i="1"/>
  <c r="D4458" i="1"/>
  <c r="C1618" i="1"/>
  <c r="D1617" i="1"/>
  <c r="C270" i="1"/>
  <c r="D269" i="1"/>
  <c r="C770" i="1"/>
  <c r="D769" i="1"/>
  <c r="I1616" i="1" l="1"/>
  <c r="H1420" i="1"/>
  <c r="J1419" i="1"/>
  <c r="I1419" i="1"/>
  <c r="H268" i="1"/>
  <c r="J267" i="1"/>
  <c r="I267" i="1"/>
  <c r="H4458" i="1"/>
  <c r="J4458" i="1" s="1"/>
  <c r="H4743" i="1"/>
  <c r="J4743" i="1" s="1"/>
  <c r="H769" i="1"/>
  <c r="I769" i="1" s="1"/>
  <c r="J768" i="1"/>
  <c r="H1617" i="1"/>
  <c r="J1617" i="1" s="1"/>
  <c r="I4457" i="1"/>
  <c r="F4744" i="1"/>
  <c r="C4745" i="1"/>
  <c r="G4745" i="1" s="1"/>
  <c r="D4744" i="1"/>
  <c r="F770" i="1"/>
  <c r="F270" i="1"/>
  <c r="F1618" i="1"/>
  <c r="C4460" i="1"/>
  <c r="F4459" i="1"/>
  <c r="D4459" i="1"/>
  <c r="C1619" i="1"/>
  <c r="D1618" i="1"/>
  <c r="C771" i="1"/>
  <c r="D770" i="1"/>
  <c r="C271" i="1"/>
  <c r="D270" i="1"/>
  <c r="H1421" i="1" l="1"/>
  <c r="J1420" i="1"/>
  <c r="I1420" i="1"/>
  <c r="I4743" i="1"/>
  <c r="H269" i="1"/>
  <c r="J268" i="1"/>
  <c r="I268" i="1"/>
  <c r="H4744" i="1"/>
  <c r="J4744" i="1" s="1"/>
  <c r="H4459" i="1"/>
  <c r="J4459" i="1" s="1"/>
  <c r="I1617" i="1"/>
  <c r="H1618" i="1"/>
  <c r="J1618" i="1" s="1"/>
  <c r="I4458" i="1"/>
  <c r="H770" i="1"/>
  <c r="I770" i="1" s="1"/>
  <c r="J769" i="1"/>
  <c r="F4745" i="1"/>
  <c r="C4746" i="1"/>
  <c r="G4746" i="1" s="1"/>
  <c r="D4745" i="1"/>
  <c r="F271" i="1"/>
  <c r="F771" i="1"/>
  <c r="F1619" i="1"/>
  <c r="F4460" i="1"/>
  <c r="C4461" i="1"/>
  <c r="D4460" i="1"/>
  <c r="C1620" i="1"/>
  <c r="D1619" i="1"/>
  <c r="C272" i="1"/>
  <c r="D271" i="1"/>
  <c r="C772" i="1"/>
  <c r="D771" i="1"/>
  <c r="I1618" i="1" l="1"/>
  <c r="I4744" i="1"/>
  <c r="H1422" i="1"/>
  <c r="J1421" i="1"/>
  <c r="I1421" i="1"/>
  <c r="H4460" i="1"/>
  <c r="J4460" i="1" s="1"/>
  <c r="H771" i="1"/>
  <c r="I771" i="1" s="1"/>
  <c r="J770" i="1"/>
  <c r="H4745" i="1"/>
  <c r="I4745" i="1" s="1"/>
  <c r="H1619" i="1"/>
  <c r="J1619" i="1" s="1"/>
  <c r="I4459" i="1"/>
  <c r="H270" i="1"/>
  <c r="J269" i="1"/>
  <c r="I269" i="1"/>
  <c r="C4747" i="1"/>
  <c r="G4747" i="1" s="1"/>
  <c r="F4746" i="1"/>
  <c r="D4746" i="1"/>
  <c r="F772" i="1"/>
  <c r="F272" i="1"/>
  <c r="F1620" i="1"/>
  <c r="D4461" i="1"/>
  <c r="F4461" i="1"/>
  <c r="C4462" i="1"/>
  <c r="C1621" i="1"/>
  <c r="D1620" i="1"/>
  <c r="C773" i="1"/>
  <c r="D772" i="1"/>
  <c r="C273" i="1"/>
  <c r="D272" i="1"/>
  <c r="I4460" i="1" l="1"/>
  <c r="I1619" i="1"/>
  <c r="H1423" i="1"/>
  <c r="J1422" i="1"/>
  <c r="I1422" i="1"/>
  <c r="H4461" i="1"/>
  <c r="J4461" i="1" s="1"/>
  <c r="H4746" i="1"/>
  <c r="J4745" i="1"/>
  <c r="H1620" i="1"/>
  <c r="J1620" i="1" s="1"/>
  <c r="H271" i="1"/>
  <c r="J270" i="1"/>
  <c r="I270" i="1"/>
  <c r="H772" i="1"/>
  <c r="I772" i="1" s="1"/>
  <c r="J771" i="1"/>
  <c r="C4748" i="1"/>
  <c r="D4747" i="1"/>
  <c r="F4747" i="1"/>
  <c r="F273" i="1"/>
  <c r="F773" i="1"/>
  <c r="F1621" i="1"/>
  <c r="F4462" i="1"/>
  <c r="D4462" i="1"/>
  <c r="C4463" i="1"/>
  <c r="C1622" i="1"/>
  <c r="D1621" i="1"/>
  <c r="C274" i="1"/>
  <c r="D273" i="1"/>
  <c r="C774" i="1"/>
  <c r="D773" i="1"/>
  <c r="G4748" i="1" l="1"/>
  <c r="J4748" i="1" s="1"/>
  <c r="H4747" i="1"/>
  <c r="I4747" i="1" s="1"/>
  <c r="I1620" i="1"/>
  <c r="H272" i="1"/>
  <c r="J271" i="1"/>
  <c r="I271" i="1"/>
  <c r="I4461" i="1"/>
  <c r="H4462" i="1"/>
  <c r="J4462" i="1" s="1"/>
  <c r="H1621" i="1"/>
  <c r="J1621" i="1" s="1"/>
  <c r="H773" i="1"/>
  <c r="J772" i="1"/>
  <c r="H1424" i="1"/>
  <c r="J1423" i="1"/>
  <c r="I1423" i="1"/>
  <c r="I4746" i="1"/>
  <c r="J4746" i="1"/>
  <c r="F4748" i="1"/>
  <c r="D4748" i="1"/>
  <c r="C4749" i="1"/>
  <c r="F774" i="1"/>
  <c r="F274" i="1"/>
  <c r="F1622" i="1"/>
  <c r="F4463" i="1"/>
  <c r="C4464" i="1"/>
  <c r="D4463" i="1"/>
  <c r="C1623" i="1"/>
  <c r="D1622" i="1"/>
  <c r="C775" i="1"/>
  <c r="D774" i="1"/>
  <c r="C275" i="1"/>
  <c r="D274" i="1"/>
  <c r="J4747" i="1" l="1"/>
  <c r="G4749" i="1"/>
  <c r="J4749" i="1" s="1"/>
  <c r="H4748" i="1"/>
  <c r="I4748" i="1" s="1"/>
  <c r="I4462" i="1"/>
  <c r="H4463" i="1"/>
  <c r="J4463" i="1" s="1"/>
  <c r="H1622" i="1"/>
  <c r="J1622" i="1" s="1"/>
  <c r="H774" i="1"/>
  <c r="I774" i="1" s="1"/>
  <c r="J773" i="1"/>
  <c r="I773" i="1"/>
  <c r="H1425" i="1"/>
  <c r="J1424" i="1"/>
  <c r="I1424" i="1"/>
  <c r="I1621" i="1"/>
  <c r="H273" i="1"/>
  <c r="J272" i="1"/>
  <c r="I272" i="1"/>
  <c r="F4749" i="1"/>
  <c r="D4749" i="1"/>
  <c r="C4750" i="1"/>
  <c r="G4750" i="1" s="1"/>
  <c r="F275" i="1"/>
  <c r="F775" i="1"/>
  <c r="F1623" i="1"/>
  <c r="F4464" i="1"/>
  <c r="C4465" i="1"/>
  <c r="D4464" i="1"/>
  <c r="C1624" i="1"/>
  <c r="D1623" i="1"/>
  <c r="C276" i="1"/>
  <c r="D275" i="1"/>
  <c r="C776" i="1"/>
  <c r="D775" i="1"/>
  <c r="H4749" i="1" l="1"/>
  <c r="I4749" i="1" s="1"/>
  <c r="I1622" i="1"/>
  <c r="I4463" i="1"/>
  <c r="H274" i="1"/>
  <c r="J273" i="1"/>
  <c r="I273" i="1"/>
  <c r="H1426" i="1"/>
  <c r="J1425" i="1"/>
  <c r="I1425" i="1"/>
  <c r="H4464" i="1"/>
  <c r="J4464" i="1" s="1"/>
  <c r="H1623" i="1"/>
  <c r="J1623" i="1" s="1"/>
  <c r="H775" i="1"/>
  <c r="I775" i="1" s="1"/>
  <c r="J774" i="1"/>
  <c r="F4750" i="1"/>
  <c r="C4751" i="1"/>
  <c r="G4751" i="1" s="1"/>
  <c r="D4750" i="1"/>
  <c r="F776" i="1"/>
  <c r="F276" i="1"/>
  <c r="F1624" i="1"/>
  <c r="F4465" i="1"/>
  <c r="C4466" i="1"/>
  <c r="D4465" i="1"/>
  <c r="D1624" i="1"/>
  <c r="C1625" i="1"/>
  <c r="C777" i="1"/>
  <c r="D776" i="1"/>
  <c r="C277" i="1"/>
  <c r="D276" i="1"/>
  <c r="H4465" i="1" l="1"/>
  <c r="I4465" i="1" s="1"/>
  <c r="I4464" i="1"/>
  <c r="I1623" i="1"/>
  <c r="H275" i="1"/>
  <c r="J274" i="1"/>
  <c r="I274" i="1"/>
  <c r="H1624" i="1"/>
  <c r="J1624" i="1" s="1"/>
  <c r="H4750" i="1"/>
  <c r="J4750" i="1" s="1"/>
  <c r="H1427" i="1"/>
  <c r="J1426" i="1"/>
  <c r="I1426" i="1"/>
  <c r="H776" i="1"/>
  <c r="J775" i="1"/>
  <c r="F4751" i="1"/>
  <c r="D4751" i="1"/>
  <c r="C4752" i="1"/>
  <c r="G4752" i="1" s="1"/>
  <c r="F277" i="1"/>
  <c r="F777" i="1"/>
  <c r="F1625" i="1"/>
  <c r="F4466" i="1"/>
  <c r="C4467" i="1"/>
  <c r="D4466" i="1"/>
  <c r="D1625" i="1"/>
  <c r="C1626" i="1"/>
  <c r="C278" i="1"/>
  <c r="D277" i="1"/>
  <c r="C778" i="1"/>
  <c r="D777" i="1"/>
  <c r="J4465" i="1" l="1"/>
  <c r="H1428" i="1"/>
  <c r="J1427" i="1"/>
  <c r="I1427" i="1"/>
  <c r="H777" i="1"/>
  <c r="I777" i="1" s="1"/>
  <c r="J776" i="1"/>
  <c r="H4751" i="1"/>
  <c r="I4751" i="1" s="1"/>
  <c r="H1625" i="1"/>
  <c r="J1625" i="1" s="1"/>
  <c r="H4466" i="1"/>
  <c r="I776" i="1"/>
  <c r="I4750" i="1"/>
  <c r="H276" i="1"/>
  <c r="J275" i="1"/>
  <c r="I275" i="1"/>
  <c r="I1624" i="1"/>
  <c r="C4753" i="1"/>
  <c r="G4753" i="1" s="1"/>
  <c r="F4752" i="1"/>
  <c r="D4752" i="1"/>
  <c r="F778" i="1"/>
  <c r="F278" i="1"/>
  <c r="F1626" i="1"/>
  <c r="C4468" i="1"/>
  <c r="D4467" i="1"/>
  <c r="F4467" i="1"/>
  <c r="C1627" i="1"/>
  <c r="D1626" i="1"/>
  <c r="C779" i="1"/>
  <c r="D778" i="1"/>
  <c r="C279" i="1"/>
  <c r="D278" i="1"/>
  <c r="I1625" i="1" l="1"/>
  <c r="H4467" i="1"/>
  <c r="J4467" i="1" s="1"/>
  <c r="J4466" i="1"/>
  <c r="I4466" i="1"/>
  <c r="H1626" i="1"/>
  <c r="J1626" i="1" s="1"/>
  <c r="H277" i="1"/>
  <c r="J276" i="1"/>
  <c r="I276" i="1"/>
  <c r="H4752" i="1"/>
  <c r="J4751" i="1"/>
  <c r="H778" i="1"/>
  <c r="I778" i="1" s="1"/>
  <c r="J777" i="1"/>
  <c r="H1429" i="1"/>
  <c r="J1428" i="1"/>
  <c r="I1428" i="1"/>
  <c r="F4753" i="1"/>
  <c r="D4753" i="1"/>
  <c r="C4754" i="1"/>
  <c r="G4754" i="1" s="1"/>
  <c r="F279" i="1"/>
  <c r="F779" i="1"/>
  <c r="F1627" i="1"/>
  <c r="F4468" i="1"/>
  <c r="C4469" i="1"/>
  <c r="D4468" i="1"/>
  <c r="C1628" i="1"/>
  <c r="D1627" i="1"/>
  <c r="C280" i="1"/>
  <c r="D279" i="1"/>
  <c r="C780" i="1"/>
  <c r="D779" i="1"/>
  <c r="H779" i="1" l="1"/>
  <c r="I779" i="1" s="1"/>
  <c r="J778" i="1"/>
  <c r="I4752" i="1"/>
  <c r="J4752" i="1"/>
  <c r="I1626" i="1"/>
  <c r="H4753" i="1"/>
  <c r="I4753" i="1" s="1"/>
  <c r="H1430" i="1"/>
  <c r="J1429" i="1"/>
  <c r="I1429" i="1"/>
  <c r="H4468" i="1"/>
  <c r="I4468" i="1" s="1"/>
  <c r="H1627" i="1"/>
  <c r="J1627" i="1" s="1"/>
  <c r="I4467" i="1"/>
  <c r="H278" i="1"/>
  <c r="J277" i="1"/>
  <c r="I277" i="1"/>
  <c r="D4754" i="1"/>
  <c r="F4754" i="1"/>
  <c r="C4755" i="1"/>
  <c r="G4755" i="1" s="1"/>
  <c r="F780" i="1"/>
  <c r="F280" i="1"/>
  <c r="F1628" i="1"/>
  <c r="F4469" i="1"/>
  <c r="D4469" i="1"/>
  <c r="C4470" i="1"/>
  <c r="C1629" i="1"/>
  <c r="D1628" i="1"/>
  <c r="C781" i="1"/>
  <c r="D780" i="1"/>
  <c r="C281" i="1"/>
  <c r="D280" i="1"/>
  <c r="I1627" i="1" l="1"/>
  <c r="H4469" i="1"/>
  <c r="J4468" i="1"/>
  <c r="H1628" i="1"/>
  <c r="J1628" i="1" s="1"/>
  <c r="H279" i="1"/>
  <c r="J278" i="1"/>
  <c r="I278" i="1"/>
  <c r="H1431" i="1"/>
  <c r="J1430" i="1"/>
  <c r="I1430" i="1"/>
  <c r="H780" i="1"/>
  <c r="I780" i="1" s="1"/>
  <c r="J779" i="1"/>
  <c r="H4754" i="1"/>
  <c r="J4754" i="1" s="1"/>
  <c r="J4753" i="1"/>
  <c r="F4755" i="1"/>
  <c r="C4756" i="1"/>
  <c r="G4756" i="1" s="1"/>
  <c r="D4755" i="1"/>
  <c r="F281" i="1"/>
  <c r="F781" i="1"/>
  <c r="F1629" i="1"/>
  <c r="D4470" i="1"/>
  <c r="C4471" i="1"/>
  <c r="F4470" i="1"/>
  <c r="D1629" i="1"/>
  <c r="C1630" i="1"/>
  <c r="C282" i="1"/>
  <c r="D281" i="1"/>
  <c r="C782" i="1"/>
  <c r="D781" i="1"/>
  <c r="I1628" i="1" l="1"/>
  <c r="I4754" i="1"/>
  <c r="H4755" i="1"/>
  <c r="I4755" i="1" s="1"/>
  <c r="H280" i="1"/>
  <c r="J279" i="1"/>
  <c r="I279" i="1"/>
  <c r="H1629" i="1"/>
  <c r="J1629" i="1" s="1"/>
  <c r="H1432" i="1"/>
  <c r="J1431" i="1"/>
  <c r="I1431" i="1"/>
  <c r="H781" i="1"/>
  <c r="J780" i="1"/>
  <c r="H4470" i="1"/>
  <c r="I4470" i="1" s="1"/>
  <c r="J4755" i="1"/>
  <c r="I4469" i="1"/>
  <c r="J4469" i="1"/>
  <c r="D4756" i="1"/>
  <c r="F4756" i="1"/>
  <c r="C4757" i="1"/>
  <c r="G4757" i="1" s="1"/>
  <c r="F782" i="1"/>
  <c r="F282" i="1"/>
  <c r="F1630" i="1"/>
  <c r="C4472" i="1"/>
  <c r="F4471" i="1"/>
  <c r="D4471" i="1"/>
  <c r="C1631" i="1"/>
  <c r="D1630" i="1"/>
  <c r="C783" i="1"/>
  <c r="D782" i="1"/>
  <c r="C283" i="1"/>
  <c r="D282" i="1"/>
  <c r="H4756" i="1" l="1"/>
  <c r="J4756" i="1" s="1"/>
  <c r="H782" i="1"/>
  <c r="I782" i="1" s="1"/>
  <c r="J781" i="1"/>
  <c r="I781" i="1"/>
  <c r="H281" i="1"/>
  <c r="J280" i="1"/>
  <c r="I280" i="1"/>
  <c r="I1629" i="1"/>
  <c r="H1630" i="1"/>
  <c r="J1630" i="1" s="1"/>
  <c r="H4471" i="1"/>
  <c r="I4471" i="1" s="1"/>
  <c r="J4470" i="1"/>
  <c r="H1433" i="1"/>
  <c r="J1432" i="1"/>
  <c r="I1432" i="1"/>
  <c r="C4758" i="1"/>
  <c r="G4758" i="1" s="1"/>
  <c r="D4757" i="1"/>
  <c r="F4757" i="1"/>
  <c r="F283" i="1"/>
  <c r="F783" i="1"/>
  <c r="F1631" i="1"/>
  <c r="D4472" i="1"/>
  <c r="F4472" i="1"/>
  <c r="C4473" i="1"/>
  <c r="C1632" i="1"/>
  <c r="D1631" i="1"/>
  <c r="C284" i="1"/>
  <c r="D283" i="1"/>
  <c r="C784" i="1"/>
  <c r="D783" i="1"/>
  <c r="I1630" i="1" l="1"/>
  <c r="H4757" i="1"/>
  <c r="J4757" i="1" s="1"/>
  <c r="I4756" i="1"/>
  <c r="H1434" i="1"/>
  <c r="J1433" i="1"/>
  <c r="I1433" i="1"/>
  <c r="H282" i="1"/>
  <c r="J281" i="1"/>
  <c r="I281" i="1"/>
  <c r="H1631" i="1"/>
  <c r="J1631" i="1" s="1"/>
  <c r="H4472" i="1"/>
  <c r="J4472" i="1" s="1"/>
  <c r="J4471" i="1"/>
  <c r="H783" i="1"/>
  <c r="I783" i="1" s="1"/>
  <c r="J782" i="1"/>
  <c r="F4758" i="1"/>
  <c r="D4758" i="1"/>
  <c r="C4759" i="1"/>
  <c r="G4759" i="1" s="1"/>
  <c r="F784" i="1"/>
  <c r="F284" i="1"/>
  <c r="F1632" i="1"/>
  <c r="F4473" i="1"/>
  <c r="C4474" i="1"/>
  <c r="D4473" i="1"/>
  <c r="D1632" i="1"/>
  <c r="C1633" i="1"/>
  <c r="C785" i="1"/>
  <c r="D784" i="1"/>
  <c r="C285" i="1"/>
  <c r="D284" i="1"/>
  <c r="H4473" i="1" l="1"/>
  <c r="I4473" i="1" s="1"/>
  <c r="I1631" i="1"/>
  <c r="H283" i="1"/>
  <c r="J282" i="1"/>
  <c r="I282" i="1"/>
  <c r="H4758" i="1"/>
  <c r="J4758" i="1" s="1"/>
  <c r="H784" i="1"/>
  <c r="I784" i="1" s="1"/>
  <c r="J783" i="1"/>
  <c r="I4472" i="1"/>
  <c r="H1435" i="1"/>
  <c r="J1434" i="1"/>
  <c r="I1434" i="1"/>
  <c r="I4757" i="1"/>
  <c r="H1632" i="1"/>
  <c r="J1632" i="1" s="1"/>
  <c r="D4759" i="1"/>
  <c r="C4760" i="1"/>
  <c r="F4759" i="1"/>
  <c r="F285" i="1"/>
  <c r="F785" i="1"/>
  <c r="F1633" i="1"/>
  <c r="F4474" i="1"/>
  <c r="C4475" i="1"/>
  <c r="D4474" i="1"/>
  <c r="C1634" i="1"/>
  <c r="D1633" i="1"/>
  <c r="C286" i="1"/>
  <c r="D285" i="1"/>
  <c r="C786" i="1"/>
  <c r="D785" i="1"/>
  <c r="J4473" i="1" l="1"/>
  <c r="G4760" i="1"/>
  <c r="J4760" i="1" s="1"/>
  <c r="H4759" i="1"/>
  <c r="I4759" i="1" s="1"/>
  <c r="H4474" i="1"/>
  <c r="J4474" i="1" s="1"/>
  <c r="H284" i="1"/>
  <c r="J283" i="1"/>
  <c r="I283" i="1"/>
  <c r="H1633" i="1"/>
  <c r="J1633" i="1" s="1"/>
  <c r="H785" i="1"/>
  <c r="I785" i="1" s="1"/>
  <c r="J784" i="1"/>
  <c r="I4758" i="1"/>
  <c r="H1436" i="1"/>
  <c r="J1435" i="1"/>
  <c r="I1435" i="1"/>
  <c r="I1632" i="1"/>
  <c r="C4761" i="1"/>
  <c r="D4760" i="1"/>
  <c r="F4760" i="1"/>
  <c r="F786" i="1"/>
  <c r="F286" i="1"/>
  <c r="F1634" i="1"/>
  <c r="D4475" i="1"/>
  <c r="F4475" i="1"/>
  <c r="C4476" i="1"/>
  <c r="C1635" i="1"/>
  <c r="D1634" i="1"/>
  <c r="C787" i="1"/>
  <c r="D786" i="1"/>
  <c r="C287" i="1"/>
  <c r="D286" i="1"/>
  <c r="G4761" i="1" l="1"/>
  <c r="J4761" i="1" s="1"/>
  <c r="J4759" i="1"/>
  <c r="I1633" i="1"/>
  <c r="H4475" i="1"/>
  <c r="J4475" i="1" s="1"/>
  <c r="H285" i="1"/>
  <c r="J284" i="1"/>
  <c r="I284" i="1"/>
  <c r="H1634" i="1"/>
  <c r="J1634" i="1" s="1"/>
  <c r="H1437" i="1"/>
  <c r="J1436" i="1"/>
  <c r="I1436" i="1"/>
  <c r="I4474" i="1"/>
  <c r="H4760" i="1"/>
  <c r="I4760" i="1" s="1"/>
  <c r="H786" i="1"/>
  <c r="J785" i="1"/>
  <c r="F4761" i="1"/>
  <c r="C4762" i="1"/>
  <c r="G4762" i="1" s="1"/>
  <c r="D4761" i="1"/>
  <c r="F287" i="1"/>
  <c r="F787" i="1"/>
  <c r="F1635" i="1"/>
  <c r="F4476" i="1"/>
  <c r="D4476" i="1"/>
  <c r="C4477" i="1"/>
  <c r="C1636" i="1"/>
  <c r="D1635" i="1"/>
  <c r="C288" i="1"/>
  <c r="D287" i="1"/>
  <c r="C788" i="1"/>
  <c r="D787" i="1"/>
  <c r="H4761" i="1" l="1"/>
  <c r="I4761" i="1" s="1"/>
  <c r="H1438" i="1"/>
  <c r="J1437" i="1"/>
  <c r="I1437" i="1"/>
  <c r="H787" i="1"/>
  <c r="I787" i="1" s="1"/>
  <c r="J786" i="1"/>
  <c r="I786" i="1"/>
  <c r="I4475" i="1"/>
  <c r="I1634" i="1"/>
  <c r="H4476" i="1"/>
  <c r="J4476" i="1" s="1"/>
  <c r="H1635" i="1"/>
  <c r="J1635" i="1" s="1"/>
  <c r="H286" i="1"/>
  <c r="J285" i="1"/>
  <c r="I285" i="1"/>
  <c r="F4762" i="1"/>
  <c r="C4763" i="1"/>
  <c r="G4763" i="1" s="1"/>
  <c r="D4762" i="1"/>
  <c r="F788" i="1"/>
  <c r="F288" i="1"/>
  <c r="F1636" i="1"/>
  <c r="F4477" i="1"/>
  <c r="C4478" i="1"/>
  <c r="D4477" i="1"/>
  <c r="D1636" i="1"/>
  <c r="C1637" i="1"/>
  <c r="C789" i="1"/>
  <c r="D788" i="1"/>
  <c r="C289" i="1"/>
  <c r="D288" i="1"/>
  <c r="I1635" i="1" l="1"/>
  <c r="H1636" i="1"/>
  <c r="J1636" i="1" s="1"/>
  <c r="H788" i="1"/>
  <c r="I788" i="1" s="1"/>
  <c r="J787" i="1"/>
  <c r="H4762" i="1"/>
  <c r="J4762" i="1" s="1"/>
  <c r="H287" i="1"/>
  <c r="J286" i="1"/>
  <c r="I286" i="1"/>
  <c r="I4476" i="1"/>
  <c r="H4477" i="1"/>
  <c r="J4477" i="1" s="1"/>
  <c r="H1439" i="1"/>
  <c r="J1438" i="1"/>
  <c r="I1438" i="1"/>
  <c r="F4763" i="1"/>
  <c r="C4764" i="1"/>
  <c r="G4764" i="1" s="1"/>
  <c r="D4763" i="1"/>
  <c r="F289" i="1"/>
  <c r="F789" i="1"/>
  <c r="F1637" i="1"/>
  <c r="D4478" i="1"/>
  <c r="F4478" i="1"/>
  <c r="C4479" i="1"/>
  <c r="C1638" i="1"/>
  <c r="D1637" i="1"/>
  <c r="C290" i="1"/>
  <c r="D289" i="1"/>
  <c r="C790" i="1"/>
  <c r="D789" i="1"/>
  <c r="H4763" i="1" l="1"/>
  <c r="I4763" i="1" s="1"/>
  <c r="I4477" i="1"/>
  <c r="H4478" i="1"/>
  <c r="J4478" i="1" s="1"/>
  <c r="H288" i="1"/>
  <c r="J287" i="1"/>
  <c r="I287" i="1"/>
  <c r="I1636" i="1"/>
  <c r="H1637" i="1"/>
  <c r="J1637" i="1" s="1"/>
  <c r="H1440" i="1"/>
  <c r="J1439" i="1"/>
  <c r="I1439" i="1"/>
  <c r="I4762" i="1"/>
  <c r="H789" i="1"/>
  <c r="I789" i="1" s="1"/>
  <c r="J788" i="1"/>
  <c r="D4764" i="1"/>
  <c r="F4764" i="1"/>
  <c r="C4765" i="1"/>
  <c r="G4765" i="1" s="1"/>
  <c r="F790" i="1"/>
  <c r="F290" i="1"/>
  <c r="F1638" i="1"/>
  <c r="F4479" i="1"/>
  <c r="D4479" i="1"/>
  <c r="C4480" i="1"/>
  <c r="D1638" i="1"/>
  <c r="C1639" i="1"/>
  <c r="C791" i="1"/>
  <c r="D790" i="1"/>
  <c r="C291" i="1"/>
  <c r="D290" i="1"/>
  <c r="J4763" i="1" l="1"/>
  <c r="H4479" i="1"/>
  <c r="J4479" i="1" s="1"/>
  <c r="H289" i="1"/>
  <c r="J288" i="1"/>
  <c r="I288" i="1"/>
  <c r="H4764" i="1"/>
  <c r="J4764" i="1" s="1"/>
  <c r="H1441" i="1"/>
  <c r="J1440" i="1"/>
  <c r="I1440" i="1"/>
  <c r="H1638" i="1"/>
  <c r="J1638" i="1" s="1"/>
  <c r="I1637" i="1"/>
  <c r="I4478" i="1"/>
  <c r="H790" i="1"/>
  <c r="J790" i="1" s="1"/>
  <c r="J789" i="1"/>
  <c r="F4765" i="1"/>
  <c r="C4766" i="1"/>
  <c r="G4766" i="1" s="1"/>
  <c r="D4765" i="1"/>
  <c r="F291" i="1"/>
  <c r="F791" i="1"/>
  <c r="F1639" i="1"/>
  <c r="F4480" i="1"/>
  <c r="C4481" i="1"/>
  <c r="D4480" i="1"/>
  <c r="C1640" i="1"/>
  <c r="D1639" i="1"/>
  <c r="C292" i="1"/>
  <c r="D291" i="1"/>
  <c r="C792" i="1"/>
  <c r="D791" i="1"/>
  <c r="I4764" i="1" l="1"/>
  <c r="I1638" i="1"/>
  <c r="H4480" i="1"/>
  <c r="J4480" i="1" s="1"/>
  <c r="I790" i="1"/>
  <c r="H1639" i="1"/>
  <c r="J1639" i="1" s="1"/>
  <c r="H290" i="1"/>
  <c r="J289" i="1"/>
  <c r="I289" i="1"/>
  <c r="I4479" i="1"/>
  <c r="H791" i="1"/>
  <c r="I791" i="1" s="1"/>
  <c r="H1442" i="1"/>
  <c r="J1441" i="1"/>
  <c r="I1441" i="1"/>
  <c r="H4765" i="1"/>
  <c r="J4765" i="1" s="1"/>
  <c r="F4766" i="1"/>
  <c r="C4767" i="1"/>
  <c r="D4766" i="1"/>
  <c r="F792" i="1"/>
  <c r="F292" i="1"/>
  <c r="F1640" i="1"/>
  <c r="F4481" i="1"/>
  <c r="C4482" i="1"/>
  <c r="D4481" i="1"/>
  <c r="D1640" i="1"/>
  <c r="C1641" i="1"/>
  <c r="C793" i="1"/>
  <c r="D792" i="1"/>
  <c r="C293" i="1"/>
  <c r="D292" i="1"/>
  <c r="G4767" i="1" l="1"/>
  <c r="J4767" i="1" s="1"/>
  <c r="I4765" i="1"/>
  <c r="I1639" i="1"/>
  <c r="H4766" i="1"/>
  <c r="I4766" i="1" s="1"/>
  <c r="H1640" i="1"/>
  <c r="J1640" i="1" s="1"/>
  <c r="H4481" i="1"/>
  <c r="J4481" i="1" s="1"/>
  <c r="I4480" i="1"/>
  <c r="H1443" i="1"/>
  <c r="J1442" i="1"/>
  <c r="I1442" i="1"/>
  <c r="H291" i="1"/>
  <c r="J290" i="1"/>
  <c r="I290" i="1"/>
  <c r="H792" i="1"/>
  <c r="J791" i="1"/>
  <c r="D4767" i="1"/>
  <c r="F4767" i="1"/>
  <c r="C4768" i="1"/>
  <c r="F293" i="1"/>
  <c r="F793" i="1"/>
  <c r="F1641" i="1"/>
  <c r="F4482" i="1"/>
  <c r="C4483" i="1"/>
  <c r="D4482" i="1"/>
  <c r="C1642" i="1"/>
  <c r="D1641" i="1"/>
  <c r="C294" i="1"/>
  <c r="D293" i="1"/>
  <c r="C794" i="1"/>
  <c r="D793" i="1"/>
  <c r="J4766" i="1" l="1"/>
  <c r="G4768" i="1"/>
  <c r="J4768" i="1" s="1"/>
  <c r="I1640" i="1"/>
  <c r="H793" i="1"/>
  <c r="J793" i="1" s="1"/>
  <c r="J792" i="1"/>
  <c r="H1444" i="1"/>
  <c r="J1443" i="1"/>
  <c r="I1443" i="1"/>
  <c r="I4481" i="1"/>
  <c r="H4482" i="1"/>
  <c r="J4482" i="1" s="1"/>
  <c r="H292" i="1"/>
  <c r="J291" i="1"/>
  <c r="I291" i="1"/>
  <c r="H4767" i="1"/>
  <c r="I4767" i="1" s="1"/>
  <c r="H1641" i="1"/>
  <c r="J1641" i="1" s="1"/>
  <c r="I792" i="1"/>
  <c r="C4769" i="1"/>
  <c r="G4769" i="1" s="1"/>
  <c r="F4768" i="1"/>
  <c r="D4768" i="1"/>
  <c r="F794" i="1"/>
  <c r="F294" i="1"/>
  <c r="F1642" i="1"/>
  <c r="C4484" i="1"/>
  <c r="F4483" i="1"/>
  <c r="D4483" i="1"/>
  <c r="C1643" i="1"/>
  <c r="D1642" i="1"/>
  <c r="C795" i="1"/>
  <c r="D794" i="1"/>
  <c r="C295" i="1"/>
  <c r="D294" i="1"/>
  <c r="I793" i="1" l="1"/>
  <c r="I1641" i="1"/>
  <c r="H4768" i="1"/>
  <c r="I4768" i="1" s="1"/>
  <c r="H794" i="1"/>
  <c r="J794" i="1" s="1"/>
  <c r="H293" i="1"/>
  <c r="J292" i="1"/>
  <c r="I292" i="1"/>
  <c r="H4483" i="1"/>
  <c r="J4483" i="1" s="1"/>
  <c r="H1642" i="1"/>
  <c r="J1642" i="1" s="1"/>
  <c r="I4482" i="1"/>
  <c r="H1445" i="1"/>
  <c r="J1444" i="1"/>
  <c r="I1444" i="1"/>
  <c r="F4769" i="1"/>
  <c r="D4769" i="1"/>
  <c r="C4770" i="1"/>
  <c r="G4770" i="1" s="1"/>
  <c r="F295" i="1"/>
  <c r="F795" i="1"/>
  <c r="F1643" i="1"/>
  <c r="F4484" i="1"/>
  <c r="D4484" i="1"/>
  <c r="C4485" i="1"/>
  <c r="C1644" i="1"/>
  <c r="D1643" i="1"/>
  <c r="C296" i="1"/>
  <c r="D295" i="1"/>
  <c r="C796" i="1"/>
  <c r="D795" i="1"/>
  <c r="I4483" i="1" l="1"/>
  <c r="I794" i="1"/>
  <c r="H1643" i="1"/>
  <c r="J1643" i="1" s="1"/>
  <c r="H795" i="1"/>
  <c r="J795" i="1" s="1"/>
  <c r="H4769" i="1"/>
  <c r="I4769" i="1" s="1"/>
  <c r="H1446" i="1"/>
  <c r="J1445" i="1"/>
  <c r="I1445" i="1"/>
  <c r="H4484" i="1"/>
  <c r="J4484" i="1" s="1"/>
  <c r="I1642" i="1"/>
  <c r="H294" i="1"/>
  <c r="J293" i="1"/>
  <c r="I293" i="1"/>
  <c r="F4770" i="1"/>
  <c r="C4771" i="1"/>
  <c r="G4771" i="1" s="1"/>
  <c r="D4770" i="1"/>
  <c r="F796" i="1"/>
  <c r="F296" i="1"/>
  <c r="F1644" i="1"/>
  <c r="D4485" i="1"/>
  <c r="F4485" i="1"/>
  <c r="C4486" i="1"/>
  <c r="D1644" i="1"/>
  <c r="C1645" i="1"/>
  <c r="C797" i="1"/>
  <c r="D796" i="1"/>
  <c r="C297" i="1"/>
  <c r="D296" i="1"/>
  <c r="I1643" i="1" l="1"/>
  <c r="H4485" i="1"/>
  <c r="J4485" i="1" s="1"/>
  <c r="H1447" i="1"/>
  <c r="J1446" i="1"/>
  <c r="I1446" i="1"/>
  <c r="H1644" i="1"/>
  <c r="J1644" i="1" s="1"/>
  <c r="H4770" i="1"/>
  <c r="J4769" i="1"/>
  <c r="H796" i="1"/>
  <c r="J796" i="1" s="1"/>
  <c r="I796" i="1"/>
  <c r="I795" i="1"/>
  <c r="H295" i="1"/>
  <c r="J294" i="1"/>
  <c r="I294" i="1"/>
  <c r="I4484" i="1"/>
  <c r="F4771" i="1"/>
  <c r="D4771" i="1"/>
  <c r="C4772" i="1"/>
  <c r="G4772" i="1" s="1"/>
  <c r="F297" i="1"/>
  <c r="F797" i="1"/>
  <c r="F1645" i="1"/>
  <c r="F4486" i="1"/>
  <c r="D4486" i="1"/>
  <c r="C4487" i="1"/>
  <c r="C1646" i="1"/>
  <c r="D1645" i="1"/>
  <c r="C298" i="1"/>
  <c r="D297" i="1"/>
  <c r="C798" i="1"/>
  <c r="D797" i="1"/>
  <c r="H4486" i="1" l="1"/>
  <c r="J4486" i="1" s="1"/>
  <c r="I1644" i="1"/>
  <c r="I4485" i="1"/>
  <c r="H4771" i="1"/>
  <c r="J4771" i="1" s="1"/>
  <c r="H1645" i="1"/>
  <c r="J1645" i="1" s="1"/>
  <c r="H797" i="1"/>
  <c r="J797" i="1" s="1"/>
  <c r="H296" i="1"/>
  <c r="J295" i="1"/>
  <c r="I295" i="1"/>
  <c r="I4770" i="1"/>
  <c r="J4770" i="1"/>
  <c r="H1448" i="1"/>
  <c r="J1447" i="1"/>
  <c r="I1447" i="1"/>
  <c r="D4772" i="1"/>
  <c r="C4773" i="1"/>
  <c r="G4773" i="1" s="1"/>
  <c r="F4772" i="1"/>
  <c r="F798" i="1"/>
  <c r="F298" i="1"/>
  <c r="F1646" i="1"/>
  <c r="C4488" i="1"/>
  <c r="F4487" i="1"/>
  <c r="D4487" i="1"/>
  <c r="D1646" i="1"/>
  <c r="C1647" i="1"/>
  <c r="C799" i="1"/>
  <c r="D798" i="1"/>
  <c r="C299" i="1"/>
  <c r="D298" i="1"/>
  <c r="H4487" i="1" l="1"/>
  <c r="J4487" i="1" s="1"/>
  <c r="H1646" i="1"/>
  <c r="J1646" i="1" s="1"/>
  <c r="I4771" i="1"/>
  <c r="I797" i="1"/>
  <c r="H1449" i="1"/>
  <c r="J1448" i="1"/>
  <c r="I1448" i="1"/>
  <c r="H798" i="1"/>
  <c r="J798" i="1" s="1"/>
  <c r="H4772" i="1"/>
  <c r="J4772" i="1" s="1"/>
  <c r="I4486" i="1"/>
  <c r="H297" i="1"/>
  <c r="J296" i="1"/>
  <c r="I296" i="1"/>
  <c r="I1645" i="1"/>
  <c r="D4773" i="1"/>
  <c r="C4774" i="1"/>
  <c r="F4773" i="1"/>
  <c r="H4773" i="1" s="1"/>
  <c r="F299" i="1"/>
  <c r="F799" i="1"/>
  <c r="F1647" i="1"/>
  <c r="F4488" i="1"/>
  <c r="D4488" i="1"/>
  <c r="C4489" i="1"/>
  <c r="C1648" i="1"/>
  <c r="D1647" i="1"/>
  <c r="C300" i="1"/>
  <c r="D299" i="1"/>
  <c r="C800" i="1"/>
  <c r="D799" i="1"/>
  <c r="G4774" i="1" l="1"/>
  <c r="J4774" i="1" s="1"/>
  <c r="I4772" i="1"/>
  <c r="I798" i="1"/>
  <c r="H1647" i="1"/>
  <c r="J1647" i="1" s="1"/>
  <c r="I1646" i="1"/>
  <c r="H4488" i="1"/>
  <c r="J4488" i="1" s="1"/>
  <c r="H799" i="1"/>
  <c r="J799" i="1" s="1"/>
  <c r="H1450" i="1"/>
  <c r="J1449" i="1"/>
  <c r="I1449" i="1"/>
  <c r="I4487" i="1"/>
  <c r="I4773" i="1"/>
  <c r="J4773" i="1"/>
  <c r="H298" i="1"/>
  <c r="J297" i="1"/>
  <c r="I297" i="1"/>
  <c r="F4774" i="1"/>
  <c r="C4775" i="1"/>
  <c r="D4774" i="1"/>
  <c r="F800" i="1"/>
  <c r="F300" i="1"/>
  <c r="F1648" i="1"/>
  <c r="C4490" i="1"/>
  <c r="F4489" i="1"/>
  <c r="D4489" i="1"/>
  <c r="D1648" i="1"/>
  <c r="C1649" i="1"/>
  <c r="C801" i="1"/>
  <c r="D800" i="1"/>
  <c r="C301" i="1"/>
  <c r="D300" i="1"/>
  <c r="G4775" i="1" l="1"/>
  <c r="J4775" i="1" s="1"/>
  <c r="I799" i="1"/>
  <c r="H4489" i="1"/>
  <c r="J4489" i="1" s="1"/>
  <c r="H800" i="1"/>
  <c r="J800" i="1" s="1"/>
  <c r="H1451" i="1"/>
  <c r="J1450" i="1"/>
  <c r="I1450" i="1"/>
  <c r="I1647" i="1"/>
  <c r="H4774" i="1"/>
  <c r="I4774" i="1" s="1"/>
  <c r="H1648" i="1"/>
  <c r="J1648" i="1" s="1"/>
  <c r="H299" i="1"/>
  <c r="J298" i="1"/>
  <c r="I298" i="1"/>
  <c r="I4488" i="1"/>
  <c r="D4775" i="1"/>
  <c r="C4776" i="1"/>
  <c r="F4775" i="1"/>
  <c r="F301" i="1"/>
  <c r="F801" i="1"/>
  <c r="F1649" i="1"/>
  <c r="C4491" i="1"/>
  <c r="F4490" i="1"/>
  <c r="D4490" i="1"/>
  <c r="D1649" i="1"/>
  <c r="C1650" i="1"/>
  <c r="C302" i="1"/>
  <c r="D301" i="1"/>
  <c r="C802" i="1"/>
  <c r="D801" i="1"/>
  <c r="I1648" i="1" l="1"/>
  <c r="G4776" i="1"/>
  <c r="J4776" i="1" s="1"/>
  <c r="I4489" i="1"/>
  <c r="H1452" i="1"/>
  <c r="J1451" i="1"/>
  <c r="I1451" i="1"/>
  <c r="I800" i="1"/>
  <c r="H801" i="1"/>
  <c r="J801" i="1" s="1"/>
  <c r="H4490" i="1"/>
  <c r="J4490" i="1" s="1"/>
  <c r="H1649" i="1"/>
  <c r="J1649" i="1" s="1"/>
  <c r="H4775" i="1"/>
  <c r="I4775" i="1" s="1"/>
  <c r="H300" i="1"/>
  <c r="J299" i="1"/>
  <c r="I299" i="1"/>
  <c r="F4776" i="1"/>
  <c r="C4777" i="1"/>
  <c r="D4776" i="1"/>
  <c r="F802" i="1"/>
  <c r="F302" i="1"/>
  <c r="F1650" i="1"/>
  <c r="F4491" i="1"/>
  <c r="D4491" i="1"/>
  <c r="C4492" i="1"/>
  <c r="D1650" i="1"/>
  <c r="C1651" i="1"/>
  <c r="C803" i="1"/>
  <c r="D802" i="1"/>
  <c r="C303" i="1"/>
  <c r="D302" i="1"/>
  <c r="G4777" i="1" l="1"/>
  <c r="J4777" i="1" s="1"/>
  <c r="I4490" i="1"/>
  <c r="H802" i="1"/>
  <c r="J802" i="1" s="1"/>
  <c r="I801" i="1"/>
  <c r="H1453" i="1"/>
  <c r="J1452" i="1"/>
  <c r="I1452" i="1"/>
  <c r="H4776" i="1"/>
  <c r="I4776" i="1" s="1"/>
  <c r="H1650" i="1"/>
  <c r="J1650" i="1" s="1"/>
  <c r="H301" i="1"/>
  <c r="J300" i="1"/>
  <c r="I300" i="1"/>
  <c r="I1649" i="1"/>
  <c r="H4491" i="1"/>
  <c r="J4491" i="1" s="1"/>
  <c r="D4777" i="1"/>
  <c r="C4778" i="1"/>
  <c r="F4777" i="1"/>
  <c r="F303" i="1"/>
  <c r="F803" i="1"/>
  <c r="F1651" i="1"/>
  <c r="F4492" i="1"/>
  <c r="C4493" i="1"/>
  <c r="D4492" i="1"/>
  <c r="C1652" i="1"/>
  <c r="D1651" i="1"/>
  <c r="C304" i="1"/>
  <c r="D303" i="1"/>
  <c r="C804" i="1"/>
  <c r="D803" i="1"/>
  <c r="G4778" i="1" l="1"/>
  <c r="J4778" i="1" s="1"/>
  <c r="H4492" i="1"/>
  <c r="J4492" i="1" s="1"/>
  <c r="I4491" i="1"/>
  <c r="I802" i="1"/>
  <c r="H1651" i="1"/>
  <c r="J1651" i="1" s="1"/>
  <c r="H803" i="1"/>
  <c r="J803" i="1" s="1"/>
  <c r="H1454" i="1"/>
  <c r="J1453" i="1"/>
  <c r="I1453" i="1"/>
  <c r="H302" i="1"/>
  <c r="J301" i="1"/>
  <c r="I301" i="1"/>
  <c r="H4777" i="1"/>
  <c r="I4777" i="1" s="1"/>
  <c r="I1650" i="1"/>
  <c r="F4778" i="1"/>
  <c r="C4779" i="1"/>
  <c r="G4779" i="1" s="1"/>
  <c r="D4778" i="1"/>
  <c r="F804" i="1"/>
  <c r="F304" i="1"/>
  <c r="F1652" i="1"/>
  <c r="F4493" i="1"/>
  <c r="D4493" i="1"/>
  <c r="C4494" i="1"/>
  <c r="D1652" i="1"/>
  <c r="C1653" i="1"/>
  <c r="C805" i="1"/>
  <c r="D804" i="1"/>
  <c r="C305" i="1"/>
  <c r="D304" i="1"/>
  <c r="I1651" i="1" l="1"/>
  <c r="H4778" i="1"/>
  <c r="I4778" i="1" s="1"/>
  <c r="H303" i="1"/>
  <c r="J302" i="1"/>
  <c r="I302" i="1"/>
  <c r="H4493" i="1"/>
  <c r="J4493" i="1" s="1"/>
  <c r="H1652" i="1"/>
  <c r="J1652" i="1" s="1"/>
  <c r="H804" i="1"/>
  <c r="J804" i="1" s="1"/>
  <c r="I803" i="1"/>
  <c r="I4492" i="1"/>
  <c r="H1455" i="1"/>
  <c r="J1454" i="1"/>
  <c r="I1454" i="1"/>
  <c r="F4779" i="1"/>
  <c r="H4779" i="1" s="1"/>
  <c r="C4780" i="1"/>
  <c r="G4780" i="1" s="1"/>
  <c r="D4779" i="1"/>
  <c r="F805" i="1"/>
  <c r="F1653" i="1"/>
  <c r="F4494" i="1"/>
  <c r="C4495" i="1"/>
  <c r="D4494" i="1"/>
  <c r="D305" i="1"/>
  <c r="F305" i="1"/>
  <c r="C306" i="1"/>
  <c r="C1654" i="1"/>
  <c r="D1653" i="1"/>
  <c r="C806" i="1"/>
  <c r="D805" i="1"/>
  <c r="I804" i="1" l="1"/>
  <c r="I1652" i="1"/>
  <c r="I4493" i="1"/>
  <c r="H1653" i="1"/>
  <c r="J1653" i="1" s="1"/>
  <c r="I4779" i="1"/>
  <c r="J4779" i="1"/>
  <c r="H1456" i="1"/>
  <c r="J1455" i="1"/>
  <c r="I1455" i="1"/>
  <c r="H4494" i="1"/>
  <c r="J4494" i="1" s="1"/>
  <c r="H304" i="1"/>
  <c r="J303" i="1"/>
  <c r="I303" i="1"/>
  <c r="H805" i="1"/>
  <c r="J805" i="1" s="1"/>
  <c r="F4780" i="1"/>
  <c r="C4781" i="1"/>
  <c r="G4781" i="1" s="1"/>
  <c r="D4780" i="1"/>
  <c r="F806" i="1"/>
  <c r="F1654" i="1"/>
  <c r="C4496" i="1"/>
  <c r="D4495" i="1"/>
  <c r="F4495" i="1"/>
  <c r="D306" i="1"/>
  <c r="F306" i="1"/>
  <c r="C307" i="1"/>
  <c r="C1655" i="1"/>
  <c r="D1654" i="1"/>
  <c r="C807" i="1"/>
  <c r="D806" i="1"/>
  <c r="H305" i="1" l="1"/>
  <c r="J304" i="1"/>
  <c r="I304" i="1"/>
  <c r="I4494" i="1"/>
  <c r="H4495" i="1"/>
  <c r="J4495" i="1" s="1"/>
  <c r="H1654" i="1"/>
  <c r="J1654" i="1" s="1"/>
  <c r="I805" i="1"/>
  <c r="H806" i="1"/>
  <c r="J806" i="1" s="1"/>
  <c r="H1457" i="1"/>
  <c r="J1456" i="1"/>
  <c r="I1456" i="1"/>
  <c r="I1653" i="1"/>
  <c r="H4780" i="1"/>
  <c r="J4780" i="1" s="1"/>
  <c r="F4781" i="1"/>
  <c r="D4781" i="1"/>
  <c r="C4782" i="1"/>
  <c r="G4782" i="1" s="1"/>
  <c r="F807" i="1"/>
  <c r="F1655" i="1"/>
  <c r="D4496" i="1"/>
  <c r="C4497" i="1"/>
  <c r="F4496" i="1"/>
  <c r="D307" i="1"/>
  <c r="F307" i="1"/>
  <c r="C308" i="1"/>
  <c r="C1656" i="1"/>
  <c r="D1655" i="1"/>
  <c r="C808" i="1"/>
  <c r="D807" i="1"/>
  <c r="I4495" i="1" l="1"/>
  <c r="I806" i="1"/>
  <c r="H4496" i="1"/>
  <c r="J4496" i="1" s="1"/>
  <c r="I4780" i="1"/>
  <c r="H1655" i="1"/>
  <c r="J1655" i="1" s="1"/>
  <c r="H807" i="1"/>
  <c r="J807" i="1" s="1"/>
  <c r="I1654" i="1"/>
  <c r="H1458" i="1"/>
  <c r="J1457" i="1"/>
  <c r="I1457" i="1"/>
  <c r="H306" i="1"/>
  <c r="J305" i="1"/>
  <c r="I305" i="1"/>
  <c r="H4781" i="1"/>
  <c r="J4781" i="1" s="1"/>
  <c r="D4782" i="1"/>
  <c r="C4783" i="1"/>
  <c r="G4783" i="1" s="1"/>
  <c r="F4782" i="1"/>
  <c r="F808" i="1"/>
  <c r="F1656" i="1"/>
  <c r="F4497" i="1"/>
  <c r="D4497" i="1"/>
  <c r="C4498" i="1"/>
  <c r="F308" i="1"/>
  <c r="C309" i="1"/>
  <c r="D308" i="1"/>
  <c r="C1657" i="1"/>
  <c r="D1656" i="1"/>
  <c r="C809" i="1"/>
  <c r="D808" i="1"/>
  <c r="I807" i="1" l="1"/>
  <c r="I1655" i="1"/>
  <c r="I4781" i="1"/>
  <c r="H307" i="1"/>
  <c r="J306" i="1"/>
  <c r="I306" i="1"/>
  <c r="H1459" i="1"/>
  <c r="J1458" i="1"/>
  <c r="I1458" i="1"/>
  <c r="H808" i="1"/>
  <c r="J808" i="1" s="1"/>
  <c r="I4496" i="1"/>
  <c r="H4497" i="1"/>
  <c r="J4497" i="1" s="1"/>
  <c r="H1656" i="1"/>
  <c r="J1656" i="1" s="1"/>
  <c r="H4782" i="1"/>
  <c r="J4782" i="1" s="1"/>
  <c r="C4784" i="1"/>
  <c r="F4783" i="1"/>
  <c r="D4783" i="1"/>
  <c r="F809" i="1"/>
  <c r="F1657" i="1"/>
  <c r="F4498" i="1"/>
  <c r="C4499" i="1"/>
  <c r="D4498" i="1"/>
  <c r="F309" i="1"/>
  <c r="D309" i="1"/>
  <c r="C310" i="1"/>
  <c r="C1658" i="1"/>
  <c r="D1657" i="1"/>
  <c r="C810" i="1"/>
  <c r="D809" i="1"/>
  <c r="G4784" i="1" l="1"/>
  <c r="J4784" i="1" s="1"/>
  <c r="I1656" i="1"/>
  <c r="I4497" i="1"/>
  <c r="I808" i="1"/>
  <c r="I4782" i="1"/>
  <c r="H4498" i="1"/>
  <c r="J4498" i="1" s="1"/>
  <c r="H1460" i="1"/>
  <c r="J1459" i="1"/>
  <c r="I1459" i="1"/>
  <c r="H1657" i="1"/>
  <c r="J1657" i="1" s="1"/>
  <c r="H809" i="1"/>
  <c r="J809" i="1" s="1"/>
  <c r="H308" i="1"/>
  <c r="J307" i="1"/>
  <c r="I307" i="1"/>
  <c r="H4783" i="1"/>
  <c r="C4785" i="1"/>
  <c r="G4785" i="1" s="1"/>
  <c r="D4784" i="1"/>
  <c r="F4784" i="1"/>
  <c r="F810" i="1"/>
  <c r="F1658" i="1"/>
  <c r="D4499" i="1"/>
  <c r="F4499" i="1"/>
  <c r="C4500" i="1"/>
  <c r="F310" i="1"/>
  <c r="C311" i="1"/>
  <c r="D310" i="1"/>
  <c r="D1658" i="1"/>
  <c r="C1659" i="1"/>
  <c r="C811" i="1"/>
  <c r="D810" i="1"/>
  <c r="I809" i="1" l="1"/>
  <c r="H810" i="1"/>
  <c r="J810" i="1" s="1"/>
  <c r="H309" i="1"/>
  <c r="J308" i="1"/>
  <c r="I308" i="1"/>
  <c r="H4784" i="1"/>
  <c r="I4784" i="1" s="1"/>
  <c r="I4498" i="1"/>
  <c r="I4783" i="1"/>
  <c r="J4783" i="1"/>
  <c r="I1657" i="1"/>
  <c r="H4499" i="1"/>
  <c r="J4499" i="1" s="1"/>
  <c r="H1658" i="1"/>
  <c r="J1658" i="1" s="1"/>
  <c r="H1461" i="1"/>
  <c r="J1460" i="1"/>
  <c r="I1460" i="1"/>
  <c r="D4785" i="1"/>
  <c r="F4785" i="1"/>
  <c r="C4786" i="1"/>
  <c r="G4786" i="1" s="1"/>
  <c r="F811" i="1"/>
  <c r="F1659" i="1"/>
  <c r="C4501" i="1"/>
  <c r="F4500" i="1"/>
  <c r="D4500" i="1"/>
  <c r="F311" i="1"/>
  <c r="C312" i="1"/>
  <c r="D311" i="1"/>
  <c r="C1660" i="1"/>
  <c r="D1659" i="1"/>
  <c r="C812" i="1"/>
  <c r="D811" i="1"/>
  <c r="I1658" i="1" l="1"/>
  <c r="I4499" i="1"/>
  <c r="H811" i="1"/>
  <c r="J811" i="1" s="1"/>
  <c r="H1462" i="1"/>
  <c r="J1461" i="1"/>
  <c r="I1461" i="1"/>
  <c r="H4500" i="1"/>
  <c r="J4500" i="1" s="1"/>
  <c r="H310" i="1"/>
  <c r="J309" i="1"/>
  <c r="I309" i="1"/>
  <c r="H1659" i="1"/>
  <c r="J1659" i="1" s="1"/>
  <c r="H4785" i="1"/>
  <c r="I4785" i="1" s="1"/>
  <c r="I810" i="1"/>
  <c r="C4787" i="1"/>
  <c r="G4787" i="1" s="1"/>
  <c r="D4786" i="1"/>
  <c r="F4786" i="1"/>
  <c r="F812" i="1"/>
  <c r="F1660" i="1"/>
  <c r="F4501" i="1"/>
  <c r="D4501" i="1"/>
  <c r="C4502" i="1"/>
  <c r="F312" i="1"/>
  <c r="D312" i="1"/>
  <c r="C313" i="1"/>
  <c r="D1660" i="1"/>
  <c r="C1661" i="1"/>
  <c r="C813" i="1"/>
  <c r="D812" i="1"/>
  <c r="I1659" i="1" l="1"/>
  <c r="I4500" i="1"/>
  <c r="H311" i="1"/>
  <c r="J310" i="1"/>
  <c r="I310" i="1"/>
  <c r="H4786" i="1"/>
  <c r="J4785" i="1"/>
  <c r="H812" i="1"/>
  <c r="J812" i="1" s="1"/>
  <c r="H4501" i="1"/>
  <c r="J4501" i="1" s="1"/>
  <c r="H1660" i="1"/>
  <c r="J1660" i="1" s="1"/>
  <c r="H1463" i="1"/>
  <c r="J1462" i="1"/>
  <c r="I1462" i="1"/>
  <c r="I811" i="1"/>
  <c r="F4787" i="1"/>
  <c r="C4788" i="1"/>
  <c r="G4788" i="1" s="1"/>
  <c r="D4787" i="1"/>
  <c r="F813" i="1"/>
  <c r="F1661" i="1"/>
  <c r="F4502" i="1"/>
  <c r="C4503" i="1"/>
  <c r="D4502" i="1"/>
  <c r="F313" i="1"/>
  <c r="C314" i="1"/>
  <c r="D313" i="1"/>
  <c r="C1662" i="1"/>
  <c r="D1661" i="1"/>
  <c r="C814" i="1"/>
  <c r="D813" i="1"/>
  <c r="I1660" i="1" l="1"/>
  <c r="I4501" i="1"/>
  <c r="H4502" i="1"/>
  <c r="J4502" i="1" s="1"/>
  <c r="H4787" i="1"/>
  <c r="J4787" i="1" s="1"/>
  <c r="J4786" i="1"/>
  <c r="H1661" i="1"/>
  <c r="J1661" i="1" s="1"/>
  <c r="I4786" i="1"/>
  <c r="H813" i="1"/>
  <c r="J813" i="1" s="1"/>
  <c r="I812" i="1"/>
  <c r="H312" i="1"/>
  <c r="J311" i="1"/>
  <c r="I311" i="1"/>
  <c r="H1464" i="1"/>
  <c r="J1463" i="1"/>
  <c r="I1463" i="1"/>
  <c r="C4789" i="1"/>
  <c r="G4789" i="1" s="1"/>
  <c r="F4788" i="1"/>
  <c r="D4788" i="1"/>
  <c r="F814" i="1"/>
  <c r="F1662" i="1"/>
  <c r="C4504" i="1"/>
  <c r="D4503" i="1"/>
  <c r="F4503" i="1"/>
  <c r="F314" i="1"/>
  <c r="D314" i="1"/>
  <c r="C315" i="1"/>
  <c r="C1663" i="1"/>
  <c r="D1662" i="1"/>
  <c r="C815" i="1"/>
  <c r="D814" i="1"/>
  <c r="I4787" i="1" l="1"/>
  <c r="H313" i="1"/>
  <c r="J312" i="1"/>
  <c r="I312" i="1"/>
  <c r="I1661" i="1"/>
  <c r="H1465" i="1"/>
  <c r="J1464" i="1"/>
  <c r="I1464" i="1"/>
  <c r="H1662" i="1"/>
  <c r="J1662" i="1" s="1"/>
  <c r="H4788" i="1"/>
  <c r="J4788" i="1" s="1"/>
  <c r="H4503" i="1"/>
  <c r="J4503" i="1" s="1"/>
  <c r="I813" i="1"/>
  <c r="I4502" i="1"/>
  <c r="H814" i="1"/>
  <c r="J814" i="1" s="1"/>
  <c r="C4790" i="1"/>
  <c r="G4790" i="1" s="1"/>
  <c r="F4789" i="1"/>
  <c r="D4789" i="1"/>
  <c r="F815" i="1"/>
  <c r="F1663" i="1"/>
  <c r="F4504" i="1"/>
  <c r="D4504" i="1"/>
  <c r="C4505" i="1"/>
  <c r="F315" i="1"/>
  <c r="C316" i="1"/>
  <c r="D315" i="1"/>
  <c r="C1664" i="1"/>
  <c r="D1663" i="1"/>
  <c r="C816" i="1"/>
  <c r="D815" i="1"/>
  <c r="H4504" i="1" l="1"/>
  <c r="J4504" i="1" s="1"/>
  <c r="I4788" i="1"/>
  <c r="I1662" i="1"/>
  <c r="I4503" i="1"/>
  <c r="H1663" i="1"/>
  <c r="J1663" i="1" s="1"/>
  <c r="I814" i="1"/>
  <c r="H815" i="1"/>
  <c r="J815" i="1" s="1"/>
  <c r="H4789" i="1"/>
  <c r="J4789" i="1" s="1"/>
  <c r="H1466" i="1"/>
  <c r="J1465" i="1"/>
  <c r="I1465" i="1"/>
  <c r="H314" i="1"/>
  <c r="J313" i="1"/>
  <c r="I313" i="1"/>
  <c r="F4790" i="1"/>
  <c r="C4791" i="1"/>
  <c r="G4791" i="1" s="1"/>
  <c r="D4790" i="1"/>
  <c r="F816" i="1"/>
  <c r="F1664" i="1"/>
  <c r="D4505" i="1"/>
  <c r="F4505" i="1"/>
  <c r="F316" i="1"/>
  <c r="C317" i="1"/>
  <c r="D316" i="1"/>
  <c r="C1665" i="1"/>
  <c r="D1664" i="1"/>
  <c r="C817" i="1"/>
  <c r="D816" i="1"/>
  <c r="I4789" i="1" l="1"/>
  <c r="I1663" i="1"/>
  <c r="I815" i="1"/>
  <c r="H4790" i="1"/>
  <c r="J4790" i="1" s="1"/>
  <c r="H1467" i="1"/>
  <c r="J1466" i="1"/>
  <c r="I1466" i="1"/>
  <c r="H4506" i="1"/>
  <c r="I4506" i="1" s="1"/>
  <c r="H4505" i="1"/>
  <c r="H1664" i="1"/>
  <c r="J1664" i="1" s="1"/>
  <c r="H816" i="1"/>
  <c r="J816" i="1" s="1"/>
  <c r="I4504" i="1"/>
  <c r="H315" i="1"/>
  <c r="J314" i="1"/>
  <c r="I314" i="1"/>
  <c r="C4792" i="1"/>
  <c r="G4792" i="1" s="1"/>
  <c r="D4791" i="1"/>
  <c r="F4791" i="1"/>
  <c r="F817" i="1"/>
  <c r="F1665" i="1"/>
  <c r="F317" i="1"/>
  <c r="D317" i="1"/>
  <c r="C318" i="1"/>
  <c r="C1666" i="1"/>
  <c r="D1665" i="1"/>
  <c r="C818" i="1"/>
  <c r="D817" i="1"/>
  <c r="I816" i="1" l="1"/>
  <c r="H1468" i="1"/>
  <c r="J1467" i="1"/>
  <c r="I1467" i="1"/>
  <c r="H1665" i="1"/>
  <c r="J1665" i="1" s="1"/>
  <c r="H817" i="1"/>
  <c r="J817" i="1" s="1"/>
  <c r="I1664" i="1"/>
  <c r="I4790" i="1"/>
  <c r="H4791" i="1"/>
  <c r="J4791" i="1" s="1"/>
  <c r="H316" i="1"/>
  <c r="J315" i="1"/>
  <c r="I315" i="1"/>
  <c r="I4505" i="1"/>
  <c r="J4505" i="1"/>
  <c r="D4792" i="1"/>
  <c r="C4793" i="1"/>
  <c r="G4793" i="1" s="1"/>
  <c r="F4792" i="1"/>
  <c r="F818" i="1"/>
  <c r="F1666" i="1"/>
  <c r="F318" i="1"/>
  <c r="C319" i="1"/>
  <c r="D318" i="1"/>
  <c r="C1667" i="1"/>
  <c r="D1666" i="1"/>
  <c r="C819" i="1"/>
  <c r="D818" i="1"/>
  <c r="I817" i="1" l="1"/>
  <c r="I1665" i="1"/>
  <c r="I4791" i="1"/>
  <c r="H1469" i="1"/>
  <c r="J1468" i="1"/>
  <c r="I1468" i="1"/>
  <c r="H317" i="1"/>
  <c r="J316" i="1"/>
  <c r="I316" i="1"/>
  <c r="H1666" i="1"/>
  <c r="J1666" i="1" s="1"/>
  <c r="H4792" i="1"/>
  <c r="J4792" i="1" s="1"/>
  <c r="H818" i="1"/>
  <c r="J818" i="1" s="1"/>
  <c r="D4793" i="1"/>
  <c r="F4793" i="1"/>
  <c r="C4794" i="1"/>
  <c r="G4794" i="1" s="1"/>
  <c r="F819" i="1"/>
  <c r="F1667" i="1"/>
  <c r="F319" i="1"/>
  <c r="D319" i="1"/>
  <c r="C320" i="1"/>
  <c r="C1668" i="1"/>
  <c r="D1667" i="1"/>
  <c r="C820" i="1"/>
  <c r="D819" i="1"/>
  <c r="I818" i="1" l="1"/>
  <c r="I1666" i="1"/>
  <c r="H4793" i="1"/>
  <c r="J4793" i="1" s="1"/>
  <c r="H1667" i="1"/>
  <c r="J1667" i="1" s="1"/>
  <c r="H819" i="1"/>
  <c r="J819" i="1" s="1"/>
  <c r="I4792" i="1"/>
  <c r="H1470" i="1"/>
  <c r="J1469" i="1"/>
  <c r="I1469" i="1"/>
  <c r="H318" i="1"/>
  <c r="J317" i="1"/>
  <c r="I317" i="1"/>
  <c r="C4795" i="1"/>
  <c r="G4795" i="1" s="1"/>
  <c r="F4794" i="1"/>
  <c r="D4794" i="1"/>
  <c r="F820" i="1"/>
  <c r="F1668" i="1"/>
  <c r="F320" i="1"/>
  <c r="C321" i="1"/>
  <c r="D320" i="1"/>
  <c r="D1668" i="1"/>
  <c r="C1669" i="1"/>
  <c r="C821" i="1"/>
  <c r="D820" i="1"/>
  <c r="I1667" i="1" l="1"/>
  <c r="I4793" i="1"/>
  <c r="H319" i="1"/>
  <c r="J318" i="1"/>
  <c r="I318" i="1"/>
  <c r="I819" i="1"/>
  <c r="H1668" i="1"/>
  <c r="J1668" i="1" s="1"/>
  <c r="H820" i="1"/>
  <c r="J820" i="1" s="1"/>
  <c r="H1471" i="1"/>
  <c r="J1470" i="1"/>
  <c r="I1470" i="1"/>
  <c r="H4794" i="1"/>
  <c r="J4794" i="1" s="1"/>
  <c r="C4796" i="1"/>
  <c r="G4796" i="1" s="1"/>
  <c r="F4795" i="1"/>
  <c r="D4795" i="1"/>
  <c r="F821" i="1"/>
  <c r="F1669" i="1"/>
  <c r="F321" i="1"/>
  <c r="D321" i="1"/>
  <c r="C322" i="1"/>
  <c r="C1670" i="1"/>
  <c r="D1669" i="1"/>
  <c r="C822" i="1"/>
  <c r="D821" i="1"/>
  <c r="I1668" i="1" l="1"/>
  <c r="H4795" i="1"/>
  <c r="J4795" i="1" s="1"/>
  <c r="H821" i="1"/>
  <c r="J821" i="1" s="1"/>
  <c r="H1472" i="1"/>
  <c r="J1471" i="1"/>
  <c r="I1471" i="1"/>
  <c r="I820" i="1"/>
  <c r="H1669" i="1"/>
  <c r="J1669" i="1" s="1"/>
  <c r="I4794" i="1"/>
  <c r="H320" i="1"/>
  <c r="J319" i="1"/>
  <c r="I319" i="1"/>
  <c r="D4796" i="1"/>
  <c r="F4796" i="1"/>
  <c r="C4797" i="1"/>
  <c r="G4797" i="1" s="1"/>
  <c r="F822" i="1"/>
  <c r="F1670" i="1"/>
  <c r="F322" i="1"/>
  <c r="C323" i="1"/>
  <c r="D322" i="1"/>
  <c r="D1670" i="1"/>
  <c r="C1671" i="1"/>
  <c r="C823" i="1"/>
  <c r="D822" i="1"/>
  <c r="I1669" i="1" l="1"/>
  <c r="H1670" i="1"/>
  <c r="J1670" i="1" s="1"/>
  <c r="H822" i="1"/>
  <c r="J822" i="1" s="1"/>
  <c r="H1473" i="1"/>
  <c r="J1472" i="1"/>
  <c r="I1472" i="1"/>
  <c r="H321" i="1"/>
  <c r="J320" i="1"/>
  <c r="I320" i="1"/>
  <c r="I821" i="1"/>
  <c r="I4795" i="1"/>
  <c r="H4796" i="1"/>
  <c r="J4796" i="1" s="1"/>
  <c r="F4797" i="1"/>
  <c r="C4798" i="1"/>
  <c r="G4798" i="1" s="1"/>
  <c r="D4797" i="1"/>
  <c r="F823" i="1"/>
  <c r="F1671" i="1"/>
  <c r="F323" i="1"/>
  <c r="D323" i="1"/>
  <c r="C324" i="1"/>
  <c r="C1672" i="1"/>
  <c r="D1671" i="1"/>
  <c r="C824" i="1"/>
  <c r="D823" i="1"/>
  <c r="I4796" i="1" l="1"/>
  <c r="H1671" i="1"/>
  <c r="J1671" i="1" s="1"/>
  <c r="H1474" i="1"/>
  <c r="J1473" i="1"/>
  <c r="I1473" i="1"/>
  <c r="I822" i="1"/>
  <c r="H823" i="1"/>
  <c r="J823" i="1" s="1"/>
  <c r="H4797" i="1"/>
  <c r="J4797" i="1" s="1"/>
  <c r="I1670" i="1"/>
  <c r="H322" i="1"/>
  <c r="J321" i="1"/>
  <c r="I321" i="1"/>
  <c r="C4799" i="1"/>
  <c r="G4799" i="1" s="1"/>
  <c r="F4798" i="1"/>
  <c r="D4798" i="1"/>
  <c r="F824" i="1"/>
  <c r="F1672" i="1"/>
  <c r="F324" i="1"/>
  <c r="D324" i="1"/>
  <c r="C325" i="1"/>
  <c r="C1673" i="1"/>
  <c r="D1672" i="1"/>
  <c r="C825" i="1"/>
  <c r="D824" i="1"/>
  <c r="I4797" i="1" l="1"/>
  <c r="H824" i="1"/>
  <c r="J824" i="1" s="1"/>
  <c r="I823" i="1"/>
  <c r="H4798" i="1"/>
  <c r="J4798" i="1" s="1"/>
  <c r="H1672" i="1"/>
  <c r="J1672" i="1" s="1"/>
  <c r="H1475" i="1"/>
  <c r="J1474" i="1"/>
  <c r="I1474" i="1"/>
  <c r="H323" i="1"/>
  <c r="J322" i="1"/>
  <c r="I322" i="1"/>
  <c r="I1671" i="1"/>
  <c r="F4799" i="1"/>
  <c r="D4799" i="1"/>
  <c r="C4800" i="1"/>
  <c r="G4800" i="1" s="1"/>
  <c r="F825" i="1"/>
  <c r="F1673" i="1"/>
  <c r="F325" i="1"/>
  <c r="C326" i="1"/>
  <c r="D325" i="1"/>
  <c r="C1674" i="1"/>
  <c r="D1673" i="1"/>
  <c r="C826" i="1"/>
  <c r="D825" i="1"/>
  <c r="I1672" i="1" l="1"/>
  <c r="I4798" i="1"/>
  <c r="H1476" i="1"/>
  <c r="J1475" i="1"/>
  <c r="I1475" i="1"/>
  <c r="H4799" i="1"/>
  <c r="J4799" i="1" s="1"/>
  <c r="I824" i="1"/>
  <c r="H825" i="1"/>
  <c r="J825" i="1" s="1"/>
  <c r="H324" i="1"/>
  <c r="J323" i="1"/>
  <c r="I323" i="1"/>
  <c r="H1673" i="1"/>
  <c r="J1673" i="1" s="1"/>
  <c r="F4800" i="1"/>
  <c r="D4800" i="1"/>
  <c r="C4801" i="1"/>
  <c r="G4801" i="1" s="1"/>
  <c r="F826" i="1"/>
  <c r="F1674" i="1"/>
  <c r="F326" i="1"/>
  <c r="C327" i="1"/>
  <c r="D326" i="1"/>
  <c r="C1675" i="1"/>
  <c r="D1674" i="1"/>
  <c r="C827" i="1"/>
  <c r="D826" i="1"/>
  <c r="I1673" i="1" l="1"/>
  <c r="I825" i="1"/>
  <c r="I4799" i="1"/>
  <c r="H1674" i="1"/>
  <c r="J1674" i="1" s="1"/>
  <c r="H826" i="1"/>
  <c r="J826" i="1" s="1"/>
  <c r="H325" i="1"/>
  <c r="J324" i="1"/>
  <c r="I324" i="1"/>
  <c r="H4800" i="1"/>
  <c r="J4800" i="1" s="1"/>
  <c r="H1477" i="1"/>
  <c r="J1476" i="1"/>
  <c r="I1476" i="1"/>
  <c r="C4802" i="1"/>
  <c r="G4802" i="1" s="1"/>
  <c r="F4801" i="1"/>
  <c r="D4801" i="1"/>
  <c r="F827" i="1"/>
  <c r="F1675" i="1"/>
  <c r="F327" i="1"/>
  <c r="C328" i="1"/>
  <c r="D327" i="1"/>
  <c r="C1676" i="1"/>
  <c r="D1675" i="1"/>
  <c r="C828" i="1"/>
  <c r="D827" i="1"/>
  <c r="H1675" i="1" l="1"/>
  <c r="J1675" i="1" s="1"/>
  <c r="I4800" i="1"/>
  <c r="H827" i="1"/>
  <c r="J827" i="1" s="1"/>
  <c r="H326" i="1"/>
  <c r="J325" i="1"/>
  <c r="I325" i="1"/>
  <c r="I826" i="1"/>
  <c r="H4801" i="1"/>
  <c r="J4801" i="1" s="1"/>
  <c r="H1478" i="1"/>
  <c r="J1477" i="1"/>
  <c r="I1477" i="1"/>
  <c r="I1674" i="1"/>
  <c r="F4802" i="1"/>
  <c r="C4803" i="1"/>
  <c r="G4803" i="1" s="1"/>
  <c r="D4802" i="1"/>
  <c r="F828" i="1"/>
  <c r="F1676" i="1"/>
  <c r="F328" i="1"/>
  <c r="C329" i="1"/>
  <c r="D328" i="1"/>
  <c r="D1676" i="1"/>
  <c r="C1677" i="1"/>
  <c r="C829" i="1"/>
  <c r="D828" i="1"/>
  <c r="H828" i="1" l="1"/>
  <c r="J828" i="1" s="1"/>
  <c r="H4802" i="1"/>
  <c r="J4802" i="1" s="1"/>
  <c r="I4801" i="1"/>
  <c r="H327" i="1"/>
  <c r="J326" i="1"/>
  <c r="I326" i="1"/>
  <c r="H1676" i="1"/>
  <c r="J1676" i="1" s="1"/>
  <c r="I827" i="1"/>
  <c r="I1675" i="1"/>
  <c r="H1479" i="1"/>
  <c r="J1478" i="1"/>
  <c r="I1478" i="1"/>
  <c r="F4803" i="1"/>
  <c r="C4804" i="1"/>
  <c r="G4804" i="1" s="1"/>
  <c r="D4803" i="1"/>
  <c r="F829" i="1"/>
  <c r="F1677" i="1"/>
  <c r="F329" i="1"/>
  <c r="C330" i="1"/>
  <c r="D329" i="1"/>
  <c r="C1678" i="1"/>
  <c r="D1677" i="1"/>
  <c r="C830" i="1"/>
  <c r="D829" i="1"/>
  <c r="H328" i="1" l="1"/>
  <c r="J327" i="1"/>
  <c r="I327" i="1"/>
  <c r="I1676" i="1"/>
  <c r="I4802" i="1"/>
  <c r="H1677" i="1"/>
  <c r="J1677" i="1" s="1"/>
  <c r="H829" i="1"/>
  <c r="J829" i="1" s="1"/>
  <c r="I828" i="1"/>
  <c r="H4803" i="1"/>
  <c r="J4803" i="1" s="1"/>
  <c r="H1480" i="1"/>
  <c r="J1479" i="1"/>
  <c r="I1479" i="1"/>
  <c r="F4804" i="1"/>
  <c r="D4804" i="1"/>
  <c r="C4805" i="1"/>
  <c r="F830" i="1"/>
  <c r="F1678" i="1"/>
  <c r="F330" i="1"/>
  <c r="C331" i="1"/>
  <c r="D330" i="1"/>
  <c r="C1679" i="1"/>
  <c r="D1678" i="1"/>
  <c r="C831" i="1"/>
  <c r="D830" i="1"/>
  <c r="H4804" i="1" l="1"/>
  <c r="I4804" i="1" s="1"/>
  <c r="G4805" i="1"/>
  <c r="J4805" i="1" s="1"/>
  <c r="I829" i="1"/>
  <c r="H1678" i="1"/>
  <c r="J1678" i="1" s="1"/>
  <c r="I4803" i="1"/>
  <c r="H830" i="1"/>
  <c r="J830" i="1" s="1"/>
  <c r="I1677" i="1"/>
  <c r="H1481" i="1"/>
  <c r="J1480" i="1"/>
  <c r="I1480" i="1"/>
  <c r="H329" i="1"/>
  <c r="J328" i="1"/>
  <c r="I328" i="1"/>
  <c r="F4805" i="1"/>
  <c r="C4806" i="1"/>
  <c r="G4806" i="1" s="1"/>
  <c r="D4805" i="1"/>
  <c r="F831" i="1"/>
  <c r="F1679" i="1"/>
  <c r="F331" i="1"/>
  <c r="C332" i="1"/>
  <c r="D331" i="1"/>
  <c r="C1680" i="1"/>
  <c r="D1679" i="1"/>
  <c r="C832" i="1"/>
  <c r="D831" i="1"/>
  <c r="J4804" i="1" l="1"/>
  <c r="H4805" i="1"/>
  <c r="I4805" i="1" s="1"/>
  <c r="H1679" i="1"/>
  <c r="J1679" i="1" s="1"/>
  <c r="I1678" i="1"/>
  <c r="H330" i="1"/>
  <c r="J329" i="1"/>
  <c r="I329" i="1"/>
  <c r="H1482" i="1"/>
  <c r="J1481" i="1"/>
  <c r="I1481" i="1"/>
  <c r="H831" i="1"/>
  <c r="J831" i="1" s="1"/>
  <c r="I830" i="1"/>
  <c r="C4807" i="1"/>
  <c r="G4807" i="1" s="1"/>
  <c r="D4806" i="1"/>
  <c r="F4806" i="1"/>
  <c r="F832" i="1"/>
  <c r="F1680" i="1"/>
  <c r="F332" i="1"/>
  <c r="C333" i="1"/>
  <c r="D332" i="1"/>
  <c r="D1680" i="1"/>
  <c r="C1681" i="1"/>
  <c r="C833" i="1"/>
  <c r="D832" i="1"/>
  <c r="I1679" i="1" l="1"/>
  <c r="I831" i="1"/>
  <c r="H4806" i="1"/>
  <c r="J4806" i="1" s="1"/>
  <c r="H1483" i="1"/>
  <c r="J1482" i="1"/>
  <c r="I1482" i="1"/>
  <c r="H1680" i="1"/>
  <c r="J1680" i="1" s="1"/>
  <c r="H832" i="1"/>
  <c r="J832" i="1" s="1"/>
  <c r="H331" i="1"/>
  <c r="J330" i="1"/>
  <c r="I330" i="1"/>
  <c r="D4807" i="1"/>
  <c r="C4808" i="1"/>
  <c r="G4808" i="1" s="1"/>
  <c r="F4807" i="1"/>
  <c r="F833" i="1"/>
  <c r="F1681" i="1"/>
  <c r="F333" i="1"/>
  <c r="C334" i="1"/>
  <c r="D333" i="1"/>
  <c r="C1682" i="1"/>
  <c r="D1681" i="1"/>
  <c r="C834" i="1"/>
  <c r="D833" i="1"/>
  <c r="I1680" i="1" l="1"/>
  <c r="I832" i="1"/>
  <c r="H833" i="1"/>
  <c r="J833" i="1" s="1"/>
  <c r="H1681" i="1"/>
  <c r="J1681" i="1" s="1"/>
  <c r="H4807" i="1"/>
  <c r="I4807" i="1" s="1"/>
  <c r="H332" i="1"/>
  <c r="J331" i="1"/>
  <c r="I331" i="1"/>
  <c r="H1484" i="1"/>
  <c r="J1483" i="1"/>
  <c r="I1483" i="1"/>
  <c r="I4806" i="1"/>
  <c r="F4808" i="1"/>
  <c r="C4809" i="1"/>
  <c r="G4809" i="1" s="1"/>
  <c r="D4808" i="1"/>
  <c r="F834" i="1"/>
  <c r="F1682" i="1"/>
  <c r="F334" i="1"/>
  <c r="C335" i="1"/>
  <c r="D334" i="1"/>
  <c r="D1682" i="1"/>
  <c r="C1683" i="1"/>
  <c r="C835" i="1"/>
  <c r="D834" i="1"/>
  <c r="I833" i="1" l="1"/>
  <c r="H333" i="1"/>
  <c r="J332" i="1"/>
  <c r="I332" i="1"/>
  <c r="H4808" i="1"/>
  <c r="J4807" i="1"/>
  <c r="H1682" i="1"/>
  <c r="J1682" i="1" s="1"/>
  <c r="I1681" i="1"/>
  <c r="H834" i="1"/>
  <c r="J834" i="1" s="1"/>
  <c r="H1485" i="1"/>
  <c r="J1484" i="1"/>
  <c r="I1484" i="1"/>
  <c r="C4810" i="1"/>
  <c r="G4810" i="1" s="1"/>
  <c r="F4809" i="1"/>
  <c r="D4809" i="1"/>
  <c r="F835" i="1"/>
  <c r="F1683" i="1"/>
  <c r="F335" i="1"/>
  <c r="C336" i="1"/>
  <c r="D335" i="1"/>
  <c r="C1684" i="1"/>
  <c r="D1683" i="1"/>
  <c r="C836" i="1"/>
  <c r="D835" i="1"/>
  <c r="I834" i="1" l="1"/>
  <c r="H4809" i="1"/>
  <c r="I4809" i="1" s="1"/>
  <c r="I4808" i="1"/>
  <c r="J4808" i="1"/>
  <c r="H1683" i="1"/>
  <c r="J1683" i="1" s="1"/>
  <c r="H1486" i="1"/>
  <c r="J1485" i="1"/>
  <c r="I1485" i="1"/>
  <c r="H334" i="1"/>
  <c r="J333" i="1"/>
  <c r="I333" i="1"/>
  <c r="H835" i="1"/>
  <c r="J835" i="1" s="1"/>
  <c r="I1682" i="1"/>
  <c r="C4811" i="1"/>
  <c r="G4811" i="1" s="1"/>
  <c r="D4810" i="1"/>
  <c r="F4810" i="1"/>
  <c r="F836" i="1"/>
  <c r="F1684" i="1"/>
  <c r="F336" i="1"/>
  <c r="C337" i="1"/>
  <c r="D336" i="1"/>
  <c r="C1685" i="1"/>
  <c r="D1684" i="1"/>
  <c r="C837" i="1"/>
  <c r="D836" i="1"/>
  <c r="I835" i="1" l="1"/>
  <c r="H335" i="1"/>
  <c r="J334" i="1"/>
  <c r="I334" i="1"/>
  <c r="H1684" i="1"/>
  <c r="J1684" i="1" s="1"/>
  <c r="H836" i="1"/>
  <c r="J836" i="1" s="1"/>
  <c r="H1487" i="1"/>
  <c r="J1486" i="1"/>
  <c r="I1486" i="1"/>
  <c r="I1683" i="1"/>
  <c r="H4810" i="1"/>
  <c r="J4810" i="1" s="1"/>
  <c r="J4809" i="1"/>
  <c r="D4811" i="1"/>
  <c r="F4811" i="1"/>
  <c r="C4812" i="1"/>
  <c r="G4812" i="1" s="1"/>
  <c r="F837" i="1"/>
  <c r="F1685" i="1"/>
  <c r="F337" i="1"/>
  <c r="C338" i="1"/>
  <c r="D337" i="1"/>
  <c r="C1686" i="1"/>
  <c r="D1685" i="1"/>
  <c r="C838" i="1"/>
  <c r="D837" i="1"/>
  <c r="I1684" i="1" l="1"/>
  <c r="H837" i="1"/>
  <c r="J837" i="1" s="1"/>
  <c r="H4811" i="1"/>
  <c r="H1488" i="1"/>
  <c r="J1487" i="1"/>
  <c r="I1487" i="1"/>
  <c r="I4810" i="1"/>
  <c r="I836" i="1"/>
  <c r="H1685" i="1"/>
  <c r="J1685" i="1" s="1"/>
  <c r="H336" i="1"/>
  <c r="J335" i="1"/>
  <c r="I335" i="1"/>
  <c r="D4812" i="1"/>
  <c r="C4813" i="1"/>
  <c r="G4813" i="1" s="1"/>
  <c r="F4812" i="1"/>
  <c r="F838" i="1"/>
  <c r="F1686" i="1"/>
  <c r="F338" i="1"/>
  <c r="C339" i="1"/>
  <c r="D338" i="1"/>
  <c r="D1686" i="1"/>
  <c r="C1687" i="1"/>
  <c r="C839" i="1"/>
  <c r="D838" i="1"/>
  <c r="H1489" i="1" l="1"/>
  <c r="J1488" i="1"/>
  <c r="I1488" i="1"/>
  <c r="H838" i="1"/>
  <c r="J838" i="1" s="1"/>
  <c r="H4812" i="1"/>
  <c r="J4812" i="1" s="1"/>
  <c r="I4811" i="1"/>
  <c r="J4811" i="1"/>
  <c r="H1686" i="1"/>
  <c r="J1686" i="1" s="1"/>
  <c r="H337" i="1"/>
  <c r="J336" i="1"/>
  <c r="I336" i="1"/>
  <c r="I1685" i="1"/>
  <c r="I837" i="1"/>
  <c r="C4814" i="1"/>
  <c r="G4814" i="1" s="1"/>
  <c r="F4813" i="1"/>
  <c r="D4813" i="1"/>
  <c r="F839" i="1"/>
  <c r="F1687" i="1"/>
  <c r="F339" i="1"/>
  <c r="C340" i="1"/>
  <c r="D339" i="1"/>
  <c r="C1688" i="1"/>
  <c r="D1687" i="1"/>
  <c r="C840" i="1"/>
  <c r="D839" i="1"/>
  <c r="H4813" i="1" l="1"/>
  <c r="J4813" i="1" s="1"/>
  <c r="I4812" i="1"/>
  <c r="H839" i="1"/>
  <c r="J839" i="1" s="1"/>
  <c r="H1490" i="1"/>
  <c r="J1489" i="1"/>
  <c r="I1489" i="1"/>
  <c r="H1687" i="1"/>
  <c r="J1687" i="1" s="1"/>
  <c r="H338" i="1"/>
  <c r="J337" i="1"/>
  <c r="I337" i="1"/>
  <c r="I838" i="1"/>
  <c r="I1686" i="1"/>
  <c r="C4815" i="1"/>
  <c r="G4815" i="1" s="1"/>
  <c r="D4814" i="1"/>
  <c r="F4814" i="1"/>
  <c r="F840" i="1"/>
  <c r="F1688" i="1"/>
  <c r="F340" i="1"/>
  <c r="C341" i="1"/>
  <c r="D340" i="1"/>
  <c r="D1688" i="1"/>
  <c r="C1689" i="1"/>
  <c r="C841" i="1"/>
  <c r="D840" i="1"/>
  <c r="I839" i="1" l="1"/>
  <c r="H1491" i="1"/>
  <c r="J1490" i="1"/>
  <c r="I1490" i="1"/>
  <c r="H4814" i="1"/>
  <c r="J4814" i="1" s="1"/>
  <c r="H1688" i="1"/>
  <c r="J1688" i="1" s="1"/>
  <c r="H339" i="1"/>
  <c r="J338" i="1"/>
  <c r="I338" i="1"/>
  <c r="H840" i="1"/>
  <c r="J840" i="1" s="1"/>
  <c r="I1687" i="1"/>
  <c r="I4813" i="1"/>
  <c r="C4816" i="1"/>
  <c r="G4816" i="1" s="1"/>
  <c r="F4815" i="1"/>
  <c r="D4815" i="1"/>
  <c r="F841" i="1"/>
  <c r="F1689" i="1"/>
  <c r="F341" i="1"/>
  <c r="C342" i="1"/>
  <c r="D341" i="1"/>
  <c r="C1690" i="1"/>
  <c r="D1689" i="1"/>
  <c r="C842" i="1"/>
  <c r="D841" i="1"/>
  <c r="H4815" i="1" l="1"/>
  <c r="J4815" i="1" s="1"/>
  <c r="I840" i="1"/>
  <c r="I1688" i="1"/>
  <c r="H1689" i="1"/>
  <c r="J1689" i="1" s="1"/>
  <c r="H1492" i="1"/>
  <c r="J1491" i="1"/>
  <c r="I1491" i="1"/>
  <c r="H340" i="1"/>
  <c r="J339" i="1"/>
  <c r="I339" i="1"/>
  <c r="H841" i="1"/>
  <c r="J841" i="1" s="1"/>
  <c r="I4814" i="1"/>
  <c r="D4816" i="1"/>
  <c r="C4817" i="1"/>
  <c r="G4817" i="1" s="1"/>
  <c r="F4816" i="1"/>
  <c r="F842" i="1"/>
  <c r="F1690" i="1"/>
  <c r="F342" i="1"/>
  <c r="C343" i="1"/>
  <c r="D342" i="1"/>
  <c r="D1690" i="1"/>
  <c r="C1691" i="1"/>
  <c r="C843" i="1"/>
  <c r="D842" i="1"/>
  <c r="I841" i="1" l="1"/>
  <c r="I1689" i="1"/>
  <c r="H1690" i="1"/>
  <c r="J1690" i="1" s="1"/>
  <c r="H842" i="1"/>
  <c r="J842" i="1" s="1"/>
  <c r="H4816" i="1"/>
  <c r="J4816" i="1" s="1"/>
  <c r="H341" i="1"/>
  <c r="J340" i="1"/>
  <c r="I340" i="1"/>
  <c r="I4815" i="1"/>
  <c r="H1493" i="1"/>
  <c r="J1492" i="1"/>
  <c r="I1492" i="1"/>
  <c r="F4817" i="1"/>
  <c r="C4818" i="1"/>
  <c r="G4818" i="1" s="1"/>
  <c r="D4817" i="1"/>
  <c r="F843" i="1"/>
  <c r="F1691" i="1"/>
  <c r="F343" i="1"/>
  <c r="C344" i="1"/>
  <c r="D343" i="1"/>
  <c r="C1692" i="1"/>
  <c r="D1691" i="1"/>
  <c r="C844" i="1"/>
  <c r="D843" i="1"/>
  <c r="H1494" i="1" l="1"/>
  <c r="J1493" i="1"/>
  <c r="I1493" i="1"/>
  <c r="I842" i="1"/>
  <c r="H1691" i="1"/>
  <c r="J1691" i="1" s="1"/>
  <c r="H342" i="1"/>
  <c r="J341" i="1"/>
  <c r="I341" i="1"/>
  <c r="H843" i="1"/>
  <c r="J843" i="1" s="1"/>
  <c r="I4816" i="1"/>
  <c r="I1690" i="1"/>
  <c r="H4817" i="1"/>
  <c r="J4817" i="1" s="1"/>
  <c r="C4819" i="1"/>
  <c r="G4819" i="1" s="1"/>
  <c r="F4818" i="1"/>
  <c r="D4818" i="1"/>
  <c r="F844" i="1"/>
  <c r="F1692" i="1"/>
  <c r="F344" i="1"/>
  <c r="D344" i="1"/>
  <c r="C345" i="1"/>
  <c r="D1692" i="1"/>
  <c r="C1693" i="1"/>
  <c r="C845" i="1"/>
  <c r="D844" i="1"/>
  <c r="H4818" i="1" l="1"/>
  <c r="J4818" i="1" s="1"/>
  <c r="H844" i="1"/>
  <c r="J844" i="1" s="1"/>
  <c r="I4817" i="1"/>
  <c r="H343" i="1"/>
  <c r="J342" i="1"/>
  <c r="I342" i="1"/>
  <c r="H1495" i="1"/>
  <c r="J1494" i="1"/>
  <c r="I1494" i="1"/>
  <c r="I1691" i="1"/>
  <c r="H1692" i="1"/>
  <c r="J1692" i="1" s="1"/>
  <c r="I843" i="1"/>
  <c r="F4819" i="1"/>
  <c r="C4820" i="1"/>
  <c r="G4820" i="1" s="1"/>
  <c r="D4819" i="1"/>
  <c r="F845" i="1"/>
  <c r="F1693" i="1"/>
  <c r="F345" i="1"/>
  <c r="D345" i="1"/>
  <c r="C346" i="1"/>
  <c r="C1694" i="1"/>
  <c r="D1693" i="1"/>
  <c r="C846" i="1"/>
  <c r="D845" i="1"/>
  <c r="I844" i="1" l="1"/>
  <c r="I1692" i="1"/>
  <c r="H1496" i="1"/>
  <c r="J1495" i="1"/>
  <c r="I1495" i="1"/>
  <c r="H845" i="1"/>
  <c r="J845" i="1" s="1"/>
  <c r="H344" i="1"/>
  <c r="J343" i="1"/>
  <c r="I343" i="1"/>
  <c r="I4818" i="1"/>
  <c r="H4819" i="1"/>
  <c r="J4819" i="1" s="1"/>
  <c r="H1693" i="1"/>
  <c r="J1693" i="1" s="1"/>
  <c r="F4820" i="1"/>
  <c r="C4821" i="1"/>
  <c r="G4821" i="1" s="1"/>
  <c r="D4820" i="1"/>
  <c r="F846" i="1"/>
  <c r="F1694" i="1"/>
  <c r="F346" i="1"/>
  <c r="D346" i="1"/>
  <c r="C347" i="1"/>
  <c r="D1694" i="1"/>
  <c r="C1695" i="1"/>
  <c r="C847" i="1"/>
  <c r="D846" i="1"/>
  <c r="H4820" i="1" l="1"/>
  <c r="J4820" i="1" s="1"/>
  <c r="I4819" i="1"/>
  <c r="I845" i="1"/>
  <c r="H1694" i="1"/>
  <c r="J1694" i="1" s="1"/>
  <c r="H846" i="1"/>
  <c r="J846" i="1" s="1"/>
  <c r="I1693" i="1"/>
  <c r="H1497" i="1"/>
  <c r="J1496" i="1"/>
  <c r="I1496" i="1"/>
  <c r="H345" i="1"/>
  <c r="J344" i="1"/>
  <c r="I344" i="1"/>
  <c r="D4821" i="1"/>
  <c r="C4822" i="1"/>
  <c r="G4822" i="1" s="1"/>
  <c r="F4821" i="1"/>
  <c r="F847" i="1"/>
  <c r="F1695" i="1"/>
  <c r="F347" i="1"/>
  <c r="C348" i="1"/>
  <c r="D347" i="1"/>
  <c r="C1696" i="1"/>
  <c r="D1695" i="1"/>
  <c r="C848" i="1"/>
  <c r="D847" i="1"/>
  <c r="H346" i="1" l="1"/>
  <c r="J345" i="1"/>
  <c r="I345" i="1"/>
  <c r="I846" i="1"/>
  <c r="I1694" i="1"/>
  <c r="H847" i="1"/>
  <c r="J847" i="1" s="1"/>
  <c r="I4820" i="1"/>
  <c r="H1695" i="1"/>
  <c r="J1695" i="1" s="1"/>
  <c r="H1498" i="1"/>
  <c r="J1497" i="1"/>
  <c r="I1497" i="1"/>
  <c r="H4821" i="1"/>
  <c r="J4821" i="1" s="1"/>
  <c r="F4822" i="1"/>
  <c r="D4822" i="1"/>
  <c r="C4823" i="1"/>
  <c r="G4823" i="1" s="1"/>
  <c r="F848" i="1"/>
  <c r="F1696" i="1"/>
  <c r="F348" i="1"/>
  <c r="C349" i="1"/>
  <c r="D348" i="1"/>
  <c r="D1696" i="1"/>
  <c r="C1697" i="1"/>
  <c r="C849" i="1"/>
  <c r="D848" i="1"/>
  <c r="I847" i="1" l="1"/>
  <c r="I4821" i="1"/>
  <c r="I1695" i="1"/>
  <c r="H1499" i="1"/>
  <c r="J1498" i="1"/>
  <c r="I1498" i="1"/>
  <c r="H1696" i="1"/>
  <c r="J1696" i="1" s="1"/>
  <c r="H848" i="1"/>
  <c r="J848" i="1" s="1"/>
  <c r="H4822" i="1"/>
  <c r="J4822" i="1" s="1"/>
  <c r="H347" i="1"/>
  <c r="J346" i="1"/>
  <c r="I346" i="1"/>
  <c r="D4823" i="1"/>
  <c r="C4824" i="1"/>
  <c r="G4824" i="1" s="1"/>
  <c r="F4823" i="1"/>
  <c r="F849" i="1"/>
  <c r="F1697" i="1"/>
  <c r="F349" i="1"/>
  <c r="C350" i="1"/>
  <c r="D349" i="1"/>
  <c r="C1698" i="1"/>
  <c r="D1697" i="1"/>
  <c r="C850" i="1"/>
  <c r="D849" i="1"/>
  <c r="I4822" i="1" l="1"/>
  <c r="I848" i="1"/>
  <c r="H1697" i="1"/>
  <c r="J1697" i="1" s="1"/>
  <c r="H4823" i="1"/>
  <c r="J4823" i="1" s="1"/>
  <c r="H1500" i="1"/>
  <c r="J1499" i="1"/>
  <c r="I1499" i="1"/>
  <c r="H849" i="1"/>
  <c r="J849" i="1" s="1"/>
  <c r="H348" i="1"/>
  <c r="J347" i="1"/>
  <c r="I347" i="1"/>
  <c r="I1696" i="1"/>
  <c r="C4825" i="1"/>
  <c r="G4825" i="1" s="1"/>
  <c r="F4824" i="1"/>
  <c r="D4824" i="1"/>
  <c r="F850" i="1"/>
  <c r="F1698" i="1"/>
  <c r="F350" i="1"/>
  <c r="D350" i="1"/>
  <c r="C351" i="1"/>
  <c r="C1699" i="1"/>
  <c r="D1698" i="1"/>
  <c r="C851" i="1"/>
  <c r="D850" i="1"/>
  <c r="I849" i="1" l="1"/>
  <c r="H850" i="1"/>
  <c r="J850" i="1" s="1"/>
  <c r="H4824" i="1"/>
  <c r="J4824" i="1" s="1"/>
  <c r="H349" i="1"/>
  <c r="J348" i="1"/>
  <c r="I348" i="1"/>
  <c r="H1698" i="1"/>
  <c r="J1698" i="1" s="1"/>
  <c r="I1697" i="1"/>
  <c r="H1501" i="1"/>
  <c r="J1500" i="1"/>
  <c r="I1500" i="1"/>
  <c r="I4823" i="1"/>
  <c r="C4826" i="1"/>
  <c r="D4825" i="1"/>
  <c r="F4825" i="1"/>
  <c r="F851" i="1"/>
  <c r="F1699" i="1"/>
  <c r="F351" i="1"/>
  <c r="C352" i="1"/>
  <c r="D351" i="1"/>
  <c r="C1700" i="1"/>
  <c r="D1699" i="1"/>
  <c r="C852" i="1"/>
  <c r="D851" i="1"/>
  <c r="G4826" i="1" l="1"/>
  <c r="J4826" i="1" s="1"/>
  <c r="I4824" i="1"/>
  <c r="H4825" i="1"/>
  <c r="I4825" i="1" s="1"/>
  <c r="I1698" i="1"/>
  <c r="H1699" i="1"/>
  <c r="J1699" i="1" s="1"/>
  <c r="I850" i="1"/>
  <c r="H851" i="1"/>
  <c r="J851" i="1" s="1"/>
  <c r="H1502" i="1"/>
  <c r="J1501" i="1"/>
  <c r="I1501" i="1"/>
  <c r="H350" i="1"/>
  <c r="J349" i="1"/>
  <c r="I349" i="1"/>
  <c r="F4826" i="1"/>
  <c r="D4826" i="1"/>
  <c r="C4827" i="1"/>
  <c r="F852" i="1"/>
  <c r="F1700" i="1"/>
  <c r="F352" i="1"/>
  <c r="D352" i="1"/>
  <c r="C353" i="1"/>
  <c r="C1701" i="1"/>
  <c r="D1700" i="1"/>
  <c r="C853" i="1"/>
  <c r="D852" i="1"/>
  <c r="J4825" i="1" l="1"/>
  <c r="G4827" i="1"/>
  <c r="J4827" i="1" s="1"/>
  <c r="H4826" i="1"/>
  <c r="I4826" i="1" s="1"/>
  <c r="I851" i="1"/>
  <c r="H852" i="1"/>
  <c r="J852" i="1" s="1"/>
  <c r="H351" i="1"/>
  <c r="J350" i="1"/>
  <c r="I350" i="1"/>
  <c r="H1700" i="1"/>
  <c r="J1700" i="1" s="1"/>
  <c r="H1503" i="1"/>
  <c r="J1502" i="1"/>
  <c r="I1502" i="1"/>
  <c r="I1699" i="1"/>
  <c r="F4827" i="1"/>
  <c r="C4828" i="1"/>
  <c r="D4827" i="1"/>
  <c r="F853" i="1"/>
  <c r="F1701" i="1"/>
  <c r="F353" i="1"/>
  <c r="C354" i="1"/>
  <c r="D353" i="1"/>
  <c r="C1702" i="1"/>
  <c r="D1701" i="1"/>
  <c r="C854" i="1"/>
  <c r="D853" i="1"/>
  <c r="G4828" i="1" l="1"/>
  <c r="J4828" i="1" s="1"/>
  <c r="H4827" i="1"/>
  <c r="I4827" i="1" s="1"/>
  <c r="H853" i="1"/>
  <c r="J853" i="1" s="1"/>
  <c r="I1700" i="1"/>
  <c r="H352" i="1"/>
  <c r="J351" i="1"/>
  <c r="I351" i="1"/>
  <c r="H1701" i="1"/>
  <c r="J1701" i="1" s="1"/>
  <c r="I852" i="1"/>
  <c r="H1504" i="1"/>
  <c r="J1503" i="1"/>
  <c r="I1503" i="1"/>
  <c r="C4829" i="1"/>
  <c r="D4828" i="1"/>
  <c r="F4828" i="1"/>
  <c r="F854" i="1"/>
  <c r="F1702" i="1"/>
  <c r="F354" i="1"/>
  <c r="C355" i="1"/>
  <c r="D354" i="1"/>
  <c r="D1702" i="1"/>
  <c r="C1703" i="1"/>
  <c r="C855" i="1"/>
  <c r="D854" i="1"/>
  <c r="H4828" i="1" l="1"/>
  <c r="I4828" i="1" s="1"/>
  <c r="G4829" i="1"/>
  <c r="J4829" i="1" s="1"/>
  <c r="H1702" i="1"/>
  <c r="J1702" i="1" s="1"/>
  <c r="H353" i="1"/>
  <c r="J352" i="1"/>
  <c r="I352" i="1"/>
  <c r="I853" i="1"/>
  <c r="H854" i="1"/>
  <c r="J854" i="1" s="1"/>
  <c r="I1701" i="1"/>
  <c r="H1505" i="1"/>
  <c r="J1504" i="1"/>
  <c r="I1504" i="1"/>
  <c r="D4829" i="1"/>
  <c r="F4829" i="1"/>
  <c r="C4830" i="1"/>
  <c r="F855" i="1"/>
  <c r="F1703" i="1"/>
  <c r="F355" i="1"/>
  <c r="C356" i="1"/>
  <c r="D355" i="1"/>
  <c r="C1704" i="1"/>
  <c r="D1703" i="1"/>
  <c r="C856" i="1"/>
  <c r="D855" i="1"/>
  <c r="G4830" i="1" l="1"/>
  <c r="J4830" i="1" s="1"/>
  <c r="I854" i="1"/>
  <c r="H354" i="1"/>
  <c r="J353" i="1"/>
  <c r="I353" i="1"/>
  <c r="H4829" i="1"/>
  <c r="I4829" i="1" s="1"/>
  <c r="H1703" i="1"/>
  <c r="J1703" i="1" s="1"/>
  <c r="H855" i="1"/>
  <c r="J855" i="1" s="1"/>
  <c r="H1506" i="1"/>
  <c r="J1505" i="1"/>
  <c r="I1505" i="1"/>
  <c r="I1702" i="1"/>
  <c r="F4830" i="1"/>
  <c r="C4831" i="1"/>
  <c r="D4830" i="1"/>
  <c r="F856" i="1"/>
  <c r="F1704" i="1"/>
  <c r="F356" i="1"/>
  <c r="C357" i="1"/>
  <c r="D356" i="1"/>
  <c r="C1705" i="1"/>
  <c r="D1704" i="1"/>
  <c r="C857" i="1"/>
  <c r="D856" i="1"/>
  <c r="G4831" i="1" l="1"/>
  <c r="J4831" i="1" s="1"/>
  <c r="I1703" i="1"/>
  <c r="I855" i="1"/>
  <c r="H4830" i="1"/>
  <c r="I4830" i="1" s="1"/>
  <c r="H1507" i="1"/>
  <c r="J1506" i="1"/>
  <c r="I1506" i="1"/>
  <c r="H1704" i="1"/>
  <c r="J1704" i="1" s="1"/>
  <c r="H856" i="1"/>
  <c r="J856" i="1" s="1"/>
  <c r="H355" i="1"/>
  <c r="J354" i="1"/>
  <c r="I354" i="1"/>
  <c r="F4831" i="1"/>
  <c r="D4831" i="1"/>
  <c r="C4832" i="1"/>
  <c r="F857" i="1"/>
  <c r="F1705" i="1"/>
  <c r="F357" i="1"/>
  <c r="C358" i="1"/>
  <c r="D357" i="1"/>
  <c r="C1706" i="1"/>
  <c r="D1705" i="1"/>
  <c r="C858" i="1"/>
  <c r="D857" i="1"/>
  <c r="G4832" i="1" l="1"/>
  <c r="J4832" i="1" s="1"/>
  <c r="I1704" i="1"/>
  <c r="I856" i="1"/>
  <c r="H1705" i="1"/>
  <c r="J1705" i="1" s="1"/>
  <c r="H356" i="1"/>
  <c r="J355" i="1"/>
  <c r="I355" i="1"/>
  <c r="H857" i="1"/>
  <c r="J857" i="1" s="1"/>
  <c r="H1508" i="1"/>
  <c r="J1507" i="1"/>
  <c r="I1507" i="1"/>
  <c r="H4831" i="1"/>
  <c r="I4831" i="1" s="1"/>
  <c r="D4832" i="1"/>
  <c r="F4832" i="1"/>
  <c r="C4833" i="1"/>
  <c r="F858" i="1"/>
  <c r="F1706" i="1"/>
  <c r="F358" i="1"/>
  <c r="C359" i="1"/>
  <c r="D358" i="1"/>
  <c r="D1706" i="1"/>
  <c r="C1707" i="1"/>
  <c r="C859" i="1"/>
  <c r="D858" i="1"/>
  <c r="G4833" i="1" l="1"/>
  <c r="J4833" i="1" s="1"/>
  <c r="I1705" i="1"/>
  <c r="H1706" i="1"/>
  <c r="J1706" i="1" s="1"/>
  <c r="H4832" i="1"/>
  <c r="I4832" i="1" s="1"/>
  <c r="H1509" i="1"/>
  <c r="J1508" i="1"/>
  <c r="I1508" i="1"/>
  <c r="H858" i="1"/>
  <c r="J858" i="1" s="1"/>
  <c r="I857" i="1"/>
  <c r="H357" i="1"/>
  <c r="J356" i="1"/>
  <c r="I356" i="1"/>
  <c r="D4833" i="1"/>
  <c r="C4834" i="1"/>
  <c r="F4833" i="1"/>
  <c r="F859" i="1"/>
  <c r="F1707" i="1"/>
  <c r="F359" i="1"/>
  <c r="C360" i="1"/>
  <c r="D359" i="1"/>
  <c r="C1708" i="1"/>
  <c r="D1707" i="1"/>
  <c r="C860" i="1"/>
  <c r="D859" i="1"/>
  <c r="G4834" i="1" l="1"/>
  <c r="J4834" i="1" s="1"/>
  <c r="H1707" i="1"/>
  <c r="J1707" i="1" s="1"/>
  <c r="I858" i="1"/>
  <c r="I1706" i="1"/>
  <c r="H859" i="1"/>
  <c r="J859" i="1" s="1"/>
  <c r="H4833" i="1"/>
  <c r="I4833" i="1" s="1"/>
  <c r="H358" i="1"/>
  <c r="J357" i="1"/>
  <c r="I357" i="1"/>
  <c r="H1510" i="1"/>
  <c r="J1509" i="1"/>
  <c r="I1509" i="1"/>
  <c r="D4834" i="1"/>
  <c r="C4835" i="1"/>
  <c r="F4834" i="1"/>
  <c r="F860" i="1"/>
  <c r="F1708" i="1"/>
  <c r="F360" i="1"/>
  <c r="C361" i="1"/>
  <c r="D360" i="1"/>
  <c r="D1708" i="1"/>
  <c r="C1709" i="1"/>
  <c r="C861" i="1"/>
  <c r="D860" i="1"/>
  <c r="G4835" i="1" l="1"/>
  <c r="J4835" i="1" s="1"/>
  <c r="I859" i="1"/>
  <c r="H4834" i="1"/>
  <c r="I4834" i="1" s="1"/>
  <c r="H359" i="1"/>
  <c r="J358" i="1"/>
  <c r="I358" i="1"/>
  <c r="H1511" i="1"/>
  <c r="J1510" i="1"/>
  <c r="I1510" i="1"/>
  <c r="H1708" i="1"/>
  <c r="J1708" i="1" s="1"/>
  <c r="H860" i="1"/>
  <c r="J860" i="1" s="1"/>
  <c r="I1707" i="1"/>
  <c r="C4836" i="1"/>
  <c r="F4835" i="1"/>
  <c r="D4835" i="1"/>
  <c r="F861" i="1"/>
  <c r="F1709" i="1"/>
  <c r="F361" i="1"/>
  <c r="C362" i="1"/>
  <c r="D361" i="1"/>
  <c r="C1710" i="1"/>
  <c r="D1709" i="1"/>
  <c r="C862" i="1"/>
  <c r="D861" i="1"/>
  <c r="H4835" i="1" l="1"/>
  <c r="I4835" i="1" s="1"/>
  <c r="G4836" i="1"/>
  <c r="J4836" i="1" s="1"/>
  <c r="H360" i="1"/>
  <c r="J359" i="1"/>
  <c r="I359" i="1"/>
  <c r="H861" i="1"/>
  <c r="J861" i="1" s="1"/>
  <c r="I860" i="1"/>
  <c r="H1709" i="1"/>
  <c r="J1709" i="1" s="1"/>
  <c r="H1512" i="1"/>
  <c r="J1511" i="1"/>
  <c r="I1511" i="1"/>
  <c r="I1708" i="1"/>
  <c r="F4836" i="1"/>
  <c r="C4837" i="1"/>
  <c r="D4836" i="1"/>
  <c r="F862" i="1"/>
  <c r="F1710" i="1"/>
  <c r="F362" i="1"/>
  <c r="D362" i="1"/>
  <c r="C363" i="1"/>
  <c r="D1710" i="1"/>
  <c r="C1711" i="1"/>
  <c r="C863" i="1"/>
  <c r="D862" i="1"/>
  <c r="H4836" i="1" l="1"/>
  <c r="I4836" i="1" s="1"/>
  <c r="G4837" i="1"/>
  <c r="J4837" i="1" s="1"/>
  <c r="I1709" i="1"/>
  <c r="I861" i="1"/>
  <c r="H1710" i="1"/>
  <c r="J1710" i="1" s="1"/>
  <c r="H862" i="1"/>
  <c r="J862" i="1" s="1"/>
  <c r="H1513" i="1"/>
  <c r="J1512" i="1"/>
  <c r="I1512" i="1"/>
  <c r="H361" i="1"/>
  <c r="J360" i="1"/>
  <c r="I360" i="1"/>
  <c r="F4837" i="1"/>
  <c r="C4838" i="1"/>
  <c r="D4837" i="1"/>
  <c r="F863" i="1"/>
  <c r="F1711" i="1"/>
  <c r="F363" i="1"/>
  <c r="C364" i="1"/>
  <c r="D363" i="1"/>
  <c r="C1712" i="1"/>
  <c r="D1711" i="1"/>
  <c r="C864" i="1"/>
  <c r="D863" i="1"/>
  <c r="G4838" i="1" l="1"/>
  <c r="J4838" i="1" s="1"/>
  <c r="H863" i="1"/>
  <c r="J863" i="1" s="1"/>
  <c r="H1514" i="1"/>
  <c r="J1513" i="1"/>
  <c r="I1513" i="1"/>
  <c r="I862" i="1"/>
  <c r="H1711" i="1"/>
  <c r="J1711" i="1" s="1"/>
  <c r="I1710" i="1"/>
  <c r="H4837" i="1"/>
  <c r="I4837" i="1" s="1"/>
  <c r="H362" i="1"/>
  <c r="J361" i="1"/>
  <c r="I361" i="1"/>
  <c r="D4838" i="1"/>
  <c r="C4839" i="1"/>
  <c r="F4838" i="1"/>
  <c r="F864" i="1"/>
  <c r="F1712" i="1"/>
  <c r="F364" i="1"/>
  <c r="C365" i="1"/>
  <c r="D364" i="1"/>
  <c r="D1712" i="1"/>
  <c r="C1713" i="1"/>
  <c r="C865" i="1"/>
  <c r="D864" i="1"/>
  <c r="G4839" i="1" l="1"/>
  <c r="J4839" i="1" s="1"/>
  <c r="I1711" i="1"/>
  <c r="H1712" i="1"/>
  <c r="J1712" i="1" s="1"/>
  <c r="H864" i="1"/>
  <c r="J864" i="1" s="1"/>
  <c r="I863" i="1"/>
  <c r="H4838" i="1"/>
  <c r="I4838" i="1" s="1"/>
  <c r="H363" i="1"/>
  <c r="J362" i="1"/>
  <c r="I362" i="1"/>
  <c r="H1515" i="1"/>
  <c r="J1514" i="1"/>
  <c r="I1514" i="1"/>
  <c r="C4840" i="1"/>
  <c r="D4839" i="1"/>
  <c r="F4839" i="1"/>
  <c r="F865" i="1"/>
  <c r="F1713" i="1"/>
  <c r="F365" i="1"/>
  <c r="D365" i="1"/>
  <c r="C366" i="1"/>
  <c r="C1714" i="1"/>
  <c r="D1713" i="1"/>
  <c r="C866" i="1"/>
  <c r="D865" i="1"/>
  <c r="G4840" i="1" l="1"/>
  <c r="J4840" i="1" s="1"/>
  <c r="I864" i="1"/>
  <c r="H865" i="1"/>
  <c r="J865" i="1" s="1"/>
  <c r="H1516" i="1"/>
  <c r="J1515" i="1"/>
  <c r="I1515" i="1"/>
  <c r="H364" i="1"/>
  <c r="J363" i="1"/>
  <c r="I363" i="1"/>
  <c r="I1712" i="1"/>
  <c r="H1713" i="1"/>
  <c r="J1713" i="1" s="1"/>
  <c r="H4839" i="1"/>
  <c r="I4839" i="1" s="1"/>
  <c r="F4840" i="1"/>
  <c r="C4841" i="1"/>
  <c r="D4840" i="1"/>
  <c r="F866" i="1"/>
  <c r="F1714" i="1"/>
  <c r="F366" i="1"/>
  <c r="C367" i="1"/>
  <c r="D366" i="1"/>
  <c r="D1714" i="1"/>
  <c r="C1715" i="1"/>
  <c r="C867" i="1"/>
  <c r="D866" i="1"/>
  <c r="G4841" i="1" l="1"/>
  <c r="J4841" i="1" s="1"/>
  <c r="H1714" i="1"/>
  <c r="J1714" i="1" s="1"/>
  <c r="I1713" i="1"/>
  <c r="H365" i="1"/>
  <c r="J364" i="1"/>
  <c r="I364" i="1"/>
  <c r="H866" i="1"/>
  <c r="J866" i="1" s="1"/>
  <c r="H1517" i="1"/>
  <c r="J1516" i="1"/>
  <c r="I1516" i="1"/>
  <c r="I865" i="1"/>
  <c r="H4840" i="1"/>
  <c r="I4840" i="1" s="1"/>
  <c r="F4841" i="1"/>
  <c r="D4841" i="1"/>
  <c r="C4842" i="1"/>
  <c r="F867" i="1"/>
  <c r="F1715" i="1"/>
  <c r="F367" i="1"/>
  <c r="C368" i="1"/>
  <c r="D367" i="1"/>
  <c r="C1716" i="1"/>
  <c r="D1715" i="1"/>
  <c r="C868" i="1"/>
  <c r="D867" i="1"/>
  <c r="G4842" i="1" l="1"/>
  <c r="J4842" i="1" s="1"/>
  <c r="H1518" i="1"/>
  <c r="J1517" i="1"/>
  <c r="I1517" i="1"/>
  <c r="H366" i="1"/>
  <c r="J365" i="1"/>
  <c r="I365" i="1"/>
  <c r="H1715" i="1"/>
  <c r="J1715" i="1" s="1"/>
  <c r="H867" i="1"/>
  <c r="J867" i="1" s="1"/>
  <c r="H4841" i="1"/>
  <c r="I4841" i="1" s="1"/>
  <c r="I866" i="1"/>
  <c r="I1714" i="1"/>
  <c r="F4842" i="1"/>
  <c r="C4843" i="1"/>
  <c r="D4842" i="1"/>
  <c r="F868" i="1"/>
  <c r="F1716" i="1"/>
  <c r="F368" i="1"/>
  <c r="C369" i="1"/>
  <c r="D368" i="1"/>
  <c r="D1716" i="1"/>
  <c r="C1717" i="1"/>
  <c r="C869" i="1"/>
  <c r="D868" i="1"/>
  <c r="G4843" i="1" l="1"/>
  <c r="J4843" i="1" s="1"/>
  <c r="H1716" i="1"/>
  <c r="J1716" i="1" s="1"/>
  <c r="I1715" i="1"/>
  <c r="H4842" i="1"/>
  <c r="I4842" i="1" s="1"/>
  <c r="H367" i="1"/>
  <c r="J366" i="1"/>
  <c r="I366" i="1"/>
  <c r="I867" i="1"/>
  <c r="H1519" i="1"/>
  <c r="J1518" i="1"/>
  <c r="I1518" i="1"/>
  <c r="H868" i="1"/>
  <c r="J868" i="1" s="1"/>
  <c r="F4843" i="1"/>
  <c r="C4844" i="1"/>
  <c r="D4843" i="1"/>
  <c r="F869" i="1"/>
  <c r="F1717" i="1"/>
  <c r="F369" i="1"/>
  <c r="C370" i="1"/>
  <c r="D369" i="1"/>
  <c r="C1718" i="1"/>
  <c r="D1717" i="1"/>
  <c r="C870" i="1"/>
  <c r="D869" i="1"/>
  <c r="G4844" i="1" l="1"/>
  <c r="J4844" i="1" s="1"/>
  <c r="H4843" i="1"/>
  <c r="I4843" i="1" s="1"/>
  <c r="H1717" i="1"/>
  <c r="J1717" i="1" s="1"/>
  <c r="H869" i="1"/>
  <c r="J869" i="1" s="1"/>
  <c r="I868" i="1"/>
  <c r="H1520" i="1"/>
  <c r="J1519" i="1"/>
  <c r="I1519" i="1"/>
  <c r="H368" i="1"/>
  <c r="J367" i="1"/>
  <c r="I367" i="1"/>
  <c r="I1716" i="1"/>
  <c r="F4844" i="1"/>
  <c r="C4845" i="1"/>
  <c r="D4844" i="1"/>
  <c r="F870" i="1"/>
  <c r="F1718" i="1"/>
  <c r="F370" i="1"/>
  <c r="C371" i="1"/>
  <c r="D370" i="1"/>
  <c r="D1718" i="1"/>
  <c r="C1719" i="1"/>
  <c r="C871" i="1"/>
  <c r="D870" i="1"/>
  <c r="G4845" i="1" l="1"/>
  <c r="J4845" i="1" s="1"/>
  <c r="H4844" i="1"/>
  <c r="I4844" i="1" s="1"/>
  <c r="I869" i="1"/>
  <c r="H1521" i="1"/>
  <c r="J1520" i="1"/>
  <c r="I1520" i="1"/>
  <c r="H1718" i="1"/>
  <c r="J1718" i="1" s="1"/>
  <c r="H870" i="1"/>
  <c r="J870" i="1" s="1"/>
  <c r="I1717" i="1"/>
  <c r="H369" i="1"/>
  <c r="J368" i="1"/>
  <c r="I368" i="1"/>
  <c r="C4846" i="1"/>
  <c r="F4845" i="1"/>
  <c r="D4845" i="1"/>
  <c r="F871" i="1"/>
  <c r="F1719" i="1"/>
  <c r="F371" i="1"/>
  <c r="C372" i="1"/>
  <c r="D371" i="1"/>
  <c r="C1720" i="1"/>
  <c r="D1719" i="1"/>
  <c r="C872" i="1"/>
  <c r="D871" i="1"/>
  <c r="G4846" i="1" l="1"/>
  <c r="J4846" i="1" s="1"/>
  <c r="I1718" i="1"/>
  <c r="H1719" i="1"/>
  <c r="J1719" i="1" s="1"/>
  <c r="H871" i="1"/>
  <c r="J871" i="1" s="1"/>
  <c r="H370" i="1"/>
  <c r="J369" i="1"/>
  <c r="I369" i="1"/>
  <c r="I870" i="1"/>
  <c r="H1522" i="1"/>
  <c r="J1521" i="1"/>
  <c r="I1521" i="1"/>
  <c r="H4845" i="1"/>
  <c r="I4845" i="1" s="1"/>
  <c r="C4847" i="1"/>
  <c r="F4846" i="1"/>
  <c r="D4846" i="1"/>
  <c r="F872" i="1"/>
  <c r="F1720" i="1"/>
  <c r="F372" i="1"/>
  <c r="C373" i="1"/>
  <c r="D372" i="1"/>
  <c r="C1721" i="1"/>
  <c r="D1720" i="1"/>
  <c r="C873" i="1"/>
  <c r="D872" i="1"/>
  <c r="G4847" i="1" l="1"/>
  <c r="J4847" i="1" s="1"/>
  <c r="H4846" i="1"/>
  <c r="I4846" i="1" s="1"/>
  <c r="H371" i="1"/>
  <c r="J370" i="1"/>
  <c r="I370" i="1"/>
  <c r="I871" i="1"/>
  <c r="H1720" i="1"/>
  <c r="J1720" i="1" s="1"/>
  <c r="H1523" i="1"/>
  <c r="J1522" i="1"/>
  <c r="I1522" i="1"/>
  <c r="I1719" i="1"/>
  <c r="H872" i="1"/>
  <c r="J872" i="1" s="1"/>
  <c r="D4847" i="1"/>
  <c r="F4847" i="1"/>
  <c r="C4848" i="1"/>
  <c r="F873" i="1"/>
  <c r="F1721" i="1"/>
  <c r="F373" i="1"/>
  <c r="D373" i="1"/>
  <c r="C374" i="1"/>
  <c r="C1722" i="1"/>
  <c r="D1721" i="1"/>
  <c r="C874" i="1"/>
  <c r="D873" i="1"/>
  <c r="G4848" i="1" l="1"/>
  <c r="J4848" i="1" s="1"/>
  <c r="H4847" i="1"/>
  <c r="I4847" i="1" s="1"/>
  <c r="H1524" i="1"/>
  <c r="J1523" i="1"/>
  <c r="I1523" i="1"/>
  <c r="H372" i="1"/>
  <c r="J371" i="1"/>
  <c r="I371" i="1"/>
  <c r="I1720" i="1"/>
  <c r="H1721" i="1"/>
  <c r="J1721" i="1" s="1"/>
  <c r="H873" i="1"/>
  <c r="J873" i="1" s="1"/>
  <c r="I872" i="1"/>
  <c r="C4849" i="1"/>
  <c r="F4848" i="1"/>
  <c r="D4848" i="1"/>
  <c r="F874" i="1"/>
  <c r="F1722" i="1"/>
  <c r="F374" i="1"/>
  <c r="C375" i="1"/>
  <c r="D374" i="1"/>
  <c r="D1722" i="1"/>
  <c r="C1723" i="1"/>
  <c r="C875" i="1"/>
  <c r="D874" i="1"/>
  <c r="I1721" i="1" l="1"/>
  <c r="G4849" i="1"/>
  <c r="J4849" i="1" s="1"/>
  <c r="I873" i="1"/>
  <c r="H874" i="1"/>
  <c r="J874" i="1" s="1"/>
  <c r="H373" i="1"/>
  <c r="J372" i="1"/>
  <c r="I372" i="1"/>
  <c r="H4848" i="1"/>
  <c r="I4848" i="1" s="1"/>
  <c r="H1525" i="1"/>
  <c r="J1524" i="1"/>
  <c r="I1524" i="1"/>
  <c r="H1722" i="1"/>
  <c r="J1722" i="1" s="1"/>
  <c r="F4849" i="1"/>
  <c r="C4850" i="1"/>
  <c r="D4849" i="1"/>
  <c r="F875" i="1"/>
  <c r="F1723" i="1"/>
  <c r="F375" i="1"/>
  <c r="C376" i="1"/>
  <c r="D375" i="1"/>
  <c r="C1724" i="1"/>
  <c r="D1723" i="1"/>
  <c r="C876" i="1"/>
  <c r="D875" i="1"/>
  <c r="G4850" i="1" l="1"/>
  <c r="J4850" i="1" s="1"/>
  <c r="I1722" i="1"/>
  <c r="H1723" i="1"/>
  <c r="J1723" i="1" s="1"/>
  <c r="H4849" i="1"/>
  <c r="I4849" i="1" s="1"/>
  <c r="H374" i="1"/>
  <c r="J373" i="1"/>
  <c r="I373" i="1"/>
  <c r="H1526" i="1"/>
  <c r="J1525" i="1"/>
  <c r="I1525" i="1"/>
  <c r="I874" i="1"/>
  <c r="H875" i="1"/>
  <c r="J875" i="1" s="1"/>
  <c r="D4850" i="1"/>
  <c r="C4851" i="1"/>
  <c r="F4850" i="1"/>
  <c r="F876" i="1"/>
  <c r="F1724" i="1"/>
  <c r="F376" i="1"/>
  <c r="C377" i="1"/>
  <c r="D376" i="1"/>
  <c r="D1724" i="1"/>
  <c r="C1725" i="1"/>
  <c r="C877" i="1"/>
  <c r="D876" i="1"/>
  <c r="G4851" i="1" l="1"/>
  <c r="J4851" i="1" s="1"/>
  <c r="H375" i="1"/>
  <c r="J374" i="1"/>
  <c r="I374" i="1"/>
  <c r="H1724" i="1"/>
  <c r="J1724" i="1" s="1"/>
  <c r="H876" i="1"/>
  <c r="J876" i="1" s="1"/>
  <c r="H4850" i="1"/>
  <c r="I4850" i="1" s="1"/>
  <c r="I875" i="1"/>
  <c r="H1527" i="1"/>
  <c r="J1526" i="1"/>
  <c r="I1526" i="1"/>
  <c r="I1723" i="1"/>
  <c r="C4852" i="1"/>
  <c r="D4851" i="1"/>
  <c r="F4851" i="1"/>
  <c r="F877" i="1"/>
  <c r="F1725" i="1"/>
  <c r="F377" i="1"/>
  <c r="C378" i="1"/>
  <c r="D377" i="1"/>
  <c r="C1726" i="1"/>
  <c r="D1725" i="1"/>
  <c r="C878" i="1"/>
  <c r="D877" i="1"/>
  <c r="G4852" i="1" l="1"/>
  <c r="J4852" i="1" s="1"/>
  <c r="H4851" i="1"/>
  <c r="I4851" i="1" s="1"/>
  <c r="I876" i="1"/>
  <c r="I1724" i="1"/>
  <c r="H1528" i="1"/>
  <c r="J1527" i="1"/>
  <c r="I1527" i="1"/>
  <c r="H1725" i="1"/>
  <c r="J1725" i="1" s="1"/>
  <c r="H877" i="1"/>
  <c r="J877" i="1" s="1"/>
  <c r="H376" i="1"/>
  <c r="J375" i="1"/>
  <c r="I375" i="1"/>
  <c r="D4852" i="1"/>
  <c r="F4852" i="1"/>
  <c r="C4853" i="1"/>
  <c r="F878" i="1"/>
  <c r="F1726" i="1"/>
  <c r="F378" i="1"/>
  <c r="C379" i="1"/>
  <c r="D378" i="1"/>
  <c r="D1726" i="1"/>
  <c r="C1727" i="1"/>
  <c r="C879" i="1"/>
  <c r="D878" i="1"/>
  <c r="G4853" i="1" l="1"/>
  <c r="J4853" i="1" s="1"/>
  <c r="H4852" i="1"/>
  <c r="I4852" i="1" s="1"/>
  <c r="H377" i="1"/>
  <c r="J376" i="1"/>
  <c r="I376" i="1"/>
  <c r="I877" i="1"/>
  <c r="H1726" i="1"/>
  <c r="J1726" i="1" s="1"/>
  <c r="H878" i="1"/>
  <c r="J878" i="1" s="1"/>
  <c r="H1529" i="1"/>
  <c r="J1528" i="1"/>
  <c r="I1528" i="1"/>
  <c r="I1725" i="1"/>
  <c r="F4853" i="1"/>
  <c r="C4854" i="1"/>
  <c r="D4853" i="1"/>
  <c r="F879" i="1"/>
  <c r="F1727" i="1"/>
  <c r="F379" i="1"/>
  <c r="C380" i="1"/>
  <c r="D379" i="1"/>
  <c r="C1728" i="1"/>
  <c r="D1727" i="1"/>
  <c r="C880" i="1"/>
  <c r="D879" i="1"/>
  <c r="G4854" i="1" l="1"/>
  <c r="J4854" i="1" s="1"/>
  <c r="I878" i="1"/>
  <c r="I1726" i="1"/>
  <c r="H1727" i="1"/>
  <c r="J1727" i="1" s="1"/>
  <c r="H1530" i="1"/>
  <c r="J1529" i="1"/>
  <c r="I1529" i="1"/>
  <c r="H879" i="1"/>
  <c r="J879" i="1" s="1"/>
  <c r="H4853" i="1"/>
  <c r="I4853" i="1" s="1"/>
  <c r="H378" i="1"/>
  <c r="J377" i="1"/>
  <c r="I377" i="1"/>
  <c r="F4854" i="1"/>
  <c r="C4855" i="1"/>
  <c r="D4854" i="1"/>
  <c r="F880" i="1"/>
  <c r="F1728" i="1"/>
  <c r="F380" i="1"/>
  <c r="C381" i="1"/>
  <c r="D380" i="1"/>
  <c r="D1728" i="1"/>
  <c r="C1729" i="1"/>
  <c r="C881" i="1"/>
  <c r="D880" i="1"/>
  <c r="G4855" i="1" l="1"/>
  <c r="J4855" i="1" s="1"/>
  <c r="I879" i="1"/>
  <c r="H1728" i="1"/>
  <c r="J1728" i="1" s="1"/>
  <c r="H880" i="1"/>
  <c r="J880" i="1" s="1"/>
  <c r="H379" i="1"/>
  <c r="J378" i="1"/>
  <c r="I378" i="1"/>
  <c r="H1531" i="1"/>
  <c r="J1530" i="1"/>
  <c r="I1530" i="1"/>
  <c r="H4854" i="1"/>
  <c r="I4854" i="1" s="1"/>
  <c r="I1727" i="1"/>
  <c r="D4855" i="1"/>
  <c r="F4855" i="1"/>
  <c r="C4856" i="1"/>
  <c r="F881" i="1"/>
  <c r="F1729" i="1"/>
  <c r="F381" i="1"/>
  <c r="D381" i="1"/>
  <c r="C382" i="1"/>
  <c r="C1730" i="1"/>
  <c r="D1729" i="1"/>
  <c r="C882" i="1"/>
  <c r="D881" i="1"/>
  <c r="G4856" i="1" l="1"/>
  <c r="J4856" i="1" s="1"/>
  <c r="H380" i="1"/>
  <c r="J379" i="1"/>
  <c r="I379" i="1"/>
  <c r="I880" i="1"/>
  <c r="H1729" i="1"/>
  <c r="J1729" i="1" s="1"/>
  <c r="H881" i="1"/>
  <c r="J881" i="1" s="1"/>
  <c r="I1728" i="1"/>
  <c r="H4855" i="1"/>
  <c r="I4855" i="1" s="1"/>
  <c r="H1532" i="1"/>
  <c r="J1531" i="1"/>
  <c r="I1531" i="1"/>
  <c r="F4856" i="1"/>
  <c r="D4856" i="1"/>
  <c r="C4857" i="1"/>
  <c r="F882" i="1"/>
  <c r="F1730" i="1"/>
  <c r="F382" i="1"/>
  <c r="C383" i="1"/>
  <c r="D382" i="1"/>
  <c r="D1730" i="1"/>
  <c r="C1731" i="1"/>
  <c r="C883" i="1"/>
  <c r="D882" i="1"/>
  <c r="G4857" i="1" l="1"/>
  <c r="J4857" i="1" s="1"/>
  <c r="I881" i="1"/>
  <c r="H882" i="1"/>
  <c r="J882" i="1" s="1"/>
  <c r="H1730" i="1"/>
  <c r="J1730" i="1" s="1"/>
  <c r="I1729" i="1"/>
  <c r="H4856" i="1"/>
  <c r="I4856" i="1" s="1"/>
  <c r="H1533" i="1"/>
  <c r="J1532" i="1"/>
  <c r="I1532" i="1"/>
  <c r="H381" i="1"/>
  <c r="J380" i="1"/>
  <c r="I380" i="1"/>
  <c r="C4858" i="1"/>
  <c r="F4857" i="1"/>
  <c r="D4857" i="1"/>
  <c r="F883" i="1"/>
  <c r="F1731" i="1"/>
  <c r="F383" i="1"/>
  <c r="C384" i="1"/>
  <c r="D383" i="1"/>
  <c r="C1732" i="1"/>
  <c r="D1731" i="1"/>
  <c r="C884" i="1"/>
  <c r="D883" i="1"/>
  <c r="G4858" i="1" l="1"/>
  <c r="J4858" i="1" s="1"/>
  <c r="H883" i="1"/>
  <c r="J883" i="1" s="1"/>
  <c r="H1731" i="1"/>
  <c r="J1731" i="1" s="1"/>
  <c r="H4857" i="1"/>
  <c r="I4857" i="1" s="1"/>
  <c r="I1730" i="1"/>
  <c r="I882" i="1"/>
  <c r="H382" i="1"/>
  <c r="J381" i="1"/>
  <c r="I381" i="1"/>
  <c r="H1534" i="1"/>
  <c r="J1533" i="1"/>
  <c r="I1533" i="1"/>
  <c r="F4858" i="1"/>
  <c r="D4858" i="1"/>
  <c r="C4859" i="1"/>
  <c r="F884" i="1"/>
  <c r="F1732" i="1"/>
  <c r="F384" i="1"/>
  <c r="C385" i="1"/>
  <c r="D384" i="1"/>
  <c r="C1733" i="1"/>
  <c r="D1732" i="1"/>
  <c r="C885" i="1"/>
  <c r="D884" i="1"/>
  <c r="G4859" i="1" l="1"/>
  <c r="J4859" i="1" s="1"/>
  <c r="H1535" i="1"/>
  <c r="J1534" i="1"/>
  <c r="I1534" i="1"/>
  <c r="I883" i="1"/>
  <c r="H1732" i="1"/>
  <c r="J1732" i="1" s="1"/>
  <c r="H4858" i="1"/>
  <c r="I4858" i="1" s="1"/>
  <c r="H884" i="1"/>
  <c r="J884" i="1" s="1"/>
  <c r="H383" i="1"/>
  <c r="J382" i="1"/>
  <c r="I382" i="1"/>
  <c r="I1731" i="1"/>
  <c r="F4859" i="1"/>
  <c r="D4859" i="1"/>
  <c r="C4860" i="1"/>
  <c r="F885" i="1"/>
  <c r="F1733" i="1"/>
  <c r="F385" i="1"/>
  <c r="C386" i="1"/>
  <c r="D385" i="1"/>
  <c r="C1734" i="1"/>
  <c r="D1733" i="1"/>
  <c r="C886" i="1"/>
  <c r="D885" i="1"/>
  <c r="G4860" i="1" l="1"/>
  <c r="J4860" i="1" s="1"/>
  <c r="H4859" i="1"/>
  <c r="I4859" i="1" s="1"/>
  <c r="I884" i="1"/>
  <c r="H1536" i="1"/>
  <c r="J1535" i="1"/>
  <c r="I1535" i="1"/>
  <c r="H1733" i="1"/>
  <c r="J1733" i="1" s="1"/>
  <c r="H885" i="1"/>
  <c r="J885" i="1" s="1"/>
  <c r="I1732" i="1"/>
  <c r="H384" i="1"/>
  <c r="J383" i="1"/>
  <c r="I383" i="1"/>
  <c r="F4860" i="1"/>
  <c r="D4860" i="1"/>
  <c r="C4861" i="1"/>
  <c r="F886" i="1"/>
  <c r="F1734" i="1"/>
  <c r="F386" i="1"/>
  <c r="C387" i="1"/>
  <c r="D386" i="1"/>
  <c r="D1734" i="1"/>
  <c r="C1735" i="1"/>
  <c r="C887" i="1"/>
  <c r="D886" i="1"/>
  <c r="H4860" i="1" l="1"/>
  <c r="I4860" i="1" s="1"/>
  <c r="G4861" i="1"/>
  <c r="J4861" i="1" s="1"/>
  <c r="I1733" i="1"/>
  <c r="H1734" i="1"/>
  <c r="J1734" i="1" s="1"/>
  <c r="H385" i="1"/>
  <c r="J384" i="1"/>
  <c r="I384" i="1"/>
  <c r="H886" i="1"/>
  <c r="J886" i="1" s="1"/>
  <c r="H1537" i="1"/>
  <c r="J1536" i="1"/>
  <c r="I1536" i="1"/>
  <c r="I885" i="1"/>
  <c r="C4862" i="1"/>
  <c r="F4861" i="1"/>
  <c r="D4861" i="1"/>
  <c r="F887" i="1"/>
  <c r="F1735" i="1"/>
  <c r="F387" i="1"/>
  <c r="D387" i="1"/>
  <c r="C388" i="1"/>
  <c r="C1736" i="1"/>
  <c r="D1735" i="1"/>
  <c r="C888" i="1"/>
  <c r="D887" i="1"/>
  <c r="G4862" i="1" l="1"/>
  <c r="J4862" i="1" s="1"/>
  <c r="I886" i="1"/>
  <c r="H4861" i="1"/>
  <c r="I4861" i="1" s="1"/>
  <c r="H1538" i="1"/>
  <c r="J1537" i="1"/>
  <c r="I1537" i="1"/>
  <c r="H386" i="1"/>
  <c r="J385" i="1"/>
  <c r="I385" i="1"/>
  <c r="H887" i="1"/>
  <c r="J887" i="1" s="1"/>
  <c r="I1734" i="1"/>
  <c r="H1735" i="1"/>
  <c r="J1735" i="1" s="1"/>
  <c r="C4863" i="1"/>
  <c r="D4862" i="1"/>
  <c r="F4862" i="1"/>
  <c r="F888" i="1"/>
  <c r="F1736" i="1"/>
  <c r="F388" i="1"/>
  <c r="C389" i="1"/>
  <c r="D388" i="1"/>
  <c r="D1736" i="1"/>
  <c r="C1737" i="1"/>
  <c r="C889" i="1"/>
  <c r="D888" i="1"/>
  <c r="I887" i="1" l="1"/>
  <c r="G4863" i="1"/>
  <c r="J4863" i="1" s="1"/>
  <c r="I1735" i="1"/>
  <c r="H1736" i="1"/>
  <c r="J1736" i="1" s="1"/>
  <c r="H4862" i="1"/>
  <c r="I4862" i="1" s="1"/>
  <c r="H888" i="1"/>
  <c r="J888" i="1" s="1"/>
  <c r="H387" i="1"/>
  <c r="J386" i="1"/>
  <c r="I386" i="1"/>
  <c r="H1539" i="1"/>
  <c r="J1538" i="1"/>
  <c r="I1538" i="1"/>
  <c r="C4864" i="1"/>
  <c r="F4863" i="1"/>
  <c r="D4863" i="1"/>
  <c r="F889" i="1"/>
  <c r="F1737" i="1"/>
  <c r="F389" i="1"/>
  <c r="D389" i="1"/>
  <c r="C390" i="1"/>
  <c r="C1738" i="1"/>
  <c r="D1737" i="1"/>
  <c r="C890" i="1"/>
  <c r="D889" i="1"/>
  <c r="G4864" i="1" l="1"/>
  <c r="J4864" i="1" s="1"/>
  <c r="H4863" i="1"/>
  <c r="I4863" i="1" s="1"/>
  <c r="I888" i="1"/>
  <c r="H388" i="1"/>
  <c r="J387" i="1"/>
  <c r="I387" i="1"/>
  <c r="I1736" i="1"/>
  <c r="H889" i="1"/>
  <c r="J889" i="1" s="1"/>
  <c r="H1540" i="1"/>
  <c r="J1539" i="1"/>
  <c r="I1539" i="1"/>
  <c r="H1737" i="1"/>
  <c r="J1737" i="1" s="1"/>
  <c r="F4864" i="1"/>
  <c r="C4865" i="1"/>
  <c r="D4864" i="1"/>
  <c r="F890" i="1"/>
  <c r="F1738" i="1"/>
  <c r="F390" i="1"/>
  <c r="C391" i="1"/>
  <c r="D390" i="1"/>
  <c r="D1738" i="1"/>
  <c r="C1739" i="1"/>
  <c r="C891" i="1"/>
  <c r="D890" i="1"/>
  <c r="G4865" i="1" l="1"/>
  <c r="J4865" i="1" s="1"/>
  <c r="I889" i="1"/>
  <c r="H1541" i="1"/>
  <c r="J1540" i="1"/>
  <c r="I1540" i="1"/>
  <c r="H890" i="1"/>
  <c r="J890" i="1" s="1"/>
  <c r="I1737" i="1"/>
  <c r="H1738" i="1"/>
  <c r="J1738" i="1" s="1"/>
  <c r="H4864" i="1"/>
  <c r="I4864" i="1" s="1"/>
  <c r="H389" i="1"/>
  <c r="J388" i="1"/>
  <c r="I388" i="1"/>
  <c r="F4865" i="1"/>
  <c r="D4865" i="1"/>
  <c r="C4866" i="1"/>
  <c r="F891" i="1"/>
  <c r="F1739" i="1"/>
  <c r="F391" i="1"/>
  <c r="C392" i="1"/>
  <c r="D391" i="1"/>
  <c r="C1740" i="1"/>
  <c r="D1739" i="1"/>
  <c r="C892" i="1"/>
  <c r="D891" i="1"/>
  <c r="G4866" i="1" l="1"/>
  <c r="J4866" i="1" s="1"/>
  <c r="I1738" i="1"/>
  <c r="H1739" i="1"/>
  <c r="J1739" i="1" s="1"/>
  <c r="H891" i="1"/>
  <c r="J891" i="1" s="1"/>
  <c r="H390" i="1"/>
  <c r="J389" i="1"/>
  <c r="I389" i="1"/>
  <c r="H1542" i="1"/>
  <c r="J1541" i="1"/>
  <c r="I1541" i="1"/>
  <c r="H4865" i="1"/>
  <c r="I4865" i="1" s="1"/>
  <c r="I890" i="1"/>
  <c r="F4866" i="1"/>
  <c r="C4867" i="1"/>
  <c r="D4866" i="1"/>
  <c r="F892" i="1"/>
  <c r="F1740" i="1"/>
  <c r="F392" i="1"/>
  <c r="D392" i="1"/>
  <c r="C393" i="1"/>
  <c r="C1741" i="1"/>
  <c r="D1740" i="1"/>
  <c r="C893" i="1"/>
  <c r="D892" i="1"/>
  <c r="G4867" i="1" l="1"/>
  <c r="J4867" i="1" s="1"/>
  <c r="I1739" i="1"/>
  <c r="I891" i="1"/>
  <c r="H4866" i="1"/>
  <c r="I4866" i="1" s="1"/>
  <c r="H1740" i="1"/>
  <c r="J1740" i="1" s="1"/>
  <c r="H892" i="1"/>
  <c r="J892" i="1" s="1"/>
  <c r="H1543" i="1"/>
  <c r="J1542" i="1"/>
  <c r="I1542" i="1"/>
  <c r="H391" i="1"/>
  <c r="J390" i="1"/>
  <c r="I390" i="1"/>
  <c r="C4868" i="1"/>
  <c r="F4867" i="1"/>
  <c r="D4867" i="1"/>
  <c r="F893" i="1"/>
  <c r="F1741" i="1"/>
  <c r="F393" i="1"/>
  <c r="D393" i="1"/>
  <c r="C394" i="1"/>
  <c r="C1742" i="1"/>
  <c r="D1741" i="1"/>
  <c r="C894" i="1"/>
  <c r="D893" i="1"/>
  <c r="H4867" i="1" l="1"/>
  <c r="I4867" i="1" s="1"/>
  <c r="G4868" i="1"/>
  <c r="J4868" i="1" s="1"/>
  <c r="H893" i="1"/>
  <c r="J893" i="1" s="1"/>
  <c r="H392" i="1"/>
  <c r="J391" i="1"/>
  <c r="I391" i="1"/>
  <c r="I1740" i="1"/>
  <c r="H1741" i="1"/>
  <c r="J1741" i="1" s="1"/>
  <c r="H1544" i="1"/>
  <c r="J1543" i="1"/>
  <c r="I1543" i="1"/>
  <c r="I892" i="1"/>
  <c r="C4869" i="1"/>
  <c r="F4868" i="1"/>
  <c r="D4868" i="1"/>
  <c r="F894" i="1"/>
  <c r="F1742" i="1"/>
  <c r="F394" i="1"/>
  <c r="C395" i="1"/>
  <c r="D394" i="1"/>
  <c r="C1743" i="1"/>
  <c r="D1742" i="1"/>
  <c r="C895" i="1"/>
  <c r="D894" i="1"/>
  <c r="H4868" i="1" l="1"/>
  <c r="I4868" i="1" s="1"/>
  <c r="G4869" i="1"/>
  <c r="J4869" i="1" s="1"/>
  <c r="H1545" i="1"/>
  <c r="J1544" i="1"/>
  <c r="I1544" i="1"/>
  <c r="I1741" i="1"/>
  <c r="H393" i="1"/>
  <c r="J392" i="1"/>
  <c r="I392" i="1"/>
  <c r="I893" i="1"/>
  <c r="H1742" i="1"/>
  <c r="J1742" i="1" s="1"/>
  <c r="H894" i="1"/>
  <c r="J894" i="1" s="1"/>
  <c r="C4870" i="1"/>
  <c r="F4869" i="1"/>
  <c r="D4869" i="1"/>
  <c r="F895" i="1"/>
  <c r="F1743" i="1"/>
  <c r="F395" i="1"/>
  <c r="C396" i="1"/>
  <c r="D395" i="1"/>
  <c r="C1744" i="1"/>
  <c r="D1743" i="1"/>
  <c r="C896" i="1"/>
  <c r="D895" i="1"/>
  <c r="G4870" i="1" l="1"/>
  <c r="J4870" i="1" s="1"/>
  <c r="I894" i="1"/>
  <c r="H895" i="1"/>
  <c r="J895" i="1" s="1"/>
  <c r="H1546" i="1"/>
  <c r="J1545" i="1"/>
  <c r="I1545" i="1"/>
  <c r="H1743" i="1"/>
  <c r="J1743" i="1" s="1"/>
  <c r="H4869" i="1"/>
  <c r="I4869" i="1" s="1"/>
  <c r="I1742" i="1"/>
  <c r="H394" i="1"/>
  <c r="J393" i="1"/>
  <c r="I393" i="1"/>
  <c r="D4870" i="1"/>
  <c r="C4871" i="1"/>
  <c r="F4870" i="1"/>
  <c r="F896" i="1"/>
  <c r="F1744" i="1"/>
  <c r="F396" i="1"/>
  <c r="D396" i="1"/>
  <c r="C397" i="1"/>
  <c r="D1744" i="1"/>
  <c r="C1745" i="1"/>
  <c r="C897" i="1"/>
  <c r="D896" i="1"/>
  <c r="G4871" i="1" l="1"/>
  <c r="J4871" i="1" s="1"/>
  <c r="I1743" i="1"/>
  <c r="H896" i="1"/>
  <c r="J896" i="1" s="1"/>
  <c r="H4870" i="1"/>
  <c r="I4870" i="1" s="1"/>
  <c r="I895" i="1"/>
  <c r="H1744" i="1"/>
  <c r="J1744" i="1" s="1"/>
  <c r="H395" i="1"/>
  <c r="J394" i="1"/>
  <c r="I394" i="1"/>
  <c r="H1547" i="1"/>
  <c r="J1546" i="1"/>
  <c r="I1546" i="1"/>
  <c r="C4872" i="1"/>
  <c r="F4871" i="1"/>
  <c r="D4871" i="1"/>
  <c r="F897" i="1"/>
  <c r="F1745" i="1"/>
  <c r="F397" i="1"/>
  <c r="C398" i="1"/>
  <c r="D397" i="1"/>
  <c r="C1746" i="1"/>
  <c r="D1745" i="1"/>
  <c r="C898" i="1"/>
  <c r="D897" i="1"/>
  <c r="G4872" i="1" l="1"/>
  <c r="J4872" i="1" s="1"/>
  <c r="H1745" i="1"/>
  <c r="J1745" i="1" s="1"/>
  <c r="H396" i="1"/>
  <c r="J395" i="1"/>
  <c r="I395" i="1"/>
  <c r="H897" i="1"/>
  <c r="J897" i="1" s="1"/>
  <c r="H1548" i="1"/>
  <c r="J1547" i="1"/>
  <c r="I1547" i="1"/>
  <c r="I1744" i="1"/>
  <c r="H4871" i="1"/>
  <c r="I4871" i="1" s="1"/>
  <c r="I896" i="1"/>
  <c r="D4872" i="1"/>
  <c r="C4873" i="1"/>
  <c r="F4872" i="1"/>
  <c r="F898" i="1"/>
  <c r="F1746" i="1"/>
  <c r="F398" i="1"/>
  <c r="D398" i="1"/>
  <c r="C399" i="1"/>
  <c r="D1746" i="1"/>
  <c r="C1747" i="1"/>
  <c r="C899" i="1"/>
  <c r="D898" i="1"/>
  <c r="G4873" i="1" l="1"/>
  <c r="J4873" i="1" s="1"/>
  <c r="I897" i="1"/>
  <c r="I1745" i="1"/>
  <c r="H4872" i="1"/>
  <c r="I4872" i="1" s="1"/>
  <c r="H397" i="1"/>
  <c r="J396" i="1"/>
  <c r="I396" i="1"/>
  <c r="H1746" i="1"/>
  <c r="J1746" i="1" s="1"/>
  <c r="H898" i="1"/>
  <c r="J898" i="1" s="1"/>
  <c r="H1549" i="1"/>
  <c r="J1548" i="1"/>
  <c r="I1548" i="1"/>
  <c r="D4873" i="1"/>
  <c r="F4873" i="1"/>
  <c r="C4874" i="1"/>
  <c r="F899" i="1"/>
  <c r="F1747" i="1"/>
  <c r="F399" i="1"/>
  <c r="C400" i="1"/>
  <c r="D399" i="1"/>
  <c r="C1748" i="1"/>
  <c r="D1747" i="1"/>
  <c r="C900" i="1"/>
  <c r="D899" i="1"/>
  <c r="G4874" i="1" l="1"/>
  <c r="J4874" i="1" s="1"/>
  <c r="I1746" i="1"/>
  <c r="I898" i="1"/>
  <c r="H899" i="1"/>
  <c r="J899" i="1" s="1"/>
  <c r="H1747" i="1"/>
  <c r="J1747" i="1" s="1"/>
  <c r="H1550" i="1"/>
  <c r="J1549" i="1"/>
  <c r="I1549" i="1"/>
  <c r="H398" i="1"/>
  <c r="J397" i="1"/>
  <c r="I397" i="1"/>
  <c r="H4873" i="1"/>
  <c r="I4873" i="1" s="1"/>
  <c r="F4874" i="1"/>
  <c r="D4874" i="1"/>
  <c r="C4875" i="1"/>
  <c r="F900" i="1"/>
  <c r="F1748" i="1"/>
  <c r="F400" i="1"/>
  <c r="C401" i="1"/>
  <c r="D400" i="1"/>
  <c r="D1748" i="1"/>
  <c r="C1749" i="1"/>
  <c r="C901" i="1"/>
  <c r="D900" i="1"/>
  <c r="G4875" i="1" l="1"/>
  <c r="J4875" i="1" s="1"/>
  <c r="H399" i="1"/>
  <c r="J398" i="1"/>
  <c r="I398" i="1"/>
  <c r="H1748" i="1"/>
  <c r="J1748" i="1" s="1"/>
  <c r="H900" i="1"/>
  <c r="J900" i="1" s="1"/>
  <c r="I1747" i="1"/>
  <c r="H1551" i="1"/>
  <c r="J1550" i="1"/>
  <c r="I1550" i="1"/>
  <c r="H4874" i="1"/>
  <c r="I4874" i="1" s="1"/>
  <c r="I899" i="1"/>
  <c r="D4875" i="1"/>
  <c r="C4876" i="1"/>
  <c r="F4875" i="1"/>
  <c r="F901" i="1"/>
  <c r="F1749" i="1"/>
  <c r="F401" i="1"/>
  <c r="D401" i="1"/>
  <c r="C402" i="1"/>
  <c r="C1750" i="1"/>
  <c r="D1749" i="1"/>
  <c r="C902" i="1"/>
  <c r="D901" i="1"/>
  <c r="G4876" i="1" l="1"/>
  <c r="J4876" i="1" s="1"/>
  <c r="H4875" i="1"/>
  <c r="I4875" i="1" s="1"/>
  <c r="I900" i="1"/>
  <c r="H1749" i="1"/>
  <c r="J1749" i="1" s="1"/>
  <c r="H901" i="1"/>
  <c r="J901" i="1" s="1"/>
  <c r="I1748" i="1"/>
  <c r="H1552" i="1"/>
  <c r="J1551" i="1"/>
  <c r="I1551" i="1"/>
  <c r="H400" i="1"/>
  <c r="J399" i="1"/>
  <c r="I399" i="1"/>
  <c r="F4876" i="1"/>
  <c r="D4876" i="1"/>
  <c r="C4877" i="1"/>
  <c r="F902" i="1"/>
  <c r="F1750" i="1"/>
  <c r="F402" i="1"/>
  <c r="C403" i="1"/>
  <c r="D402" i="1"/>
  <c r="D1750" i="1"/>
  <c r="C1751" i="1"/>
  <c r="C903" i="1"/>
  <c r="D902" i="1"/>
  <c r="G4877" i="1" l="1"/>
  <c r="J4877" i="1" s="1"/>
  <c r="H4876" i="1"/>
  <c r="I4876" i="1" s="1"/>
  <c r="I901" i="1"/>
  <c r="H1750" i="1"/>
  <c r="J1750" i="1" s="1"/>
  <c r="I1749" i="1"/>
  <c r="H401" i="1"/>
  <c r="J400" i="1"/>
  <c r="I400" i="1"/>
  <c r="H902" i="1"/>
  <c r="J902" i="1" s="1"/>
  <c r="H1553" i="1"/>
  <c r="J1552" i="1"/>
  <c r="I1552" i="1"/>
  <c r="F4877" i="1"/>
  <c r="D4877" i="1"/>
  <c r="C4878" i="1"/>
  <c r="F903" i="1"/>
  <c r="F1751" i="1"/>
  <c r="F403" i="1"/>
  <c r="C404" i="1"/>
  <c r="D403" i="1"/>
  <c r="C1752" i="1"/>
  <c r="D1751" i="1"/>
  <c r="C904" i="1"/>
  <c r="D903" i="1"/>
  <c r="G4878" i="1" l="1"/>
  <c r="J4878" i="1" s="1"/>
  <c r="H1751" i="1"/>
  <c r="J1751" i="1" s="1"/>
  <c r="H903" i="1"/>
  <c r="J903" i="1" s="1"/>
  <c r="H402" i="1"/>
  <c r="J401" i="1"/>
  <c r="I401" i="1"/>
  <c r="H4877" i="1"/>
  <c r="I4877" i="1" s="1"/>
  <c r="H1554" i="1"/>
  <c r="J1553" i="1"/>
  <c r="I1553" i="1"/>
  <c r="I1750" i="1"/>
  <c r="I902" i="1"/>
  <c r="C4879" i="1"/>
  <c r="F4878" i="1"/>
  <c r="D4878" i="1"/>
  <c r="F904" i="1"/>
  <c r="F1752" i="1"/>
  <c r="F404" i="1"/>
  <c r="D404" i="1"/>
  <c r="C405" i="1"/>
  <c r="D1752" i="1"/>
  <c r="C1753" i="1"/>
  <c r="C905" i="1"/>
  <c r="D904" i="1"/>
  <c r="G4879" i="1" l="1"/>
  <c r="J4879" i="1" s="1"/>
  <c r="H1555" i="1"/>
  <c r="J1554" i="1"/>
  <c r="I1554" i="1"/>
  <c r="H1752" i="1"/>
  <c r="J1752" i="1" s="1"/>
  <c r="I903" i="1"/>
  <c r="H403" i="1"/>
  <c r="J402" i="1"/>
  <c r="I402" i="1"/>
  <c r="H904" i="1"/>
  <c r="J904" i="1" s="1"/>
  <c r="I1751" i="1"/>
  <c r="H4878" i="1"/>
  <c r="I4878" i="1" s="1"/>
  <c r="D4879" i="1"/>
  <c r="C4880" i="1"/>
  <c r="F4879" i="1"/>
  <c r="F905" i="1"/>
  <c r="F1753" i="1"/>
  <c r="F405" i="1"/>
  <c r="C406" i="1"/>
  <c r="D405" i="1"/>
  <c r="C1754" i="1"/>
  <c r="D1753" i="1"/>
  <c r="C906" i="1"/>
  <c r="D905" i="1"/>
  <c r="G4880" i="1" l="1"/>
  <c r="J4880" i="1" s="1"/>
  <c r="I1752" i="1"/>
  <c r="H905" i="1"/>
  <c r="J905" i="1" s="1"/>
  <c r="H4879" i="1"/>
  <c r="I4879" i="1" s="1"/>
  <c r="I904" i="1"/>
  <c r="H1753" i="1"/>
  <c r="J1753" i="1" s="1"/>
  <c r="H404" i="1"/>
  <c r="J403" i="1"/>
  <c r="I403" i="1"/>
  <c r="J1555" i="1"/>
  <c r="I1555" i="1"/>
  <c r="F4880" i="1"/>
  <c r="D4880" i="1"/>
  <c r="C4881" i="1"/>
  <c r="F906" i="1"/>
  <c r="F1754" i="1"/>
  <c r="F406" i="1"/>
  <c r="C407" i="1"/>
  <c r="D406" i="1"/>
  <c r="C1755" i="1"/>
  <c r="D1754" i="1"/>
  <c r="C907" i="1"/>
  <c r="D906" i="1"/>
  <c r="G4881" i="1" l="1"/>
  <c r="J4881" i="1" s="1"/>
  <c r="I1753" i="1"/>
  <c r="H405" i="1"/>
  <c r="J404" i="1"/>
  <c r="I404" i="1"/>
  <c r="H1754" i="1"/>
  <c r="J1754" i="1" s="1"/>
  <c r="I905" i="1"/>
  <c r="H4880" i="1"/>
  <c r="I4880" i="1" s="1"/>
  <c r="H906" i="1"/>
  <c r="J906" i="1" s="1"/>
  <c r="F4881" i="1"/>
  <c r="D4881" i="1"/>
  <c r="C4882" i="1"/>
  <c r="F907" i="1"/>
  <c r="D1755" i="1"/>
  <c r="F1755" i="1"/>
  <c r="C1756" i="1"/>
  <c r="F407" i="1"/>
  <c r="C408" i="1"/>
  <c r="D407" i="1"/>
  <c r="C908" i="1"/>
  <c r="D907" i="1"/>
  <c r="G4882" i="1" l="1"/>
  <c r="J4882" i="1" s="1"/>
  <c r="H1755" i="1"/>
  <c r="I1755" i="1" s="1"/>
  <c r="I906" i="1"/>
  <c r="H907" i="1"/>
  <c r="J907" i="1" s="1"/>
  <c r="H4881" i="1"/>
  <c r="I4881" i="1" s="1"/>
  <c r="I1754" i="1"/>
  <c r="H406" i="1"/>
  <c r="J405" i="1"/>
  <c r="I405" i="1"/>
  <c r="F4882" i="1"/>
  <c r="D4882" i="1"/>
  <c r="C4883" i="1"/>
  <c r="F908" i="1"/>
  <c r="F1756" i="1"/>
  <c r="C1757" i="1"/>
  <c r="D1756" i="1"/>
  <c r="F408" i="1"/>
  <c r="D408" i="1"/>
  <c r="C409" i="1"/>
  <c r="C909" i="1"/>
  <c r="D908" i="1"/>
  <c r="J1755" i="1" l="1"/>
  <c r="G4883" i="1"/>
  <c r="J4883" i="1" s="1"/>
  <c r="I907" i="1"/>
  <c r="H1756" i="1"/>
  <c r="I1756" i="1" s="1"/>
  <c r="H407" i="1"/>
  <c r="J406" i="1"/>
  <c r="I406" i="1"/>
  <c r="H908" i="1"/>
  <c r="J908" i="1" s="1"/>
  <c r="H4882" i="1"/>
  <c r="I4882" i="1" s="1"/>
  <c r="C4884" i="1"/>
  <c r="D4883" i="1"/>
  <c r="F4883" i="1"/>
  <c r="F909" i="1"/>
  <c r="F1757" i="1"/>
  <c r="C1758" i="1"/>
  <c r="D1757" i="1"/>
  <c r="F409" i="1"/>
  <c r="D409" i="1"/>
  <c r="C410" i="1"/>
  <c r="C910" i="1"/>
  <c r="D909" i="1"/>
  <c r="H4883" i="1" l="1"/>
  <c r="I4883" i="1" s="1"/>
  <c r="G4884" i="1"/>
  <c r="J4884" i="1" s="1"/>
  <c r="I908" i="1"/>
  <c r="H408" i="1"/>
  <c r="J407" i="1"/>
  <c r="I407" i="1"/>
  <c r="H1757" i="1"/>
  <c r="I1757" i="1" s="1"/>
  <c r="J1756" i="1"/>
  <c r="H909" i="1"/>
  <c r="J909" i="1" s="1"/>
  <c r="C4885" i="1"/>
  <c r="D4884" i="1"/>
  <c r="F4884" i="1"/>
  <c r="F910" i="1"/>
  <c r="F1758" i="1"/>
  <c r="C1759" i="1"/>
  <c r="D1758" i="1"/>
  <c r="F410" i="1"/>
  <c r="C411" i="1"/>
  <c r="D410" i="1"/>
  <c r="C911" i="1"/>
  <c r="D910" i="1"/>
  <c r="H4884" i="1" l="1"/>
  <c r="I4884" i="1" s="1"/>
  <c r="G4885" i="1"/>
  <c r="J4885" i="1" s="1"/>
  <c r="I909" i="1"/>
  <c r="H409" i="1"/>
  <c r="J408" i="1"/>
  <c r="I408" i="1"/>
  <c r="H910" i="1"/>
  <c r="J910" i="1" s="1"/>
  <c r="H1758" i="1"/>
  <c r="J1758" i="1" s="1"/>
  <c r="J1757" i="1"/>
  <c r="D4885" i="1"/>
  <c r="C4886" i="1"/>
  <c r="F4885" i="1"/>
  <c r="F911" i="1"/>
  <c r="F1759" i="1"/>
  <c r="C1760" i="1"/>
  <c r="D1759" i="1"/>
  <c r="F411" i="1"/>
  <c r="C412" i="1"/>
  <c r="D411" i="1"/>
  <c r="C912" i="1"/>
  <c r="D911" i="1"/>
  <c r="G4886" i="1" l="1"/>
  <c r="J4886" i="1" s="1"/>
  <c r="I1758" i="1"/>
  <c r="I910" i="1"/>
  <c r="H911" i="1"/>
  <c r="J911" i="1" s="1"/>
  <c r="H4885" i="1"/>
  <c r="I4885" i="1" s="1"/>
  <c r="H1759" i="1"/>
  <c r="I1759" i="1" s="1"/>
  <c r="H410" i="1"/>
  <c r="J409" i="1"/>
  <c r="I409" i="1"/>
  <c r="D4886" i="1"/>
  <c r="C4887" i="1"/>
  <c r="F4886" i="1"/>
  <c r="F912" i="1"/>
  <c r="F412" i="1"/>
  <c r="D412" i="1"/>
  <c r="C413" i="1"/>
  <c r="F1760" i="1"/>
  <c r="C1761" i="1"/>
  <c r="D1760" i="1"/>
  <c r="C913" i="1"/>
  <c r="D912" i="1"/>
  <c r="G4887" i="1" l="1"/>
  <c r="J4887" i="1" s="1"/>
  <c r="H1760" i="1"/>
  <c r="I1760" i="1" s="1"/>
  <c r="J1759" i="1"/>
  <c r="H411" i="1"/>
  <c r="J410" i="1"/>
  <c r="I410" i="1"/>
  <c r="H912" i="1"/>
  <c r="J912" i="1" s="1"/>
  <c r="H4886" i="1"/>
  <c r="I4886" i="1" s="1"/>
  <c r="I911" i="1"/>
  <c r="F4887" i="1"/>
  <c r="C4888" i="1"/>
  <c r="D4887" i="1"/>
  <c r="F913" i="1"/>
  <c r="F1761" i="1"/>
  <c r="C1762" i="1"/>
  <c r="D1761" i="1"/>
  <c r="F413" i="1"/>
  <c r="C414" i="1"/>
  <c r="D413" i="1"/>
  <c r="C914" i="1"/>
  <c r="D913" i="1"/>
  <c r="G4888" i="1" l="1"/>
  <c r="J4888" i="1" s="1"/>
  <c r="I912" i="1"/>
  <c r="H1761" i="1"/>
  <c r="J1760" i="1"/>
  <c r="H4887" i="1"/>
  <c r="I4887" i="1" s="1"/>
  <c r="H913" i="1"/>
  <c r="J913" i="1" s="1"/>
  <c r="H412" i="1"/>
  <c r="J411" i="1"/>
  <c r="I411" i="1"/>
  <c r="F4888" i="1"/>
  <c r="D4888" i="1"/>
  <c r="C4889" i="1"/>
  <c r="F914" i="1"/>
  <c r="F414" i="1"/>
  <c r="D414" i="1"/>
  <c r="C415" i="1"/>
  <c r="F1762" i="1"/>
  <c r="D1762" i="1"/>
  <c r="C1763" i="1"/>
  <c r="C915" i="1"/>
  <c r="D914" i="1"/>
  <c r="G4889" i="1" l="1"/>
  <c r="J4889" i="1" s="1"/>
  <c r="H4888" i="1"/>
  <c r="I4888" i="1" s="1"/>
  <c r="H1762" i="1"/>
  <c r="J1761" i="1"/>
  <c r="H413" i="1"/>
  <c r="J412" i="1"/>
  <c r="I412" i="1"/>
  <c r="I1761" i="1"/>
  <c r="H914" i="1"/>
  <c r="J914" i="1" s="1"/>
  <c r="I913" i="1"/>
  <c r="D4889" i="1"/>
  <c r="F4889" i="1"/>
  <c r="C4890" i="1"/>
  <c r="F915" i="1"/>
  <c r="F1763" i="1"/>
  <c r="D1763" i="1"/>
  <c r="C1764" i="1"/>
  <c r="F415" i="1"/>
  <c r="C416" i="1"/>
  <c r="D415" i="1"/>
  <c r="C916" i="1"/>
  <c r="D915" i="1"/>
  <c r="G4890" i="1" l="1"/>
  <c r="J4890" i="1" s="1"/>
  <c r="H414" i="1"/>
  <c r="J413" i="1"/>
  <c r="I413" i="1"/>
  <c r="H915" i="1"/>
  <c r="J915" i="1" s="1"/>
  <c r="I914" i="1"/>
  <c r="H1763" i="1"/>
  <c r="I1763" i="1" s="1"/>
  <c r="J1762" i="1"/>
  <c r="H4889" i="1"/>
  <c r="I4889" i="1" s="1"/>
  <c r="I1762" i="1"/>
  <c r="F4890" i="1"/>
  <c r="D4890" i="1"/>
  <c r="C4891" i="1"/>
  <c r="F916" i="1"/>
  <c r="F1764" i="1"/>
  <c r="D1764" i="1"/>
  <c r="C1765" i="1"/>
  <c r="F416" i="1"/>
  <c r="D416" i="1"/>
  <c r="C417" i="1"/>
  <c r="C917" i="1"/>
  <c r="D916" i="1"/>
  <c r="G4891" i="1" l="1"/>
  <c r="J4891" i="1" s="1"/>
  <c r="I915" i="1"/>
  <c r="H4890" i="1"/>
  <c r="I4890" i="1" s="1"/>
  <c r="H1764" i="1"/>
  <c r="I1764" i="1" s="1"/>
  <c r="J1763" i="1"/>
  <c r="H916" i="1"/>
  <c r="J916" i="1" s="1"/>
  <c r="H415" i="1"/>
  <c r="J414" i="1"/>
  <c r="I414" i="1"/>
  <c r="F4891" i="1"/>
  <c r="C4892" i="1"/>
  <c r="D4891" i="1"/>
  <c r="F917" i="1"/>
  <c r="F1765" i="1"/>
  <c r="C1766" i="1"/>
  <c r="D1765" i="1"/>
  <c r="F417" i="1"/>
  <c r="C418" i="1"/>
  <c r="D417" i="1"/>
  <c r="C918" i="1"/>
  <c r="D917" i="1"/>
  <c r="I916" i="1" l="1"/>
  <c r="G4892" i="1"/>
  <c r="J4892" i="1" s="1"/>
  <c r="H4891" i="1"/>
  <c r="I4891" i="1" s="1"/>
  <c r="H1765" i="1"/>
  <c r="I1765" i="1" s="1"/>
  <c r="J1764" i="1"/>
  <c r="H917" i="1"/>
  <c r="J917" i="1" s="1"/>
  <c r="H416" i="1"/>
  <c r="J415" i="1"/>
  <c r="I415" i="1"/>
  <c r="D4892" i="1"/>
  <c r="F4892" i="1"/>
  <c r="C4893" i="1"/>
  <c r="F918" i="1"/>
  <c r="F418" i="1"/>
  <c r="C419" i="1"/>
  <c r="D418" i="1"/>
  <c r="F1766" i="1"/>
  <c r="C1767" i="1"/>
  <c r="D1766" i="1"/>
  <c r="C919" i="1"/>
  <c r="D918" i="1"/>
  <c r="G4893" i="1" l="1"/>
  <c r="J4893" i="1" s="1"/>
  <c r="H4892" i="1"/>
  <c r="I4892" i="1" s="1"/>
  <c r="I917" i="1"/>
  <c r="H417" i="1"/>
  <c r="J416" i="1"/>
  <c r="I416" i="1"/>
  <c r="H918" i="1"/>
  <c r="J918" i="1" s="1"/>
  <c r="H1766" i="1"/>
  <c r="I1766" i="1" s="1"/>
  <c r="J1765" i="1"/>
  <c r="F4893" i="1"/>
  <c r="D4893" i="1"/>
  <c r="C4894" i="1"/>
  <c r="F919" i="1"/>
  <c r="F1767" i="1"/>
  <c r="D1767" i="1"/>
  <c r="C1768" i="1"/>
  <c r="F419" i="1"/>
  <c r="C420" i="1"/>
  <c r="D419" i="1"/>
  <c r="C920" i="1"/>
  <c r="D919" i="1"/>
  <c r="G4894" i="1" l="1"/>
  <c r="J4894" i="1" s="1"/>
  <c r="H1767" i="1"/>
  <c r="J1767" i="1" s="1"/>
  <c r="J1766" i="1"/>
  <c r="H4893" i="1"/>
  <c r="I4893" i="1" s="1"/>
  <c r="I918" i="1"/>
  <c r="H919" i="1"/>
  <c r="J919" i="1" s="1"/>
  <c r="H418" i="1"/>
  <c r="J417" i="1"/>
  <c r="I417" i="1"/>
  <c r="C4895" i="1"/>
  <c r="D4894" i="1"/>
  <c r="F4894" i="1"/>
  <c r="F920" i="1"/>
  <c r="F1768" i="1"/>
  <c r="C1769" i="1"/>
  <c r="D1768" i="1"/>
  <c r="F420" i="1"/>
  <c r="C421" i="1"/>
  <c r="D420" i="1"/>
  <c r="C921" i="1"/>
  <c r="D920" i="1"/>
  <c r="I1767" i="1" l="1"/>
  <c r="G4895" i="1"/>
  <c r="J4895" i="1" s="1"/>
  <c r="I919" i="1"/>
  <c r="H920" i="1"/>
  <c r="J920" i="1" s="1"/>
  <c r="H419" i="1"/>
  <c r="J418" i="1"/>
  <c r="I418" i="1"/>
  <c r="H4894" i="1"/>
  <c r="I4894" i="1" s="1"/>
  <c r="H1768" i="1"/>
  <c r="I1768" i="1" s="1"/>
  <c r="F4895" i="1"/>
  <c r="D4895" i="1"/>
  <c r="C4896" i="1"/>
  <c r="F921" i="1"/>
  <c r="F421" i="1"/>
  <c r="D421" i="1"/>
  <c r="C422" i="1"/>
  <c r="F1769" i="1"/>
  <c r="C1770" i="1"/>
  <c r="D1769" i="1"/>
  <c r="C922" i="1"/>
  <c r="D921" i="1"/>
  <c r="G4896" i="1" l="1"/>
  <c r="J4896" i="1" s="1"/>
  <c r="H4895" i="1"/>
  <c r="I4895" i="1" s="1"/>
  <c r="I920" i="1"/>
  <c r="H1769" i="1"/>
  <c r="J1768" i="1"/>
  <c r="H921" i="1"/>
  <c r="J921" i="1" s="1"/>
  <c r="H420" i="1"/>
  <c r="J419" i="1"/>
  <c r="I419" i="1"/>
  <c r="F4896" i="1"/>
  <c r="D4896" i="1"/>
  <c r="C4897" i="1"/>
  <c r="F922" i="1"/>
  <c r="F1770" i="1"/>
  <c r="C1771" i="1"/>
  <c r="D1770" i="1"/>
  <c r="F422" i="1"/>
  <c r="C423" i="1"/>
  <c r="D422" i="1"/>
  <c r="C923" i="1"/>
  <c r="D922" i="1"/>
  <c r="G4897" i="1" l="1"/>
  <c r="J4897" i="1" s="1"/>
  <c r="H4896" i="1"/>
  <c r="I4896" i="1" s="1"/>
  <c r="H1770" i="1"/>
  <c r="I1770" i="1" s="1"/>
  <c r="J1769" i="1"/>
  <c r="I1769" i="1"/>
  <c r="H421" i="1"/>
  <c r="J420" i="1"/>
  <c r="I420" i="1"/>
  <c r="H922" i="1"/>
  <c r="J922" i="1" s="1"/>
  <c r="I921" i="1"/>
  <c r="C4898" i="1"/>
  <c r="F4897" i="1"/>
  <c r="D4897" i="1"/>
  <c r="F923" i="1"/>
  <c r="F423" i="1"/>
  <c r="C424" i="1"/>
  <c r="D423" i="1"/>
  <c r="F1771" i="1"/>
  <c r="C1772" i="1"/>
  <c r="D1771" i="1"/>
  <c r="C924" i="1"/>
  <c r="D923" i="1"/>
  <c r="G4898" i="1" l="1"/>
  <c r="J4898" i="1" s="1"/>
  <c r="I922" i="1"/>
  <c r="H923" i="1"/>
  <c r="J923" i="1" s="1"/>
  <c r="H4897" i="1"/>
  <c r="I4897" i="1" s="1"/>
  <c r="H1771" i="1"/>
  <c r="I1771" i="1" s="1"/>
  <c r="J1770" i="1"/>
  <c r="H422" i="1"/>
  <c r="J421" i="1"/>
  <c r="I421" i="1"/>
  <c r="F4898" i="1"/>
  <c r="C4899" i="1"/>
  <c r="D4898" i="1"/>
  <c r="F924" i="1"/>
  <c r="F1772" i="1"/>
  <c r="C1773" i="1"/>
  <c r="D1772" i="1"/>
  <c r="F424" i="1"/>
  <c r="C425" i="1"/>
  <c r="D424" i="1"/>
  <c r="C925" i="1"/>
  <c r="D924" i="1"/>
  <c r="G4899" i="1" l="1"/>
  <c r="J4899" i="1" s="1"/>
  <c r="H924" i="1"/>
  <c r="J924" i="1" s="1"/>
  <c r="H423" i="1"/>
  <c r="J422" i="1"/>
  <c r="I422" i="1"/>
  <c r="H4898" i="1"/>
  <c r="I4898" i="1" s="1"/>
  <c r="I923" i="1"/>
  <c r="H1772" i="1"/>
  <c r="J1771" i="1"/>
  <c r="F4899" i="1"/>
  <c r="D4899" i="1"/>
  <c r="C4900" i="1"/>
  <c r="F925" i="1"/>
  <c r="F425" i="1"/>
  <c r="C426" i="1"/>
  <c r="D425" i="1"/>
  <c r="F1773" i="1"/>
  <c r="C1774" i="1"/>
  <c r="D1773" i="1"/>
  <c r="C926" i="1"/>
  <c r="D925" i="1"/>
  <c r="G4900" i="1" l="1"/>
  <c r="J4900" i="1" s="1"/>
  <c r="H4899" i="1"/>
  <c r="I4899" i="1" s="1"/>
  <c r="H424" i="1"/>
  <c r="J423" i="1"/>
  <c r="I423" i="1"/>
  <c r="H1773" i="1"/>
  <c r="J1772" i="1"/>
  <c r="I1772" i="1"/>
  <c r="H925" i="1"/>
  <c r="J925" i="1" s="1"/>
  <c r="I924" i="1"/>
  <c r="F4900" i="1"/>
  <c r="C4901" i="1"/>
  <c r="D4900" i="1"/>
  <c r="F926" i="1"/>
  <c r="F1774" i="1"/>
  <c r="C1775" i="1"/>
  <c r="D1774" i="1"/>
  <c r="F426" i="1"/>
  <c r="D426" i="1"/>
  <c r="C427" i="1"/>
  <c r="C927" i="1"/>
  <c r="D926" i="1"/>
  <c r="G4901" i="1" l="1"/>
  <c r="J4901" i="1" s="1"/>
  <c r="H4900" i="1"/>
  <c r="I4900" i="1" s="1"/>
  <c r="H1774" i="1"/>
  <c r="J1773" i="1"/>
  <c r="I925" i="1"/>
  <c r="I1773" i="1"/>
  <c r="H926" i="1"/>
  <c r="J926" i="1" s="1"/>
  <c r="H425" i="1"/>
  <c r="J424" i="1"/>
  <c r="I424" i="1"/>
  <c r="C4902" i="1"/>
  <c r="D4901" i="1"/>
  <c r="F4901" i="1"/>
  <c r="F927" i="1"/>
  <c r="F427" i="1"/>
  <c r="C428" i="1"/>
  <c r="D427" i="1"/>
  <c r="F1775" i="1"/>
  <c r="C1776" i="1"/>
  <c r="D1775" i="1"/>
  <c r="C928" i="1"/>
  <c r="D927" i="1"/>
  <c r="G4902" i="1" l="1"/>
  <c r="J4902" i="1" s="1"/>
  <c r="H927" i="1"/>
  <c r="J927" i="1" s="1"/>
  <c r="I926" i="1"/>
  <c r="H426" i="1"/>
  <c r="J425" i="1"/>
  <c r="I425" i="1"/>
  <c r="H4901" i="1"/>
  <c r="I4901" i="1" s="1"/>
  <c r="H1775" i="1"/>
  <c r="J1775" i="1" s="1"/>
  <c r="J1774" i="1"/>
  <c r="I1774" i="1"/>
  <c r="D4902" i="1"/>
  <c r="C4903" i="1"/>
  <c r="F4902" i="1"/>
  <c r="F928" i="1"/>
  <c r="F1776" i="1"/>
  <c r="C1777" i="1"/>
  <c r="D1776" i="1"/>
  <c r="F428" i="1"/>
  <c r="D428" i="1"/>
  <c r="C429" i="1"/>
  <c r="C929" i="1"/>
  <c r="D928" i="1"/>
  <c r="G4903" i="1" l="1"/>
  <c r="J4903" i="1" s="1"/>
  <c r="H4902" i="1"/>
  <c r="I4902" i="1" s="1"/>
  <c r="H1776" i="1"/>
  <c r="J1776" i="1" s="1"/>
  <c r="H427" i="1"/>
  <c r="J426" i="1"/>
  <c r="I426" i="1"/>
  <c r="H928" i="1"/>
  <c r="J928" i="1" s="1"/>
  <c r="I1775" i="1"/>
  <c r="I927" i="1"/>
  <c r="D4903" i="1"/>
  <c r="C4904" i="1"/>
  <c r="F4903" i="1"/>
  <c r="F929" i="1"/>
  <c r="F429" i="1"/>
  <c r="C430" i="1"/>
  <c r="D429" i="1"/>
  <c r="F1777" i="1"/>
  <c r="C1778" i="1"/>
  <c r="D1777" i="1"/>
  <c r="C930" i="1"/>
  <c r="D929" i="1"/>
  <c r="G4904" i="1" l="1"/>
  <c r="J4904" i="1" s="1"/>
  <c r="I928" i="1"/>
  <c r="H428" i="1"/>
  <c r="J427" i="1"/>
  <c r="I427" i="1"/>
  <c r="I1776" i="1"/>
  <c r="H1777" i="1"/>
  <c r="J1777" i="1" s="1"/>
  <c r="H929" i="1"/>
  <c r="J929" i="1" s="1"/>
  <c r="H4903" i="1"/>
  <c r="I4903" i="1" s="1"/>
  <c r="C4905" i="1"/>
  <c r="F4904" i="1"/>
  <c r="D4904" i="1"/>
  <c r="F930" i="1"/>
  <c r="F1778" i="1"/>
  <c r="C1779" i="1"/>
  <c r="D1778" i="1"/>
  <c r="F430" i="1"/>
  <c r="D430" i="1"/>
  <c r="C431" i="1"/>
  <c r="C931" i="1"/>
  <c r="D930" i="1"/>
  <c r="G4905" i="1" l="1"/>
  <c r="J4905" i="1" s="1"/>
  <c r="I929" i="1"/>
  <c r="H1778" i="1"/>
  <c r="J1778" i="1" s="1"/>
  <c r="H930" i="1"/>
  <c r="J930" i="1" s="1"/>
  <c r="H4904" i="1"/>
  <c r="I4904" i="1" s="1"/>
  <c r="I1777" i="1"/>
  <c r="H429" i="1"/>
  <c r="J428" i="1"/>
  <c r="I428" i="1"/>
  <c r="C4906" i="1"/>
  <c r="F4905" i="1"/>
  <c r="D4905" i="1"/>
  <c r="F931" i="1"/>
  <c r="F1779" i="1"/>
  <c r="C1780" i="1"/>
  <c r="D1779" i="1"/>
  <c r="F431" i="1"/>
  <c r="C432" i="1"/>
  <c r="D431" i="1"/>
  <c r="C932" i="1"/>
  <c r="D931" i="1"/>
  <c r="I1778" i="1" l="1"/>
  <c r="G4906" i="1"/>
  <c r="J4906" i="1" s="1"/>
  <c r="H1779" i="1"/>
  <c r="J1779" i="1" s="1"/>
  <c r="H931" i="1"/>
  <c r="J931" i="1" s="1"/>
  <c r="H430" i="1"/>
  <c r="J429" i="1"/>
  <c r="I429" i="1"/>
  <c r="H4905" i="1"/>
  <c r="I4905" i="1" s="1"/>
  <c r="I930" i="1"/>
  <c r="C4907" i="1"/>
  <c r="D4906" i="1"/>
  <c r="F4906" i="1"/>
  <c r="F932" i="1"/>
  <c r="F432" i="1"/>
  <c r="D432" i="1"/>
  <c r="C433" i="1"/>
  <c r="F1780" i="1"/>
  <c r="C1781" i="1"/>
  <c r="D1780" i="1"/>
  <c r="C933" i="1"/>
  <c r="D932" i="1"/>
  <c r="G4907" i="1" l="1"/>
  <c r="J4907" i="1" s="1"/>
  <c r="H1780" i="1"/>
  <c r="J1780" i="1" s="1"/>
  <c r="I931" i="1"/>
  <c r="I1779" i="1"/>
  <c r="H932" i="1"/>
  <c r="J932" i="1" s="1"/>
  <c r="H4906" i="1"/>
  <c r="I4906" i="1" s="1"/>
  <c r="H431" i="1"/>
  <c r="J430" i="1"/>
  <c r="I430" i="1"/>
  <c r="F4907" i="1"/>
  <c r="C4908" i="1"/>
  <c r="D4907" i="1"/>
  <c r="F933" i="1"/>
  <c r="F1781" i="1"/>
  <c r="C1782" i="1"/>
  <c r="D1781" i="1"/>
  <c r="F433" i="1"/>
  <c r="C434" i="1"/>
  <c r="D433" i="1"/>
  <c r="C934" i="1"/>
  <c r="D933" i="1"/>
  <c r="G4908" i="1" l="1"/>
  <c r="J4908" i="1" s="1"/>
  <c r="H4907" i="1"/>
  <c r="I4907" i="1" s="1"/>
  <c r="I1780" i="1"/>
  <c r="H1781" i="1"/>
  <c r="J1781" i="1" s="1"/>
  <c r="H432" i="1"/>
  <c r="J431" i="1"/>
  <c r="I431" i="1"/>
  <c r="H933" i="1"/>
  <c r="J933" i="1" s="1"/>
  <c r="I932" i="1"/>
  <c r="F4908" i="1"/>
  <c r="D4908" i="1"/>
  <c r="C4909" i="1"/>
  <c r="F934" i="1"/>
  <c r="F434" i="1"/>
  <c r="D434" i="1"/>
  <c r="C435" i="1"/>
  <c r="F1782" i="1"/>
  <c r="C1783" i="1"/>
  <c r="D1782" i="1"/>
  <c r="C935" i="1"/>
  <c r="D934" i="1"/>
  <c r="G4909" i="1" l="1"/>
  <c r="J4909" i="1" s="1"/>
  <c r="H4908" i="1"/>
  <c r="I4908" i="1" s="1"/>
  <c r="H1782" i="1"/>
  <c r="J1782" i="1" s="1"/>
  <c r="H934" i="1"/>
  <c r="J934" i="1" s="1"/>
  <c r="H433" i="1"/>
  <c r="J432" i="1"/>
  <c r="I432" i="1"/>
  <c r="I1781" i="1"/>
  <c r="I933" i="1"/>
  <c r="F4909" i="1"/>
  <c r="D4909" i="1"/>
  <c r="C4910" i="1"/>
  <c r="F935" i="1"/>
  <c r="F435" i="1"/>
  <c r="C436" i="1"/>
  <c r="D435" i="1"/>
  <c r="F1783" i="1"/>
  <c r="D1783" i="1"/>
  <c r="C1784" i="1"/>
  <c r="C936" i="1"/>
  <c r="D935" i="1"/>
  <c r="G4910" i="1" l="1"/>
  <c r="J4910" i="1" s="1"/>
  <c r="H434" i="1"/>
  <c r="J433" i="1"/>
  <c r="I433" i="1"/>
  <c r="I934" i="1"/>
  <c r="H4909" i="1"/>
  <c r="I4909" i="1" s="1"/>
  <c r="H935" i="1"/>
  <c r="J935" i="1" s="1"/>
  <c r="I1782" i="1"/>
  <c r="H1783" i="1"/>
  <c r="J1783" i="1" s="1"/>
  <c r="F4910" i="1"/>
  <c r="D4910" i="1"/>
  <c r="C4911" i="1"/>
  <c r="F936" i="1"/>
  <c r="F436" i="1"/>
  <c r="C437" i="1"/>
  <c r="D436" i="1"/>
  <c r="F1784" i="1"/>
  <c r="D1784" i="1"/>
  <c r="C1785" i="1"/>
  <c r="C937" i="1"/>
  <c r="D936" i="1"/>
  <c r="G4911" i="1" l="1"/>
  <c r="J4911" i="1" s="1"/>
  <c r="I935" i="1"/>
  <c r="I1783" i="1"/>
  <c r="H936" i="1"/>
  <c r="J936" i="1" s="1"/>
  <c r="H1784" i="1"/>
  <c r="J1784" i="1" s="1"/>
  <c r="H4910" i="1"/>
  <c r="I4910" i="1" s="1"/>
  <c r="H435" i="1"/>
  <c r="J434" i="1"/>
  <c r="I434" i="1"/>
  <c r="C4912" i="1"/>
  <c r="D4911" i="1"/>
  <c r="F4911" i="1"/>
  <c r="F937" i="1"/>
  <c r="F437" i="1"/>
  <c r="C438" i="1"/>
  <c r="D437" i="1"/>
  <c r="F1785" i="1"/>
  <c r="C1786" i="1"/>
  <c r="D1785" i="1"/>
  <c r="C938" i="1"/>
  <c r="D937" i="1"/>
  <c r="G4912" i="1" l="1"/>
  <c r="J4912" i="1" s="1"/>
  <c r="H937" i="1"/>
  <c r="J937" i="1" s="1"/>
  <c r="H4911" i="1"/>
  <c r="I4911" i="1" s="1"/>
  <c r="H436" i="1"/>
  <c r="J435" i="1"/>
  <c r="I435" i="1"/>
  <c r="H1785" i="1"/>
  <c r="J1785" i="1" s="1"/>
  <c r="I1784" i="1"/>
  <c r="I936" i="1"/>
  <c r="C4913" i="1"/>
  <c r="F4912" i="1"/>
  <c r="D4912" i="1"/>
  <c r="F938" i="1"/>
  <c r="F438" i="1"/>
  <c r="D438" i="1"/>
  <c r="C439" i="1"/>
  <c r="F1786" i="1"/>
  <c r="C1787" i="1"/>
  <c r="D1786" i="1"/>
  <c r="C939" i="1"/>
  <c r="D938" i="1"/>
  <c r="H4912" i="1" l="1"/>
  <c r="I4912" i="1" s="1"/>
  <c r="G4913" i="1"/>
  <c r="J4913" i="1" s="1"/>
  <c r="I1785" i="1"/>
  <c r="I937" i="1"/>
  <c r="H1786" i="1"/>
  <c r="J1786" i="1" s="1"/>
  <c r="H938" i="1"/>
  <c r="J938" i="1" s="1"/>
  <c r="H437" i="1"/>
  <c r="J436" i="1"/>
  <c r="I436" i="1"/>
  <c r="D4913" i="1"/>
  <c r="C4914" i="1"/>
  <c r="F4913" i="1"/>
  <c r="F939" i="1"/>
  <c r="F439" i="1"/>
  <c r="C440" i="1"/>
  <c r="D439" i="1"/>
  <c r="F1787" i="1"/>
  <c r="C1788" i="1"/>
  <c r="D1787" i="1"/>
  <c r="C940" i="1"/>
  <c r="D939" i="1"/>
  <c r="I938" i="1" l="1"/>
  <c r="G4914" i="1"/>
  <c r="J4914" i="1" s="1"/>
  <c r="I1786" i="1"/>
  <c r="H939" i="1"/>
  <c r="J939" i="1" s="1"/>
  <c r="H4913" i="1"/>
  <c r="I4913" i="1" s="1"/>
  <c r="H1787" i="1"/>
  <c r="J1787" i="1" s="1"/>
  <c r="H438" i="1"/>
  <c r="J437" i="1"/>
  <c r="I437" i="1"/>
  <c r="C4915" i="1"/>
  <c r="F4914" i="1"/>
  <c r="D4914" i="1"/>
  <c r="F940" i="1"/>
  <c r="F1788" i="1"/>
  <c r="D1788" i="1"/>
  <c r="C1789" i="1"/>
  <c r="F440" i="1"/>
  <c r="D440" i="1"/>
  <c r="C441" i="1"/>
  <c r="C941" i="1"/>
  <c r="D940" i="1"/>
  <c r="G4915" i="1" l="1"/>
  <c r="J4915" i="1" s="1"/>
  <c r="I1787" i="1"/>
  <c r="I939" i="1"/>
  <c r="H940" i="1"/>
  <c r="J940" i="1" s="1"/>
  <c r="H439" i="1"/>
  <c r="J438" i="1"/>
  <c r="I438" i="1"/>
  <c r="H4914" i="1"/>
  <c r="I4914" i="1" s="1"/>
  <c r="H1788" i="1"/>
  <c r="J1788" i="1" s="1"/>
  <c r="C4916" i="1"/>
  <c r="D4915" i="1"/>
  <c r="F4915" i="1"/>
  <c r="F941" i="1"/>
  <c r="F1789" i="1"/>
  <c r="D1789" i="1"/>
  <c r="C1790" i="1"/>
  <c r="F441" i="1"/>
  <c r="C442" i="1"/>
  <c r="D441" i="1"/>
  <c r="C942" i="1"/>
  <c r="D941" i="1"/>
  <c r="H4915" i="1" l="1"/>
  <c r="I4915" i="1" s="1"/>
  <c r="G4916" i="1"/>
  <c r="J4916" i="1" s="1"/>
  <c r="I1788" i="1"/>
  <c r="H1789" i="1"/>
  <c r="J1789" i="1" s="1"/>
  <c r="I940" i="1"/>
  <c r="H941" i="1"/>
  <c r="J941" i="1" s="1"/>
  <c r="H440" i="1"/>
  <c r="J439" i="1"/>
  <c r="I439" i="1"/>
  <c r="F4916" i="1"/>
  <c r="C4917" i="1"/>
  <c r="D4916" i="1"/>
  <c r="F942" i="1"/>
  <c r="F442" i="1"/>
  <c r="D442" i="1"/>
  <c r="C443" i="1"/>
  <c r="F1790" i="1"/>
  <c r="C1791" i="1"/>
  <c r="D1790" i="1"/>
  <c r="C943" i="1"/>
  <c r="D942" i="1"/>
  <c r="G4917" i="1" l="1"/>
  <c r="J4917" i="1" s="1"/>
  <c r="H4916" i="1"/>
  <c r="I4916" i="1" s="1"/>
  <c r="H1790" i="1"/>
  <c r="J1790" i="1" s="1"/>
  <c r="I1789" i="1"/>
  <c r="H441" i="1"/>
  <c r="J440" i="1"/>
  <c r="I440" i="1"/>
  <c r="H942" i="1"/>
  <c r="J942" i="1" s="1"/>
  <c r="I941" i="1"/>
  <c r="C4918" i="1"/>
  <c r="F4917" i="1"/>
  <c r="D4917" i="1"/>
  <c r="F943" i="1"/>
  <c r="F443" i="1"/>
  <c r="C444" i="1"/>
  <c r="D443" i="1"/>
  <c r="F1791" i="1"/>
  <c r="C1792" i="1"/>
  <c r="D1791" i="1"/>
  <c r="C944" i="1"/>
  <c r="D943" i="1"/>
  <c r="G4918" i="1" l="1"/>
  <c r="J4918" i="1" s="1"/>
  <c r="H1791" i="1"/>
  <c r="J1791" i="1" s="1"/>
  <c r="H442" i="1"/>
  <c r="J441" i="1"/>
  <c r="I441" i="1"/>
  <c r="H943" i="1"/>
  <c r="J943" i="1" s="1"/>
  <c r="I942" i="1"/>
  <c r="I1790" i="1"/>
  <c r="H4917" i="1"/>
  <c r="I4917" i="1" s="1"/>
  <c r="F4918" i="1"/>
  <c r="D4918" i="1"/>
  <c r="C4919" i="1"/>
  <c r="F944" i="1"/>
  <c r="F444" i="1"/>
  <c r="D444" i="1"/>
  <c r="C445" i="1"/>
  <c r="F1792" i="1"/>
  <c r="C1793" i="1"/>
  <c r="D1792" i="1"/>
  <c r="C945" i="1"/>
  <c r="D944" i="1"/>
  <c r="G4919" i="1" l="1"/>
  <c r="J4919" i="1" s="1"/>
  <c r="I943" i="1"/>
  <c r="H944" i="1"/>
  <c r="J944" i="1" s="1"/>
  <c r="H443" i="1"/>
  <c r="J442" i="1"/>
  <c r="I442" i="1"/>
  <c r="I1791" i="1"/>
  <c r="H4918" i="1"/>
  <c r="I4918" i="1" s="1"/>
  <c r="H1792" i="1"/>
  <c r="J1792" i="1" s="1"/>
  <c r="D4919" i="1"/>
  <c r="C4920" i="1"/>
  <c r="F4919" i="1"/>
  <c r="F945" i="1"/>
  <c r="F1793" i="1"/>
  <c r="C1794" i="1"/>
  <c r="D1793" i="1"/>
  <c r="F445" i="1"/>
  <c r="C446" i="1"/>
  <c r="D445" i="1"/>
  <c r="C946" i="1"/>
  <c r="D945" i="1"/>
  <c r="G4920" i="1" l="1"/>
  <c r="J4920" i="1" s="1"/>
  <c r="H1793" i="1"/>
  <c r="J1793" i="1" s="1"/>
  <c r="I944" i="1"/>
  <c r="H444" i="1"/>
  <c r="J443" i="1"/>
  <c r="I443" i="1"/>
  <c r="H945" i="1"/>
  <c r="J945" i="1" s="1"/>
  <c r="H4919" i="1"/>
  <c r="I4919" i="1" s="1"/>
  <c r="I1792" i="1"/>
  <c r="F4920" i="1"/>
  <c r="C4921" i="1"/>
  <c r="D4920" i="1"/>
  <c r="F946" i="1"/>
  <c r="F446" i="1"/>
  <c r="C447" i="1"/>
  <c r="D446" i="1"/>
  <c r="F1794" i="1"/>
  <c r="D1794" i="1"/>
  <c r="C1795" i="1"/>
  <c r="C947" i="1"/>
  <c r="D946" i="1"/>
  <c r="G4921" i="1" l="1"/>
  <c r="J4921" i="1" s="1"/>
  <c r="H4920" i="1"/>
  <c r="I4920" i="1" s="1"/>
  <c r="I945" i="1"/>
  <c r="H1794" i="1"/>
  <c r="J1794" i="1" s="1"/>
  <c r="H445" i="1"/>
  <c r="J444" i="1"/>
  <c r="I444" i="1"/>
  <c r="I1793" i="1"/>
  <c r="H946" i="1"/>
  <c r="J946" i="1" s="1"/>
  <c r="F4921" i="1"/>
  <c r="D4921" i="1"/>
  <c r="C4922" i="1"/>
  <c r="F947" i="1"/>
  <c r="F447" i="1"/>
  <c r="C448" i="1"/>
  <c r="D447" i="1"/>
  <c r="F1795" i="1"/>
  <c r="C1796" i="1"/>
  <c r="D1795" i="1"/>
  <c r="C948" i="1"/>
  <c r="D947" i="1"/>
  <c r="G4922" i="1" l="1"/>
  <c r="J4922" i="1" s="1"/>
  <c r="H4921" i="1"/>
  <c r="I4921" i="1" s="1"/>
  <c r="H446" i="1"/>
  <c r="J445" i="1"/>
  <c r="I445" i="1"/>
  <c r="H1795" i="1"/>
  <c r="J1795" i="1" s="1"/>
  <c r="I1794" i="1"/>
  <c r="H947" i="1"/>
  <c r="J947" i="1" s="1"/>
  <c r="I946" i="1"/>
  <c r="D4922" i="1"/>
  <c r="C4923" i="1"/>
  <c r="F4922" i="1"/>
  <c r="F948" i="1"/>
  <c r="F448" i="1"/>
  <c r="C449" i="1"/>
  <c r="D448" i="1"/>
  <c r="F1796" i="1"/>
  <c r="C1797" i="1"/>
  <c r="D1796" i="1"/>
  <c r="C949" i="1"/>
  <c r="D948" i="1"/>
  <c r="G4923" i="1" l="1"/>
  <c r="J4923" i="1" s="1"/>
  <c r="I1795" i="1"/>
  <c r="I947" i="1"/>
  <c r="H1796" i="1"/>
  <c r="J1796" i="1" s="1"/>
  <c r="H447" i="1"/>
  <c r="J446" i="1"/>
  <c r="I446" i="1"/>
  <c r="H948" i="1"/>
  <c r="J948" i="1" s="1"/>
  <c r="H4922" i="1"/>
  <c r="I4922" i="1" s="1"/>
  <c r="F4923" i="1"/>
  <c r="C4924" i="1"/>
  <c r="D4923" i="1"/>
  <c r="F949" i="1"/>
  <c r="F1797" i="1"/>
  <c r="D1797" i="1"/>
  <c r="C1798" i="1"/>
  <c r="F449" i="1"/>
  <c r="C450" i="1"/>
  <c r="D449" i="1"/>
  <c r="C950" i="1"/>
  <c r="D949" i="1"/>
  <c r="G4924" i="1" l="1"/>
  <c r="J4924" i="1" s="1"/>
  <c r="H4923" i="1"/>
  <c r="I4923" i="1" s="1"/>
  <c r="I948" i="1"/>
  <c r="H949" i="1"/>
  <c r="J949" i="1" s="1"/>
  <c r="H1797" i="1"/>
  <c r="J1797" i="1" s="1"/>
  <c r="H448" i="1"/>
  <c r="J447" i="1"/>
  <c r="I447" i="1"/>
  <c r="I1796" i="1"/>
  <c r="F4924" i="1"/>
  <c r="D4924" i="1"/>
  <c r="C4925" i="1"/>
  <c r="F950" i="1"/>
  <c r="F1798" i="1"/>
  <c r="D1798" i="1"/>
  <c r="C1799" i="1"/>
  <c r="F450" i="1"/>
  <c r="D450" i="1"/>
  <c r="C451" i="1"/>
  <c r="C951" i="1"/>
  <c r="D950" i="1"/>
  <c r="G4925" i="1" l="1"/>
  <c r="J4925" i="1" s="1"/>
  <c r="H4924" i="1"/>
  <c r="I4924" i="1" s="1"/>
  <c r="I1797" i="1"/>
  <c r="H1798" i="1"/>
  <c r="J1798" i="1" s="1"/>
  <c r="H950" i="1"/>
  <c r="J950" i="1" s="1"/>
  <c r="I949" i="1"/>
  <c r="H449" i="1"/>
  <c r="J448" i="1"/>
  <c r="I448" i="1"/>
  <c r="D4925" i="1"/>
  <c r="C4926" i="1"/>
  <c r="F4925" i="1"/>
  <c r="F951" i="1"/>
  <c r="F451" i="1"/>
  <c r="C452" i="1"/>
  <c r="D451" i="1"/>
  <c r="F1799" i="1"/>
  <c r="D1799" i="1"/>
  <c r="C1800" i="1"/>
  <c r="C952" i="1"/>
  <c r="D951" i="1"/>
  <c r="I950" i="1" l="1"/>
  <c r="G4926" i="1"/>
  <c r="J4926" i="1" s="1"/>
  <c r="H1799" i="1"/>
  <c r="J1799" i="1" s="1"/>
  <c r="I1798" i="1"/>
  <c r="H951" i="1"/>
  <c r="J951" i="1" s="1"/>
  <c r="H4925" i="1"/>
  <c r="I4925" i="1" s="1"/>
  <c r="H450" i="1"/>
  <c r="J449" i="1"/>
  <c r="I449" i="1"/>
  <c r="C4927" i="1"/>
  <c r="D4926" i="1"/>
  <c r="F4926" i="1"/>
  <c r="F952" i="1"/>
  <c r="F452" i="1"/>
  <c r="D452" i="1"/>
  <c r="C453" i="1"/>
  <c r="F1800" i="1"/>
  <c r="C1801" i="1"/>
  <c r="D1800" i="1"/>
  <c r="C953" i="1"/>
  <c r="D952" i="1"/>
  <c r="G4927" i="1" l="1"/>
  <c r="J4927" i="1" s="1"/>
  <c r="I951" i="1"/>
  <c r="H451" i="1"/>
  <c r="J450" i="1"/>
  <c r="I450" i="1"/>
  <c r="H4926" i="1"/>
  <c r="I4926" i="1" s="1"/>
  <c r="H1800" i="1"/>
  <c r="J1800" i="1" s="1"/>
  <c r="I1799" i="1"/>
  <c r="H952" i="1"/>
  <c r="J952" i="1" s="1"/>
  <c r="F4927" i="1"/>
  <c r="D4927" i="1"/>
  <c r="C4928" i="1"/>
  <c r="F953" i="1"/>
  <c r="F1801" i="1"/>
  <c r="C1802" i="1"/>
  <c r="D1801" i="1"/>
  <c r="F453" i="1"/>
  <c r="C454" i="1"/>
  <c r="D453" i="1"/>
  <c r="C954" i="1"/>
  <c r="D953" i="1"/>
  <c r="G4928" i="1" l="1"/>
  <c r="J4928" i="1" s="1"/>
  <c r="I952" i="1"/>
  <c r="I1800" i="1"/>
  <c r="H1801" i="1"/>
  <c r="J1801" i="1" s="1"/>
  <c r="H953" i="1"/>
  <c r="J953" i="1" s="1"/>
  <c r="H4927" i="1"/>
  <c r="I4927" i="1" s="1"/>
  <c r="H452" i="1"/>
  <c r="J451" i="1"/>
  <c r="I451" i="1"/>
  <c r="D4928" i="1"/>
  <c r="F4928" i="1"/>
  <c r="C4929" i="1"/>
  <c r="F954" i="1"/>
  <c r="F1802" i="1"/>
  <c r="C1803" i="1"/>
  <c r="D1802" i="1"/>
  <c r="F454" i="1"/>
  <c r="C455" i="1"/>
  <c r="D454" i="1"/>
  <c r="C955" i="1"/>
  <c r="D954" i="1"/>
  <c r="H4928" i="1" l="1"/>
  <c r="I4928" i="1" s="1"/>
  <c r="G4929" i="1"/>
  <c r="J4929" i="1" s="1"/>
  <c r="H1802" i="1"/>
  <c r="J1802" i="1" s="1"/>
  <c r="I1801" i="1"/>
  <c r="H453" i="1"/>
  <c r="J452" i="1"/>
  <c r="I452" i="1"/>
  <c r="H954" i="1"/>
  <c r="J954" i="1" s="1"/>
  <c r="I953" i="1"/>
  <c r="D4929" i="1"/>
  <c r="F4929" i="1"/>
  <c r="C4930" i="1"/>
  <c r="F1803" i="1"/>
  <c r="C1804" i="1"/>
  <c r="D1803" i="1"/>
  <c r="F455" i="1"/>
  <c r="C456" i="1"/>
  <c r="D455" i="1"/>
  <c r="D955" i="1"/>
  <c r="F955" i="1"/>
  <c r="C956" i="1"/>
  <c r="G4930" i="1" l="1"/>
  <c r="J4930" i="1" s="1"/>
  <c r="I954" i="1"/>
  <c r="H955" i="1"/>
  <c r="I955" i="1" s="1"/>
  <c r="H1803" i="1"/>
  <c r="J1803" i="1" s="1"/>
  <c r="I1802" i="1"/>
  <c r="H4929" i="1"/>
  <c r="I4929" i="1" s="1"/>
  <c r="H454" i="1"/>
  <c r="J453" i="1"/>
  <c r="I453" i="1"/>
  <c r="F4930" i="1"/>
  <c r="D4930" i="1"/>
  <c r="C4931" i="1"/>
  <c r="F456" i="1"/>
  <c r="D456" i="1"/>
  <c r="C457" i="1"/>
  <c r="F1804" i="1"/>
  <c r="D1804" i="1"/>
  <c r="C1805" i="1"/>
  <c r="F956" i="1"/>
  <c r="D956" i="1"/>
  <c r="C957" i="1"/>
  <c r="J955" i="1" l="1"/>
  <c r="G4931" i="1"/>
  <c r="J4931" i="1" s="1"/>
  <c r="H4930" i="1"/>
  <c r="I4930" i="1" s="1"/>
  <c r="H1804" i="1"/>
  <c r="J1804" i="1" s="1"/>
  <c r="H455" i="1"/>
  <c r="J454" i="1"/>
  <c r="I454" i="1"/>
  <c r="I1803" i="1"/>
  <c r="H956" i="1"/>
  <c r="J956" i="1" s="1"/>
  <c r="D4931" i="1"/>
  <c r="C4932" i="1"/>
  <c r="F4931" i="1"/>
  <c r="D1805" i="1"/>
  <c r="F1805" i="1"/>
  <c r="C1806" i="1"/>
  <c r="F457" i="1"/>
  <c r="C458" i="1"/>
  <c r="D457" i="1"/>
  <c r="F957" i="1"/>
  <c r="C958" i="1"/>
  <c r="D957" i="1"/>
  <c r="H4931" i="1" l="1"/>
  <c r="I4931" i="1" s="1"/>
  <c r="G4932" i="1"/>
  <c r="J4932" i="1" s="1"/>
  <c r="I956" i="1"/>
  <c r="I1804" i="1"/>
  <c r="H1805" i="1"/>
  <c r="J1805" i="1" s="1"/>
  <c r="H957" i="1"/>
  <c r="I957" i="1" s="1"/>
  <c r="H456" i="1"/>
  <c r="J455" i="1"/>
  <c r="I455" i="1"/>
  <c r="D4932" i="1"/>
  <c r="F4932" i="1"/>
  <c r="C4933" i="1"/>
  <c r="F958" i="1"/>
  <c r="C959" i="1"/>
  <c r="D958" i="1"/>
  <c r="D1806" i="1"/>
  <c r="F1806" i="1"/>
  <c r="C1807" i="1"/>
  <c r="F458" i="1"/>
  <c r="C459" i="1"/>
  <c r="D458" i="1"/>
  <c r="G4933" i="1" l="1"/>
  <c r="J4933" i="1" s="1"/>
  <c r="H4932" i="1"/>
  <c r="I4932" i="1" s="1"/>
  <c r="H1806" i="1"/>
  <c r="J1806" i="1" s="1"/>
  <c r="H457" i="1"/>
  <c r="J456" i="1"/>
  <c r="I456" i="1"/>
  <c r="H958" i="1"/>
  <c r="I958" i="1" s="1"/>
  <c r="J957" i="1"/>
  <c r="I1805" i="1"/>
  <c r="C4934" i="1"/>
  <c r="F4933" i="1"/>
  <c r="D4933" i="1"/>
  <c r="F459" i="1"/>
  <c r="C460" i="1"/>
  <c r="D459" i="1"/>
  <c r="F959" i="1"/>
  <c r="C960" i="1"/>
  <c r="D959" i="1"/>
  <c r="F1807" i="1"/>
  <c r="D1807" i="1"/>
  <c r="C1808" i="1"/>
  <c r="G4934" i="1" l="1"/>
  <c r="J4934" i="1" s="1"/>
  <c r="H4933" i="1"/>
  <c r="I4933" i="1" s="1"/>
  <c r="H959" i="1"/>
  <c r="I959" i="1" s="1"/>
  <c r="J958" i="1"/>
  <c r="H458" i="1"/>
  <c r="J457" i="1"/>
  <c r="I457" i="1"/>
  <c r="I1806" i="1"/>
  <c r="H1807" i="1"/>
  <c r="J1807" i="1" s="1"/>
  <c r="F4934" i="1"/>
  <c r="C4935" i="1"/>
  <c r="D4934" i="1"/>
  <c r="F460" i="1"/>
  <c r="D460" i="1"/>
  <c r="C461" i="1"/>
  <c r="F1808" i="1"/>
  <c r="C1809" i="1"/>
  <c r="D1808" i="1"/>
  <c r="F960" i="1"/>
  <c r="C961" i="1"/>
  <c r="D960" i="1"/>
  <c r="G4935" i="1" l="1"/>
  <c r="J4935" i="1" s="1"/>
  <c r="H459" i="1"/>
  <c r="J458" i="1"/>
  <c r="I458" i="1"/>
  <c r="H1808" i="1"/>
  <c r="J1808" i="1" s="1"/>
  <c r="I1807" i="1"/>
  <c r="H960" i="1"/>
  <c r="I960" i="1" s="1"/>
  <c r="J959" i="1"/>
  <c r="H4934" i="1"/>
  <c r="I4934" i="1" s="1"/>
  <c r="C4936" i="1"/>
  <c r="F4935" i="1"/>
  <c r="D4935" i="1"/>
  <c r="F1809" i="1"/>
  <c r="D1809" i="1"/>
  <c r="C1810" i="1"/>
  <c r="F961" i="1"/>
  <c r="C962" i="1"/>
  <c r="D961" i="1"/>
  <c r="F461" i="1"/>
  <c r="C462" i="1"/>
  <c r="D461" i="1"/>
  <c r="G4936" i="1" l="1"/>
  <c r="J4936" i="1" s="1"/>
  <c r="H1809" i="1"/>
  <c r="J1809" i="1" s="1"/>
  <c r="H4935" i="1"/>
  <c r="I4935" i="1" s="1"/>
  <c r="I1808" i="1"/>
  <c r="H460" i="1"/>
  <c r="J459" i="1"/>
  <c r="I459" i="1"/>
  <c r="H961" i="1"/>
  <c r="J960" i="1"/>
  <c r="F4936" i="1"/>
  <c r="D4936" i="1"/>
  <c r="C4937" i="1"/>
  <c r="F462" i="1"/>
  <c r="D462" i="1"/>
  <c r="C463" i="1"/>
  <c r="F962" i="1"/>
  <c r="D962" i="1"/>
  <c r="C963" i="1"/>
  <c r="F1810" i="1"/>
  <c r="C1811" i="1"/>
  <c r="D1810" i="1"/>
  <c r="G4937" i="1" l="1"/>
  <c r="J4937" i="1" s="1"/>
  <c r="H4936" i="1"/>
  <c r="I4936" i="1" s="1"/>
  <c r="H962" i="1"/>
  <c r="I962" i="1" s="1"/>
  <c r="J961" i="1"/>
  <c r="H461" i="1"/>
  <c r="J460" i="1"/>
  <c r="I460" i="1"/>
  <c r="H1810" i="1"/>
  <c r="J1810" i="1" s="1"/>
  <c r="I1809" i="1"/>
  <c r="I961" i="1"/>
  <c r="F4937" i="1"/>
  <c r="C4938" i="1"/>
  <c r="D4937" i="1"/>
  <c r="F963" i="1"/>
  <c r="D963" i="1"/>
  <c r="C964" i="1"/>
  <c r="F463" i="1"/>
  <c r="C464" i="1"/>
  <c r="D463" i="1"/>
  <c r="F1811" i="1"/>
  <c r="D1811" i="1"/>
  <c r="C1812" i="1"/>
  <c r="G4938" i="1" l="1"/>
  <c r="J4938" i="1" s="1"/>
  <c r="I1810" i="1"/>
  <c r="H963" i="1"/>
  <c r="J962" i="1"/>
  <c r="H1811" i="1"/>
  <c r="J1811" i="1" s="1"/>
  <c r="H462" i="1"/>
  <c r="J461" i="1"/>
  <c r="I461" i="1"/>
  <c r="H4937" i="1"/>
  <c r="I4937" i="1" s="1"/>
  <c r="D4938" i="1"/>
  <c r="C4939" i="1"/>
  <c r="F4938" i="1"/>
  <c r="F464" i="1"/>
  <c r="C465" i="1"/>
  <c r="D464" i="1"/>
  <c r="F964" i="1"/>
  <c r="D964" i="1"/>
  <c r="C965" i="1"/>
  <c r="F1812" i="1"/>
  <c r="C1813" i="1"/>
  <c r="D1812" i="1"/>
  <c r="G4939" i="1" l="1"/>
  <c r="J4939" i="1" s="1"/>
  <c r="I1811" i="1"/>
  <c r="H964" i="1"/>
  <c r="J963" i="1"/>
  <c r="H4938" i="1"/>
  <c r="I4938" i="1" s="1"/>
  <c r="I963" i="1"/>
  <c r="H1812" i="1"/>
  <c r="J1812" i="1" s="1"/>
  <c r="H463" i="1"/>
  <c r="J462" i="1"/>
  <c r="I462" i="1"/>
  <c r="F4939" i="1"/>
  <c r="C4940" i="1"/>
  <c r="D4939" i="1"/>
  <c r="F965" i="1"/>
  <c r="D965" i="1"/>
  <c r="C966" i="1"/>
  <c r="F465" i="1"/>
  <c r="C466" i="1"/>
  <c r="D465" i="1"/>
  <c r="F1813" i="1"/>
  <c r="C1814" i="1"/>
  <c r="D1813" i="1"/>
  <c r="G4940" i="1" l="1"/>
  <c r="J4940" i="1" s="1"/>
  <c r="H4939" i="1"/>
  <c r="I4939" i="1" s="1"/>
  <c r="I1812" i="1"/>
  <c r="H965" i="1"/>
  <c r="I965" i="1" s="1"/>
  <c r="J964" i="1"/>
  <c r="I964" i="1"/>
  <c r="H464" i="1"/>
  <c r="J463" i="1"/>
  <c r="I463" i="1"/>
  <c r="H1813" i="1"/>
  <c r="J1813" i="1" s="1"/>
  <c r="D4940" i="1"/>
  <c r="F4940" i="1"/>
  <c r="C4941" i="1"/>
  <c r="F466" i="1"/>
  <c r="C467" i="1"/>
  <c r="D466" i="1"/>
  <c r="F1814" i="1"/>
  <c r="C1815" i="1"/>
  <c r="D1814" i="1"/>
  <c r="F966" i="1"/>
  <c r="C967" i="1"/>
  <c r="D966" i="1"/>
  <c r="G4941" i="1" l="1"/>
  <c r="J4941" i="1" s="1"/>
  <c r="H4940" i="1"/>
  <c r="I4940" i="1" s="1"/>
  <c r="H1814" i="1"/>
  <c r="J1814" i="1" s="1"/>
  <c r="H465" i="1"/>
  <c r="J464" i="1"/>
  <c r="I464" i="1"/>
  <c r="I1813" i="1"/>
  <c r="H966" i="1"/>
  <c r="J965" i="1"/>
  <c r="C4942" i="1"/>
  <c r="F4941" i="1"/>
  <c r="D4941" i="1"/>
  <c r="F1815" i="1"/>
  <c r="D1815" i="1"/>
  <c r="C1816" i="1"/>
  <c r="F967" i="1"/>
  <c r="D967" i="1"/>
  <c r="C968" i="1"/>
  <c r="F467" i="1"/>
  <c r="D467" i="1"/>
  <c r="C468" i="1"/>
  <c r="G4942" i="1" l="1"/>
  <c r="J4942" i="1" s="1"/>
  <c r="H1815" i="1"/>
  <c r="J1815" i="1" s="1"/>
  <c r="H4941" i="1"/>
  <c r="I4941" i="1" s="1"/>
  <c r="H967" i="1"/>
  <c r="I967" i="1" s="1"/>
  <c r="J966" i="1"/>
  <c r="I966" i="1"/>
  <c r="H466" i="1"/>
  <c r="J465" i="1"/>
  <c r="I465" i="1"/>
  <c r="I1814" i="1"/>
  <c r="F4942" i="1"/>
  <c r="C4943" i="1"/>
  <c r="D4942" i="1"/>
  <c r="F968" i="1"/>
  <c r="C969" i="1"/>
  <c r="D968" i="1"/>
  <c r="F1816" i="1"/>
  <c r="C1817" i="1"/>
  <c r="D1816" i="1"/>
  <c r="F468" i="1"/>
  <c r="C469" i="1"/>
  <c r="D468" i="1"/>
  <c r="G4943" i="1" l="1"/>
  <c r="J4943" i="1" s="1"/>
  <c r="H968" i="1"/>
  <c r="I968" i="1" s="1"/>
  <c r="J967" i="1"/>
  <c r="H1816" i="1"/>
  <c r="J1816" i="1" s="1"/>
  <c r="H467" i="1"/>
  <c r="J466" i="1"/>
  <c r="I466" i="1"/>
  <c r="I1815" i="1"/>
  <c r="H4942" i="1"/>
  <c r="I4942" i="1" s="1"/>
  <c r="F4943" i="1"/>
  <c r="D4943" i="1"/>
  <c r="C4944" i="1"/>
  <c r="F1817" i="1"/>
  <c r="D1817" i="1"/>
  <c r="C1818" i="1"/>
  <c r="F969" i="1"/>
  <c r="C970" i="1"/>
  <c r="D969" i="1"/>
  <c r="F469" i="1"/>
  <c r="C470" i="1"/>
  <c r="D469" i="1"/>
  <c r="G4944" i="1" l="1"/>
  <c r="J4944" i="1" s="1"/>
  <c r="H1817" i="1"/>
  <c r="J1817" i="1" s="1"/>
  <c r="I1816" i="1"/>
  <c r="H969" i="1"/>
  <c r="I969" i="1" s="1"/>
  <c r="J968" i="1"/>
  <c r="H4943" i="1"/>
  <c r="I4943" i="1" s="1"/>
  <c r="H468" i="1"/>
  <c r="J467" i="1"/>
  <c r="I467" i="1"/>
  <c r="C4945" i="1"/>
  <c r="D4944" i="1"/>
  <c r="F4944" i="1"/>
  <c r="F970" i="1"/>
  <c r="C971" i="1"/>
  <c r="D970" i="1"/>
  <c r="F1818" i="1"/>
  <c r="C1819" i="1"/>
  <c r="D1818" i="1"/>
  <c r="F470" i="1"/>
  <c r="C471" i="1"/>
  <c r="D470" i="1"/>
  <c r="H4944" i="1" l="1"/>
  <c r="I4944" i="1" s="1"/>
  <c r="G4945" i="1"/>
  <c r="J4945" i="1" s="1"/>
  <c r="H1818" i="1"/>
  <c r="J1818" i="1" s="1"/>
  <c r="H970" i="1"/>
  <c r="J969" i="1"/>
  <c r="I1817" i="1"/>
  <c r="H469" i="1"/>
  <c r="J468" i="1"/>
  <c r="I468" i="1"/>
  <c r="D4945" i="1"/>
  <c r="F4945" i="1"/>
  <c r="C4946" i="1"/>
  <c r="F471" i="1"/>
  <c r="C472" i="1"/>
  <c r="D471" i="1"/>
  <c r="F971" i="1"/>
  <c r="C972" i="1"/>
  <c r="D971" i="1"/>
  <c r="F1819" i="1"/>
  <c r="C1820" i="1"/>
  <c r="D1819" i="1"/>
  <c r="G4946" i="1" l="1"/>
  <c r="J4946" i="1" s="1"/>
  <c r="I1818" i="1"/>
  <c r="H1819" i="1"/>
  <c r="J1819" i="1" s="1"/>
  <c r="H971" i="1"/>
  <c r="I971" i="1" s="1"/>
  <c r="J970" i="1"/>
  <c r="I970" i="1"/>
  <c r="H4945" i="1"/>
  <c r="I4945" i="1" s="1"/>
  <c r="H470" i="1"/>
  <c r="J469" i="1"/>
  <c r="I469" i="1"/>
  <c r="C4947" i="1"/>
  <c r="F4946" i="1"/>
  <c r="D4946" i="1"/>
  <c r="F972" i="1"/>
  <c r="C973" i="1"/>
  <c r="D972" i="1"/>
  <c r="F472" i="1"/>
  <c r="C473" i="1"/>
  <c r="D472" i="1"/>
  <c r="F1820" i="1"/>
  <c r="C1821" i="1"/>
  <c r="D1820" i="1"/>
  <c r="G4947" i="1" l="1"/>
  <c r="J4947" i="1" s="1"/>
  <c r="H972" i="1"/>
  <c r="J971" i="1"/>
  <c r="H1820" i="1"/>
  <c r="J1820" i="1" s="1"/>
  <c r="I1819" i="1"/>
  <c r="H4946" i="1"/>
  <c r="I4946" i="1" s="1"/>
  <c r="H471" i="1"/>
  <c r="J470" i="1"/>
  <c r="I470" i="1"/>
  <c r="F4947" i="1"/>
  <c r="C4948" i="1"/>
  <c r="D4947" i="1"/>
  <c r="F473" i="1"/>
  <c r="C474" i="1"/>
  <c r="D473" i="1"/>
  <c r="F1821" i="1"/>
  <c r="C1822" i="1"/>
  <c r="D1821" i="1"/>
  <c r="F973" i="1"/>
  <c r="C974" i="1"/>
  <c r="D973" i="1"/>
  <c r="G4948" i="1" l="1"/>
  <c r="J4948" i="1" s="1"/>
  <c r="H4947" i="1"/>
  <c r="I4947" i="1" s="1"/>
  <c r="H472" i="1"/>
  <c r="J471" i="1"/>
  <c r="I471" i="1"/>
  <c r="H973" i="1"/>
  <c r="I973" i="1" s="1"/>
  <c r="J972" i="1"/>
  <c r="I1820" i="1"/>
  <c r="H1821" i="1"/>
  <c r="J1821" i="1" s="1"/>
  <c r="I972" i="1"/>
  <c r="D4948" i="1"/>
  <c r="F4948" i="1"/>
  <c r="C4949" i="1"/>
  <c r="F974" i="1"/>
  <c r="C975" i="1"/>
  <c r="D974" i="1"/>
  <c r="F474" i="1"/>
  <c r="C475" i="1"/>
  <c r="D474" i="1"/>
  <c r="F1822" i="1"/>
  <c r="C1823" i="1"/>
  <c r="D1822" i="1"/>
  <c r="G4949" i="1" l="1"/>
  <c r="J4949" i="1" s="1"/>
  <c r="H4948" i="1"/>
  <c r="I4948" i="1" s="1"/>
  <c r="H473" i="1"/>
  <c r="J472" i="1"/>
  <c r="I472" i="1"/>
  <c r="I1821" i="1"/>
  <c r="H974" i="1"/>
  <c r="I974" i="1" s="1"/>
  <c r="J973" i="1"/>
  <c r="H1822" i="1"/>
  <c r="J1822" i="1" s="1"/>
  <c r="F4949" i="1"/>
  <c r="C4950" i="1"/>
  <c r="D4949" i="1"/>
  <c r="F1823" i="1"/>
  <c r="C1824" i="1"/>
  <c r="D1823" i="1"/>
  <c r="F475" i="1"/>
  <c r="C476" i="1"/>
  <c r="D475" i="1"/>
  <c r="F975" i="1"/>
  <c r="C976" i="1"/>
  <c r="D975" i="1"/>
  <c r="G4950" i="1" l="1"/>
  <c r="J4950" i="1" s="1"/>
  <c r="I1822" i="1"/>
  <c r="H4949" i="1"/>
  <c r="I4949" i="1" s="1"/>
  <c r="H474" i="1"/>
  <c r="J473" i="1"/>
  <c r="I473" i="1"/>
  <c r="H1823" i="1"/>
  <c r="J1823" i="1" s="1"/>
  <c r="H975" i="1"/>
  <c r="I975" i="1" s="1"/>
  <c r="J974" i="1"/>
  <c r="D4950" i="1"/>
  <c r="F4950" i="1"/>
  <c r="C4951" i="1"/>
  <c r="F476" i="1"/>
  <c r="D476" i="1"/>
  <c r="C477" i="1"/>
  <c r="F976" i="1"/>
  <c r="C977" i="1"/>
  <c r="D976" i="1"/>
  <c r="F1824" i="1"/>
  <c r="C1825" i="1"/>
  <c r="D1824" i="1"/>
  <c r="G4951" i="1" l="1"/>
  <c r="J4951" i="1" s="1"/>
  <c r="I1823" i="1"/>
  <c r="H976" i="1"/>
  <c r="I976" i="1" s="1"/>
  <c r="J975" i="1"/>
  <c r="H475" i="1"/>
  <c r="J474" i="1"/>
  <c r="I474" i="1"/>
  <c r="H1824" i="1"/>
  <c r="J1824" i="1" s="1"/>
  <c r="H4950" i="1"/>
  <c r="I4950" i="1" s="1"/>
  <c r="C4952" i="1"/>
  <c r="D4951" i="1"/>
  <c r="F4951" i="1"/>
  <c r="F977" i="1"/>
  <c r="D977" i="1"/>
  <c r="C978" i="1"/>
  <c r="F477" i="1"/>
  <c r="C478" i="1"/>
  <c r="D477" i="1"/>
  <c r="F1825" i="1"/>
  <c r="D1825" i="1"/>
  <c r="C1826" i="1"/>
  <c r="G4952" i="1" l="1"/>
  <c r="J4952" i="1" s="1"/>
  <c r="I1824" i="1"/>
  <c r="H1825" i="1"/>
  <c r="J1825" i="1" s="1"/>
  <c r="H4951" i="1"/>
  <c r="I4951" i="1" s="1"/>
  <c r="H476" i="1"/>
  <c r="J475" i="1"/>
  <c r="I475" i="1"/>
  <c r="H977" i="1"/>
  <c r="I977" i="1" s="1"/>
  <c r="J976" i="1"/>
  <c r="F4952" i="1"/>
  <c r="C4953" i="1"/>
  <c r="D4952" i="1"/>
  <c r="F1826" i="1"/>
  <c r="C1827" i="1"/>
  <c r="D1826" i="1"/>
  <c r="F978" i="1"/>
  <c r="C979" i="1"/>
  <c r="D978" i="1"/>
  <c r="F478" i="1"/>
  <c r="C479" i="1"/>
  <c r="D478" i="1"/>
  <c r="G4953" i="1" l="1"/>
  <c r="J4953" i="1" s="1"/>
  <c r="H4952" i="1"/>
  <c r="I4952" i="1" s="1"/>
  <c r="H978" i="1"/>
  <c r="I978" i="1" s="1"/>
  <c r="J977" i="1"/>
  <c r="H1826" i="1"/>
  <c r="J1826" i="1" s="1"/>
  <c r="H477" i="1"/>
  <c r="J476" i="1"/>
  <c r="I476" i="1"/>
  <c r="I1825" i="1"/>
  <c r="F4953" i="1"/>
  <c r="D4953" i="1"/>
  <c r="C4954" i="1"/>
  <c r="F979" i="1"/>
  <c r="C980" i="1"/>
  <c r="D979" i="1"/>
  <c r="F479" i="1"/>
  <c r="C480" i="1"/>
  <c r="D479" i="1"/>
  <c r="F1827" i="1"/>
  <c r="C1828" i="1"/>
  <c r="D1827" i="1"/>
  <c r="G4954" i="1" l="1"/>
  <c r="J4954" i="1" s="1"/>
  <c r="I1826" i="1"/>
  <c r="H478" i="1"/>
  <c r="J477" i="1"/>
  <c r="I477" i="1"/>
  <c r="H1827" i="1"/>
  <c r="J1827" i="1" s="1"/>
  <c r="H979" i="1"/>
  <c r="J978" i="1"/>
  <c r="H4953" i="1"/>
  <c r="I4953" i="1" s="1"/>
  <c r="C4955" i="1"/>
  <c r="F4954" i="1"/>
  <c r="D4954" i="1"/>
  <c r="F980" i="1"/>
  <c r="C981" i="1"/>
  <c r="D980" i="1"/>
  <c r="F480" i="1"/>
  <c r="C481" i="1"/>
  <c r="D480" i="1"/>
  <c r="F1828" i="1"/>
  <c r="C1829" i="1"/>
  <c r="D1828" i="1"/>
  <c r="G4955" i="1" l="1"/>
  <c r="J4955" i="1" s="1"/>
  <c r="I1827" i="1"/>
  <c r="H1828" i="1"/>
  <c r="J1828" i="1" s="1"/>
  <c r="H4954" i="1"/>
  <c r="I4954" i="1" s="1"/>
  <c r="H479" i="1"/>
  <c r="J478" i="1"/>
  <c r="I478" i="1"/>
  <c r="H980" i="1"/>
  <c r="I980" i="1" s="1"/>
  <c r="J979" i="1"/>
  <c r="I979" i="1"/>
  <c r="F4955" i="1"/>
  <c r="C4956" i="1"/>
  <c r="D4955" i="1"/>
  <c r="F981" i="1"/>
  <c r="C982" i="1"/>
  <c r="D981" i="1"/>
  <c r="F481" i="1"/>
  <c r="C482" i="1"/>
  <c r="D481" i="1"/>
  <c r="F1829" i="1"/>
  <c r="C1830" i="1"/>
  <c r="D1829" i="1"/>
  <c r="I1828" i="1" l="1"/>
  <c r="G4956" i="1"/>
  <c r="J4956" i="1" s="1"/>
  <c r="H4955" i="1"/>
  <c r="I4955" i="1" s="1"/>
  <c r="H1829" i="1"/>
  <c r="J1829" i="1" s="1"/>
  <c r="H480" i="1"/>
  <c r="J479" i="1"/>
  <c r="I479" i="1"/>
  <c r="H981" i="1"/>
  <c r="I981" i="1" s="1"/>
  <c r="J980" i="1"/>
  <c r="F4956" i="1"/>
  <c r="C4957" i="1"/>
  <c r="D4956" i="1"/>
  <c r="F1830" i="1"/>
  <c r="C1831" i="1"/>
  <c r="D1830" i="1"/>
  <c r="F982" i="1"/>
  <c r="C983" i="1"/>
  <c r="D982" i="1"/>
  <c r="F482" i="1"/>
  <c r="C483" i="1"/>
  <c r="D482" i="1"/>
  <c r="H4956" i="1" l="1"/>
  <c r="I4956" i="1" s="1"/>
  <c r="G4957" i="1"/>
  <c r="J4957" i="1" s="1"/>
  <c r="I1829" i="1"/>
  <c r="H1830" i="1"/>
  <c r="J1830" i="1" s="1"/>
  <c r="H982" i="1"/>
  <c r="J981" i="1"/>
  <c r="H481" i="1"/>
  <c r="J480" i="1"/>
  <c r="I480" i="1"/>
  <c r="F4957" i="1"/>
  <c r="C4958" i="1"/>
  <c r="D4957" i="1"/>
  <c r="F483" i="1"/>
  <c r="C484" i="1"/>
  <c r="D483" i="1"/>
  <c r="F983" i="1"/>
  <c r="C984" i="1"/>
  <c r="D983" i="1"/>
  <c r="F1831" i="1"/>
  <c r="D1831" i="1"/>
  <c r="C1832" i="1"/>
  <c r="G4958" i="1" l="1"/>
  <c r="J4958" i="1" s="1"/>
  <c r="H983" i="1"/>
  <c r="I983" i="1" s="1"/>
  <c r="J982" i="1"/>
  <c r="I1830" i="1"/>
  <c r="I982" i="1"/>
  <c r="H1831" i="1"/>
  <c r="J1831" i="1" s="1"/>
  <c r="H4957" i="1"/>
  <c r="I4957" i="1" s="1"/>
  <c r="H482" i="1"/>
  <c r="J481" i="1"/>
  <c r="I481" i="1"/>
  <c r="D4958" i="1"/>
  <c r="C4959" i="1"/>
  <c r="F4958" i="1"/>
  <c r="F1832" i="1"/>
  <c r="C1833" i="1"/>
  <c r="D1832" i="1"/>
  <c r="F484" i="1"/>
  <c r="D484" i="1"/>
  <c r="C485" i="1"/>
  <c r="F984" i="1"/>
  <c r="C985" i="1"/>
  <c r="D984" i="1"/>
  <c r="G4959" i="1" l="1"/>
  <c r="J4959" i="1" s="1"/>
  <c r="H1832" i="1"/>
  <c r="J1832" i="1" s="1"/>
  <c r="H483" i="1"/>
  <c r="J482" i="1"/>
  <c r="I482" i="1"/>
  <c r="H4958" i="1"/>
  <c r="I4958" i="1" s="1"/>
  <c r="I1831" i="1"/>
  <c r="H984" i="1"/>
  <c r="I984" i="1" s="1"/>
  <c r="J983" i="1"/>
  <c r="F4959" i="1"/>
  <c r="D4959" i="1"/>
  <c r="C4960" i="1"/>
  <c r="F985" i="1"/>
  <c r="C986" i="1"/>
  <c r="D985" i="1"/>
  <c r="F1833" i="1"/>
  <c r="C1834" i="1"/>
  <c r="D1833" i="1"/>
  <c r="F485" i="1"/>
  <c r="C486" i="1"/>
  <c r="D485" i="1"/>
  <c r="G4960" i="1" l="1"/>
  <c r="J4960" i="1" s="1"/>
  <c r="H1833" i="1"/>
  <c r="J1833" i="1" s="1"/>
  <c r="H484" i="1"/>
  <c r="J483" i="1"/>
  <c r="I483" i="1"/>
  <c r="H985" i="1"/>
  <c r="I985" i="1" s="1"/>
  <c r="J984" i="1"/>
  <c r="I1832" i="1"/>
  <c r="H4959" i="1"/>
  <c r="I4959" i="1" s="1"/>
  <c r="F4960" i="1"/>
  <c r="C4961" i="1"/>
  <c r="D4960" i="1"/>
  <c r="F986" i="1"/>
  <c r="C987" i="1"/>
  <c r="D986" i="1"/>
  <c r="F1834" i="1"/>
  <c r="C1835" i="1"/>
  <c r="D1834" i="1"/>
  <c r="F486" i="1"/>
  <c r="D486" i="1"/>
  <c r="C487" i="1"/>
  <c r="G4961" i="1" l="1"/>
  <c r="J4961" i="1" s="1"/>
  <c r="H4960" i="1"/>
  <c r="I4960" i="1" s="1"/>
  <c r="H1834" i="1"/>
  <c r="J1834" i="1" s="1"/>
  <c r="H485" i="1"/>
  <c r="J484" i="1"/>
  <c r="I484" i="1"/>
  <c r="I1833" i="1"/>
  <c r="H986" i="1"/>
  <c r="J985" i="1"/>
  <c r="D4961" i="1"/>
  <c r="F4961" i="1"/>
  <c r="C4962" i="1"/>
  <c r="F1835" i="1"/>
  <c r="C1836" i="1"/>
  <c r="D1835" i="1"/>
  <c r="F987" i="1"/>
  <c r="C988" i="1"/>
  <c r="D987" i="1"/>
  <c r="F487" i="1"/>
  <c r="D487" i="1"/>
  <c r="C488" i="1"/>
  <c r="G4962" i="1" l="1"/>
  <c r="J4962" i="1" s="1"/>
  <c r="H1835" i="1"/>
  <c r="J1835" i="1" s="1"/>
  <c r="I1834" i="1"/>
  <c r="H4961" i="1"/>
  <c r="I4961" i="1" s="1"/>
  <c r="H987" i="1"/>
  <c r="I987" i="1" s="1"/>
  <c r="J986" i="1"/>
  <c r="I986" i="1"/>
  <c r="H486" i="1"/>
  <c r="J485" i="1"/>
  <c r="I485" i="1"/>
  <c r="F4962" i="1"/>
  <c r="C4963" i="1"/>
  <c r="D4962" i="1"/>
  <c r="F988" i="1"/>
  <c r="C989" i="1"/>
  <c r="D988" i="1"/>
  <c r="F488" i="1"/>
  <c r="C489" i="1"/>
  <c r="D488" i="1"/>
  <c r="F1836" i="1"/>
  <c r="C1837" i="1"/>
  <c r="D1836" i="1"/>
  <c r="G4963" i="1" l="1"/>
  <c r="J4963" i="1" s="1"/>
  <c r="H1836" i="1"/>
  <c r="J1836" i="1" s="1"/>
  <c r="H4962" i="1"/>
  <c r="I4962" i="1" s="1"/>
  <c r="H487" i="1"/>
  <c r="J486" i="1"/>
  <c r="I486" i="1"/>
  <c r="I1835" i="1"/>
  <c r="H988" i="1"/>
  <c r="J987" i="1"/>
  <c r="D4963" i="1"/>
  <c r="C4964" i="1"/>
  <c r="F4963" i="1"/>
  <c r="F489" i="1"/>
  <c r="C490" i="1"/>
  <c r="D489" i="1"/>
  <c r="F989" i="1"/>
  <c r="C990" i="1"/>
  <c r="D989" i="1"/>
  <c r="F1837" i="1"/>
  <c r="D1837" i="1"/>
  <c r="C1838" i="1"/>
  <c r="H4963" i="1" l="1"/>
  <c r="I4963" i="1" s="1"/>
  <c r="G4964" i="1"/>
  <c r="J4964" i="1" s="1"/>
  <c r="I1836" i="1"/>
  <c r="H989" i="1"/>
  <c r="I989" i="1" s="1"/>
  <c r="J988" i="1"/>
  <c r="H1837" i="1"/>
  <c r="J1837" i="1" s="1"/>
  <c r="I988" i="1"/>
  <c r="H488" i="1"/>
  <c r="J487" i="1"/>
  <c r="I487" i="1"/>
  <c r="F4964" i="1"/>
  <c r="C4965" i="1"/>
  <c r="D4964" i="1"/>
  <c r="F990" i="1"/>
  <c r="C991" i="1"/>
  <c r="D990" i="1"/>
  <c r="F490" i="1"/>
  <c r="D490" i="1"/>
  <c r="C491" i="1"/>
  <c r="F1838" i="1"/>
  <c r="C1839" i="1"/>
  <c r="D1838" i="1"/>
  <c r="G4965" i="1" l="1"/>
  <c r="J4965" i="1" s="1"/>
  <c r="H4964" i="1"/>
  <c r="I4964" i="1" s="1"/>
  <c r="I1837" i="1"/>
  <c r="H1838" i="1"/>
  <c r="J1838" i="1" s="1"/>
  <c r="H489" i="1"/>
  <c r="J488" i="1"/>
  <c r="I488" i="1"/>
  <c r="H990" i="1"/>
  <c r="J989" i="1"/>
  <c r="F4965" i="1"/>
  <c r="C4966" i="1"/>
  <c r="D4965" i="1"/>
  <c r="F491" i="1"/>
  <c r="C492" i="1"/>
  <c r="D491" i="1"/>
  <c r="F991" i="1"/>
  <c r="C992" i="1"/>
  <c r="D991" i="1"/>
  <c r="F1839" i="1"/>
  <c r="C1840" i="1"/>
  <c r="D1839" i="1"/>
  <c r="I1838" i="1" l="1"/>
  <c r="G4966" i="1"/>
  <c r="J4966" i="1" s="1"/>
  <c r="H490" i="1"/>
  <c r="J489" i="1"/>
  <c r="I489" i="1"/>
  <c r="H1839" i="1"/>
  <c r="J1839" i="1" s="1"/>
  <c r="H4965" i="1"/>
  <c r="I4965" i="1" s="1"/>
  <c r="H991" i="1"/>
  <c r="I991" i="1" s="1"/>
  <c r="J990" i="1"/>
  <c r="I990" i="1"/>
  <c r="C4967" i="1"/>
  <c r="F4966" i="1"/>
  <c r="D4966" i="1"/>
  <c r="F1840" i="1"/>
  <c r="C1841" i="1"/>
  <c r="D1840" i="1"/>
  <c r="F492" i="1"/>
  <c r="C493" i="1"/>
  <c r="D492" i="1"/>
  <c r="F992" i="1"/>
  <c r="C993" i="1"/>
  <c r="D992" i="1"/>
  <c r="G4967" i="1" l="1"/>
  <c r="J4967" i="1" s="1"/>
  <c r="H992" i="1"/>
  <c r="J991" i="1"/>
  <c r="H1840" i="1"/>
  <c r="J1840" i="1" s="1"/>
  <c r="I1839" i="1"/>
  <c r="H491" i="1"/>
  <c r="J490" i="1"/>
  <c r="I490" i="1"/>
  <c r="H4966" i="1"/>
  <c r="I4966" i="1" s="1"/>
  <c r="D4967" i="1"/>
  <c r="F4967" i="1"/>
  <c r="C4968" i="1"/>
  <c r="F493" i="1"/>
  <c r="C494" i="1"/>
  <c r="D493" i="1"/>
  <c r="F1841" i="1"/>
  <c r="C1842" i="1"/>
  <c r="D1841" i="1"/>
  <c r="F993" i="1"/>
  <c r="C994" i="1"/>
  <c r="D993" i="1"/>
  <c r="G4968" i="1" l="1"/>
  <c r="J4968" i="1" s="1"/>
  <c r="H492" i="1"/>
  <c r="J491" i="1"/>
  <c r="I491" i="1"/>
  <c r="H4967" i="1"/>
  <c r="I4967" i="1" s="1"/>
  <c r="H993" i="1"/>
  <c r="I993" i="1" s="1"/>
  <c r="J992" i="1"/>
  <c r="I1840" i="1"/>
  <c r="I992" i="1"/>
  <c r="H1841" i="1"/>
  <c r="J1841" i="1" s="1"/>
  <c r="C4969" i="1"/>
  <c r="F4968" i="1"/>
  <c r="D4968" i="1"/>
  <c r="F1842" i="1"/>
  <c r="C1843" i="1"/>
  <c r="D1842" i="1"/>
  <c r="F994" i="1"/>
  <c r="D994" i="1"/>
  <c r="C995" i="1"/>
  <c r="F494" i="1"/>
  <c r="C495" i="1"/>
  <c r="D494" i="1"/>
  <c r="H4968" i="1" l="1"/>
  <c r="I4968" i="1" s="1"/>
  <c r="G4969" i="1"/>
  <c r="J4969" i="1" s="1"/>
  <c r="I1841" i="1"/>
  <c r="H994" i="1"/>
  <c r="I994" i="1" s="1"/>
  <c r="J993" i="1"/>
  <c r="H1842" i="1"/>
  <c r="J1842" i="1" s="1"/>
  <c r="H493" i="1"/>
  <c r="J492" i="1"/>
  <c r="I492" i="1"/>
  <c r="D4969" i="1"/>
  <c r="C4970" i="1"/>
  <c r="F4969" i="1"/>
  <c r="F1843" i="1"/>
  <c r="C1844" i="1"/>
  <c r="D1843" i="1"/>
  <c r="F495" i="1"/>
  <c r="C496" i="1"/>
  <c r="D495" i="1"/>
  <c r="F995" i="1"/>
  <c r="C996" i="1"/>
  <c r="D995" i="1"/>
  <c r="G4970" i="1" l="1"/>
  <c r="J4970" i="1" s="1"/>
  <c r="I1842" i="1"/>
  <c r="H995" i="1"/>
  <c r="I995" i="1" s="1"/>
  <c r="J994" i="1"/>
  <c r="H1843" i="1"/>
  <c r="J1843" i="1" s="1"/>
  <c r="H4969" i="1"/>
  <c r="I4969" i="1" s="1"/>
  <c r="H494" i="1"/>
  <c r="J493" i="1"/>
  <c r="I493" i="1"/>
  <c r="F4970" i="1"/>
  <c r="D4970" i="1"/>
  <c r="C4971" i="1"/>
  <c r="F496" i="1"/>
  <c r="C497" i="1"/>
  <c r="D496" i="1"/>
  <c r="F1844" i="1"/>
  <c r="D1844" i="1"/>
  <c r="C1845" i="1"/>
  <c r="F996" i="1"/>
  <c r="C997" i="1"/>
  <c r="D996" i="1"/>
  <c r="G4971" i="1" l="1"/>
  <c r="J4971" i="1" s="1"/>
  <c r="I1843" i="1"/>
  <c r="H4970" i="1"/>
  <c r="I4970" i="1" s="1"/>
  <c r="H495" i="1"/>
  <c r="J494" i="1"/>
  <c r="I494" i="1"/>
  <c r="H1844" i="1"/>
  <c r="J1844" i="1" s="1"/>
  <c r="H996" i="1"/>
  <c r="J995" i="1"/>
  <c r="D4971" i="1"/>
  <c r="F4971" i="1"/>
  <c r="C4972" i="1"/>
  <c r="F497" i="1"/>
  <c r="D497" i="1"/>
  <c r="C498" i="1"/>
  <c r="F997" i="1"/>
  <c r="C998" i="1"/>
  <c r="D997" i="1"/>
  <c r="F1845" i="1"/>
  <c r="C1846" i="1"/>
  <c r="D1845" i="1"/>
  <c r="H4971" i="1" l="1"/>
  <c r="I4971" i="1" s="1"/>
  <c r="G4972" i="1"/>
  <c r="J4972" i="1" s="1"/>
  <c r="H1845" i="1"/>
  <c r="J1845" i="1" s="1"/>
  <c r="H496" i="1"/>
  <c r="J495" i="1"/>
  <c r="I495" i="1"/>
  <c r="H997" i="1"/>
  <c r="I997" i="1" s="1"/>
  <c r="J996" i="1"/>
  <c r="I996" i="1"/>
  <c r="I1844" i="1"/>
  <c r="D4972" i="1"/>
  <c r="F4972" i="1"/>
  <c r="C4973" i="1"/>
  <c r="F498" i="1"/>
  <c r="C499" i="1"/>
  <c r="D498" i="1"/>
  <c r="F1846" i="1"/>
  <c r="C1847" i="1"/>
  <c r="D1846" i="1"/>
  <c r="F998" i="1"/>
  <c r="D998" i="1"/>
  <c r="C999" i="1"/>
  <c r="G4973" i="1" l="1"/>
  <c r="J4973" i="1" s="1"/>
  <c r="H4972" i="1"/>
  <c r="I4972" i="1" s="1"/>
  <c r="H1846" i="1"/>
  <c r="J1846" i="1" s="1"/>
  <c r="H998" i="1"/>
  <c r="I998" i="1" s="1"/>
  <c r="J997" i="1"/>
  <c r="H497" i="1"/>
  <c r="J496" i="1"/>
  <c r="I496" i="1"/>
  <c r="I1845" i="1"/>
  <c r="F4973" i="1"/>
  <c r="D4973" i="1"/>
  <c r="C4974" i="1"/>
  <c r="F1847" i="1"/>
  <c r="C1848" i="1"/>
  <c r="D1847" i="1"/>
  <c r="F999" i="1"/>
  <c r="C1000" i="1"/>
  <c r="D999" i="1"/>
  <c r="F499" i="1"/>
  <c r="D499" i="1"/>
  <c r="C500" i="1"/>
  <c r="G4974" i="1" l="1"/>
  <c r="J4974" i="1" s="1"/>
  <c r="H1847" i="1"/>
  <c r="J1847" i="1" s="1"/>
  <c r="H4973" i="1"/>
  <c r="I4973" i="1" s="1"/>
  <c r="H498" i="1"/>
  <c r="J497" i="1"/>
  <c r="I497" i="1"/>
  <c r="H999" i="1"/>
  <c r="I999" i="1" s="1"/>
  <c r="J998" i="1"/>
  <c r="I1846" i="1"/>
  <c r="D4974" i="1"/>
  <c r="F4974" i="1"/>
  <c r="C4975" i="1"/>
  <c r="F1000" i="1"/>
  <c r="D1000" i="1"/>
  <c r="C1001" i="1"/>
  <c r="F1848" i="1"/>
  <c r="D1848" i="1"/>
  <c r="C1849" i="1"/>
  <c r="F500" i="1"/>
  <c r="C501" i="1"/>
  <c r="D500" i="1"/>
  <c r="G4975" i="1" l="1"/>
  <c r="J4975" i="1" s="1"/>
  <c r="H1848" i="1"/>
  <c r="J1848" i="1" s="1"/>
  <c r="I1847" i="1"/>
  <c r="H1000" i="1"/>
  <c r="J999" i="1"/>
  <c r="H4974" i="1"/>
  <c r="I4974" i="1" s="1"/>
  <c r="H499" i="1"/>
  <c r="J498" i="1"/>
  <c r="I498" i="1"/>
  <c r="D4975" i="1"/>
  <c r="F4975" i="1"/>
  <c r="C4976" i="1"/>
  <c r="F1001" i="1"/>
  <c r="C1002" i="1"/>
  <c r="D1001" i="1"/>
  <c r="F501" i="1"/>
  <c r="C502" i="1"/>
  <c r="D501" i="1"/>
  <c r="F1849" i="1"/>
  <c r="C1850" i="1"/>
  <c r="D1849" i="1"/>
  <c r="G4976" i="1" l="1"/>
  <c r="J4976" i="1" s="1"/>
  <c r="I1848" i="1"/>
  <c r="H500" i="1"/>
  <c r="J499" i="1"/>
  <c r="I499" i="1"/>
  <c r="H1849" i="1"/>
  <c r="J1849" i="1" s="1"/>
  <c r="H4975" i="1"/>
  <c r="I4975" i="1" s="1"/>
  <c r="H1001" i="1"/>
  <c r="I1001" i="1" s="1"/>
  <c r="J1000" i="1"/>
  <c r="I1000" i="1"/>
  <c r="D4976" i="1"/>
  <c r="F4976" i="1"/>
  <c r="C4977" i="1"/>
  <c r="F1002" i="1"/>
  <c r="C1003" i="1"/>
  <c r="D1002" i="1"/>
  <c r="F502" i="1"/>
  <c r="D502" i="1"/>
  <c r="C503" i="1"/>
  <c r="F1850" i="1"/>
  <c r="C1851" i="1"/>
  <c r="D1850" i="1"/>
  <c r="G4977" i="1" l="1"/>
  <c r="J4977" i="1" s="1"/>
  <c r="H4976" i="1"/>
  <c r="I4976" i="1" s="1"/>
  <c r="H1850" i="1"/>
  <c r="J1850" i="1" s="1"/>
  <c r="I1849" i="1"/>
  <c r="H1002" i="1"/>
  <c r="J1001" i="1"/>
  <c r="H501" i="1"/>
  <c r="J500" i="1"/>
  <c r="I500" i="1"/>
  <c r="F4977" i="1"/>
  <c r="D4977" i="1"/>
  <c r="C4978" i="1"/>
  <c r="F1003" i="1"/>
  <c r="C1004" i="1"/>
  <c r="D1003" i="1"/>
  <c r="F1851" i="1"/>
  <c r="C1852" i="1"/>
  <c r="D1851" i="1"/>
  <c r="F503" i="1"/>
  <c r="C504" i="1"/>
  <c r="D503" i="1"/>
  <c r="G4978" i="1" l="1"/>
  <c r="J4978" i="1" s="1"/>
  <c r="H502" i="1"/>
  <c r="J501" i="1"/>
  <c r="I501" i="1"/>
  <c r="H4977" i="1"/>
  <c r="I4977" i="1" s="1"/>
  <c r="H1003" i="1"/>
  <c r="I1003" i="1" s="1"/>
  <c r="J1002" i="1"/>
  <c r="I1002" i="1"/>
  <c r="H1851" i="1"/>
  <c r="J1851" i="1" s="1"/>
  <c r="I1850" i="1"/>
  <c r="D4978" i="1"/>
  <c r="F4978" i="1"/>
  <c r="C4979" i="1"/>
  <c r="F1852" i="1"/>
  <c r="D1852" i="1"/>
  <c r="C1853" i="1"/>
  <c r="F504" i="1"/>
  <c r="C505" i="1"/>
  <c r="D504" i="1"/>
  <c r="F1004" i="1"/>
  <c r="C1005" i="1"/>
  <c r="D1004" i="1"/>
  <c r="G4979" i="1" l="1"/>
  <c r="J4979" i="1" s="1"/>
  <c r="I1851" i="1"/>
  <c r="H1852" i="1"/>
  <c r="J1852" i="1" s="1"/>
  <c r="H4978" i="1"/>
  <c r="I4978" i="1" s="1"/>
  <c r="H503" i="1"/>
  <c r="J502" i="1"/>
  <c r="I502" i="1"/>
  <c r="H1004" i="1"/>
  <c r="I1004" i="1" s="1"/>
  <c r="J1003" i="1"/>
  <c r="C4980" i="1"/>
  <c r="D4979" i="1"/>
  <c r="F4979" i="1"/>
  <c r="D505" i="1"/>
  <c r="F505" i="1"/>
  <c r="C506" i="1"/>
  <c r="F1853" i="1"/>
  <c r="C1854" i="1"/>
  <c r="D1853" i="1"/>
  <c r="D1005" i="1"/>
  <c r="F1005" i="1"/>
  <c r="C1006" i="1"/>
  <c r="H4979" i="1" l="1"/>
  <c r="I4979" i="1" s="1"/>
  <c r="G4980" i="1"/>
  <c r="J4980" i="1" s="1"/>
  <c r="H1853" i="1"/>
  <c r="J1853" i="1" s="1"/>
  <c r="H1005" i="1"/>
  <c r="J1004" i="1"/>
  <c r="I1852" i="1"/>
  <c r="H504" i="1"/>
  <c r="J503" i="1"/>
  <c r="I503" i="1"/>
  <c r="D4980" i="1"/>
  <c r="F4980" i="1"/>
  <c r="C4981" i="1"/>
  <c r="F1854" i="1"/>
  <c r="C1855" i="1"/>
  <c r="D1854" i="1"/>
  <c r="D506" i="1"/>
  <c r="F506" i="1"/>
  <c r="C507" i="1"/>
  <c r="D1006" i="1"/>
  <c r="F1006" i="1"/>
  <c r="C1007" i="1"/>
  <c r="G4981" i="1" l="1"/>
  <c r="J4981" i="1" s="1"/>
  <c r="H4980" i="1"/>
  <c r="I4980" i="1" s="1"/>
  <c r="I1853" i="1"/>
  <c r="H1006" i="1"/>
  <c r="I1006" i="1" s="1"/>
  <c r="J1005" i="1"/>
  <c r="H1854" i="1"/>
  <c r="J1854" i="1" s="1"/>
  <c r="H505" i="1"/>
  <c r="J504" i="1"/>
  <c r="I504" i="1"/>
  <c r="I1005" i="1"/>
  <c r="C4982" i="1"/>
  <c r="D4981" i="1"/>
  <c r="F4981" i="1"/>
  <c r="F507" i="1"/>
  <c r="C508" i="1"/>
  <c r="D507" i="1"/>
  <c r="F1007" i="1"/>
  <c r="D1007" i="1"/>
  <c r="C1008" i="1"/>
  <c r="D1855" i="1"/>
  <c r="F1855" i="1"/>
  <c r="C1856" i="1"/>
  <c r="G4982" i="1" l="1"/>
  <c r="J4982" i="1" s="1"/>
  <c r="H4981" i="1"/>
  <c r="I4981" i="1" s="1"/>
  <c r="H506" i="1"/>
  <c r="J505" i="1"/>
  <c r="I505" i="1"/>
  <c r="I1854" i="1"/>
  <c r="H1855" i="1"/>
  <c r="J1855" i="1" s="1"/>
  <c r="H1007" i="1"/>
  <c r="J1006" i="1"/>
  <c r="C4983" i="1"/>
  <c r="F4982" i="1"/>
  <c r="D4982" i="1"/>
  <c r="F1008" i="1"/>
  <c r="C1009" i="1"/>
  <c r="D1008" i="1"/>
  <c r="F508" i="1"/>
  <c r="D508" i="1"/>
  <c r="C509" i="1"/>
  <c r="F1856" i="1"/>
  <c r="C1857" i="1"/>
  <c r="D1856" i="1"/>
  <c r="G4983" i="1" l="1"/>
  <c r="J4983" i="1" s="1"/>
  <c r="I1855" i="1"/>
  <c r="H1856" i="1"/>
  <c r="J1856" i="1" s="1"/>
  <c r="H1008" i="1"/>
  <c r="J1007" i="1"/>
  <c r="H507" i="1"/>
  <c r="J506" i="1"/>
  <c r="I506" i="1"/>
  <c r="H4982" i="1"/>
  <c r="I4982" i="1" s="1"/>
  <c r="I1007" i="1"/>
  <c r="D4983" i="1"/>
  <c r="F4983" i="1"/>
  <c r="C4984" i="1"/>
  <c r="F509" i="1"/>
  <c r="C510" i="1"/>
  <c r="D509" i="1"/>
  <c r="F1857" i="1"/>
  <c r="D1857" i="1"/>
  <c r="C1858" i="1"/>
  <c r="F1009" i="1"/>
  <c r="D1009" i="1"/>
  <c r="C1010" i="1"/>
  <c r="G4984" i="1" l="1"/>
  <c r="J4984" i="1" s="1"/>
  <c r="H4983" i="1"/>
  <c r="I4983" i="1" s="1"/>
  <c r="H1009" i="1"/>
  <c r="I1009" i="1" s="1"/>
  <c r="J1008" i="1"/>
  <c r="H1857" i="1"/>
  <c r="J1857" i="1" s="1"/>
  <c r="H508" i="1"/>
  <c r="J507" i="1"/>
  <c r="I507" i="1"/>
  <c r="I1856" i="1"/>
  <c r="I1008" i="1"/>
  <c r="D4984" i="1"/>
  <c r="F4984" i="1"/>
  <c r="C4985" i="1"/>
  <c r="F510" i="1"/>
  <c r="C511" i="1"/>
  <c r="D510" i="1"/>
  <c r="F1858" i="1"/>
  <c r="C1859" i="1"/>
  <c r="D1858" i="1"/>
  <c r="F1010" i="1"/>
  <c r="D1010" i="1"/>
  <c r="C1011" i="1"/>
  <c r="H4984" i="1" l="1"/>
  <c r="I4984" i="1" s="1"/>
  <c r="G4985" i="1"/>
  <c r="J4985" i="1" s="1"/>
  <c r="I1857" i="1"/>
  <c r="H509" i="1"/>
  <c r="J508" i="1"/>
  <c r="I508" i="1"/>
  <c r="H1858" i="1"/>
  <c r="J1858" i="1" s="1"/>
  <c r="H1010" i="1"/>
  <c r="I1010" i="1" s="1"/>
  <c r="J1009" i="1"/>
  <c r="D4985" i="1"/>
  <c r="F4985" i="1"/>
  <c r="C4986" i="1"/>
  <c r="F1011" i="1"/>
  <c r="D1011" i="1"/>
  <c r="C1012" i="1"/>
  <c r="F511" i="1"/>
  <c r="C512" i="1"/>
  <c r="D511" i="1"/>
  <c r="F1859" i="1"/>
  <c r="C1860" i="1"/>
  <c r="D1859" i="1"/>
  <c r="G4986" i="1" l="1"/>
  <c r="J4986" i="1" s="1"/>
  <c r="I1858" i="1"/>
  <c r="H1859" i="1"/>
  <c r="J1859" i="1" s="1"/>
  <c r="H4985" i="1"/>
  <c r="I4985" i="1" s="1"/>
  <c r="H1011" i="1"/>
  <c r="I1011" i="1" s="1"/>
  <c r="J1010" i="1"/>
  <c r="H510" i="1"/>
  <c r="J509" i="1"/>
  <c r="I509" i="1"/>
  <c r="C4987" i="1"/>
  <c r="F4986" i="1"/>
  <c r="D4986" i="1"/>
  <c r="F1012" i="1"/>
  <c r="D1012" i="1"/>
  <c r="C1013" i="1"/>
  <c r="F512" i="1"/>
  <c r="C513" i="1"/>
  <c r="D512" i="1"/>
  <c r="F1860" i="1"/>
  <c r="C1861" i="1"/>
  <c r="D1860" i="1"/>
  <c r="G4987" i="1" l="1"/>
  <c r="J4987" i="1" s="1"/>
  <c r="I1859" i="1"/>
  <c r="H511" i="1"/>
  <c r="J510" i="1"/>
  <c r="I510" i="1"/>
  <c r="H1012" i="1"/>
  <c r="I1012" i="1" s="1"/>
  <c r="J1011" i="1"/>
  <c r="H1860" i="1"/>
  <c r="J1860" i="1" s="1"/>
  <c r="H4986" i="1"/>
  <c r="I4986" i="1" s="1"/>
  <c r="C4988" i="1"/>
  <c r="F4987" i="1"/>
  <c r="D4987" i="1"/>
  <c r="F1861" i="1"/>
  <c r="C1862" i="1"/>
  <c r="D1861" i="1"/>
  <c r="F1013" i="1"/>
  <c r="C1014" i="1"/>
  <c r="D1013" i="1"/>
  <c r="F513" i="1"/>
  <c r="D513" i="1"/>
  <c r="C514" i="1"/>
  <c r="H4987" i="1" l="1"/>
  <c r="I4987" i="1" s="1"/>
  <c r="G4988" i="1"/>
  <c r="J4988" i="1" s="1"/>
  <c r="H512" i="1"/>
  <c r="J511" i="1"/>
  <c r="I511" i="1"/>
  <c r="I1860" i="1"/>
  <c r="H1861" i="1"/>
  <c r="J1861" i="1" s="1"/>
  <c r="H1013" i="1"/>
  <c r="J1012" i="1"/>
  <c r="F4988" i="1"/>
  <c r="D4988" i="1"/>
  <c r="C4989" i="1"/>
  <c r="F1014" i="1"/>
  <c r="D1014" i="1"/>
  <c r="C1015" i="1"/>
  <c r="F1862" i="1"/>
  <c r="D1862" i="1"/>
  <c r="C1863" i="1"/>
  <c r="F514" i="1"/>
  <c r="C515" i="1"/>
  <c r="D514" i="1"/>
  <c r="G4989" i="1" l="1"/>
  <c r="J4989" i="1" s="1"/>
  <c r="H4988" i="1"/>
  <c r="I4988" i="1" s="1"/>
  <c r="H1862" i="1"/>
  <c r="J1862" i="1" s="1"/>
  <c r="H1014" i="1"/>
  <c r="I1014" i="1" s="1"/>
  <c r="J1013" i="1"/>
  <c r="H513" i="1"/>
  <c r="J512" i="1"/>
  <c r="I512" i="1"/>
  <c r="I1861" i="1"/>
  <c r="I1013" i="1"/>
  <c r="C4990" i="1"/>
  <c r="D4989" i="1"/>
  <c r="F4989" i="1"/>
  <c r="F1015" i="1"/>
  <c r="D1015" i="1"/>
  <c r="C1016" i="1"/>
  <c r="F1863" i="1"/>
  <c r="D1863" i="1"/>
  <c r="C1864" i="1"/>
  <c r="F515" i="1"/>
  <c r="D515" i="1"/>
  <c r="C516" i="1"/>
  <c r="G4990" i="1" l="1"/>
  <c r="J4990" i="1" s="1"/>
  <c r="I1862" i="1"/>
  <c r="H1015" i="1"/>
  <c r="I1015" i="1" s="1"/>
  <c r="J1014" i="1"/>
  <c r="H514" i="1"/>
  <c r="J513" i="1"/>
  <c r="I513" i="1"/>
  <c r="H4989" i="1"/>
  <c r="I4989" i="1" s="1"/>
  <c r="H1863" i="1"/>
  <c r="J1863" i="1" s="1"/>
  <c r="C4991" i="1"/>
  <c r="F4990" i="1"/>
  <c r="D4990" i="1"/>
  <c r="F516" i="1"/>
  <c r="D516" i="1"/>
  <c r="C517" i="1"/>
  <c r="F1016" i="1"/>
  <c r="D1016" i="1"/>
  <c r="C1017" i="1"/>
  <c r="F1864" i="1"/>
  <c r="D1864" i="1"/>
  <c r="C1865" i="1"/>
  <c r="I1863" i="1" l="1"/>
  <c r="G4991" i="1"/>
  <c r="J4991" i="1" s="1"/>
  <c r="H1864" i="1"/>
  <c r="J1864" i="1" s="1"/>
  <c r="H515" i="1"/>
  <c r="J514" i="1"/>
  <c r="I514" i="1"/>
  <c r="H1016" i="1"/>
  <c r="I1016" i="1" s="1"/>
  <c r="J1015" i="1"/>
  <c r="H4990" i="1"/>
  <c r="I4990" i="1" s="1"/>
  <c r="C4992" i="1"/>
  <c r="F4991" i="1"/>
  <c r="D4991" i="1"/>
  <c r="F1865" i="1"/>
  <c r="D1865" i="1"/>
  <c r="C1866" i="1"/>
  <c r="F517" i="1"/>
  <c r="C518" i="1"/>
  <c r="D517" i="1"/>
  <c r="F1017" i="1"/>
  <c r="D1017" i="1"/>
  <c r="C1018" i="1"/>
  <c r="G4992" i="1" l="1"/>
  <c r="J4992" i="1" s="1"/>
  <c r="H1865" i="1"/>
  <c r="J1865" i="1" s="1"/>
  <c r="H1017" i="1"/>
  <c r="J1016" i="1"/>
  <c r="I1864" i="1"/>
  <c r="I1017" i="1"/>
  <c r="H4991" i="1"/>
  <c r="I4991" i="1" s="1"/>
  <c r="H516" i="1"/>
  <c r="J515" i="1"/>
  <c r="I515" i="1"/>
  <c r="C4993" i="1"/>
  <c r="F4992" i="1"/>
  <c r="D4992" i="1"/>
  <c r="F1866" i="1"/>
  <c r="C1867" i="1"/>
  <c r="D1866" i="1"/>
  <c r="F518" i="1"/>
  <c r="C519" i="1"/>
  <c r="D518" i="1"/>
  <c r="F1018" i="1"/>
  <c r="C1019" i="1"/>
  <c r="D1018" i="1"/>
  <c r="H4992" i="1" l="1"/>
  <c r="I4992" i="1" s="1"/>
  <c r="G4993" i="1"/>
  <c r="J4993" i="1" s="1"/>
  <c r="I1865" i="1"/>
  <c r="H1866" i="1"/>
  <c r="J1866" i="1" s="1"/>
  <c r="H517" i="1"/>
  <c r="J516" i="1"/>
  <c r="I516" i="1"/>
  <c r="H1018" i="1"/>
  <c r="J1017" i="1"/>
  <c r="D4993" i="1"/>
  <c r="C4994" i="1"/>
  <c r="F4993" i="1"/>
  <c r="F1867" i="1"/>
  <c r="C1868" i="1"/>
  <c r="D1867" i="1"/>
  <c r="F519" i="1"/>
  <c r="C520" i="1"/>
  <c r="D519" i="1"/>
  <c r="F1019" i="1"/>
  <c r="D1019" i="1"/>
  <c r="C1020" i="1"/>
  <c r="G4994" i="1" l="1"/>
  <c r="J4994" i="1" s="1"/>
  <c r="H518" i="1"/>
  <c r="J517" i="1"/>
  <c r="I517" i="1"/>
  <c r="I1866" i="1"/>
  <c r="H1019" i="1"/>
  <c r="I1019" i="1" s="1"/>
  <c r="J1018" i="1"/>
  <c r="H1867" i="1"/>
  <c r="J1867" i="1" s="1"/>
  <c r="H4993" i="1"/>
  <c r="I4993" i="1" s="1"/>
  <c r="I1018" i="1"/>
  <c r="D4994" i="1"/>
  <c r="F4994" i="1"/>
  <c r="C4995" i="1"/>
  <c r="F520" i="1"/>
  <c r="C521" i="1"/>
  <c r="D520" i="1"/>
  <c r="F1868" i="1"/>
  <c r="D1868" i="1"/>
  <c r="C1869" i="1"/>
  <c r="F1020" i="1"/>
  <c r="D1020" i="1"/>
  <c r="C1021" i="1"/>
  <c r="G4995" i="1" l="1"/>
  <c r="J4995" i="1" s="1"/>
  <c r="I1867" i="1"/>
  <c r="H1868" i="1"/>
  <c r="J1868" i="1" s="1"/>
  <c r="H519" i="1"/>
  <c r="J518" i="1"/>
  <c r="I518" i="1"/>
  <c r="H1020" i="1"/>
  <c r="J1019" i="1"/>
  <c r="H4994" i="1"/>
  <c r="I4994" i="1" s="1"/>
  <c r="C4996" i="1"/>
  <c r="D4995" i="1"/>
  <c r="F4995" i="1"/>
  <c r="F1869" i="1"/>
  <c r="C1870" i="1"/>
  <c r="D1869" i="1"/>
  <c r="F521" i="1"/>
  <c r="C522" i="1"/>
  <c r="D521" i="1"/>
  <c r="F1021" i="1"/>
  <c r="D1021" i="1"/>
  <c r="C1022" i="1"/>
  <c r="H4995" i="1" l="1"/>
  <c r="I4995" i="1" s="1"/>
  <c r="G4996" i="1"/>
  <c r="J4996" i="1" s="1"/>
  <c r="H520" i="1"/>
  <c r="J519" i="1"/>
  <c r="I519" i="1"/>
  <c r="H1869" i="1"/>
  <c r="J1869" i="1" s="1"/>
  <c r="H1021" i="1"/>
  <c r="I1021" i="1" s="1"/>
  <c r="J1020" i="1"/>
  <c r="I1868" i="1"/>
  <c r="I1020" i="1"/>
  <c r="C4997" i="1"/>
  <c r="D4996" i="1"/>
  <c r="F4996" i="1"/>
  <c r="F522" i="1"/>
  <c r="C523" i="1"/>
  <c r="D522" i="1"/>
  <c r="F1022" i="1"/>
  <c r="D1022" i="1"/>
  <c r="C1023" i="1"/>
  <c r="F1870" i="1"/>
  <c r="C1871" i="1"/>
  <c r="D1870" i="1"/>
  <c r="H4996" i="1" l="1"/>
  <c r="I4996" i="1" s="1"/>
  <c r="G4997" i="1"/>
  <c r="J4997" i="1" s="1"/>
  <c r="H1022" i="1"/>
  <c r="I1022" i="1" s="1"/>
  <c r="J1021" i="1"/>
  <c r="I1869" i="1"/>
  <c r="H1870" i="1"/>
  <c r="J1870" i="1" s="1"/>
  <c r="H521" i="1"/>
  <c r="J520" i="1"/>
  <c r="I520" i="1"/>
  <c r="C4998" i="1"/>
  <c r="F4997" i="1"/>
  <c r="D4997" i="1"/>
  <c r="F1023" i="1"/>
  <c r="D1023" i="1"/>
  <c r="C1024" i="1"/>
  <c r="F1871" i="1"/>
  <c r="C1872" i="1"/>
  <c r="D1871" i="1"/>
  <c r="F523" i="1"/>
  <c r="C524" i="1"/>
  <c r="D523" i="1"/>
  <c r="G4998" i="1" l="1"/>
  <c r="J4998" i="1" s="1"/>
  <c r="H522" i="1"/>
  <c r="J521" i="1"/>
  <c r="I521" i="1"/>
  <c r="H4997" i="1"/>
  <c r="I4997" i="1" s="1"/>
  <c r="H1871" i="1"/>
  <c r="J1871" i="1" s="1"/>
  <c r="H1023" i="1"/>
  <c r="J1022" i="1"/>
  <c r="I1870" i="1"/>
  <c r="C4999" i="1"/>
  <c r="D4998" i="1"/>
  <c r="F4998" i="1"/>
  <c r="F1024" i="1"/>
  <c r="C1025" i="1"/>
  <c r="D1024" i="1"/>
  <c r="F1872" i="1"/>
  <c r="C1873" i="1"/>
  <c r="D1872" i="1"/>
  <c r="F524" i="1"/>
  <c r="C525" i="1"/>
  <c r="D524" i="1"/>
  <c r="G4999" i="1" l="1"/>
  <c r="J4999" i="1" s="1"/>
  <c r="I1871" i="1"/>
  <c r="H4998" i="1"/>
  <c r="I4998" i="1" s="1"/>
  <c r="H1024" i="1"/>
  <c r="J1023" i="1"/>
  <c r="H523" i="1"/>
  <c r="J522" i="1"/>
  <c r="I522" i="1"/>
  <c r="H1872" i="1"/>
  <c r="J1872" i="1" s="1"/>
  <c r="I1023" i="1"/>
  <c r="C5000" i="1"/>
  <c r="F4999" i="1"/>
  <c r="D4999" i="1"/>
  <c r="F1873" i="1"/>
  <c r="C1874" i="1"/>
  <c r="D1873" i="1"/>
  <c r="F1025" i="1"/>
  <c r="C1026" i="1"/>
  <c r="D1025" i="1"/>
  <c r="F525" i="1"/>
  <c r="C526" i="1"/>
  <c r="D525" i="1"/>
  <c r="G5000" i="1" l="1"/>
  <c r="J5000" i="1" s="1"/>
  <c r="I1872" i="1"/>
  <c r="H1025" i="1"/>
  <c r="I1025" i="1" s="1"/>
  <c r="J1024" i="1"/>
  <c r="H1873" i="1"/>
  <c r="J1873" i="1" s="1"/>
  <c r="H4999" i="1"/>
  <c r="I4999" i="1" s="1"/>
  <c r="H524" i="1"/>
  <c r="J523" i="1"/>
  <c r="I523" i="1"/>
  <c r="I1024" i="1"/>
  <c r="D5000" i="1"/>
  <c r="F5000" i="1"/>
  <c r="C5001" i="1"/>
  <c r="F1026" i="1"/>
  <c r="C1027" i="1"/>
  <c r="D1026" i="1"/>
  <c r="F1874" i="1"/>
  <c r="D1874" i="1"/>
  <c r="C1875" i="1"/>
  <c r="F526" i="1"/>
  <c r="C527" i="1"/>
  <c r="D526" i="1"/>
  <c r="G5001" i="1" l="1"/>
  <c r="J5001" i="1" s="1"/>
  <c r="H5000" i="1"/>
  <c r="I5000" i="1" s="1"/>
  <c r="H1874" i="1"/>
  <c r="J1874" i="1" s="1"/>
  <c r="H525" i="1"/>
  <c r="J524" i="1"/>
  <c r="I524" i="1"/>
  <c r="I1873" i="1"/>
  <c r="H1026" i="1"/>
  <c r="I1026" i="1" s="1"/>
  <c r="J1025" i="1"/>
  <c r="D5001" i="1"/>
  <c r="C5002" i="1"/>
  <c r="F5001" i="1"/>
  <c r="F1027" i="1"/>
  <c r="C1028" i="1"/>
  <c r="D1027" i="1"/>
  <c r="F527" i="1"/>
  <c r="C528" i="1"/>
  <c r="D527" i="1"/>
  <c r="F1875" i="1"/>
  <c r="C1876" i="1"/>
  <c r="D1875" i="1"/>
  <c r="G5002" i="1" l="1"/>
  <c r="J5002" i="1" s="1"/>
  <c r="I1874" i="1"/>
  <c r="H5001" i="1"/>
  <c r="I5001" i="1" s="1"/>
  <c r="H1027" i="1"/>
  <c r="I1027" i="1" s="1"/>
  <c r="J1026" i="1"/>
  <c r="H1875" i="1"/>
  <c r="J1875" i="1" s="1"/>
  <c r="H526" i="1"/>
  <c r="J525" i="1"/>
  <c r="I525" i="1"/>
  <c r="D5002" i="1"/>
  <c r="F5002" i="1"/>
  <c r="C5003" i="1"/>
  <c r="F1028" i="1"/>
  <c r="C1029" i="1"/>
  <c r="D1028" i="1"/>
  <c r="F528" i="1"/>
  <c r="C529" i="1"/>
  <c r="D528" i="1"/>
  <c r="F1876" i="1"/>
  <c r="C1877" i="1"/>
  <c r="D1876" i="1"/>
  <c r="G5003" i="1" l="1"/>
  <c r="J5003" i="1" s="1"/>
  <c r="I1875" i="1"/>
  <c r="H5002" i="1"/>
  <c r="I5002" i="1" s="1"/>
  <c r="H527" i="1"/>
  <c r="J526" i="1"/>
  <c r="I526" i="1"/>
  <c r="H1876" i="1"/>
  <c r="J1876" i="1" s="1"/>
  <c r="H1028" i="1"/>
  <c r="J1027" i="1"/>
  <c r="C5004" i="1"/>
  <c r="D5003" i="1"/>
  <c r="F5003" i="1"/>
  <c r="F1877" i="1"/>
  <c r="C1878" i="1"/>
  <c r="D1877" i="1"/>
  <c r="F529" i="1"/>
  <c r="C530" i="1"/>
  <c r="D529" i="1"/>
  <c r="F1029" i="1"/>
  <c r="D1029" i="1"/>
  <c r="C1030" i="1"/>
  <c r="H5003" i="1" l="1"/>
  <c r="I5003" i="1" s="1"/>
  <c r="G5004" i="1"/>
  <c r="J5004" i="1" s="1"/>
  <c r="I1876" i="1"/>
  <c r="H1877" i="1"/>
  <c r="J1877" i="1" s="1"/>
  <c r="H1029" i="1"/>
  <c r="I1029" i="1" s="1"/>
  <c r="J1028" i="1"/>
  <c r="H528" i="1"/>
  <c r="J527" i="1"/>
  <c r="I527" i="1"/>
  <c r="I1028" i="1"/>
  <c r="F5004" i="1"/>
  <c r="C5005" i="1"/>
  <c r="D5004" i="1"/>
  <c r="F530" i="1"/>
  <c r="C531" i="1"/>
  <c r="D530" i="1"/>
  <c r="F1878" i="1"/>
  <c r="C1879" i="1"/>
  <c r="D1878" i="1"/>
  <c r="F1030" i="1"/>
  <c r="D1030" i="1"/>
  <c r="C1031" i="1"/>
  <c r="H5004" i="1" l="1"/>
  <c r="I5004" i="1" s="1"/>
  <c r="G5005" i="1"/>
  <c r="J5005" i="1" s="1"/>
  <c r="H1878" i="1"/>
  <c r="J1878" i="1" s="1"/>
  <c r="H529" i="1"/>
  <c r="J528" i="1"/>
  <c r="I528" i="1"/>
  <c r="H1030" i="1"/>
  <c r="I1030" i="1" s="1"/>
  <c r="J1029" i="1"/>
  <c r="I1877" i="1"/>
  <c r="D5005" i="1"/>
  <c r="F5005" i="1"/>
  <c r="F531" i="1"/>
  <c r="C532" i="1"/>
  <c r="D531" i="1"/>
  <c r="F1879" i="1"/>
  <c r="C1880" i="1"/>
  <c r="D1879" i="1"/>
  <c r="F1031" i="1"/>
  <c r="D1031" i="1"/>
  <c r="C1032" i="1"/>
  <c r="I1878" i="1" l="1"/>
  <c r="H1031" i="1"/>
  <c r="I1031" i="1" s="1"/>
  <c r="J1030" i="1"/>
  <c r="H5005" i="1"/>
  <c r="I5005" i="1" s="1"/>
  <c r="H530" i="1"/>
  <c r="J529" i="1"/>
  <c r="I529" i="1"/>
  <c r="H1879" i="1"/>
  <c r="J1879" i="1" s="1"/>
  <c r="F1032" i="1"/>
  <c r="D1032" i="1"/>
  <c r="C1033" i="1"/>
  <c r="F1880" i="1"/>
  <c r="C1881" i="1"/>
  <c r="D1880" i="1"/>
  <c r="F532" i="1"/>
  <c r="C533" i="1"/>
  <c r="D532" i="1"/>
  <c r="I1879" i="1" l="1"/>
  <c r="H1880" i="1"/>
  <c r="J1880" i="1" s="1"/>
  <c r="H531" i="1"/>
  <c r="J530" i="1"/>
  <c r="I530" i="1"/>
  <c r="H1032" i="1"/>
  <c r="I1032" i="1" s="1"/>
  <c r="J1031" i="1"/>
  <c r="F1033" i="1"/>
  <c r="C1034" i="1"/>
  <c r="D1033" i="1"/>
  <c r="F1881" i="1"/>
  <c r="C1882" i="1"/>
  <c r="D1881" i="1"/>
  <c r="F533" i="1"/>
  <c r="C534" i="1"/>
  <c r="D533" i="1"/>
  <c r="H1881" i="1" l="1"/>
  <c r="J1881" i="1" s="1"/>
  <c r="H532" i="1"/>
  <c r="J531" i="1"/>
  <c r="I531" i="1"/>
  <c r="I1880" i="1"/>
  <c r="H1033" i="1"/>
  <c r="I1033" i="1" s="1"/>
  <c r="J1032" i="1"/>
  <c r="F534" i="1"/>
  <c r="C535" i="1"/>
  <c r="D534" i="1"/>
  <c r="F1882" i="1"/>
  <c r="C1883" i="1"/>
  <c r="D1882" i="1"/>
  <c r="F1034" i="1"/>
  <c r="C1035" i="1"/>
  <c r="D1034" i="1"/>
  <c r="H1882" i="1" l="1"/>
  <c r="J1882" i="1" s="1"/>
  <c r="I1881" i="1"/>
  <c r="H1034" i="1"/>
  <c r="J1033" i="1"/>
  <c r="H533" i="1"/>
  <c r="J532" i="1"/>
  <c r="I532" i="1"/>
  <c r="F1035" i="1"/>
  <c r="D1035" i="1"/>
  <c r="C1036" i="1"/>
  <c r="F535" i="1"/>
  <c r="C536" i="1"/>
  <c r="D535" i="1"/>
  <c r="F1883" i="1"/>
  <c r="C1884" i="1"/>
  <c r="D1883" i="1"/>
  <c r="H1035" i="1" l="1"/>
  <c r="J1034" i="1"/>
  <c r="I1882" i="1"/>
  <c r="H1883" i="1"/>
  <c r="J1883" i="1" s="1"/>
  <c r="H534" i="1"/>
  <c r="J533" i="1"/>
  <c r="I533" i="1"/>
  <c r="I1034" i="1"/>
  <c r="F536" i="1"/>
  <c r="C537" i="1"/>
  <c r="D536" i="1"/>
  <c r="F1036" i="1"/>
  <c r="D1036" i="1"/>
  <c r="C1037" i="1"/>
  <c r="F1884" i="1"/>
  <c r="C1885" i="1"/>
  <c r="D1884" i="1"/>
  <c r="I1883" i="1" l="1"/>
  <c r="H1884" i="1"/>
  <c r="J1884" i="1" s="1"/>
  <c r="H1036" i="1"/>
  <c r="I1036" i="1" s="1"/>
  <c r="J1035" i="1"/>
  <c r="H535" i="1"/>
  <c r="J534" i="1"/>
  <c r="I534" i="1"/>
  <c r="I1035" i="1"/>
  <c r="F1037" i="1"/>
  <c r="C1038" i="1"/>
  <c r="D1037" i="1"/>
  <c r="F1885" i="1"/>
  <c r="D1885" i="1"/>
  <c r="C1886" i="1"/>
  <c r="F537" i="1"/>
  <c r="C538" i="1"/>
  <c r="D537" i="1"/>
  <c r="H536" i="1" l="1"/>
  <c r="J535" i="1"/>
  <c r="I535" i="1"/>
  <c r="H1037" i="1"/>
  <c r="I1037" i="1" s="1"/>
  <c r="J1036" i="1"/>
  <c r="I1884" i="1"/>
  <c r="H1885" i="1"/>
  <c r="J1885" i="1" s="1"/>
  <c r="F1886" i="1"/>
  <c r="D1886" i="1"/>
  <c r="C1887" i="1"/>
  <c r="F538" i="1"/>
  <c r="D538" i="1"/>
  <c r="C539" i="1"/>
  <c r="F1038" i="1"/>
  <c r="C1039" i="1"/>
  <c r="D1038" i="1"/>
  <c r="H1886" i="1" l="1"/>
  <c r="J1886" i="1" s="1"/>
  <c r="H537" i="1"/>
  <c r="J536" i="1"/>
  <c r="I536" i="1"/>
  <c r="I1885" i="1"/>
  <c r="H1038" i="1"/>
  <c r="I1038" i="1" s="1"/>
  <c r="J1037" i="1"/>
  <c r="F539" i="1"/>
  <c r="D539" i="1"/>
  <c r="C540" i="1"/>
  <c r="F1887" i="1"/>
  <c r="C1888" i="1"/>
  <c r="D1887" i="1"/>
  <c r="F1039" i="1"/>
  <c r="C1040" i="1"/>
  <c r="D1039" i="1"/>
  <c r="H538" i="1" l="1"/>
  <c r="J537" i="1"/>
  <c r="I537" i="1"/>
  <c r="H1039" i="1"/>
  <c r="J1038" i="1"/>
  <c r="H1887" i="1"/>
  <c r="J1887" i="1" s="1"/>
  <c r="I1886" i="1"/>
  <c r="F1888" i="1"/>
  <c r="D1888" i="1"/>
  <c r="C1889" i="1"/>
  <c r="F540" i="1"/>
  <c r="C541" i="1"/>
  <c r="D540" i="1"/>
  <c r="F1040" i="1"/>
  <c r="C1041" i="1"/>
  <c r="D1040" i="1"/>
  <c r="I1887" i="1" l="1"/>
  <c r="H1040" i="1"/>
  <c r="J1039" i="1"/>
  <c r="I1039" i="1"/>
  <c r="H539" i="1"/>
  <c r="J538" i="1"/>
  <c r="I538" i="1"/>
  <c r="H1888" i="1"/>
  <c r="J1888" i="1" s="1"/>
  <c r="F541" i="1"/>
  <c r="C542" i="1"/>
  <c r="D541" i="1"/>
  <c r="F1889" i="1"/>
  <c r="C1890" i="1"/>
  <c r="D1889" i="1"/>
  <c r="F1041" i="1"/>
  <c r="D1041" i="1"/>
  <c r="C1042" i="1"/>
  <c r="H1041" i="1" l="1"/>
  <c r="I1041" i="1" s="1"/>
  <c r="J1040" i="1"/>
  <c r="H1889" i="1"/>
  <c r="J1889" i="1" s="1"/>
  <c r="I1888" i="1"/>
  <c r="H540" i="1"/>
  <c r="J539" i="1"/>
  <c r="I539" i="1"/>
  <c r="I1040" i="1"/>
  <c r="F1890" i="1"/>
  <c r="D1890" i="1"/>
  <c r="C1891" i="1"/>
  <c r="F1042" i="1"/>
  <c r="C1043" i="1"/>
  <c r="D1042" i="1"/>
  <c r="F542" i="1"/>
  <c r="C543" i="1"/>
  <c r="D542" i="1"/>
  <c r="I1889" i="1" l="1"/>
  <c r="H541" i="1"/>
  <c r="J540" i="1"/>
  <c r="I540" i="1"/>
  <c r="H1890" i="1"/>
  <c r="J1890" i="1" s="1"/>
  <c r="H1042" i="1"/>
  <c r="J1041" i="1"/>
  <c r="F1043" i="1"/>
  <c r="C1044" i="1"/>
  <c r="D1043" i="1"/>
  <c r="F1891" i="1"/>
  <c r="C1892" i="1"/>
  <c r="D1891" i="1"/>
  <c r="F543" i="1"/>
  <c r="C544" i="1"/>
  <c r="D543" i="1"/>
  <c r="I1890" i="1" l="1"/>
  <c r="H1043" i="1"/>
  <c r="J1042" i="1"/>
  <c r="H542" i="1"/>
  <c r="J541" i="1"/>
  <c r="I541" i="1"/>
  <c r="I1042" i="1"/>
  <c r="I1043" i="1"/>
  <c r="H1891" i="1"/>
  <c r="J1891" i="1" s="1"/>
  <c r="I1891" i="1"/>
  <c r="F1892" i="1"/>
  <c r="C1893" i="1"/>
  <c r="D1892" i="1"/>
  <c r="F1044" i="1"/>
  <c r="D1044" i="1"/>
  <c r="C1045" i="1"/>
  <c r="F544" i="1"/>
  <c r="C545" i="1"/>
  <c r="D544" i="1"/>
  <c r="H543" i="1" l="1"/>
  <c r="J542" i="1"/>
  <c r="I542" i="1"/>
  <c r="H1892" i="1"/>
  <c r="J1892" i="1" s="1"/>
  <c r="H1044" i="1"/>
  <c r="J1043" i="1"/>
  <c r="F1045" i="1"/>
  <c r="C1046" i="1"/>
  <c r="D1045" i="1"/>
  <c r="F1893" i="1"/>
  <c r="C1894" i="1"/>
  <c r="D1893" i="1"/>
  <c r="F545" i="1"/>
  <c r="C546" i="1"/>
  <c r="D545" i="1"/>
  <c r="I1892" i="1" l="1"/>
  <c r="H544" i="1"/>
  <c r="J543" i="1"/>
  <c r="I543" i="1"/>
  <c r="H1045" i="1"/>
  <c r="I1045" i="1" s="1"/>
  <c r="J1044" i="1"/>
  <c r="I1044" i="1"/>
  <c r="H1893" i="1"/>
  <c r="J1893" i="1" s="1"/>
  <c r="F1046" i="1"/>
  <c r="D1046" i="1"/>
  <c r="C1047" i="1"/>
  <c r="F1894" i="1"/>
  <c r="C1895" i="1"/>
  <c r="D1894" i="1"/>
  <c r="F546" i="1"/>
  <c r="C547" i="1"/>
  <c r="D546" i="1"/>
  <c r="H1894" i="1" l="1"/>
  <c r="J1894" i="1" s="1"/>
  <c r="I1893" i="1"/>
  <c r="H1046" i="1"/>
  <c r="I1046" i="1" s="1"/>
  <c r="J1045" i="1"/>
  <c r="H545" i="1"/>
  <c r="J544" i="1"/>
  <c r="I544" i="1"/>
  <c r="F1895" i="1"/>
  <c r="C1896" i="1"/>
  <c r="D1895" i="1"/>
  <c r="F1047" i="1"/>
  <c r="C1048" i="1"/>
  <c r="D1047" i="1"/>
  <c r="F547" i="1"/>
  <c r="C548" i="1"/>
  <c r="D547" i="1"/>
  <c r="H1047" i="1" l="1"/>
  <c r="J1046" i="1"/>
  <c r="H1895" i="1"/>
  <c r="J1895" i="1" s="1"/>
  <c r="I1894" i="1"/>
  <c r="I1047" i="1"/>
  <c r="H546" i="1"/>
  <c r="J545" i="1"/>
  <c r="I545" i="1"/>
  <c r="F1048" i="1"/>
  <c r="D1048" i="1"/>
  <c r="C1049" i="1"/>
  <c r="F1896" i="1"/>
  <c r="D1896" i="1"/>
  <c r="C1897" i="1"/>
  <c r="F548" i="1"/>
  <c r="C549" i="1"/>
  <c r="D548" i="1"/>
  <c r="I1895" i="1" l="1"/>
  <c r="H1896" i="1"/>
  <c r="J1896" i="1" s="1"/>
  <c r="H1048" i="1"/>
  <c r="I1048" i="1" s="1"/>
  <c r="J1047" i="1"/>
  <c r="H547" i="1"/>
  <c r="J546" i="1"/>
  <c r="I546" i="1"/>
  <c r="F1897" i="1"/>
  <c r="C1898" i="1"/>
  <c r="D1897" i="1"/>
  <c r="F1049" i="1"/>
  <c r="C1050" i="1"/>
  <c r="D1049" i="1"/>
  <c r="F549" i="1"/>
  <c r="C550" i="1"/>
  <c r="D549" i="1"/>
  <c r="H1049" i="1" l="1"/>
  <c r="I1049" i="1" s="1"/>
  <c r="J1048" i="1"/>
  <c r="I1896" i="1"/>
  <c r="H548" i="1"/>
  <c r="J547" i="1"/>
  <c r="I547" i="1"/>
  <c r="H1897" i="1"/>
  <c r="J1897" i="1" s="1"/>
  <c r="F1898" i="1"/>
  <c r="C1899" i="1"/>
  <c r="D1898" i="1"/>
  <c r="F1050" i="1"/>
  <c r="C1051" i="1"/>
  <c r="D1050" i="1"/>
  <c r="F550" i="1"/>
  <c r="D550" i="1"/>
  <c r="C551" i="1"/>
  <c r="I1897" i="1" l="1"/>
  <c r="H1050" i="1"/>
  <c r="I1050" i="1" s="1"/>
  <c r="J1049" i="1"/>
  <c r="H1898" i="1"/>
  <c r="J1898" i="1" s="1"/>
  <c r="H549" i="1"/>
  <c r="J548" i="1"/>
  <c r="I548" i="1"/>
  <c r="F1899" i="1"/>
  <c r="C1900" i="1"/>
  <c r="D1899" i="1"/>
  <c r="F1051" i="1"/>
  <c r="C1052" i="1"/>
  <c r="D1051" i="1"/>
  <c r="F551" i="1"/>
  <c r="D551" i="1"/>
  <c r="C552" i="1"/>
  <c r="I1898" i="1" l="1"/>
  <c r="H550" i="1"/>
  <c r="J549" i="1"/>
  <c r="I549" i="1"/>
  <c r="H1899" i="1"/>
  <c r="J1899" i="1" s="1"/>
  <c r="H1051" i="1"/>
  <c r="J1050" i="1"/>
  <c r="F1052" i="1"/>
  <c r="C1053" i="1"/>
  <c r="D1052" i="1"/>
  <c r="F552" i="1"/>
  <c r="C553" i="1"/>
  <c r="D552" i="1"/>
  <c r="F1900" i="1"/>
  <c r="C1901" i="1"/>
  <c r="D1900" i="1"/>
  <c r="H1900" i="1" l="1"/>
  <c r="J1900" i="1" s="1"/>
  <c r="H1052" i="1"/>
  <c r="J1051" i="1"/>
  <c r="H551" i="1"/>
  <c r="J550" i="1"/>
  <c r="I550" i="1"/>
  <c r="I1052" i="1"/>
  <c r="I1899" i="1"/>
  <c r="I1051" i="1"/>
  <c r="F553" i="1"/>
  <c r="C554" i="1"/>
  <c r="D553" i="1"/>
  <c r="F1901" i="1"/>
  <c r="C1902" i="1"/>
  <c r="D1901" i="1"/>
  <c r="F1053" i="1"/>
  <c r="C1054" i="1"/>
  <c r="D1053" i="1"/>
  <c r="H1053" i="1" l="1"/>
  <c r="J1052" i="1"/>
  <c r="H552" i="1"/>
  <c r="J551" i="1"/>
  <c r="I551" i="1"/>
  <c r="H1901" i="1"/>
  <c r="J1901" i="1" s="1"/>
  <c r="I1900" i="1"/>
  <c r="F1902" i="1"/>
  <c r="C1903" i="1"/>
  <c r="D1902" i="1"/>
  <c r="F1054" i="1"/>
  <c r="C1055" i="1"/>
  <c r="D1054" i="1"/>
  <c r="F554" i="1"/>
  <c r="C555" i="1"/>
  <c r="D554" i="1"/>
  <c r="H553" i="1" l="1"/>
  <c r="J552" i="1"/>
  <c r="I552" i="1"/>
  <c r="H1902" i="1"/>
  <c r="J1902" i="1" s="1"/>
  <c r="H1054" i="1"/>
  <c r="I1054" i="1" s="1"/>
  <c r="J1053" i="1"/>
  <c r="I1901" i="1"/>
  <c r="I1053" i="1"/>
  <c r="D1055" i="1"/>
  <c r="F1055" i="1"/>
  <c r="C1056" i="1"/>
  <c r="F1903" i="1"/>
  <c r="C1904" i="1"/>
  <c r="D1903" i="1"/>
  <c r="F555" i="1"/>
  <c r="D555" i="1"/>
  <c r="I1902" i="1" l="1"/>
  <c r="H1903" i="1"/>
  <c r="J1903" i="1" s="1"/>
  <c r="H556" i="1"/>
  <c r="H554" i="1"/>
  <c r="J553" i="1"/>
  <c r="I553" i="1"/>
  <c r="H1055" i="1"/>
  <c r="J1054" i="1"/>
  <c r="F1056" i="1"/>
  <c r="C1057" i="1"/>
  <c r="D1056" i="1"/>
  <c r="F1904" i="1"/>
  <c r="C1905" i="1"/>
  <c r="D1904" i="1"/>
  <c r="H1904" i="1" l="1"/>
  <c r="J1904" i="1" s="1"/>
  <c r="J556" i="1"/>
  <c r="I556" i="1"/>
  <c r="H557" i="1"/>
  <c r="H1056" i="1"/>
  <c r="J1055" i="1"/>
  <c r="I1055" i="1"/>
  <c r="I1903" i="1"/>
  <c r="H555" i="1"/>
  <c r="J554" i="1"/>
  <c r="I554" i="1"/>
  <c r="F1905" i="1"/>
  <c r="C1906" i="1"/>
  <c r="D1905" i="1"/>
  <c r="F1057" i="1"/>
  <c r="C1058" i="1"/>
  <c r="D1057" i="1"/>
  <c r="J555" i="1" l="1"/>
  <c r="I555" i="1"/>
  <c r="H558" i="1"/>
  <c r="J557" i="1"/>
  <c r="I557" i="1"/>
  <c r="I1904" i="1"/>
  <c r="H1905" i="1"/>
  <c r="J1905" i="1" s="1"/>
  <c r="H1057" i="1"/>
  <c r="I1057" i="1" s="1"/>
  <c r="J1056" i="1"/>
  <c r="I1056" i="1"/>
  <c r="F1906" i="1"/>
  <c r="D1906" i="1"/>
  <c r="C1907" i="1"/>
  <c r="F1058" i="1"/>
  <c r="D1058" i="1"/>
  <c r="C1059" i="1"/>
  <c r="I1905" i="1" l="1"/>
  <c r="H559" i="1"/>
  <c r="J558" i="1"/>
  <c r="I558" i="1"/>
  <c r="H1906" i="1"/>
  <c r="J1906" i="1" s="1"/>
  <c r="H1058" i="1"/>
  <c r="J1057" i="1"/>
  <c r="F1907" i="1"/>
  <c r="C1908" i="1"/>
  <c r="D1907" i="1"/>
  <c r="F1059" i="1"/>
  <c r="C1060" i="1"/>
  <c r="D1059" i="1"/>
  <c r="I1906" i="1" l="1"/>
  <c r="H1907" i="1"/>
  <c r="J1907" i="1" s="1"/>
  <c r="H560" i="1"/>
  <c r="J559" i="1"/>
  <c r="I559" i="1"/>
  <c r="H1059" i="1"/>
  <c r="I1059" i="1" s="1"/>
  <c r="J1058" i="1"/>
  <c r="I1058" i="1"/>
  <c r="F1908" i="1"/>
  <c r="C1909" i="1"/>
  <c r="D1908" i="1"/>
  <c r="F1060" i="1"/>
  <c r="C1061" i="1"/>
  <c r="D1060" i="1"/>
  <c r="H1060" i="1" l="1"/>
  <c r="I1060" i="1" s="1"/>
  <c r="J1059" i="1"/>
  <c r="H1908" i="1"/>
  <c r="J1908" i="1" s="1"/>
  <c r="H561" i="1"/>
  <c r="J560" i="1"/>
  <c r="I560" i="1"/>
  <c r="I1907" i="1"/>
  <c r="F1909" i="1"/>
  <c r="C1910" i="1"/>
  <c r="D1909" i="1"/>
  <c r="F1061" i="1"/>
  <c r="D1061" i="1"/>
  <c r="C1062" i="1"/>
  <c r="H562" i="1" l="1"/>
  <c r="J561" i="1"/>
  <c r="I561" i="1"/>
  <c r="I1908" i="1"/>
  <c r="H1909" i="1"/>
  <c r="J1909" i="1" s="1"/>
  <c r="H1061" i="1"/>
  <c r="I1061" i="1" s="1"/>
  <c r="J1060" i="1"/>
  <c r="F1910" i="1"/>
  <c r="C1911" i="1"/>
  <c r="D1910" i="1"/>
  <c r="F1062" i="1"/>
  <c r="C1063" i="1"/>
  <c r="D1062" i="1"/>
  <c r="H1062" i="1" l="1"/>
  <c r="J1061" i="1"/>
  <c r="H563" i="1"/>
  <c r="J562" i="1"/>
  <c r="I562" i="1"/>
  <c r="I1062" i="1"/>
  <c r="I1909" i="1"/>
  <c r="H1910" i="1"/>
  <c r="J1910" i="1" s="1"/>
  <c r="F1063" i="1"/>
  <c r="D1063" i="1"/>
  <c r="C1064" i="1"/>
  <c r="F1911" i="1"/>
  <c r="C1912" i="1"/>
  <c r="D1911" i="1"/>
  <c r="I1910" i="1" l="1"/>
  <c r="H564" i="1"/>
  <c r="J563" i="1"/>
  <c r="I563" i="1"/>
  <c r="H1911" i="1"/>
  <c r="J1911" i="1" s="1"/>
  <c r="H1063" i="1"/>
  <c r="J1062" i="1"/>
  <c r="F1912" i="1"/>
  <c r="D1912" i="1"/>
  <c r="C1913" i="1"/>
  <c r="F1064" i="1"/>
  <c r="C1065" i="1"/>
  <c r="D1064" i="1"/>
  <c r="H1912" i="1" l="1"/>
  <c r="J1912" i="1" s="1"/>
  <c r="I1911" i="1"/>
  <c r="H565" i="1"/>
  <c r="J564" i="1"/>
  <c r="I564" i="1"/>
  <c r="H1064" i="1"/>
  <c r="J1063" i="1"/>
  <c r="I1063" i="1"/>
  <c r="F1065" i="1"/>
  <c r="D1065" i="1"/>
  <c r="C1066" i="1"/>
  <c r="F1913" i="1"/>
  <c r="C1914" i="1"/>
  <c r="D1913" i="1"/>
  <c r="H1065" i="1" l="1"/>
  <c r="J1064" i="1"/>
  <c r="H1913" i="1"/>
  <c r="J1913" i="1" s="1"/>
  <c r="H566" i="1"/>
  <c r="J565" i="1"/>
  <c r="I565" i="1"/>
  <c r="I1912" i="1"/>
  <c r="I1065" i="1"/>
  <c r="I1064" i="1"/>
  <c r="F1066" i="1"/>
  <c r="C1067" i="1"/>
  <c r="D1066" i="1"/>
  <c r="F1914" i="1"/>
  <c r="C1915" i="1"/>
  <c r="D1914" i="1"/>
  <c r="I1913" i="1" l="1"/>
  <c r="H567" i="1"/>
  <c r="J566" i="1"/>
  <c r="I566" i="1"/>
  <c r="H1066" i="1"/>
  <c r="I1066" i="1" s="1"/>
  <c r="J1065" i="1"/>
  <c r="H1914" i="1"/>
  <c r="J1914" i="1" s="1"/>
  <c r="F1915" i="1"/>
  <c r="C1916" i="1"/>
  <c r="D1915" i="1"/>
  <c r="F1067" i="1"/>
  <c r="C1068" i="1"/>
  <c r="D1067" i="1"/>
  <c r="H1067" i="1" l="1"/>
  <c r="J1066" i="1"/>
  <c r="H1915" i="1"/>
  <c r="J1915" i="1" s="1"/>
  <c r="I1914" i="1"/>
  <c r="I1067" i="1"/>
  <c r="H568" i="1"/>
  <c r="J567" i="1"/>
  <c r="I567" i="1"/>
  <c r="F1068" i="1"/>
  <c r="D1068" i="1"/>
  <c r="C1069" i="1"/>
  <c r="F1916" i="1"/>
  <c r="C1917" i="1"/>
  <c r="D1916" i="1"/>
  <c r="H569" i="1" l="1"/>
  <c r="J568" i="1"/>
  <c r="I568" i="1"/>
  <c r="I1915" i="1"/>
  <c r="H1916" i="1"/>
  <c r="J1916" i="1" s="1"/>
  <c r="H1068" i="1"/>
  <c r="J1067" i="1"/>
  <c r="F1069" i="1"/>
  <c r="C1070" i="1"/>
  <c r="D1069" i="1"/>
  <c r="F1917" i="1"/>
  <c r="C1918" i="1"/>
  <c r="D1917" i="1"/>
  <c r="I1916" i="1" l="1"/>
  <c r="H1917" i="1"/>
  <c r="J1917" i="1" s="1"/>
  <c r="H1069" i="1"/>
  <c r="J1068" i="1"/>
  <c r="H570" i="1"/>
  <c r="J569" i="1"/>
  <c r="I569" i="1"/>
  <c r="I1069" i="1"/>
  <c r="I1068" i="1"/>
  <c r="F1918" i="1"/>
  <c r="C1919" i="1"/>
  <c r="D1918" i="1"/>
  <c r="F1070" i="1"/>
  <c r="C1071" i="1"/>
  <c r="D1070" i="1"/>
  <c r="H571" i="1" l="1"/>
  <c r="J570" i="1"/>
  <c r="I570" i="1"/>
  <c r="H1918" i="1"/>
  <c r="J1918" i="1" s="1"/>
  <c r="H1070" i="1"/>
  <c r="J1069" i="1"/>
  <c r="I1917" i="1"/>
  <c r="F1071" i="1"/>
  <c r="C1072" i="1"/>
  <c r="D1071" i="1"/>
  <c r="F1919" i="1"/>
  <c r="C1920" i="1"/>
  <c r="D1919" i="1"/>
  <c r="H1919" i="1" l="1"/>
  <c r="J1919" i="1" s="1"/>
  <c r="H1071" i="1"/>
  <c r="J1070" i="1"/>
  <c r="I1918" i="1"/>
  <c r="H572" i="1"/>
  <c r="J571" i="1"/>
  <c r="I571" i="1"/>
  <c r="I1070" i="1"/>
  <c r="F1920" i="1"/>
  <c r="C1921" i="1"/>
  <c r="D1920" i="1"/>
  <c r="F1072" i="1"/>
  <c r="D1072" i="1"/>
  <c r="C1073" i="1"/>
  <c r="H1920" i="1" l="1"/>
  <c r="J1920" i="1" s="1"/>
  <c r="H1072" i="1"/>
  <c r="J1071" i="1"/>
  <c r="I1919" i="1"/>
  <c r="H573" i="1"/>
  <c r="J572" i="1"/>
  <c r="I572" i="1"/>
  <c r="I1072" i="1"/>
  <c r="I1071" i="1"/>
  <c r="F1921" i="1"/>
  <c r="D1921" i="1"/>
  <c r="C1922" i="1"/>
  <c r="F1073" i="1"/>
  <c r="C1074" i="1"/>
  <c r="D1073" i="1"/>
  <c r="H574" i="1" l="1"/>
  <c r="J573" i="1"/>
  <c r="I573" i="1"/>
  <c r="H1921" i="1"/>
  <c r="J1921" i="1" s="1"/>
  <c r="H1073" i="1"/>
  <c r="I1073" i="1" s="1"/>
  <c r="J1072" i="1"/>
  <c r="I1920" i="1"/>
  <c r="F1922" i="1"/>
  <c r="C1923" i="1"/>
  <c r="D1922" i="1"/>
  <c r="F1074" i="1"/>
  <c r="D1074" i="1"/>
  <c r="C1075" i="1"/>
  <c r="I1921" i="1" l="1"/>
  <c r="H1074" i="1"/>
  <c r="J1073" i="1"/>
  <c r="H1922" i="1"/>
  <c r="J1922" i="1" s="1"/>
  <c r="H575" i="1"/>
  <c r="J574" i="1"/>
  <c r="I574" i="1"/>
  <c r="F1923" i="1"/>
  <c r="C1924" i="1"/>
  <c r="D1923" i="1"/>
  <c r="F1075" i="1"/>
  <c r="C1076" i="1"/>
  <c r="D1075" i="1"/>
  <c r="I1922" i="1" l="1"/>
  <c r="H576" i="1"/>
  <c r="J575" i="1"/>
  <c r="I575" i="1"/>
  <c r="H1075" i="1"/>
  <c r="I1075" i="1" s="1"/>
  <c r="J1074" i="1"/>
  <c r="H1923" i="1"/>
  <c r="J1923" i="1" s="1"/>
  <c r="I1074" i="1"/>
  <c r="F1076" i="1"/>
  <c r="C1077" i="1"/>
  <c r="D1076" i="1"/>
  <c r="F1924" i="1"/>
  <c r="D1924" i="1"/>
  <c r="C1925" i="1"/>
  <c r="H1076" i="1" l="1"/>
  <c r="I1076" i="1" s="1"/>
  <c r="J1075" i="1"/>
  <c r="H1924" i="1"/>
  <c r="J1924" i="1" s="1"/>
  <c r="H577" i="1"/>
  <c r="J576" i="1"/>
  <c r="I576" i="1"/>
  <c r="I1923" i="1"/>
  <c r="F1077" i="1"/>
  <c r="C1078" i="1"/>
  <c r="D1077" i="1"/>
  <c r="F1925" i="1"/>
  <c r="C1926" i="1"/>
  <c r="D1925" i="1"/>
  <c r="H578" i="1" l="1"/>
  <c r="J577" i="1"/>
  <c r="I577" i="1"/>
  <c r="H1925" i="1"/>
  <c r="J1925" i="1" s="1"/>
  <c r="I1924" i="1"/>
  <c r="H1077" i="1"/>
  <c r="I1077" i="1" s="1"/>
  <c r="J1076" i="1"/>
  <c r="F1078" i="1"/>
  <c r="D1078" i="1"/>
  <c r="C1079" i="1"/>
  <c r="F1926" i="1"/>
  <c r="D1926" i="1"/>
  <c r="C1927" i="1"/>
  <c r="I1925" i="1" l="1"/>
  <c r="H1926" i="1"/>
  <c r="J1926" i="1" s="1"/>
  <c r="H579" i="1"/>
  <c r="J578" i="1"/>
  <c r="I578" i="1"/>
  <c r="H1078" i="1"/>
  <c r="J1077" i="1"/>
  <c r="F1079" i="1"/>
  <c r="C1080" i="1"/>
  <c r="D1079" i="1"/>
  <c r="F1927" i="1"/>
  <c r="C1928" i="1"/>
  <c r="D1927" i="1"/>
  <c r="H1079" i="1" l="1"/>
  <c r="J1078" i="1"/>
  <c r="I1078" i="1"/>
  <c r="H1927" i="1"/>
  <c r="J1927" i="1" s="1"/>
  <c r="H580" i="1"/>
  <c r="J579" i="1"/>
  <c r="I579" i="1"/>
  <c r="I1926" i="1"/>
  <c r="I1079" i="1"/>
  <c r="F1928" i="1"/>
  <c r="C1929" i="1"/>
  <c r="D1928" i="1"/>
  <c r="F1080" i="1"/>
  <c r="D1080" i="1"/>
  <c r="C1081" i="1"/>
  <c r="I1927" i="1" l="1"/>
  <c r="H1928" i="1"/>
  <c r="J1928" i="1" s="1"/>
  <c r="H581" i="1"/>
  <c r="J580" i="1"/>
  <c r="I580" i="1"/>
  <c r="H1080" i="1"/>
  <c r="J1079" i="1"/>
  <c r="F1929" i="1"/>
  <c r="C1930" i="1"/>
  <c r="D1929" i="1"/>
  <c r="F1081" i="1"/>
  <c r="C1082" i="1"/>
  <c r="D1081" i="1"/>
  <c r="I1928" i="1" l="1"/>
  <c r="H582" i="1"/>
  <c r="J581" i="1"/>
  <c r="I581" i="1"/>
  <c r="H1081" i="1"/>
  <c r="I1081" i="1" s="1"/>
  <c r="J1080" i="1"/>
  <c r="I1080" i="1"/>
  <c r="H1929" i="1"/>
  <c r="J1929" i="1" s="1"/>
  <c r="F1082" i="1"/>
  <c r="D1082" i="1"/>
  <c r="C1083" i="1"/>
  <c r="F1930" i="1"/>
  <c r="C1931" i="1"/>
  <c r="D1930" i="1"/>
  <c r="I1929" i="1" l="1"/>
  <c r="H583" i="1"/>
  <c r="J582" i="1"/>
  <c r="I582" i="1"/>
  <c r="H1930" i="1"/>
  <c r="J1930" i="1" s="1"/>
  <c r="H1082" i="1"/>
  <c r="I1082" i="1" s="1"/>
  <c r="J1081" i="1"/>
  <c r="F1931" i="1"/>
  <c r="C1932" i="1"/>
  <c r="D1931" i="1"/>
  <c r="F1083" i="1"/>
  <c r="D1083" i="1"/>
  <c r="C1084" i="1"/>
  <c r="I1930" i="1" l="1"/>
  <c r="H1083" i="1"/>
  <c r="I1083" i="1" s="1"/>
  <c r="J1082" i="1"/>
  <c r="H584" i="1"/>
  <c r="J583" i="1"/>
  <c r="I583" i="1"/>
  <c r="H1931" i="1"/>
  <c r="J1931" i="1" s="1"/>
  <c r="F1932" i="1"/>
  <c r="C1933" i="1"/>
  <c r="D1932" i="1"/>
  <c r="F1084" i="1"/>
  <c r="C1085" i="1"/>
  <c r="D1084" i="1"/>
  <c r="I1931" i="1" l="1"/>
  <c r="H1084" i="1"/>
  <c r="J1083" i="1"/>
  <c r="H1932" i="1"/>
  <c r="J1932" i="1" s="1"/>
  <c r="I1084" i="1"/>
  <c r="H585" i="1"/>
  <c r="J584" i="1"/>
  <c r="I584" i="1"/>
  <c r="F1085" i="1"/>
  <c r="D1085" i="1"/>
  <c r="C1086" i="1"/>
  <c r="F1933" i="1"/>
  <c r="C1934" i="1"/>
  <c r="D1933" i="1"/>
  <c r="I1932" i="1" l="1"/>
  <c r="H1933" i="1"/>
  <c r="J1933" i="1" s="1"/>
  <c r="H586" i="1"/>
  <c r="J585" i="1"/>
  <c r="I585" i="1"/>
  <c r="H1085" i="1"/>
  <c r="J1084" i="1"/>
  <c r="F1934" i="1"/>
  <c r="C1935" i="1"/>
  <c r="D1934" i="1"/>
  <c r="F1086" i="1"/>
  <c r="C1087" i="1"/>
  <c r="D1086" i="1"/>
  <c r="I1933" i="1" l="1"/>
  <c r="H1934" i="1"/>
  <c r="J1934" i="1" s="1"/>
  <c r="H587" i="1"/>
  <c r="J586" i="1"/>
  <c r="I586" i="1"/>
  <c r="H1086" i="1"/>
  <c r="J1085" i="1"/>
  <c r="I1085" i="1"/>
  <c r="F1935" i="1"/>
  <c r="C1936" i="1"/>
  <c r="D1935" i="1"/>
  <c r="F1087" i="1"/>
  <c r="D1087" i="1"/>
  <c r="C1088" i="1"/>
  <c r="H1935" i="1" l="1"/>
  <c r="J1935" i="1" s="1"/>
  <c r="H1087" i="1"/>
  <c r="J1086" i="1"/>
  <c r="I1086" i="1"/>
  <c r="H588" i="1"/>
  <c r="J587" i="1"/>
  <c r="I587" i="1"/>
  <c r="I1934" i="1"/>
  <c r="F1088" i="1"/>
  <c r="C1089" i="1"/>
  <c r="D1088" i="1"/>
  <c r="F1936" i="1"/>
  <c r="D1936" i="1"/>
  <c r="C1937" i="1"/>
  <c r="H1088" i="1" l="1"/>
  <c r="J1087" i="1"/>
  <c r="H1936" i="1"/>
  <c r="J1936" i="1" s="1"/>
  <c r="I1087" i="1"/>
  <c r="I1935" i="1"/>
  <c r="H589" i="1"/>
  <c r="J588" i="1"/>
  <c r="I588" i="1"/>
  <c r="F1937" i="1"/>
  <c r="C1938" i="1"/>
  <c r="D1937" i="1"/>
  <c r="F1089" i="1"/>
  <c r="C1090" i="1"/>
  <c r="D1089" i="1"/>
  <c r="I1936" i="1" l="1"/>
  <c r="H1937" i="1"/>
  <c r="J1937" i="1" s="1"/>
  <c r="H1089" i="1"/>
  <c r="J1088" i="1"/>
  <c r="H590" i="1"/>
  <c r="J589" i="1"/>
  <c r="I589" i="1"/>
  <c r="I1088" i="1"/>
  <c r="F1090" i="1"/>
  <c r="C1091" i="1"/>
  <c r="D1090" i="1"/>
  <c r="F1938" i="1"/>
  <c r="C1939" i="1"/>
  <c r="D1938" i="1"/>
  <c r="H591" i="1" l="1"/>
  <c r="J590" i="1"/>
  <c r="I590" i="1"/>
  <c r="H1090" i="1"/>
  <c r="I1090" i="1" s="1"/>
  <c r="J1089" i="1"/>
  <c r="H1938" i="1"/>
  <c r="J1938" i="1" s="1"/>
  <c r="I1089" i="1"/>
  <c r="I1937" i="1"/>
  <c r="F1939" i="1"/>
  <c r="C1940" i="1"/>
  <c r="D1939" i="1"/>
  <c r="F1091" i="1"/>
  <c r="C1092" i="1"/>
  <c r="D1091" i="1"/>
  <c r="H1091" i="1" l="1"/>
  <c r="J1090" i="1"/>
  <c r="H1939" i="1"/>
  <c r="J1939" i="1" s="1"/>
  <c r="I1938" i="1"/>
  <c r="H592" i="1"/>
  <c r="J591" i="1"/>
  <c r="I591" i="1"/>
  <c r="I1091" i="1"/>
  <c r="F1092" i="1"/>
  <c r="C1093" i="1"/>
  <c r="D1092" i="1"/>
  <c r="F1940" i="1"/>
  <c r="C1941" i="1"/>
  <c r="D1940" i="1"/>
  <c r="H593" i="1" l="1"/>
  <c r="J592" i="1"/>
  <c r="I592" i="1"/>
  <c r="H1940" i="1"/>
  <c r="J1940" i="1" s="1"/>
  <c r="I1939" i="1"/>
  <c r="H1092" i="1"/>
  <c r="J1091" i="1"/>
  <c r="F1941" i="1"/>
  <c r="C1942" i="1"/>
  <c r="D1941" i="1"/>
  <c r="F1093" i="1"/>
  <c r="C1094" i="1"/>
  <c r="D1093" i="1"/>
  <c r="I1940" i="1" l="1"/>
  <c r="H1941" i="1"/>
  <c r="J1941" i="1" s="1"/>
  <c r="H1093" i="1"/>
  <c r="I1093" i="1" s="1"/>
  <c r="J1092" i="1"/>
  <c r="I1092" i="1"/>
  <c r="H594" i="1"/>
  <c r="J593" i="1"/>
  <c r="I593" i="1"/>
  <c r="F1094" i="1"/>
  <c r="C1095" i="1"/>
  <c r="D1094" i="1"/>
  <c r="F1942" i="1"/>
  <c r="C1943" i="1"/>
  <c r="D1942" i="1"/>
  <c r="H1094" i="1" l="1"/>
  <c r="J1093" i="1"/>
  <c r="H595" i="1"/>
  <c r="J594" i="1"/>
  <c r="I594" i="1"/>
  <c r="H1942" i="1"/>
  <c r="J1942" i="1" s="1"/>
  <c r="I1941" i="1"/>
  <c r="I1094" i="1"/>
  <c r="F1943" i="1"/>
  <c r="C1944" i="1"/>
  <c r="D1943" i="1"/>
  <c r="F1095" i="1"/>
  <c r="D1095" i="1"/>
  <c r="C1096" i="1"/>
  <c r="I1942" i="1" l="1"/>
  <c r="H596" i="1"/>
  <c r="J595" i="1"/>
  <c r="I595" i="1"/>
  <c r="H1095" i="1"/>
  <c r="I1095" i="1" s="1"/>
  <c r="J1094" i="1"/>
  <c r="H1943" i="1"/>
  <c r="J1943" i="1" s="1"/>
  <c r="F1096" i="1"/>
  <c r="C1097" i="1"/>
  <c r="D1096" i="1"/>
  <c r="F1944" i="1"/>
  <c r="C1945" i="1"/>
  <c r="D1944" i="1"/>
  <c r="I1943" i="1" l="1"/>
  <c r="H597" i="1"/>
  <c r="J596" i="1"/>
  <c r="I596" i="1"/>
  <c r="H1944" i="1"/>
  <c r="J1944" i="1" s="1"/>
  <c r="H1096" i="1"/>
  <c r="I1096" i="1" s="1"/>
  <c r="J1095" i="1"/>
  <c r="F1945" i="1"/>
  <c r="C1946" i="1"/>
  <c r="D1945" i="1"/>
  <c r="F1097" i="1"/>
  <c r="D1097" i="1"/>
  <c r="C1098" i="1"/>
  <c r="I1944" i="1" l="1"/>
  <c r="H598" i="1"/>
  <c r="J597" i="1"/>
  <c r="I597" i="1"/>
  <c r="H1945" i="1"/>
  <c r="J1945" i="1" s="1"/>
  <c r="H1097" i="1"/>
  <c r="I1097" i="1" s="1"/>
  <c r="J1096" i="1"/>
  <c r="F1946" i="1"/>
  <c r="C1947" i="1"/>
  <c r="D1946" i="1"/>
  <c r="F1098" i="1"/>
  <c r="C1099" i="1"/>
  <c r="D1098" i="1"/>
  <c r="I1945" i="1" l="1"/>
  <c r="H1098" i="1"/>
  <c r="J1097" i="1"/>
  <c r="H1946" i="1"/>
  <c r="J1946" i="1" s="1"/>
  <c r="H599" i="1"/>
  <c r="J598" i="1"/>
  <c r="I598" i="1"/>
  <c r="F1947" i="1"/>
  <c r="C1948" i="1"/>
  <c r="D1947" i="1"/>
  <c r="F1099" i="1"/>
  <c r="C1100" i="1"/>
  <c r="D1099" i="1"/>
  <c r="H1947" i="1" l="1"/>
  <c r="J1947" i="1" s="1"/>
  <c r="H600" i="1"/>
  <c r="J599" i="1"/>
  <c r="I599" i="1"/>
  <c r="I1946" i="1"/>
  <c r="H1099" i="1"/>
  <c r="I1099" i="1" s="1"/>
  <c r="J1098" i="1"/>
  <c r="I1098" i="1"/>
  <c r="F1100" i="1"/>
  <c r="C1101" i="1"/>
  <c r="D1100" i="1"/>
  <c r="F1948" i="1"/>
  <c r="C1949" i="1"/>
  <c r="D1948" i="1"/>
  <c r="H1948" i="1" l="1"/>
  <c r="J1948" i="1" s="1"/>
  <c r="H601" i="1"/>
  <c r="J600" i="1"/>
  <c r="I600" i="1"/>
  <c r="I1947" i="1"/>
  <c r="H1100" i="1"/>
  <c r="I1100" i="1" s="1"/>
  <c r="J1099" i="1"/>
  <c r="F1949" i="1"/>
  <c r="C1950" i="1"/>
  <c r="D1949" i="1"/>
  <c r="F1101" i="1"/>
  <c r="C1102" i="1"/>
  <c r="D1101" i="1"/>
  <c r="H602" i="1" l="1"/>
  <c r="J601" i="1"/>
  <c r="I601" i="1"/>
  <c r="H1949" i="1"/>
  <c r="J1949" i="1" s="1"/>
  <c r="H1101" i="1"/>
  <c r="J1100" i="1"/>
  <c r="I1948" i="1"/>
  <c r="F1102" i="1"/>
  <c r="C1103" i="1"/>
  <c r="D1102" i="1"/>
  <c r="F1950" i="1"/>
  <c r="D1950" i="1"/>
  <c r="C1951" i="1"/>
  <c r="I1949" i="1" l="1"/>
  <c r="H1950" i="1"/>
  <c r="J1950" i="1" s="1"/>
  <c r="H1102" i="1"/>
  <c r="I1102" i="1" s="1"/>
  <c r="J1101" i="1"/>
  <c r="H603" i="1"/>
  <c r="J602" i="1"/>
  <c r="I602" i="1"/>
  <c r="I1101" i="1"/>
  <c r="F1103" i="1"/>
  <c r="C1104" i="1"/>
  <c r="D1103" i="1"/>
  <c r="F1951" i="1"/>
  <c r="C1952" i="1"/>
  <c r="D1951" i="1"/>
  <c r="H1951" i="1" l="1"/>
  <c r="J1951" i="1" s="1"/>
  <c r="I1950" i="1"/>
  <c r="H604" i="1"/>
  <c r="J603" i="1"/>
  <c r="I603" i="1"/>
  <c r="H1103" i="1"/>
  <c r="I1103" i="1" s="1"/>
  <c r="J1102" i="1"/>
  <c r="F1952" i="1"/>
  <c r="D1952" i="1"/>
  <c r="C1953" i="1"/>
  <c r="F1104" i="1"/>
  <c r="C1105" i="1"/>
  <c r="D1104" i="1"/>
  <c r="H1952" i="1" l="1"/>
  <c r="J1952" i="1" s="1"/>
  <c r="H605" i="1"/>
  <c r="J604" i="1"/>
  <c r="I604" i="1"/>
  <c r="H1104" i="1"/>
  <c r="I1104" i="1" s="1"/>
  <c r="J1103" i="1"/>
  <c r="I1951" i="1"/>
  <c r="F1953" i="1"/>
  <c r="C1954" i="1"/>
  <c r="D1953" i="1"/>
  <c r="D1105" i="1"/>
  <c r="F1105" i="1"/>
  <c r="C1106" i="1"/>
  <c r="H1953" i="1" l="1"/>
  <c r="J1953" i="1" s="1"/>
  <c r="H606" i="1"/>
  <c r="J605" i="1"/>
  <c r="I605" i="1"/>
  <c r="I1952" i="1"/>
  <c r="H1105" i="1"/>
  <c r="J1104" i="1"/>
  <c r="F1954" i="1"/>
  <c r="C1955" i="1"/>
  <c r="D1954" i="1"/>
  <c r="D1106" i="1"/>
  <c r="F1106" i="1"/>
  <c r="C1107" i="1"/>
  <c r="H607" i="1" l="1"/>
  <c r="J606" i="1"/>
  <c r="I606" i="1"/>
  <c r="H1954" i="1"/>
  <c r="J1954" i="1" s="1"/>
  <c r="I1953" i="1"/>
  <c r="H1106" i="1"/>
  <c r="J1105" i="1"/>
  <c r="I1105" i="1"/>
  <c r="D1955" i="1"/>
  <c r="F1955" i="1"/>
  <c r="C1956" i="1"/>
  <c r="F1107" i="1"/>
  <c r="C1108" i="1"/>
  <c r="D1107" i="1"/>
  <c r="I1954" i="1" l="1"/>
  <c r="H1955" i="1"/>
  <c r="J1955" i="1" s="1"/>
  <c r="H1107" i="1"/>
  <c r="I1107" i="1" s="1"/>
  <c r="J1106" i="1"/>
  <c r="H608" i="1"/>
  <c r="J607" i="1"/>
  <c r="I607" i="1"/>
  <c r="I1106" i="1"/>
  <c r="F1956" i="1"/>
  <c r="C1957" i="1"/>
  <c r="D1956" i="1"/>
  <c r="F1108" i="1"/>
  <c r="C1109" i="1"/>
  <c r="D1108" i="1"/>
  <c r="I1955" i="1" l="1"/>
  <c r="H1956" i="1"/>
  <c r="J1956" i="1" s="1"/>
  <c r="H609" i="1"/>
  <c r="J608" i="1"/>
  <c r="I608" i="1"/>
  <c r="H1108" i="1"/>
  <c r="J1107" i="1"/>
  <c r="F1957" i="1"/>
  <c r="C1958" i="1"/>
  <c r="D1957" i="1"/>
  <c r="F1109" i="1"/>
  <c r="D1109" i="1"/>
  <c r="C1110" i="1"/>
  <c r="H1109" i="1" l="1"/>
  <c r="J1108" i="1"/>
  <c r="H610" i="1"/>
  <c r="J609" i="1"/>
  <c r="I609" i="1"/>
  <c r="I1956" i="1"/>
  <c r="I1109" i="1"/>
  <c r="H1957" i="1"/>
  <c r="J1957" i="1" s="1"/>
  <c r="I1108" i="1"/>
  <c r="F1958" i="1"/>
  <c r="C1959" i="1"/>
  <c r="D1958" i="1"/>
  <c r="F1110" i="1"/>
  <c r="D1110" i="1"/>
  <c r="C1111" i="1"/>
  <c r="H611" i="1" l="1"/>
  <c r="J610" i="1"/>
  <c r="I610" i="1"/>
  <c r="I1957" i="1"/>
  <c r="H1958" i="1"/>
  <c r="J1958" i="1" s="1"/>
  <c r="H1110" i="1"/>
  <c r="J1109" i="1"/>
  <c r="F1959" i="1"/>
  <c r="D1959" i="1"/>
  <c r="C1960" i="1"/>
  <c r="F1111" i="1"/>
  <c r="C1112" i="1"/>
  <c r="D1111" i="1"/>
  <c r="H1111" i="1" l="1"/>
  <c r="J1110" i="1"/>
  <c r="H612" i="1"/>
  <c r="J611" i="1"/>
  <c r="I611" i="1"/>
  <c r="I1110" i="1"/>
  <c r="I1111" i="1"/>
  <c r="I1958" i="1"/>
  <c r="H1959" i="1"/>
  <c r="J1959" i="1" s="1"/>
  <c r="F1112" i="1"/>
  <c r="D1112" i="1"/>
  <c r="C1113" i="1"/>
  <c r="F1960" i="1"/>
  <c r="C1961" i="1"/>
  <c r="D1960" i="1"/>
  <c r="I1959" i="1" l="1"/>
  <c r="H1960" i="1"/>
  <c r="J1960" i="1" s="1"/>
  <c r="H613" i="1"/>
  <c r="J612" i="1"/>
  <c r="I612" i="1"/>
  <c r="H1112" i="1"/>
  <c r="I1112" i="1" s="1"/>
  <c r="J1111" i="1"/>
  <c r="F1113" i="1"/>
  <c r="C1114" i="1"/>
  <c r="D1113" i="1"/>
  <c r="F1961" i="1"/>
  <c r="D1961" i="1"/>
  <c r="C1962" i="1"/>
  <c r="H614" i="1" l="1"/>
  <c r="J613" i="1"/>
  <c r="I613" i="1"/>
  <c r="H1961" i="1"/>
  <c r="J1961" i="1" s="1"/>
  <c r="I1960" i="1"/>
  <c r="H1113" i="1"/>
  <c r="J1112" i="1"/>
  <c r="F1114" i="1"/>
  <c r="C1115" i="1"/>
  <c r="D1114" i="1"/>
  <c r="F1962" i="1"/>
  <c r="D1962" i="1"/>
  <c r="C1963" i="1"/>
  <c r="I1961" i="1" l="1"/>
  <c r="H1962" i="1"/>
  <c r="J1962" i="1" s="1"/>
  <c r="H1114" i="1"/>
  <c r="J1113" i="1"/>
  <c r="I1113" i="1"/>
  <c r="H615" i="1"/>
  <c r="J614" i="1"/>
  <c r="I614" i="1"/>
  <c r="F1115" i="1"/>
  <c r="C1116" i="1"/>
  <c r="D1115" i="1"/>
  <c r="F1963" i="1"/>
  <c r="D1963" i="1"/>
  <c r="C1964" i="1"/>
  <c r="H1963" i="1" l="1"/>
  <c r="J1963" i="1" s="1"/>
  <c r="H1115" i="1"/>
  <c r="J1114" i="1"/>
  <c r="I1962" i="1"/>
  <c r="I1115" i="1"/>
  <c r="H616" i="1"/>
  <c r="J615" i="1"/>
  <c r="I615" i="1"/>
  <c r="I1114" i="1"/>
  <c r="F1116" i="1"/>
  <c r="D1116" i="1"/>
  <c r="C1117" i="1"/>
  <c r="F1964" i="1"/>
  <c r="D1964" i="1"/>
  <c r="C1965" i="1"/>
  <c r="H1116" i="1" l="1"/>
  <c r="J1115" i="1"/>
  <c r="I1963" i="1"/>
  <c r="H1964" i="1"/>
  <c r="J1964" i="1" s="1"/>
  <c r="H617" i="1"/>
  <c r="J616" i="1"/>
  <c r="I616" i="1"/>
  <c r="F1117" i="1"/>
  <c r="D1117" i="1"/>
  <c r="C1118" i="1"/>
  <c r="F1965" i="1"/>
  <c r="C1966" i="1"/>
  <c r="D1965" i="1"/>
  <c r="I1964" i="1" l="1"/>
  <c r="H1965" i="1"/>
  <c r="J1965" i="1" s="1"/>
  <c r="H618" i="1"/>
  <c r="J617" i="1"/>
  <c r="I617" i="1"/>
  <c r="H1117" i="1"/>
  <c r="J1116" i="1"/>
  <c r="I1116" i="1"/>
  <c r="F1118" i="1"/>
  <c r="D1118" i="1"/>
  <c r="C1119" i="1"/>
  <c r="F1966" i="1"/>
  <c r="D1966" i="1"/>
  <c r="C1967" i="1"/>
  <c r="H1966" i="1" l="1"/>
  <c r="J1966" i="1" s="1"/>
  <c r="H619" i="1"/>
  <c r="J618" i="1"/>
  <c r="I618" i="1"/>
  <c r="I1965" i="1"/>
  <c r="H1118" i="1"/>
  <c r="I1118" i="1" s="1"/>
  <c r="J1117" i="1"/>
  <c r="I1117" i="1"/>
  <c r="F1119" i="1"/>
  <c r="D1119" i="1"/>
  <c r="C1120" i="1"/>
  <c r="F1967" i="1"/>
  <c r="C1968" i="1"/>
  <c r="D1967" i="1"/>
  <c r="H1119" i="1" l="1"/>
  <c r="J1118" i="1"/>
  <c r="H1967" i="1"/>
  <c r="J1967" i="1" s="1"/>
  <c r="I1119" i="1"/>
  <c r="H620" i="1"/>
  <c r="J619" i="1"/>
  <c r="I619" i="1"/>
  <c r="I1966" i="1"/>
  <c r="F1968" i="1"/>
  <c r="C1969" i="1"/>
  <c r="D1968" i="1"/>
  <c r="F1120" i="1"/>
  <c r="C1121" i="1"/>
  <c r="D1120" i="1"/>
  <c r="H621" i="1" l="1"/>
  <c r="J620" i="1"/>
  <c r="I620" i="1"/>
  <c r="H1968" i="1"/>
  <c r="J1968" i="1" s="1"/>
  <c r="I1967" i="1"/>
  <c r="H1120" i="1"/>
  <c r="I1120" i="1" s="1"/>
  <c r="J1119" i="1"/>
  <c r="F1121" i="1"/>
  <c r="D1121" i="1"/>
  <c r="C1122" i="1"/>
  <c r="F1969" i="1"/>
  <c r="D1969" i="1"/>
  <c r="C1970" i="1"/>
  <c r="I1968" i="1" l="1"/>
  <c r="H1969" i="1"/>
  <c r="J1969" i="1" s="1"/>
  <c r="H1121" i="1"/>
  <c r="J1120" i="1"/>
  <c r="H622" i="1"/>
  <c r="J621" i="1"/>
  <c r="I621" i="1"/>
  <c r="F1122" i="1"/>
  <c r="C1123" i="1"/>
  <c r="D1122" i="1"/>
  <c r="F1970" i="1"/>
  <c r="C1971" i="1"/>
  <c r="D1970" i="1"/>
  <c r="H623" i="1" l="1"/>
  <c r="J622" i="1"/>
  <c r="I622" i="1"/>
  <c r="H1122" i="1"/>
  <c r="J1121" i="1"/>
  <c r="I1121" i="1"/>
  <c r="H1970" i="1"/>
  <c r="J1970" i="1" s="1"/>
  <c r="I1969" i="1"/>
  <c r="F1971" i="1"/>
  <c r="C1972" i="1"/>
  <c r="D1971" i="1"/>
  <c r="F1123" i="1"/>
  <c r="C1124" i="1"/>
  <c r="D1123" i="1"/>
  <c r="I1970" i="1" l="1"/>
  <c r="H1971" i="1"/>
  <c r="J1971" i="1" s="1"/>
  <c r="H1123" i="1"/>
  <c r="I1123" i="1" s="1"/>
  <c r="J1122" i="1"/>
  <c r="I1122" i="1"/>
  <c r="H624" i="1"/>
  <c r="J623" i="1"/>
  <c r="I623" i="1"/>
  <c r="F1972" i="1"/>
  <c r="C1973" i="1"/>
  <c r="D1972" i="1"/>
  <c r="F1124" i="1"/>
  <c r="C1125" i="1"/>
  <c r="D1124" i="1"/>
  <c r="H1124" i="1" l="1"/>
  <c r="J1123" i="1"/>
  <c r="H1972" i="1"/>
  <c r="J1972" i="1" s="1"/>
  <c r="H625" i="1"/>
  <c r="J624" i="1"/>
  <c r="I624" i="1"/>
  <c r="I1971" i="1"/>
  <c r="I1124" i="1"/>
  <c r="F1125" i="1"/>
  <c r="D1125" i="1"/>
  <c r="C1126" i="1"/>
  <c r="F1973" i="1"/>
  <c r="C1974" i="1"/>
  <c r="D1973" i="1"/>
  <c r="H1973" i="1" l="1"/>
  <c r="J1973" i="1" s="1"/>
  <c r="I1972" i="1"/>
  <c r="H1125" i="1"/>
  <c r="I1125" i="1" s="1"/>
  <c r="J1124" i="1"/>
  <c r="H626" i="1"/>
  <c r="J625" i="1"/>
  <c r="I625" i="1"/>
  <c r="F1974" i="1"/>
  <c r="C1975" i="1"/>
  <c r="D1974" i="1"/>
  <c r="F1126" i="1"/>
  <c r="C1127" i="1"/>
  <c r="D1126" i="1"/>
  <c r="H1974" i="1" l="1"/>
  <c r="J1974" i="1" s="1"/>
  <c r="H627" i="1"/>
  <c r="J626" i="1"/>
  <c r="I626" i="1"/>
  <c r="I1973" i="1"/>
  <c r="H1126" i="1"/>
  <c r="I1126" i="1" s="1"/>
  <c r="J1125" i="1"/>
  <c r="F1127" i="1"/>
  <c r="C1128" i="1"/>
  <c r="D1127" i="1"/>
  <c r="F1975" i="1"/>
  <c r="C1976" i="1"/>
  <c r="D1975" i="1"/>
  <c r="I1974" i="1" l="1"/>
  <c r="H1975" i="1"/>
  <c r="J1975" i="1" s="1"/>
  <c r="H1127" i="1"/>
  <c r="I1127" i="1" s="1"/>
  <c r="J1126" i="1"/>
  <c r="H628" i="1"/>
  <c r="J627" i="1"/>
  <c r="I627" i="1"/>
  <c r="F1128" i="1"/>
  <c r="C1129" i="1"/>
  <c r="D1128" i="1"/>
  <c r="F1976" i="1"/>
  <c r="C1977" i="1"/>
  <c r="D1976" i="1"/>
  <c r="H1128" i="1" l="1"/>
  <c r="J1127" i="1"/>
  <c r="I1975" i="1"/>
  <c r="H629" i="1"/>
  <c r="J628" i="1"/>
  <c r="I628" i="1"/>
  <c r="H1976" i="1"/>
  <c r="J1976" i="1" s="1"/>
  <c r="I1128" i="1"/>
  <c r="F1977" i="1"/>
  <c r="C1978" i="1"/>
  <c r="D1977" i="1"/>
  <c r="F1129" i="1"/>
  <c r="C1130" i="1"/>
  <c r="D1129" i="1"/>
  <c r="H1977" i="1" l="1"/>
  <c r="J1977" i="1" s="1"/>
  <c r="H630" i="1"/>
  <c r="J629" i="1"/>
  <c r="I629" i="1"/>
  <c r="H1129" i="1"/>
  <c r="I1129" i="1" s="1"/>
  <c r="J1128" i="1"/>
  <c r="I1976" i="1"/>
  <c r="F1978" i="1"/>
  <c r="C1979" i="1"/>
  <c r="D1978" i="1"/>
  <c r="F1130" i="1"/>
  <c r="C1131" i="1"/>
  <c r="D1130" i="1"/>
  <c r="H1978" i="1" l="1"/>
  <c r="J1978" i="1" s="1"/>
  <c r="H631" i="1"/>
  <c r="J630" i="1"/>
  <c r="I630" i="1"/>
  <c r="I1977" i="1"/>
  <c r="H1130" i="1"/>
  <c r="J1129" i="1"/>
  <c r="F1979" i="1"/>
  <c r="C1980" i="1"/>
  <c r="D1979" i="1"/>
  <c r="F1131" i="1"/>
  <c r="C1132" i="1"/>
  <c r="D1131" i="1"/>
  <c r="H1131" i="1" l="1"/>
  <c r="I1131" i="1" s="1"/>
  <c r="J1130" i="1"/>
  <c r="H632" i="1"/>
  <c r="J631" i="1"/>
  <c r="I631" i="1"/>
  <c r="H1979" i="1"/>
  <c r="J1979" i="1" s="1"/>
  <c r="I1130" i="1"/>
  <c r="I1978" i="1"/>
  <c r="F1980" i="1"/>
  <c r="C1981" i="1"/>
  <c r="D1980" i="1"/>
  <c r="F1132" i="1"/>
  <c r="D1132" i="1"/>
  <c r="C1133" i="1"/>
  <c r="I1979" i="1" l="1"/>
  <c r="H633" i="1"/>
  <c r="J632" i="1"/>
  <c r="I632" i="1"/>
  <c r="H1980" i="1"/>
  <c r="J1980" i="1" s="1"/>
  <c r="H1132" i="1"/>
  <c r="J1131" i="1"/>
  <c r="F1981" i="1"/>
  <c r="C1982" i="1"/>
  <c r="D1981" i="1"/>
  <c r="F1133" i="1"/>
  <c r="C1134" i="1"/>
  <c r="D1133" i="1"/>
  <c r="I1980" i="1" l="1"/>
  <c r="H1981" i="1"/>
  <c r="J1981" i="1" s="1"/>
  <c r="H1133" i="1"/>
  <c r="J1132" i="1"/>
  <c r="H634" i="1"/>
  <c r="J633" i="1"/>
  <c r="I633" i="1"/>
  <c r="I1132" i="1"/>
  <c r="F1134" i="1"/>
  <c r="C1135" i="1"/>
  <c r="D1134" i="1"/>
  <c r="F1982" i="1"/>
  <c r="D1982" i="1"/>
  <c r="C1983" i="1"/>
  <c r="I1981" i="1" l="1"/>
  <c r="H635" i="1"/>
  <c r="J634" i="1"/>
  <c r="I634" i="1"/>
  <c r="H1982" i="1"/>
  <c r="J1982" i="1" s="1"/>
  <c r="H1134" i="1"/>
  <c r="J1133" i="1"/>
  <c r="I1133" i="1"/>
  <c r="F1983" i="1"/>
  <c r="C1984" i="1"/>
  <c r="D1983" i="1"/>
  <c r="F1135" i="1"/>
  <c r="C1136" i="1"/>
  <c r="D1135" i="1"/>
  <c r="I1982" i="1" l="1"/>
  <c r="H636" i="1"/>
  <c r="J635" i="1"/>
  <c r="I635" i="1"/>
  <c r="H1983" i="1"/>
  <c r="J1983" i="1" s="1"/>
  <c r="H1135" i="1"/>
  <c r="J1134" i="1"/>
  <c r="I1134" i="1"/>
  <c r="F1136" i="1"/>
  <c r="C1137" i="1"/>
  <c r="D1136" i="1"/>
  <c r="F1984" i="1"/>
  <c r="C1985" i="1"/>
  <c r="D1984" i="1"/>
  <c r="I1983" i="1" l="1"/>
  <c r="H1136" i="1"/>
  <c r="J1135" i="1"/>
  <c r="H1984" i="1"/>
  <c r="J1984" i="1" s="1"/>
  <c r="I1135" i="1"/>
  <c r="H637" i="1"/>
  <c r="J636" i="1"/>
  <c r="I636" i="1"/>
  <c r="F1137" i="1"/>
  <c r="C1138" i="1"/>
  <c r="D1137" i="1"/>
  <c r="F1985" i="1"/>
  <c r="C1986" i="1"/>
  <c r="D1985" i="1"/>
  <c r="I1984" i="1" l="1"/>
  <c r="H1985" i="1"/>
  <c r="J1985" i="1" s="1"/>
  <c r="H638" i="1"/>
  <c r="J637" i="1"/>
  <c r="I637" i="1"/>
  <c r="H1137" i="1"/>
  <c r="I1137" i="1" s="1"/>
  <c r="J1136" i="1"/>
  <c r="I1136" i="1"/>
  <c r="F1138" i="1"/>
  <c r="C1139" i="1"/>
  <c r="D1138" i="1"/>
  <c r="F1986" i="1"/>
  <c r="C1987" i="1"/>
  <c r="D1986" i="1"/>
  <c r="H639" i="1" l="1"/>
  <c r="J638" i="1"/>
  <c r="I638" i="1"/>
  <c r="I1985" i="1"/>
  <c r="H1138" i="1"/>
  <c r="I1138" i="1" s="1"/>
  <c r="J1137" i="1"/>
  <c r="H1986" i="1"/>
  <c r="J1986" i="1" s="1"/>
  <c r="F1987" i="1"/>
  <c r="C1988" i="1"/>
  <c r="D1987" i="1"/>
  <c r="F1139" i="1"/>
  <c r="C1140" i="1"/>
  <c r="D1139" i="1"/>
  <c r="I1986" i="1" l="1"/>
  <c r="H1987" i="1"/>
  <c r="J1987" i="1" s="1"/>
  <c r="H1139" i="1"/>
  <c r="I1139" i="1" s="1"/>
  <c r="J1138" i="1"/>
  <c r="H640" i="1"/>
  <c r="J639" i="1"/>
  <c r="I639" i="1"/>
  <c r="F1140" i="1"/>
  <c r="C1141" i="1"/>
  <c r="D1140" i="1"/>
  <c r="F1988" i="1"/>
  <c r="C1989" i="1"/>
  <c r="D1988" i="1"/>
  <c r="H641" i="1" l="1"/>
  <c r="J640" i="1"/>
  <c r="I640" i="1"/>
  <c r="H1988" i="1"/>
  <c r="J1988" i="1" s="1"/>
  <c r="H1140" i="1"/>
  <c r="J1139" i="1"/>
  <c r="I1987" i="1"/>
  <c r="F1989" i="1"/>
  <c r="C1990" i="1"/>
  <c r="D1989" i="1"/>
  <c r="F1141" i="1"/>
  <c r="C1142" i="1"/>
  <c r="D1141" i="1"/>
  <c r="I1988" i="1" l="1"/>
  <c r="H1989" i="1"/>
  <c r="J1989" i="1" s="1"/>
  <c r="H642" i="1"/>
  <c r="J641" i="1"/>
  <c r="I641" i="1"/>
  <c r="H1141" i="1"/>
  <c r="I1141" i="1" s="1"/>
  <c r="J1140" i="1"/>
  <c r="I1140" i="1"/>
  <c r="F1142" i="1"/>
  <c r="D1142" i="1"/>
  <c r="C1143" i="1"/>
  <c r="F1990" i="1"/>
  <c r="C1991" i="1"/>
  <c r="D1990" i="1"/>
  <c r="H1990" i="1" l="1"/>
  <c r="J1990" i="1" s="1"/>
  <c r="H643" i="1"/>
  <c r="J642" i="1"/>
  <c r="I642" i="1"/>
  <c r="I1989" i="1"/>
  <c r="H1142" i="1"/>
  <c r="I1142" i="1" s="1"/>
  <c r="J1141" i="1"/>
  <c r="F1143" i="1"/>
  <c r="C1144" i="1"/>
  <c r="D1143" i="1"/>
  <c r="F1991" i="1"/>
  <c r="C1992" i="1"/>
  <c r="D1991" i="1"/>
  <c r="I1990" i="1" l="1"/>
  <c r="H1991" i="1"/>
  <c r="J1991" i="1" s="1"/>
  <c r="H644" i="1"/>
  <c r="J643" i="1"/>
  <c r="I643" i="1"/>
  <c r="H1143" i="1"/>
  <c r="I1143" i="1" s="1"/>
  <c r="J1142" i="1"/>
  <c r="F1144" i="1"/>
  <c r="C1145" i="1"/>
  <c r="D1144" i="1"/>
  <c r="F1992" i="1"/>
  <c r="C1993" i="1"/>
  <c r="D1992" i="1"/>
  <c r="I1991" i="1" l="1"/>
  <c r="H1992" i="1"/>
  <c r="J1992" i="1" s="1"/>
  <c r="H1144" i="1"/>
  <c r="J1143" i="1"/>
  <c r="H645" i="1"/>
  <c r="J644" i="1"/>
  <c r="I644" i="1"/>
  <c r="F1993" i="1"/>
  <c r="C1994" i="1"/>
  <c r="D1993" i="1"/>
  <c r="F1145" i="1"/>
  <c r="D1145" i="1"/>
  <c r="C1146" i="1"/>
  <c r="H1145" i="1" l="1"/>
  <c r="J1144" i="1"/>
  <c r="I1992" i="1"/>
  <c r="I1144" i="1"/>
  <c r="H646" i="1"/>
  <c r="J645" i="1"/>
  <c r="I645" i="1"/>
  <c r="I1145" i="1"/>
  <c r="H1993" i="1"/>
  <c r="J1993" i="1" s="1"/>
  <c r="F1146" i="1"/>
  <c r="C1147" i="1"/>
  <c r="D1146" i="1"/>
  <c r="F1994" i="1"/>
  <c r="D1994" i="1"/>
  <c r="C1995" i="1"/>
  <c r="I1993" i="1" l="1"/>
  <c r="H647" i="1"/>
  <c r="J646" i="1"/>
  <c r="I646" i="1"/>
  <c r="H1146" i="1"/>
  <c r="I1146" i="1" s="1"/>
  <c r="J1145" i="1"/>
  <c r="H1994" i="1"/>
  <c r="J1994" i="1" s="1"/>
  <c r="F1147" i="1"/>
  <c r="D1147" i="1"/>
  <c r="C1148" i="1"/>
  <c r="F1995" i="1"/>
  <c r="C1996" i="1"/>
  <c r="D1995" i="1"/>
  <c r="H1147" i="1" l="1"/>
  <c r="I1147" i="1" s="1"/>
  <c r="J1146" i="1"/>
  <c r="H1995" i="1"/>
  <c r="J1995" i="1" s="1"/>
  <c r="I1994" i="1"/>
  <c r="H648" i="1"/>
  <c r="J647" i="1"/>
  <c r="I647" i="1"/>
  <c r="F1996" i="1"/>
  <c r="D1996" i="1"/>
  <c r="C1997" i="1"/>
  <c r="F1148" i="1"/>
  <c r="C1149" i="1"/>
  <c r="D1148" i="1"/>
  <c r="H1996" i="1" l="1"/>
  <c r="J1996" i="1" s="1"/>
  <c r="I1995" i="1"/>
  <c r="H649" i="1"/>
  <c r="J648" i="1"/>
  <c r="I648" i="1"/>
  <c r="H1148" i="1"/>
  <c r="I1148" i="1" s="1"/>
  <c r="J1147" i="1"/>
  <c r="F1149" i="1"/>
  <c r="C1150" i="1"/>
  <c r="D1149" i="1"/>
  <c r="F1997" i="1"/>
  <c r="C1998" i="1"/>
  <c r="D1997" i="1"/>
  <c r="H1997" i="1" l="1"/>
  <c r="J1997" i="1" s="1"/>
  <c r="H650" i="1"/>
  <c r="J649" i="1"/>
  <c r="I649" i="1"/>
  <c r="I1996" i="1"/>
  <c r="H1149" i="1"/>
  <c r="I1149" i="1" s="1"/>
  <c r="J1148" i="1"/>
  <c r="F1150" i="1"/>
  <c r="C1151" i="1"/>
  <c r="D1150" i="1"/>
  <c r="F1998" i="1"/>
  <c r="C1999" i="1"/>
  <c r="D1998" i="1"/>
  <c r="H651" i="1" l="1"/>
  <c r="J650" i="1"/>
  <c r="I650" i="1"/>
  <c r="I1997" i="1"/>
  <c r="H1998" i="1"/>
  <c r="J1998" i="1" s="1"/>
  <c r="H1150" i="1"/>
  <c r="I1150" i="1" s="1"/>
  <c r="J1149" i="1"/>
  <c r="F1999" i="1"/>
  <c r="D1999" i="1"/>
  <c r="C2000" i="1"/>
  <c r="F1151" i="1"/>
  <c r="C1152" i="1"/>
  <c r="D1151" i="1"/>
  <c r="H1151" i="1" l="1"/>
  <c r="J1150" i="1"/>
  <c r="H1999" i="1"/>
  <c r="J1999" i="1" s="1"/>
  <c r="I1998" i="1"/>
  <c r="H652" i="1"/>
  <c r="J651" i="1"/>
  <c r="I651" i="1"/>
  <c r="F2000" i="1"/>
  <c r="C2001" i="1"/>
  <c r="D2000" i="1"/>
  <c r="F1152" i="1"/>
  <c r="C1153" i="1"/>
  <c r="D1152" i="1"/>
  <c r="H2000" i="1" l="1"/>
  <c r="J2000" i="1" s="1"/>
  <c r="I1999" i="1"/>
  <c r="H1152" i="1"/>
  <c r="I1152" i="1" s="1"/>
  <c r="J1151" i="1"/>
  <c r="H653" i="1"/>
  <c r="J652" i="1"/>
  <c r="I652" i="1"/>
  <c r="I1151" i="1"/>
  <c r="F1153" i="1"/>
  <c r="D1153" i="1"/>
  <c r="C1154" i="1"/>
  <c r="F2001" i="1"/>
  <c r="C2002" i="1"/>
  <c r="D2001" i="1"/>
  <c r="H654" i="1" l="1"/>
  <c r="J653" i="1"/>
  <c r="I653" i="1"/>
  <c r="I2000" i="1"/>
  <c r="H2001" i="1"/>
  <c r="J2001" i="1" s="1"/>
  <c r="H1153" i="1"/>
  <c r="I1153" i="1" s="1"/>
  <c r="J1152" i="1"/>
  <c r="F2002" i="1"/>
  <c r="C2003" i="1"/>
  <c r="D2002" i="1"/>
  <c r="F1154" i="1"/>
  <c r="C1155" i="1"/>
  <c r="D1154" i="1"/>
  <c r="H655" i="1" l="1"/>
  <c r="J654" i="1"/>
  <c r="I654" i="1"/>
  <c r="I2001" i="1"/>
  <c r="H1154" i="1"/>
  <c r="J1153" i="1"/>
  <c r="H2002" i="1"/>
  <c r="J2002" i="1" s="1"/>
  <c r="D1155" i="1"/>
  <c r="F1155" i="1"/>
  <c r="C1156" i="1"/>
  <c r="F2003" i="1"/>
  <c r="C2004" i="1"/>
  <c r="D2003" i="1"/>
  <c r="H1155" i="1" l="1"/>
  <c r="I1155" i="1" s="1"/>
  <c r="J1154" i="1"/>
  <c r="I1154" i="1"/>
  <c r="H2003" i="1"/>
  <c r="J2003" i="1" s="1"/>
  <c r="I2002" i="1"/>
  <c r="H656" i="1"/>
  <c r="J655" i="1"/>
  <c r="I655" i="1"/>
  <c r="F2004" i="1"/>
  <c r="C2005" i="1"/>
  <c r="D2004" i="1"/>
  <c r="D1156" i="1"/>
  <c r="F1156" i="1"/>
  <c r="C1157" i="1"/>
  <c r="H657" i="1" l="1"/>
  <c r="J656" i="1"/>
  <c r="I656" i="1"/>
  <c r="H2004" i="1"/>
  <c r="J2004" i="1" s="1"/>
  <c r="I2003" i="1"/>
  <c r="H1156" i="1"/>
  <c r="I1156" i="1" s="1"/>
  <c r="J1155" i="1"/>
  <c r="C2006" i="1"/>
  <c r="F2006" i="1" s="1"/>
  <c r="D2005" i="1"/>
  <c r="F2005" i="1"/>
  <c r="D1157" i="1"/>
  <c r="F1157" i="1"/>
  <c r="C1158" i="1"/>
  <c r="H2005" i="1" l="1"/>
  <c r="J2005" i="1" s="1"/>
  <c r="H658" i="1"/>
  <c r="J657" i="1"/>
  <c r="I657" i="1"/>
  <c r="I2004" i="1"/>
  <c r="H1157" i="1"/>
  <c r="I1157" i="1" s="1"/>
  <c r="J1156" i="1"/>
  <c r="C2007" i="1"/>
  <c r="F2007" i="1" s="1"/>
  <c r="D2006" i="1"/>
  <c r="F1158" i="1"/>
  <c r="C1159" i="1"/>
  <c r="D1158" i="1"/>
  <c r="C2008" i="1" l="1"/>
  <c r="D2007" i="1"/>
  <c r="H659" i="1"/>
  <c r="J658" i="1"/>
  <c r="I658" i="1"/>
  <c r="H2006" i="1"/>
  <c r="H2007" i="1" s="1"/>
  <c r="H1158" i="1"/>
  <c r="I1158" i="1" s="1"/>
  <c r="J1157" i="1"/>
  <c r="I2005" i="1"/>
  <c r="F2008" i="1"/>
  <c r="D2008" i="1"/>
  <c r="C2009" i="1"/>
  <c r="F1159" i="1"/>
  <c r="C1160" i="1"/>
  <c r="D1159" i="1"/>
  <c r="J2007" i="1" l="1"/>
  <c r="I2007" i="1"/>
  <c r="H2008" i="1"/>
  <c r="J2008" i="1" s="1"/>
  <c r="J2006" i="1"/>
  <c r="I2006" i="1"/>
  <c r="H1159" i="1"/>
  <c r="J1158" i="1"/>
  <c r="H660" i="1"/>
  <c r="J659" i="1"/>
  <c r="I659" i="1"/>
  <c r="F2009" i="1"/>
  <c r="D2009" i="1"/>
  <c r="C2010" i="1"/>
  <c r="F1160" i="1"/>
  <c r="C1161" i="1"/>
  <c r="D1160" i="1"/>
  <c r="H1160" i="1" l="1"/>
  <c r="J1159" i="1"/>
  <c r="I1160" i="1"/>
  <c r="I1159" i="1"/>
  <c r="H661" i="1"/>
  <c r="J660" i="1"/>
  <c r="I660" i="1"/>
  <c r="H2009" i="1"/>
  <c r="J2009" i="1" s="1"/>
  <c r="I2008" i="1"/>
  <c r="F2010" i="1"/>
  <c r="C2011" i="1"/>
  <c r="D2010" i="1"/>
  <c r="F1161" i="1"/>
  <c r="D1161" i="1"/>
  <c r="C1162" i="1"/>
  <c r="I2009" i="1" l="1"/>
  <c r="H662" i="1"/>
  <c r="J661" i="1"/>
  <c r="I661" i="1"/>
  <c r="H2010" i="1"/>
  <c r="J2010" i="1" s="1"/>
  <c r="H1161" i="1"/>
  <c r="J1160" i="1"/>
  <c r="F2011" i="1"/>
  <c r="C2012" i="1"/>
  <c r="D2011" i="1"/>
  <c r="F1162" i="1"/>
  <c r="C1163" i="1"/>
  <c r="D1162" i="1"/>
  <c r="H2011" i="1" l="1"/>
  <c r="J2011" i="1" s="1"/>
  <c r="H1162" i="1"/>
  <c r="J1161" i="1"/>
  <c r="I1161" i="1"/>
  <c r="I2010" i="1"/>
  <c r="H663" i="1"/>
  <c r="J662" i="1"/>
  <c r="I662" i="1"/>
  <c r="F2012" i="1"/>
  <c r="D2012" i="1"/>
  <c r="C2013" i="1"/>
  <c r="F1163" i="1"/>
  <c r="C1164" i="1"/>
  <c r="D1163" i="1"/>
  <c r="H664" i="1" l="1"/>
  <c r="J663" i="1"/>
  <c r="I663" i="1"/>
  <c r="H1163" i="1"/>
  <c r="I1163" i="1" s="1"/>
  <c r="J1162" i="1"/>
  <c r="I2011" i="1"/>
  <c r="H2012" i="1"/>
  <c r="J2012" i="1" s="1"/>
  <c r="I1162" i="1"/>
  <c r="F2013" i="1"/>
  <c r="C2014" i="1"/>
  <c r="D2013" i="1"/>
  <c r="F1164" i="1"/>
  <c r="C1165" i="1"/>
  <c r="D1164" i="1"/>
  <c r="H1164" i="1" l="1"/>
  <c r="I1164" i="1" s="1"/>
  <c r="J1163" i="1"/>
  <c r="I2012" i="1"/>
  <c r="H2013" i="1"/>
  <c r="J2013" i="1" s="1"/>
  <c r="H665" i="1"/>
  <c r="J664" i="1"/>
  <c r="I664" i="1"/>
  <c r="F2014" i="1"/>
  <c r="C2015" i="1"/>
  <c r="D2014" i="1"/>
  <c r="F1165" i="1"/>
  <c r="C1166" i="1"/>
  <c r="D1165" i="1"/>
  <c r="I2013" i="1" l="1"/>
  <c r="H666" i="1"/>
  <c r="J665" i="1"/>
  <c r="I665" i="1"/>
  <c r="H2014" i="1"/>
  <c r="J2014" i="1" s="1"/>
  <c r="H1165" i="1"/>
  <c r="I1165" i="1" s="1"/>
  <c r="J1164" i="1"/>
  <c r="F2015" i="1"/>
  <c r="C2016" i="1"/>
  <c r="D2015" i="1"/>
  <c r="F1166" i="1"/>
  <c r="D1166" i="1"/>
  <c r="C1167" i="1"/>
  <c r="I2014" i="1" l="1"/>
  <c r="H667" i="1"/>
  <c r="J666" i="1"/>
  <c r="I666" i="1"/>
  <c r="H2015" i="1"/>
  <c r="J2015" i="1" s="1"/>
  <c r="H1166" i="1"/>
  <c r="J1165" i="1"/>
  <c r="F2016" i="1"/>
  <c r="C2017" i="1"/>
  <c r="D2016" i="1"/>
  <c r="F1167" i="1"/>
  <c r="C1168" i="1"/>
  <c r="D1167" i="1"/>
  <c r="H668" i="1" l="1"/>
  <c r="J667" i="1"/>
  <c r="I667" i="1"/>
  <c r="H1167" i="1"/>
  <c r="I1167" i="1" s="1"/>
  <c r="J1166" i="1"/>
  <c r="I2015" i="1"/>
  <c r="I1166" i="1"/>
  <c r="H2016" i="1"/>
  <c r="J2016" i="1" s="1"/>
  <c r="F2017" i="1"/>
  <c r="D2017" i="1"/>
  <c r="C2018" i="1"/>
  <c r="F1168" i="1"/>
  <c r="C1169" i="1"/>
  <c r="D1168" i="1"/>
  <c r="H2017" i="1" l="1"/>
  <c r="J2017" i="1" s="1"/>
  <c r="H1168" i="1"/>
  <c r="J1167" i="1"/>
  <c r="I2016" i="1"/>
  <c r="I1168" i="1"/>
  <c r="H669" i="1"/>
  <c r="J668" i="1"/>
  <c r="I668" i="1"/>
  <c r="F2018" i="1"/>
  <c r="D2018" i="1"/>
  <c r="C2019" i="1"/>
  <c r="F1169" i="1"/>
  <c r="C1170" i="1"/>
  <c r="D1169" i="1"/>
  <c r="H2018" i="1" l="1"/>
  <c r="J2018" i="1" s="1"/>
  <c r="H1169" i="1"/>
  <c r="I1169" i="1" s="1"/>
  <c r="J1168" i="1"/>
  <c r="H670" i="1"/>
  <c r="J669" i="1"/>
  <c r="I669" i="1"/>
  <c r="I2017" i="1"/>
  <c r="F2019" i="1"/>
  <c r="D2019" i="1"/>
  <c r="C2020" i="1"/>
  <c r="F1170" i="1"/>
  <c r="C1171" i="1"/>
  <c r="D1170" i="1"/>
  <c r="I2018" i="1" l="1"/>
  <c r="H671" i="1"/>
  <c r="J670" i="1"/>
  <c r="I670" i="1"/>
  <c r="H2019" i="1"/>
  <c r="J2019" i="1" s="1"/>
  <c r="H1170" i="1"/>
  <c r="J1169" i="1"/>
  <c r="F2020" i="1"/>
  <c r="C2021" i="1"/>
  <c r="D2020" i="1"/>
  <c r="F1171" i="1"/>
  <c r="C1172" i="1"/>
  <c r="D1171" i="1"/>
  <c r="I2019" i="1" l="1"/>
  <c r="H2020" i="1"/>
  <c r="J2020" i="1" s="1"/>
  <c r="H1171" i="1"/>
  <c r="I1171" i="1" s="1"/>
  <c r="J1170" i="1"/>
  <c r="I1170" i="1"/>
  <c r="H672" i="1"/>
  <c r="J671" i="1"/>
  <c r="I671" i="1"/>
  <c r="F2021" i="1"/>
  <c r="C2022" i="1"/>
  <c r="D2021" i="1"/>
  <c r="F1172" i="1"/>
  <c r="C1173" i="1"/>
  <c r="D1172" i="1"/>
  <c r="H673" i="1" l="1"/>
  <c r="J672" i="1"/>
  <c r="I672" i="1"/>
  <c r="H2021" i="1"/>
  <c r="J2021" i="1" s="1"/>
  <c r="H1172" i="1"/>
  <c r="I1172" i="1" s="1"/>
  <c r="J1171" i="1"/>
  <c r="I2020" i="1"/>
  <c r="F2022" i="1"/>
  <c r="C2023" i="1"/>
  <c r="D2022" i="1"/>
  <c r="F1173" i="1"/>
  <c r="C1174" i="1"/>
  <c r="D1173" i="1"/>
  <c r="I2021" i="1" l="1"/>
  <c r="H2022" i="1"/>
  <c r="J2022" i="1" s="1"/>
  <c r="H674" i="1"/>
  <c r="J673" i="1"/>
  <c r="I673" i="1"/>
  <c r="H1173" i="1"/>
  <c r="J1172" i="1"/>
  <c r="F2023" i="1"/>
  <c r="C2024" i="1"/>
  <c r="D2023" i="1"/>
  <c r="F1174" i="1"/>
  <c r="C1175" i="1"/>
  <c r="D1174" i="1"/>
  <c r="H1174" i="1" l="1"/>
  <c r="I1174" i="1" s="1"/>
  <c r="J1173" i="1"/>
  <c r="H675" i="1"/>
  <c r="J674" i="1"/>
  <c r="I674" i="1"/>
  <c r="I2022" i="1"/>
  <c r="H2023" i="1"/>
  <c r="J2023" i="1" s="1"/>
  <c r="I1173" i="1"/>
  <c r="F2024" i="1"/>
  <c r="C2025" i="1"/>
  <c r="D2024" i="1"/>
  <c r="F1175" i="1"/>
  <c r="C1176" i="1"/>
  <c r="D1175" i="1"/>
  <c r="I2023" i="1" l="1"/>
  <c r="H2024" i="1"/>
  <c r="J2024" i="1" s="1"/>
  <c r="H676" i="1"/>
  <c r="J675" i="1"/>
  <c r="I675" i="1"/>
  <c r="H1175" i="1"/>
  <c r="J1174" i="1"/>
  <c r="F2025" i="1"/>
  <c r="D2025" i="1"/>
  <c r="C2026" i="1"/>
  <c r="F1176" i="1"/>
  <c r="C1177" i="1"/>
  <c r="D1176" i="1"/>
  <c r="I2024" i="1" l="1"/>
  <c r="H677" i="1"/>
  <c r="J676" i="1"/>
  <c r="I676" i="1"/>
  <c r="H2025" i="1"/>
  <c r="J2025" i="1" s="1"/>
  <c r="H1176" i="1"/>
  <c r="I1176" i="1" s="1"/>
  <c r="J1175" i="1"/>
  <c r="I1175" i="1"/>
  <c r="F2026" i="1"/>
  <c r="D2026" i="1"/>
  <c r="C2027" i="1"/>
  <c r="F1177" i="1"/>
  <c r="C1178" i="1"/>
  <c r="D1177" i="1"/>
  <c r="H1177" i="1" l="1"/>
  <c r="J1176" i="1"/>
  <c r="I2025" i="1"/>
  <c r="I1177" i="1"/>
  <c r="H2026" i="1"/>
  <c r="J2026" i="1" s="1"/>
  <c r="H678" i="1"/>
  <c r="J677" i="1"/>
  <c r="I677" i="1"/>
  <c r="F2027" i="1"/>
  <c r="D2027" i="1"/>
  <c r="C2028" i="1"/>
  <c r="F1178" i="1"/>
  <c r="C1179" i="1"/>
  <c r="D1178" i="1"/>
  <c r="I2026" i="1" l="1"/>
  <c r="H2027" i="1"/>
  <c r="J2027" i="1" s="1"/>
  <c r="H679" i="1"/>
  <c r="J678" i="1"/>
  <c r="I678" i="1"/>
  <c r="H1178" i="1"/>
  <c r="I1178" i="1" s="1"/>
  <c r="J1177" i="1"/>
  <c r="F2028" i="1"/>
  <c r="C2029" i="1"/>
  <c r="D2028" i="1"/>
  <c r="F1179" i="1"/>
  <c r="C1180" i="1"/>
  <c r="D1179" i="1"/>
  <c r="I2027" i="1" l="1"/>
  <c r="H2028" i="1"/>
  <c r="J2028" i="1" s="1"/>
  <c r="H1179" i="1"/>
  <c r="I1179" i="1" s="1"/>
  <c r="J1178" i="1"/>
  <c r="H680" i="1"/>
  <c r="J679" i="1"/>
  <c r="I679" i="1"/>
  <c r="F2029" i="1"/>
  <c r="C2030" i="1"/>
  <c r="D2029" i="1"/>
  <c r="F1180" i="1"/>
  <c r="C1181" i="1"/>
  <c r="D1180" i="1"/>
  <c r="H681" i="1" l="1"/>
  <c r="J680" i="1"/>
  <c r="I680" i="1"/>
  <c r="H1180" i="1"/>
  <c r="I1180" i="1" s="1"/>
  <c r="J1179" i="1"/>
  <c r="I2028" i="1"/>
  <c r="H2029" i="1"/>
  <c r="J2029" i="1" s="1"/>
  <c r="F2030" i="1"/>
  <c r="C2031" i="1"/>
  <c r="D2030" i="1"/>
  <c r="F1181" i="1"/>
  <c r="C1182" i="1"/>
  <c r="D1181" i="1"/>
  <c r="H682" i="1" l="1"/>
  <c r="J681" i="1"/>
  <c r="I681" i="1"/>
  <c r="H1181" i="1"/>
  <c r="J1180" i="1"/>
  <c r="H2030" i="1"/>
  <c r="J2030" i="1" s="1"/>
  <c r="I2029" i="1"/>
  <c r="F2031" i="1"/>
  <c r="C2032" i="1"/>
  <c r="D2031" i="1"/>
  <c r="F1182" i="1"/>
  <c r="C1183" i="1"/>
  <c r="D1182" i="1"/>
  <c r="I2030" i="1" l="1"/>
  <c r="H2031" i="1"/>
  <c r="J2031" i="1" s="1"/>
  <c r="H1182" i="1"/>
  <c r="I1182" i="1" s="1"/>
  <c r="J1181" i="1"/>
  <c r="H683" i="1"/>
  <c r="J682" i="1"/>
  <c r="I682" i="1"/>
  <c r="I1181" i="1"/>
  <c r="F2032" i="1"/>
  <c r="D2032" i="1"/>
  <c r="C2033" i="1"/>
  <c r="F1183" i="1"/>
  <c r="C1184" i="1"/>
  <c r="D1183" i="1"/>
  <c r="H2032" i="1" l="1"/>
  <c r="J2032" i="1" s="1"/>
  <c r="H684" i="1"/>
  <c r="J683" i="1"/>
  <c r="I683" i="1"/>
  <c r="H1183" i="1"/>
  <c r="I1183" i="1" s="1"/>
  <c r="J1182" i="1"/>
  <c r="I2031" i="1"/>
  <c r="F2033" i="1"/>
  <c r="C2034" i="1"/>
  <c r="D2033" i="1"/>
  <c r="F1184" i="1"/>
  <c r="C1185" i="1"/>
  <c r="D1184" i="1"/>
  <c r="H2033" i="1" l="1"/>
  <c r="J2033" i="1" s="1"/>
  <c r="H1184" i="1"/>
  <c r="J1183" i="1"/>
  <c r="H685" i="1"/>
  <c r="J684" i="1"/>
  <c r="I684" i="1"/>
  <c r="I2032" i="1"/>
  <c r="F2034" i="1"/>
  <c r="D2034" i="1"/>
  <c r="C2035" i="1"/>
  <c r="F1185" i="1"/>
  <c r="D1185" i="1"/>
  <c r="C1186" i="1"/>
  <c r="H686" i="1" l="1"/>
  <c r="J685" i="1"/>
  <c r="I685" i="1"/>
  <c r="H1185" i="1"/>
  <c r="J1184" i="1"/>
  <c r="H2034" i="1"/>
  <c r="J2034" i="1" s="1"/>
  <c r="I2033" i="1"/>
  <c r="I1184" i="1"/>
  <c r="F2035" i="1"/>
  <c r="C2036" i="1"/>
  <c r="D2035" i="1"/>
  <c r="F1186" i="1"/>
  <c r="C1187" i="1"/>
  <c r="D1186" i="1"/>
  <c r="H1186" i="1" l="1"/>
  <c r="J1185" i="1"/>
  <c r="I1185" i="1"/>
  <c r="I2034" i="1"/>
  <c r="I1186" i="1"/>
  <c r="H2035" i="1"/>
  <c r="J2035" i="1" s="1"/>
  <c r="H687" i="1"/>
  <c r="J686" i="1"/>
  <c r="I686" i="1"/>
  <c r="F2036" i="1"/>
  <c r="D2036" i="1"/>
  <c r="C2037" i="1"/>
  <c r="F1187" i="1"/>
  <c r="C1188" i="1"/>
  <c r="D1187" i="1"/>
  <c r="I2035" i="1" l="1"/>
  <c r="H688" i="1"/>
  <c r="J687" i="1"/>
  <c r="I687" i="1"/>
  <c r="H2036" i="1"/>
  <c r="J2036" i="1" s="1"/>
  <c r="H1187" i="1"/>
  <c r="I1187" i="1" s="1"/>
  <c r="J1186" i="1"/>
  <c r="F2037" i="1"/>
  <c r="C2038" i="1"/>
  <c r="D2037" i="1"/>
  <c r="F1188" i="1"/>
  <c r="C1189" i="1"/>
  <c r="D1188" i="1"/>
  <c r="H689" i="1" l="1"/>
  <c r="J688" i="1"/>
  <c r="I688" i="1"/>
  <c r="H2037" i="1"/>
  <c r="J2037" i="1" s="1"/>
  <c r="I2036" i="1"/>
  <c r="H1188" i="1"/>
  <c r="J1187" i="1"/>
  <c r="F2038" i="1"/>
  <c r="C2039" i="1"/>
  <c r="D2038" i="1"/>
  <c r="F1189" i="1"/>
  <c r="C1190" i="1"/>
  <c r="D1189" i="1"/>
  <c r="I2037" i="1" l="1"/>
  <c r="H1189" i="1"/>
  <c r="J1188" i="1"/>
  <c r="I1188" i="1"/>
  <c r="I1189" i="1"/>
  <c r="H2038" i="1"/>
  <c r="J2038" i="1" s="1"/>
  <c r="H690" i="1"/>
  <c r="J689" i="1"/>
  <c r="I689" i="1"/>
  <c r="F2039" i="1"/>
  <c r="C2040" i="1"/>
  <c r="D2039" i="1"/>
  <c r="F1190" i="1"/>
  <c r="C1191" i="1"/>
  <c r="D1190" i="1"/>
  <c r="H2039" i="1" l="1"/>
  <c r="J2039" i="1" s="1"/>
  <c r="H691" i="1"/>
  <c r="J690" i="1"/>
  <c r="I690" i="1"/>
  <c r="I2038" i="1"/>
  <c r="H1190" i="1"/>
  <c r="J1189" i="1"/>
  <c r="F2040" i="1"/>
  <c r="D2040" i="1"/>
  <c r="C2041" i="1"/>
  <c r="F1191" i="1"/>
  <c r="C1192" i="1"/>
  <c r="D1191" i="1"/>
  <c r="H1191" i="1" l="1"/>
  <c r="J1190" i="1"/>
  <c r="H2040" i="1"/>
  <c r="J2040" i="1" s="1"/>
  <c r="I1191" i="1"/>
  <c r="I1190" i="1"/>
  <c r="I2039" i="1"/>
  <c r="H692" i="1"/>
  <c r="J691" i="1"/>
  <c r="I691" i="1"/>
  <c r="F2041" i="1"/>
  <c r="C2042" i="1"/>
  <c r="D2041" i="1"/>
  <c r="F1192" i="1"/>
  <c r="C1193" i="1"/>
  <c r="D1192" i="1"/>
  <c r="H693" i="1" l="1"/>
  <c r="J692" i="1"/>
  <c r="I692" i="1"/>
  <c r="I2040" i="1"/>
  <c r="H2041" i="1"/>
  <c r="J2041" i="1" s="1"/>
  <c r="H1192" i="1"/>
  <c r="I1192" i="1" s="1"/>
  <c r="J1191" i="1"/>
  <c r="F2042" i="1"/>
  <c r="D2042" i="1"/>
  <c r="C2043" i="1"/>
  <c r="F1193" i="1"/>
  <c r="C1194" i="1"/>
  <c r="D1193" i="1"/>
  <c r="I2041" i="1" l="1"/>
  <c r="H2042" i="1"/>
  <c r="J2042" i="1" s="1"/>
  <c r="H1193" i="1"/>
  <c r="J1192" i="1"/>
  <c r="H694" i="1"/>
  <c r="J693" i="1"/>
  <c r="I693" i="1"/>
  <c r="F2043" i="1"/>
  <c r="C2044" i="1"/>
  <c r="D2043" i="1"/>
  <c r="F1194" i="1"/>
  <c r="D1194" i="1"/>
  <c r="C1195" i="1"/>
  <c r="H2043" i="1" l="1"/>
  <c r="J2043" i="1" s="1"/>
  <c r="H1194" i="1"/>
  <c r="J1193" i="1"/>
  <c r="H695" i="1"/>
  <c r="J694" i="1"/>
  <c r="I694" i="1"/>
  <c r="I2042" i="1"/>
  <c r="I1193" i="1"/>
  <c r="F2044" i="1"/>
  <c r="C2045" i="1"/>
  <c r="D2044" i="1"/>
  <c r="F1195" i="1"/>
  <c r="C1196" i="1"/>
  <c r="D1195" i="1"/>
  <c r="I2043" i="1" l="1"/>
  <c r="H696" i="1"/>
  <c r="J695" i="1"/>
  <c r="I695" i="1"/>
  <c r="H1195" i="1"/>
  <c r="J1194" i="1"/>
  <c r="H2044" i="1"/>
  <c r="J2044" i="1" s="1"/>
  <c r="I1194" i="1"/>
  <c r="F2045" i="1"/>
  <c r="C2046" i="1"/>
  <c r="D2045" i="1"/>
  <c r="F1196" i="1"/>
  <c r="C1197" i="1"/>
  <c r="D1196" i="1"/>
  <c r="H1196" i="1" l="1"/>
  <c r="J1195" i="1"/>
  <c r="H697" i="1"/>
  <c r="J696" i="1"/>
  <c r="I696" i="1"/>
  <c r="H2045" i="1"/>
  <c r="J2045" i="1" s="1"/>
  <c r="I2044" i="1"/>
  <c r="I1195" i="1"/>
  <c r="F2046" i="1"/>
  <c r="C2047" i="1"/>
  <c r="D2046" i="1"/>
  <c r="F1197" i="1"/>
  <c r="C1198" i="1"/>
  <c r="D1197" i="1"/>
  <c r="H1197" i="1" l="1"/>
  <c r="I1197" i="1" s="1"/>
  <c r="J1196" i="1"/>
  <c r="I2045" i="1"/>
  <c r="H2046" i="1"/>
  <c r="J2046" i="1" s="1"/>
  <c r="H698" i="1"/>
  <c r="J697" i="1"/>
  <c r="I697" i="1"/>
  <c r="I1196" i="1"/>
  <c r="F2047" i="1"/>
  <c r="C2048" i="1"/>
  <c r="D2047" i="1"/>
  <c r="F1198" i="1"/>
  <c r="C1199" i="1"/>
  <c r="D1198" i="1"/>
  <c r="H699" i="1" l="1"/>
  <c r="J698" i="1"/>
  <c r="I698" i="1"/>
  <c r="H2047" i="1"/>
  <c r="J2047" i="1" s="1"/>
  <c r="I2046" i="1"/>
  <c r="H1198" i="1"/>
  <c r="I1198" i="1" s="1"/>
  <c r="J1197" i="1"/>
  <c r="F2048" i="1"/>
  <c r="C2049" i="1"/>
  <c r="D2048" i="1"/>
  <c r="F1199" i="1"/>
  <c r="C1200" i="1"/>
  <c r="D1199" i="1"/>
  <c r="I2047" i="1" l="1"/>
  <c r="H2048" i="1"/>
  <c r="J2048" i="1" s="1"/>
  <c r="H700" i="1"/>
  <c r="J699" i="1"/>
  <c r="I699" i="1"/>
  <c r="H1199" i="1"/>
  <c r="I1199" i="1" s="1"/>
  <c r="J1198" i="1"/>
  <c r="F2049" i="1"/>
  <c r="C2050" i="1"/>
  <c r="D2049" i="1"/>
  <c r="F1200" i="1"/>
  <c r="D1200" i="1"/>
  <c r="C1201" i="1"/>
  <c r="H1200" i="1" l="1"/>
  <c r="J1199" i="1"/>
  <c r="I2048" i="1"/>
  <c r="H2049" i="1"/>
  <c r="J2049" i="1" s="1"/>
  <c r="I1200" i="1"/>
  <c r="H701" i="1"/>
  <c r="J700" i="1"/>
  <c r="I700" i="1"/>
  <c r="F2050" i="1"/>
  <c r="C2051" i="1"/>
  <c r="D2050" i="1"/>
  <c r="F1201" i="1"/>
  <c r="C1202" i="1"/>
  <c r="D1201" i="1"/>
  <c r="I2049" i="1" l="1"/>
  <c r="H702" i="1"/>
  <c r="J701" i="1"/>
  <c r="I701" i="1"/>
  <c r="H2050" i="1"/>
  <c r="J2050" i="1" s="1"/>
  <c r="H1201" i="1"/>
  <c r="J1200" i="1"/>
  <c r="F2051" i="1"/>
  <c r="C2052" i="1"/>
  <c r="D2051" i="1"/>
  <c r="F1202" i="1"/>
  <c r="D1202" i="1"/>
  <c r="C1203" i="1"/>
  <c r="I2050" i="1" l="1"/>
  <c r="H1202" i="1"/>
  <c r="J1201" i="1"/>
  <c r="I1201" i="1"/>
  <c r="I1202" i="1"/>
  <c r="H2051" i="1"/>
  <c r="J2051" i="1" s="1"/>
  <c r="H703" i="1"/>
  <c r="J702" i="1"/>
  <c r="I702" i="1"/>
  <c r="F2052" i="1"/>
  <c r="C2053" i="1"/>
  <c r="D2052" i="1"/>
  <c r="F1203" i="1"/>
  <c r="C1204" i="1"/>
  <c r="D1203" i="1"/>
  <c r="H704" i="1" l="1"/>
  <c r="J703" i="1"/>
  <c r="I703" i="1"/>
  <c r="I2051" i="1"/>
  <c r="H2052" i="1"/>
  <c r="J2052" i="1" s="1"/>
  <c r="H1203" i="1"/>
  <c r="J1202" i="1"/>
  <c r="F2053" i="1"/>
  <c r="C2054" i="1"/>
  <c r="D2053" i="1"/>
  <c r="F1204" i="1"/>
  <c r="C1205" i="1"/>
  <c r="D1204" i="1"/>
  <c r="I2052" i="1" l="1"/>
  <c r="H2053" i="1"/>
  <c r="J2053" i="1" s="1"/>
  <c r="H1204" i="1"/>
  <c r="J1203" i="1"/>
  <c r="H705" i="1"/>
  <c r="J704" i="1"/>
  <c r="I704" i="1"/>
  <c r="I1203" i="1"/>
  <c r="F2054" i="1"/>
  <c r="C2055" i="1"/>
  <c r="D2054" i="1"/>
  <c r="F1205" i="1"/>
  <c r="D1205" i="1"/>
  <c r="H1206" i="1" l="1"/>
  <c r="H1205" i="1"/>
  <c r="J1205" i="1" s="1"/>
  <c r="J1204" i="1"/>
  <c r="H706" i="1"/>
  <c r="J705" i="1"/>
  <c r="I705" i="1"/>
  <c r="I1204" i="1"/>
  <c r="I2053" i="1"/>
  <c r="H2054" i="1"/>
  <c r="J2054" i="1" s="1"/>
  <c r="C2056" i="1"/>
  <c r="D2055" i="1"/>
  <c r="F2055" i="1"/>
  <c r="H2055" i="1" l="1"/>
  <c r="J2055" i="1" s="1"/>
  <c r="H707" i="1"/>
  <c r="J706" i="1"/>
  <c r="I706" i="1"/>
  <c r="I1205" i="1"/>
  <c r="I2054" i="1"/>
  <c r="H1207" i="1"/>
  <c r="J1206" i="1"/>
  <c r="I1206" i="1"/>
  <c r="D2056" i="1"/>
  <c r="F2056" i="1"/>
  <c r="C2057" i="1"/>
  <c r="H2056" i="1" l="1"/>
  <c r="J2056" i="1" s="1"/>
  <c r="H708" i="1"/>
  <c r="J707" i="1"/>
  <c r="I707" i="1"/>
  <c r="H1208" i="1"/>
  <c r="J1207" i="1"/>
  <c r="I1207" i="1"/>
  <c r="I2055" i="1"/>
  <c r="F2057" i="1"/>
  <c r="C2058" i="1"/>
  <c r="D2057" i="1"/>
  <c r="H709" i="1" l="1"/>
  <c r="J708" i="1"/>
  <c r="I708" i="1"/>
  <c r="I2056" i="1"/>
  <c r="H2057" i="1"/>
  <c r="J2057" i="1" s="1"/>
  <c r="H1209" i="1"/>
  <c r="J1208" i="1"/>
  <c r="I1208" i="1"/>
  <c r="F2058" i="1"/>
  <c r="C2059" i="1"/>
  <c r="D2058" i="1"/>
  <c r="J1209" i="1" l="1"/>
  <c r="I1209" i="1"/>
  <c r="H1210" i="1"/>
  <c r="I2057" i="1"/>
  <c r="H2058" i="1"/>
  <c r="J2058" i="1" s="1"/>
  <c r="H710" i="1"/>
  <c r="J709" i="1"/>
  <c r="I709" i="1"/>
  <c r="F2059" i="1"/>
  <c r="C2060" i="1"/>
  <c r="D2059" i="1"/>
  <c r="I2058" i="1" l="1"/>
  <c r="H2059" i="1"/>
  <c r="J2059" i="1" s="1"/>
  <c r="H1211" i="1"/>
  <c r="J1210" i="1"/>
  <c r="I1210" i="1"/>
  <c r="H711" i="1"/>
  <c r="J710" i="1"/>
  <c r="I710" i="1"/>
  <c r="F2060" i="1"/>
  <c r="C2061" i="1"/>
  <c r="D2060" i="1"/>
  <c r="H1212" i="1" l="1"/>
  <c r="J1211" i="1"/>
  <c r="I1211" i="1"/>
  <c r="H2060" i="1"/>
  <c r="J2060" i="1" s="1"/>
  <c r="I2059" i="1"/>
  <c r="H712" i="1"/>
  <c r="J711" i="1"/>
  <c r="I711" i="1"/>
  <c r="F2061" i="1"/>
  <c r="C2062" i="1"/>
  <c r="D2061" i="1"/>
  <c r="H2061" i="1" l="1"/>
  <c r="J2061" i="1" s="1"/>
  <c r="H713" i="1"/>
  <c r="J712" i="1"/>
  <c r="I712" i="1"/>
  <c r="I2060" i="1"/>
  <c r="H1213" i="1"/>
  <c r="J1212" i="1"/>
  <c r="I1212" i="1"/>
  <c r="F2062" i="1"/>
  <c r="C2063" i="1"/>
  <c r="D2062" i="1"/>
  <c r="H1214" i="1" l="1"/>
  <c r="J1213" i="1"/>
  <c r="I1213" i="1"/>
  <c r="I2061" i="1"/>
  <c r="H2062" i="1"/>
  <c r="J2062" i="1" s="1"/>
  <c r="H714" i="1"/>
  <c r="J713" i="1"/>
  <c r="I713" i="1"/>
  <c r="F2063" i="1"/>
  <c r="D2063" i="1"/>
  <c r="C2064" i="1"/>
  <c r="H715" i="1" l="1"/>
  <c r="J714" i="1"/>
  <c r="I714" i="1"/>
  <c r="H2063" i="1"/>
  <c r="J2063" i="1" s="1"/>
  <c r="I2062" i="1"/>
  <c r="H1215" i="1"/>
  <c r="J1214" i="1"/>
  <c r="I1214" i="1"/>
  <c r="F2064" i="1"/>
  <c r="D2064" i="1"/>
  <c r="C2065" i="1"/>
  <c r="I2063" i="1" l="1"/>
  <c r="H2064" i="1"/>
  <c r="J2064" i="1" s="1"/>
  <c r="H1216" i="1"/>
  <c r="J1215" i="1"/>
  <c r="I1215" i="1"/>
  <c r="H716" i="1"/>
  <c r="J715" i="1"/>
  <c r="I715" i="1"/>
  <c r="F2065" i="1"/>
  <c r="D2065" i="1"/>
  <c r="C2066" i="1"/>
  <c r="H717" i="1" l="1"/>
  <c r="J716" i="1"/>
  <c r="I716" i="1"/>
  <c r="H2065" i="1"/>
  <c r="J2065" i="1" s="1"/>
  <c r="H1217" i="1"/>
  <c r="J1216" i="1"/>
  <c r="I1216" i="1"/>
  <c r="I2064" i="1"/>
  <c r="F2066" i="1"/>
  <c r="C2067" i="1"/>
  <c r="D2066" i="1"/>
  <c r="I2065" i="1" l="1"/>
  <c r="H1218" i="1"/>
  <c r="J1217" i="1"/>
  <c r="I1217" i="1"/>
  <c r="H2066" i="1"/>
  <c r="J2066" i="1" s="1"/>
  <c r="H718" i="1"/>
  <c r="J717" i="1"/>
  <c r="I717" i="1"/>
  <c r="F2067" i="1"/>
  <c r="C2068" i="1"/>
  <c r="D2067" i="1"/>
  <c r="H1219" i="1" l="1"/>
  <c r="J1218" i="1"/>
  <c r="I1218" i="1"/>
  <c r="H719" i="1"/>
  <c r="J718" i="1"/>
  <c r="I718" i="1"/>
  <c r="I2066" i="1"/>
  <c r="H2067" i="1"/>
  <c r="J2067" i="1" s="1"/>
  <c r="F2068" i="1"/>
  <c r="C2069" i="1"/>
  <c r="D2068" i="1"/>
  <c r="I2067" i="1" l="1"/>
  <c r="H2068" i="1"/>
  <c r="J2068" i="1" s="1"/>
  <c r="H720" i="1"/>
  <c r="J719" i="1"/>
  <c r="I719" i="1"/>
  <c r="H1220" i="1"/>
  <c r="J1219" i="1"/>
  <c r="I1219" i="1"/>
  <c r="F2069" i="1"/>
  <c r="C2070" i="1"/>
  <c r="D2069" i="1"/>
  <c r="H2069" i="1" l="1"/>
  <c r="J2069" i="1" s="1"/>
  <c r="H721" i="1"/>
  <c r="J720" i="1"/>
  <c r="I720" i="1"/>
  <c r="I2068" i="1"/>
  <c r="H1221" i="1"/>
  <c r="J1220" i="1"/>
  <c r="I1220" i="1"/>
  <c r="F2070" i="1"/>
  <c r="D2070" i="1"/>
  <c r="C2071" i="1"/>
  <c r="H1222" i="1" l="1"/>
  <c r="J1221" i="1"/>
  <c r="I1221" i="1"/>
  <c r="H2070" i="1"/>
  <c r="J2070" i="1" s="1"/>
  <c r="H722" i="1"/>
  <c r="J721" i="1"/>
  <c r="I721" i="1"/>
  <c r="I2069" i="1"/>
  <c r="F2071" i="1"/>
  <c r="D2071" i="1"/>
  <c r="C2072" i="1"/>
  <c r="H723" i="1" l="1"/>
  <c r="J722" i="1"/>
  <c r="I722" i="1"/>
  <c r="H2071" i="1"/>
  <c r="J2071" i="1" s="1"/>
  <c r="I2070" i="1"/>
  <c r="H1223" i="1"/>
  <c r="J1222" i="1"/>
  <c r="I1222" i="1"/>
  <c r="F2072" i="1"/>
  <c r="D2072" i="1"/>
  <c r="C2073" i="1"/>
  <c r="I2071" i="1" l="1"/>
  <c r="H2072" i="1"/>
  <c r="J2072" i="1" s="1"/>
  <c r="H1224" i="1"/>
  <c r="J1223" i="1"/>
  <c r="I1223" i="1"/>
  <c r="H724" i="1"/>
  <c r="J723" i="1"/>
  <c r="I723" i="1"/>
  <c r="F2073" i="1"/>
  <c r="D2073" i="1"/>
  <c r="C2074" i="1"/>
  <c r="H725" i="1" l="1"/>
  <c r="J724" i="1"/>
  <c r="I724" i="1"/>
  <c r="H2073" i="1"/>
  <c r="J2073" i="1" s="1"/>
  <c r="H1225" i="1"/>
  <c r="J1224" i="1"/>
  <c r="I1224" i="1"/>
  <c r="I2072" i="1"/>
  <c r="F2074" i="1"/>
  <c r="C2075" i="1"/>
  <c r="D2074" i="1"/>
  <c r="I2073" i="1" l="1"/>
  <c r="H726" i="1"/>
  <c r="J725" i="1"/>
  <c r="I725" i="1"/>
  <c r="H2074" i="1"/>
  <c r="J2074" i="1" s="1"/>
  <c r="H1226" i="1"/>
  <c r="J1225" i="1"/>
  <c r="I1225" i="1"/>
  <c r="F2075" i="1"/>
  <c r="D2075" i="1"/>
  <c r="C2076" i="1"/>
  <c r="H1227" i="1" l="1"/>
  <c r="J1226" i="1"/>
  <c r="I1226" i="1"/>
  <c r="I2074" i="1"/>
  <c r="H2075" i="1"/>
  <c r="J2075" i="1" s="1"/>
  <c r="H727" i="1"/>
  <c r="J726" i="1"/>
  <c r="I726" i="1"/>
  <c r="F2076" i="1"/>
  <c r="C2077" i="1"/>
  <c r="D2076" i="1"/>
  <c r="I2075" i="1" l="1"/>
  <c r="H2076" i="1"/>
  <c r="J2076" i="1" s="1"/>
  <c r="H728" i="1"/>
  <c r="J727" i="1"/>
  <c r="I727" i="1"/>
  <c r="H1228" i="1"/>
  <c r="J1227" i="1"/>
  <c r="I1227" i="1"/>
  <c r="F2077" i="1"/>
  <c r="C2078" i="1"/>
  <c r="D2077" i="1"/>
  <c r="I2076" i="1" l="1"/>
  <c r="H2077" i="1"/>
  <c r="J2077" i="1" s="1"/>
  <c r="H1229" i="1"/>
  <c r="J1228" i="1"/>
  <c r="I1228" i="1"/>
  <c r="H729" i="1"/>
  <c r="J728" i="1"/>
  <c r="I728" i="1"/>
  <c r="F2078" i="1"/>
  <c r="D2078" i="1"/>
  <c r="C2079" i="1"/>
  <c r="H1230" i="1" l="1"/>
  <c r="J1229" i="1"/>
  <c r="I1229" i="1"/>
  <c r="H730" i="1"/>
  <c r="J729" i="1"/>
  <c r="I729" i="1"/>
  <c r="H2078" i="1"/>
  <c r="J2078" i="1" s="1"/>
  <c r="I2077" i="1"/>
  <c r="F2079" i="1"/>
  <c r="D2079" i="1"/>
  <c r="C2080" i="1"/>
  <c r="H2079" i="1" l="1"/>
  <c r="J2079" i="1" s="1"/>
  <c r="H731" i="1"/>
  <c r="J730" i="1"/>
  <c r="I730" i="1"/>
  <c r="I2078" i="1"/>
  <c r="H1231" i="1"/>
  <c r="J1230" i="1"/>
  <c r="I1230" i="1"/>
  <c r="F2080" i="1"/>
  <c r="C2081" i="1"/>
  <c r="D2080" i="1"/>
  <c r="I2079" i="1" l="1"/>
  <c r="H732" i="1"/>
  <c r="J731" i="1"/>
  <c r="I731" i="1"/>
  <c r="H2080" i="1"/>
  <c r="J2080" i="1" s="1"/>
  <c r="H1232" i="1"/>
  <c r="J1231" i="1"/>
  <c r="I1231" i="1"/>
  <c r="F2081" i="1"/>
  <c r="D2081" i="1"/>
  <c r="C2082" i="1"/>
  <c r="H1233" i="1" l="1"/>
  <c r="J1232" i="1"/>
  <c r="I1232" i="1"/>
  <c r="H733" i="1"/>
  <c r="J732" i="1"/>
  <c r="I732" i="1"/>
  <c r="H2081" i="1"/>
  <c r="J2081" i="1" s="1"/>
  <c r="I2080" i="1"/>
  <c r="F2082" i="1"/>
  <c r="D2082" i="1"/>
  <c r="C2083" i="1"/>
  <c r="H2082" i="1" l="1"/>
  <c r="J2082" i="1" s="1"/>
  <c r="I2081" i="1"/>
  <c r="H734" i="1"/>
  <c r="J733" i="1"/>
  <c r="I733" i="1"/>
  <c r="H1234" i="1"/>
  <c r="J1233" i="1"/>
  <c r="I1233" i="1"/>
  <c r="F2083" i="1"/>
  <c r="C2084" i="1"/>
  <c r="D2083" i="1"/>
  <c r="H1235" i="1" l="1"/>
  <c r="J1234" i="1"/>
  <c r="I1234" i="1"/>
  <c r="H2083" i="1"/>
  <c r="J2083" i="1" s="1"/>
  <c r="H735" i="1"/>
  <c r="J734" i="1"/>
  <c r="I734" i="1"/>
  <c r="I2082" i="1"/>
  <c r="F2084" i="1"/>
  <c r="C2085" i="1"/>
  <c r="D2084" i="1"/>
  <c r="I2083" i="1" l="1"/>
  <c r="H2084" i="1"/>
  <c r="J2084" i="1" s="1"/>
  <c r="H736" i="1"/>
  <c r="J735" i="1"/>
  <c r="I735" i="1"/>
  <c r="H1236" i="1"/>
  <c r="J1235" i="1"/>
  <c r="I1235" i="1"/>
  <c r="F2085" i="1"/>
  <c r="D2085" i="1"/>
  <c r="C2086" i="1"/>
  <c r="H2085" i="1" l="1"/>
  <c r="J2085" i="1" s="1"/>
  <c r="I2084" i="1"/>
  <c r="H1237" i="1"/>
  <c r="J1236" i="1"/>
  <c r="I1236" i="1"/>
  <c r="H737" i="1"/>
  <c r="J736" i="1"/>
  <c r="I736" i="1"/>
  <c r="F2086" i="1"/>
  <c r="D2086" i="1"/>
  <c r="C2087" i="1"/>
  <c r="H1238" i="1" l="1"/>
  <c r="J1237" i="1"/>
  <c r="I1237" i="1"/>
  <c r="H2086" i="1"/>
  <c r="J2086" i="1" s="1"/>
  <c r="I2085" i="1"/>
  <c r="H738" i="1"/>
  <c r="J737" i="1"/>
  <c r="I737" i="1"/>
  <c r="F2087" i="1"/>
  <c r="C2088" i="1"/>
  <c r="D2087" i="1"/>
  <c r="H739" i="1" l="1"/>
  <c r="J738" i="1"/>
  <c r="I738" i="1"/>
  <c r="I2086" i="1"/>
  <c r="H2087" i="1"/>
  <c r="J2087" i="1" s="1"/>
  <c r="H1239" i="1"/>
  <c r="J1238" i="1"/>
  <c r="I1238" i="1"/>
  <c r="F2088" i="1"/>
  <c r="C2089" i="1"/>
  <c r="D2088" i="1"/>
  <c r="I2087" i="1" l="1"/>
  <c r="H2088" i="1"/>
  <c r="J2088" i="1" s="1"/>
  <c r="H1240" i="1"/>
  <c r="J1239" i="1"/>
  <c r="I1239" i="1"/>
  <c r="H740" i="1"/>
  <c r="J739" i="1"/>
  <c r="I739" i="1"/>
  <c r="F2089" i="1"/>
  <c r="C2090" i="1"/>
  <c r="D2089" i="1"/>
  <c r="H741" i="1" l="1"/>
  <c r="J740" i="1"/>
  <c r="I740" i="1"/>
  <c r="H1241" i="1"/>
  <c r="J1240" i="1"/>
  <c r="I1240" i="1"/>
  <c r="H2089" i="1"/>
  <c r="J2089" i="1" s="1"/>
  <c r="I2088" i="1"/>
  <c r="F2090" i="1"/>
  <c r="D2090" i="1"/>
  <c r="C2091" i="1"/>
  <c r="I2089" i="1" l="1"/>
  <c r="H2090" i="1"/>
  <c r="J2090" i="1" s="1"/>
  <c r="H1242" i="1"/>
  <c r="J1241" i="1"/>
  <c r="I1241" i="1"/>
  <c r="H742" i="1"/>
  <c r="J741" i="1"/>
  <c r="I741" i="1"/>
  <c r="F2091" i="1"/>
  <c r="C2092" i="1"/>
  <c r="D2091" i="1"/>
  <c r="H1243" i="1" l="1"/>
  <c r="J1242" i="1"/>
  <c r="I1242" i="1"/>
  <c r="H2091" i="1"/>
  <c r="J2091" i="1" s="1"/>
  <c r="H743" i="1"/>
  <c r="J742" i="1"/>
  <c r="I742" i="1"/>
  <c r="I2090" i="1"/>
  <c r="F2092" i="1"/>
  <c r="C2093" i="1"/>
  <c r="D2092" i="1"/>
  <c r="I2091" i="1" l="1"/>
  <c r="H744" i="1"/>
  <c r="J743" i="1"/>
  <c r="I743" i="1"/>
  <c r="H2092" i="1"/>
  <c r="J2092" i="1" s="1"/>
  <c r="H1244" i="1"/>
  <c r="J1243" i="1"/>
  <c r="I1243" i="1"/>
  <c r="F2093" i="1"/>
  <c r="D2093" i="1"/>
  <c r="C2094" i="1"/>
  <c r="I2092" i="1" l="1"/>
  <c r="H2093" i="1"/>
  <c r="J2093" i="1" s="1"/>
  <c r="H1245" i="1"/>
  <c r="J1244" i="1"/>
  <c r="I1244" i="1"/>
  <c r="H745" i="1"/>
  <c r="J744" i="1"/>
  <c r="I744" i="1"/>
  <c r="F2094" i="1"/>
  <c r="D2094" i="1"/>
  <c r="C2095" i="1"/>
  <c r="H2094" i="1" l="1"/>
  <c r="J2094" i="1" s="1"/>
  <c r="H746" i="1"/>
  <c r="J745" i="1"/>
  <c r="I745" i="1"/>
  <c r="H1246" i="1"/>
  <c r="J1245" i="1"/>
  <c r="I1245" i="1"/>
  <c r="I2093" i="1"/>
  <c r="F2095" i="1"/>
  <c r="C2096" i="1"/>
  <c r="D2095" i="1"/>
  <c r="H1247" i="1" l="1"/>
  <c r="J1246" i="1"/>
  <c r="I1246" i="1"/>
  <c r="H2095" i="1"/>
  <c r="J2095" i="1" s="1"/>
  <c r="H747" i="1"/>
  <c r="J746" i="1"/>
  <c r="I746" i="1"/>
  <c r="I2094" i="1"/>
  <c r="F2096" i="1"/>
  <c r="D2096" i="1"/>
  <c r="C2097" i="1"/>
  <c r="I2095" i="1" l="1"/>
  <c r="H748" i="1"/>
  <c r="J747" i="1"/>
  <c r="I747" i="1"/>
  <c r="H2096" i="1"/>
  <c r="J2096" i="1" s="1"/>
  <c r="H1248" i="1"/>
  <c r="J1247" i="1"/>
  <c r="I1247" i="1"/>
  <c r="F2097" i="1"/>
  <c r="C2098" i="1"/>
  <c r="D2097" i="1"/>
  <c r="I2096" i="1" l="1"/>
  <c r="H2097" i="1"/>
  <c r="J2097" i="1" s="1"/>
  <c r="H1249" i="1"/>
  <c r="J1248" i="1"/>
  <c r="I1248" i="1"/>
  <c r="H749" i="1"/>
  <c r="J748" i="1"/>
  <c r="I748" i="1"/>
  <c r="F2098" i="1"/>
  <c r="C2099" i="1"/>
  <c r="D2098" i="1"/>
  <c r="H750" i="1" l="1"/>
  <c r="J749" i="1"/>
  <c r="I749" i="1"/>
  <c r="H2098" i="1"/>
  <c r="J2098" i="1" s="1"/>
  <c r="H1250" i="1"/>
  <c r="J1249" i="1"/>
  <c r="I1249" i="1"/>
  <c r="I2097" i="1"/>
  <c r="F2099" i="1"/>
  <c r="C2100" i="1"/>
  <c r="D2099" i="1"/>
  <c r="I2098" i="1" l="1"/>
  <c r="H1251" i="1"/>
  <c r="J1250" i="1"/>
  <c r="I1250" i="1"/>
  <c r="H751" i="1"/>
  <c r="J750" i="1"/>
  <c r="I750" i="1"/>
  <c r="H2099" i="1"/>
  <c r="J2099" i="1" s="1"/>
  <c r="F2100" i="1"/>
  <c r="C2101" i="1"/>
  <c r="D2100" i="1"/>
  <c r="I2099" i="1" l="1"/>
  <c r="H1252" i="1"/>
  <c r="J1251" i="1"/>
  <c r="I1251" i="1"/>
  <c r="H2100" i="1"/>
  <c r="J2100" i="1" s="1"/>
  <c r="H752" i="1"/>
  <c r="J751" i="1"/>
  <c r="I751" i="1"/>
  <c r="F2101" i="1"/>
  <c r="D2101" i="1"/>
  <c r="C2102" i="1"/>
  <c r="H2101" i="1" l="1"/>
  <c r="J2101" i="1" s="1"/>
  <c r="H753" i="1"/>
  <c r="J752" i="1"/>
  <c r="I752" i="1"/>
  <c r="I2100" i="1"/>
  <c r="H1253" i="1"/>
  <c r="J1252" i="1"/>
  <c r="I1252" i="1"/>
  <c r="F2102" i="1"/>
  <c r="C2103" i="1"/>
  <c r="D2102" i="1"/>
  <c r="H1254" i="1" l="1"/>
  <c r="J1253" i="1"/>
  <c r="I1253" i="1"/>
  <c r="H754" i="1"/>
  <c r="J753" i="1"/>
  <c r="I753" i="1"/>
  <c r="I2101" i="1"/>
  <c r="H2102" i="1"/>
  <c r="J2102" i="1" s="1"/>
  <c r="F2103" i="1"/>
  <c r="D2103" i="1"/>
  <c r="C2104" i="1"/>
  <c r="I2102" i="1" l="1"/>
  <c r="H755" i="1"/>
  <c r="J754" i="1"/>
  <c r="I754" i="1"/>
  <c r="H2103" i="1"/>
  <c r="J2103" i="1" s="1"/>
  <c r="H1255" i="1"/>
  <c r="J1254" i="1"/>
  <c r="I1254" i="1"/>
  <c r="F2104" i="1"/>
  <c r="D2104" i="1"/>
  <c r="C2105" i="1"/>
  <c r="I2103" i="1" l="1"/>
  <c r="H2104" i="1"/>
  <c r="J2104" i="1" s="1"/>
  <c r="J1255" i="1"/>
  <c r="I1255" i="1"/>
  <c r="J755" i="1"/>
  <c r="I755" i="1"/>
  <c r="F2105" i="1"/>
  <c r="C2106" i="1"/>
  <c r="D2105" i="1"/>
  <c r="H2105" i="1" l="1"/>
  <c r="J2105" i="1" s="1"/>
  <c r="I2104" i="1"/>
  <c r="F2106" i="1"/>
  <c r="C2107" i="1"/>
  <c r="D2106" i="1"/>
  <c r="I2105" i="1" l="1"/>
  <c r="H2106" i="1"/>
  <c r="J2106" i="1" s="1"/>
  <c r="F2107" i="1"/>
  <c r="D2107" i="1"/>
  <c r="C2108" i="1"/>
  <c r="H2107" i="1" l="1"/>
  <c r="J2107" i="1" s="1"/>
  <c r="I2106" i="1"/>
  <c r="F2108" i="1"/>
  <c r="D2108" i="1"/>
  <c r="C2109" i="1"/>
  <c r="H2108" i="1" l="1"/>
  <c r="J2108" i="1" s="1"/>
  <c r="I2107" i="1"/>
  <c r="F2109" i="1"/>
  <c r="D2109" i="1"/>
  <c r="C2110" i="1"/>
  <c r="H2109" i="1" l="1"/>
  <c r="J2109" i="1" s="1"/>
  <c r="I2108" i="1"/>
  <c r="F2110" i="1"/>
  <c r="C2111" i="1"/>
  <c r="D2110" i="1"/>
  <c r="H2110" i="1" l="1"/>
  <c r="J2110" i="1" s="1"/>
  <c r="I2109" i="1"/>
  <c r="F2111" i="1"/>
  <c r="D2111" i="1"/>
  <c r="C2112" i="1"/>
  <c r="H2111" i="1" l="1"/>
  <c r="J2111" i="1" s="1"/>
  <c r="I2110" i="1"/>
  <c r="F2112" i="1"/>
  <c r="D2112" i="1"/>
  <c r="C2113" i="1"/>
  <c r="H2112" i="1" l="1"/>
  <c r="J2112" i="1" s="1"/>
  <c r="I2111" i="1"/>
  <c r="F2113" i="1"/>
  <c r="C2114" i="1"/>
  <c r="D2113" i="1"/>
  <c r="H2113" i="1" l="1"/>
  <c r="J2113" i="1" s="1"/>
  <c r="I2112" i="1"/>
  <c r="F2114" i="1"/>
  <c r="C2115" i="1"/>
  <c r="D2114" i="1"/>
  <c r="H2114" i="1" l="1"/>
  <c r="J2114" i="1" s="1"/>
  <c r="I2113" i="1"/>
  <c r="F2115" i="1"/>
  <c r="C2116" i="1"/>
  <c r="D2115" i="1"/>
  <c r="H2115" i="1" l="1"/>
  <c r="J2115" i="1" s="1"/>
  <c r="I2114" i="1"/>
  <c r="F2116" i="1"/>
  <c r="D2116" i="1"/>
  <c r="C2117" i="1"/>
  <c r="I2115" i="1" l="1"/>
  <c r="H2116" i="1"/>
  <c r="J2116" i="1" s="1"/>
  <c r="F2117" i="1"/>
  <c r="C2118" i="1"/>
  <c r="D2117" i="1"/>
  <c r="H2117" i="1" l="1"/>
  <c r="J2117" i="1" s="1"/>
  <c r="I2116" i="1"/>
  <c r="F2118" i="1"/>
  <c r="C2119" i="1"/>
  <c r="D2118" i="1"/>
  <c r="I2117" i="1" l="1"/>
  <c r="H2118" i="1"/>
  <c r="J2118" i="1" s="1"/>
  <c r="F2119" i="1"/>
  <c r="C2120" i="1"/>
  <c r="D2119" i="1"/>
  <c r="H2119" i="1" l="1"/>
  <c r="J2119" i="1" s="1"/>
  <c r="I2118" i="1"/>
  <c r="F2120" i="1"/>
  <c r="C2121" i="1"/>
  <c r="D2120" i="1"/>
  <c r="I2119" i="1" l="1"/>
  <c r="H2120" i="1"/>
  <c r="J2120" i="1" s="1"/>
  <c r="F2121" i="1"/>
  <c r="C2122" i="1"/>
  <c r="D2121" i="1"/>
  <c r="H2121" i="1" l="1"/>
  <c r="J2121" i="1" s="1"/>
  <c r="I2120" i="1"/>
  <c r="F2122" i="1"/>
  <c r="D2122" i="1"/>
  <c r="C2123" i="1"/>
  <c r="I2121" i="1" l="1"/>
  <c r="H2122" i="1"/>
  <c r="J2122" i="1" s="1"/>
  <c r="F2123" i="1"/>
  <c r="C2124" i="1"/>
  <c r="D2123" i="1"/>
  <c r="H2123" i="1" l="1"/>
  <c r="J2123" i="1" s="1"/>
  <c r="I2122" i="1"/>
  <c r="F2124" i="1"/>
  <c r="C2125" i="1"/>
  <c r="D2124" i="1"/>
  <c r="H2124" i="1" l="1"/>
  <c r="J2124" i="1" s="1"/>
  <c r="I2123" i="1"/>
  <c r="F2125" i="1"/>
  <c r="C2126" i="1"/>
  <c r="D2125" i="1"/>
  <c r="I2124" i="1" l="1"/>
  <c r="H2125" i="1"/>
  <c r="J2125" i="1" s="1"/>
  <c r="F2126" i="1"/>
  <c r="C2127" i="1"/>
  <c r="D2126" i="1"/>
  <c r="I2125" i="1" l="1"/>
  <c r="H2126" i="1"/>
  <c r="J2126" i="1" s="1"/>
  <c r="F2127" i="1"/>
  <c r="C2128" i="1"/>
  <c r="D2127" i="1"/>
  <c r="I2126" i="1" l="1"/>
  <c r="H2127" i="1"/>
  <c r="J2127" i="1" s="1"/>
  <c r="F2128" i="1"/>
  <c r="D2128" i="1"/>
  <c r="C2129" i="1"/>
  <c r="I2127" i="1" l="1"/>
  <c r="H2128" i="1"/>
  <c r="J2128" i="1" s="1"/>
  <c r="F2129" i="1"/>
  <c r="C2130" i="1"/>
  <c r="D2129" i="1"/>
  <c r="I2128" i="1" l="1"/>
  <c r="H2129" i="1"/>
  <c r="J2129" i="1" s="1"/>
  <c r="F2130" i="1"/>
  <c r="C2131" i="1"/>
  <c r="D2130" i="1"/>
  <c r="I2129" i="1" l="1"/>
  <c r="H2130" i="1"/>
  <c r="J2130" i="1" s="1"/>
  <c r="F2131" i="1"/>
  <c r="C2132" i="1"/>
  <c r="D2131" i="1"/>
  <c r="I2130" i="1" l="1"/>
  <c r="H2131" i="1"/>
  <c r="J2131" i="1" s="1"/>
  <c r="F2132" i="1"/>
  <c r="D2132" i="1"/>
  <c r="C2133" i="1"/>
  <c r="I2131" i="1" l="1"/>
  <c r="H2132" i="1"/>
  <c r="J2132" i="1" s="1"/>
  <c r="F2133" i="1"/>
  <c r="C2134" i="1"/>
  <c r="D2133" i="1"/>
  <c r="I2132" i="1" l="1"/>
  <c r="H2133" i="1"/>
  <c r="J2133" i="1" s="1"/>
  <c r="F2134" i="1"/>
  <c r="C2135" i="1"/>
  <c r="D2134" i="1"/>
  <c r="I2133" i="1" l="1"/>
  <c r="H2134" i="1"/>
  <c r="J2134" i="1" s="1"/>
  <c r="F2135" i="1"/>
  <c r="C2136" i="1"/>
  <c r="D2135" i="1"/>
  <c r="I2134" i="1" l="1"/>
  <c r="H2135" i="1"/>
  <c r="J2135" i="1" s="1"/>
  <c r="F2136" i="1"/>
  <c r="C2137" i="1"/>
  <c r="D2136" i="1"/>
  <c r="I2135" i="1" l="1"/>
  <c r="H2136" i="1"/>
  <c r="J2136" i="1" s="1"/>
  <c r="F2137" i="1"/>
  <c r="C2138" i="1"/>
  <c r="D2137" i="1"/>
  <c r="I2136" i="1" l="1"/>
  <c r="H2137" i="1"/>
  <c r="J2137" i="1" s="1"/>
  <c r="F2138" i="1"/>
  <c r="D2138" i="1"/>
  <c r="C2139" i="1"/>
  <c r="I2137" i="1" l="1"/>
  <c r="H2138" i="1"/>
  <c r="J2138" i="1" s="1"/>
  <c r="F2139" i="1"/>
  <c r="C2140" i="1"/>
  <c r="D2139" i="1"/>
  <c r="I2138" i="1" l="1"/>
  <c r="H2139" i="1"/>
  <c r="J2139" i="1" s="1"/>
  <c r="F2140" i="1"/>
  <c r="C2141" i="1"/>
  <c r="D2140" i="1"/>
  <c r="I2139" i="1" l="1"/>
  <c r="H2140" i="1"/>
  <c r="J2140" i="1" s="1"/>
  <c r="F2141" i="1"/>
  <c r="C2142" i="1"/>
  <c r="D2141" i="1"/>
  <c r="I2140" i="1" l="1"/>
  <c r="H2141" i="1"/>
  <c r="J2141" i="1" s="1"/>
  <c r="F2142" i="1"/>
  <c r="C2143" i="1"/>
  <c r="D2142" i="1"/>
  <c r="I2141" i="1" l="1"/>
  <c r="H2142" i="1"/>
  <c r="J2142" i="1" s="1"/>
  <c r="F2143" i="1"/>
  <c r="C2144" i="1"/>
  <c r="D2143" i="1"/>
  <c r="I2142" i="1" l="1"/>
  <c r="H2143" i="1"/>
  <c r="J2143" i="1" s="1"/>
  <c r="F2144" i="1"/>
  <c r="D2144" i="1"/>
  <c r="C2145" i="1"/>
  <c r="I2143" i="1" l="1"/>
  <c r="H2144" i="1"/>
  <c r="J2144" i="1" s="1"/>
  <c r="F2145" i="1"/>
  <c r="C2146" i="1"/>
  <c r="D2145" i="1"/>
  <c r="I2144" i="1" l="1"/>
  <c r="H2145" i="1"/>
  <c r="J2145" i="1" s="1"/>
  <c r="F2146" i="1"/>
  <c r="D2146" i="1"/>
  <c r="C2147" i="1"/>
  <c r="I2145" i="1" l="1"/>
  <c r="H2146" i="1"/>
  <c r="J2146" i="1" s="1"/>
  <c r="F2147" i="1"/>
  <c r="C2148" i="1"/>
  <c r="D2147" i="1"/>
  <c r="I2146" i="1" l="1"/>
  <c r="H2147" i="1"/>
  <c r="J2147" i="1" s="1"/>
  <c r="F2148" i="1"/>
  <c r="D2148" i="1"/>
  <c r="C2149" i="1"/>
  <c r="I2147" i="1" l="1"/>
  <c r="H2148" i="1"/>
  <c r="J2148" i="1" s="1"/>
  <c r="F2149" i="1"/>
  <c r="C2150" i="1"/>
  <c r="D2149" i="1"/>
  <c r="I2148" i="1" l="1"/>
  <c r="H2149" i="1"/>
  <c r="J2149" i="1" s="1"/>
  <c r="F2150" i="1"/>
  <c r="D2150" i="1"/>
  <c r="C2151" i="1"/>
  <c r="I2149" i="1" l="1"/>
  <c r="H2150" i="1"/>
  <c r="J2150" i="1" s="1"/>
  <c r="F2151" i="1"/>
  <c r="C2152" i="1"/>
  <c r="D2151" i="1"/>
  <c r="I2150" i="1" l="1"/>
  <c r="H2151" i="1"/>
  <c r="J2151" i="1" s="1"/>
  <c r="F2152" i="1"/>
  <c r="C2153" i="1"/>
  <c r="D2152" i="1"/>
  <c r="I2151" i="1" l="1"/>
  <c r="H2152" i="1"/>
  <c r="J2152" i="1" s="1"/>
  <c r="F2153" i="1"/>
  <c r="C2154" i="1"/>
  <c r="D2153" i="1"/>
  <c r="I2152" i="1" l="1"/>
  <c r="H2153" i="1"/>
  <c r="J2153" i="1" s="1"/>
  <c r="F2154" i="1"/>
  <c r="D2154" i="1"/>
  <c r="C2155" i="1"/>
  <c r="H2154" i="1" l="1"/>
  <c r="J2154" i="1" s="1"/>
  <c r="I2153" i="1"/>
  <c r="F2155" i="1"/>
  <c r="H2155" i="1" s="1"/>
  <c r="D2155" i="1"/>
  <c r="C2156" i="1"/>
  <c r="I2155" i="1" l="1"/>
  <c r="J2155" i="1"/>
  <c r="I2154" i="1"/>
  <c r="F2156" i="1"/>
  <c r="D2156" i="1"/>
  <c r="C2157" i="1"/>
  <c r="H2156" i="1" l="1"/>
  <c r="I2156" i="1" s="1"/>
  <c r="F2157" i="1"/>
  <c r="D2157" i="1"/>
  <c r="C2158" i="1"/>
  <c r="H2157" i="1" l="1"/>
  <c r="J2156" i="1"/>
  <c r="F2158" i="1"/>
  <c r="C2159" i="1"/>
  <c r="D2158" i="1"/>
  <c r="H2158" i="1" l="1"/>
  <c r="J2157" i="1"/>
  <c r="I2157" i="1"/>
  <c r="F2159" i="1"/>
  <c r="C2160" i="1"/>
  <c r="D2159" i="1"/>
  <c r="H2159" i="1" l="1"/>
  <c r="J2158" i="1"/>
  <c r="I2158" i="1"/>
  <c r="F2160" i="1"/>
  <c r="D2160" i="1"/>
  <c r="C2161" i="1"/>
  <c r="H2160" i="1" l="1"/>
  <c r="I2160" i="1" s="1"/>
  <c r="J2159" i="1"/>
  <c r="I2159" i="1"/>
  <c r="F2161" i="1"/>
  <c r="C2162" i="1"/>
  <c r="D2161" i="1"/>
  <c r="H2161" i="1" l="1"/>
  <c r="J2160" i="1"/>
  <c r="F2162" i="1"/>
  <c r="D2162" i="1"/>
  <c r="C2163" i="1"/>
  <c r="H2162" i="1" l="1"/>
  <c r="I2162" i="1" s="1"/>
  <c r="J2161" i="1"/>
  <c r="I2161" i="1"/>
  <c r="F2163" i="1"/>
  <c r="D2163" i="1"/>
  <c r="C2164" i="1"/>
  <c r="H2163" i="1" l="1"/>
  <c r="J2162" i="1"/>
  <c r="F2164" i="1"/>
  <c r="C2165" i="1"/>
  <c r="D2164" i="1"/>
  <c r="H2164" i="1" l="1"/>
  <c r="J2163" i="1"/>
  <c r="I2163" i="1"/>
  <c r="F2165" i="1"/>
  <c r="D2165" i="1"/>
  <c r="C2166" i="1"/>
  <c r="H2165" i="1" l="1"/>
  <c r="J2164" i="1"/>
  <c r="I2164" i="1"/>
  <c r="F2166" i="1"/>
  <c r="C2167" i="1"/>
  <c r="D2166" i="1"/>
  <c r="H2166" i="1" l="1"/>
  <c r="J2165" i="1"/>
  <c r="I2165" i="1"/>
  <c r="F2167" i="1"/>
  <c r="C2168" i="1"/>
  <c r="D2167" i="1"/>
  <c r="H2167" i="1" l="1"/>
  <c r="I2167" i="1" s="1"/>
  <c r="J2166" i="1"/>
  <c r="I2166" i="1"/>
  <c r="F2168" i="1"/>
  <c r="C2169" i="1"/>
  <c r="D2168" i="1"/>
  <c r="H2168" i="1" l="1"/>
  <c r="J2168" i="1" s="1"/>
  <c r="J2167" i="1"/>
  <c r="F2169" i="1"/>
  <c r="C2170" i="1"/>
  <c r="D2169" i="1"/>
  <c r="H2169" i="1" l="1"/>
  <c r="J2169" i="1" s="1"/>
  <c r="I2168" i="1"/>
  <c r="F2170" i="1"/>
  <c r="D2170" i="1"/>
  <c r="C2171" i="1"/>
  <c r="H2170" i="1" l="1"/>
  <c r="J2170" i="1" s="1"/>
  <c r="I2169" i="1"/>
  <c r="F2171" i="1"/>
  <c r="C2172" i="1"/>
  <c r="D2171" i="1"/>
  <c r="H2171" i="1" l="1"/>
  <c r="J2171" i="1" s="1"/>
  <c r="I2170" i="1"/>
  <c r="F2172" i="1"/>
  <c r="D2172" i="1"/>
  <c r="C2173" i="1"/>
  <c r="H2172" i="1" l="1"/>
  <c r="J2172" i="1" s="1"/>
  <c r="I2171" i="1"/>
  <c r="F2173" i="1"/>
  <c r="C2174" i="1"/>
  <c r="D2173" i="1"/>
  <c r="H2173" i="1" l="1"/>
  <c r="J2173" i="1" s="1"/>
  <c r="I2172" i="1"/>
  <c r="F2174" i="1"/>
  <c r="C2175" i="1"/>
  <c r="D2174" i="1"/>
  <c r="I2173" i="1" l="1"/>
  <c r="H2174" i="1"/>
  <c r="J2174" i="1" s="1"/>
  <c r="F2175" i="1"/>
  <c r="D2175" i="1"/>
  <c r="C2176" i="1"/>
  <c r="H2175" i="1" l="1"/>
  <c r="J2175" i="1" s="1"/>
  <c r="I2174" i="1"/>
  <c r="F2176" i="1"/>
  <c r="C2177" i="1"/>
  <c r="D2176" i="1"/>
  <c r="H2176" i="1" l="1"/>
  <c r="J2176" i="1" s="1"/>
  <c r="I2175" i="1"/>
  <c r="F2177" i="1"/>
  <c r="D2177" i="1"/>
  <c r="C2178" i="1"/>
  <c r="H2177" i="1" l="1"/>
  <c r="J2177" i="1" s="1"/>
  <c r="I2176" i="1"/>
  <c r="F2178" i="1"/>
  <c r="D2178" i="1"/>
  <c r="C2179" i="1"/>
  <c r="H2178" i="1" l="1"/>
  <c r="J2178" i="1" s="1"/>
  <c r="I2177" i="1"/>
  <c r="F2179" i="1"/>
  <c r="C2180" i="1"/>
  <c r="D2179" i="1"/>
  <c r="H2179" i="1" l="1"/>
  <c r="J2179" i="1" s="1"/>
  <c r="I2178" i="1"/>
  <c r="F2180" i="1"/>
  <c r="D2180" i="1"/>
  <c r="C2181" i="1"/>
  <c r="I2179" i="1" l="1"/>
  <c r="H2180" i="1"/>
  <c r="J2180" i="1" s="1"/>
  <c r="F2181" i="1"/>
  <c r="C2182" i="1"/>
  <c r="D2181" i="1"/>
  <c r="H2181" i="1" l="1"/>
  <c r="J2181" i="1" s="1"/>
  <c r="I2180" i="1"/>
  <c r="F2182" i="1"/>
  <c r="D2182" i="1"/>
  <c r="C2183" i="1"/>
  <c r="H2182" i="1" l="1"/>
  <c r="J2182" i="1" s="1"/>
  <c r="I2181" i="1"/>
  <c r="F2183" i="1"/>
  <c r="C2184" i="1"/>
  <c r="D2183" i="1"/>
  <c r="I2182" i="1" l="1"/>
  <c r="H2183" i="1"/>
  <c r="J2183" i="1" s="1"/>
  <c r="F2184" i="1"/>
  <c r="C2185" i="1"/>
  <c r="D2184" i="1"/>
  <c r="H2184" i="1" l="1"/>
  <c r="J2184" i="1" s="1"/>
  <c r="I2183" i="1"/>
  <c r="F2185" i="1"/>
  <c r="C2186" i="1"/>
  <c r="D2185" i="1"/>
  <c r="H2185" i="1" l="1"/>
  <c r="J2185" i="1" s="1"/>
  <c r="I2184" i="1"/>
  <c r="F2186" i="1"/>
  <c r="C2187" i="1"/>
  <c r="D2186" i="1"/>
  <c r="H2186" i="1" l="1"/>
  <c r="J2186" i="1" s="1"/>
  <c r="I2185" i="1"/>
  <c r="F2187" i="1"/>
  <c r="D2187" i="1"/>
  <c r="C2188" i="1"/>
  <c r="H2187" i="1" l="1"/>
  <c r="J2187" i="1" s="1"/>
  <c r="I2186" i="1"/>
  <c r="F2188" i="1"/>
  <c r="C2189" i="1"/>
  <c r="D2188" i="1"/>
  <c r="H2188" i="1" l="1"/>
  <c r="J2188" i="1" s="1"/>
  <c r="I2187" i="1"/>
  <c r="F2189" i="1"/>
  <c r="C2190" i="1"/>
  <c r="D2189" i="1"/>
  <c r="I2188" i="1" l="1"/>
  <c r="H2189" i="1"/>
  <c r="J2189" i="1" s="1"/>
  <c r="F2190" i="1"/>
  <c r="D2190" i="1"/>
  <c r="C2191" i="1"/>
  <c r="H2190" i="1" l="1"/>
  <c r="J2190" i="1" s="1"/>
  <c r="I2189" i="1"/>
  <c r="F2191" i="1"/>
  <c r="C2192" i="1"/>
  <c r="D2191" i="1"/>
  <c r="H2191" i="1" l="1"/>
  <c r="J2191" i="1" s="1"/>
  <c r="I2190" i="1"/>
  <c r="F2192" i="1"/>
  <c r="D2192" i="1"/>
  <c r="C2193" i="1"/>
  <c r="I2191" i="1" l="1"/>
  <c r="H2192" i="1"/>
  <c r="J2192" i="1" s="1"/>
  <c r="F2193" i="1"/>
  <c r="C2194" i="1"/>
  <c r="D2193" i="1"/>
  <c r="I2192" i="1" l="1"/>
  <c r="H2193" i="1"/>
  <c r="J2193" i="1" s="1"/>
  <c r="F2194" i="1"/>
  <c r="D2194" i="1"/>
  <c r="C2195" i="1"/>
  <c r="I2193" i="1" l="1"/>
  <c r="H2194" i="1"/>
  <c r="J2194" i="1" s="1"/>
  <c r="F2195" i="1"/>
  <c r="D2195" i="1"/>
  <c r="C2196" i="1"/>
  <c r="I2194" i="1" l="1"/>
  <c r="H2195" i="1"/>
  <c r="J2195" i="1" s="1"/>
  <c r="F2196" i="1"/>
  <c r="D2196" i="1"/>
  <c r="C2197" i="1"/>
  <c r="I2195" i="1" l="1"/>
  <c r="H2196" i="1"/>
  <c r="J2196" i="1" s="1"/>
  <c r="F2197" i="1"/>
  <c r="C2198" i="1"/>
  <c r="D2197" i="1"/>
  <c r="I2196" i="1" l="1"/>
  <c r="H2197" i="1"/>
  <c r="J2197" i="1" s="1"/>
  <c r="F2198" i="1"/>
  <c r="C2199" i="1"/>
  <c r="D2198" i="1"/>
  <c r="I2197" i="1" l="1"/>
  <c r="H2198" i="1"/>
  <c r="J2198" i="1" s="1"/>
  <c r="F2199" i="1"/>
  <c r="D2199" i="1"/>
  <c r="C2200" i="1"/>
  <c r="I2198" i="1" l="1"/>
  <c r="H2199" i="1"/>
  <c r="J2199" i="1" s="1"/>
  <c r="F2200" i="1"/>
  <c r="D2200" i="1"/>
  <c r="C2201" i="1"/>
  <c r="I2199" i="1" l="1"/>
  <c r="H2200" i="1"/>
  <c r="J2200" i="1" s="1"/>
  <c r="F2201" i="1"/>
  <c r="C2202" i="1"/>
  <c r="D2201" i="1"/>
  <c r="I2200" i="1" l="1"/>
  <c r="H2201" i="1"/>
  <c r="J2201" i="1" s="1"/>
  <c r="F2202" i="1"/>
  <c r="C2203" i="1"/>
  <c r="D2202" i="1"/>
  <c r="I2201" i="1" l="1"/>
  <c r="H2202" i="1"/>
  <c r="J2202" i="1" s="1"/>
  <c r="F2203" i="1"/>
  <c r="C2204" i="1"/>
  <c r="D2203" i="1"/>
  <c r="I2202" i="1" l="1"/>
  <c r="H2203" i="1"/>
  <c r="J2203" i="1" s="1"/>
  <c r="F2204" i="1"/>
  <c r="D2204" i="1"/>
  <c r="C2205" i="1"/>
  <c r="H2204" i="1" l="1"/>
  <c r="J2204" i="1" s="1"/>
  <c r="I2203" i="1"/>
  <c r="F2205" i="1"/>
  <c r="D2205" i="1"/>
  <c r="C2206" i="1"/>
  <c r="H2205" i="1" l="1"/>
  <c r="J2205" i="1" s="1"/>
  <c r="I2204" i="1"/>
  <c r="F2206" i="1"/>
  <c r="C2207" i="1"/>
  <c r="D2206" i="1"/>
  <c r="H2206" i="1" l="1"/>
  <c r="J2206" i="1" s="1"/>
  <c r="I2205" i="1"/>
  <c r="F2207" i="1"/>
  <c r="C2208" i="1"/>
  <c r="D2207" i="1"/>
  <c r="H2207" i="1" l="1"/>
  <c r="J2207" i="1" s="1"/>
  <c r="I2206" i="1"/>
  <c r="F2208" i="1"/>
  <c r="C2209" i="1"/>
  <c r="D2208" i="1"/>
  <c r="H2208" i="1" l="1"/>
  <c r="J2208" i="1" s="1"/>
  <c r="I2207" i="1"/>
  <c r="F2209" i="1"/>
  <c r="C2210" i="1"/>
  <c r="D2209" i="1"/>
  <c r="I2208" i="1" l="1"/>
  <c r="H2209" i="1"/>
  <c r="J2209" i="1" s="1"/>
  <c r="F2210" i="1"/>
  <c r="D2210" i="1"/>
  <c r="C2211" i="1"/>
  <c r="I2209" i="1" l="1"/>
  <c r="H2210" i="1"/>
  <c r="J2210" i="1" s="1"/>
  <c r="F2211" i="1"/>
  <c r="C2212" i="1"/>
  <c r="D2211" i="1"/>
  <c r="I2210" i="1" l="1"/>
  <c r="H2211" i="1"/>
  <c r="J2211" i="1" s="1"/>
  <c r="F2212" i="1"/>
  <c r="C2213" i="1"/>
  <c r="D2212" i="1"/>
  <c r="H2212" i="1" l="1"/>
  <c r="J2212" i="1" s="1"/>
  <c r="I2211" i="1"/>
  <c r="F2213" i="1"/>
  <c r="C2214" i="1"/>
  <c r="D2213" i="1"/>
  <c r="H2213" i="1" l="1"/>
  <c r="J2213" i="1" s="1"/>
  <c r="I2212" i="1"/>
  <c r="F2214" i="1"/>
  <c r="C2215" i="1"/>
  <c r="D2214" i="1"/>
  <c r="H2214" i="1" l="1"/>
  <c r="J2214" i="1" s="1"/>
  <c r="I2213" i="1"/>
  <c r="F2215" i="1"/>
  <c r="D2215" i="1"/>
  <c r="C2216" i="1"/>
  <c r="H2215" i="1" l="1"/>
  <c r="J2215" i="1" s="1"/>
  <c r="I2214" i="1"/>
  <c r="F2216" i="1"/>
  <c r="C2217" i="1"/>
  <c r="D2216" i="1"/>
  <c r="H2216" i="1" l="1"/>
  <c r="J2216" i="1" s="1"/>
  <c r="I2215" i="1"/>
  <c r="F2217" i="1"/>
  <c r="D2217" i="1"/>
  <c r="C2218" i="1"/>
  <c r="H2217" i="1" l="1"/>
  <c r="J2217" i="1" s="1"/>
  <c r="I2216" i="1"/>
  <c r="F2218" i="1"/>
  <c r="D2218" i="1"/>
  <c r="C2219" i="1"/>
  <c r="H2218" i="1" l="1"/>
  <c r="J2218" i="1" s="1"/>
  <c r="I2217" i="1"/>
  <c r="F2219" i="1"/>
  <c r="D2219" i="1"/>
  <c r="C2220" i="1"/>
  <c r="H2219" i="1" l="1"/>
  <c r="J2219" i="1" s="1"/>
  <c r="I2218" i="1"/>
  <c r="F2220" i="1"/>
  <c r="C2221" i="1"/>
  <c r="D2220" i="1"/>
  <c r="H2220" i="1" l="1"/>
  <c r="J2220" i="1" s="1"/>
  <c r="I2219" i="1"/>
  <c r="F2221" i="1"/>
  <c r="C2222" i="1"/>
  <c r="D2221" i="1"/>
  <c r="H2221" i="1" l="1"/>
  <c r="J2221" i="1" s="1"/>
  <c r="I2220" i="1"/>
  <c r="F2222" i="1"/>
  <c r="C2223" i="1"/>
  <c r="D2222" i="1"/>
  <c r="I2221" i="1" l="1"/>
  <c r="H2222" i="1"/>
  <c r="J2222" i="1" s="1"/>
  <c r="F2223" i="1"/>
  <c r="D2223" i="1"/>
  <c r="C2224" i="1"/>
  <c r="H2223" i="1" l="1"/>
  <c r="J2223" i="1" s="1"/>
  <c r="I2222" i="1"/>
  <c r="F2224" i="1"/>
  <c r="C2225" i="1"/>
  <c r="D2224" i="1"/>
  <c r="I2223" i="1" l="1"/>
  <c r="H2224" i="1"/>
  <c r="J2224" i="1" s="1"/>
  <c r="F2225" i="1"/>
  <c r="C2226" i="1"/>
  <c r="D2225" i="1"/>
  <c r="H2225" i="1" l="1"/>
  <c r="J2225" i="1" s="1"/>
  <c r="I2224" i="1"/>
  <c r="F2226" i="1"/>
  <c r="C2227" i="1"/>
  <c r="D2226" i="1"/>
  <c r="I2225" i="1" l="1"/>
  <c r="H2226" i="1"/>
  <c r="J2226" i="1" s="1"/>
  <c r="F2227" i="1"/>
  <c r="D2227" i="1"/>
  <c r="C2228" i="1"/>
  <c r="H2227" i="1" l="1"/>
  <c r="J2227" i="1" s="1"/>
  <c r="I2226" i="1"/>
  <c r="F2228" i="1"/>
  <c r="C2229" i="1"/>
  <c r="D2228" i="1"/>
  <c r="I2227" i="1" l="1"/>
  <c r="H2228" i="1"/>
  <c r="J2228" i="1" s="1"/>
  <c r="F2229" i="1"/>
  <c r="D2229" i="1"/>
  <c r="C2230" i="1"/>
  <c r="I2228" i="1" l="1"/>
  <c r="H2229" i="1"/>
  <c r="J2229" i="1" s="1"/>
  <c r="F2230" i="1"/>
  <c r="C2231" i="1"/>
  <c r="D2230" i="1"/>
  <c r="I2229" i="1" l="1"/>
  <c r="H2230" i="1"/>
  <c r="J2230" i="1" s="1"/>
  <c r="F2231" i="1"/>
  <c r="C2232" i="1"/>
  <c r="D2231" i="1"/>
  <c r="I2230" i="1" l="1"/>
  <c r="H2231" i="1"/>
  <c r="J2231" i="1" s="1"/>
  <c r="F2232" i="1"/>
  <c r="C2233" i="1"/>
  <c r="D2232" i="1"/>
  <c r="I2231" i="1" l="1"/>
  <c r="H2232" i="1"/>
  <c r="J2232" i="1" s="1"/>
  <c r="F2233" i="1"/>
  <c r="C2234" i="1"/>
  <c r="D2233" i="1"/>
  <c r="I2232" i="1" l="1"/>
  <c r="H2233" i="1"/>
  <c r="J2233" i="1" s="1"/>
  <c r="F2234" i="1"/>
  <c r="C2235" i="1"/>
  <c r="D2234" i="1"/>
  <c r="I2233" i="1" l="1"/>
  <c r="H2234" i="1"/>
  <c r="J2234" i="1" s="1"/>
  <c r="F2235" i="1"/>
  <c r="C2236" i="1"/>
  <c r="D2235" i="1"/>
  <c r="I2234" i="1" l="1"/>
  <c r="H2235" i="1"/>
  <c r="J2235" i="1" s="1"/>
  <c r="F2236" i="1"/>
  <c r="C2237" i="1"/>
  <c r="D2236" i="1"/>
  <c r="I2235" i="1" l="1"/>
  <c r="H2236" i="1"/>
  <c r="J2236" i="1" s="1"/>
  <c r="F2237" i="1"/>
  <c r="D2237" i="1"/>
  <c r="C2238" i="1"/>
  <c r="I2236" i="1" l="1"/>
  <c r="H2237" i="1"/>
  <c r="J2237" i="1" s="1"/>
  <c r="F2238" i="1"/>
  <c r="C2239" i="1"/>
  <c r="D2238" i="1"/>
  <c r="I2237" i="1" l="1"/>
  <c r="H2238" i="1"/>
  <c r="J2238" i="1" s="1"/>
  <c r="F2239" i="1"/>
  <c r="C2240" i="1"/>
  <c r="D2239" i="1"/>
  <c r="I2238" i="1" l="1"/>
  <c r="H2239" i="1"/>
  <c r="J2239" i="1" s="1"/>
  <c r="F2240" i="1"/>
  <c r="C2241" i="1"/>
  <c r="D2240" i="1"/>
  <c r="I2239" i="1" l="1"/>
  <c r="H2240" i="1"/>
  <c r="J2240" i="1" s="1"/>
  <c r="F2241" i="1"/>
  <c r="C2242" i="1"/>
  <c r="D2241" i="1"/>
  <c r="I2240" i="1" l="1"/>
  <c r="H2241" i="1"/>
  <c r="J2241" i="1" s="1"/>
  <c r="F2242" i="1"/>
  <c r="C2243" i="1"/>
  <c r="D2242" i="1"/>
  <c r="I2241" i="1" l="1"/>
  <c r="H2242" i="1"/>
  <c r="J2242" i="1" s="1"/>
  <c r="F2243" i="1"/>
  <c r="D2243" i="1"/>
  <c r="C2244" i="1"/>
  <c r="I2242" i="1" l="1"/>
  <c r="H2243" i="1"/>
  <c r="J2243" i="1" s="1"/>
  <c r="F2244" i="1"/>
  <c r="C2245" i="1"/>
  <c r="D2244" i="1"/>
  <c r="I2243" i="1" l="1"/>
  <c r="H2244" i="1"/>
  <c r="J2244" i="1" s="1"/>
  <c r="F2245" i="1"/>
  <c r="D2245" i="1"/>
  <c r="C2246" i="1"/>
  <c r="I2244" i="1" l="1"/>
  <c r="H2245" i="1"/>
  <c r="J2245" i="1" s="1"/>
  <c r="F2246" i="1"/>
  <c r="C2247" i="1"/>
  <c r="D2246" i="1"/>
  <c r="I2245" i="1" l="1"/>
  <c r="H2246" i="1"/>
  <c r="J2246" i="1" s="1"/>
  <c r="F2247" i="1"/>
  <c r="C2248" i="1"/>
  <c r="D2247" i="1"/>
  <c r="I2246" i="1" l="1"/>
  <c r="H2247" i="1"/>
  <c r="J2247" i="1" s="1"/>
  <c r="F2248" i="1"/>
  <c r="C2249" i="1"/>
  <c r="D2248" i="1"/>
  <c r="I2247" i="1" l="1"/>
  <c r="H2248" i="1"/>
  <c r="J2248" i="1" s="1"/>
  <c r="F2249" i="1"/>
  <c r="D2249" i="1"/>
  <c r="C2250" i="1"/>
  <c r="I2248" i="1" l="1"/>
  <c r="H2249" i="1"/>
  <c r="J2249" i="1" s="1"/>
  <c r="F2250" i="1"/>
  <c r="C2251" i="1"/>
  <c r="D2250" i="1"/>
  <c r="I2249" i="1" l="1"/>
  <c r="H2250" i="1"/>
  <c r="J2250" i="1" s="1"/>
  <c r="F2251" i="1"/>
  <c r="C2252" i="1"/>
  <c r="D2251" i="1"/>
  <c r="I2250" i="1" l="1"/>
  <c r="H2251" i="1"/>
  <c r="J2251" i="1" s="1"/>
  <c r="F2252" i="1"/>
  <c r="C2253" i="1"/>
  <c r="D2252" i="1"/>
  <c r="I2251" i="1" l="1"/>
  <c r="H2252" i="1"/>
  <c r="J2252" i="1" s="1"/>
  <c r="F2253" i="1"/>
  <c r="C2254" i="1"/>
  <c r="D2253" i="1"/>
  <c r="I2252" i="1" l="1"/>
  <c r="H2253" i="1"/>
  <c r="J2253" i="1" s="1"/>
  <c r="F2254" i="1"/>
  <c r="C2255" i="1"/>
  <c r="D2254" i="1"/>
  <c r="I2253" i="1" l="1"/>
  <c r="H2254" i="1"/>
  <c r="J2254" i="1" s="1"/>
  <c r="F2255" i="1"/>
  <c r="D2255" i="1"/>
  <c r="C2256" i="1"/>
  <c r="H2255" i="1" l="1"/>
  <c r="J2255" i="1" s="1"/>
  <c r="I2254" i="1"/>
  <c r="F2256" i="1"/>
  <c r="D2256" i="1"/>
  <c r="C2257" i="1"/>
  <c r="I2255" i="1" l="1"/>
  <c r="H2256" i="1"/>
  <c r="I2256" i="1" s="1"/>
  <c r="F2257" i="1"/>
  <c r="D2257" i="1"/>
  <c r="C2258" i="1"/>
  <c r="H2257" i="1" l="1"/>
  <c r="J2256" i="1"/>
  <c r="F2258" i="1"/>
  <c r="C2259" i="1"/>
  <c r="D2258" i="1"/>
  <c r="H2258" i="1" l="1"/>
  <c r="J2257" i="1"/>
  <c r="I2257" i="1"/>
  <c r="F2259" i="1"/>
  <c r="C2260" i="1"/>
  <c r="D2259" i="1"/>
  <c r="H2259" i="1" l="1"/>
  <c r="J2258" i="1"/>
  <c r="I2258" i="1"/>
  <c r="F2260" i="1"/>
  <c r="D2260" i="1"/>
  <c r="C2261" i="1"/>
  <c r="H2260" i="1" l="1"/>
  <c r="J2259" i="1"/>
  <c r="I2259" i="1"/>
  <c r="F2261" i="1"/>
  <c r="C2262" i="1"/>
  <c r="D2261" i="1"/>
  <c r="H2261" i="1" l="1"/>
  <c r="I2261" i="1" s="1"/>
  <c r="J2260" i="1"/>
  <c r="I2260" i="1"/>
  <c r="F2262" i="1"/>
  <c r="D2262" i="1"/>
  <c r="C2263" i="1"/>
  <c r="H2262" i="1" l="1"/>
  <c r="J2261" i="1"/>
  <c r="F2263" i="1"/>
  <c r="C2264" i="1"/>
  <c r="D2263" i="1"/>
  <c r="H2263" i="1" l="1"/>
  <c r="J2262" i="1"/>
  <c r="I2262" i="1"/>
  <c r="I2263" i="1"/>
  <c r="F2264" i="1"/>
  <c r="C2265" i="1"/>
  <c r="D2264" i="1"/>
  <c r="H2264" i="1" l="1"/>
  <c r="J2263" i="1"/>
  <c r="F2265" i="1"/>
  <c r="C2266" i="1"/>
  <c r="D2265" i="1"/>
  <c r="H2265" i="1" l="1"/>
  <c r="I2265" i="1" s="1"/>
  <c r="J2264" i="1"/>
  <c r="I2264" i="1"/>
  <c r="F2266" i="1"/>
  <c r="D2266" i="1"/>
  <c r="C2267" i="1"/>
  <c r="H2266" i="1" l="1"/>
  <c r="J2265" i="1"/>
  <c r="F2267" i="1"/>
  <c r="D2267" i="1"/>
  <c r="C2268" i="1"/>
  <c r="H2267" i="1" l="1"/>
  <c r="J2266" i="1"/>
  <c r="I2266" i="1"/>
  <c r="F2268" i="1"/>
  <c r="C2269" i="1"/>
  <c r="D2268" i="1"/>
  <c r="H2268" i="1" l="1"/>
  <c r="J2267" i="1"/>
  <c r="I2267" i="1"/>
  <c r="F2269" i="1"/>
  <c r="C2270" i="1"/>
  <c r="D2269" i="1"/>
  <c r="H2269" i="1" l="1"/>
  <c r="J2268" i="1"/>
  <c r="I2268" i="1"/>
  <c r="F2270" i="1"/>
  <c r="C2271" i="1"/>
  <c r="D2270" i="1"/>
  <c r="H2270" i="1" l="1"/>
  <c r="I2270" i="1" s="1"/>
  <c r="J2269" i="1"/>
  <c r="I2269" i="1"/>
  <c r="F2271" i="1"/>
  <c r="C2272" i="1"/>
  <c r="D2271" i="1"/>
  <c r="H2271" i="1" l="1"/>
  <c r="I2271" i="1" s="1"/>
  <c r="J2270" i="1"/>
  <c r="F2272" i="1"/>
  <c r="D2272" i="1"/>
  <c r="C2273" i="1"/>
  <c r="H2272" i="1" l="1"/>
  <c r="J2271" i="1"/>
  <c r="F2273" i="1"/>
  <c r="D2273" i="1"/>
  <c r="C2274" i="1"/>
  <c r="H2273" i="1" l="1"/>
  <c r="J2272" i="1"/>
  <c r="I2272" i="1"/>
  <c r="F2274" i="1"/>
  <c r="C2275" i="1"/>
  <c r="D2274" i="1"/>
  <c r="H2274" i="1" l="1"/>
  <c r="J2273" i="1"/>
  <c r="I2273" i="1"/>
  <c r="F2275" i="1"/>
  <c r="C2276" i="1"/>
  <c r="D2275" i="1"/>
  <c r="H2275" i="1" l="1"/>
  <c r="J2274" i="1"/>
  <c r="I2274" i="1"/>
  <c r="F2276" i="1"/>
  <c r="C2277" i="1"/>
  <c r="D2276" i="1"/>
  <c r="H2276" i="1" l="1"/>
  <c r="J2275" i="1"/>
  <c r="I2275" i="1"/>
  <c r="F2277" i="1"/>
  <c r="C2278" i="1"/>
  <c r="D2277" i="1"/>
  <c r="H2277" i="1" l="1"/>
  <c r="I2277" i="1" s="1"/>
  <c r="J2276" i="1"/>
  <c r="I2276" i="1"/>
  <c r="F2278" i="1"/>
  <c r="C2279" i="1"/>
  <c r="D2278" i="1"/>
  <c r="H2278" i="1" l="1"/>
  <c r="I2278" i="1" s="1"/>
  <c r="J2277" i="1"/>
  <c r="F2279" i="1"/>
  <c r="D2279" i="1"/>
  <c r="C2280" i="1"/>
  <c r="H2279" i="1" l="1"/>
  <c r="I2279" i="1" s="1"/>
  <c r="J2278" i="1"/>
  <c r="F2280" i="1"/>
  <c r="C2281" i="1"/>
  <c r="D2280" i="1"/>
  <c r="H2280" i="1" l="1"/>
  <c r="J2279" i="1"/>
  <c r="F2281" i="1"/>
  <c r="C2282" i="1"/>
  <c r="D2281" i="1"/>
  <c r="H2281" i="1" l="1"/>
  <c r="J2280" i="1"/>
  <c r="I2280" i="1"/>
  <c r="F2282" i="1"/>
  <c r="C2283" i="1"/>
  <c r="D2282" i="1"/>
  <c r="H2282" i="1" l="1"/>
  <c r="J2281" i="1"/>
  <c r="I2281" i="1"/>
  <c r="F2283" i="1"/>
  <c r="D2283" i="1"/>
  <c r="C2284" i="1"/>
  <c r="H2283" i="1" l="1"/>
  <c r="J2282" i="1"/>
  <c r="I2282" i="1"/>
  <c r="F2284" i="1"/>
  <c r="C2285" i="1"/>
  <c r="D2284" i="1"/>
  <c r="H2284" i="1" l="1"/>
  <c r="J2283" i="1"/>
  <c r="I2283" i="1"/>
  <c r="F2285" i="1"/>
  <c r="C2286" i="1"/>
  <c r="D2285" i="1"/>
  <c r="H2285" i="1" l="1"/>
  <c r="J2284" i="1"/>
  <c r="I2285" i="1"/>
  <c r="I2284" i="1"/>
  <c r="F2286" i="1"/>
  <c r="C2287" i="1"/>
  <c r="D2286" i="1"/>
  <c r="H2286" i="1" l="1"/>
  <c r="J2285" i="1"/>
  <c r="F2287" i="1"/>
  <c r="C2288" i="1"/>
  <c r="D2287" i="1"/>
  <c r="H2287" i="1" l="1"/>
  <c r="J2286" i="1"/>
  <c r="I2286" i="1"/>
  <c r="F2288" i="1"/>
  <c r="C2289" i="1"/>
  <c r="D2288" i="1"/>
  <c r="H2288" i="1" l="1"/>
  <c r="J2287" i="1"/>
  <c r="I2287" i="1"/>
  <c r="F2289" i="1"/>
  <c r="C2290" i="1"/>
  <c r="D2289" i="1"/>
  <c r="H2289" i="1" l="1"/>
  <c r="J2288" i="1"/>
  <c r="I2288" i="1"/>
  <c r="F2290" i="1"/>
  <c r="C2291" i="1"/>
  <c r="D2290" i="1"/>
  <c r="H2290" i="1" l="1"/>
  <c r="J2289" i="1"/>
  <c r="I2289" i="1"/>
  <c r="F2291" i="1"/>
  <c r="D2291" i="1"/>
  <c r="C2292" i="1"/>
  <c r="H2291" i="1" l="1"/>
  <c r="I2291" i="1" s="1"/>
  <c r="J2290" i="1"/>
  <c r="I2290" i="1"/>
  <c r="F2292" i="1"/>
  <c r="C2293" i="1"/>
  <c r="D2292" i="1"/>
  <c r="H2292" i="1" l="1"/>
  <c r="I2292" i="1" s="1"/>
  <c r="J2291" i="1"/>
  <c r="F2293" i="1"/>
  <c r="D2293" i="1"/>
  <c r="C2294" i="1"/>
  <c r="H2293" i="1" l="1"/>
  <c r="J2292" i="1"/>
  <c r="F2294" i="1"/>
  <c r="D2294" i="1"/>
  <c r="C2295" i="1"/>
  <c r="H2294" i="1" l="1"/>
  <c r="J2293" i="1"/>
  <c r="I2293" i="1"/>
  <c r="F2295" i="1"/>
  <c r="D2295" i="1"/>
  <c r="C2296" i="1"/>
  <c r="H2295" i="1" l="1"/>
  <c r="J2294" i="1"/>
  <c r="I2294" i="1"/>
  <c r="F2296" i="1"/>
  <c r="C2297" i="1"/>
  <c r="D2296" i="1"/>
  <c r="H2296" i="1" l="1"/>
  <c r="J2295" i="1"/>
  <c r="I2295" i="1"/>
  <c r="F2297" i="1"/>
  <c r="C2298" i="1"/>
  <c r="D2297" i="1"/>
  <c r="H2297" i="1" l="1"/>
  <c r="J2296" i="1"/>
  <c r="I2296" i="1"/>
  <c r="F2298" i="1"/>
  <c r="D2298" i="1"/>
  <c r="C2299" i="1"/>
  <c r="H2298" i="1" l="1"/>
  <c r="I2298" i="1" s="1"/>
  <c r="J2297" i="1"/>
  <c r="I2297" i="1"/>
  <c r="F2299" i="1"/>
  <c r="C2300" i="1"/>
  <c r="D2299" i="1"/>
  <c r="H2299" i="1" l="1"/>
  <c r="I2299" i="1" s="1"/>
  <c r="J2298" i="1"/>
  <c r="F2300" i="1"/>
  <c r="C2301" i="1"/>
  <c r="D2300" i="1"/>
  <c r="H2300" i="1" l="1"/>
  <c r="I2300" i="1" s="1"/>
  <c r="J2299" i="1"/>
  <c r="F2301" i="1"/>
  <c r="C2302" i="1"/>
  <c r="D2301" i="1"/>
  <c r="H2301" i="1" l="1"/>
  <c r="J2300" i="1"/>
  <c r="F2302" i="1"/>
  <c r="D2302" i="1"/>
  <c r="C2303" i="1"/>
  <c r="H2302" i="1" l="1"/>
  <c r="J2301" i="1"/>
  <c r="I2301" i="1"/>
  <c r="F2303" i="1"/>
  <c r="C2304" i="1"/>
  <c r="D2303" i="1"/>
  <c r="H2303" i="1" l="1"/>
  <c r="J2302" i="1"/>
  <c r="I2302" i="1"/>
  <c r="F2304" i="1"/>
  <c r="D2304" i="1"/>
  <c r="C2305" i="1"/>
  <c r="H2304" i="1" l="1"/>
  <c r="J2303" i="1"/>
  <c r="I2303" i="1"/>
  <c r="F2305" i="1"/>
  <c r="C2306" i="1"/>
  <c r="D2305" i="1"/>
  <c r="H2305" i="1" l="1"/>
  <c r="J2305" i="1" s="1"/>
  <c r="J2304" i="1"/>
  <c r="I2304" i="1"/>
  <c r="F2306" i="1"/>
  <c r="D2306" i="1"/>
  <c r="C2307" i="1"/>
  <c r="H2306" i="1" l="1"/>
  <c r="I2306" i="1" s="1"/>
  <c r="I2305" i="1"/>
  <c r="F2307" i="1"/>
  <c r="D2307" i="1"/>
  <c r="C2308" i="1"/>
  <c r="H2307" i="1" l="1"/>
  <c r="I2307" i="1" s="1"/>
  <c r="J2306" i="1"/>
  <c r="F2308" i="1"/>
  <c r="C2309" i="1"/>
  <c r="D2308" i="1"/>
  <c r="H2308" i="1" l="1"/>
  <c r="I2308" i="1" s="1"/>
  <c r="J2307" i="1"/>
  <c r="F2309" i="1"/>
  <c r="D2309" i="1"/>
  <c r="C2310" i="1"/>
  <c r="H2309" i="1" l="1"/>
  <c r="J2308" i="1"/>
  <c r="F2310" i="1"/>
  <c r="D2310" i="1"/>
  <c r="C2311" i="1"/>
  <c r="H2310" i="1" l="1"/>
  <c r="J2309" i="1"/>
  <c r="I2309" i="1"/>
  <c r="F2311" i="1"/>
  <c r="D2311" i="1"/>
  <c r="C2312" i="1"/>
  <c r="H2311" i="1" l="1"/>
  <c r="J2310" i="1"/>
  <c r="I2310" i="1"/>
  <c r="F2312" i="1"/>
  <c r="C2313" i="1"/>
  <c r="D2312" i="1"/>
  <c r="H2312" i="1" l="1"/>
  <c r="J2311" i="1"/>
  <c r="I2311" i="1"/>
  <c r="F2313" i="1"/>
  <c r="C2314" i="1"/>
  <c r="D2313" i="1"/>
  <c r="H2313" i="1" l="1"/>
  <c r="J2312" i="1"/>
  <c r="I2312" i="1"/>
  <c r="F2314" i="1"/>
  <c r="D2314" i="1"/>
  <c r="C2315" i="1"/>
  <c r="H2314" i="1" l="1"/>
  <c r="J2313" i="1"/>
  <c r="I2313" i="1"/>
  <c r="F2315" i="1"/>
  <c r="C2316" i="1"/>
  <c r="D2315" i="1"/>
  <c r="H2315" i="1" l="1"/>
  <c r="I2315" i="1" s="1"/>
  <c r="J2314" i="1"/>
  <c r="I2314" i="1"/>
  <c r="F2316" i="1"/>
  <c r="C2317" i="1"/>
  <c r="D2316" i="1"/>
  <c r="H2316" i="1" l="1"/>
  <c r="J2315" i="1"/>
  <c r="F2317" i="1"/>
  <c r="C2318" i="1"/>
  <c r="D2317" i="1"/>
  <c r="H2317" i="1" l="1"/>
  <c r="J2316" i="1"/>
  <c r="I2316" i="1"/>
  <c r="F2318" i="1"/>
  <c r="D2318" i="1"/>
  <c r="C2319" i="1"/>
  <c r="H2318" i="1" l="1"/>
  <c r="J2317" i="1"/>
  <c r="I2317" i="1"/>
  <c r="F2319" i="1"/>
  <c r="D2319" i="1"/>
  <c r="C2320" i="1"/>
  <c r="H2319" i="1" l="1"/>
  <c r="J2318" i="1"/>
  <c r="I2318" i="1"/>
  <c r="F2320" i="1"/>
  <c r="D2320" i="1"/>
  <c r="C2321" i="1"/>
  <c r="H2320" i="1" l="1"/>
  <c r="J2320" i="1" s="1"/>
  <c r="J2319" i="1"/>
  <c r="I2319" i="1"/>
  <c r="F2321" i="1"/>
  <c r="C2322" i="1"/>
  <c r="D2321" i="1"/>
  <c r="H2321" i="1" l="1"/>
  <c r="I2321" i="1" s="1"/>
  <c r="I2320" i="1"/>
  <c r="F2322" i="1"/>
  <c r="C2323" i="1"/>
  <c r="D2322" i="1"/>
  <c r="H2322" i="1" l="1"/>
  <c r="I2322" i="1" s="1"/>
  <c r="J2321" i="1"/>
  <c r="F2323" i="1"/>
  <c r="C2324" i="1"/>
  <c r="D2323" i="1"/>
  <c r="H2323" i="1" l="1"/>
  <c r="J2322" i="1"/>
  <c r="F2324" i="1"/>
  <c r="D2324" i="1"/>
  <c r="C2325" i="1"/>
  <c r="H2324" i="1" l="1"/>
  <c r="J2323" i="1"/>
  <c r="I2323" i="1"/>
  <c r="F2325" i="1"/>
  <c r="C2326" i="1"/>
  <c r="D2325" i="1"/>
  <c r="H2325" i="1" l="1"/>
  <c r="I2325" i="1" s="1"/>
  <c r="J2324" i="1"/>
  <c r="I2324" i="1"/>
  <c r="F2326" i="1"/>
  <c r="C2327" i="1"/>
  <c r="D2326" i="1"/>
  <c r="H2326" i="1" l="1"/>
  <c r="J2325" i="1"/>
  <c r="F2327" i="1"/>
  <c r="C2328" i="1"/>
  <c r="D2327" i="1"/>
  <c r="H2327" i="1" l="1"/>
  <c r="J2326" i="1"/>
  <c r="I2326" i="1"/>
  <c r="F2328" i="1"/>
  <c r="D2328" i="1"/>
  <c r="C2329" i="1"/>
  <c r="H2328" i="1" l="1"/>
  <c r="J2327" i="1"/>
  <c r="I2327" i="1"/>
  <c r="F2329" i="1"/>
  <c r="C2330" i="1"/>
  <c r="D2329" i="1"/>
  <c r="H2329" i="1" l="1"/>
  <c r="J2328" i="1"/>
  <c r="I2328" i="1"/>
  <c r="F2330" i="1"/>
  <c r="D2330" i="1"/>
  <c r="C2331" i="1"/>
  <c r="H2330" i="1" l="1"/>
  <c r="J2329" i="1"/>
  <c r="I2329" i="1"/>
  <c r="F2331" i="1"/>
  <c r="D2331" i="1"/>
  <c r="C2332" i="1"/>
  <c r="H2331" i="1" l="1"/>
  <c r="J2330" i="1"/>
  <c r="I2330" i="1"/>
  <c r="F2332" i="1"/>
  <c r="C2333" i="1"/>
  <c r="D2332" i="1"/>
  <c r="H2332" i="1" l="1"/>
  <c r="I2332" i="1" s="1"/>
  <c r="J2331" i="1"/>
  <c r="I2331" i="1"/>
  <c r="F2333" i="1"/>
  <c r="C2334" i="1"/>
  <c r="D2333" i="1"/>
  <c r="H2333" i="1" l="1"/>
  <c r="J2332" i="1"/>
  <c r="F2334" i="1"/>
  <c r="C2335" i="1"/>
  <c r="D2334" i="1"/>
  <c r="H2334" i="1" l="1"/>
  <c r="J2333" i="1"/>
  <c r="I2333" i="1"/>
  <c r="F2335" i="1"/>
  <c r="C2336" i="1"/>
  <c r="D2335" i="1"/>
  <c r="H2335" i="1" l="1"/>
  <c r="J2334" i="1"/>
  <c r="I2334" i="1"/>
  <c r="F2336" i="1"/>
  <c r="C2337" i="1"/>
  <c r="D2336" i="1"/>
  <c r="H2336" i="1" l="1"/>
  <c r="J2335" i="1"/>
  <c r="I2335" i="1"/>
  <c r="F2337" i="1"/>
  <c r="C2338" i="1"/>
  <c r="D2337" i="1"/>
  <c r="H2337" i="1" l="1"/>
  <c r="J2336" i="1"/>
  <c r="I2336" i="1"/>
  <c r="F2338" i="1"/>
  <c r="D2338" i="1"/>
  <c r="C2339" i="1"/>
  <c r="H2338" i="1" l="1"/>
  <c r="J2337" i="1"/>
  <c r="I2337" i="1"/>
  <c r="F2339" i="1"/>
  <c r="C2340" i="1"/>
  <c r="D2339" i="1"/>
  <c r="H2339" i="1" l="1"/>
  <c r="I2339" i="1" s="1"/>
  <c r="J2338" i="1"/>
  <c r="I2338" i="1"/>
  <c r="F2340" i="1"/>
  <c r="C2341" i="1"/>
  <c r="D2340" i="1"/>
  <c r="H2340" i="1" l="1"/>
  <c r="J2339" i="1"/>
  <c r="F2341" i="1"/>
  <c r="C2342" i="1"/>
  <c r="D2341" i="1"/>
  <c r="H2341" i="1" l="1"/>
  <c r="I2341" i="1" s="1"/>
  <c r="J2340" i="1"/>
  <c r="I2340" i="1"/>
  <c r="F2342" i="1"/>
  <c r="D2342" i="1"/>
  <c r="C2343" i="1"/>
  <c r="H2342" i="1" l="1"/>
  <c r="J2341" i="1"/>
  <c r="F2343" i="1"/>
  <c r="D2343" i="1"/>
  <c r="C2344" i="1"/>
  <c r="H2343" i="1" l="1"/>
  <c r="I2343" i="1" s="1"/>
  <c r="J2342" i="1"/>
  <c r="I2342" i="1"/>
  <c r="F2344" i="1"/>
  <c r="C2345" i="1"/>
  <c r="D2344" i="1"/>
  <c r="H2344" i="1" l="1"/>
  <c r="J2343" i="1"/>
  <c r="F2345" i="1"/>
  <c r="D2345" i="1"/>
  <c r="C2346" i="1"/>
  <c r="H2345" i="1" l="1"/>
  <c r="J2344" i="1"/>
  <c r="I2344" i="1"/>
  <c r="F2346" i="1"/>
  <c r="D2346" i="1"/>
  <c r="C2347" i="1"/>
  <c r="H2346" i="1" l="1"/>
  <c r="J2345" i="1"/>
  <c r="I2345" i="1"/>
  <c r="F2347" i="1"/>
  <c r="C2348" i="1"/>
  <c r="D2347" i="1"/>
  <c r="H2347" i="1" l="1"/>
  <c r="J2346" i="1"/>
  <c r="I2346" i="1"/>
  <c r="F2348" i="1"/>
  <c r="D2348" i="1"/>
  <c r="C2349" i="1"/>
  <c r="H2348" i="1" l="1"/>
  <c r="J2347" i="1"/>
  <c r="I2347" i="1"/>
  <c r="F2349" i="1"/>
  <c r="C2350" i="1"/>
  <c r="D2349" i="1"/>
  <c r="H2349" i="1" l="1"/>
  <c r="I2349" i="1" s="1"/>
  <c r="J2348" i="1"/>
  <c r="I2348" i="1"/>
  <c r="F2350" i="1"/>
  <c r="C2351" i="1"/>
  <c r="D2350" i="1"/>
  <c r="H2350" i="1" l="1"/>
  <c r="J2349" i="1"/>
  <c r="F2351" i="1"/>
  <c r="D2351" i="1"/>
  <c r="C2352" i="1"/>
  <c r="H2351" i="1" l="1"/>
  <c r="I2351" i="1" s="1"/>
  <c r="J2350" i="1"/>
  <c r="I2350" i="1"/>
  <c r="F2352" i="1"/>
  <c r="C2353" i="1"/>
  <c r="D2352" i="1"/>
  <c r="H2352" i="1" l="1"/>
  <c r="J2351" i="1"/>
  <c r="F2353" i="1"/>
  <c r="C2354" i="1"/>
  <c r="D2353" i="1"/>
  <c r="H2353" i="1" l="1"/>
  <c r="J2352" i="1"/>
  <c r="I2352" i="1"/>
  <c r="F2354" i="1"/>
  <c r="D2354" i="1"/>
  <c r="C2355" i="1"/>
  <c r="H2354" i="1" l="1"/>
  <c r="J2353" i="1"/>
  <c r="I2353" i="1"/>
  <c r="F2355" i="1"/>
  <c r="D2355" i="1"/>
  <c r="C2356" i="1"/>
  <c r="H2355" i="1" l="1"/>
  <c r="J2355" i="1" s="1"/>
  <c r="J2354" i="1"/>
  <c r="I2355" i="1"/>
  <c r="I2354" i="1"/>
  <c r="F2356" i="1"/>
  <c r="C2357" i="1"/>
  <c r="D2356" i="1"/>
  <c r="H2356" i="1" l="1"/>
  <c r="F2357" i="1"/>
  <c r="D2357" i="1"/>
  <c r="C2358" i="1"/>
  <c r="H2357" i="1" l="1"/>
  <c r="J2356" i="1"/>
  <c r="I2356" i="1"/>
  <c r="F2358" i="1"/>
  <c r="C2359" i="1"/>
  <c r="D2358" i="1"/>
  <c r="H2358" i="1" l="1"/>
  <c r="J2358" i="1" s="1"/>
  <c r="J2357" i="1"/>
  <c r="I2357" i="1"/>
  <c r="F2359" i="1"/>
  <c r="C2360" i="1"/>
  <c r="D2359" i="1"/>
  <c r="H2359" i="1" l="1"/>
  <c r="I2359" i="1" s="1"/>
  <c r="I2358" i="1"/>
  <c r="F2360" i="1"/>
  <c r="C2361" i="1"/>
  <c r="D2360" i="1"/>
  <c r="H2360" i="1" l="1"/>
  <c r="I2360" i="1" s="1"/>
  <c r="J2359" i="1"/>
  <c r="F2361" i="1"/>
  <c r="D2361" i="1"/>
  <c r="C2362" i="1"/>
  <c r="H2361" i="1" l="1"/>
  <c r="J2361" i="1" s="1"/>
  <c r="J2360" i="1"/>
  <c r="F2362" i="1"/>
  <c r="D2362" i="1"/>
  <c r="C2363" i="1"/>
  <c r="I2361" i="1" l="1"/>
  <c r="H2362" i="1"/>
  <c r="J2362" i="1" s="1"/>
  <c r="F2363" i="1"/>
  <c r="D2363" i="1"/>
  <c r="C2364" i="1"/>
  <c r="H2363" i="1" l="1"/>
  <c r="J2363" i="1" s="1"/>
  <c r="I2362" i="1"/>
  <c r="F2364" i="1"/>
  <c r="D2364" i="1"/>
  <c r="C2365" i="1"/>
  <c r="H2364" i="1" l="1"/>
  <c r="J2364" i="1" s="1"/>
  <c r="I2363" i="1"/>
  <c r="F2365" i="1"/>
  <c r="C2366" i="1"/>
  <c r="D2365" i="1"/>
  <c r="I2364" i="1" l="1"/>
  <c r="H2365" i="1"/>
  <c r="J2365" i="1" s="1"/>
  <c r="F2366" i="1"/>
  <c r="C2367" i="1"/>
  <c r="D2366" i="1"/>
  <c r="H2366" i="1" l="1"/>
  <c r="J2366" i="1" s="1"/>
  <c r="I2365" i="1"/>
  <c r="F2367" i="1"/>
  <c r="D2367" i="1"/>
  <c r="C2368" i="1"/>
  <c r="H2367" i="1" l="1"/>
  <c r="J2367" i="1" s="1"/>
  <c r="I2366" i="1"/>
  <c r="F2368" i="1"/>
  <c r="D2368" i="1"/>
  <c r="C2369" i="1"/>
  <c r="H2368" i="1" l="1"/>
  <c r="J2368" i="1" s="1"/>
  <c r="I2367" i="1"/>
  <c r="F2369" i="1"/>
  <c r="D2369" i="1"/>
  <c r="C2370" i="1"/>
  <c r="H2369" i="1" l="1"/>
  <c r="J2369" i="1" s="1"/>
  <c r="I2368" i="1"/>
  <c r="F2370" i="1"/>
  <c r="D2370" i="1"/>
  <c r="C2371" i="1"/>
  <c r="H2370" i="1" l="1"/>
  <c r="J2370" i="1" s="1"/>
  <c r="I2369" i="1"/>
  <c r="F2371" i="1"/>
  <c r="C2372" i="1"/>
  <c r="D2371" i="1"/>
  <c r="I2370" i="1" l="1"/>
  <c r="H2371" i="1"/>
  <c r="J2371" i="1" s="1"/>
  <c r="F2372" i="1"/>
  <c r="D2372" i="1"/>
  <c r="C2373" i="1"/>
  <c r="H2372" i="1" l="1"/>
  <c r="J2372" i="1" s="1"/>
  <c r="I2371" i="1"/>
  <c r="F2373" i="1"/>
  <c r="C2374" i="1"/>
  <c r="D2373" i="1"/>
  <c r="I2372" i="1" l="1"/>
  <c r="H2373" i="1"/>
  <c r="J2373" i="1" s="1"/>
  <c r="F2374" i="1"/>
  <c r="C2375" i="1"/>
  <c r="D2374" i="1"/>
  <c r="H2374" i="1" l="1"/>
  <c r="J2374" i="1" s="1"/>
  <c r="I2373" i="1"/>
  <c r="F2375" i="1"/>
  <c r="D2375" i="1"/>
  <c r="C2376" i="1"/>
  <c r="I2374" i="1" l="1"/>
  <c r="H2375" i="1"/>
  <c r="J2375" i="1" s="1"/>
  <c r="F2376" i="1"/>
  <c r="C2377" i="1"/>
  <c r="D2376" i="1"/>
  <c r="H2376" i="1" l="1"/>
  <c r="J2376" i="1" s="1"/>
  <c r="I2375" i="1"/>
  <c r="F2377" i="1"/>
  <c r="C2378" i="1"/>
  <c r="D2377" i="1"/>
  <c r="I2376" i="1" l="1"/>
  <c r="H2377" i="1"/>
  <c r="J2377" i="1" s="1"/>
  <c r="F2378" i="1"/>
  <c r="D2378" i="1"/>
  <c r="C2379" i="1"/>
  <c r="H2378" i="1" l="1"/>
  <c r="J2378" i="1" s="1"/>
  <c r="I2377" i="1"/>
  <c r="F2379" i="1"/>
  <c r="D2379" i="1"/>
  <c r="C2380" i="1"/>
  <c r="I2378" i="1" l="1"/>
  <c r="H2379" i="1"/>
  <c r="J2379" i="1" s="1"/>
  <c r="F2380" i="1"/>
  <c r="C2381" i="1"/>
  <c r="D2380" i="1"/>
  <c r="H2380" i="1" l="1"/>
  <c r="J2380" i="1" s="1"/>
  <c r="I2379" i="1"/>
  <c r="F2381" i="1"/>
  <c r="D2381" i="1"/>
  <c r="C2382" i="1"/>
  <c r="I2380" i="1" l="1"/>
  <c r="H2381" i="1"/>
  <c r="J2381" i="1" s="1"/>
  <c r="F2382" i="1"/>
  <c r="C2383" i="1"/>
  <c r="D2382" i="1"/>
  <c r="H2382" i="1" l="1"/>
  <c r="J2382" i="1" s="1"/>
  <c r="I2381" i="1"/>
  <c r="F2383" i="1"/>
  <c r="C2384" i="1"/>
  <c r="D2383" i="1"/>
  <c r="I2382" i="1" l="1"/>
  <c r="H2383" i="1"/>
  <c r="J2383" i="1" s="1"/>
  <c r="F2384" i="1"/>
  <c r="C2385" i="1"/>
  <c r="D2384" i="1"/>
  <c r="H2384" i="1" l="1"/>
  <c r="J2384" i="1" s="1"/>
  <c r="I2383" i="1"/>
  <c r="F2385" i="1"/>
  <c r="C2386" i="1"/>
  <c r="D2385" i="1"/>
  <c r="I2384" i="1" l="1"/>
  <c r="H2385" i="1"/>
  <c r="J2385" i="1" s="1"/>
  <c r="F2386" i="1"/>
  <c r="D2386" i="1"/>
  <c r="C2387" i="1"/>
  <c r="H2386" i="1" l="1"/>
  <c r="J2386" i="1" s="1"/>
  <c r="I2385" i="1"/>
  <c r="F2387" i="1"/>
  <c r="C2388" i="1"/>
  <c r="D2387" i="1"/>
  <c r="I2386" i="1" l="1"/>
  <c r="H2387" i="1"/>
  <c r="J2387" i="1" s="1"/>
  <c r="F2388" i="1"/>
  <c r="C2389" i="1"/>
  <c r="D2388" i="1"/>
  <c r="H2388" i="1" l="1"/>
  <c r="J2388" i="1" s="1"/>
  <c r="I2387" i="1"/>
  <c r="F2389" i="1"/>
  <c r="C2390" i="1"/>
  <c r="D2389" i="1"/>
  <c r="I2388" i="1" l="1"/>
  <c r="H2389" i="1"/>
  <c r="J2389" i="1" s="1"/>
  <c r="F2390" i="1"/>
  <c r="D2390" i="1"/>
  <c r="C2391" i="1"/>
  <c r="H2390" i="1" l="1"/>
  <c r="J2390" i="1" s="1"/>
  <c r="I2389" i="1"/>
  <c r="F2391" i="1"/>
  <c r="D2391" i="1"/>
  <c r="C2392" i="1"/>
  <c r="I2390" i="1" l="1"/>
  <c r="H2391" i="1"/>
  <c r="J2391" i="1" s="1"/>
  <c r="F2392" i="1"/>
  <c r="C2393" i="1"/>
  <c r="D2392" i="1"/>
  <c r="H2392" i="1" l="1"/>
  <c r="J2392" i="1" s="1"/>
  <c r="I2391" i="1"/>
  <c r="F2393" i="1"/>
  <c r="C2394" i="1"/>
  <c r="D2393" i="1"/>
  <c r="I2392" i="1" l="1"/>
  <c r="H2393" i="1"/>
  <c r="J2393" i="1" s="1"/>
  <c r="F2394" i="1"/>
  <c r="D2394" i="1"/>
  <c r="C2395" i="1"/>
  <c r="H2394" i="1" l="1"/>
  <c r="J2394" i="1" s="1"/>
  <c r="I2393" i="1"/>
  <c r="F2395" i="1"/>
  <c r="D2395" i="1"/>
  <c r="C2396" i="1"/>
  <c r="I2394" i="1" l="1"/>
  <c r="H2395" i="1"/>
  <c r="J2395" i="1" s="1"/>
  <c r="F2396" i="1"/>
  <c r="C2397" i="1"/>
  <c r="D2396" i="1"/>
  <c r="H2396" i="1" l="1"/>
  <c r="J2396" i="1" s="1"/>
  <c r="I2395" i="1"/>
  <c r="F2397" i="1"/>
  <c r="D2397" i="1"/>
  <c r="C2398" i="1"/>
  <c r="I2396" i="1" l="1"/>
  <c r="H2397" i="1"/>
  <c r="J2397" i="1" s="1"/>
  <c r="F2398" i="1"/>
  <c r="C2399" i="1"/>
  <c r="D2398" i="1"/>
  <c r="H2398" i="1" l="1"/>
  <c r="J2398" i="1" s="1"/>
  <c r="I2397" i="1"/>
  <c r="F2399" i="1"/>
  <c r="D2399" i="1"/>
  <c r="C2400" i="1"/>
  <c r="H2399" i="1" l="1"/>
  <c r="J2399" i="1" s="1"/>
  <c r="I2398" i="1"/>
  <c r="F2400" i="1"/>
  <c r="D2400" i="1"/>
  <c r="C2401" i="1"/>
  <c r="H2400" i="1" l="1"/>
  <c r="J2400" i="1" s="1"/>
  <c r="I2399" i="1"/>
  <c r="F2401" i="1"/>
  <c r="C2402" i="1"/>
  <c r="D2401" i="1"/>
  <c r="H2401" i="1" l="1"/>
  <c r="J2401" i="1" s="1"/>
  <c r="I2400" i="1"/>
  <c r="F2402" i="1"/>
  <c r="D2402" i="1"/>
  <c r="C2403" i="1"/>
  <c r="I2401" i="1" l="1"/>
  <c r="H2402" i="1"/>
  <c r="J2402" i="1" s="1"/>
  <c r="F2403" i="1"/>
  <c r="C2404" i="1"/>
  <c r="D2403" i="1"/>
  <c r="H2403" i="1" l="1"/>
  <c r="J2403" i="1" s="1"/>
  <c r="I2402" i="1"/>
  <c r="F2404" i="1"/>
  <c r="C2405" i="1"/>
  <c r="D2404" i="1"/>
  <c r="I2403" i="1" l="1"/>
  <c r="H2404" i="1"/>
  <c r="J2404" i="1" s="1"/>
  <c r="F2405" i="1"/>
  <c r="D2405" i="1"/>
  <c r="C2406" i="1"/>
  <c r="H2405" i="1" l="1"/>
  <c r="I2404" i="1"/>
  <c r="F2406" i="1"/>
  <c r="C2407" i="1"/>
  <c r="D2406" i="1"/>
  <c r="H2406" i="1" l="1"/>
  <c r="J2406" i="1" s="1"/>
  <c r="I2405" i="1"/>
  <c r="J2405" i="1"/>
  <c r="F2407" i="1"/>
  <c r="C2408" i="1"/>
  <c r="D2407" i="1"/>
  <c r="H2407" i="1" l="1"/>
  <c r="J2407" i="1" s="1"/>
  <c r="I2406" i="1"/>
  <c r="F2408" i="1"/>
  <c r="C2409" i="1"/>
  <c r="D2408" i="1"/>
  <c r="H2408" i="1" l="1"/>
  <c r="I2408" i="1" s="1"/>
  <c r="I2407" i="1"/>
  <c r="F2409" i="1"/>
  <c r="C2410" i="1"/>
  <c r="D2409" i="1"/>
  <c r="H2409" i="1" l="1"/>
  <c r="J2408" i="1"/>
  <c r="F2410" i="1"/>
  <c r="D2410" i="1"/>
  <c r="C2411" i="1"/>
  <c r="H2410" i="1" l="1"/>
  <c r="J2409" i="1"/>
  <c r="I2409" i="1"/>
  <c r="F2411" i="1"/>
  <c r="D2411" i="1"/>
  <c r="C2412" i="1"/>
  <c r="H2411" i="1" l="1"/>
  <c r="I2411" i="1" s="1"/>
  <c r="J2410" i="1"/>
  <c r="I2410" i="1"/>
  <c r="F2412" i="1"/>
  <c r="C2413" i="1"/>
  <c r="D2412" i="1"/>
  <c r="H2412" i="1" l="1"/>
  <c r="J2411" i="1"/>
  <c r="F2413" i="1"/>
  <c r="C2414" i="1"/>
  <c r="D2413" i="1"/>
  <c r="H2413" i="1" l="1"/>
  <c r="I2413" i="1" s="1"/>
  <c r="J2412" i="1"/>
  <c r="I2412" i="1"/>
  <c r="F2414" i="1"/>
  <c r="C2415" i="1"/>
  <c r="D2414" i="1"/>
  <c r="H2414" i="1" l="1"/>
  <c r="J2413" i="1"/>
  <c r="F2415" i="1"/>
  <c r="D2415" i="1"/>
  <c r="C2416" i="1"/>
  <c r="H2415" i="1" l="1"/>
  <c r="I2415" i="1" s="1"/>
  <c r="J2414" i="1"/>
  <c r="I2414" i="1"/>
  <c r="F2416" i="1"/>
  <c r="C2417" i="1"/>
  <c r="D2416" i="1"/>
  <c r="H2416" i="1" l="1"/>
  <c r="J2416" i="1" s="1"/>
  <c r="J2415" i="1"/>
  <c r="F2417" i="1"/>
  <c r="C2418" i="1"/>
  <c r="D2417" i="1"/>
  <c r="H2417" i="1" l="1"/>
  <c r="I2417" i="1" s="1"/>
  <c r="I2416" i="1"/>
  <c r="F2418" i="1"/>
  <c r="D2418" i="1"/>
  <c r="C2419" i="1"/>
  <c r="H2418" i="1" l="1"/>
  <c r="J2417" i="1"/>
  <c r="F2419" i="1"/>
  <c r="D2419" i="1"/>
  <c r="C2420" i="1"/>
  <c r="H2419" i="1" l="1"/>
  <c r="J2418" i="1"/>
  <c r="I2418" i="1"/>
  <c r="F2420" i="1"/>
  <c r="C2421" i="1"/>
  <c r="D2420" i="1"/>
  <c r="H2420" i="1" l="1"/>
  <c r="J2419" i="1"/>
  <c r="I2419" i="1"/>
  <c r="F2421" i="1"/>
  <c r="D2421" i="1"/>
  <c r="C2422" i="1"/>
  <c r="H2421" i="1" l="1"/>
  <c r="I2421" i="1" s="1"/>
  <c r="J2420" i="1"/>
  <c r="I2420" i="1"/>
  <c r="F2422" i="1"/>
  <c r="C2423" i="1"/>
  <c r="D2422" i="1"/>
  <c r="H2422" i="1" l="1"/>
  <c r="J2421" i="1"/>
  <c r="F2423" i="1"/>
  <c r="D2423" i="1"/>
  <c r="C2424" i="1"/>
  <c r="H2423" i="1" l="1"/>
  <c r="J2422" i="1"/>
  <c r="I2422" i="1"/>
  <c r="F2424" i="1"/>
  <c r="D2424" i="1"/>
  <c r="C2425" i="1"/>
  <c r="H2424" i="1" l="1"/>
  <c r="J2423" i="1"/>
  <c r="I2423" i="1"/>
  <c r="F2425" i="1"/>
  <c r="D2425" i="1"/>
  <c r="C2426" i="1"/>
  <c r="H2425" i="1" l="1"/>
  <c r="J2424" i="1"/>
  <c r="I2424" i="1"/>
  <c r="F2426" i="1"/>
  <c r="D2426" i="1"/>
  <c r="C2427" i="1"/>
  <c r="H2426" i="1" l="1"/>
  <c r="J2425" i="1"/>
  <c r="I2425" i="1"/>
  <c r="F2427" i="1"/>
  <c r="C2428" i="1"/>
  <c r="D2427" i="1"/>
  <c r="H2427" i="1" l="1"/>
  <c r="J2426" i="1"/>
  <c r="I2426" i="1"/>
  <c r="F2428" i="1"/>
  <c r="D2428" i="1"/>
  <c r="C2429" i="1"/>
  <c r="H2428" i="1" l="1"/>
  <c r="J2427" i="1"/>
  <c r="I2427" i="1"/>
  <c r="F2429" i="1"/>
  <c r="D2429" i="1"/>
  <c r="C2430" i="1"/>
  <c r="H2429" i="1" l="1"/>
  <c r="J2428" i="1"/>
  <c r="I2428" i="1"/>
  <c r="F2430" i="1"/>
  <c r="D2430" i="1"/>
  <c r="C2431" i="1"/>
  <c r="H2430" i="1" l="1"/>
  <c r="J2429" i="1"/>
  <c r="I2429" i="1"/>
  <c r="F2431" i="1"/>
  <c r="C2432" i="1"/>
  <c r="D2431" i="1"/>
  <c r="H2431" i="1" l="1"/>
  <c r="I2431" i="1" s="1"/>
  <c r="J2430" i="1"/>
  <c r="I2430" i="1"/>
  <c r="F2432" i="1"/>
  <c r="C2433" i="1"/>
  <c r="D2432" i="1"/>
  <c r="H2432" i="1" l="1"/>
  <c r="J2431" i="1"/>
  <c r="F2433" i="1"/>
  <c r="D2433" i="1"/>
  <c r="C2434" i="1"/>
  <c r="H2433" i="1" l="1"/>
  <c r="J2432" i="1"/>
  <c r="I2432" i="1"/>
  <c r="F2434" i="1"/>
  <c r="D2434" i="1"/>
  <c r="C2435" i="1"/>
  <c r="H2434" i="1" l="1"/>
  <c r="J2433" i="1"/>
  <c r="I2433" i="1"/>
  <c r="F2435" i="1"/>
  <c r="D2435" i="1"/>
  <c r="C2436" i="1"/>
  <c r="H2435" i="1" l="1"/>
  <c r="J2434" i="1"/>
  <c r="I2434" i="1"/>
  <c r="F2436" i="1"/>
  <c r="D2436" i="1"/>
  <c r="C2437" i="1"/>
  <c r="H2436" i="1" l="1"/>
  <c r="J2435" i="1"/>
  <c r="I2435" i="1"/>
  <c r="F2437" i="1"/>
  <c r="C2438" i="1"/>
  <c r="D2437" i="1"/>
  <c r="H2437" i="1" l="1"/>
  <c r="I2437" i="1" s="1"/>
  <c r="J2436" i="1"/>
  <c r="I2436" i="1"/>
  <c r="F2438" i="1"/>
  <c r="D2438" i="1"/>
  <c r="C2439" i="1"/>
  <c r="H2438" i="1" l="1"/>
  <c r="J2437" i="1"/>
  <c r="F2439" i="1"/>
  <c r="C2440" i="1"/>
  <c r="D2439" i="1"/>
  <c r="H2439" i="1" l="1"/>
  <c r="J2438" i="1"/>
  <c r="I2438" i="1"/>
  <c r="F2440" i="1"/>
  <c r="C2441" i="1"/>
  <c r="D2440" i="1"/>
  <c r="H2440" i="1" l="1"/>
  <c r="J2439" i="1"/>
  <c r="I2439" i="1"/>
  <c r="F2441" i="1"/>
  <c r="D2441" i="1"/>
  <c r="C2442" i="1"/>
  <c r="H2441" i="1" l="1"/>
  <c r="J2440" i="1"/>
  <c r="I2440" i="1"/>
  <c r="F2442" i="1"/>
  <c r="D2442" i="1"/>
  <c r="C2443" i="1"/>
  <c r="H2442" i="1" l="1"/>
  <c r="J2441" i="1"/>
  <c r="I2441" i="1"/>
  <c r="F2443" i="1"/>
  <c r="D2443" i="1"/>
  <c r="C2444" i="1"/>
  <c r="H2443" i="1" l="1"/>
  <c r="I2443" i="1" s="1"/>
  <c r="J2442" i="1"/>
  <c r="I2442" i="1"/>
  <c r="F2444" i="1"/>
  <c r="D2444" i="1"/>
  <c r="C2445" i="1"/>
  <c r="H2444" i="1" l="1"/>
  <c r="J2443" i="1"/>
  <c r="F2445" i="1"/>
  <c r="D2445" i="1"/>
  <c r="C2446" i="1"/>
  <c r="H2445" i="1" l="1"/>
  <c r="J2444" i="1"/>
  <c r="I2444" i="1"/>
  <c r="F2446" i="1"/>
  <c r="D2446" i="1"/>
  <c r="C2447" i="1"/>
  <c r="H2446" i="1" l="1"/>
  <c r="I2446" i="1" s="1"/>
  <c r="J2445" i="1"/>
  <c r="I2445" i="1"/>
  <c r="F2447" i="1"/>
  <c r="D2447" i="1"/>
  <c r="C2448" i="1"/>
  <c r="H2447" i="1" l="1"/>
  <c r="I2447" i="1" s="1"/>
  <c r="J2446" i="1"/>
  <c r="F2448" i="1"/>
  <c r="D2448" i="1"/>
  <c r="C2449" i="1"/>
  <c r="H2448" i="1" l="1"/>
  <c r="I2448" i="1" s="1"/>
  <c r="J2447" i="1"/>
  <c r="F2449" i="1"/>
  <c r="D2449" i="1"/>
  <c r="C2450" i="1"/>
  <c r="H2449" i="1" l="1"/>
  <c r="J2448" i="1"/>
  <c r="F2450" i="1"/>
  <c r="C2451" i="1"/>
  <c r="D2450" i="1"/>
  <c r="H2450" i="1" l="1"/>
  <c r="J2449" i="1"/>
  <c r="I2449" i="1"/>
  <c r="F2451" i="1"/>
  <c r="C2452" i="1"/>
  <c r="D2451" i="1"/>
  <c r="H2451" i="1" l="1"/>
  <c r="J2450" i="1"/>
  <c r="I2450" i="1"/>
  <c r="F2452" i="1"/>
  <c r="C2453" i="1"/>
  <c r="D2452" i="1"/>
  <c r="H2452" i="1" l="1"/>
  <c r="J2451" i="1"/>
  <c r="I2451" i="1"/>
  <c r="F2453" i="1"/>
  <c r="D2453" i="1"/>
  <c r="C2454" i="1"/>
  <c r="H2453" i="1" l="1"/>
  <c r="J2452" i="1"/>
  <c r="I2452" i="1"/>
  <c r="F2454" i="1"/>
  <c r="D2454" i="1"/>
  <c r="C2455" i="1"/>
  <c r="H2454" i="1" l="1"/>
  <c r="J2453" i="1"/>
  <c r="I2453" i="1"/>
  <c r="F2455" i="1"/>
  <c r="C2456" i="1"/>
  <c r="D2455" i="1"/>
  <c r="H2455" i="1" l="1"/>
  <c r="J2455" i="1" s="1"/>
  <c r="J2454" i="1"/>
  <c r="I2454" i="1"/>
  <c r="F2456" i="1"/>
  <c r="C2457" i="1"/>
  <c r="D2456" i="1"/>
  <c r="H2456" i="1" l="1"/>
  <c r="I2456" i="1" s="1"/>
  <c r="I2455" i="1"/>
  <c r="D2457" i="1"/>
  <c r="F2457" i="1"/>
  <c r="C2458" i="1"/>
  <c r="H2457" i="1" l="1"/>
  <c r="I2457" i="1" s="1"/>
  <c r="J2456" i="1"/>
  <c r="C2459" i="1"/>
  <c r="D2458" i="1"/>
  <c r="F2458" i="1"/>
  <c r="H2458" i="1" l="1"/>
  <c r="J2458" i="1" s="1"/>
  <c r="J2457" i="1"/>
  <c r="C2460" i="1"/>
  <c r="F2459" i="1"/>
  <c r="D2459" i="1"/>
  <c r="I2458" i="1" l="1"/>
  <c r="H2459" i="1"/>
  <c r="J2459" i="1" s="1"/>
  <c r="D2460" i="1"/>
  <c r="F2460" i="1"/>
  <c r="C2461" i="1"/>
  <c r="I2459" i="1" l="1"/>
  <c r="H2460" i="1"/>
  <c r="J2460" i="1" s="1"/>
  <c r="F2461" i="1"/>
  <c r="D2461" i="1"/>
  <c r="C2462" i="1"/>
  <c r="H2461" i="1" l="1"/>
  <c r="J2461" i="1" s="1"/>
  <c r="I2460" i="1"/>
  <c r="D2462" i="1"/>
  <c r="C2463" i="1"/>
  <c r="F2462" i="1"/>
  <c r="H2462" i="1" l="1"/>
  <c r="J2462" i="1" s="1"/>
  <c r="I2461" i="1"/>
  <c r="D2463" i="1"/>
  <c r="C2464" i="1"/>
  <c r="F2463" i="1"/>
  <c r="H2463" i="1" l="1"/>
  <c r="J2463" i="1" s="1"/>
  <c r="I2462" i="1"/>
  <c r="C2465" i="1"/>
  <c r="D2464" i="1"/>
  <c r="F2464" i="1"/>
  <c r="H2464" i="1" l="1"/>
  <c r="J2464" i="1" s="1"/>
  <c r="I2463" i="1"/>
  <c r="D2465" i="1"/>
  <c r="F2465" i="1"/>
  <c r="C2466" i="1"/>
  <c r="H2465" i="1" l="1"/>
  <c r="J2465" i="1" s="1"/>
  <c r="I2464" i="1"/>
  <c r="F2466" i="1"/>
  <c r="C2467" i="1"/>
  <c r="D2466" i="1"/>
  <c r="I2465" i="1" l="1"/>
  <c r="H2466" i="1"/>
  <c r="J2466" i="1" s="1"/>
  <c r="D2467" i="1"/>
  <c r="F2467" i="1"/>
  <c r="C2468" i="1"/>
  <c r="H2467" i="1" l="1"/>
  <c r="J2467" i="1" s="1"/>
  <c r="I2466" i="1"/>
  <c r="D2468" i="1"/>
  <c r="C2469" i="1"/>
  <c r="F2468" i="1"/>
  <c r="H2468" i="1" l="1"/>
  <c r="J2468" i="1" s="1"/>
  <c r="I2467" i="1"/>
  <c r="D2469" i="1"/>
  <c r="F2469" i="1"/>
  <c r="C2470" i="1"/>
  <c r="H2469" i="1" l="1"/>
  <c r="J2469" i="1" s="1"/>
  <c r="I2468" i="1"/>
  <c r="D2470" i="1"/>
  <c r="F2470" i="1"/>
  <c r="C2471" i="1"/>
  <c r="H2470" i="1" l="1"/>
  <c r="J2470" i="1" s="1"/>
  <c r="I2469" i="1"/>
  <c r="F2471" i="1"/>
  <c r="D2471" i="1"/>
  <c r="C2472" i="1"/>
  <c r="H2471" i="1" l="1"/>
  <c r="J2471" i="1" s="1"/>
  <c r="I2470" i="1"/>
  <c r="F2472" i="1"/>
  <c r="C2473" i="1"/>
  <c r="D2472" i="1"/>
  <c r="I2471" i="1" l="1"/>
  <c r="H2472" i="1"/>
  <c r="J2472" i="1" s="1"/>
  <c r="C2474" i="1"/>
  <c r="F2473" i="1"/>
  <c r="D2473" i="1"/>
  <c r="H2473" i="1" l="1"/>
  <c r="J2473" i="1" s="1"/>
  <c r="I2472" i="1"/>
  <c r="D2474" i="1"/>
  <c r="F2474" i="1"/>
  <c r="C2475" i="1"/>
  <c r="H2474" i="1" l="1"/>
  <c r="J2474" i="1" s="1"/>
  <c r="I2473" i="1"/>
  <c r="F2475" i="1"/>
  <c r="D2475" i="1"/>
  <c r="C2476" i="1"/>
  <c r="H2475" i="1" l="1"/>
  <c r="J2475" i="1" s="1"/>
  <c r="I2474" i="1"/>
  <c r="D2476" i="1"/>
  <c r="F2476" i="1"/>
  <c r="C2477" i="1"/>
  <c r="H2476" i="1" l="1"/>
  <c r="J2476" i="1" s="1"/>
  <c r="I2475" i="1"/>
  <c r="C2478" i="1"/>
  <c r="F2477" i="1"/>
  <c r="D2477" i="1"/>
  <c r="H2477" i="1" l="1"/>
  <c r="J2477" i="1" s="1"/>
  <c r="I2476" i="1"/>
  <c r="D2478" i="1"/>
  <c r="F2478" i="1"/>
  <c r="C2479" i="1"/>
  <c r="H2478" i="1" l="1"/>
  <c r="J2478" i="1" s="1"/>
  <c r="I2477" i="1"/>
  <c r="F2479" i="1"/>
  <c r="D2479" i="1"/>
  <c r="C2480" i="1"/>
  <c r="H2479" i="1" l="1"/>
  <c r="J2479" i="1" s="1"/>
  <c r="I2478" i="1"/>
  <c r="D2480" i="1"/>
  <c r="F2480" i="1"/>
  <c r="C2481" i="1"/>
  <c r="H2480" i="1" l="1"/>
  <c r="J2480" i="1" s="1"/>
  <c r="I2479" i="1"/>
  <c r="C2482" i="1"/>
  <c r="D2481" i="1"/>
  <c r="F2481" i="1"/>
  <c r="H2481" i="1" l="1"/>
  <c r="J2481" i="1" s="1"/>
  <c r="I2480" i="1"/>
  <c r="D2482" i="1"/>
  <c r="C2483" i="1"/>
  <c r="F2482" i="1"/>
  <c r="H2482" i="1" l="1"/>
  <c r="J2482" i="1" s="1"/>
  <c r="I2481" i="1"/>
  <c r="C2484" i="1"/>
  <c r="F2483" i="1"/>
  <c r="D2483" i="1"/>
  <c r="H2483" i="1" l="1"/>
  <c r="J2483" i="1" s="1"/>
  <c r="I2482" i="1"/>
  <c r="F2484" i="1"/>
  <c r="D2484" i="1"/>
  <c r="C2485" i="1"/>
  <c r="I2483" i="1" l="1"/>
  <c r="H2484" i="1"/>
  <c r="J2484" i="1" s="1"/>
  <c r="D2485" i="1"/>
  <c r="F2485" i="1"/>
  <c r="C2486" i="1"/>
  <c r="I2484" i="1" l="1"/>
  <c r="H2485" i="1"/>
  <c r="J2485" i="1" s="1"/>
  <c r="D2486" i="1"/>
  <c r="C2487" i="1"/>
  <c r="F2486" i="1"/>
  <c r="I2485" i="1" l="1"/>
  <c r="H2486" i="1"/>
  <c r="J2486" i="1" s="1"/>
  <c r="D2487" i="1"/>
  <c r="F2487" i="1"/>
  <c r="C2488" i="1"/>
  <c r="H2487" i="1" l="1"/>
  <c r="J2487" i="1" s="1"/>
  <c r="I2486" i="1"/>
  <c r="F2488" i="1"/>
  <c r="C2489" i="1"/>
  <c r="D2488" i="1"/>
  <c r="H2488" i="1" l="1"/>
  <c r="J2488" i="1" s="1"/>
  <c r="I2487" i="1"/>
  <c r="C2490" i="1"/>
  <c r="F2489" i="1"/>
  <c r="D2489" i="1"/>
  <c r="H2489" i="1" l="1"/>
  <c r="J2489" i="1" s="1"/>
  <c r="I2488" i="1"/>
  <c r="C2491" i="1"/>
  <c r="D2490" i="1"/>
  <c r="F2490" i="1"/>
  <c r="H2490" i="1" l="1"/>
  <c r="J2490" i="1" s="1"/>
  <c r="I2489" i="1"/>
  <c r="C2492" i="1"/>
  <c r="F2491" i="1"/>
  <c r="D2491" i="1"/>
  <c r="I2490" i="1" l="1"/>
  <c r="H2491" i="1"/>
  <c r="J2491" i="1" s="1"/>
  <c r="F2492" i="1"/>
  <c r="D2492" i="1"/>
  <c r="C2493" i="1"/>
  <c r="I2491" i="1" l="1"/>
  <c r="H2492" i="1"/>
  <c r="J2492" i="1" s="1"/>
  <c r="C2494" i="1"/>
  <c r="D2493" i="1"/>
  <c r="F2493" i="1"/>
  <c r="H2493" i="1" l="1"/>
  <c r="J2493" i="1" s="1"/>
  <c r="I2492" i="1"/>
  <c r="F2494" i="1"/>
  <c r="C2495" i="1"/>
  <c r="D2494" i="1"/>
  <c r="H2494" i="1" l="1"/>
  <c r="J2494" i="1" s="1"/>
  <c r="I2493" i="1"/>
  <c r="C2496" i="1"/>
  <c r="D2495" i="1"/>
  <c r="F2495" i="1"/>
  <c r="H2495" i="1" l="1"/>
  <c r="J2495" i="1" s="1"/>
  <c r="I2494" i="1"/>
  <c r="D2496" i="1"/>
  <c r="F2496" i="1"/>
  <c r="C2497" i="1"/>
  <c r="H2496" i="1" l="1"/>
  <c r="J2496" i="1" s="1"/>
  <c r="I2495" i="1"/>
  <c r="D2497" i="1"/>
  <c r="F2497" i="1"/>
  <c r="C2498" i="1"/>
  <c r="H2497" i="1" l="1"/>
  <c r="J2497" i="1" s="1"/>
  <c r="I2496" i="1"/>
  <c r="D2498" i="1"/>
  <c r="F2498" i="1"/>
  <c r="C2499" i="1"/>
  <c r="H2498" i="1" l="1"/>
  <c r="J2498" i="1" s="1"/>
  <c r="I2497" i="1"/>
  <c r="C2500" i="1"/>
  <c r="D2499" i="1"/>
  <c r="F2499" i="1"/>
  <c r="H2499" i="1" l="1"/>
  <c r="J2499" i="1" s="1"/>
  <c r="I2498" i="1"/>
  <c r="F2500" i="1"/>
  <c r="C2501" i="1"/>
  <c r="D2500" i="1"/>
  <c r="H2500" i="1" l="1"/>
  <c r="J2500" i="1" s="1"/>
  <c r="I2499" i="1"/>
  <c r="C2502" i="1"/>
  <c r="F2501" i="1"/>
  <c r="D2501" i="1"/>
  <c r="I2500" i="1" l="1"/>
  <c r="H2501" i="1"/>
  <c r="J2501" i="1" s="1"/>
  <c r="D2502" i="1"/>
  <c r="F2502" i="1"/>
  <c r="C2503" i="1"/>
  <c r="H2502" i="1" l="1"/>
  <c r="J2502" i="1" s="1"/>
  <c r="I2501" i="1"/>
  <c r="C2504" i="1"/>
  <c r="D2503" i="1"/>
  <c r="F2503" i="1"/>
  <c r="H2503" i="1" l="1"/>
  <c r="J2503" i="1" s="1"/>
  <c r="I2502" i="1"/>
  <c r="F2504" i="1"/>
  <c r="D2504" i="1"/>
  <c r="C2505" i="1"/>
  <c r="H2504" i="1" l="1"/>
  <c r="J2504" i="1" s="1"/>
  <c r="I2503" i="1"/>
  <c r="D2505" i="1"/>
  <c r="F2505" i="1"/>
  <c r="C2506" i="1"/>
  <c r="H2505" i="1" l="1"/>
  <c r="J2505" i="1" s="1"/>
  <c r="I2504" i="1"/>
  <c r="D2506" i="1"/>
  <c r="F2506" i="1"/>
  <c r="C2507" i="1"/>
  <c r="H2506" i="1" l="1"/>
  <c r="J2506" i="1" s="1"/>
  <c r="I2505" i="1"/>
  <c r="D2507" i="1"/>
  <c r="F2507" i="1"/>
  <c r="C2508" i="1"/>
  <c r="H2507" i="1" l="1"/>
  <c r="J2507" i="1" s="1"/>
  <c r="I2506" i="1"/>
  <c r="C2509" i="1"/>
  <c r="F2508" i="1"/>
  <c r="D2508" i="1"/>
  <c r="H2508" i="1" l="1"/>
  <c r="J2508" i="1" s="1"/>
  <c r="I2507" i="1"/>
  <c r="F2509" i="1"/>
  <c r="D2509" i="1"/>
  <c r="C2510" i="1"/>
  <c r="H2509" i="1" l="1"/>
  <c r="J2509" i="1" s="1"/>
  <c r="I2508" i="1"/>
  <c r="C2511" i="1"/>
  <c r="D2510" i="1"/>
  <c r="F2510" i="1"/>
  <c r="H2510" i="1" l="1"/>
  <c r="J2510" i="1" s="1"/>
  <c r="I2509" i="1"/>
  <c r="F2511" i="1"/>
  <c r="C2512" i="1"/>
  <c r="D2511" i="1"/>
  <c r="H2511" i="1" l="1"/>
  <c r="J2511" i="1" s="1"/>
  <c r="I2510" i="1"/>
  <c r="F2512" i="1"/>
  <c r="D2512" i="1"/>
  <c r="C2513" i="1"/>
  <c r="I2511" i="1" l="1"/>
  <c r="H2512" i="1"/>
  <c r="J2512" i="1" s="1"/>
  <c r="F2513" i="1"/>
  <c r="D2513" i="1"/>
  <c r="C2514" i="1"/>
  <c r="H2513" i="1" l="1"/>
  <c r="J2513" i="1" s="1"/>
  <c r="I2512" i="1"/>
  <c r="C2515" i="1"/>
  <c r="F2514" i="1"/>
  <c r="D2514" i="1"/>
  <c r="H2514" i="1" l="1"/>
  <c r="J2514" i="1" s="1"/>
  <c r="I2513" i="1"/>
  <c r="D2515" i="1"/>
  <c r="F2515" i="1"/>
  <c r="C2516" i="1"/>
  <c r="H2515" i="1" l="1"/>
  <c r="J2515" i="1" s="1"/>
  <c r="I2514" i="1"/>
  <c r="F2516" i="1"/>
  <c r="D2516" i="1"/>
  <c r="C2517" i="1"/>
  <c r="I2515" i="1" l="1"/>
  <c r="H2516" i="1"/>
  <c r="J2516" i="1" s="1"/>
  <c r="F2517" i="1"/>
  <c r="D2517" i="1"/>
  <c r="C2518" i="1"/>
  <c r="H2517" i="1" l="1"/>
  <c r="J2517" i="1" s="1"/>
  <c r="I2516" i="1"/>
  <c r="C2519" i="1"/>
  <c r="D2518" i="1"/>
  <c r="F2518" i="1"/>
  <c r="H2518" i="1" l="1"/>
  <c r="J2518" i="1" s="1"/>
  <c r="I2517" i="1"/>
  <c r="F2519" i="1"/>
  <c r="C2520" i="1"/>
  <c r="D2519" i="1"/>
  <c r="I2518" i="1" l="1"/>
  <c r="H2519" i="1"/>
  <c r="J2519" i="1" s="1"/>
  <c r="D2520" i="1"/>
  <c r="F2520" i="1"/>
  <c r="C2521" i="1"/>
  <c r="H2520" i="1" l="1"/>
  <c r="J2520" i="1" s="1"/>
  <c r="I2519" i="1"/>
  <c r="C2522" i="1"/>
  <c r="F2521" i="1"/>
  <c r="D2521" i="1"/>
  <c r="H2521" i="1" l="1"/>
  <c r="J2521" i="1" s="1"/>
  <c r="I2520" i="1"/>
  <c r="F2522" i="1"/>
  <c r="D2522" i="1"/>
  <c r="C2523" i="1"/>
  <c r="H2522" i="1" l="1"/>
  <c r="J2522" i="1" s="1"/>
  <c r="I2521" i="1"/>
  <c r="D2523" i="1"/>
  <c r="F2523" i="1"/>
  <c r="C2524" i="1"/>
  <c r="H2523" i="1" l="1"/>
  <c r="J2523" i="1" s="1"/>
  <c r="I2522" i="1"/>
  <c r="D2524" i="1"/>
  <c r="F2524" i="1"/>
  <c r="C2525" i="1"/>
  <c r="H2524" i="1" l="1"/>
  <c r="J2524" i="1" s="1"/>
  <c r="I2523" i="1"/>
  <c r="C2526" i="1"/>
  <c r="F2525" i="1"/>
  <c r="D2525" i="1"/>
  <c r="H2525" i="1" l="1"/>
  <c r="J2525" i="1" s="1"/>
  <c r="I2524" i="1"/>
  <c r="C2527" i="1"/>
  <c r="D2526" i="1"/>
  <c r="F2526" i="1"/>
  <c r="H2526" i="1" l="1"/>
  <c r="J2526" i="1" s="1"/>
  <c r="I2525" i="1"/>
  <c r="F2527" i="1"/>
  <c r="C2528" i="1"/>
  <c r="D2527" i="1"/>
  <c r="I2526" i="1" l="1"/>
  <c r="H2527" i="1"/>
  <c r="J2527" i="1" s="1"/>
  <c r="D2528" i="1"/>
  <c r="F2528" i="1"/>
  <c r="C2529" i="1"/>
  <c r="H2528" i="1" l="1"/>
  <c r="J2528" i="1" s="1"/>
  <c r="I2527" i="1"/>
  <c r="D2529" i="1"/>
  <c r="F2529" i="1"/>
  <c r="C2530" i="1"/>
  <c r="H2529" i="1" l="1"/>
  <c r="J2529" i="1" s="1"/>
  <c r="I2528" i="1"/>
  <c r="D2530" i="1"/>
  <c r="F2530" i="1"/>
  <c r="C2531" i="1"/>
  <c r="H2530" i="1" l="1"/>
  <c r="J2530" i="1" s="1"/>
  <c r="I2529" i="1"/>
  <c r="C2532" i="1"/>
  <c r="F2531" i="1"/>
  <c r="D2531" i="1"/>
  <c r="H2531" i="1" l="1"/>
  <c r="J2531" i="1" s="1"/>
  <c r="I2530" i="1"/>
  <c r="C2533" i="1"/>
  <c r="F2532" i="1"/>
  <c r="D2532" i="1"/>
  <c r="I2531" i="1" l="1"/>
  <c r="H2532" i="1"/>
  <c r="J2532" i="1" s="1"/>
  <c r="F2533" i="1"/>
  <c r="D2533" i="1"/>
  <c r="C2534" i="1"/>
  <c r="I2532" i="1" l="1"/>
  <c r="H2533" i="1"/>
  <c r="J2533" i="1" s="1"/>
  <c r="C2535" i="1"/>
  <c r="F2534" i="1"/>
  <c r="D2534" i="1"/>
  <c r="H2534" i="1" l="1"/>
  <c r="J2534" i="1" s="1"/>
  <c r="I2533" i="1"/>
  <c r="D2535" i="1"/>
  <c r="F2535" i="1"/>
  <c r="C2536" i="1"/>
  <c r="I2534" i="1" l="1"/>
  <c r="H2535" i="1"/>
  <c r="J2535" i="1" s="1"/>
  <c r="F2536" i="1"/>
  <c r="D2536" i="1"/>
  <c r="C2537" i="1"/>
  <c r="H2536" i="1" l="1"/>
  <c r="J2536" i="1" s="1"/>
  <c r="I2535" i="1"/>
  <c r="F2537" i="1"/>
  <c r="C2538" i="1"/>
  <c r="D2537" i="1"/>
  <c r="H2537" i="1" l="1"/>
  <c r="J2537" i="1" s="1"/>
  <c r="I2536" i="1"/>
  <c r="F2538" i="1"/>
  <c r="D2538" i="1"/>
  <c r="C2539" i="1"/>
  <c r="H2538" i="1" l="1"/>
  <c r="J2538" i="1" s="1"/>
  <c r="I2537" i="1"/>
  <c r="C2540" i="1"/>
  <c r="F2539" i="1"/>
  <c r="D2539" i="1"/>
  <c r="I2538" i="1" l="1"/>
  <c r="H2539" i="1"/>
  <c r="J2539" i="1" s="1"/>
  <c r="D2540" i="1"/>
  <c r="F2540" i="1"/>
  <c r="C2541" i="1"/>
  <c r="I2539" i="1" l="1"/>
  <c r="H2540" i="1"/>
  <c r="J2540" i="1" s="1"/>
  <c r="F2541" i="1"/>
  <c r="C2542" i="1"/>
  <c r="D2541" i="1"/>
  <c r="H2541" i="1" l="1"/>
  <c r="J2541" i="1" s="1"/>
  <c r="I2540" i="1"/>
  <c r="D2542" i="1"/>
  <c r="F2542" i="1"/>
  <c r="C2543" i="1"/>
  <c r="H2542" i="1" l="1"/>
  <c r="J2542" i="1" s="1"/>
  <c r="I2541" i="1"/>
  <c r="F2543" i="1"/>
  <c r="C2544" i="1"/>
  <c r="D2543" i="1"/>
  <c r="H2543" i="1" l="1"/>
  <c r="J2543" i="1" s="1"/>
  <c r="I2542" i="1"/>
  <c r="D2544" i="1"/>
  <c r="F2544" i="1"/>
  <c r="C2545" i="1"/>
  <c r="H2544" i="1" l="1"/>
  <c r="J2544" i="1" s="1"/>
  <c r="I2543" i="1"/>
  <c r="C2546" i="1"/>
  <c r="F2545" i="1"/>
  <c r="D2545" i="1"/>
  <c r="H2545" i="1" l="1"/>
  <c r="J2545" i="1" s="1"/>
  <c r="I2544" i="1"/>
  <c r="C2547" i="1"/>
  <c r="F2546" i="1"/>
  <c r="D2546" i="1"/>
  <c r="H2546" i="1" l="1"/>
  <c r="J2546" i="1" s="1"/>
  <c r="I2545" i="1"/>
  <c r="F2547" i="1"/>
  <c r="C2548" i="1"/>
  <c r="D2547" i="1"/>
  <c r="H2547" i="1" l="1"/>
  <c r="J2547" i="1" s="1"/>
  <c r="I2546" i="1"/>
  <c r="C2549" i="1"/>
  <c r="F2548" i="1"/>
  <c r="D2548" i="1"/>
  <c r="H2548" i="1" l="1"/>
  <c r="J2548" i="1" s="1"/>
  <c r="I2547" i="1"/>
  <c r="F2549" i="1"/>
  <c r="D2549" i="1"/>
  <c r="C2550" i="1"/>
  <c r="I2548" i="1" l="1"/>
  <c r="H2549" i="1"/>
  <c r="J2549" i="1" s="1"/>
  <c r="C2551" i="1"/>
  <c r="F2550" i="1"/>
  <c r="D2550" i="1"/>
  <c r="I2549" i="1" l="1"/>
  <c r="H2550" i="1"/>
  <c r="J2550" i="1" s="1"/>
  <c r="F2551" i="1"/>
  <c r="C2552" i="1"/>
  <c r="D2551" i="1"/>
  <c r="I2550" i="1" l="1"/>
  <c r="H2551" i="1"/>
  <c r="J2551" i="1" s="1"/>
  <c r="C2553" i="1"/>
  <c r="F2552" i="1"/>
  <c r="D2552" i="1"/>
  <c r="I2551" i="1" l="1"/>
  <c r="H2552" i="1"/>
  <c r="J2552" i="1" s="1"/>
  <c r="D2553" i="1"/>
  <c r="F2553" i="1"/>
  <c r="C2554" i="1"/>
  <c r="I2552" i="1" l="1"/>
  <c r="H2553" i="1"/>
  <c r="J2553" i="1" s="1"/>
  <c r="C2555" i="1"/>
  <c r="F2554" i="1"/>
  <c r="D2554" i="1"/>
  <c r="I2553" i="1" l="1"/>
  <c r="H2554" i="1"/>
  <c r="J2554" i="1" s="1"/>
  <c r="C2556" i="1"/>
  <c r="D2555" i="1"/>
  <c r="F2555" i="1"/>
  <c r="H2555" i="1" l="1"/>
  <c r="J2555" i="1" s="1"/>
  <c r="I2554" i="1"/>
  <c r="D2556" i="1"/>
  <c r="F2556" i="1"/>
  <c r="C2557" i="1"/>
  <c r="H2556" i="1" l="1"/>
  <c r="J2556" i="1" s="1"/>
  <c r="I2555" i="1"/>
  <c r="F2557" i="1"/>
  <c r="C2558" i="1"/>
  <c r="D2557" i="1"/>
  <c r="H2557" i="1" l="1"/>
  <c r="J2557" i="1" s="1"/>
  <c r="I2556" i="1"/>
  <c r="F2558" i="1"/>
  <c r="C2559" i="1"/>
  <c r="D2558" i="1"/>
  <c r="H2558" i="1" l="1"/>
  <c r="J2558" i="1" s="1"/>
  <c r="I2557" i="1"/>
  <c r="F2559" i="1"/>
  <c r="D2559" i="1"/>
  <c r="C2560" i="1"/>
  <c r="H2559" i="1" l="1"/>
  <c r="J2559" i="1" s="1"/>
  <c r="I2558" i="1"/>
  <c r="F2560" i="1"/>
  <c r="C2561" i="1"/>
  <c r="D2560" i="1"/>
  <c r="H2560" i="1" l="1"/>
  <c r="J2560" i="1" s="1"/>
  <c r="I2559" i="1"/>
  <c r="F2561" i="1"/>
  <c r="C2562" i="1"/>
  <c r="D2561" i="1"/>
  <c r="I2560" i="1" l="1"/>
  <c r="H2561" i="1"/>
  <c r="J2561" i="1" s="1"/>
  <c r="F2562" i="1"/>
  <c r="C2563" i="1"/>
  <c r="D2562" i="1"/>
  <c r="H2562" i="1" l="1"/>
  <c r="J2562" i="1" s="1"/>
  <c r="I2561" i="1"/>
  <c r="D2563" i="1"/>
  <c r="C2564" i="1"/>
  <c r="F2563" i="1"/>
  <c r="H2563" i="1" l="1"/>
  <c r="J2563" i="1" s="1"/>
  <c r="I2562" i="1"/>
  <c r="D2564" i="1"/>
  <c r="F2564" i="1"/>
  <c r="C2565" i="1"/>
  <c r="H2564" i="1" l="1"/>
  <c r="J2564" i="1" s="1"/>
  <c r="I2563" i="1"/>
  <c r="D2565" i="1"/>
  <c r="F2565" i="1"/>
  <c r="C2566" i="1"/>
  <c r="H2565" i="1" l="1"/>
  <c r="J2565" i="1" s="1"/>
  <c r="I2564" i="1"/>
  <c r="F2566" i="1"/>
  <c r="D2566" i="1"/>
  <c r="C2567" i="1"/>
  <c r="H2566" i="1" l="1"/>
  <c r="J2566" i="1" s="1"/>
  <c r="I2565" i="1"/>
  <c r="C2568" i="1"/>
  <c r="F2567" i="1"/>
  <c r="D2567" i="1"/>
  <c r="H2567" i="1" l="1"/>
  <c r="J2567" i="1" s="1"/>
  <c r="I2566" i="1"/>
  <c r="C2569" i="1"/>
  <c r="F2568" i="1"/>
  <c r="D2568" i="1"/>
  <c r="H2568" i="1" l="1"/>
  <c r="J2568" i="1" s="1"/>
  <c r="I2567" i="1"/>
  <c r="F2569" i="1"/>
  <c r="C2570" i="1"/>
  <c r="D2569" i="1"/>
  <c r="I2568" i="1" l="1"/>
  <c r="H2569" i="1"/>
  <c r="J2569" i="1" s="1"/>
  <c r="D2570" i="1"/>
  <c r="F2570" i="1"/>
  <c r="C2571" i="1"/>
  <c r="H2570" i="1" l="1"/>
  <c r="J2570" i="1" s="1"/>
  <c r="I2569" i="1"/>
  <c r="D2571" i="1"/>
  <c r="F2571" i="1"/>
  <c r="C2572" i="1"/>
  <c r="H2571" i="1" l="1"/>
  <c r="J2571" i="1" s="1"/>
  <c r="I2570" i="1"/>
  <c r="D2572" i="1"/>
  <c r="F2572" i="1"/>
  <c r="C2573" i="1"/>
  <c r="I2571" i="1" l="1"/>
  <c r="H2572" i="1"/>
  <c r="J2572" i="1" s="1"/>
  <c r="F2573" i="1"/>
  <c r="C2574" i="1"/>
  <c r="D2573" i="1"/>
  <c r="I2572" i="1" l="1"/>
  <c r="H2573" i="1"/>
  <c r="J2573" i="1" s="1"/>
  <c r="D2574" i="1"/>
  <c r="F2574" i="1"/>
  <c r="C2575" i="1"/>
  <c r="H2574" i="1" l="1"/>
  <c r="J2574" i="1" s="1"/>
  <c r="I2573" i="1"/>
  <c r="F2575" i="1"/>
  <c r="C2576" i="1"/>
  <c r="D2575" i="1"/>
  <c r="H2575" i="1" l="1"/>
  <c r="J2575" i="1" s="1"/>
  <c r="I2574" i="1"/>
  <c r="F2576" i="1"/>
  <c r="C2577" i="1"/>
  <c r="D2576" i="1"/>
  <c r="H2576" i="1" l="1"/>
  <c r="J2576" i="1" s="1"/>
  <c r="I2575" i="1"/>
  <c r="F2577" i="1"/>
  <c r="D2577" i="1"/>
  <c r="C2578" i="1"/>
  <c r="I2576" i="1" l="1"/>
  <c r="H2577" i="1"/>
  <c r="J2577" i="1" s="1"/>
  <c r="F2578" i="1"/>
  <c r="C2579" i="1"/>
  <c r="D2578" i="1"/>
  <c r="I2577" i="1" l="1"/>
  <c r="H2578" i="1"/>
  <c r="J2578" i="1" s="1"/>
  <c r="F2579" i="1"/>
  <c r="C2580" i="1"/>
  <c r="D2579" i="1"/>
  <c r="H2579" i="1" l="1"/>
  <c r="J2579" i="1" s="1"/>
  <c r="I2578" i="1"/>
  <c r="F2580" i="1"/>
  <c r="C2581" i="1"/>
  <c r="D2580" i="1"/>
  <c r="H2580" i="1" l="1"/>
  <c r="J2580" i="1" s="1"/>
  <c r="I2579" i="1"/>
  <c r="D2581" i="1"/>
  <c r="C2582" i="1"/>
  <c r="F2581" i="1"/>
  <c r="H2581" i="1" l="1"/>
  <c r="J2581" i="1" s="1"/>
  <c r="I2580" i="1"/>
  <c r="C2583" i="1"/>
  <c r="D2582" i="1"/>
  <c r="F2582" i="1"/>
  <c r="H2582" i="1" l="1"/>
  <c r="J2582" i="1" s="1"/>
  <c r="I2581" i="1"/>
  <c r="D2583" i="1"/>
  <c r="F2583" i="1"/>
  <c r="C2584" i="1"/>
  <c r="H2583" i="1" l="1"/>
  <c r="J2583" i="1" s="1"/>
  <c r="I2582" i="1"/>
  <c r="C2585" i="1"/>
  <c r="F2584" i="1"/>
  <c r="D2584" i="1"/>
  <c r="H2584" i="1" l="1"/>
  <c r="J2584" i="1" s="1"/>
  <c r="I2583" i="1"/>
  <c r="F2585" i="1"/>
  <c r="C2586" i="1"/>
  <c r="D2585" i="1"/>
  <c r="H2585" i="1" l="1"/>
  <c r="J2585" i="1" s="1"/>
  <c r="I2584" i="1"/>
  <c r="D2586" i="1"/>
  <c r="F2586" i="1"/>
  <c r="C2587" i="1"/>
  <c r="H2586" i="1" l="1"/>
  <c r="J2586" i="1" s="1"/>
  <c r="I2585" i="1"/>
  <c r="C2588" i="1"/>
  <c r="F2587" i="1"/>
  <c r="D2587" i="1"/>
  <c r="H2587" i="1" l="1"/>
  <c r="J2587" i="1" s="1"/>
  <c r="I2586" i="1"/>
  <c r="D2588" i="1"/>
  <c r="C2589" i="1"/>
  <c r="F2588" i="1"/>
  <c r="H2588" i="1" l="1"/>
  <c r="J2588" i="1" s="1"/>
  <c r="I2587" i="1"/>
  <c r="F2589" i="1"/>
  <c r="D2589" i="1"/>
  <c r="C2590" i="1"/>
  <c r="H2589" i="1" l="1"/>
  <c r="J2589" i="1" s="1"/>
  <c r="I2588" i="1"/>
  <c r="C2591" i="1"/>
  <c r="F2590" i="1"/>
  <c r="D2590" i="1"/>
  <c r="H2590" i="1" l="1"/>
  <c r="J2590" i="1" s="1"/>
  <c r="I2589" i="1"/>
  <c r="D2591" i="1"/>
  <c r="F2591" i="1"/>
  <c r="C2592" i="1"/>
  <c r="H2591" i="1" l="1"/>
  <c r="J2591" i="1" s="1"/>
  <c r="I2590" i="1"/>
  <c r="F2592" i="1"/>
  <c r="C2593" i="1"/>
  <c r="D2592" i="1"/>
  <c r="I2591" i="1" l="1"/>
  <c r="H2592" i="1"/>
  <c r="J2592" i="1" s="1"/>
  <c r="F2593" i="1"/>
  <c r="C2594" i="1"/>
  <c r="D2593" i="1"/>
  <c r="H2593" i="1" l="1"/>
  <c r="J2593" i="1" s="1"/>
  <c r="I2592" i="1"/>
  <c r="D2594" i="1"/>
  <c r="F2594" i="1"/>
  <c r="C2595" i="1"/>
  <c r="H2594" i="1" l="1"/>
  <c r="J2594" i="1" s="1"/>
  <c r="I2593" i="1"/>
  <c r="D2595" i="1"/>
  <c r="F2595" i="1"/>
  <c r="C2596" i="1"/>
  <c r="H2595" i="1" l="1"/>
  <c r="J2595" i="1" s="1"/>
  <c r="I2594" i="1"/>
  <c r="F2596" i="1"/>
  <c r="C2597" i="1"/>
  <c r="D2596" i="1"/>
  <c r="I2595" i="1" l="1"/>
  <c r="H2596" i="1"/>
  <c r="J2596" i="1" s="1"/>
  <c r="F2597" i="1"/>
  <c r="C2598" i="1"/>
  <c r="D2597" i="1"/>
  <c r="H2597" i="1" l="1"/>
  <c r="J2597" i="1" s="1"/>
  <c r="I2596" i="1"/>
  <c r="F2598" i="1"/>
  <c r="C2599" i="1"/>
  <c r="D2598" i="1"/>
  <c r="I2597" i="1" l="1"/>
  <c r="H2598" i="1"/>
  <c r="J2598" i="1" s="1"/>
  <c r="F2599" i="1"/>
  <c r="D2599" i="1"/>
  <c r="C2600" i="1"/>
  <c r="H2599" i="1" l="1"/>
  <c r="J2599" i="1" s="1"/>
  <c r="I2598" i="1"/>
  <c r="D2600" i="1"/>
  <c r="F2600" i="1"/>
  <c r="C2601" i="1"/>
  <c r="H2600" i="1" l="1"/>
  <c r="J2600" i="1" s="1"/>
  <c r="I2599" i="1"/>
  <c r="F2601" i="1"/>
  <c r="C2602" i="1"/>
  <c r="D2601" i="1"/>
  <c r="H2601" i="1" l="1"/>
  <c r="J2601" i="1" s="1"/>
  <c r="I2600" i="1"/>
  <c r="F2602" i="1"/>
  <c r="C2603" i="1"/>
  <c r="D2602" i="1"/>
  <c r="I2601" i="1" l="1"/>
  <c r="H2602" i="1"/>
  <c r="J2602" i="1" s="1"/>
  <c r="D2603" i="1"/>
  <c r="F2603" i="1"/>
  <c r="C2604" i="1"/>
  <c r="H2603" i="1" l="1"/>
  <c r="J2603" i="1" s="1"/>
  <c r="I2602" i="1"/>
  <c r="F2604" i="1"/>
  <c r="D2604" i="1"/>
  <c r="C2605" i="1"/>
  <c r="I2603" i="1" l="1"/>
  <c r="H2604" i="1"/>
  <c r="J2604" i="1" s="1"/>
  <c r="F2605" i="1"/>
  <c r="D2605" i="1"/>
  <c r="C2606" i="1"/>
  <c r="H2605" i="1" l="1"/>
  <c r="J2605" i="1" s="1"/>
  <c r="I2604" i="1"/>
  <c r="F2606" i="1"/>
  <c r="D2606" i="1"/>
  <c r="C2607" i="1"/>
  <c r="I2605" i="1" l="1"/>
  <c r="H2606" i="1"/>
  <c r="J2606" i="1" s="1"/>
  <c r="F2607" i="1"/>
  <c r="D2607" i="1"/>
  <c r="C2608" i="1"/>
  <c r="H2607" i="1" l="1"/>
  <c r="J2607" i="1" s="1"/>
  <c r="I2606" i="1"/>
  <c r="F2608" i="1"/>
  <c r="C2609" i="1"/>
  <c r="D2608" i="1"/>
  <c r="I2607" i="1" l="1"/>
  <c r="H2608" i="1"/>
  <c r="J2608" i="1" s="1"/>
  <c r="F2609" i="1"/>
  <c r="D2609" i="1"/>
  <c r="C2610" i="1"/>
  <c r="H2609" i="1" l="1"/>
  <c r="J2609" i="1" s="1"/>
  <c r="I2608" i="1"/>
  <c r="F2610" i="1"/>
  <c r="C2611" i="1"/>
  <c r="D2610" i="1"/>
  <c r="I2609" i="1" l="1"/>
  <c r="H2610" i="1"/>
  <c r="J2610" i="1" s="1"/>
  <c r="C2612" i="1"/>
  <c r="F2611" i="1"/>
  <c r="D2611" i="1"/>
  <c r="H2611" i="1" l="1"/>
  <c r="J2611" i="1" s="1"/>
  <c r="I2610" i="1"/>
  <c r="F2612" i="1"/>
  <c r="D2612" i="1"/>
  <c r="C2613" i="1"/>
  <c r="I2611" i="1" l="1"/>
  <c r="H2612" i="1"/>
  <c r="J2612" i="1" s="1"/>
  <c r="C2614" i="1"/>
  <c r="F2613" i="1"/>
  <c r="D2613" i="1"/>
  <c r="H2613" i="1" l="1"/>
  <c r="J2613" i="1" s="1"/>
  <c r="I2612" i="1"/>
  <c r="F2614" i="1"/>
  <c r="D2614" i="1"/>
  <c r="C2615" i="1"/>
  <c r="I2613" i="1" l="1"/>
  <c r="H2614" i="1"/>
  <c r="J2614" i="1" s="1"/>
  <c r="F2615" i="1"/>
  <c r="C2616" i="1"/>
  <c r="D2615" i="1"/>
  <c r="H2615" i="1" l="1"/>
  <c r="J2615" i="1" s="1"/>
  <c r="I2614" i="1"/>
  <c r="C2617" i="1"/>
  <c r="F2616" i="1"/>
  <c r="D2616" i="1"/>
  <c r="H2616" i="1" l="1"/>
  <c r="J2616" i="1" s="1"/>
  <c r="I2615" i="1"/>
  <c r="D2617" i="1"/>
  <c r="F2617" i="1"/>
  <c r="C2618" i="1"/>
  <c r="H2617" i="1" l="1"/>
  <c r="J2617" i="1" s="1"/>
  <c r="I2616" i="1"/>
  <c r="F2618" i="1"/>
  <c r="C2619" i="1"/>
  <c r="D2618" i="1"/>
  <c r="I2617" i="1" l="1"/>
  <c r="H2618" i="1"/>
  <c r="J2618" i="1" s="1"/>
  <c r="F2619" i="1"/>
  <c r="C2620" i="1"/>
  <c r="D2619" i="1"/>
  <c r="H2619" i="1" l="1"/>
  <c r="J2619" i="1" s="1"/>
  <c r="I2618" i="1"/>
  <c r="D2620" i="1"/>
  <c r="C2621" i="1"/>
  <c r="F2620" i="1"/>
  <c r="H2620" i="1" l="1"/>
  <c r="J2620" i="1" s="1"/>
  <c r="I2619" i="1"/>
  <c r="D2621" i="1"/>
  <c r="F2621" i="1"/>
  <c r="C2622" i="1"/>
  <c r="I2620" i="1" l="1"/>
  <c r="H2621" i="1"/>
  <c r="J2621" i="1" s="1"/>
  <c r="C2623" i="1"/>
  <c r="F2622" i="1"/>
  <c r="D2622" i="1"/>
  <c r="H2622" i="1" l="1"/>
  <c r="J2622" i="1" s="1"/>
  <c r="I2621" i="1"/>
  <c r="F2623" i="1"/>
  <c r="C2624" i="1"/>
  <c r="D2623" i="1"/>
  <c r="H2623" i="1" l="1"/>
  <c r="J2623" i="1" s="1"/>
  <c r="I2622" i="1"/>
  <c r="C2625" i="1"/>
  <c r="F2624" i="1"/>
  <c r="D2624" i="1"/>
  <c r="I2623" i="1" l="1"/>
  <c r="H2624" i="1"/>
  <c r="J2624" i="1" s="1"/>
  <c r="F2625" i="1"/>
  <c r="D2625" i="1"/>
  <c r="C2626" i="1"/>
  <c r="H2625" i="1" l="1"/>
  <c r="J2625" i="1" s="1"/>
  <c r="I2624" i="1"/>
  <c r="F2626" i="1"/>
  <c r="C2627" i="1"/>
  <c r="D2626" i="1"/>
  <c r="H2626" i="1" l="1"/>
  <c r="J2626" i="1" s="1"/>
  <c r="I2625" i="1"/>
  <c r="D2627" i="1"/>
  <c r="C2628" i="1"/>
  <c r="F2627" i="1"/>
  <c r="I2626" i="1" l="1"/>
  <c r="H2627" i="1"/>
  <c r="J2627" i="1" s="1"/>
  <c r="F2628" i="1"/>
  <c r="C2629" i="1"/>
  <c r="D2628" i="1"/>
  <c r="I2627" i="1" l="1"/>
  <c r="H2628" i="1"/>
  <c r="J2628" i="1" s="1"/>
  <c r="C2630" i="1"/>
  <c r="F2629" i="1"/>
  <c r="D2629" i="1"/>
  <c r="I2628" i="1" l="1"/>
  <c r="H2629" i="1"/>
  <c r="J2629" i="1" s="1"/>
  <c r="F2630" i="1"/>
  <c r="C2631" i="1"/>
  <c r="D2630" i="1"/>
  <c r="H2630" i="1" l="1"/>
  <c r="J2630" i="1" s="1"/>
  <c r="I2629" i="1"/>
  <c r="C2632" i="1"/>
  <c r="D2631" i="1"/>
  <c r="F2631" i="1"/>
  <c r="H2631" i="1" l="1"/>
  <c r="J2631" i="1" s="1"/>
  <c r="I2630" i="1"/>
  <c r="D2632" i="1"/>
  <c r="F2632" i="1"/>
  <c r="C2633" i="1"/>
  <c r="H2632" i="1" l="1"/>
  <c r="J2632" i="1" s="1"/>
  <c r="I2631" i="1"/>
  <c r="D2633" i="1"/>
  <c r="F2633" i="1"/>
  <c r="C2634" i="1"/>
  <c r="I2632" i="1" l="1"/>
  <c r="H2633" i="1"/>
  <c r="J2633" i="1" s="1"/>
  <c r="F2634" i="1"/>
  <c r="D2634" i="1"/>
  <c r="C2635" i="1"/>
  <c r="H2634" i="1" l="1"/>
  <c r="J2634" i="1" s="1"/>
  <c r="I2633" i="1"/>
  <c r="D2635" i="1"/>
  <c r="F2635" i="1"/>
  <c r="C2636" i="1"/>
  <c r="H2635" i="1" l="1"/>
  <c r="J2635" i="1" s="1"/>
  <c r="I2634" i="1"/>
  <c r="C2637" i="1"/>
  <c r="F2636" i="1"/>
  <c r="D2636" i="1"/>
  <c r="H2636" i="1" l="1"/>
  <c r="J2636" i="1" s="1"/>
  <c r="I2635" i="1"/>
  <c r="C2638" i="1"/>
  <c r="D2637" i="1"/>
  <c r="F2637" i="1"/>
  <c r="H2637" i="1" l="1"/>
  <c r="J2637" i="1" s="1"/>
  <c r="I2636" i="1"/>
  <c r="D2638" i="1"/>
  <c r="C2639" i="1"/>
  <c r="F2638" i="1"/>
  <c r="I2637" i="1" l="1"/>
  <c r="H2638" i="1"/>
  <c r="J2638" i="1" s="1"/>
  <c r="F2639" i="1"/>
  <c r="D2639" i="1"/>
  <c r="C2640" i="1"/>
  <c r="I2638" i="1" l="1"/>
  <c r="H2639" i="1"/>
  <c r="J2639" i="1" s="1"/>
  <c r="F2640" i="1"/>
  <c r="C2641" i="1"/>
  <c r="D2640" i="1"/>
  <c r="I2639" i="1" l="1"/>
  <c r="H2640" i="1"/>
  <c r="J2640" i="1" s="1"/>
  <c r="D2641" i="1"/>
  <c r="C2642" i="1"/>
  <c r="F2641" i="1"/>
  <c r="H2641" i="1" l="1"/>
  <c r="J2641" i="1" s="1"/>
  <c r="I2640" i="1"/>
  <c r="D2642" i="1"/>
  <c r="C2643" i="1"/>
  <c r="F2642" i="1"/>
  <c r="H2642" i="1" l="1"/>
  <c r="J2642" i="1" s="1"/>
  <c r="I2641" i="1"/>
  <c r="F2643" i="1"/>
  <c r="C2644" i="1"/>
  <c r="D2643" i="1"/>
  <c r="H2643" i="1" l="1"/>
  <c r="J2643" i="1" s="1"/>
  <c r="I2642" i="1"/>
  <c r="F2644" i="1"/>
  <c r="C2645" i="1"/>
  <c r="D2644" i="1"/>
  <c r="H2644" i="1" l="1"/>
  <c r="J2644" i="1" s="1"/>
  <c r="I2643" i="1"/>
  <c r="F2645" i="1"/>
  <c r="C2646" i="1"/>
  <c r="D2645" i="1"/>
  <c r="I2644" i="1" l="1"/>
  <c r="H2645" i="1"/>
  <c r="J2645" i="1" s="1"/>
  <c r="C2647" i="1"/>
  <c r="F2646" i="1"/>
  <c r="D2646" i="1"/>
  <c r="H2646" i="1" l="1"/>
  <c r="J2646" i="1" s="1"/>
  <c r="I2645" i="1"/>
  <c r="F2647" i="1"/>
  <c r="C2648" i="1"/>
  <c r="D2647" i="1"/>
  <c r="I2646" i="1" l="1"/>
  <c r="H2647" i="1"/>
  <c r="J2647" i="1" s="1"/>
  <c r="D2648" i="1"/>
  <c r="F2648" i="1"/>
  <c r="C2649" i="1"/>
  <c r="H2648" i="1" l="1"/>
  <c r="J2648" i="1" s="1"/>
  <c r="I2647" i="1"/>
  <c r="F2649" i="1"/>
  <c r="D2649" i="1"/>
  <c r="C2650" i="1"/>
  <c r="I2648" i="1" l="1"/>
  <c r="H2649" i="1"/>
  <c r="J2649" i="1" s="1"/>
  <c r="D2650" i="1"/>
  <c r="F2650" i="1"/>
  <c r="C2651" i="1"/>
  <c r="H2650" i="1" l="1"/>
  <c r="J2650" i="1" s="1"/>
  <c r="I2649" i="1"/>
  <c r="F2651" i="1"/>
  <c r="D2651" i="1"/>
  <c r="C2652" i="1"/>
  <c r="I2650" i="1" l="1"/>
  <c r="H2651" i="1"/>
  <c r="J2651" i="1" s="1"/>
  <c r="F2652" i="1"/>
  <c r="C2653" i="1"/>
  <c r="D2652" i="1"/>
  <c r="H2652" i="1" l="1"/>
  <c r="J2652" i="1" s="1"/>
  <c r="I2651" i="1"/>
  <c r="F2653" i="1"/>
  <c r="D2653" i="1"/>
  <c r="C2654" i="1"/>
  <c r="I2652" i="1" l="1"/>
  <c r="H2653" i="1"/>
  <c r="J2653" i="1" s="1"/>
  <c r="F2654" i="1"/>
  <c r="D2654" i="1"/>
  <c r="C2655" i="1"/>
  <c r="H2654" i="1" l="1"/>
  <c r="J2654" i="1" s="1"/>
  <c r="I2653" i="1"/>
  <c r="F2655" i="1"/>
  <c r="H2655" i="1" s="1"/>
  <c r="D2655" i="1"/>
  <c r="C2656" i="1"/>
  <c r="I2654" i="1" l="1"/>
  <c r="I2655" i="1"/>
  <c r="J2655" i="1"/>
  <c r="F2656" i="1"/>
  <c r="C2657" i="1"/>
  <c r="D2656" i="1"/>
  <c r="H2656" i="1" l="1"/>
  <c r="J2656" i="1" s="1"/>
  <c r="C2658" i="1"/>
  <c r="F2657" i="1"/>
  <c r="D2657" i="1"/>
  <c r="H2657" i="1" l="1"/>
  <c r="I2657" i="1" s="1"/>
  <c r="I2656" i="1"/>
  <c r="C2659" i="1"/>
  <c r="F2658" i="1"/>
  <c r="D2658" i="1"/>
  <c r="H2658" i="1" l="1"/>
  <c r="J2657" i="1"/>
  <c r="F2659" i="1"/>
  <c r="D2659" i="1"/>
  <c r="C2660" i="1"/>
  <c r="H2659" i="1" l="1"/>
  <c r="J2658" i="1"/>
  <c r="I2658" i="1"/>
  <c r="F2660" i="1"/>
  <c r="D2660" i="1"/>
  <c r="C2661" i="1"/>
  <c r="H2660" i="1" l="1"/>
  <c r="J2659" i="1"/>
  <c r="I2659" i="1"/>
  <c r="F2661" i="1"/>
  <c r="D2661" i="1"/>
  <c r="C2662" i="1"/>
  <c r="H2661" i="1" l="1"/>
  <c r="J2660" i="1"/>
  <c r="I2660" i="1"/>
  <c r="C2663" i="1"/>
  <c r="F2662" i="1"/>
  <c r="D2662" i="1"/>
  <c r="H2662" i="1" l="1"/>
  <c r="I2662" i="1" s="1"/>
  <c r="J2661" i="1"/>
  <c r="I2661" i="1"/>
  <c r="F2663" i="1"/>
  <c r="D2663" i="1"/>
  <c r="C2664" i="1"/>
  <c r="H2663" i="1" l="1"/>
  <c r="J2663" i="1" s="1"/>
  <c r="J2662" i="1"/>
  <c r="F2664" i="1"/>
  <c r="C2665" i="1"/>
  <c r="D2664" i="1"/>
  <c r="H2664" i="1" l="1"/>
  <c r="J2664" i="1" s="1"/>
  <c r="I2663" i="1"/>
  <c r="F2665" i="1"/>
  <c r="D2665" i="1"/>
  <c r="C2666" i="1"/>
  <c r="H2665" i="1" l="1"/>
  <c r="J2665" i="1" s="1"/>
  <c r="I2664" i="1"/>
  <c r="F2666" i="1"/>
  <c r="D2666" i="1"/>
  <c r="C2667" i="1"/>
  <c r="H2666" i="1" l="1"/>
  <c r="J2666" i="1" s="1"/>
  <c r="I2665" i="1"/>
  <c r="C2668" i="1"/>
  <c r="F2667" i="1"/>
  <c r="D2667" i="1"/>
  <c r="H2667" i="1" l="1"/>
  <c r="J2667" i="1" s="1"/>
  <c r="I2666" i="1"/>
  <c r="C2669" i="1"/>
  <c r="F2668" i="1"/>
  <c r="D2668" i="1"/>
  <c r="H2668" i="1" l="1"/>
  <c r="J2668" i="1" s="1"/>
  <c r="I2667" i="1"/>
  <c r="F2669" i="1"/>
  <c r="D2669" i="1"/>
  <c r="C2670" i="1"/>
  <c r="H2669" i="1" l="1"/>
  <c r="J2669" i="1" s="1"/>
  <c r="I2668" i="1"/>
  <c r="F2670" i="1"/>
  <c r="C2671" i="1"/>
  <c r="D2670" i="1"/>
  <c r="H2670" i="1" l="1"/>
  <c r="J2670" i="1" s="1"/>
  <c r="I2669" i="1"/>
  <c r="F2671" i="1"/>
  <c r="D2671" i="1"/>
  <c r="C2672" i="1"/>
  <c r="I2670" i="1" l="1"/>
  <c r="H2671" i="1"/>
  <c r="J2671" i="1" s="1"/>
  <c r="F2672" i="1"/>
  <c r="D2672" i="1"/>
  <c r="C2673" i="1"/>
  <c r="H2672" i="1" l="1"/>
  <c r="J2672" i="1" s="1"/>
  <c r="I2671" i="1"/>
  <c r="C2674" i="1"/>
  <c r="D2673" i="1"/>
  <c r="F2673" i="1"/>
  <c r="H2673" i="1" l="1"/>
  <c r="J2673" i="1" s="1"/>
  <c r="I2672" i="1"/>
  <c r="D2674" i="1"/>
  <c r="C2675" i="1"/>
  <c r="F2674" i="1"/>
  <c r="I2673" i="1" l="1"/>
  <c r="H2674" i="1"/>
  <c r="J2674" i="1" s="1"/>
  <c r="F2675" i="1"/>
  <c r="D2675" i="1"/>
  <c r="C2676" i="1"/>
  <c r="H2675" i="1" l="1"/>
  <c r="J2675" i="1" s="1"/>
  <c r="I2674" i="1"/>
  <c r="D2676" i="1"/>
  <c r="C2677" i="1"/>
  <c r="F2676" i="1"/>
  <c r="H2676" i="1" l="1"/>
  <c r="J2676" i="1" s="1"/>
  <c r="I2675" i="1"/>
  <c r="C2678" i="1"/>
  <c r="F2677" i="1"/>
  <c r="D2677" i="1"/>
  <c r="H2677" i="1" l="1"/>
  <c r="J2677" i="1" s="1"/>
  <c r="I2676" i="1"/>
  <c r="F2678" i="1"/>
  <c r="D2678" i="1"/>
  <c r="C2679" i="1"/>
  <c r="H2678" i="1" l="1"/>
  <c r="J2678" i="1" s="1"/>
  <c r="I2677" i="1"/>
  <c r="D2679" i="1"/>
  <c r="F2679" i="1"/>
  <c r="C2680" i="1"/>
  <c r="H2679" i="1" l="1"/>
  <c r="J2679" i="1" s="1"/>
  <c r="I2678" i="1"/>
  <c r="F2680" i="1"/>
  <c r="C2681" i="1"/>
  <c r="D2680" i="1"/>
  <c r="H2680" i="1" l="1"/>
  <c r="J2680" i="1" s="1"/>
  <c r="I2679" i="1"/>
  <c r="C2682" i="1"/>
  <c r="F2681" i="1"/>
  <c r="D2681" i="1"/>
  <c r="H2681" i="1" l="1"/>
  <c r="J2681" i="1" s="1"/>
  <c r="I2680" i="1"/>
  <c r="D2682" i="1"/>
  <c r="F2682" i="1"/>
  <c r="C2683" i="1"/>
  <c r="H2682" i="1" l="1"/>
  <c r="J2682" i="1" s="1"/>
  <c r="I2681" i="1"/>
  <c r="F2683" i="1"/>
  <c r="D2683" i="1"/>
  <c r="C2684" i="1"/>
  <c r="H2683" i="1" l="1"/>
  <c r="J2683" i="1" s="1"/>
  <c r="I2682" i="1"/>
  <c r="F2684" i="1"/>
  <c r="D2684" i="1"/>
  <c r="C2685" i="1"/>
  <c r="I2683" i="1" l="1"/>
  <c r="H2684" i="1"/>
  <c r="J2684" i="1" s="1"/>
  <c r="D2685" i="1"/>
  <c r="C2686" i="1"/>
  <c r="F2685" i="1"/>
  <c r="H2685" i="1" l="1"/>
  <c r="J2685" i="1" s="1"/>
  <c r="I2684" i="1"/>
  <c r="F2686" i="1"/>
  <c r="D2686" i="1"/>
  <c r="C2687" i="1"/>
  <c r="H2686" i="1" l="1"/>
  <c r="J2686" i="1" s="1"/>
  <c r="I2685" i="1"/>
  <c r="C2688" i="1"/>
  <c r="F2687" i="1"/>
  <c r="D2687" i="1"/>
  <c r="H2687" i="1" l="1"/>
  <c r="J2687" i="1" s="1"/>
  <c r="I2686" i="1"/>
  <c r="F2688" i="1"/>
  <c r="D2688" i="1"/>
  <c r="C2689" i="1"/>
  <c r="I2687" i="1" l="1"/>
  <c r="H2688" i="1"/>
  <c r="J2688" i="1" s="1"/>
  <c r="C2690" i="1"/>
  <c r="F2689" i="1"/>
  <c r="D2689" i="1"/>
  <c r="I2688" i="1" l="1"/>
  <c r="H2689" i="1"/>
  <c r="J2689" i="1" s="1"/>
  <c r="D2690" i="1"/>
  <c r="F2690" i="1"/>
  <c r="C2691" i="1"/>
  <c r="H2690" i="1" l="1"/>
  <c r="J2690" i="1" s="1"/>
  <c r="I2689" i="1"/>
  <c r="F2691" i="1"/>
  <c r="D2691" i="1"/>
  <c r="C2692" i="1"/>
  <c r="I2690" i="1" l="1"/>
  <c r="H2691" i="1"/>
  <c r="J2691" i="1" s="1"/>
  <c r="F2692" i="1"/>
  <c r="D2692" i="1"/>
  <c r="C2693" i="1"/>
  <c r="I2691" i="1" l="1"/>
  <c r="H2692" i="1"/>
  <c r="J2692" i="1" s="1"/>
  <c r="D2693" i="1"/>
  <c r="C2694" i="1"/>
  <c r="F2693" i="1"/>
  <c r="H2693" i="1" l="1"/>
  <c r="J2693" i="1" s="1"/>
  <c r="I2692" i="1"/>
  <c r="F2694" i="1"/>
  <c r="D2694" i="1"/>
  <c r="C2695" i="1"/>
  <c r="H2694" i="1" l="1"/>
  <c r="J2694" i="1" s="1"/>
  <c r="I2693" i="1"/>
  <c r="F2695" i="1"/>
  <c r="D2695" i="1"/>
  <c r="C2696" i="1"/>
  <c r="H2695" i="1" l="1"/>
  <c r="J2695" i="1" s="1"/>
  <c r="I2694" i="1"/>
  <c r="D2696" i="1"/>
  <c r="F2696" i="1"/>
  <c r="C2697" i="1"/>
  <c r="H2696" i="1" l="1"/>
  <c r="J2696" i="1" s="1"/>
  <c r="I2695" i="1"/>
  <c r="F2697" i="1"/>
  <c r="D2697" i="1"/>
  <c r="C2698" i="1"/>
  <c r="H2697" i="1" l="1"/>
  <c r="J2697" i="1" s="1"/>
  <c r="I2696" i="1"/>
  <c r="D2698" i="1"/>
  <c r="C2699" i="1"/>
  <c r="F2698" i="1"/>
  <c r="H2698" i="1" l="1"/>
  <c r="J2698" i="1" s="1"/>
  <c r="I2697" i="1"/>
  <c r="F2699" i="1"/>
  <c r="D2699" i="1"/>
  <c r="C2700" i="1"/>
  <c r="I2698" i="1" l="1"/>
  <c r="H2699" i="1"/>
  <c r="J2699" i="1" s="1"/>
  <c r="D2700" i="1"/>
  <c r="F2700" i="1"/>
  <c r="C2701" i="1"/>
  <c r="H2700" i="1" l="1"/>
  <c r="J2700" i="1" s="1"/>
  <c r="I2699" i="1"/>
  <c r="D2701" i="1"/>
  <c r="C2702" i="1"/>
  <c r="F2701" i="1"/>
  <c r="H2701" i="1" l="1"/>
  <c r="J2701" i="1" s="1"/>
  <c r="I2700" i="1"/>
  <c r="F2702" i="1"/>
  <c r="D2702" i="1"/>
  <c r="C2703" i="1"/>
  <c r="H2702" i="1" l="1"/>
  <c r="J2702" i="1" s="1"/>
  <c r="I2701" i="1"/>
  <c r="D2703" i="1"/>
  <c r="F2703" i="1"/>
  <c r="C2704" i="1"/>
  <c r="H2703" i="1" l="1"/>
  <c r="J2703" i="1" s="1"/>
  <c r="I2702" i="1"/>
  <c r="F2704" i="1"/>
  <c r="D2704" i="1"/>
  <c r="C2705" i="1"/>
  <c r="H2704" i="1" l="1"/>
  <c r="J2704" i="1" s="1"/>
  <c r="I2703" i="1"/>
  <c r="C2706" i="1"/>
  <c r="F2705" i="1"/>
  <c r="H2705" i="1" s="1"/>
  <c r="D2705" i="1"/>
  <c r="I2705" i="1" l="1"/>
  <c r="J2705" i="1"/>
  <c r="I2704" i="1"/>
  <c r="C2707" i="1"/>
  <c r="D2706" i="1"/>
  <c r="F2706" i="1"/>
  <c r="H2706" i="1" l="1"/>
  <c r="J2706" i="1" s="1"/>
  <c r="F2707" i="1"/>
  <c r="C2708" i="1"/>
  <c r="D2707" i="1"/>
  <c r="I2706" i="1" l="1"/>
  <c r="H2707" i="1"/>
  <c r="I2707" i="1" s="1"/>
  <c r="F2708" i="1"/>
  <c r="C2709" i="1"/>
  <c r="D2708" i="1"/>
  <c r="H2708" i="1" l="1"/>
  <c r="J2707" i="1"/>
  <c r="D2709" i="1"/>
  <c r="C2710" i="1"/>
  <c r="F2709" i="1"/>
  <c r="H2709" i="1" l="1"/>
  <c r="J2708" i="1"/>
  <c r="I2708" i="1"/>
  <c r="C2711" i="1"/>
  <c r="F2710" i="1"/>
  <c r="D2710" i="1"/>
  <c r="H2710" i="1" l="1"/>
  <c r="J2709" i="1"/>
  <c r="I2709" i="1"/>
  <c r="C2712" i="1"/>
  <c r="F2711" i="1"/>
  <c r="D2711" i="1"/>
  <c r="H2711" i="1" l="1"/>
  <c r="J2710" i="1"/>
  <c r="I2710" i="1"/>
  <c r="F2712" i="1"/>
  <c r="C2713" i="1"/>
  <c r="D2712" i="1"/>
  <c r="H2712" i="1" l="1"/>
  <c r="I2712" i="1" s="1"/>
  <c r="J2711" i="1"/>
  <c r="I2711" i="1"/>
  <c r="C2714" i="1"/>
  <c r="F2713" i="1"/>
  <c r="D2713" i="1"/>
  <c r="H2713" i="1" l="1"/>
  <c r="J2712" i="1"/>
  <c r="F2714" i="1"/>
  <c r="D2714" i="1"/>
  <c r="C2715" i="1"/>
  <c r="H2714" i="1" l="1"/>
  <c r="I2714" i="1" s="1"/>
  <c r="J2713" i="1"/>
  <c r="I2713" i="1"/>
  <c r="C2716" i="1"/>
  <c r="F2715" i="1"/>
  <c r="D2715" i="1"/>
  <c r="H2715" i="1" l="1"/>
  <c r="I2715" i="1" s="1"/>
  <c r="J2714" i="1"/>
  <c r="D2716" i="1"/>
  <c r="C2717" i="1"/>
  <c r="F2716" i="1"/>
  <c r="H2716" i="1" l="1"/>
  <c r="I2716" i="1" s="1"/>
  <c r="J2715" i="1"/>
  <c r="F2717" i="1"/>
  <c r="D2717" i="1"/>
  <c r="C2718" i="1"/>
  <c r="H2717" i="1" l="1"/>
  <c r="J2717" i="1" s="1"/>
  <c r="J2716" i="1"/>
  <c r="C2719" i="1"/>
  <c r="F2718" i="1"/>
  <c r="D2718" i="1"/>
  <c r="H2718" i="1" l="1"/>
  <c r="J2718" i="1" s="1"/>
  <c r="I2717" i="1"/>
  <c r="C2720" i="1"/>
  <c r="F2719" i="1"/>
  <c r="D2719" i="1"/>
  <c r="H2719" i="1" l="1"/>
  <c r="J2719" i="1" s="1"/>
  <c r="I2718" i="1"/>
  <c r="C2721" i="1"/>
  <c r="F2720" i="1"/>
  <c r="D2720" i="1"/>
  <c r="H2720" i="1" l="1"/>
  <c r="J2720" i="1" s="1"/>
  <c r="I2719" i="1"/>
  <c r="F2721" i="1"/>
  <c r="D2721" i="1"/>
  <c r="C2722" i="1"/>
  <c r="H2721" i="1" l="1"/>
  <c r="J2721" i="1" s="1"/>
  <c r="I2720" i="1"/>
  <c r="F2722" i="1"/>
  <c r="C2723" i="1"/>
  <c r="D2722" i="1"/>
  <c r="I2721" i="1" l="1"/>
  <c r="H2722" i="1"/>
  <c r="J2722" i="1" s="1"/>
  <c r="C2724" i="1"/>
  <c r="F2723" i="1"/>
  <c r="D2723" i="1"/>
  <c r="H2723" i="1" l="1"/>
  <c r="J2723" i="1" s="1"/>
  <c r="I2722" i="1"/>
  <c r="C2725" i="1"/>
  <c r="F2724" i="1"/>
  <c r="D2724" i="1"/>
  <c r="H2724" i="1" l="1"/>
  <c r="J2724" i="1" s="1"/>
  <c r="I2723" i="1"/>
  <c r="F2725" i="1"/>
  <c r="D2725" i="1"/>
  <c r="C2726" i="1"/>
  <c r="H2725" i="1" l="1"/>
  <c r="J2725" i="1" s="1"/>
  <c r="I2724" i="1"/>
  <c r="F2726" i="1"/>
  <c r="C2727" i="1"/>
  <c r="D2726" i="1"/>
  <c r="I2725" i="1" l="1"/>
  <c r="H2726" i="1"/>
  <c r="J2726" i="1" s="1"/>
  <c r="C2728" i="1"/>
  <c r="F2727" i="1"/>
  <c r="D2727" i="1"/>
  <c r="H2727" i="1" l="1"/>
  <c r="J2727" i="1" s="1"/>
  <c r="I2726" i="1"/>
  <c r="C2729" i="1"/>
  <c r="F2728" i="1"/>
  <c r="D2728" i="1"/>
  <c r="H2728" i="1" l="1"/>
  <c r="J2728" i="1" s="1"/>
  <c r="I2727" i="1"/>
  <c r="C2730" i="1"/>
  <c r="F2729" i="1"/>
  <c r="D2729" i="1"/>
  <c r="H2729" i="1" l="1"/>
  <c r="J2729" i="1" s="1"/>
  <c r="I2728" i="1"/>
  <c r="D2730" i="1"/>
  <c r="C2731" i="1"/>
  <c r="F2730" i="1"/>
  <c r="H2730" i="1" l="1"/>
  <c r="J2730" i="1" s="1"/>
  <c r="I2729" i="1"/>
  <c r="C2732" i="1"/>
  <c r="F2731" i="1"/>
  <c r="D2731" i="1"/>
  <c r="H2731" i="1" l="1"/>
  <c r="J2731" i="1" s="1"/>
  <c r="I2730" i="1"/>
  <c r="C2733" i="1"/>
  <c r="F2732" i="1"/>
  <c r="D2732" i="1"/>
  <c r="H2732" i="1" l="1"/>
  <c r="J2732" i="1" s="1"/>
  <c r="I2731" i="1"/>
  <c r="C2734" i="1"/>
  <c r="F2733" i="1"/>
  <c r="D2733" i="1"/>
  <c r="H2733" i="1" l="1"/>
  <c r="J2733" i="1" s="1"/>
  <c r="I2732" i="1"/>
  <c r="D2734" i="1"/>
  <c r="C2735" i="1"/>
  <c r="F2734" i="1"/>
  <c r="H2734" i="1" l="1"/>
  <c r="J2734" i="1" s="1"/>
  <c r="I2733" i="1"/>
  <c r="C2736" i="1"/>
  <c r="F2735" i="1"/>
  <c r="D2735" i="1"/>
  <c r="H2735" i="1" l="1"/>
  <c r="J2735" i="1" s="1"/>
  <c r="I2734" i="1"/>
  <c r="F2736" i="1"/>
  <c r="D2736" i="1"/>
  <c r="C2737" i="1"/>
  <c r="I2735" i="1" l="1"/>
  <c r="H2736" i="1"/>
  <c r="J2736" i="1" s="1"/>
  <c r="C2738" i="1"/>
  <c r="F2737" i="1"/>
  <c r="D2737" i="1"/>
  <c r="H2737" i="1" l="1"/>
  <c r="J2737" i="1" s="1"/>
  <c r="I2736" i="1"/>
  <c r="D2738" i="1"/>
  <c r="F2738" i="1"/>
  <c r="C2739" i="1"/>
  <c r="H2738" i="1" l="1"/>
  <c r="J2738" i="1" s="1"/>
  <c r="I2737" i="1"/>
  <c r="F2739" i="1"/>
  <c r="D2739" i="1"/>
  <c r="C2740" i="1"/>
  <c r="H2739" i="1" l="1"/>
  <c r="J2739" i="1" s="1"/>
  <c r="I2738" i="1"/>
  <c r="F2740" i="1"/>
  <c r="C2741" i="1"/>
  <c r="D2740" i="1"/>
  <c r="I2739" i="1" l="1"/>
  <c r="H2740" i="1"/>
  <c r="J2740" i="1" s="1"/>
  <c r="D2741" i="1"/>
  <c r="F2741" i="1"/>
  <c r="C2742" i="1"/>
  <c r="H2741" i="1" l="1"/>
  <c r="J2741" i="1" s="1"/>
  <c r="I2740" i="1"/>
  <c r="D2742" i="1"/>
  <c r="F2742" i="1"/>
  <c r="C2743" i="1"/>
  <c r="H2742" i="1" l="1"/>
  <c r="J2742" i="1" s="1"/>
  <c r="I2741" i="1"/>
  <c r="C2744" i="1"/>
  <c r="F2743" i="1"/>
  <c r="D2743" i="1"/>
  <c r="H2743" i="1" l="1"/>
  <c r="J2743" i="1" s="1"/>
  <c r="I2742" i="1"/>
  <c r="C2745" i="1"/>
  <c r="F2744" i="1"/>
  <c r="D2744" i="1"/>
  <c r="H2744" i="1" l="1"/>
  <c r="J2744" i="1" s="1"/>
  <c r="I2743" i="1"/>
  <c r="C2746" i="1"/>
  <c r="F2745" i="1"/>
  <c r="D2745" i="1"/>
  <c r="H2745" i="1" l="1"/>
  <c r="J2745" i="1" s="1"/>
  <c r="I2744" i="1"/>
  <c r="D2746" i="1"/>
  <c r="C2747" i="1"/>
  <c r="F2746" i="1"/>
  <c r="H2746" i="1" l="1"/>
  <c r="J2746" i="1" s="1"/>
  <c r="I2745" i="1"/>
  <c r="D2747" i="1"/>
  <c r="C2748" i="1"/>
  <c r="F2747" i="1"/>
  <c r="H2747" i="1" l="1"/>
  <c r="J2747" i="1" s="1"/>
  <c r="I2746" i="1"/>
  <c r="D2748" i="1"/>
  <c r="F2748" i="1"/>
  <c r="C2749" i="1"/>
  <c r="H2748" i="1" l="1"/>
  <c r="J2748" i="1" s="1"/>
  <c r="I2747" i="1"/>
  <c r="C2750" i="1"/>
  <c r="F2749" i="1"/>
  <c r="D2749" i="1"/>
  <c r="H2749" i="1" l="1"/>
  <c r="J2749" i="1" s="1"/>
  <c r="I2748" i="1"/>
  <c r="D2750" i="1"/>
  <c r="C2751" i="1"/>
  <c r="F2750" i="1"/>
  <c r="H2750" i="1" l="1"/>
  <c r="J2750" i="1" s="1"/>
  <c r="I2749" i="1"/>
  <c r="C2752" i="1"/>
  <c r="F2751" i="1"/>
  <c r="D2751" i="1"/>
  <c r="H2751" i="1" l="1"/>
  <c r="J2751" i="1" s="1"/>
  <c r="I2750" i="1"/>
  <c r="C2753" i="1"/>
  <c r="F2752" i="1"/>
  <c r="D2752" i="1"/>
  <c r="H2752" i="1" l="1"/>
  <c r="J2752" i="1" s="1"/>
  <c r="I2751" i="1"/>
  <c r="D2753" i="1"/>
  <c r="C2754" i="1"/>
  <c r="F2753" i="1"/>
  <c r="I2752" i="1" l="1"/>
  <c r="H2753" i="1"/>
  <c r="J2753" i="1" s="1"/>
  <c r="C2755" i="1"/>
  <c r="D2754" i="1"/>
  <c r="F2754" i="1"/>
  <c r="H2754" i="1" l="1"/>
  <c r="J2754" i="1" s="1"/>
  <c r="I2753" i="1"/>
  <c r="F2755" i="1"/>
  <c r="H2755" i="1" s="1"/>
  <c r="C2756" i="1"/>
  <c r="D2755" i="1"/>
  <c r="I2754" i="1" l="1"/>
  <c r="I2755" i="1"/>
  <c r="J2755" i="1"/>
  <c r="C2757" i="1"/>
  <c r="F2756" i="1"/>
  <c r="D2756" i="1"/>
  <c r="H2756" i="1" l="1"/>
  <c r="I2756" i="1" s="1"/>
  <c r="F2757" i="1"/>
  <c r="C2758" i="1"/>
  <c r="D2757" i="1"/>
  <c r="H2757" i="1" l="1"/>
  <c r="J2757" i="1" s="1"/>
  <c r="J2756" i="1"/>
  <c r="F2758" i="1"/>
  <c r="D2758" i="1"/>
  <c r="C2759" i="1"/>
  <c r="H2758" i="1" l="1"/>
  <c r="I2758" i="1" s="1"/>
  <c r="I2757" i="1"/>
  <c r="F2759" i="1"/>
  <c r="C2760" i="1"/>
  <c r="D2759" i="1"/>
  <c r="H2759" i="1" l="1"/>
  <c r="J2758" i="1"/>
  <c r="F2760" i="1"/>
  <c r="C2761" i="1"/>
  <c r="D2760" i="1"/>
  <c r="H2760" i="1" l="1"/>
  <c r="J2759" i="1"/>
  <c r="I2759" i="1"/>
  <c r="F2761" i="1"/>
  <c r="C2762" i="1"/>
  <c r="D2761" i="1"/>
  <c r="H2761" i="1" l="1"/>
  <c r="J2760" i="1"/>
  <c r="I2760" i="1"/>
  <c r="F2762" i="1"/>
  <c r="C2763" i="1"/>
  <c r="D2762" i="1"/>
  <c r="H2762" i="1" l="1"/>
  <c r="J2761" i="1"/>
  <c r="I2761" i="1"/>
  <c r="F2763" i="1"/>
  <c r="C2764" i="1"/>
  <c r="D2763" i="1"/>
  <c r="H2763" i="1" l="1"/>
  <c r="I2763" i="1" s="1"/>
  <c r="J2762" i="1"/>
  <c r="I2762" i="1"/>
  <c r="F2764" i="1"/>
  <c r="C2765" i="1"/>
  <c r="D2764" i="1"/>
  <c r="H2764" i="1" l="1"/>
  <c r="I2764" i="1" s="1"/>
  <c r="J2763" i="1"/>
  <c r="F2765" i="1"/>
  <c r="D2765" i="1"/>
  <c r="C2766" i="1"/>
  <c r="H2765" i="1" l="1"/>
  <c r="J2764" i="1"/>
  <c r="F2766" i="1"/>
  <c r="D2766" i="1"/>
  <c r="C2767" i="1"/>
  <c r="H2766" i="1" l="1"/>
  <c r="J2766" i="1" s="1"/>
  <c r="J2765" i="1"/>
  <c r="I2765" i="1"/>
  <c r="F2767" i="1"/>
  <c r="D2767" i="1"/>
  <c r="C2768" i="1"/>
  <c r="H2767" i="1" l="1"/>
  <c r="J2767" i="1" s="1"/>
  <c r="I2766" i="1"/>
  <c r="F2768" i="1"/>
  <c r="C2769" i="1"/>
  <c r="D2768" i="1"/>
  <c r="H2768" i="1" l="1"/>
  <c r="J2768" i="1" s="1"/>
  <c r="I2767" i="1"/>
  <c r="F2769" i="1"/>
  <c r="C2770" i="1"/>
  <c r="D2769" i="1"/>
  <c r="H2769" i="1" l="1"/>
  <c r="J2769" i="1" s="1"/>
  <c r="I2768" i="1"/>
  <c r="F2770" i="1"/>
  <c r="D2770" i="1"/>
  <c r="C2771" i="1"/>
  <c r="H2770" i="1" l="1"/>
  <c r="J2770" i="1" s="1"/>
  <c r="I2769" i="1"/>
  <c r="F2771" i="1"/>
  <c r="D2771" i="1"/>
  <c r="C2772" i="1"/>
  <c r="H2771" i="1" l="1"/>
  <c r="J2771" i="1" s="1"/>
  <c r="I2770" i="1"/>
  <c r="F2772" i="1"/>
  <c r="D2772" i="1"/>
  <c r="C2773" i="1"/>
  <c r="H2772" i="1" l="1"/>
  <c r="J2772" i="1" s="1"/>
  <c r="I2771" i="1"/>
  <c r="F2773" i="1"/>
  <c r="D2773" i="1"/>
  <c r="C2774" i="1"/>
  <c r="I2772" i="1" l="1"/>
  <c r="H2773" i="1"/>
  <c r="J2773" i="1" s="1"/>
  <c r="F2774" i="1"/>
  <c r="C2775" i="1"/>
  <c r="D2774" i="1"/>
  <c r="H2774" i="1" l="1"/>
  <c r="J2774" i="1" s="1"/>
  <c r="I2773" i="1"/>
  <c r="F2775" i="1"/>
  <c r="D2775" i="1"/>
  <c r="C2776" i="1"/>
  <c r="H2775" i="1" l="1"/>
  <c r="J2775" i="1" s="1"/>
  <c r="I2774" i="1"/>
  <c r="F2776" i="1"/>
  <c r="C2777" i="1"/>
  <c r="D2776" i="1"/>
  <c r="I2775" i="1" l="1"/>
  <c r="H2776" i="1"/>
  <c r="J2776" i="1" s="1"/>
  <c r="F2777" i="1"/>
  <c r="C2778" i="1"/>
  <c r="D2777" i="1"/>
  <c r="H2777" i="1" l="1"/>
  <c r="J2777" i="1" s="1"/>
  <c r="I2776" i="1"/>
  <c r="F2778" i="1"/>
  <c r="C2779" i="1"/>
  <c r="D2778" i="1"/>
  <c r="I2777" i="1" l="1"/>
  <c r="H2778" i="1"/>
  <c r="J2778" i="1" s="1"/>
  <c r="F2779" i="1"/>
  <c r="D2779" i="1"/>
  <c r="C2780" i="1"/>
  <c r="I2778" i="1" l="1"/>
  <c r="H2779" i="1"/>
  <c r="J2779" i="1" s="1"/>
  <c r="F2780" i="1"/>
  <c r="D2780" i="1"/>
  <c r="C2781" i="1"/>
  <c r="I2779" i="1" l="1"/>
  <c r="H2780" i="1"/>
  <c r="J2780" i="1" s="1"/>
  <c r="F2781" i="1"/>
  <c r="D2781" i="1"/>
  <c r="C2782" i="1"/>
  <c r="I2780" i="1" l="1"/>
  <c r="H2781" i="1"/>
  <c r="J2781" i="1" s="1"/>
  <c r="F2782" i="1"/>
  <c r="C2783" i="1"/>
  <c r="D2782" i="1"/>
  <c r="I2781" i="1" l="1"/>
  <c r="H2782" i="1"/>
  <c r="J2782" i="1" s="1"/>
  <c r="F2783" i="1"/>
  <c r="C2784" i="1"/>
  <c r="D2783" i="1"/>
  <c r="I2782" i="1" l="1"/>
  <c r="H2783" i="1"/>
  <c r="J2783" i="1" s="1"/>
  <c r="F2784" i="1"/>
  <c r="C2785" i="1"/>
  <c r="D2784" i="1"/>
  <c r="I2783" i="1" l="1"/>
  <c r="H2784" i="1"/>
  <c r="J2784" i="1" s="1"/>
  <c r="F2785" i="1"/>
  <c r="D2785" i="1"/>
  <c r="C2786" i="1"/>
  <c r="I2784" i="1" l="1"/>
  <c r="H2785" i="1"/>
  <c r="J2785" i="1" s="1"/>
  <c r="F2786" i="1"/>
  <c r="C2787" i="1"/>
  <c r="D2786" i="1"/>
  <c r="I2785" i="1" l="1"/>
  <c r="H2786" i="1"/>
  <c r="J2786" i="1" s="1"/>
  <c r="F2787" i="1"/>
  <c r="D2787" i="1"/>
  <c r="C2788" i="1"/>
  <c r="I2786" i="1" l="1"/>
  <c r="H2787" i="1"/>
  <c r="J2787" i="1" s="1"/>
  <c r="F2788" i="1"/>
  <c r="D2788" i="1"/>
  <c r="C2789" i="1"/>
  <c r="I2787" i="1" l="1"/>
  <c r="H2788" i="1"/>
  <c r="J2788" i="1" s="1"/>
  <c r="F2789" i="1"/>
  <c r="D2789" i="1"/>
  <c r="C2790" i="1"/>
  <c r="I2788" i="1" l="1"/>
  <c r="H2789" i="1"/>
  <c r="J2789" i="1" s="1"/>
  <c r="F2790" i="1"/>
  <c r="C2791" i="1"/>
  <c r="D2790" i="1"/>
  <c r="I2789" i="1" l="1"/>
  <c r="H2790" i="1"/>
  <c r="J2790" i="1" s="1"/>
  <c r="F2791" i="1"/>
  <c r="D2791" i="1"/>
  <c r="C2792" i="1"/>
  <c r="I2790" i="1" l="1"/>
  <c r="H2791" i="1"/>
  <c r="J2791" i="1" s="1"/>
  <c r="F2792" i="1"/>
  <c r="D2792" i="1"/>
  <c r="C2793" i="1"/>
  <c r="I2791" i="1" l="1"/>
  <c r="H2792" i="1"/>
  <c r="J2792" i="1" s="1"/>
  <c r="F2793" i="1"/>
  <c r="D2793" i="1"/>
  <c r="C2794" i="1"/>
  <c r="I2792" i="1" l="1"/>
  <c r="H2793" i="1"/>
  <c r="J2793" i="1" s="1"/>
  <c r="F2794" i="1"/>
  <c r="D2794" i="1"/>
  <c r="C2795" i="1"/>
  <c r="I2793" i="1" l="1"/>
  <c r="H2794" i="1"/>
  <c r="J2794" i="1" s="1"/>
  <c r="F2795" i="1"/>
  <c r="C2796" i="1"/>
  <c r="D2795" i="1"/>
  <c r="I2794" i="1" l="1"/>
  <c r="H2795" i="1"/>
  <c r="J2795" i="1" s="1"/>
  <c r="D2796" i="1"/>
  <c r="C2797" i="1"/>
  <c r="F2796" i="1"/>
  <c r="H2796" i="1" l="1"/>
  <c r="J2796" i="1" s="1"/>
  <c r="I2795" i="1"/>
  <c r="F2797" i="1"/>
  <c r="D2797" i="1"/>
  <c r="C2798" i="1"/>
  <c r="H2797" i="1" l="1"/>
  <c r="J2797" i="1" s="1"/>
  <c r="I2796" i="1"/>
  <c r="D2798" i="1"/>
  <c r="C2799" i="1"/>
  <c r="F2798" i="1"/>
  <c r="H2798" i="1" l="1"/>
  <c r="J2798" i="1" s="1"/>
  <c r="I2797" i="1"/>
  <c r="F2799" i="1"/>
  <c r="C2800" i="1"/>
  <c r="D2799" i="1"/>
  <c r="I2798" i="1" l="1"/>
  <c r="H2799" i="1"/>
  <c r="J2799" i="1" s="1"/>
  <c r="F2800" i="1"/>
  <c r="C2801" i="1"/>
  <c r="D2800" i="1"/>
  <c r="I2799" i="1" l="1"/>
  <c r="H2800" i="1"/>
  <c r="J2800" i="1" s="1"/>
  <c r="F2801" i="1"/>
  <c r="D2801" i="1"/>
  <c r="C2802" i="1"/>
  <c r="I2800" i="1" l="1"/>
  <c r="H2801" i="1"/>
  <c r="J2801" i="1" s="1"/>
  <c r="F2802" i="1"/>
  <c r="D2802" i="1"/>
  <c r="C2803" i="1"/>
  <c r="H2802" i="1" l="1"/>
  <c r="J2802" i="1" s="1"/>
  <c r="I2801" i="1"/>
  <c r="F2803" i="1"/>
  <c r="D2803" i="1"/>
  <c r="C2804" i="1"/>
  <c r="H2803" i="1" l="1"/>
  <c r="J2803" i="1" s="1"/>
  <c r="I2802" i="1"/>
  <c r="F2804" i="1"/>
  <c r="C2805" i="1"/>
  <c r="D2804" i="1"/>
  <c r="I2803" i="1" l="1"/>
  <c r="H2804" i="1"/>
  <c r="J2804" i="1" s="1"/>
  <c r="C2806" i="1"/>
  <c r="D2805" i="1"/>
  <c r="F2805" i="1"/>
  <c r="H2805" i="1" l="1"/>
  <c r="J2805" i="1" s="1"/>
  <c r="I2804" i="1"/>
  <c r="F2806" i="1"/>
  <c r="D2806" i="1"/>
  <c r="C2807" i="1"/>
  <c r="I2805" i="1" l="1"/>
  <c r="H2806" i="1"/>
  <c r="I2806" i="1" s="1"/>
  <c r="D2807" i="1"/>
  <c r="F2807" i="1"/>
  <c r="C2808" i="1"/>
  <c r="H2807" i="1" l="1"/>
  <c r="J2806" i="1"/>
  <c r="F2808" i="1"/>
  <c r="D2808" i="1"/>
  <c r="C2809" i="1"/>
  <c r="H2808" i="1" l="1"/>
  <c r="J2807" i="1"/>
  <c r="I2807" i="1"/>
  <c r="F2809" i="1"/>
  <c r="D2809" i="1"/>
  <c r="C2810" i="1"/>
  <c r="H2809" i="1" l="1"/>
  <c r="J2809" i="1" s="1"/>
  <c r="J2808" i="1"/>
  <c r="I2808" i="1"/>
  <c r="F2810" i="1"/>
  <c r="C2811" i="1"/>
  <c r="D2810" i="1"/>
  <c r="H2810" i="1" l="1"/>
  <c r="J2810" i="1" s="1"/>
  <c r="I2809" i="1"/>
  <c r="F2811" i="1"/>
  <c r="C2812" i="1"/>
  <c r="D2811" i="1"/>
  <c r="H2811" i="1" l="1"/>
  <c r="J2811" i="1" s="1"/>
  <c r="I2810" i="1"/>
  <c r="F2812" i="1"/>
  <c r="C2813" i="1"/>
  <c r="D2812" i="1"/>
  <c r="H2812" i="1" l="1"/>
  <c r="J2812" i="1" s="1"/>
  <c r="I2811" i="1"/>
  <c r="F2813" i="1"/>
  <c r="C2814" i="1"/>
  <c r="D2813" i="1"/>
  <c r="H2813" i="1" l="1"/>
  <c r="J2813" i="1" s="1"/>
  <c r="I2812" i="1"/>
  <c r="F2814" i="1"/>
  <c r="D2814" i="1"/>
  <c r="C2815" i="1"/>
  <c r="I2813" i="1" l="1"/>
  <c r="H2814" i="1"/>
  <c r="J2814" i="1" s="1"/>
  <c r="D2815" i="1"/>
  <c r="C2816" i="1"/>
  <c r="F2815" i="1"/>
  <c r="H2815" i="1" l="1"/>
  <c r="J2815" i="1" s="1"/>
  <c r="I2814" i="1"/>
  <c r="D2816" i="1"/>
  <c r="C2817" i="1"/>
  <c r="F2816" i="1"/>
  <c r="H2816" i="1" l="1"/>
  <c r="J2816" i="1" s="1"/>
  <c r="I2815" i="1"/>
  <c r="F2817" i="1"/>
  <c r="D2817" i="1"/>
  <c r="C2818" i="1"/>
  <c r="H2817" i="1" l="1"/>
  <c r="J2817" i="1" s="1"/>
  <c r="I2816" i="1"/>
  <c r="F2818" i="1"/>
  <c r="D2818" i="1"/>
  <c r="C2819" i="1"/>
  <c r="I2817" i="1" l="1"/>
  <c r="H2818" i="1"/>
  <c r="J2818" i="1" s="1"/>
  <c r="F2819" i="1"/>
  <c r="D2819" i="1"/>
  <c r="C2820" i="1"/>
  <c r="H2819" i="1" l="1"/>
  <c r="J2819" i="1" s="1"/>
  <c r="I2818" i="1"/>
  <c r="F2820" i="1"/>
  <c r="D2820" i="1"/>
  <c r="C2821" i="1"/>
  <c r="H2820" i="1" l="1"/>
  <c r="J2820" i="1" s="1"/>
  <c r="I2819" i="1"/>
  <c r="F2821" i="1"/>
  <c r="D2821" i="1"/>
  <c r="C2822" i="1"/>
  <c r="I2820" i="1" l="1"/>
  <c r="H2821" i="1"/>
  <c r="J2821" i="1" s="1"/>
  <c r="F2822" i="1"/>
  <c r="C2823" i="1"/>
  <c r="D2822" i="1"/>
  <c r="H2822" i="1" l="1"/>
  <c r="J2822" i="1" s="1"/>
  <c r="I2821" i="1"/>
  <c r="C2824" i="1"/>
  <c r="D2823" i="1"/>
  <c r="F2823" i="1"/>
  <c r="H2823" i="1" l="1"/>
  <c r="J2823" i="1" s="1"/>
  <c r="I2822" i="1"/>
  <c r="F2824" i="1"/>
  <c r="C2825" i="1"/>
  <c r="D2824" i="1"/>
  <c r="I2823" i="1" l="1"/>
  <c r="H2824" i="1"/>
  <c r="J2824" i="1" s="1"/>
  <c r="F2825" i="1"/>
  <c r="D2825" i="1"/>
  <c r="C2826" i="1"/>
  <c r="I2824" i="1" l="1"/>
  <c r="H2825" i="1"/>
  <c r="J2825" i="1" s="1"/>
  <c r="F2826" i="1"/>
  <c r="C2827" i="1"/>
  <c r="D2826" i="1"/>
  <c r="I2825" i="1" l="1"/>
  <c r="H2826" i="1"/>
  <c r="J2826" i="1" s="1"/>
  <c r="F2827" i="1"/>
  <c r="D2827" i="1"/>
  <c r="C2828" i="1"/>
  <c r="H2827" i="1" l="1"/>
  <c r="J2827" i="1" s="1"/>
  <c r="I2826" i="1"/>
  <c r="F2828" i="1"/>
  <c r="C2829" i="1"/>
  <c r="D2828" i="1"/>
  <c r="H2828" i="1" l="1"/>
  <c r="J2828" i="1" s="1"/>
  <c r="I2827" i="1"/>
  <c r="F2829" i="1"/>
  <c r="D2829" i="1"/>
  <c r="C2830" i="1"/>
  <c r="H2829" i="1" l="1"/>
  <c r="J2829" i="1" s="1"/>
  <c r="I2828" i="1"/>
  <c r="F2830" i="1"/>
  <c r="D2830" i="1"/>
  <c r="C2831" i="1"/>
  <c r="I2829" i="1" l="1"/>
  <c r="H2830" i="1"/>
  <c r="J2830" i="1" s="1"/>
  <c r="F2831" i="1"/>
  <c r="D2831" i="1"/>
  <c r="C2832" i="1"/>
  <c r="H2831" i="1" l="1"/>
  <c r="J2831" i="1" s="1"/>
  <c r="I2830" i="1"/>
  <c r="F2832" i="1"/>
  <c r="C2833" i="1"/>
  <c r="D2832" i="1"/>
  <c r="H2832" i="1" l="1"/>
  <c r="J2832" i="1" s="1"/>
  <c r="I2831" i="1"/>
  <c r="F2833" i="1"/>
  <c r="C2834" i="1"/>
  <c r="D2833" i="1"/>
  <c r="I2832" i="1" l="1"/>
  <c r="H2833" i="1"/>
  <c r="J2833" i="1" s="1"/>
  <c r="F2834" i="1"/>
  <c r="D2834" i="1"/>
  <c r="C2835" i="1"/>
  <c r="H2834" i="1" l="1"/>
  <c r="J2834" i="1" s="1"/>
  <c r="I2833" i="1"/>
  <c r="F2835" i="1"/>
  <c r="C2836" i="1"/>
  <c r="D2835" i="1"/>
  <c r="H2835" i="1" l="1"/>
  <c r="J2835" i="1" s="1"/>
  <c r="I2834" i="1"/>
  <c r="F2836" i="1"/>
  <c r="D2836" i="1"/>
  <c r="C2837" i="1"/>
  <c r="I2835" i="1" l="1"/>
  <c r="H2836" i="1"/>
  <c r="J2836" i="1" s="1"/>
  <c r="F2837" i="1"/>
  <c r="D2837" i="1"/>
  <c r="C2838" i="1"/>
  <c r="H2837" i="1" l="1"/>
  <c r="J2837" i="1" s="1"/>
  <c r="I2836" i="1"/>
  <c r="F2838" i="1"/>
  <c r="C2839" i="1"/>
  <c r="D2838" i="1"/>
  <c r="H2838" i="1" l="1"/>
  <c r="J2838" i="1" s="1"/>
  <c r="I2837" i="1"/>
  <c r="F2839" i="1"/>
  <c r="C2840" i="1"/>
  <c r="D2839" i="1"/>
  <c r="I2838" i="1" l="1"/>
  <c r="H2839" i="1"/>
  <c r="J2839" i="1" s="1"/>
  <c r="F2840" i="1"/>
  <c r="C2841" i="1"/>
  <c r="D2840" i="1"/>
  <c r="H2840" i="1" l="1"/>
  <c r="J2840" i="1" s="1"/>
  <c r="I2839" i="1"/>
  <c r="F2841" i="1"/>
  <c r="D2841" i="1"/>
  <c r="C2842" i="1"/>
  <c r="I2840" i="1" l="1"/>
  <c r="H2841" i="1"/>
  <c r="J2841" i="1" s="1"/>
  <c r="F2842" i="1"/>
  <c r="C2843" i="1"/>
  <c r="D2842" i="1"/>
  <c r="H2842" i="1" l="1"/>
  <c r="J2842" i="1" s="1"/>
  <c r="I2841" i="1"/>
  <c r="F2843" i="1"/>
  <c r="C2844" i="1"/>
  <c r="D2843" i="1"/>
  <c r="I2842" i="1" l="1"/>
  <c r="H2843" i="1"/>
  <c r="J2843" i="1" s="1"/>
  <c r="F2844" i="1"/>
  <c r="C2845" i="1"/>
  <c r="D2844" i="1"/>
  <c r="H2844" i="1" l="1"/>
  <c r="J2844" i="1" s="1"/>
  <c r="I2843" i="1"/>
  <c r="F2845" i="1"/>
  <c r="C2846" i="1"/>
  <c r="D2845" i="1"/>
  <c r="I2844" i="1" l="1"/>
  <c r="H2845" i="1"/>
  <c r="J2845" i="1" s="1"/>
  <c r="F2846" i="1"/>
  <c r="C2847" i="1"/>
  <c r="D2846" i="1"/>
  <c r="H2846" i="1" l="1"/>
  <c r="J2846" i="1" s="1"/>
  <c r="I2845" i="1"/>
  <c r="F2847" i="1"/>
  <c r="C2848" i="1"/>
  <c r="D2847" i="1"/>
  <c r="I2846" i="1" l="1"/>
  <c r="H2847" i="1"/>
  <c r="J2847" i="1" s="1"/>
  <c r="F2848" i="1"/>
  <c r="C2849" i="1"/>
  <c r="D2848" i="1"/>
  <c r="H2848" i="1" l="1"/>
  <c r="J2848" i="1" s="1"/>
  <c r="I2847" i="1"/>
  <c r="F2849" i="1"/>
  <c r="D2849" i="1"/>
  <c r="C2850" i="1"/>
  <c r="I2848" i="1" l="1"/>
  <c r="H2849" i="1"/>
  <c r="J2849" i="1" s="1"/>
  <c r="F2850" i="1"/>
  <c r="C2851" i="1"/>
  <c r="D2850" i="1"/>
  <c r="H2850" i="1" l="1"/>
  <c r="J2850" i="1" s="1"/>
  <c r="I2849" i="1"/>
  <c r="F2851" i="1"/>
  <c r="D2851" i="1"/>
  <c r="C2852" i="1"/>
  <c r="I2850" i="1" l="1"/>
  <c r="H2851" i="1"/>
  <c r="J2851" i="1" s="1"/>
  <c r="F2852" i="1"/>
  <c r="D2852" i="1"/>
  <c r="C2853" i="1"/>
  <c r="H2852" i="1" l="1"/>
  <c r="J2852" i="1" s="1"/>
  <c r="I2851" i="1"/>
  <c r="F2853" i="1"/>
  <c r="C2854" i="1"/>
  <c r="D2853" i="1"/>
  <c r="I2852" i="1" l="1"/>
  <c r="H2853" i="1"/>
  <c r="J2853" i="1" s="1"/>
  <c r="F2854" i="1"/>
  <c r="C2855" i="1"/>
  <c r="D2854" i="1"/>
  <c r="H2854" i="1" l="1"/>
  <c r="J2854" i="1" s="1"/>
  <c r="I2853" i="1"/>
  <c r="C2856" i="1"/>
  <c r="D2855" i="1"/>
  <c r="F2855" i="1"/>
  <c r="H2855" i="1" l="1"/>
  <c r="J2855" i="1" s="1"/>
  <c r="I2854" i="1"/>
  <c r="D2856" i="1"/>
  <c r="C2857" i="1"/>
  <c r="F2856" i="1"/>
  <c r="H2856" i="1" l="1"/>
  <c r="J2856" i="1" s="1"/>
  <c r="I2855" i="1"/>
  <c r="F2857" i="1"/>
  <c r="C2858" i="1"/>
  <c r="D2857" i="1"/>
  <c r="H2857" i="1" l="1"/>
  <c r="J2857" i="1" s="1"/>
  <c r="I2856" i="1"/>
  <c r="D2858" i="1"/>
  <c r="F2858" i="1"/>
  <c r="C2859" i="1"/>
  <c r="H2858" i="1" l="1"/>
  <c r="J2858" i="1" s="1"/>
  <c r="I2857" i="1"/>
  <c r="F2859" i="1"/>
  <c r="C2860" i="1"/>
  <c r="D2859" i="1"/>
  <c r="H2859" i="1" l="1"/>
  <c r="J2859" i="1" s="1"/>
  <c r="I2858" i="1"/>
  <c r="F2860" i="1"/>
  <c r="C2861" i="1"/>
  <c r="D2860" i="1"/>
  <c r="I2859" i="1" l="1"/>
  <c r="H2860" i="1"/>
  <c r="J2860" i="1" s="1"/>
  <c r="F2861" i="1"/>
  <c r="C2862" i="1"/>
  <c r="D2861" i="1"/>
  <c r="H2861" i="1" l="1"/>
  <c r="J2861" i="1" s="1"/>
  <c r="I2860" i="1"/>
  <c r="C2863" i="1"/>
  <c r="D2862" i="1"/>
  <c r="F2862" i="1"/>
  <c r="H2862" i="1" l="1"/>
  <c r="J2862" i="1" s="1"/>
  <c r="I2861" i="1"/>
  <c r="D2863" i="1"/>
  <c r="F2863" i="1"/>
  <c r="C2864" i="1"/>
  <c r="H2863" i="1" l="1"/>
  <c r="J2863" i="1" s="1"/>
  <c r="I2862" i="1"/>
  <c r="C2865" i="1"/>
  <c r="F2864" i="1"/>
  <c r="D2864" i="1"/>
  <c r="H2864" i="1" l="1"/>
  <c r="J2864" i="1" s="1"/>
  <c r="I2863" i="1"/>
  <c r="C2866" i="1"/>
  <c r="F2865" i="1"/>
  <c r="D2865" i="1"/>
  <c r="H2865" i="1" l="1"/>
  <c r="J2865" i="1" s="1"/>
  <c r="I2864" i="1"/>
  <c r="C2867" i="1"/>
  <c r="F2866" i="1"/>
  <c r="D2866" i="1"/>
  <c r="H2866" i="1" l="1"/>
  <c r="J2866" i="1" s="1"/>
  <c r="I2865" i="1"/>
  <c r="D2867" i="1"/>
  <c r="C2868" i="1"/>
  <c r="F2867" i="1"/>
  <c r="H2867" i="1" l="1"/>
  <c r="J2867" i="1" s="1"/>
  <c r="I2866" i="1"/>
  <c r="D2868" i="1"/>
  <c r="C2869" i="1"/>
  <c r="F2868" i="1"/>
  <c r="H2868" i="1" l="1"/>
  <c r="J2868" i="1" s="1"/>
  <c r="I2867" i="1"/>
  <c r="F2869" i="1"/>
  <c r="C2870" i="1"/>
  <c r="D2869" i="1"/>
  <c r="H2869" i="1" l="1"/>
  <c r="J2869" i="1" s="1"/>
  <c r="I2868" i="1"/>
  <c r="F2870" i="1"/>
  <c r="C2871" i="1"/>
  <c r="D2870" i="1"/>
  <c r="I2869" i="1" l="1"/>
  <c r="H2870" i="1"/>
  <c r="J2870" i="1" s="1"/>
  <c r="C2872" i="1"/>
  <c r="D2871" i="1"/>
  <c r="F2871" i="1"/>
  <c r="H2871" i="1" l="1"/>
  <c r="J2871" i="1" s="1"/>
  <c r="I2870" i="1"/>
  <c r="D2872" i="1"/>
  <c r="C2873" i="1"/>
  <c r="F2872" i="1"/>
  <c r="H2872" i="1" l="1"/>
  <c r="J2872" i="1" s="1"/>
  <c r="I2871" i="1"/>
  <c r="D2873" i="1"/>
  <c r="F2873" i="1"/>
  <c r="C2874" i="1"/>
  <c r="H2873" i="1" l="1"/>
  <c r="J2873" i="1" s="1"/>
  <c r="I2872" i="1"/>
  <c r="D2874" i="1"/>
  <c r="F2874" i="1"/>
  <c r="C2875" i="1"/>
  <c r="H2874" i="1" l="1"/>
  <c r="J2874" i="1" s="1"/>
  <c r="I2873" i="1"/>
  <c r="D2875" i="1"/>
  <c r="C2876" i="1"/>
  <c r="F2875" i="1"/>
  <c r="H2875" i="1" l="1"/>
  <c r="J2875" i="1" s="1"/>
  <c r="I2874" i="1"/>
  <c r="D2876" i="1"/>
  <c r="F2876" i="1"/>
  <c r="C2877" i="1"/>
  <c r="H2876" i="1" l="1"/>
  <c r="J2876" i="1" s="1"/>
  <c r="I2875" i="1"/>
  <c r="C2878" i="1"/>
  <c r="F2877" i="1"/>
  <c r="D2877" i="1"/>
  <c r="H2877" i="1" l="1"/>
  <c r="J2877" i="1" s="1"/>
  <c r="I2876" i="1"/>
  <c r="D2878" i="1"/>
  <c r="C2879" i="1"/>
  <c r="F2878" i="1"/>
  <c r="H2878" i="1" l="1"/>
  <c r="J2878" i="1" s="1"/>
  <c r="I2877" i="1"/>
  <c r="C2880" i="1"/>
  <c r="F2879" i="1"/>
  <c r="D2879" i="1"/>
  <c r="H2879" i="1" l="1"/>
  <c r="J2879" i="1" s="1"/>
  <c r="I2878" i="1"/>
  <c r="F2880" i="1"/>
  <c r="C2881" i="1"/>
  <c r="D2880" i="1"/>
  <c r="H2880" i="1" l="1"/>
  <c r="J2880" i="1" s="1"/>
  <c r="I2879" i="1"/>
  <c r="D2881" i="1"/>
  <c r="C2882" i="1"/>
  <c r="F2881" i="1"/>
  <c r="H2881" i="1" l="1"/>
  <c r="J2881" i="1" s="1"/>
  <c r="I2880" i="1"/>
  <c r="C2883" i="1"/>
  <c r="F2882" i="1"/>
  <c r="D2882" i="1"/>
  <c r="I2881" i="1" l="1"/>
  <c r="H2882" i="1"/>
  <c r="J2882" i="1" s="1"/>
  <c r="F2883" i="1"/>
  <c r="C2884" i="1"/>
  <c r="D2883" i="1"/>
  <c r="H2883" i="1" l="1"/>
  <c r="J2883" i="1" s="1"/>
  <c r="I2882" i="1"/>
  <c r="C2885" i="1"/>
  <c r="D2884" i="1"/>
  <c r="F2884" i="1"/>
  <c r="H2884" i="1" l="1"/>
  <c r="J2884" i="1" s="1"/>
  <c r="I2883" i="1"/>
  <c r="F2885" i="1"/>
  <c r="D2885" i="1"/>
  <c r="C2886" i="1"/>
  <c r="I2884" i="1" l="1"/>
  <c r="H2885" i="1"/>
  <c r="J2885" i="1" s="1"/>
  <c r="F2886" i="1"/>
  <c r="D2886" i="1"/>
  <c r="C2887" i="1"/>
  <c r="I2885" i="1" l="1"/>
  <c r="H2886" i="1"/>
  <c r="J2886" i="1" s="1"/>
  <c r="F2887" i="1"/>
  <c r="C2888" i="1"/>
  <c r="D2887" i="1"/>
  <c r="I2886" i="1" l="1"/>
  <c r="H2887" i="1"/>
  <c r="J2887" i="1" s="1"/>
  <c r="D2888" i="1"/>
  <c r="C2889" i="1"/>
  <c r="F2888" i="1"/>
  <c r="I2887" i="1" l="1"/>
  <c r="H2888" i="1"/>
  <c r="J2888" i="1" s="1"/>
  <c r="C2890" i="1"/>
  <c r="D2889" i="1"/>
  <c r="F2889" i="1"/>
  <c r="H2889" i="1" l="1"/>
  <c r="J2889" i="1" s="1"/>
  <c r="I2888" i="1"/>
  <c r="F2890" i="1"/>
  <c r="C2891" i="1"/>
  <c r="D2890" i="1"/>
  <c r="H2890" i="1" l="1"/>
  <c r="J2890" i="1" s="1"/>
  <c r="I2889" i="1"/>
  <c r="F2891" i="1"/>
  <c r="C2892" i="1"/>
  <c r="D2891" i="1"/>
  <c r="I2890" i="1" l="1"/>
  <c r="H2891" i="1"/>
  <c r="J2891" i="1" s="1"/>
  <c r="F2892" i="1"/>
  <c r="C2893" i="1"/>
  <c r="D2892" i="1"/>
  <c r="H2892" i="1" l="1"/>
  <c r="J2892" i="1" s="1"/>
  <c r="I2891" i="1"/>
  <c r="F2893" i="1"/>
  <c r="C2894" i="1"/>
  <c r="D2893" i="1"/>
  <c r="I2892" i="1" l="1"/>
  <c r="H2893" i="1"/>
  <c r="J2893" i="1" s="1"/>
  <c r="D2894" i="1"/>
  <c r="F2894" i="1"/>
  <c r="C2895" i="1"/>
  <c r="H2894" i="1" l="1"/>
  <c r="J2894" i="1" s="1"/>
  <c r="I2893" i="1"/>
  <c r="F2895" i="1"/>
  <c r="D2895" i="1"/>
  <c r="C2896" i="1"/>
  <c r="I2894" i="1" l="1"/>
  <c r="H2895" i="1"/>
  <c r="J2895" i="1" s="1"/>
  <c r="F2896" i="1"/>
  <c r="C2897" i="1"/>
  <c r="D2896" i="1"/>
  <c r="H2896" i="1" l="1"/>
  <c r="J2896" i="1" s="1"/>
  <c r="I2895" i="1"/>
  <c r="F2897" i="1"/>
  <c r="D2897" i="1"/>
  <c r="C2898" i="1"/>
  <c r="I2896" i="1" l="1"/>
  <c r="H2897" i="1"/>
  <c r="J2897" i="1" s="1"/>
  <c r="F2898" i="1"/>
  <c r="C2899" i="1"/>
  <c r="D2898" i="1"/>
  <c r="H2898" i="1" l="1"/>
  <c r="J2898" i="1" s="1"/>
  <c r="I2897" i="1"/>
  <c r="F2899" i="1"/>
  <c r="C2900" i="1"/>
  <c r="D2899" i="1"/>
  <c r="I2898" i="1" l="1"/>
  <c r="H2899" i="1"/>
  <c r="J2899" i="1" s="1"/>
  <c r="C2901" i="1"/>
  <c r="F2900" i="1"/>
  <c r="D2900" i="1"/>
  <c r="H2900" i="1" l="1"/>
  <c r="J2900" i="1" s="1"/>
  <c r="I2899" i="1"/>
  <c r="F2901" i="1"/>
  <c r="C2902" i="1"/>
  <c r="D2901" i="1"/>
  <c r="I2900" i="1" l="1"/>
  <c r="H2901" i="1"/>
  <c r="J2901" i="1" s="1"/>
  <c r="F2902" i="1"/>
  <c r="C2903" i="1"/>
  <c r="D2902" i="1"/>
  <c r="H2902" i="1" l="1"/>
  <c r="J2902" i="1" s="1"/>
  <c r="I2901" i="1"/>
  <c r="F2903" i="1"/>
  <c r="C2904" i="1"/>
  <c r="D2903" i="1"/>
  <c r="I2902" i="1" l="1"/>
  <c r="H2903" i="1"/>
  <c r="J2903" i="1" s="1"/>
  <c r="C2905" i="1"/>
  <c r="F2904" i="1"/>
  <c r="D2904" i="1"/>
  <c r="H2904" i="1" l="1"/>
  <c r="J2904" i="1" s="1"/>
  <c r="I2903" i="1"/>
  <c r="C2906" i="1"/>
  <c r="D2905" i="1"/>
  <c r="F2905" i="1"/>
  <c r="H2905" i="1" l="1"/>
  <c r="J2905" i="1" s="1"/>
  <c r="I2904" i="1"/>
  <c r="C2907" i="1"/>
  <c r="F2906" i="1"/>
  <c r="D2906" i="1"/>
  <c r="H2906" i="1" l="1"/>
  <c r="J2906" i="1" s="1"/>
  <c r="I2905" i="1"/>
  <c r="D2907" i="1"/>
  <c r="F2907" i="1"/>
  <c r="C2908" i="1"/>
  <c r="I2906" i="1" l="1"/>
  <c r="H2907" i="1"/>
  <c r="J2907" i="1" s="1"/>
  <c r="C2909" i="1"/>
  <c r="D2908" i="1"/>
  <c r="F2908" i="1"/>
  <c r="H2908" i="1" l="1"/>
  <c r="J2908" i="1" s="1"/>
  <c r="I2907" i="1"/>
  <c r="F2909" i="1"/>
  <c r="C2910" i="1"/>
  <c r="D2909" i="1"/>
  <c r="H2909" i="1" l="1"/>
  <c r="J2909" i="1" s="1"/>
  <c r="I2908" i="1"/>
  <c r="C2911" i="1"/>
  <c r="D2910" i="1"/>
  <c r="F2910" i="1"/>
  <c r="H2910" i="1" l="1"/>
  <c r="J2910" i="1" s="1"/>
  <c r="I2909" i="1"/>
  <c r="F2911" i="1"/>
  <c r="C2912" i="1"/>
  <c r="D2911" i="1"/>
  <c r="I2910" i="1" l="1"/>
  <c r="H2911" i="1"/>
  <c r="J2911" i="1" s="1"/>
  <c r="C2913" i="1"/>
  <c r="D2912" i="1"/>
  <c r="F2912" i="1"/>
  <c r="H2912" i="1" l="1"/>
  <c r="J2912" i="1" s="1"/>
  <c r="I2911" i="1"/>
  <c r="D2913" i="1"/>
  <c r="F2913" i="1"/>
  <c r="C2914" i="1"/>
  <c r="H2913" i="1" l="1"/>
  <c r="J2913" i="1" s="1"/>
  <c r="I2912" i="1"/>
  <c r="F2914" i="1"/>
  <c r="D2914" i="1"/>
  <c r="C2915" i="1"/>
  <c r="H2914" i="1" l="1"/>
  <c r="J2914" i="1" s="1"/>
  <c r="I2913" i="1"/>
  <c r="D2915" i="1"/>
  <c r="F2915" i="1"/>
  <c r="C2916" i="1"/>
  <c r="H2915" i="1" l="1"/>
  <c r="J2915" i="1" s="1"/>
  <c r="I2914" i="1"/>
  <c r="C2917" i="1"/>
  <c r="D2916" i="1"/>
  <c r="F2916" i="1"/>
  <c r="H2916" i="1" l="1"/>
  <c r="J2916" i="1" s="1"/>
  <c r="I2915" i="1"/>
  <c r="C2918" i="1"/>
  <c r="F2917" i="1"/>
  <c r="D2917" i="1"/>
  <c r="H2917" i="1" l="1"/>
  <c r="J2917" i="1" s="1"/>
  <c r="I2916" i="1"/>
  <c r="C2919" i="1"/>
  <c r="D2918" i="1"/>
  <c r="F2918" i="1"/>
  <c r="H2918" i="1" l="1"/>
  <c r="J2918" i="1" s="1"/>
  <c r="I2917" i="1"/>
  <c r="D2919" i="1"/>
  <c r="F2919" i="1"/>
  <c r="C2920" i="1"/>
  <c r="H2919" i="1" l="1"/>
  <c r="J2919" i="1" s="1"/>
  <c r="I2918" i="1"/>
  <c r="C2921" i="1"/>
  <c r="D2920" i="1"/>
  <c r="F2920" i="1"/>
  <c r="H2920" i="1" l="1"/>
  <c r="J2920" i="1" s="1"/>
  <c r="I2919" i="1"/>
  <c r="D2921" i="1"/>
  <c r="F2921" i="1"/>
  <c r="C2922" i="1"/>
  <c r="H2921" i="1" l="1"/>
  <c r="J2921" i="1" s="1"/>
  <c r="I2920" i="1"/>
  <c r="C2923" i="1"/>
  <c r="D2922" i="1"/>
  <c r="F2922" i="1"/>
  <c r="H2922" i="1" l="1"/>
  <c r="J2922" i="1" s="1"/>
  <c r="I2921" i="1"/>
  <c r="D2923" i="1"/>
  <c r="F2923" i="1"/>
  <c r="C2924" i="1"/>
  <c r="H2923" i="1" l="1"/>
  <c r="J2923" i="1" s="1"/>
  <c r="I2922" i="1"/>
  <c r="C2925" i="1"/>
  <c r="D2924" i="1"/>
  <c r="F2924" i="1"/>
  <c r="H2924" i="1" l="1"/>
  <c r="J2924" i="1" s="1"/>
  <c r="I2923" i="1"/>
  <c r="C2926" i="1"/>
  <c r="D2925" i="1"/>
  <c r="F2925" i="1"/>
  <c r="H2925" i="1" l="1"/>
  <c r="J2925" i="1" s="1"/>
  <c r="I2924" i="1"/>
  <c r="F2926" i="1"/>
  <c r="D2926" i="1"/>
  <c r="C2927" i="1"/>
  <c r="I2925" i="1" l="1"/>
  <c r="H2926" i="1"/>
  <c r="J2926" i="1" s="1"/>
  <c r="D2927" i="1"/>
  <c r="F2927" i="1"/>
  <c r="C2928" i="1"/>
  <c r="H2927" i="1" l="1"/>
  <c r="J2927" i="1" s="1"/>
  <c r="I2926" i="1"/>
  <c r="C2929" i="1"/>
  <c r="D2928" i="1"/>
  <c r="F2928" i="1"/>
  <c r="H2928" i="1" l="1"/>
  <c r="J2928" i="1" s="1"/>
  <c r="I2927" i="1"/>
  <c r="D2929" i="1"/>
  <c r="F2929" i="1"/>
  <c r="C2930" i="1"/>
  <c r="H2929" i="1" l="1"/>
  <c r="J2929" i="1" s="1"/>
  <c r="I2928" i="1"/>
  <c r="C2931" i="1"/>
  <c r="D2930" i="1"/>
  <c r="F2930" i="1"/>
  <c r="H2930" i="1" l="1"/>
  <c r="J2930" i="1" s="1"/>
  <c r="I2929" i="1"/>
  <c r="D2931" i="1"/>
  <c r="C2932" i="1"/>
  <c r="F2931" i="1"/>
  <c r="H2931" i="1" l="1"/>
  <c r="J2931" i="1" s="1"/>
  <c r="I2930" i="1"/>
  <c r="C2933" i="1"/>
  <c r="D2932" i="1"/>
  <c r="F2932" i="1"/>
  <c r="H2932" i="1" l="1"/>
  <c r="J2932" i="1" s="1"/>
  <c r="I2931" i="1"/>
  <c r="D2933" i="1"/>
  <c r="C2934" i="1"/>
  <c r="F2933" i="1"/>
  <c r="H2933" i="1" l="1"/>
  <c r="J2933" i="1" s="1"/>
  <c r="I2932" i="1"/>
  <c r="C2935" i="1"/>
  <c r="D2934" i="1"/>
  <c r="F2934" i="1"/>
  <c r="I2933" i="1" l="1"/>
  <c r="H2934" i="1"/>
  <c r="J2934" i="1" s="1"/>
  <c r="D2935" i="1"/>
  <c r="F2935" i="1"/>
  <c r="C2936" i="1"/>
  <c r="I2934" i="1" l="1"/>
  <c r="H2935" i="1"/>
  <c r="J2935" i="1" s="1"/>
  <c r="F2936" i="1"/>
  <c r="D2936" i="1"/>
  <c r="C2937" i="1"/>
  <c r="I2935" i="1" l="1"/>
  <c r="H2936" i="1"/>
  <c r="J2936" i="1" s="1"/>
  <c r="D2937" i="1"/>
  <c r="F2937" i="1"/>
  <c r="C2938" i="1"/>
  <c r="I2936" i="1" l="1"/>
  <c r="H2937" i="1"/>
  <c r="J2937" i="1" s="1"/>
  <c r="F2938" i="1"/>
  <c r="D2938" i="1"/>
  <c r="C2939" i="1"/>
  <c r="I2937" i="1" l="1"/>
  <c r="H2938" i="1"/>
  <c r="J2938" i="1" s="1"/>
  <c r="D2939" i="1"/>
  <c r="F2939" i="1"/>
  <c r="C2940" i="1"/>
  <c r="I2938" i="1" l="1"/>
  <c r="H2939" i="1"/>
  <c r="J2939" i="1" s="1"/>
  <c r="D2940" i="1"/>
  <c r="C2941" i="1"/>
  <c r="F2940" i="1"/>
  <c r="H2940" i="1" l="1"/>
  <c r="J2940" i="1" s="1"/>
  <c r="I2939" i="1"/>
  <c r="D2941" i="1"/>
  <c r="F2941" i="1"/>
  <c r="C2942" i="1"/>
  <c r="H2941" i="1" l="1"/>
  <c r="J2941" i="1" s="1"/>
  <c r="I2940" i="1"/>
  <c r="C2943" i="1"/>
  <c r="D2942" i="1"/>
  <c r="F2942" i="1"/>
  <c r="H2942" i="1" l="1"/>
  <c r="J2942" i="1" s="1"/>
  <c r="I2941" i="1"/>
  <c r="D2943" i="1"/>
  <c r="F2943" i="1"/>
  <c r="C2944" i="1"/>
  <c r="H2943" i="1" l="1"/>
  <c r="J2943" i="1" s="1"/>
  <c r="I2942" i="1"/>
  <c r="C2945" i="1"/>
  <c r="D2944" i="1"/>
  <c r="F2944" i="1"/>
  <c r="H2944" i="1" l="1"/>
  <c r="J2944" i="1" s="1"/>
  <c r="I2943" i="1"/>
  <c r="D2945" i="1"/>
  <c r="F2945" i="1"/>
  <c r="C2946" i="1"/>
  <c r="H2945" i="1" l="1"/>
  <c r="J2945" i="1" s="1"/>
  <c r="I2944" i="1"/>
  <c r="C2947" i="1"/>
  <c r="D2946" i="1"/>
  <c r="F2946" i="1"/>
  <c r="H2946" i="1" l="1"/>
  <c r="J2946" i="1" s="1"/>
  <c r="I2945" i="1"/>
  <c r="D2947" i="1"/>
  <c r="C2948" i="1"/>
  <c r="F2947" i="1"/>
  <c r="H2947" i="1" l="1"/>
  <c r="J2947" i="1" s="1"/>
  <c r="I2946" i="1"/>
  <c r="D2948" i="1"/>
  <c r="C2949" i="1"/>
  <c r="F2948" i="1"/>
  <c r="H2948" i="1" l="1"/>
  <c r="J2948" i="1" s="1"/>
  <c r="I2947" i="1"/>
  <c r="D2949" i="1"/>
  <c r="F2949" i="1"/>
  <c r="C2950" i="1"/>
  <c r="H2949" i="1" l="1"/>
  <c r="J2949" i="1" s="1"/>
  <c r="I2948" i="1"/>
  <c r="F2950" i="1"/>
  <c r="D2950" i="1"/>
  <c r="C2951" i="1"/>
  <c r="H2950" i="1" l="1"/>
  <c r="J2950" i="1" s="1"/>
  <c r="I2949" i="1"/>
  <c r="D2951" i="1"/>
  <c r="F2951" i="1"/>
  <c r="C2952" i="1"/>
  <c r="H2951" i="1" l="1"/>
  <c r="J2951" i="1" s="1"/>
  <c r="I2950" i="1"/>
  <c r="F2952" i="1"/>
  <c r="D2952" i="1"/>
  <c r="C2953" i="1"/>
  <c r="H2952" i="1" l="1"/>
  <c r="J2952" i="1" s="1"/>
  <c r="I2951" i="1"/>
  <c r="D2953" i="1"/>
  <c r="F2953" i="1"/>
  <c r="C2954" i="1"/>
  <c r="H2953" i="1" l="1"/>
  <c r="J2953" i="1" s="1"/>
  <c r="I2952" i="1"/>
  <c r="C2955" i="1"/>
  <c r="D2954" i="1"/>
  <c r="F2954" i="1"/>
  <c r="H2954" i="1" l="1"/>
  <c r="J2954" i="1" s="1"/>
  <c r="I2953" i="1"/>
  <c r="C2956" i="1"/>
  <c r="D2955" i="1"/>
  <c r="F2955" i="1"/>
  <c r="H2955" i="1" l="1"/>
  <c r="J2955" i="1" s="1"/>
  <c r="I2954" i="1"/>
  <c r="F2956" i="1"/>
  <c r="C2957" i="1"/>
  <c r="D2956" i="1"/>
  <c r="H2956" i="1" l="1"/>
  <c r="J2956" i="1" s="1"/>
  <c r="I2955" i="1"/>
  <c r="C2958" i="1"/>
  <c r="F2957" i="1"/>
  <c r="D2957" i="1"/>
  <c r="H2957" i="1" l="1"/>
  <c r="J2957" i="1" s="1"/>
  <c r="I2956" i="1"/>
  <c r="F2958" i="1"/>
  <c r="C2959" i="1"/>
  <c r="D2958" i="1"/>
  <c r="H2958" i="1" l="1"/>
  <c r="J2958" i="1" s="1"/>
  <c r="I2957" i="1"/>
  <c r="D2959" i="1"/>
  <c r="F2959" i="1"/>
  <c r="C2960" i="1"/>
  <c r="H2959" i="1" l="1"/>
  <c r="J2959" i="1" s="1"/>
  <c r="I2958" i="1"/>
  <c r="C2961" i="1"/>
  <c r="D2960" i="1"/>
  <c r="F2960" i="1"/>
  <c r="H2960" i="1" l="1"/>
  <c r="J2960" i="1" s="1"/>
  <c r="I2959" i="1"/>
  <c r="D2961" i="1"/>
  <c r="F2961" i="1"/>
  <c r="C2962" i="1"/>
  <c r="H2961" i="1" l="1"/>
  <c r="J2961" i="1" s="1"/>
  <c r="I2960" i="1"/>
  <c r="D2962" i="1"/>
  <c r="C2963" i="1"/>
  <c r="F2962" i="1"/>
  <c r="H2962" i="1" l="1"/>
  <c r="J2962" i="1" s="1"/>
  <c r="I2961" i="1"/>
  <c r="D2963" i="1"/>
  <c r="F2963" i="1"/>
  <c r="C2964" i="1"/>
  <c r="H2963" i="1" l="1"/>
  <c r="J2963" i="1" s="1"/>
  <c r="I2962" i="1"/>
  <c r="D2964" i="1"/>
  <c r="C2965" i="1"/>
  <c r="F2964" i="1"/>
  <c r="H2964" i="1" l="1"/>
  <c r="J2964" i="1" s="1"/>
  <c r="I2963" i="1"/>
  <c r="C2966" i="1"/>
  <c r="F2965" i="1"/>
  <c r="D2965" i="1"/>
  <c r="H2965" i="1" l="1"/>
  <c r="J2965" i="1" s="1"/>
  <c r="I2964" i="1"/>
  <c r="C2967" i="1"/>
  <c r="D2966" i="1"/>
  <c r="F2966" i="1"/>
  <c r="H2966" i="1" l="1"/>
  <c r="J2966" i="1" s="1"/>
  <c r="I2965" i="1"/>
  <c r="D2967" i="1"/>
  <c r="F2967" i="1"/>
  <c r="C2968" i="1"/>
  <c r="H2967" i="1" l="1"/>
  <c r="J2967" i="1" s="1"/>
  <c r="I2966" i="1"/>
  <c r="C2969" i="1"/>
  <c r="D2968" i="1"/>
  <c r="F2968" i="1"/>
  <c r="H2968" i="1" l="1"/>
  <c r="J2968" i="1" s="1"/>
  <c r="I2967" i="1"/>
  <c r="D2969" i="1"/>
  <c r="F2969" i="1"/>
  <c r="C2970" i="1"/>
  <c r="H2969" i="1" l="1"/>
  <c r="J2969" i="1" s="1"/>
  <c r="I2968" i="1"/>
  <c r="C2971" i="1"/>
  <c r="D2970" i="1"/>
  <c r="F2970" i="1"/>
  <c r="H2970" i="1" l="1"/>
  <c r="J2970" i="1" s="1"/>
  <c r="I2969" i="1"/>
  <c r="D2971" i="1"/>
  <c r="F2971" i="1"/>
  <c r="C2972" i="1"/>
  <c r="H2971" i="1" l="1"/>
  <c r="J2971" i="1" s="1"/>
  <c r="I2970" i="1"/>
  <c r="C2973" i="1"/>
  <c r="D2972" i="1"/>
  <c r="F2972" i="1"/>
  <c r="H2972" i="1" l="1"/>
  <c r="J2972" i="1" s="1"/>
  <c r="I2971" i="1"/>
  <c r="D2973" i="1"/>
  <c r="C2974" i="1"/>
  <c r="F2973" i="1"/>
  <c r="H2973" i="1" l="1"/>
  <c r="J2973" i="1" s="1"/>
  <c r="I2972" i="1"/>
  <c r="C2975" i="1"/>
  <c r="D2974" i="1"/>
  <c r="F2974" i="1"/>
  <c r="H2974" i="1" l="1"/>
  <c r="J2974" i="1" s="1"/>
  <c r="I2973" i="1"/>
  <c r="D2975" i="1"/>
  <c r="F2975" i="1"/>
  <c r="C2976" i="1"/>
  <c r="H2975" i="1" l="1"/>
  <c r="J2975" i="1" s="1"/>
  <c r="I2974" i="1"/>
  <c r="C2977" i="1"/>
  <c r="D2976" i="1"/>
  <c r="F2976" i="1"/>
  <c r="H2976" i="1" l="1"/>
  <c r="J2976" i="1" s="1"/>
  <c r="I2975" i="1"/>
  <c r="D2977" i="1"/>
  <c r="F2977" i="1"/>
  <c r="C2978" i="1"/>
  <c r="H2977" i="1" l="1"/>
  <c r="J2977" i="1" s="1"/>
  <c r="I2976" i="1"/>
  <c r="C2979" i="1"/>
  <c r="D2978" i="1"/>
  <c r="F2978" i="1"/>
  <c r="H2978" i="1" l="1"/>
  <c r="J2978" i="1" s="1"/>
  <c r="I2977" i="1"/>
  <c r="D2979" i="1"/>
  <c r="F2979" i="1"/>
  <c r="C2980" i="1"/>
  <c r="H2979" i="1" l="1"/>
  <c r="J2979" i="1" s="1"/>
  <c r="I2978" i="1"/>
  <c r="C2981" i="1"/>
  <c r="D2980" i="1"/>
  <c r="F2980" i="1"/>
  <c r="H2980" i="1" l="1"/>
  <c r="J2980" i="1" s="1"/>
  <c r="I2979" i="1"/>
  <c r="C2982" i="1"/>
  <c r="F2981" i="1"/>
  <c r="D2981" i="1"/>
  <c r="H2981" i="1" l="1"/>
  <c r="J2981" i="1" s="1"/>
  <c r="I2980" i="1"/>
  <c r="C2983" i="1"/>
  <c r="D2982" i="1"/>
  <c r="F2982" i="1"/>
  <c r="H2982" i="1" l="1"/>
  <c r="J2982" i="1" s="1"/>
  <c r="I2981" i="1"/>
  <c r="D2983" i="1"/>
  <c r="F2983" i="1"/>
  <c r="C2984" i="1"/>
  <c r="H2983" i="1" l="1"/>
  <c r="J2983" i="1" s="1"/>
  <c r="I2982" i="1"/>
  <c r="F2984" i="1"/>
  <c r="D2984" i="1"/>
  <c r="C2985" i="1"/>
  <c r="H2984" i="1" l="1"/>
  <c r="J2984" i="1" s="1"/>
  <c r="I2983" i="1"/>
  <c r="D2985" i="1"/>
  <c r="F2985" i="1"/>
  <c r="C2986" i="1"/>
  <c r="H2985" i="1" l="1"/>
  <c r="J2985" i="1" s="1"/>
  <c r="I2984" i="1"/>
  <c r="C2987" i="1"/>
  <c r="D2986" i="1"/>
  <c r="F2986" i="1"/>
  <c r="H2986" i="1" l="1"/>
  <c r="J2986" i="1" s="1"/>
  <c r="I2985" i="1"/>
  <c r="D2987" i="1"/>
  <c r="F2987" i="1"/>
  <c r="C2988" i="1"/>
  <c r="H2987" i="1" l="1"/>
  <c r="J2987" i="1" s="1"/>
  <c r="I2986" i="1"/>
  <c r="F2988" i="1"/>
  <c r="C2989" i="1"/>
  <c r="D2988" i="1"/>
  <c r="H2988" i="1" l="1"/>
  <c r="J2988" i="1" s="1"/>
  <c r="I2987" i="1"/>
  <c r="D2989" i="1"/>
  <c r="F2989" i="1"/>
  <c r="C2990" i="1"/>
  <c r="H2989" i="1" l="1"/>
  <c r="J2989" i="1" s="1"/>
  <c r="I2988" i="1"/>
  <c r="C2991" i="1"/>
  <c r="D2990" i="1"/>
  <c r="F2990" i="1"/>
  <c r="H2990" i="1" l="1"/>
  <c r="J2990" i="1" s="1"/>
  <c r="I2989" i="1"/>
  <c r="D2991" i="1"/>
  <c r="F2991" i="1"/>
  <c r="C2992" i="1"/>
  <c r="H2991" i="1" l="1"/>
  <c r="J2991" i="1" s="1"/>
  <c r="I2990" i="1"/>
  <c r="C2993" i="1"/>
  <c r="D2992" i="1"/>
  <c r="F2992" i="1"/>
  <c r="H2992" i="1" l="1"/>
  <c r="J2992" i="1" s="1"/>
  <c r="I2991" i="1"/>
  <c r="D2993" i="1"/>
  <c r="F2993" i="1"/>
  <c r="C2994" i="1"/>
  <c r="H2993" i="1" l="1"/>
  <c r="J2993" i="1" s="1"/>
  <c r="I2992" i="1"/>
  <c r="F2994" i="1"/>
  <c r="D2994" i="1"/>
  <c r="C2995" i="1"/>
  <c r="H2994" i="1" l="1"/>
  <c r="J2994" i="1" s="1"/>
  <c r="I2993" i="1"/>
  <c r="C2996" i="1"/>
  <c r="F2995" i="1"/>
  <c r="D2995" i="1"/>
  <c r="H2995" i="1" l="1"/>
  <c r="J2995" i="1" s="1"/>
  <c r="I2994" i="1"/>
  <c r="F2996" i="1"/>
  <c r="D2996" i="1"/>
  <c r="C2997" i="1"/>
  <c r="H2996" i="1" l="1"/>
  <c r="J2996" i="1" s="1"/>
  <c r="I2995" i="1"/>
  <c r="D2997" i="1"/>
  <c r="F2997" i="1"/>
  <c r="C2998" i="1"/>
  <c r="H2997" i="1" l="1"/>
  <c r="J2997" i="1" s="1"/>
  <c r="I2996" i="1"/>
  <c r="F2998" i="1"/>
  <c r="D2998" i="1"/>
  <c r="C2999" i="1"/>
  <c r="H2998" i="1" l="1"/>
  <c r="J2998" i="1" s="1"/>
  <c r="I2997" i="1"/>
  <c r="C3000" i="1"/>
  <c r="F2999" i="1"/>
  <c r="D2999" i="1"/>
  <c r="H2999" i="1" l="1"/>
  <c r="J2999" i="1" s="1"/>
  <c r="I2998" i="1"/>
  <c r="D3000" i="1"/>
  <c r="C3001" i="1"/>
  <c r="F3000" i="1"/>
  <c r="H3000" i="1" l="1"/>
  <c r="J3000" i="1" s="1"/>
  <c r="I2999" i="1"/>
  <c r="C3002" i="1"/>
  <c r="F3001" i="1"/>
  <c r="D3001" i="1"/>
  <c r="H3001" i="1" l="1"/>
  <c r="J3001" i="1" s="1"/>
  <c r="I3000" i="1"/>
  <c r="C3003" i="1"/>
  <c r="D3002" i="1"/>
  <c r="F3002" i="1"/>
  <c r="H3002" i="1" l="1"/>
  <c r="J3002" i="1" s="1"/>
  <c r="I3001" i="1"/>
  <c r="D3003" i="1"/>
  <c r="F3003" i="1"/>
  <c r="C3004" i="1"/>
  <c r="H3003" i="1" l="1"/>
  <c r="J3003" i="1" s="1"/>
  <c r="I3002" i="1"/>
  <c r="D3004" i="1"/>
  <c r="C3005" i="1"/>
  <c r="F3004" i="1"/>
  <c r="H3004" i="1" l="1"/>
  <c r="J3004" i="1" s="1"/>
  <c r="I3003" i="1"/>
  <c r="C3006" i="1"/>
  <c r="F3005" i="1"/>
  <c r="H3005" i="1" s="1"/>
  <c r="D3005" i="1"/>
  <c r="I3004" i="1" l="1"/>
  <c r="I3005" i="1"/>
  <c r="J3005" i="1"/>
  <c r="F3006" i="1"/>
  <c r="C3007" i="1"/>
  <c r="D3006" i="1"/>
  <c r="H3006" i="1" l="1"/>
  <c r="I3006" i="1" s="1"/>
  <c r="D3007" i="1"/>
  <c r="F3007" i="1"/>
  <c r="C3008" i="1"/>
  <c r="H3007" i="1" l="1"/>
  <c r="I3007" i="1" s="1"/>
  <c r="J3006" i="1"/>
  <c r="C3009" i="1"/>
  <c r="F3008" i="1"/>
  <c r="D3008" i="1"/>
  <c r="H3008" i="1" l="1"/>
  <c r="J3008" i="1" s="1"/>
  <c r="J3007" i="1"/>
  <c r="F3009" i="1"/>
  <c r="D3009" i="1"/>
  <c r="C3010" i="1"/>
  <c r="I3008" i="1" l="1"/>
  <c r="H3009" i="1"/>
  <c r="J3009" i="1" s="1"/>
  <c r="C3011" i="1"/>
  <c r="F3010" i="1"/>
  <c r="D3010" i="1"/>
  <c r="H3010" i="1" l="1"/>
  <c r="J3010" i="1" s="1"/>
  <c r="I3009" i="1"/>
  <c r="D3011" i="1"/>
  <c r="F3011" i="1"/>
  <c r="C3012" i="1"/>
  <c r="I3010" i="1" l="1"/>
  <c r="H3011" i="1"/>
  <c r="J3011" i="1" s="1"/>
  <c r="F3012" i="1"/>
  <c r="C3013" i="1"/>
  <c r="D3012" i="1"/>
  <c r="I3011" i="1" l="1"/>
  <c r="H3012" i="1"/>
  <c r="J3012" i="1" s="1"/>
  <c r="F3013" i="1"/>
  <c r="C3014" i="1"/>
  <c r="D3013" i="1"/>
  <c r="I3012" i="1" l="1"/>
  <c r="H3013" i="1"/>
  <c r="J3013" i="1" s="1"/>
  <c r="F3014" i="1"/>
  <c r="C3015" i="1"/>
  <c r="D3014" i="1"/>
  <c r="H3014" i="1" l="1"/>
  <c r="J3014" i="1" s="1"/>
  <c r="I3013" i="1"/>
  <c r="D3015" i="1"/>
  <c r="F3015" i="1"/>
  <c r="C3016" i="1"/>
  <c r="I3014" i="1" l="1"/>
  <c r="H3015" i="1"/>
  <c r="J3015" i="1" s="1"/>
  <c r="D3016" i="1"/>
  <c r="F3016" i="1"/>
  <c r="C3017" i="1"/>
  <c r="H3016" i="1" l="1"/>
  <c r="J3016" i="1" s="1"/>
  <c r="I3015" i="1"/>
  <c r="D3017" i="1"/>
  <c r="F3017" i="1"/>
  <c r="C3018" i="1"/>
  <c r="H3017" i="1" l="1"/>
  <c r="J3017" i="1" s="1"/>
  <c r="I3016" i="1"/>
  <c r="C3019" i="1"/>
  <c r="D3018" i="1"/>
  <c r="F3018" i="1"/>
  <c r="I3017" i="1" l="1"/>
  <c r="H3018" i="1"/>
  <c r="J3018" i="1" s="1"/>
  <c r="F3019" i="1"/>
  <c r="C3020" i="1"/>
  <c r="D3019" i="1"/>
  <c r="H3019" i="1" l="1"/>
  <c r="J3019" i="1" s="1"/>
  <c r="I3018" i="1"/>
  <c r="F3020" i="1"/>
  <c r="C3021" i="1"/>
  <c r="D3020" i="1"/>
  <c r="H3020" i="1" l="1"/>
  <c r="J3020" i="1" s="1"/>
  <c r="I3019" i="1"/>
  <c r="F3021" i="1"/>
  <c r="C3022" i="1"/>
  <c r="D3021" i="1"/>
  <c r="H3021" i="1" l="1"/>
  <c r="J3021" i="1" s="1"/>
  <c r="I3020" i="1"/>
  <c r="C3023" i="1"/>
  <c r="D3022" i="1"/>
  <c r="F3022" i="1"/>
  <c r="H3022" i="1" l="1"/>
  <c r="J3022" i="1" s="1"/>
  <c r="I3021" i="1"/>
  <c r="F3023" i="1"/>
  <c r="D3023" i="1"/>
  <c r="C3024" i="1"/>
  <c r="I3022" i="1" l="1"/>
  <c r="H3023" i="1"/>
  <c r="J3023" i="1" s="1"/>
  <c r="F3024" i="1"/>
  <c r="C3025" i="1"/>
  <c r="D3024" i="1"/>
  <c r="H3024" i="1" l="1"/>
  <c r="J3024" i="1" s="1"/>
  <c r="I3023" i="1"/>
  <c r="F3025" i="1"/>
  <c r="D3025" i="1"/>
  <c r="C3026" i="1"/>
  <c r="I3024" i="1" l="1"/>
  <c r="H3025" i="1"/>
  <c r="J3025" i="1" s="1"/>
  <c r="F3026" i="1"/>
  <c r="C3027" i="1"/>
  <c r="D3026" i="1"/>
  <c r="H3026" i="1" l="1"/>
  <c r="J3026" i="1" s="1"/>
  <c r="I3025" i="1"/>
  <c r="F3027" i="1"/>
  <c r="D3027" i="1"/>
  <c r="C3028" i="1"/>
  <c r="H3027" i="1" l="1"/>
  <c r="J3027" i="1" s="1"/>
  <c r="I3026" i="1"/>
  <c r="D3028" i="1"/>
  <c r="F3028" i="1"/>
  <c r="C3029" i="1"/>
  <c r="H3028" i="1" l="1"/>
  <c r="J3028" i="1" s="1"/>
  <c r="I3027" i="1"/>
  <c r="F3029" i="1"/>
  <c r="C3030" i="1"/>
  <c r="D3029" i="1"/>
  <c r="H3029" i="1" l="1"/>
  <c r="J3029" i="1" s="1"/>
  <c r="I3028" i="1"/>
  <c r="F3030" i="1"/>
  <c r="C3031" i="1"/>
  <c r="D3030" i="1"/>
  <c r="I3029" i="1" l="1"/>
  <c r="H3030" i="1"/>
  <c r="J3030" i="1" s="1"/>
  <c r="F3031" i="1"/>
  <c r="C3032" i="1"/>
  <c r="D3031" i="1"/>
  <c r="H3031" i="1" l="1"/>
  <c r="J3031" i="1" s="1"/>
  <c r="I3030" i="1"/>
  <c r="C3033" i="1"/>
  <c r="D3032" i="1"/>
  <c r="F3032" i="1"/>
  <c r="H3032" i="1" l="1"/>
  <c r="J3032" i="1" s="1"/>
  <c r="I3031" i="1"/>
  <c r="C3034" i="1"/>
  <c r="F3033" i="1"/>
  <c r="D3033" i="1"/>
  <c r="H3033" i="1" l="1"/>
  <c r="J3033" i="1" s="1"/>
  <c r="I3032" i="1"/>
  <c r="C3035" i="1"/>
  <c r="F3034" i="1"/>
  <c r="D3034" i="1"/>
  <c r="H3034" i="1" l="1"/>
  <c r="J3034" i="1" s="1"/>
  <c r="I3033" i="1"/>
  <c r="F3035" i="1"/>
  <c r="C3036" i="1"/>
  <c r="D3035" i="1"/>
  <c r="H3035" i="1" l="1"/>
  <c r="J3035" i="1" s="1"/>
  <c r="I3034" i="1"/>
  <c r="C3037" i="1"/>
  <c r="D3036" i="1"/>
  <c r="F3036" i="1"/>
  <c r="H3036" i="1" l="1"/>
  <c r="J3036" i="1" s="1"/>
  <c r="I3035" i="1"/>
  <c r="F3037" i="1"/>
  <c r="C3038" i="1"/>
  <c r="D3037" i="1"/>
  <c r="H3037" i="1" l="1"/>
  <c r="J3037" i="1" s="1"/>
  <c r="I3036" i="1"/>
  <c r="F3038" i="1"/>
  <c r="C3039" i="1"/>
  <c r="D3038" i="1"/>
  <c r="I3037" i="1" l="1"/>
  <c r="H3038" i="1"/>
  <c r="J3038" i="1" s="1"/>
  <c r="F3039" i="1"/>
  <c r="C3040" i="1"/>
  <c r="D3039" i="1"/>
  <c r="H3039" i="1" l="1"/>
  <c r="J3039" i="1" s="1"/>
  <c r="I3038" i="1"/>
  <c r="D3040" i="1"/>
  <c r="F3040" i="1"/>
  <c r="C3041" i="1"/>
  <c r="H3040" i="1" l="1"/>
  <c r="J3040" i="1" s="1"/>
  <c r="I3039" i="1"/>
  <c r="D3041" i="1"/>
  <c r="F3041" i="1"/>
  <c r="C3042" i="1"/>
  <c r="H3041" i="1" l="1"/>
  <c r="J3041" i="1" s="1"/>
  <c r="I3040" i="1"/>
  <c r="F3042" i="1"/>
  <c r="C3043" i="1"/>
  <c r="D3042" i="1"/>
  <c r="H3042" i="1" l="1"/>
  <c r="J3042" i="1" s="1"/>
  <c r="I3041" i="1"/>
  <c r="F3043" i="1"/>
  <c r="C3044" i="1"/>
  <c r="D3043" i="1"/>
  <c r="H3043" i="1" l="1"/>
  <c r="J3043" i="1" s="1"/>
  <c r="I3042" i="1"/>
  <c r="C3045" i="1"/>
  <c r="D3044" i="1"/>
  <c r="F3044" i="1"/>
  <c r="H3044" i="1" l="1"/>
  <c r="J3044" i="1" s="1"/>
  <c r="I3043" i="1"/>
  <c r="F3045" i="1"/>
  <c r="C3046" i="1"/>
  <c r="D3045" i="1"/>
  <c r="H3045" i="1" l="1"/>
  <c r="J3045" i="1" s="1"/>
  <c r="I3044" i="1"/>
  <c r="F3046" i="1"/>
  <c r="C3047" i="1"/>
  <c r="D3046" i="1"/>
  <c r="I3045" i="1" l="1"/>
  <c r="H3046" i="1"/>
  <c r="J3046" i="1" s="1"/>
  <c r="F3047" i="1"/>
  <c r="C3048" i="1"/>
  <c r="D3047" i="1"/>
  <c r="H3047" i="1" l="1"/>
  <c r="J3047" i="1" s="1"/>
  <c r="I3046" i="1"/>
  <c r="F3048" i="1"/>
  <c r="C3049" i="1"/>
  <c r="D3048" i="1"/>
  <c r="I3047" i="1" l="1"/>
  <c r="H3048" i="1"/>
  <c r="J3048" i="1" s="1"/>
  <c r="F3049" i="1"/>
  <c r="C3050" i="1"/>
  <c r="D3049" i="1"/>
  <c r="H3049" i="1" l="1"/>
  <c r="J3049" i="1" s="1"/>
  <c r="I3048" i="1"/>
  <c r="F3050" i="1"/>
  <c r="C3051" i="1"/>
  <c r="D3050" i="1"/>
  <c r="I3049" i="1" l="1"/>
  <c r="H3050" i="1"/>
  <c r="J3050" i="1" s="1"/>
  <c r="F3051" i="1"/>
  <c r="C3052" i="1"/>
  <c r="D3051" i="1"/>
  <c r="H3051" i="1" l="1"/>
  <c r="J3051" i="1" s="1"/>
  <c r="I3050" i="1"/>
  <c r="C3053" i="1"/>
  <c r="D3052" i="1"/>
  <c r="F3052" i="1"/>
  <c r="H3052" i="1" l="1"/>
  <c r="J3052" i="1" s="1"/>
  <c r="I3051" i="1"/>
  <c r="F3053" i="1"/>
  <c r="C3054" i="1"/>
  <c r="D3053" i="1"/>
  <c r="I3052" i="1" l="1"/>
  <c r="H3053" i="1"/>
  <c r="J3053" i="1" s="1"/>
  <c r="C3055" i="1"/>
  <c r="F3054" i="1"/>
  <c r="D3054" i="1"/>
  <c r="H3054" i="1" l="1"/>
  <c r="J3054" i="1" s="1"/>
  <c r="I3053" i="1"/>
  <c r="C3056" i="1"/>
  <c r="F3055" i="1"/>
  <c r="H3055" i="1" s="1"/>
  <c r="D3055" i="1"/>
  <c r="I3055" i="1" l="1"/>
  <c r="J3055" i="1"/>
  <c r="I3054" i="1"/>
  <c r="C3057" i="1"/>
  <c r="F3056" i="1"/>
  <c r="D3056" i="1"/>
  <c r="H3056" i="1" l="1"/>
  <c r="I3056" i="1" s="1"/>
  <c r="C3058" i="1"/>
  <c r="F3057" i="1"/>
  <c r="D3057" i="1"/>
  <c r="H3057" i="1" l="1"/>
  <c r="J3057" i="1" s="1"/>
  <c r="J3056" i="1"/>
  <c r="C3059" i="1"/>
  <c r="F3058" i="1"/>
  <c r="D3058" i="1"/>
  <c r="H3058" i="1" l="1"/>
  <c r="J3058" i="1" s="1"/>
  <c r="I3057" i="1"/>
  <c r="C3060" i="1"/>
  <c r="F3059" i="1"/>
  <c r="D3059" i="1"/>
  <c r="H3059" i="1" l="1"/>
  <c r="J3059" i="1" s="1"/>
  <c r="I3058" i="1"/>
  <c r="C3061" i="1"/>
  <c r="F3060" i="1"/>
  <c r="D3060" i="1"/>
  <c r="H3060" i="1" l="1"/>
  <c r="J3060" i="1" s="1"/>
  <c r="I3059" i="1"/>
  <c r="D3061" i="1"/>
  <c r="F3061" i="1"/>
  <c r="C3062" i="1"/>
  <c r="H3061" i="1" l="1"/>
  <c r="J3061" i="1" s="1"/>
  <c r="I3060" i="1"/>
  <c r="C3063" i="1"/>
  <c r="F3062" i="1"/>
  <c r="D3062" i="1"/>
  <c r="H3062" i="1" l="1"/>
  <c r="J3062" i="1" s="1"/>
  <c r="I3061" i="1"/>
  <c r="C3064" i="1"/>
  <c r="F3063" i="1"/>
  <c r="D3063" i="1"/>
  <c r="H3063" i="1" l="1"/>
  <c r="J3063" i="1" s="1"/>
  <c r="I3062" i="1"/>
  <c r="D3064" i="1"/>
  <c r="F3064" i="1"/>
  <c r="C3065" i="1"/>
  <c r="H3064" i="1" l="1"/>
  <c r="J3064" i="1" s="1"/>
  <c r="I3063" i="1"/>
  <c r="D3065" i="1"/>
  <c r="F3065" i="1"/>
  <c r="C3066" i="1"/>
  <c r="H3065" i="1" l="1"/>
  <c r="J3065" i="1" s="1"/>
  <c r="I3064" i="1"/>
  <c r="D3066" i="1"/>
  <c r="F3066" i="1"/>
  <c r="C3067" i="1"/>
  <c r="H3066" i="1" l="1"/>
  <c r="J3066" i="1" s="1"/>
  <c r="I3065" i="1"/>
  <c r="D3067" i="1"/>
  <c r="F3067" i="1"/>
  <c r="C3068" i="1"/>
  <c r="H3067" i="1" l="1"/>
  <c r="J3067" i="1" s="1"/>
  <c r="I3066" i="1"/>
  <c r="C3069" i="1"/>
  <c r="F3068" i="1"/>
  <c r="D3068" i="1"/>
  <c r="H3068" i="1" l="1"/>
  <c r="J3068" i="1" s="1"/>
  <c r="I3067" i="1"/>
  <c r="C3070" i="1"/>
  <c r="F3069" i="1"/>
  <c r="D3069" i="1"/>
  <c r="I3068" i="1" l="1"/>
  <c r="H3069" i="1"/>
  <c r="J3069" i="1" s="1"/>
  <c r="D3070" i="1"/>
  <c r="F3070" i="1"/>
  <c r="C3071" i="1"/>
  <c r="H3070" i="1" l="1"/>
  <c r="J3070" i="1" s="1"/>
  <c r="I3069" i="1"/>
  <c r="D3071" i="1"/>
  <c r="F3071" i="1"/>
  <c r="C3072" i="1"/>
  <c r="H3071" i="1" l="1"/>
  <c r="J3071" i="1" s="1"/>
  <c r="I3070" i="1"/>
  <c r="C3073" i="1"/>
  <c r="F3072" i="1"/>
  <c r="D3072" i="1"/>
  <c r="H3072" i="1" l="1"/>
  <c r="J3072" i="1" s="1"/>
  <c r="I3071" i="1"/>
  <c r="D3073" i="1"/>
  <c r="F3073" i="1"/>
  <c r="C3074" i="1"/>
  <c r="H3073" i="1" l="1"/>
  <c r="J3073" i="1" s="1"/>
  <c r="I3072" i="1"/>
  <c r="C3075" i="1"/>
  <c r="F3074" i="1"/>
  <c r="D3074" i="1"/>
  <c r="H3074" i="1" l="1"/>
  <c r="J3074" i="1" s="1"/>
  <c r="I3073" i="1"/>
  <c r="C3076" i="1"/>
  <c r="F3075" i="1"/>
  <c r="D3075" i="1"/>
  <c r="H3075" i="1" l="1"/>
  <c r="J3075" i="1" s="1"/>
  <c r="I3074" i="1"/>
  <c r="D3076" i="1"/>
  <c r="F3076" i="1"/>
  <c r="C3077" i="1"/>
  <c r="H3076" i="1" l="1"/>
  <c r="J3076" i="1" s="1"/>
  <c r="I3075" i="1"/>
  <c r="C3078" i="1"/>
  <c r="F3077" i="1"/>
  <c r="D3077" i="1"/>
  <c r="H3077" i="1" l="1"/>
  <c r="J3077" i="1" s="1"/>
  <c r="I3076" i="1"/>
  <c r="D3078" i="1"/>
  <c r="F3078" i="1"/>
  <c r="C3079" i="1"/>
  <c r="H3078" i="1" l="1"/>
  <c r="J3078" i="1" s="1"/>
  <c r="I3077" i="1"/>
  <c r="D3079" i="1"/>
  <c r="F3079" i="1"/>
  <c r="C3080" i="1"/>
  <c r="H3079" i="1" l="1"/>
  <c r="J3079" i="1" s="1"/>
  <c r="I3078" i="1"/>
  <c r="D3080" i="1"/>
  <c r="F3080" i="1"/>
  <c r="C3081" i="1"/>
  <c r="H3080" i="1" l="1"/>
  <c r="J3080" i="1" s="1"/>
  <c r="I3079" i="1"/>
  <c r="D3081" i="1"/>
  <c r="F3081" i="1"/>
  <c r="C3082" i="1"/>
  <c r="H3081" i="1" l="1"/>
  <c r="J3081" i="1" s="1"/>
  <c r="I3080" i="1"/>
  <c r="C3083" i="1"/>
  <c r="F3082" i="1"/>
  <c r="D3082" i="1"/>
  <c r="H3082" i="1" l="1"/>
  <c r="J3082" i="1" s="1"/>
  <c r="I3081" i="1"/>
  <c r="D3083" i="1"/>
  <c r="F3083" i="1"/>
  <c r="C3084" i="1"/>
  <c r="H3083" i="1" l="1"/>
  <c r="J3083" i="1" s="1"/>
  <c r="I3082" i="1"/>
  <c r="D3084" i="1"/>
  <c r="F3084" i="1"/>
  <c r="C3085" i="1"/>
  <c r="H3084" i="1" l="1"/>
  <c r="J3084" i="1" s="1"/>
  <c r="I3083" i="1"/>
  <c r="C3086" i="1"/>
  <c r="F3085" i="1"/>
  <c r="D3085" i="1"/>
  <c r="H3085" i="1" l="1"/>
  <c r="J3085" i="1" s="1"/>
  <c r="I3084" i="1"/>
  <c r="D3086" i="1"/>
  <c r="F3086" i="1"/>
  <c r="C3087" i="1"/>
  <c r="H3086" i="1" l="1"/>
  <c r="J3086" i="1" s="1"/>
  <c r="I3085" i="1"/>
  <c r="C3088" i="1"/>
  <c r="F3087" i="1"/>
  <c r="D3087" i="1"/>
  <c r="H3087" i="1" l="1"/>
  <c r="J3087" i="1" s="1"/>
  <c r="I3086" i="1"/>
  <c r="D3088" i="1"/>
  <c r="F3088" i="1"/>
  <c r="C3089" i="1"/>
  <c r="H3088" i="1" l="1"/>
  <c r="J3088" i="1" s="1"/>
  <c r="I3087" i="1"/>
  <c r="D3089" i="1"/>
  <c r="F3089" i="1"/>
  <c r="C3090" i="1"/>
  <c r="H3089" i="1" l="1"/>
  <c r="J3089" i="1" s="1"/>
  <c r="I3088" i="1"/>
  <c r="D3090" i="1"/>
  <c r="F3090" i="1"/>
  <c r="C3091" i="1"/>
  <c r="H3090" i="1" l="1"/>
  <c r="J3090" i="1" s="1"/>
  <c r="I3089" i="1"/>
  <c r="D3091" i="1"/>
  <c r="F3091" i="1"/>
  <c r="C3092" i="1"/>
  <c r="H3091" i="1" l="1"/>
  <c r="J3091" i="1" s="1"/>
  <c r="I3090" i="1"/>
  <c r="D3092" i="1"/>
  <c r="F3092" i="1"/>
  <c r="C3093" i="1"/>
  <c r="H3092" i="1" l="1"/>
  <c r="J3092" i="1" s="1"/>
  <c r="I3091" i="1"/>
  <c r="D3093" i="1"/>
  <c r="F3093" i="1"/>
  <c r="C3094" i="1"/>
  <c r="H3093" i="1" l="1"/>
  <c r="J3093" i="1" s="1"/>
  <c r="I3092" i="1"/>
  <c r="D3094" i="1"/>
  <c r="F3094" i="1"/>
  <c r="C3095" i="1"/>
  <c r="H3094" i="1" l="1"/>
  <c r="J3094" i="1" s="1"/>
  <c r="I3093" i="1"/>
  <c r="D3095" i="1"/>
  <c r="F3095" i="1"/>
  <c r="C3096" i="1"/>
  <c r="H3095" i="1" l="1"/>
  <c r="J3095" i="1" s="1"/>
  <c r="I3094" i="1"/>
  <c r="D3096" i="1"/>
  <c r="F3096" i="1"/>
  <c r="C3097" i="1"/>
  <c r="H3096" i="1" l="1"/>
  <c r="J3096" i="1" s="1"/>
  <c r="I3095" i="1"/>
  <c r="D3097" i="1"/>
  <c r="F3097" i="1"/>
  <c r="C3098" i="1"/>
  <c r="H3097" i="1" l="1"/>
  <c r="J3097" i="1" s="1"/>
  <c r="I3096" i="1"/>
  <c r="D3098" i="1"/>
  <c r="F3098" i="1"/>
  <c r="C3099" i="1"/>
  <c r="H3098" i="1" l="1"/>
  <c r="J3098" i="1" s="1"/>
  <c r="I3097" i="1"/>
  <c r="D3099" i="1"/>
  <c r="F3099" i="1"/>
  <c r="C3100" i="1"/>
  <c r="H3099" i="1" l="1"/>
  <c r="J3099" i="1" s="1"/>
  <c r="I3098" i="1"/>
  <c r="D3100" i="1"/>
  <c r="F3100" i="1"/>
  <c r="C3101" i="1"/>
  <c r="H3100" i="1" l="1"/>
  <c r="J3100" i="1" s="1"/>
  <c r="I3099" i="1"/>
  <c r="C3102" i="1"/>
  <c r="F3101" i="1"/>
  <c r="D3101" i="1"/>
  <c r="H3101" i="1" l="1"/>
  <c r="J3101" i="1" s="1"/>
  <c r="I3100" i="1"/>
  <c r="D3102" i="1"/>
  <c r="F3102" i="1"/>
  <c r="C3103" i="1"/>
  <c r="H3102" i="1" l="1"/>
  <c r="J3102" i="1" s="1"/>
  <c r="I3101" i="1"/>
  <c r="C3104" i="1"/>
  <c r="F3103" i="1"/>
  <c r="D3103" i="1"/>
  <c r="H3103" i="1" l="1"/>
  <c r="J3103" i="1" s="1"/>
  <c r="I3102" i="1"/>
  <c r="C3105" i="1"/>
  <c r="F3104" i="1"/>
  <c r="D3104" i="1"/>
  <c r="H3104" i="1" l="1"/>
  <c r="J3104" i="1" s="1"/>
  <c r="I3103" i="1"/>
  <c r="D3105" i="1"/>
  <c r="F3105" i="1"/>
  <c r="H3105" i="1" s="1"/>
  <c r="C3106" i="1"/>
  <c r="I3105" i="1" l="1"/>
  <c r="J3105" i="1"/>
  <c r="I3104" i="1"/>
  <c r="D3106" i="1"/>
  <c r="F3106" i="1"/>
  <c r="C3107" i="1"/>
  <c r="H3106" i="1" l="1"/>
  <c r="I3106" i="1" s="1"/>
  <c r="D3107" i="1"/>
  <c r="F3107" i="1"/>
  <c r="C3108" i="1"/>
  <c r="H3107" i="1" l="1"/>
  <c r="J3106" i="1"/>
  <c r="C3109" i="1"/>
  <c r="F3108" i="1"/>
  <c r="D3108" i="1"/>
  <c r="H3108" i="1" l="1"/>
  <c r="J3107" i="1"/>
  <c r="I3107" i="1"/>
  <c r="D3109" i="1"/>
  <c r="F3109" i="1"/>
  <c r="C3110" i="1"/>
  <c r="H3109" i="1" l="1"/>
  <c r="J3108" i="1"/>
  <c r="I3108" i="1"/>
  <c r="C3111" i="1"/>
  <c r="F3110" i="1"/>
  <c r="D3110" i="1"/>
  <c r="H3110" i="1" l="1"/>
  <c r="J3109" i="1"/>
  <c r="I3109" i="1"/>
  <c r="D3111" i="1"/>
  <c r="F3111" i="1"/>
  <c r="C3112" i="1"/>
  <c r="H3111" i="1" l="1"/>
  <c r="J3111" i="1" s="1"/>
  <c r="J3110" i="1"/>
  <c r="I3110" i="1"/>
  <c r="C3113" i="1"/>
  <c r="F3112" i="1"/>
  <c r="D3112" i="1"/>
  <c r="H3112" i="1" l="1"/>
  <c r="I3112" i="1" s="1"/>
  <c r="I3111" i="1"/>
  <c r="D3113" i="1"/>
  <c r="F3113" i="1"/>
  <c r="C3114" i="1"/>
  <c r="H3113" i="1" l="1"/>
  <c r="J3113" i="1" s="1"/>
  <c r="J3112" i="1"/>
  <c r="C3115" i="1"/>
  <c r="F3114" i="1"/>
  <c r="D3114" i="1"/>
  <c r="I3113" i="1" l="1"/>
  <c r="H3114" i="1"/>
  <c r="J3114" i="1" s="1"/>
  <c r="D3115" i="1"/>
  <c r="F3115" i="1"/>
  <c r="C3116" i="1"/>
  <c r="H3115" i="1" l="1"/>
  <c r="J3115" i="1" s="1"/>
  <c r="I3114" i="1"/>
  <c r="C3117" i="1"/>
  <c r="F3116" i="1"/>
  <c r="D3116" i="1"/>
  <c r="H3116" i="1" l="1"/>
  <c r="J3116" i="1" s="1"/>
  <c r="I3115" i="1"/>
  <c r="C3118" i="1"/>
  <c r="F3117" i="1"/>
  <c r="D3117" i="1"/>
  <c r="H3117" i="1" l="1"/>
  <c r="J3117" i="1" s="1"/>
  <c r="I3116" i="1"/>
  <c r="C3119" i="1"/>
  <c r="F3118" i="1"/>
  <c r="D3118" i="1"/>
  <c r="H3118" i="1" l="1"/>
  <c r="J3118" i="1" s="1"/>
  <c r="I3117" i="1"/>
  <c r="D3119" i="1"/>
  <c r="F3119" i="1"/>
  <c r="C3120" i="1"/>
  <c r="H3119" i="1" l="1"/>
  <c r="J3119" i="1" s="1"/>
  <c r="I3118" i="1"/>
  <c r="C3121" i="1"/>
  <c r="F3120" i="1"/>
  <c r="D3120" i="1"/>
  <c r="H3120" i="1" l="1"/>
  <c r="J3120" i="1" s="1"/>
  <c r="I3119" i="1"/>
  <c r="D3121" i="1"/>
  <c r="F3121" i="1"/>
  <c r="C3122" i="1"/>
  <c r="H3121" i="1" l="1"/>
  <c r="J3121" i="1" s="1"/>
  <c r="I3120" i="1"/>
  <c r="C3123" i="1"/>
  <c r="F3122" i="1"/>
  <c r="D3122" i="1"/>
  <c r="I3121" i="1" l="1"/>
  <c r="H3122" i="1"/>
  <c r="J3122" i="1" s="1"/>
  <c r="D3123" i="1"/>
  <c r="F3123" i="1"/>
  <c r="C3124" i="1"/>
  <c r="H3123" i="1" l="1"/>
  <c r="J3123" i="1" s="1"/>
  <c r="I3122" i="1"/>
  <c r="C3125" i="1"/>
  <c r="F3124" i="1"/>
  <c r="D3124" i="1"/>
  <c r="H3124" i="1" l="1"/>
  <c r="J3124" i="1" s="1"/>
  <c r="I3123" i="1"/>
  <c r="D3125" i="1"/>
  <c r="F3125" i="1"/>
  <c r="C3126" i="1"/>
  <c r="H3125" i="1" l="1"/>
  <c r="J3125" i="1" s="1"/>
  <c r="I3124" i="1"/>
  <c r="C3127" i="1"/>
  <c r="F3126" i="1"/>
  <c r="D3126" i="1"/>
  <c r="H3126" i="1" l="1"/>
  <c r="J3126" i="1" s="1"/>
  <c r="I3125" i="1"/>
  <c r="D3127" i="1"/>
  <c r="F3127" i="1"/>
  <c r="C3128" i="1"/>
  <c r="H3127" i="1" l="1"/>
  <c r="J3127" i="1" s="1"/>
  <c r="I3126" i="1"/>
  <c r="C3129" i="1"/>
  <c r="F3128" i="1"/>
  <c r="D3128" i="1"/>
  <c r="I3127" i="1" l="1"/>
  <c r="H3128" i="1"/>
  <c r="J3128" i="1" s="1"/>
  <c r="D3129" i="1"/>
  <c r="F3129" i="1"/>
  <c r="C3130" i="1"/>
  <c r="I3128" i="1" l="1"/>
  <c r="H3129" i="1"/>
  <c r="J3129" i="1" s="1"/>
  <c r="C3131" i="1"/>
  <c r="F3130" i="1"/>
  <c r="D3130" i="1"/>
  <c r="I3129" i="1" l="1"/>
  <c r="H3130" i="1"/>
  <c r="J3130" i="1" s="1"/>
  <c r="C3132" i="1"/>
  <c r="F3131" i="1"/>
  <c r="D3131" i="1"/>
  <c r="I3130" i="1" l="1"/>
  <c r="H3131" i="1"/>
  <c r="J3131" i="1" s="1"/>
  <c r="C3133" i="1"/>
  <c r="F3132" i="1"/>
  <c r="D3132" i="1"/>
  <c r="H3132" i="1" l="1"/>
  <c r="J3132" i="1" s="1"/>
  <c r="I3131" i="1"/>
  <c r="D3133" i="1"/>
  <c r="F3133" i="1"/>
  <c r="C3134" i="1"/>
  <c r="H3133" i="1" l="1"/>
  <c r="J3133" i="1" s="1"/>
  <c r="I3132" i="1"/>
  <c r="C3135" i="1"/>
  <c r="F3134" i="1"/>
  <c r="D3134" i="1"/>
  <c r="H3134" i="1" l="1"/>
  <c r="J3134" i="1" s="1"/>
  <c r="I3133" i="1"/>
  <c r="D3135" i="1"/>
  <c r="F3135" i="1"/>
  <c r="C3136" i="1"/>
  <c r="H3135" i="1" l="1"/>
  <c r="J3135" i="1" s="1"/>
  <c r="I3134" i="1"/>
  <c r="C3137" i="1"/>
  <c r="F3136" i="1"/>
  <c r="D3136" i="1"/>
  <c r="H3136" i="1" l="1"/>
  <c r="J3136" i="1" s="1"/>
  <c r="I3135" i="1"/>
  <c r="D3137" i="1"/>
  <c r="F3137" i="1"/>
  <c r="C3138" i="1"/>
  <c r="H3137" i="1" l="1"/>
  <c r="J3137" i="1" s="1"/>
  <c r="I3136" i="1"/>
  <c r="C3139" i="1"/>
  <c r="F3138" i="1"/>
  <c r="D3138" i="1"/>
  <c r="H3138" i="1" l="1"/>
  <c r="J3138" i="1" s="1"/>
  <c r="I3137" i="1"/>
  <c r="D3139" i="1"/>
  <c r="F3139" i="1"/>
  <c r="C3140" i="1"/>
  <c r="H3139" i="1" l="1"/>
  <c r="J3139" i="1" s="1"/>
  <c r="I3138" i="1"/>
  <c r="C3141" i="1"/>
  <c r="F3140" i="1"/>
  <c r="D3140" i="1"/>
  <c r="H3140" i="1" l="1"/>
  <c r="J3140" i="1" s="1"/>
  <c r="I3139" i="1"/>
  <c r="D3141" i="1"/>
  <c r="F3141" i="1"/>
  <c r="C3142" i="1"/>
  <c r="H3141" i="1" l="1"/>
  <c r="J3141" i="1" s="1"/>
  <c r="I3140" i="1"/>
  <c r="C3143" i="1"/>
  <c r="F3142" i="1"/>
  <c r="D3142" i="1"/>
  <c r="H3142" i="1" l="1"/>
  <c r="J3142" i="1" s="1"/>
  <c r="I3141" i="1"/>
  <c r="C3144" i="1"/>
  <c r="F3143" i="1"/>
  <c r="D3143" i="1"/>
  <c r="I3142" i="1" l="1"/>
  <c r="H3143" i="1"/>
  <c r="J3143" i="1" s="1"/>
  <c r="C3145" i="1"/>
  <c r="F3144" i="1"/>
  <c r="D3144" i="1"/>
  <c r="H3144" i="1" l="1"/>
  <c r="J3144" i="1" s="1"/>
  <c r="I3143" i="1"/>
  <c r="D3145" i="1"/>
  <c r="F3145" i="1"/>
  <c r="C3146" i="1"/>
  <c r="H3145" i="1" l="1"/>
  <c r="J3145" i="1" s="1"/>
  <c r="I3144" i="1"/>
  <c r="C3147" i="1"/>
  <c r="F3146" i="1"/>
  <c r="D3146" i="1"/>
  <c r="I3145" i="1" l="1"/>
  <c r="H3146" i="1"/>
  <c r="J3146" i="1" s="1"/>
  <c r="D3147" i="1"/>
  <c r="F3147" i="1"/>
  <c r="C3148" i="1"/>
  <c r="H3147" i="1" l="1"/>
  <c r="J3147" i="1" s="1"/>
  <c r="I3146" i="1"/>
  <c r="C3149" i="1"/>
  <c r="F3148" i="1"/>
  <c r="D3148" i="1"/>
  <c r="H3148" i="1" l="1"/>
  <c r="J3148" i="1" s="1"/>
  <c r="I3147" i="1"/>
  <c r="D3149" i="1"/>
  <c r="F3149" i="1"/>
  <c r="C3150" i="1"/>
  <c r="H3149" i="1" l="1"/>
  <c r="J3149" i="1" s="1"/>
  <c r="I3148" i="1"/>
  <c r="C3151" i="1"/>
  <c r="F3150" i="1"/>
  <c r="D3150" i="1"/>
  <c r="H3150" i="1" l="1"/>
  <c r="J3150" i="1" s="1"/>
  <c r="I3149" i="1"/>
  <c r="D3151" i="1"/>
  <c r="F3151" i="1"/>
  <c r="C3152" i="1"/>
  <c r="H3151" i="1" l="1"/>
  <c r="J3151" i="1" s="1"/>
  <c r="I3150" i="1"/>
  <c r="C3153" i="1"/>
  <c r="F3152" i="1"/>
  <c r="D3152" i="1"/>
  <c r="H3152" i="1" l="1"/>
  <c r="J3152" i="1" s="1"/>
  <c r="I3151" i="1"/>
  <c r="D3153" i="1"/>
  <c r="F3153" i="1"/>
  <c r="C3154" i="1"/>
  <c r="H3153" i="1" l="1"/>
  <c r="J3153" i="1" s="1"/>
  <c r="I3152" i="1"/>
  <c r="F3154" i="1"/>
  <c r="C3155" i="1"/>
  <c r="D3154" i="1"/>
  <c r="H3154" i="1" l="1"/>
  <c r="J3154" i="1" s="1"/>
  <c r="I3153" i="1"/>
  <c r="F3155" i="1"/>
  <c r="H3155" i="1" s="1"/>
  <c r="C3156" i="1"/>
  <c r="D3155" i="1"/>
  <c r="I3155" i="1" l="1"/>
  <c r="J3155" i="1"/>
  <c r="I3154" i="1"/>
  <c r="F3156" i="1"/>
  <c r="C3157" i="1"/>
  <c r="D3156" i="1"/>
  <c r="H3156" i="1" l="1"/>
  <c r="I3156" i="1" s="1"/>
  <c r="F3157" i="1"/>
  <c r="D3157" i="1"/>
  <c r="C3158" i="1"/>
  <c r="H3157" i="1" l="1"/>
  <c r="J3157" i="1" s="1"/>
  <c r="J3156" i="1"/>
  <c r="D3158" i="1"/>
  <c r="C3159" i="1"/>
  <c r="F3158" i="1"/>
  <c r="H3158" i="1" l="1"/>
  <c r="I3158" i="1" s="1"/>
  <c r="I3157" i="1"/>
  <c r="C3160" i="1"/>
  <c r="D3159" i="1"/>
  <c r="F3159" i="1"/>
  <c r="H3159" i="1" l="1"/>
  <c r="J3158" i="1"/>
  <c r="D3160" i="1"/>
  <c r="F3160" i="1"/>
  <c r="C3161" i="1"/>
  <c r="H3160" i="1" l="1"/>
  <c r="J3159" i="1"/>
  <c r="I3159" i="1"/>
  <c r="D3161" i="1"/>
  <c r="F3161" i="1"/>
  <c r="C3162" i="1"/>
  <c r="H3161" i="1" l="1"/>
  <c r="J3161" i="1" s="1"/>
  <c r="J3160" i="1"/>
  <c r="I3160" i="1"/>
  <c r="C3163" i="1"/>
  <c r="D3162" i="1"/>
  <c r="F3162" i="1"/>
  <c r="H3162" i="1" l="1"/>
  <c r="J3162" i="1" s="1"/>
  <c r="I3161" i="1"/>
  <c r="C3164" i="1"/>
  <c r="F3163" i="1"/>
  <c r="D3163" i="1"/>
  <c r="H3163" i="1" l="1"/>
  <c r="J3163" i="1" s="1"/>
  <c r="I3162" i="1"/>
  <c r="C3165" i="1"/>
  <c r="F3164" i="1"/>
  <c r="D3164" i="1"/>
  <c r="H3164" i="1" l="1"/>
  <c r="J3164" i="1" s="1"/>
  <c r="I3163" i="1"/>
  <c r="F3165" i="1"/>
  <c r="C3166" i="1"/>
  <c r="D3165" i="1"/>
  <c r="H3165" i="1" l="1"/>
  <c r="J3165" i="1" s="1"/>
  <c r="I3164" i="1"/>
  <c r="F3166" i="1"/>
  <c r="C3167" i="1"/>
  <c r="D3166" i="1"/>
  <c r="H3166" i="1" l="1"/>
  <c r="J3166" i="1" s="1"/>
  <c r="I3165" i="1"/>
  <c r="C3168" i="1"/>
  <c r="D3167" i="1"/>
  <c r="F3167" i="1"/>
  <c r="H3167" i="1" l="1"/>
  <c r="J3167" i="1" s="1"/>
  <c r="I3166" i="1"/>
  <c r="D3168" i="1"/>
  <c r="C3169" i="1"/>
  <c r="F3168" i="1"/>
  <c r="H3168" i="1" l="1"/>
  <c r="J3168" i="1" s="1"/>
  <c r="I3167" i="1"/>
  <c r="D3169" i="1"/>
  <c r="F3169" i="1"/>
  <c r="C3170" i="1"/>
  <c r="H3169" i="1" l="1"/>
  <c r="J3169" i="1" s="1"/>
  <c r="I3168" i="1"/>
  <c r="C3171" i="1"/>
  <c r="F3170" i="1"/>
  <c r="D3170" i="1"/>
  <c r="I3169" i="1" l="1"/>
  <c r="H3170" i="1"/>
  <c r="J3170" i="1" s="1"/>
  <c r="D3171" i="1"/>
  <c r="F3171" i="1"/>
  <c r="C3172" i="1"/>
  <c r="I3170" i="1" l="1"/>
  <c r="H3171" i="1"/>
  <c r="J3171" i="1" s="1"/>
  <c r="F3172" i="1"/>
  <c r="D3172" i="1"/>
  <c r="C3173" i="1"/>
  <c r="I3171" i="1" l="1"/>
  <c r="H3172" i="1"/>
  <c r="J3172" i="1" s="1"/>
  <c r="C3174" i="1"/>
  <c r="D3173" i="1"/>
  <c r="F3173" i="1"/>
  <c r="H3173" i="1" l="1"/>
  <c r="J3173" i="1" s="1"/>
  <c r="I3172" i="1"/>
  <c r="D3174" i="1"/>
  <c r="C3175" i="1"/>
  <c r="F3174" i="1"/>
  <c r="H3174" i="1" l="1"/>
  <c r="J3174" i="1" s="1"/>
  <c r="I3173" i="1"/>
  <c r="C3176" i="1"/>
  <c r="D3175" i="1"/>
  <c r="F3175" i="1"/>
  <c r="H3175" i="1" l="1"/>
  <c r="J3175" i="1" s="1"/>
  <c r="I3174" i="1"/>
  <c r="C3177" i="1"/>
  <c r="D3176" i="1"/>
  <c r="F3176" i="1"/>
  <c r="H3176" i="1" l="1"/>
  <c r="J3176" i="1" s="1"/>
  <c r="I3175" i="1"/>
  <c r="C3178" i="1"/>
  <c r="F3177" i="1"/>
  <c r="D3177" i="1"/>
  <c r="H3177" i="1" l="1"/>
  <c r="J3177" i="1" s="1"/>
  <c r="I3176" i="1"/>
  <c r="C3179" i="1"/>
  <c r="D3178" i="1"/>
  <c r="F3178" i="1"/>
  <c r="H3178" i="1" l="1"/>
  <c r="J3178" i="1" s="1"/>
  <c r="I3177" i="1"/>
  <c r="F3179" i="1"/>
  <c r="D3179" i="1"/>
  <c r="C3180" i="1"/>
  <c r="I3178" i="1" l="1"/>
  <c r="H3179" i="1"/>
  <c r="J3179" i="1" s="1"/>
  <c r="F3180" i="1"/>
  <c r="C3181" i="1"/>
  <c r="D3180" i="1"/>
  <c r="H3180" i="1" l="1"/>
  <c r="J3180" i="1" s="1"/>
  <c r="I3179" i="1"/>
  <c r="D3181" i="1"/>
  <c r="F3181" i="1"/>
  <c r="C3182" i="1"/>
  <c r="H3181" i="1" l="1"/>
  <c r="J3181" i="1" s="1"/>
  <c r="I3180" i="1"/>
  <c r="C3183" i="1"/>
  <c r="F3182" i="1"/>
  <c r="D3182" i="1"/>
  <c r="H3182" i="1" l="1"/>
  <c r="J3182" i="1" s="1"/>
  <c r="I3181" i="1"/>
  <c r="C3184" i="1"/>
  <c r="D3183" i="1"/>
  <c r="F3183" i="1"/>
  <c r="H3183" i="1" l="1"/>
  <c r="J3183" i="1" s="1"/>
  <c r="I3182" i="1"/>
  <c r="F3184" i="1"/>
  <c r="D3184" i="1"/>
  <c r="C3185" i="1"/>
  <c r="H3184" i="1" l="1"/>
  <c r="J3184" i="1" s="1"/>
  <c r="I3183" i="1"/>
  <c r="D3185" i="1"/>
  <c r="F3185" i="1"/>
  <c r="C3186" i="1"/>
  <c r="H3185" i="1" l="1"/>
  <c r="J3185" i="1" s="1"/>
  <c r="I3184" i="1"/>
  <c r="D3186" i="1"/>
  <c r="F3186" i="1"/>
  <c r="C3187" i="1"/>
  <c r="H3186" i="1" l="1"/>
  <c r="J3186" i="1" s="1"/>
  <c r="I3185" i="1"/>
  <c r="F3187" i="1"/>
  <c r="C3188" i="1"/>
  <c r="D3187" i="1"/>
  <c r="I3186" i="1" l="1"/>
  <c r="H3187" i="1"/>
  <c r="J3187" i="1" s="1"/>
  <c r="F3188" i="1"/>
  <c r="D3188" i="1"/>
  <c r="C3189" i="1"/>
  <c r="H3188" i="1" l="1"/>
  <c r="J3188" i="1" s="1"/>
  <c r="I3187" i="1"/>
  <c r="C3190" i="1"/>
  <c r="F3189" i="1"/>
  <c r="D3189" i="1"/>
  <c r="H3189" i="1" l="1"/>
  <c r="J3189" i="1" s="1"/>
  <c r="I3188" i="1"/>
  <c r="F3190" i="1"/>
  <c r="D3190" i="1"/>
  <c r="C3191" i="1"/>
  <c r="H3190" i="1" l="1"/>
  <c r="J3190" i="1" s="1"/>
  <c r="I3189" i="1"/>
  <c r="D3191" i="1"/>
  <c r="F3191" i="1"/>
  <c r="C3192" i="1"/>
  <c r="H3191" i="1" l="1"/>
  <c r="J3191" i="1" s="1"/>
  <c r="I3190" i="1"/>
  <c r="C3193" i="1"/>
  <c r="D3192" i="1"/>
  <c r="F3192" i="1"/>
  <c r="H3192" i="1" l="1"/>
  <c r="J3192" i="1" s="1"/>
  <c r="I3191" i="1"/>
  <c r="F3193" i="1"/>
  <c r="C3194" i="1"/>
  <c r="D3193" i="1"/>
  <c r="H3193" i="1" l="1"/>
  <c r="J3193" i="1" s="1"/>
  <c r="I3192" i="1"/>
  <c r="D3194" i="1"/>
  <c r="C3195" i="1"/>
  <c r="F3194" i="1"/>
  <c r="H3194" i="1" l="1"/>
  <c r="J3194" i="1" s="1"/>
  <c r="I3193" i="1"/>
  <c r="C3196" i="1"/>
  <c r="D3195" i="1"/>
  <c r="F3195" i="1"/>
  <c r="H3195" i="1" l="1"/>
  <c r="J3195" i="1" s="1"/>
  <c r="I3194" i="1"/>
  <c r="C3197" i="1"/>
  <c r="F3196" i="1"/>
  <c r="D3196" i="1"/>
  <c r="H3196" i="1" l="1"/>
  <c r="J3196" i="1" s="1"/>
  <c r="I3195" i="1"/>
  <c r="C3198" i="1"/>
  <c r="D3197" i="1"/>
  <c r="F3197" i="1"/>
  <c r="H3197" i="1" l="1"/>
  <c r="J3197" i="1" s="1"/>
  <c r="I3196" i="1"/>
  <c r="C3199" i="1"/>
  <c r="F3198" i="1"/>
  <c r="D3198" i="1"/>
  <c r="H3198" i="1" l="1"/>
  <c r="J3198" i="1" s="1"/>
  <c r="I3197" i="1"/>
  <c r="C3200" i="1"/>
  <c r="D3199" i="1"/>
  <c r="F3199" i="1"/>
  <c r="I3198" i="1" l="1"/>
  <c r="H3199" i="1"/>
  <c r="J3199" i="1" s="1"/>
  <c r="D3200" i="1"/>
  <c r="F3200" i="1"/>
  <c r="C3201" i="1"/>
  <c r="I3199" i="1" l="1"/>
  <c r="H3200" i="1"/>
  <c r="J3200" i="1" s="1"/>
  <c r="D3201" i="1"/>
  <c r="C3202" i="1"/>
  <c r="F3201" i="1"/>
  <c r="H3201" i="1" l="1"/>
  <c r="J3201" i="1" s="1"/>
  <c r="I3200" i="1"/>
  <c r="D3202" i="1"/>
  <c r="F3202" i="1"/>
  <c r="C3203" i="1"/>
  <c r="H3202" i="1" l="1"/>
  <c r="J3202" i="1" s="1"/>
  <c r="I3201" i="1"/>
  <c r="C3204" i="1"/>
  <c r="D3203" i="1"/>
  <c r="F3203" i="1"/>
  <c r="H3203" i="1" l="1"/>
  <c r="J3203" i="1" s="1"/>
  <c r="I3202" i="1"/>
  <c r="F3204" i="1"/>
  <c r="D3204" i="1"/>
  <c r="C3205" i="1"/>
  <c r="H3204" i="1" l="1"/>
  <c r="J3204" i="1" s="1"/>
  <c r="I3203" i="1"/>
  <c r="F3205" i="1"/>
  <c r="C3206" i="1"/>
  <c r="D3205" i="1"/>
  <c r="H3205" i="1" l="1"/>
  <c r="J3205" i="1" s="1"/>
  <c r="I3204" i="1"/>
  <c r="F3206" i="1"/>
  <c r="C3207" i="1"/>
  <c r="D3206" i="1"/>
  <c r="I3205" i="1" l="1"/>
  <c r="H3206" i="1"/>
  <c r="J3206" i="1" s="1"/>
  <c r="F3207" i="1"/>
  <c r="C3208" i="1"/>
  <c r="D3207" i="1"/>
  <c r="H3207" i="1" l="1"/>
  <c r="J3207" i="1" s="1"/>
  <c r="I3206" i="1"/>
  <c r="F3208" i="1"/>
  <c r="D3208" i="1"/>
  <c r="C3209" i="1"/>
  <c r="H3208" i="1" l="1"/>
  <c r="J3208" i="1" s="1"/>
  <c r="I3207" i="1"/>
  <c r="F3209" i="1"/>
  <c r="C3210" i="1"/>
  <c r="D3209" i="1"/>
  <c r="I3208" i="1" l="1"/>
  <c r="H3209" i="1"/>
  <c r="J3209" i="1" s="1"/>
  <c r="F3210" i="1"/>
  <c r="D3210" i="1"/>
  <c r="C3211" i="1"/>
  <c r="H3210" i="1" l="1"/>
  <c r="J3210" i="1" s="1"/>
  <c r="I3209" i="1"/>
  <c r="F3211" i="1"/>
  <c r="C3212" i="1"/>
  <c r="D3211" i="1"/>
  <c r="I3210" i="1" l="1"/>
  <c r="H3211" i="1"/>
  <c r="J3211" i="1" s="1"/>
  <c r="F3212" i="1"/>
  <c r="C3213" i="1"/>
  <c r="D3212" i="1"/>
  <c r="I3211" i="1" l="1"/>
  <c r="H3212" i="1"/>
  <c r="J3212" i="1" s="1"/>
  <c r="D3213" i="1"/>
  <c r="F3213" i="1"/>
  <c r="C3214" i="1"/>
  <c r="H3213" i="1" l="1"/>
  <c r="J3213" i="1" s="1"/>
  <c r="I3212" i="1"/>
  <c r="D3214" i="1"/>
  <c r="F3214" i="1"/>
  <c r="C3215" i="1"/>
  <c r="H3214" i="1" l="1"/>
  <c r="J3214" i="1" s="1"/>
  <c r="I3213" i="1"/>
  <c r="D3215" i="1"/>
  <c r="F3215" i="1"/>
  <c r="C3216" i="1"/>
  <c r="I3214" i="1" l="1"/>
  <c r="H3215" i="1"/>
  <c r="J3215" i="1" s="1"/>
  <c r="F3216" i="1"/>
  <c r="C3217" i="1"/>
  <c r="D3216" i="1"/>
  <c r="I3215" i="1" l="1"/>
  <c r="H3216" i="1"/>
  <c r="J3216" i="1" s="1"/>
  <c r="C3218" i="1"/>
  <c r="F3217" i="1"/>
  <c r="D3217" i="1"/>
  <c r="H3217" i="1" l="1"/>
  <c r="J3217" i="1" s="1"/>
  <c r="I3216" i="1"/>
  <c r="D3218" i="1"/>
  <c r="F3218" i="1"/>
  <c r="C3219" i="1"/>
  <c r="I3217" i="1" l="1"/>
  <c r="H3218" i="1"/>
  <c r="J3218" i="1" s="1"/>
  <c r="F3219" i="1"/>
  <c r="D3219" i="1"/>
  <c r="C3220" i="1"/>
  <c r="H3219" i="1" l="1"/>
  <c r="J3219" i="1" s="1"/>
  <c r="I3218" i="1"/>
  <c r="D3220" i="1"/>
  <c r="C3221" i="1"/>
  <c r="F3220" i="1"/>
  <c r="H3220" i="1" l="1"/>
  <c r="J3220" i="1" s="1"/>
  <c r="I3219" i="1"/>
  <c r="F3221" i="1"/>
  <c r="C3222" i="1"/>
  <c r="D3221" i="1"/>
  <c r="I3220" i="1" l="1"/>
  <c r="H3221" i="1"/>
  <c r="J3221" i="1" s="1"/>
  <c r="C3223" i="1"/>
  <c r="F3222" i="1"/>
  <c r="D3222" i="1"/>
  <c r="I3221" i="1" l="1"/>
  <c r="H3222" i="1"/>
  <c r="J3222" i="1" s="1"/>
  <c r="F3223" i="1"/>
  <c r="C3224" i="1"/>
  <c r="D3223" i="1"/>
  <c r="H3223" i="1" l="1"/>
  <c r="J3223" i="1" s="1"/>
  <c r="I3222" i="1"/>
  <c r="F3224" i="1"/>
  <c r="D3224" i="1"/>
  <c r="C3225" i="1"/>
  <c r="H3224" i="1" l="1"/>
  <c r="J3224" i="1" s="1"/>
  <c r="I3223" i="1"/>
  <c r="D3225" i="1"/>
  <c r="F3225" i="1"/>
  <c r="C3226" i="1"/>
  <c r="I3224" i="1" l="1"/>
  <c r="H3225" i="1"/>
  <c r="J3225" i="1" s="1"/>
  <c r="F3226" i="1"/>
  <c r="C3227" i="1"/>
  <c r="D3226" i="1"/>
  <c r="H3226" i="1" l="1"/>
  <c r="J3226" i="1" s="1"/>
  <c r="I3225" i="1"/>
  <c r="D3227" i="1"/>
  <c r="C3228" i="1"/>
  <c r="F3227" i="1"/>
  <c r="H3227" i="1" l="1"/>
  <c r="J3227" i="1" s="1"/>
  <c r="I3226" i="1"/>
  <c r="C3229" i="1"/>
  <c r="D3228" i="1"/>
  <c r="F3228" i="1"/>
  <c r="H3228" i="1" l="1"/>
  <c r="J3228" i="1" s="1"/>
  <c r="I3227" i="1"/>
  <c r="F3229" i="1"/>
  <c r="C3230" i="1"/>
  <c r="D3229" i="1"/>
  <c r="H3229" i="1" l="1"/>
  <c r="J3229" i="1" s="1"/>
  <c r="I3228" i="1"/>
  <c r="D3230" i="1"/>
  <c r="F3230" i="1"/>
  <c r="C3231" i="1"/>
  <c r="H3230" i="1" l="1"/>
  <c r="J3230" i="1" s="1"/>
  <c r="I3229" i="1"/>
  <c r="F3231" i="1"/>
  <c r="C3232" i="1"/>
  <c r="D3231" i="1"/>
  <c r="I3230" i="1" l="1"/>
  <c r="H3231" i="1"/>
  <c r="J3231" i="1" s="1"/>
  <c r="F3232" i="1"/>
  <c r="D3232" i="1"/>
  <c r="C3233" i="1"/>
  <c r="H3232" i="1" l="1"/>
  <c r="J3232" i="1" s="1"/>
  <c r="I3231" i="1"/>
  <c r="D3233" i="1"/>
  <c r="C3234" i="1"/>
  <c r="F3233" i="1"/>
  <c r="H3233" i="1" l="1"/>
  <c r="J3233" i="1" s="1"/>
  <c r="I3232" i="1"/>
  <c r="D3234" i="1"/>
  <c r="C3235" i="1"/>
  <c r="F3234" i="1"/>
  <c r="H3234" i="1" l="1"/>
  <c r="J3234" i="1" s="1"/>
  <c r="I3233" i="1"/>
  <c r="F3235" i="1"/>
  <c r="C3236" i="1"/>
  <c r="D3235" i="1"/>
  <c r="H3235" i="1" l="1"/>
  <c r="J3235" i="1" s="1"/>
  <c r="I3234" i="1"/>
  <c r="C3237" i="1"/>
  <c r="F3236" i="1"/>
  <c r="D3236" i="1"/>
  <c r="H3236" i="1" l="1"/>
  <c r="J3236" i="1" s="1"/>
  <c r="I3235" i="1"/>
  <c r="C3238" i="1"/>
  <c r="D3237" i="1"/>
  <c r="F3237" i="1"/>
  <c r="H3237" i="1" l="1"/>
  <c r="J3237" i="1" s="1"/>
  <c r="I3236" i="1"/>
  <c r="D3238" i="1"/>
  <c r="F3238" i="1"/>
  <c r="C3239" i="1"/>
  <c r="H3238" i="1" l="1"/>
  <c r="J3238" i="1" s="1"/>
  <c r="I3237" i="1"/>
  <c r="F3239" i="1"/>
  <c r="C3240" i="1"/>
  <c r="D3239" i="1"/>
  <c r="H3239" i="1" l="1"/>
  <c r="J3239" i="1" s="1"/>
  <c r="I3238" i="1"/>
  <c r="F3240" i="1"/>
  <c r="D3240" i="1"/>
  <c r="C3241" i="1"/>
  <c r="I3239" i="1" l="1"/>
  <c r="H3240" i="1"/>
  <c r="J3240" i="1" s="1"/>
  <c r="F3241" i="1"/>
  <c r="D3241" i="1"/>
  <c r="C3242" i="1"/>
  <c r="H3241" i="1" l="1"/>
  <c r="J3241" i="1" s="1"/>
  <c r="I3240" i="1"/>
  <c r="C3243" i="1"/>
  <c r="F3242" i="1"/>
  <c r="D3242" i="1"/>
  <c r="H3242" i="1" l="1"/>
  <c r="J3242" i="1" s="1"/>
  <c r="I3241" i="1"/>
  <c r="F3243" i="1"/>
  <c r="C3244" i="1"/>
  <c r="D3243" i="1"/>
  <c r="H3243" i="1" l="1"/>
  <c r="J3243" i="1" s="1"/>
  <c r="I3242" i="1"/>
  <c r="D3244" i="1"/>
  <c r="F3244" i="1"/>
  <c r="C3245" i="1"/>
  <c r="H3244" i="1" l="1"/>
  <c r="J3244" i="1" s="1"/>
  <c r="I3243" i="1"/>
  <c r="F3245" i="1"/>
  <c r="D3245" i="1"/>
  <c r="C3246" i="1"/>
  <c r="H3245" i="1" l="1"/>
  <c r="J3245" i="1" s="1"/>
  <c r="I3244" i="1"/>
  <c r="D3246" i="1"/>
  <c r="F3246" i="1"/>
  <c r="C3247" i="1"/>
  <c r="H3246" i="1" l="1"/>
  <c r="J3246" i="1" s="1"/>
  <c r="I3245" i="1"/>
  <c r="F3247" i="1"/>
  <c r="D3247" i="1"/>
  <c r="C3248" i="1"/>
  <c r="H3247" i="1" l="1"/>
  <c r="J3247" i="1" s="1"/>
  <c r="I3246" i="1"/>
  <c r="C3249" i="1"/>
  <c r="F3248" i="1"/>
  <c r="D3248" i="1"/>
  <c r="H3248" i="1" l="1"/>
  <c r="J3248" i="1" s="1"/>
  <c r="I3247" i="1"/>
  <c r="D3249" i="1"/>
  <c r="F3249" i="1"/>
  <c r="C3250" i="1"/>
  <c r="H3249" i="1" l="1"/>
  <c r="J3249" i="1" s="1"/>
  <c r="I3248" i="1"/>
  <c r="F3250" i="1"/>
  <c r="D3250" i="1"/>
  <c r="C3251" i="1"/>
  <c r="I3249" i="1" l="1"/>
  <c r="H3250" i="1"/>
  <c r="J3250" i="1" s="1"/>
  <c r="C3252" i="1"/>
  <c r="F3251" i="1"/>
  <c r="D3251" i="1"/>
  <c r="I3250" i="1" l="1"/>
  <c r="H3251" i="1"/>
  <c r="J3251" i="1" s="1"/>
  <c r="D3252" i="1"/>
  <c r="C3253" i="1"/>
  <c r="F3252" i="1"/>
  <c r="H3252" i="1" l="1"/>
  <c r="J3252" i="1" s="1"/>
  <c r="I3251" i="1"/>
  <c r="F3253" i="1"/>
  <c r="D3253" i="1"/>
  <c r="C3254" i="1"/>
  <c r="H3253" i="1" l="1"/>
  <c r="J3253" i="1" s="1"/>
  <c r="I3252" i="1"/>
  <c r="D3254" i="1"/>
  <c r="F3254" i="1"/>
  <c r="C3255" i="1"/>
  <c r="H3254" i="1" l="1"/>
  <c r="J3254" i="1" s="1"/>
  <c r="I3253" i="1"/>
  <c r="F3255" i="1"/>
  <c r="C3256" i="1"/>
  <c r="D3255" i="1"/>
  <c r="H3255" i="1" l="1"/>
  <c r="J3255" i="1" s="1"/>
  <c r="I3254" i="1"/>
  <c r="F3256" i="1"/>
  <c r="C3257" i="1"/>
  <c r="D3256" i="1"/>
  <c r="H3256" i="1" l="1"/>
  <c r="J3256" i="1" s="1"/>
  <c r="I3255" i="1"/>
  <c r="F3257" i="1"/>
  <c r="D3257" i="1"/>
  <c r="C3258" i="1"/>
  <c r="H3257" i="1" l="1"/>
  <c r="J3257" i="1" s="1"/>
  <c r="I3256" i="1"/>
  <c r="F3258" i="1"/>
  <c r="D3258" i="1"/>
  <c r="C3259" i="1"/>
  <c r="I3257" i="1" l="1"/>
  <c r="H3258" i="1"/>
  <c r="J3258" i="1" s="1"/>
  <c r="F3259" i="1"/>
  <c r="C3260" i="1"/>
  <c r="D3259" i="1"/>
  <c r="H3259" i="1" l="1"/>
  <c r="J3259" i="1" s="1"/>
  <c r="I3258" i="1"/>
  <c r="F3260" i="1"/>
  <c r="C3261" i="1"/>
  <c r="D3260" i="1"/>
  <c r="H3260" i="1" l="1"/>
  <c r="J3260" i="1" s="1"/>
  <c r="I3259" i="1"/>
  <c r="F3261" i="1"/>
  <c r="C3262" i="1"/>
  <c r="D3261" i="1"/>
  <c r="H3261" i="1" l="1"/>
  <c r="J3261" i="1" s="1"/>
  <c r="I3260" i="1"/>
  <c r="F3262" i="1"/>
  <c r="C3263" i="1"/>
  <c r="D3262" i="1"/>
  <c r="H3262" i="1" l="1"/>
  <c r="J3262" i="1" s="1"/>
  <c r="I3261" i="1"/>
  <c r="C3264" i="1"/>
  <c r="D3263" i="1"/>
  <c r="F3263" i="1"/>
  <c r="H3263" i="1" l="1"/>
  <c r="J3263" i="1" s="1"/>
  <c r="I3262" i="1"/>
  <c r="F3264" i="1"/>
  <c r="C3265" i="1"/>
  <c r="D3264" i="1"/>
  <c r="H3264" i="1" l="1"/>
  <c r="J3264" i="1" s="1"/>
  <c r="I3263" i="1"/>
  <c r="F3265" i="1"/>
  <c r="C3266" i="1"/>
  <c r="D3265" i="1"/>
  <c r="H3265" i="1" l="1"/>
  <c r="J3265" i="1" s="1"/>
  <c r="I3264" i="1"/>
  <c r="F3266" i="1"/>
  <c r="C3267" i="1"/>
  <c r="D3266" i="1"/>
  <c r="I3265" i="1" l="1"/>
  <c r="H3266" i="1"/>
  <c r="J3266" i="1" s="1"/>
  <c r="D3267" i="1"/>
  <c r="F3267" i="1"/>
  <c r="C3268" i="1"/>
  <c r="H3267" i="1" l="1"/>
  <c r="J3267" i="1" s="1"/>
  <c r="I3266" i="1"/>
  <c r="F3268" i="1"/>
  <c r="C3269" i="1"/>
  <c r="D3268" i="1"/>
  <c r="H3268" i="1" l="1"/>
  <c r="J3268" i="1" s="1"/>
  <c r="I3267" i="1"/>
  <c r="C3270" i="1"/>
  <c r="F3269" i="1"/>
  <c r="D3269" i="1"/>
  <c r="H3269" i="1" l="1"/>
  <c r="J3269" i="1" s="1"/>
  <c r="I3268" i="1"/>
  <c r="F3270" i="1"/>
  <c r="D3270" i="1"/>
  <c r="C3271" i="1"/>
  <c r="H3270" i="1" l="1"/>
  <c r="J3270" i="1" s="1"/>
  <c r="I3269" i="1"/>
  <c r="F3271" i="1"/>
  <c r="C3272" i="1"/>
  <c r="D3271" i="1"/>
  <c r="I3270" i="1" l="1"/>
  <c r="H3271" i="1"/>
  <c r="J3271" i="1" s="1"/>
  <c r="D3272" i="1"/>
  <c r="F3272" i="1"/>
  <c r="C3273" i="1"/>
  <c r="H3272" i="1" l="1"/>
  <c r="J3272" i="1" s="1"/>
  <c r="I3271" i="1"/>
  <c r="F3273" i="1"/>
  <c r="D3273" i="1"/>
  <c r="C3274" i="1"/>
  <c r="I3272" i="1" l="1"/>
  <c r="H3273" i="1"/>
  <c r="J3273" i="1" s="1"/>
  <c r="F3274" i="1"/>
  <c r="C3275" i="1"/>
  <c r="D3274" i="1"/>
  <c r="H3274" i="1" l="1"/>
  <c r="J3274" i="1" s="1"/>
  <c r="I3273" i="1"/>
  <c r="F3275" i="1"/>
  <c r="C3276" i="1"/>
  <c r="D3275" i="1"/>
  <c r="I3274" i="1" l="1"/>
  <c r="H3275" i="1"/>
  <c r="J3275" i="1" s="1"/>
  <c r="D3276" i="1"/>
  <c r="C3277" i="1"/>
  <c r="F3276" i="1"/>
  <c r="H3276" i="1" l="1"/>
  <c r="J3276" i="1" s="1"/>
  <c r="I3275" i="1"/>
  <c r="F3277" i="1"/>
  <c r="C3278" i="1"/>
  <c r="D3277" i="1"/>
  <c r="I3276" i="1" l="1"/>
  <c r="H3277" i="1"/>
  <c r="J3277" i="1" s="1"/>
  <c r="F3278" i="1"/>
  <c r="D3278" i="1"/>
  <c r="C3279" i="1"/>
  <c r="I3277" i="1" l="1"/>
  <c r="H3278" i="1"/>
  <c r="J3278" i="1" s="1"/>
  <c r="F3279" i="1"/>
  <c r="C3280" i="1"/>
  <c r="D3279" i="1"/>
  <c r="I3278" i="1" l="1"/>
  <c r="H3279" i="1"/>
  <c r="J3279" i="1" s="1"/>
  <c r="C3281" i="1"/>
  <c r="F3280" i="1"/>
  <c r="D3280" i="1"/>
  <c r="I3279" i="1" l="1"/>
  <c r="H3280" i="1"/>
  <c r="J3280" i="1" s="1"/>
  <c r="F3281" i="1"/>
  <c r="C3282" i="1"/>
  <c r="D3281" i="1"/>
  <c r="I3280" i="1" l="1"/>
  <c r="H3281" i="1"/>
  <c r="J3281" i="1" s="1"/>
  <c r="D3282" i="1"/>
  <c r="C3283" i="1"/>
  <c r="F3282" i="1"/>
  <c r="H3282" i="1" l="1"/>
  <c r="J3282" i="1" s="1"/>
  <c r="I3281" i="1"/>
  <c r="C3284" i="1"/>
  <c r="F3283" i="1"/>
  <c r="D3283" i="1"/>
  <c r="H3283" i="1" l="1"/>
  <c r="J3283" i="1" s="1"/>
  <c r="I3282" i="1"/>
  <c r="F3284" i="1"/>
  <c r="D3284" i="1"/>
  <c r="C3285" i="1"/>
  <c r="H3284" i="1" l="1"/>
  <c r="J3284" i="1" s="1"/>
  <c r="I3283" i="1"/>
  <c r="D3285" i="1"/>
  <c r="F3285" i="1"/>
  <c r="C3286" i="1"/>
  <c r="H3285" i="1" l="1"/>
  <c r="J3285" i="1" s="1"/>
  <c r="I3284" i="1"/>
  <c r="F3286" i="1"/>
  <c r="C3287" i="1"/>
  <c r="D3286" i="1"/>
  <c r="H3286" i="1" l="1"/>
  <c r="J3286" i="1" s="1"/>
  <c r="I3285" i="1"/>
  <c r="F3287" i="1"/>
  <c r="D3287" i="1"/>
  <c r="C3288" i="1"/>
  <c r="I3286" i="1" l="1"/>
  <c r="H3287" i="1"/>
  <c r="J3287" i="1" s="1"/>
  <c r="F3288" i="1"/>
  <c r="C3289" i="1"/>
  <c r="D3288" i="1"/>
  <c r="H3288" i="1" l="1"/>
  <c r="J3288" i="1" s="1"/>
  <c r="I3287" i="1"/>
  <c r="D3289" i="1"/>
  <c r="C3290" i="1"/>
  <c r="F3289" i="1"/>
  <c r="H3289" i="1" l="1"/>
  <c r="J3289" i="1" s="1"/>
  <c r="I3288" i="1"/>
  <c r="F3290" i="1"/>
  <c r="D3290" i="1"/>
  <c r="C3291" i="1"/>
  <c r="I3289" i="1" l="1"/>
  <c r="H3290" i="1"/>
  <c r="J3290" i="1" s="1"/>
  <c r="F3291" i="1"/>
  <c r="C3292" i="1"/>
  <c r="D3291" i="1"/>
  <c r="H3291" i="1" l="1"/>
  <c r="J3291" i="1" s="1"/>
  <c r="I3290" i="1"/>
  <c r="D3292" i="1"/>
  <c r="C3293" i="1"/>
  <c r="F3292" i="1"/>
  <c r="H3292" i="1" l="1"/>
  <c r="J3292" i="1" s="1"/>
  <c r="I3291" i="1"/>
  <c r="F3293" i="1"/>
  <c r="C3294" i="1"/>
  <c r="D3293" i="1"/>
  <c r="I3292" i="1" l="1"/>
  <c r="H3293" i="1"/>
  <c r="J3293" i="1" s="1"/>
  <c r="D3294" i="1"/>
  <c r="F3294" i="1"/>
  <c r="C3295" i="1"/>
  <c r="H3294" i="1" l="1"/>
  <c r="J3294" i="1" s="1"/>
  <c r="I3293" i="1"/>
  <c r="F3295" i="1"/>
  <c r="C3296" i="1"/>
  <c r="D3295" i="1"/>
  <c r="I3294" i="1" l="1"/>
  <c r="H3295" i="1"/>
  <c r="J3295" i="1" s="1"/>
  <c r="F3296" i="1"/>
  <c r="D3296" i="1"/>
  <c r="C3297" i="1"/>
  <c r="H3296" i="1" l="1"/>
  <c r="J3296" i="1" s="1"/>
  <c r="I3295" i="1"/>
  <c r="D3297" i="1"/>
  <c r="F3297" i="1"/>
  <c r="C3298" i="1"/>
  <c r="H3297" i="1" l="1"/>
  <c r="J3297" i="1" s="1"/>
  <c r="I3296" i="1"/>
  <c r="F3298" i="1"/>
  <c r="C3299" i="1"/>
  <c r="D3298" i="1"/>
  <c r="H3298" i="1" l="1"/>
  <c r="J3298" i="1" s="1"/>
  <c r="I3297" i="1"/>
  <c r="F3299" i="1"/>
  <c r="C3300" i="1"/>
  <c r="D3299" i="1"/>
  <c r="I3298" i="1" l="1"/>
  <c r="H3299" i="1"/>
  <c r="J3299" i="1" s="1"/>
  <c r="F3300" i="1"/>
  <c r="C3301" i="1"/>
  <c r="D3300" i="1"/>
  <c r="H3300" i="1" l="1"/>
  <c r="J3300" i="1" s="1"/>
  <c r="I3299" i="1"/>
  <c r="D3301" i="1"/>
  <c r="C3302" i="1"/>
  <c r="F3301" i="1"/>
  <c r="H3301" i="1" l="1"/>
  <c r="J3301" i="1" s="1"/>
  <c r="I3300" i="1"/>
  <c r="F3302" i="1"/>
  <c r="D3302" i="1"/>
  <c r="C3303" i="1"/>
  <c r="I3301" i="1" l="1"/>
  <c r="H3302" i="1"/>
  <c r="J3302" i="1" s="1"/>
  <c r="C3304" i="1"/>
  <c r="F3303" i="1"/>
  <c r="D3303" i="1"/>
  <c r="H3303" i="1" l="1"/>
  <c r="J3303" i="1" s="1"/>
  <c r="I3302" i="1"/>
  <c r="F3304" i="1"/>
  <c r="C3305" i="1"/>
  <c r="D3304" i="1"/>
  <c r="I3303" i="1" l="1"/>
  <c r="H3304" i="1"/>
  <c r="J3304" i="1" s="1"/>
  <c r="C3306" i="1"/>
  <c r="F3305" i="1"/>
  <c r="D3305" i="1"/>
  <c r="H3305" i="1" l="1"/>
  <c r="J3305" i="1" s="1"/>
  <c r="I3304" i="1"/>
  <c r="F3306" i="1"/>
  <c r="D3306" i="1"/>
  <c r="C3307" i="1"/>
  <c r="I3305" i="1" l="1"/>
  <c r="H3306" i="1"/>
  <c r="J3306" i="1" s="1"/>
  <c r="F3307" i="1"/>
  <c r="C3308" i="1"/>
  <c r="D3307" i="1"/>
  <c r="H3307" i="1" l="1"/>
  <c r="J3307" i="1" s="1"/>
  <c r="I3306" i="1"/>
  <c r="F3308" i="1"/>
  <c r="D3308" i="1"/>
  <c r="C3309" i="1"/>
  <c r="H3308" i="1" l="1"/>
  <c r="J3308" i="1" s="1"/>
  <c r="I3307" i="1"/>
  <c r="F3309" i="1"/>
  <c r="C3310" i="1"/>
  <c r="D3309" i="1"/>
  <c r="I3308" i="1" l="1"/>
  <c r="H3309" i="1"/>
  <c r="J3309" i="1" s="1"/>
  <c r="F3310" i="1"/>
  <c r="D3310" i="1"/>
  <c r="C3311" i="1"/>
  <c r="I3309" i="1" l="1"/>
  <c r="H3310" i="1"/>
  <c r="J3310" i="1" s="1"/>
  <c r="F3311" i="1"/>
  <c r="C3312" i="1"/>
  <c r="D3311" i="1"/>
  <c r="I3310" i="1" l="1"/>
  <c r="H3311" i="1"/>
  <c r="J3311" i="1" s="1"/>
  <c r="F3312" i="1"/>
  <c r="C3313" i="1"/>
  <c r="D3312" i="1"/>
  <c r="H3312" i="1" l="1"/>
  <c r="J3312" i="1" s="1"/>
  <c r="I3311" i="1"/>
  <c r="F3313" i="1"/>
  <c r="C3314" i="1"/>
  <c r="D3313" i="1"/>
  <c r="H3313" i="1" l="1"/>
  <c r="J3313" i="1" s="1"/>
  <c r="I3312" i="1"/>
  <c r="F3314" i="1"/>
  <c r="D3314" i="1"/>
  <c r="C3315" i="1"/>
  <c r="H3314" i="1" l="1"/>
  <c r="J3314" i="1" s="1"/>
  <c r="I3313" i="1"/>
  <c r="F3315" i="1"/>
  <c r="C3316" i="1"/>
  <c r="D3315" i="1"/>
  <c r="H3315" i="1" l="1"/>
  <c r="J3315" i="1" s="1"/>
  <c r="I3314" i="1"/>
  <c r="F3316" i="1"/>
  <c r="D3316" i="1"/>
  <c r="C3317" i="1"/>
  <c r="H3316" i="1" l="1"/>
  <c r="J3316" i="1" s="1"/>
  <c r="I3315" i="1"/>
  <c r="F3317" i="1"/>
  <c r="C3318" i="1"/>
  <c r="D3317" i="1"/>
  <c r="H3317" i="1" l="1"/>
  <c r="J3317" i="1" s="1"/>
  <c r="I3316" i="1"/>
  <c r="F3318" i="1"/>
  <c r="C3319" i="1"/>
  <c r="D3318" i="1"/>
  <c r="H3318" i="1" l="1"/>
  <c r="J3318" i="1" s="1"/>
  <c r="I3317" i="1"/>
  <c r="F3319" i="1"/>
  <c r="C3320" i="1"/>
  <c r="D3319" i="1"/>
  <c r="I3318" i="1" l="1"/>
  <c r="H3319" i="1"/>
  <c r="J3319" i="1" s="1"/>
  <c r="F3320" i="1"/>
  <c r="D3320" i="1"/>
  <c r="C3321" i="1"/>
  <c r="H3320" i="1" l="1"/>
  <c r="J3320" i="1" s="1"/>
  <c r="I3319" i="1"/>
  <c r="F3321" i="1"/>
  <c r="C3322" i="1"/>
  <c r="D3321" i="1"/>
  <c r="I3320" i="1" l="1"/>
  <c r="H3321" i="1"/>
  <c r="J3321" i="1" s="1"/>
  <c r="F3322" i="1"/>
  <c r="C3323" i="1"/>
  <c r="D3322" i="1"/>
  <c r="H3322" i="1" l="1"/>
  <c r="J3322" i="1" s="1"/>
  <c r="I3321" i="1"/>
  <c r="F3323" i="1"/>
  <c r="C3324" i="1"/>
  <c r="D3323" i="1"/>
  <c r="I3322" i="1" l="1"/>
  <c r="H3323" i="1"/>
  <c r="J3323" i="1" s="1"/>
  <c r="F3324" i="1"/>
  <c r="C3325" i="1"/>
  <c r="D3324" i="1"/>
  <c r="H3324" i="1" l="1"/>
  <c r="J3324" i="1" s="1"/>
  <c r="I3323" i="1"/>
  <c r="F3325" i="1"/>
  <c r="C3326" i="1"/>
  <c r="D3325" i="1"/>
  <c r="I3324" i="1" l="1"/>
  <c r="H3325" i="1"/>
  <c r="J3325" i="1" s="1"/>
  <c r="F3326" i="1"/>
  <c r="D3326" i="1"/>
  <c r="C3327" i="1"/>
  <c r="H3326" i="1" l="1"/>
  <c r="J3326" i="1" s="1"/>
  <c r="I3325" i="1"/>
  <c r="F3327" i="1"/>
  <c r="C3328" i="1"/>
  <c r="D3327" i="1"/>
  <c r="H3327" i="1" l="1"/>
  <c r="J3327" i="1" s="1"/>
  <c r="I3326" i="1"/>
  <c r="F3328" i="1"/>
  <c r="D3328" i="1"/>
  <c r="C3329" i="1"/>
  <c r="I3327" i="1" l="1"/>
  <c r="H3328" i="1"/>
  <c r="J3328" i="1" s="1"/>
  <c r="F3329" i="1"/>
  <c r="C3330" i="1"/>
  <c r="D3329" i="1"/>
  <c r="H3329" i="1" l="1"/>
  <c r="J3329" i="1" s="1"/>
  <c r="I3328" i="1"/>
  <c r="F3330" i="1"/>
  <c r="C3331" i="1"/>
  <c r="D3330" i="1"/>
  <c r="I3329" i="1" l="1"/>
  <c r="H3330" i="1"/>
  <c r="J3330" i="1" s="1"/>
  <c r="F3331" i="1"/>
  <c r="C3332" i="1"/>
  <c r="D3331" i="1"/>
  <c r="I3330" i="1" l="1"/>
  <c r="H3331" i="1"/>
  <c r="J3331" i="1" s="1"/>
  <c r="F3332" i="1"/>
  <c r="C3333" i="1"/>
  <c r="D3332" i="1"/>
  <c r="I3331" i="1" l="1"/>
  <c r="H3332" i="1"/>
  <c r="J3332" i="1" s="1"/>
  <c r="F3333" i="1"/>
  <c r="C3334" i="1"/>
  <c r="D3333" i="1"/>
  <c r="I3332" i="1" l="1"/>
  <c r="H3333" i="1"/>
  <c r="J3333" i="1" s="1"/>
  <c r="F3334" i="1"/>
  <c r="D3334" i="1"/>
  <c r="C3335" i="1"/>
  <c r="I3333" i="1" l="1"/>
  <c r="H3334" i="1"/>
  <c r="J3334" i="1" s="1"/>
  <c r="F3335" i="1"/>
  <c r="C3336" i="1"/>
  <c r="D3335" i="1"/>
  <c r="I3334" i="1" l="1"/>
  <c r="H3335" i="1"/>
  <c r="J3335" i="1" s="1"/>
  <c r="F3336" i="1"/>
  <c r="D3336" i="1"/>
  <c r="C3337" i="1"/>
  <c r="I3335" i="1" l="1"/>
  <c r="H3336" i="1"/>
  <c r="J3336" i="1" s="1"/>
  <c r="F3337" i="1"/>
  <c r="C3338" i="1"/>
  <c r="D3337" i="1"/>
  <c r="H3337" i="1" l="1"/>
  <c r="J3337" i="1" s="1"/>
  <c r="I3336" i="1"/>
  <c r="F3338" i="1"/>
  <c r="C3339" i="1"/>
  <c r="D3338" i="1"/>
  <c r="H3338" i="1" l="1"/>
  <c r="J3338" i="1" s="1"/>
  <c r="I3337" i="1"/>
  <c r="F3339" i="1"/>
  <c r="C3340" i="1"/>
  <c r="D3339" i="1"/>
  <c r="H3339" i="1" l="1"/>
  <c r="J3339" i="1" s="1"/>
  <c r="I3338" i="1"/>
  <c r="F3340" i="1"/>
  <c r="C3341" i="1"/>
  <c r="D3340" i="1"/>
  <c r="I3339" i="1" l="1"/>
  <c r="H3340" i="1"/>
  <c r="J3340" i="1" s="1"/>
  <c r="F3341" i="1"/>
  <c r="C3342" i="1"/>
  <c r="D3341" i="1"/>
  <c r="H3341" i="1" l="1"/>
  <c r="J3341" i="1" s="1"/>
  <c r="I3340" i="1"/>
  <c r="F3342" i="1"/>
  <c r="C3343" i="1"/>
  <c r="D3342" i="1"/>
  <c r="H3342" i="1" l="1"/>
  <c r="J3342" i="1" s="1"/>
  <c r="I3341" i="1"/>
  <c r="F3343" i="1"/>
  <c r="C3344" i="1"/>
  <c r="D3343" i="1"/>
  <c r="I3342" i="1" l="1"/>
  <c r="H3343" i="1"/>
  <c r="J3343" i="1" s="1"/>
  <c r="F3344" i="1"/>
  <c r="C3345" i="1"/>
  <c r="D3344" i="1"/>
  <c r="H3344" i="1" l="1"/>
  <c r="J3344" i="1" s="1"/>
  <c r="I3343" i="1"/>
  <c r="F3345" i="1"/>
  <c r="D3345" i="1"/>
  <c r="C3346" i="1"/>
  <c r="H3345" i="1" l="1"/>
  <c r="J3345" i="1" s="1"/>
  <c r="I3344" i="1"/>
  <c r="F3346" i="1"/>
  <c r="D3346" i="1"/>
  <c r="C3347" i="1"/>
  <c r="H3346" i="1" l="1"/>
  <c r="J3346" i="1" s="1"/>
  <c r="I3345" i="1"/>
  <c r="F3347" i="1"/>
  <c r="C3348" i="1"/>
  <c r="D3347" i="1"/>
  <c r="I3346" i="1" l="1"/>
  <c r="H3347" i="1"/>
  <c r="J3347" i="1" s="1"/>
  <c r="F3348" i="1"/>
  <c r="D3348" i="1"/>
  <c r="C3349" i="1"/>
  <c r="H3348" i="1" l="1"/>
  <c r="J3348" i="1" s="1"/>
  <c r="I3347" i="1"/>
  <c r="F3349" i="1"/>
  <c r="C3350" i="1"/>
  <c r="D3349" i="1"/>
  <c r="I3348" i="1" l="1"/>
  <c r="H3349" i="1"/>
  <c r="J3349" i="1" s="1"/>
  <c r="F3350" i="1"/>
  <c r="C3351" i="1"/>
  <c r="D3350" i="1"/>
  <c r="H3350" i="1" l="1"/>
  <c r="J3350" i="1" s="1"/>
  <c r="I3349" i="1"/>
  <c r="F3351" i="1"/>
  <c r="C3352" i="1"/>
  <c r="D3351" i="1"/>
  <c r="I3350" i="1" l="1"/>
  <c r="H3351" i="1"/>
  <c r="J3351" i="1" s="1"/>
  <c r="F3352" i="1"/>
  <c r="D3352" i="1"/>
  <c r="C3353" i="1"/>
  <c r="H3352" i="1" l="1"/>
  <c r="J3352" i="1" s="1"/>
  <c r="I3351" i="1"/>
  <c r="F3353" i="1"/>
  <c r="C3354" i="1"/>
  <c r="D3353" i="1"/>
  <c r="I3352" i="1" l="1"/>
  <c r="H3353" i="1"/>
  <c r="J3353" i="1" s="1"/>
  <c r="F3354" i="1"/>
  <c r="C3355" i="1"/>
  <c r="D3354" i="1"/>
  <c r="H3354" i="1" l="1"/>
  <c r="J3354" i="1" s="1"/>
  <c r="I3353" i="1"/>
  <c r="F3355" i="1"/>
  <c r="C3356" i="1"/>
  <c r="D3355" i="1"/>
  <c r="I3354" i="1" l="1"/>
  <c r="H3355" i="1"/>
  <c r="J3355" i="1" s="1"/>
  <c r="F3356" i="1"/>
  <c r="D3356" i="1"/>
  <c r="C3357" i="1"/>
  <c r="H3356" i="1" l="1"/>
  <c r="J3356" i="1" s="1"/>
  <c r="I3355" i="1"/>
  <c r="F3357" i="1"/>
  <c r="C3358" i="1"/>
  <c r="D3357" i="1"/>
  <c r="I3356" i="1" l="1"/>
  <c r="H3357" i="1"/>
  <c r="J3357" i="1" s="1"/>
  <c r="F3358" i="1"/>
  <c r="C3359" i="1"/>
  <c r="D3358" i="1"/>
  <c r="H3358" i="1" l="1"/>
  <c r="J3358" i="1" s="1"/>
  <c r="I3357" i="1"/>
  <c r="F3359" i="1"/>
  <c r="C3360" i="1"/>
  <c r="D3359" i="1"/>
  <c r="H3359" i="1" l="1"/>
  <c r="J3359" i="1" s="1"/>
  <c r="I3358" i="1"/>
  <c r="F3360" i="1"/>
  <c r="C3361" i="1"/>
  <c r="D3360" i="1"/>
  <c r="I3359" i="1" l="1"/>
  <c r="H3360" i="1"/>
  <c r="J3360" i="1" s="1"/>
  <c r="F3361" i="1"/>
  <c r="C3362" i="1"/>
  <c r="D3361" i="1"/>
  <c r="H3361" i="1" l="1"/>
  <c r="J3361" i="1" s="1"/>
  <c r="I3360" i="1"/>
  <c r="F3362" i="1"/>
  <c r="D3362" i="1"/>
  <c r="C3363" i="1"/>
  <c r="I3361" i="1" l="1"/>
  <c r="H3362" i="1"/>
  <c r="J3362" i="1" s="1"/>
  <c r="F3363" i="1"/>
  <c r="C3364" i="1"/>
  <c r="D3363" i="1"/>
  <c r="H3363" i="1" l="1"/>
  <c r="J3363" i="1" s="1"/>
  <c r="I3362" i="1"/>
  <c r="F3364" i="1"/>
  <c r="C3365" i="1"/>
  <c r="D3364" i="1"/>
  <c r="H3364" i="1" l="1"/>
  <c r="J3364" i="1" s="1"/>
  <c r="I3363" i="1"/>
  <c r="F3365" i="1"/>
  <c r="C3366" i="1"/>
  <c r="D3365" i="1"/>
  <c r="I3364" i="1" l="1"/>
  <c r="H3365" i="1"/>
  <c r="J3365" i="1" s="1"/>
  <c r="F3366" i="1"/>
  <c r="C3367" i="1"/>
  <c r="D3366" i="1"/>
  <c r="H3366" i="1" l="1"/>
  <c r="J3366" i="1" s="1"/>
  <c r="I3365" i="1"/>
  <c r="F3367" i="1"/>
  <c r="D3367" i="1"/>
  <c r="C3368" i="1"/>
  <c r="H3367" i="1" l="1"/>
  <c r="J3367" i="1" s="1"/>
  <c r="I3366" i="1"/>
  <c r="F3368" i="1"/>
  <c r="C3369" i="1"/>
  <c r="D3368" i="1"/>
  <c r="I3367" i="1" l="1"/>
  <c r="H3368" i="1"/>
  <c r="J3368" i="1" s="1"/>
  <c r="F3369" i="1"/>
  <c r="D3369" i="1"/>
  <c r="C3370" i="1"/>
  <c r="I3368" i="1" l="1"/>
  <c r="H3369" i="1"/>
  <c r="J3369" i="1" s="1"/>
  <c r="F3370" i="1"/>
  <c r="C3371" i="1"/>
  <c r="D3370" i="1"/>
  <c r="I3369" i="1" l="1"/>
  <c r="H3370" i="1"/>
  <c r="J3370" i="1" s="1"/>
  <c r="F3371" i="1"/>
  <c r="C3372" i="1"/>
  <c r="D3371" i="1"/>
  <c r="H3371" i="1" l="1"/>
  <c r="J3371" i="1" s="1"/>
  <c r="I3370" i="1"/>
  <c r="F3372" i="1"/>
  <c r="C3373" i="1"/>
  <c r="D3372" i="1"/>
  <c r="H3372" i="1" l="1"/>
  <c r="J3372" i="1" s="1"/>
  <c r="I3371" i="1"/>
  <c r="F3373" i="1"/>
  <c r="C3374" i="1"/>
  <c r="D3373" i="1"/>
  <c r="H3373" i="1" l="1"/>
  <c r="J3373" i="1" s="1"/>
  <c r="I3372" i="1"/>
  <c r="F3374" i="1"/>
  <c r="C3375" i="1"/>
  <c r="D3374" i="1"/>
  <c r="I3373" i="1" l="1"/>
  <c r="H3374" i="1"/>
  <c r="J3374" i="1" s="1"/>
  <c r="F3375" i="1"/>
  <c r="D3375" i="1"/>
  <c r="C3376" i="1"/>
  <c r="H3375" i="1" l="1"/>
  <c r="J3375" i="1" s="1"/>
  <c r="I3374" i="1"/>
  <c r="F3376" i="1"/>
  <c r="C3377" i="1"/>
  <c r="D3376" i="1"/>
  <c r="H3376" i="1" l="1"/>
  <c r="J3376" i="1" s="1"/>
  <c r="I3375" i="1"/>
  <c r="F3377" i="1"/>
  <c r="D3377" i="1"/>
  <c r="C3378" i="1"/>
  <c r="I3376" i="1" l="1"/>
  <c r="H3377" i="1"/>
  <c r="J3377" i="1" s="1"/>
  <c r="F3378" i="1"/>
  <c r="C3379" i="1"/>
  <c r="D3378" i="1"/>
  <c r="I3377" i="1" l="1"/>
  <c r="H3378" i="1"/>
  <c r="J3378" i="1" s="1"/>
  <c r="F3379" i="1"/>
  <c r="D3379" i="1"/>
  <c r="C3380" i="1"/>
  <c r="H3379" i="1" l="1"/>
  <c r="J3379" i="1" s="1"/>
  <c r="I3378" i="1"/>
  <c r="F3380" i="1"/>
  <c r="C3381" i="1"/>
  <c r="D3380" i="1"/>
  <c r="H3380" i="1" l="1"/>
  <c r="J3380" i="1" s="1"/>
  <c r="I3379" i="1"/>
  <c r="F3381" i="1"/>
  <c r="D3381" i="1"/>
  <c r="C3382" i="1"/>
  <c r="H3381" i="1" l="1"/>
  <c r="J3381" i="1" s="1"/>
  <c r="I3380" i="1"/>
  <c r="F3382" i="1"/>
  <c r="C3383" i="1"/>
  <c r="D3382" i="1"/>
  <c r="H3382" i="1" l="1"/>
  <c r="J3382" i="1" s="1"/>
  <c r="I3381" i="1"/>
  <c r="F3383" i="1"/>
  <c r="D3383" i="1"/>
  <c r="C3384" i="1"/>
  <c r="H3383" i="1" l="1"/>
  <c r="J3383" i="1" s="1"/>
  <c r="I3382" i="1"/>
  <c r="F3384" i="1"/>
  <c r="C3385" i="1"/>
  <c r="D3384" i="1"/>
  <c r="I3383" i="1" l="1"/>
  <c r="H3384" i="1"/>
  <c r="J3384" i="1" s="1"/>
  <c r="F3385" i="1"/>
  <c r="C3386" i="1"/>
  <c r="D3385" i="1"/>
  <c r="H3385" i="1" l="1"/>
  <c r="J3385" i="1" s="1"/>
  <c r="I3384" i="1"/>
  <c r="F3386" i="1"/>
  <c r="C3387" i="1"/>
  <c r="D3386" i="1"/>
  <c r="I3385" i="1" l="1"/>
  <c r="H3386" i="1"/>
  <c r="J3386" i="1" s="1"/>
  <c r="F3387" i="1"/>
  <c r="C3388" i="1"/>
  <c r="D3387" i="1"/>
  <c r="H3387" i="1" l="1"/>
  <c r="J3387" i="1" s="1"/>
  <c r="I3386" i="1"/>
  <c r="F3388" i="1"/>
  <c r="C3389" i="1"/>
  <c r="D3388" i="1"/>
  <c r="I3387" i="1" l="1"/>
  <c r="H3388" i="1"/>
  <c r="J3388" i="1" s="1"/>
  <c r="F3389" i="1"/>
  <c r="D3389" i="1"/>
  <c r="C3390" i="1"/>
  <c r="H3389" i="1" l="1"/>
  <c r="J3389" i="1" s="1"/>
  <c r="I3388" i="1"/>
  <c r="F3390" i="1"/>
  <c r="C3391" i="1"/>
  <c r="D3390" i="1"/>
  <c r="I3389" i="1" l="1"/>
  <c r="H3390" i="1"/>
  <c r="J3390" i="1" s="1"/>
  <c r="F3391" i="1"/>
  <c r="D3391" i="1"/>
  <c r="C3392" i="1"/>
  <c r="H3391" i="1" l="1"/>
  <c r="J3391" i="1" s="1"/>
  <c r="I3390" i="1"/>
  <c r="F3392" i="1"/>
  <c r="C3393" i="1"/>
  <c r="D3392" i="1"/>
  <c r="I3391" i="1" l="1"/>
  <c r="H3392" i="1"/>
  <c r="J3392" i="1" s="1"/>
  <c r="F3393" i="1"/>
  <c r="D3393" i="1"/>
  <c r="C3394" i="1"/>
  <c r="I3392" i="1" l="1"/>
  <c r="H3393" i="1"/>
  <c r="J3393" i="1" s="1"/>
  <c r="F3394" i="1"/>
  <c r="C3395" i="1"/>
  <c r="D3394" i="1"/>
  <c r="I3393" i="1" l="1"/>
  <c r="H3394" i="1"/>
  <c r="J3394" i="1" s="1"/>
  <c r="F3395" i="1"/>
  <c r="D3395" i="1"/>
  <c r="C3396" i="1"/>
  <c r="I3394" i="1" l="1"/>
  <c r="H3395" i="1"/>
  <c r="J3395" i="1" s="1"/>
  <c r="F3396" i="1"/>
  <c r="C3397" i="1"/>
  <c r="D3396" i="1"/>
  <c r="I3395" i="1" l="1"/>
  <c r="H3396" i="1"/>
  <c r="J3396" i="1" s="1"/>
  <c r="F3397" i="1"/>
  <c r="C3398" i="1"/>
  <c r="D3397" i="1"/>
  <c r="I3396" i="1" l="1"/>
  <c r="H3397" i="1"/>
  <c r="J3397" i="1" s="1"/>
  <c r="F3398" i="1"/>
  <c r="C3399" i="1"/>
  <c r="D3398" i="1"/>
  <c r="I3397" i="1" l="1"/>
  <c r="H3398" i="1"/>
  <c r="J3398" i="1" s="1"/>
  <c r="F3399" i="1"/>
  <c r="D3399" i="1"/>
  <c r="C3400" i="1"/>
  <c r="I3398" i="1" l="1"/>
  <c r="H3399" i="1"/>
  <c r="J3399" i="1" s="1"/>
  <c r="F3400" i="1"/>
  <c r="C3401" i="1"/>
  <c r="D3400" i="1"/>
  <c r="I3399" i="1" l="1"/>
  <c r="H3400" i="1"/>
  <c r="J3400" i="1" s="1"/>
  <c r="F3401" i="1"/>
  <c r="D3401" i="1"/>
  <c r="C3402" i="1"/>
  <c r="I3400" i="1" l="1"/>
  <c r="H3401" i="1"/>
  <c r="J3401" i="1" s="1"/>
  <c r="F3402" i="1"/>
  <c r="C3403" i="1"/>
  <c r="D3402" i="1"/>
  <c r="I3401" i="1" l="1"/>
  <c r="H3402" i="1"/>
  <c r="J3402" i="1" s="1"/>
  <c r="F3403" i="1"/>
  <c r="D3403" i="1"/>
  <c r="C3404" i="1"/>
  <c r="I3402" i="1" l="1"/>
  <c r="H3403" i="1"/>
  <c r="J3403" i="1" s="1"/>
  <c r="F3404" i="1"/>
  <c r="D3404" i="1"/>
  <c r="C3405" i="1"/>
  <c r="I3403" i="1" l="1"/>
  <c r="H3404" i="1"/>
  <c r="J3404" i="1" s="1"/>
  <c r="C3406" i="1"/>
  <c r="F3405" i="1"/>
  <c r="D3405" i="1"/>
  <c r="I3404" i="1" l="1"/>
  <c r="H3405" i="1"/>
  <c r="J3405" i="1" s="1"/>
  <c r="F3406" i="1"/>
  <c r="C3407" i="1"/>
  <c r="D3406" i="1"/>
  <c r="I3405" i="1" l="1"/>
  <c r="H3406" i="1"/>
  <c r="J3406" i="1" s="1"/>
  <c r="F3407" i="1"/>
  <c r="C3408" i="1"/>
  <c r="D3407" i="1"/>
  <c r="I3406" i="1" l="1"/>
  <c r="H3407" i="1"/>
  <c r="J3407" i="1" s="1"/>
  <c r="F3408" i="1"/>
  <c r="D3408" i="1"/>
  <c r="C3409" i="1"/>
  <c r="I3407" i="1" l="1"/>
  <c r="H3408" i="1"/>
  <c r="J3408" i="1" s="1"/>
  <c r="F3409" i="1"/>
  <c r="D3409" i="1"/>
  <c r="C3410" i="1"/>
  <c r="I3408" i="1" l="1"/>
  <c r="H3409" i="1"/>
  <c r="J3409" i="1" s="1"/>
  <c r="F3410" i="1"/>
  <c r="D3410" i="1"/>
  <c r="C3411" i="1"/>
  <c r="I3409" i="1" l="1"/>
  <c r="H3410" i="1"/>
  <c r="J3410" i="1" s="1"/>
  <c r="D3411" i="1"/>
  <c r="C3412" i="1"/>
  <c r="F3411" i="1"/>
  <c r="H3411" i="1" l="1"/>
  <c r="J3411" i="1" s="1"/>
  <c r="I3410" i="1"/>
  <c r="F3412" i="1"/>
  <c r="C3413" i="1"/>
  <c r="D3412" i="1"/>
  <c r="H3412" i="1" l="1"/>
  <c r="J3412" i="1" s="1"/>
  <c r="I3411" i="1"/>
  <c r="D3413" i="1"/>
  <c r="C3414" i="1"/>
  <c r="F3413" i="1"/>
  <c r="H3413" i="1" l="1"/>
  <c r="J3413" i="1" s="1"/>
  <c r="I3412" i="1"/>
  <c r="C3415" i="1"/>
  <c r="F3414" i="1"/>
  <c r="D3414" i="1"/>
  <c r="H3414" i="1" l="1"/>
  <c r="J3414" i="1" s="1"/>
  <c r="I3413" i="1"/>
  <c r="F3415" i="1"/>
  <c r="C3416" i="1"/>
  <c r="D3415" i="1"/>
  <c r="H3415" i="1" l="1"/>
  <c r="J3415" i="1" s="1"/>
  <c r="I3414" i="1"/>
  <c r="C3417" i="1"/>
  <c r="F3416" i="1"/>
  <c r="D3416" i="1"/>
  <c r="H3416" i="1" l="1"/>
  <c r="J3416" i="1" s="1"/>
  <c r="I3415" i="1"/>
  <c r="F3417" i="1"/>
  <c r="D3417" i="1"/>
  <c r="C3418" i="1"/>
  <c r="I3416" i="1" l="1"/>
  <c r="H3417" i="1"/>
  <c r="J3417" i="1" s="1"/>
  <c r="D3418" i="1"/>
  <c r="F3418" i="1"/>
  <c r="C3419" i="1"/>
  <c r="H3418" i="1" l="1"/>
  <c r="J3418" i="1" s="1"/>
  <c r="I3417" i="1"/>
  <c r="C3420" i="1"/>
  <c r="D3419" i="1"/>
  <c r="F3419" i="1"/>
  <c r="H3419" i="1" l="1"/>
  <c r="J3419" i="1" s="1"/>
  <c r="I3418" i="1"/>
  <c r="C3421" i="1"/>
  <c r="D3420" i="1"/>
  <c r="F3420" i="1"/>
  <c r="H3420" i="1" l="1"/>
  <c r="J3420" i="1" s="1"/>
  <c r="I3419" i="1"/>
  <c r="D3421" i="1"/>
  <c r="C3422" i="1"/>
  <c r="F3421" i="1"/>
  <c r="H3421" i="1" l="1"/>
  <c r="J3421" i="1" s="1"/>
  <c r="I3420" i="1"/>
  <c r="D3422" i="1"/>
  <c r="F3422" i="1"/>
  <c r="C3423" i="1"/>
  <c r="H3422" i="1" l="1"/>
  <c r="J3422" i="1" s="1"/>
  <c r="I3421" i="1"/>
  <c r="C3424" i="1"/>
  <c r="F3423" i="1"/>
  <c r="D3423" i="1"/>
  <c r="H3423" i="1" l="1"/>
  <c r="J3423" i="1" s="1"/>
  <c r="I3422" i="1"/>
  <c r="D3424" i="1"/>
  <c r="C3425" i="1"/>
  <c r="F3424" i="1"/>
  <c r="H3424" i="1" l="1"/>
  <c r="J3424" i="1" s="1"/>
  <c r="I3423" i="1"/>
  <c r="F3425" i="1"/>
  <c r="D3425" i="1"/>
  <c r="C3426" i="1"/>
  <c r="H3425" i="1" l="1"/>
  <c r="J3425" i="1" s="1"/>
  <c r="I3424" i="1"/>
  <c r="C3427" i="1"/>
  <c r="D3426" i="1"/>
  <c r="F3426" i="1"/>
  <c r="H3426" i="1" l="1"/>
  <c r="J3426" i="1" s="1"/>
  <c r="I3425" i="1"/>
  <c r="F3427" i="1"/>
  <c r="C3428" i="1"/>
  <c r="D3427" i="1"/>
  <c r="H3427" i="1" l="1"/>
  <c r="J3427" i="1" s="1"/>
  <c r="I3426" i="1"/>
  <c r="F3428" i="1"/>
  <c r="C3429" i="1"/>
  <c r="D3428" i="1"/>
  <c r="I3427" i="1" l="1"/>
  <c r="H3428" i="1"/>
  <c r="J3428" i="1" s="1"/>
  <c r="C3430" i="1"/>
  <c r="D3429" i="1"/>
  <c r="F3429" i="1"/>
  <c r="H3429" i="1" l="1"/>
  <c r="J3429" i="1" s="1"/>
  <c r="I3428" i="1"/>
  <c r="F3430" i="1"/>
  <c r="C3431" i="1"/>
  <c r="D3430" i="1"/>
  <c r="I3429" i="1" l="1"/>
  <c r="H3430" i="1"/>
  <c r="J3430" i="1" s="1"/>
  <c r="C3432" i="1"/>
  <c r="F3431" i="1"/>
  <c r="D3431" i="1"/>
  <c r="H3431" i="1" l="1"/>
  <c r="J3431" i="1" s="1"/>
  <c r="I3430" i="1"/>
  <c r="F3432" i="1"/>
  <c r="D3432" i="1"/>
  <c r="C3433" i="1"/>
  <c r="I3431" i="1" l="1"/>
  <c r="H3432" i="1"/>
  <c r="J3432" i="1" s="1"/>
  <c r="D3433" i="1"/>
  <c r="C3434" i="1"/>
  <c r="F3433" i="1"/>
  <c r="H3433" i="1" l="1"/>
  <c r="J3433" i="1" s="1"/>
  <c r="I3432" i="1"/>
  <c r="D3434" i="1"/>
  <c r="F3434" i="1"/>
  <c r="C3435" i="1"/>
  <c r="H3434" i="1" l="1"/>
  <c r="J3434" i="1" s="1"/>
  <c r="I3433" i="1"/>
  <c r="C3436" i="1"/>
  <c r="F3435" i="1"/>
  <c r="D3435" i="1"/>
  <c r="H3435" i="1" l="1"/>
  <c r="J3435" i="1" s="1"/>
  <c r="I3434" i="1"/>
  <c r="D3436" i="1"/>
  <c r="F3436" i="1"/>
  <c r="C3437" i="1"/>
  <c r="H3436" i="1" l="1"/>
  <c r="J3436" i="1" s="1"/>
  <c r="I3435" i="1"/>
  <c r="C3438" i="1"/>
  <c r="F3437" i="1"/>
  <c r="D3437" i="1"/>
  <c r="H3437" i="1" l="1"/>
  <c r="J3437" i="1" s="1"/>
  <c r="I3436" i="1"/>
  <c r="F3438" i="1"/>
  <c r="D3438" i="1"/>
  <c r="C3439" i="1"/>
  <c r="H3438" i="1" l="1"/>
  <c r="J3438" i="1" s="1"/>
  <c r="I3437" i="1"/>
  <c r="C3440" i="1"/>
  <c r="F3439" i="1"/>
  <c r="D3439" i="1"/>
  <c r="H3439" i="1" l="1"/>
  <c r="J3439" i="1" s="1"/>
  <c r="I3438" i="1"/>
  <c r="F3440" i="1"/>
  <c r="D3440" i="1"/>
  <c r="C3441" i="1"/>
  <c r="H3440" i="1" l="1"/>
  <c r="J3440" i="1" s="1"/>
  <c r="I3439" i="1"/>
  <c r="F3441" i="1"/>
  <c r="C3442" i="1"/>
  <c r="D3441" i="1"/>
  <c r="H3441" i="1" l="1"/>
  <c r="J3441" i="1" s="1"/>
  <c r="I3440" i="1"/>
  <c r="F3442" i="1"/>
  <c r="C3443" i="1"/>
  <c r="D3442" i="1"/>
  <c r="I3441" i="1" l="1"/>
  <c r="H3442" i="1"/>
  <c r="J3442" i="1" s="1"/>
  <c r="D3443" i="1"/>
  <c r="C3444" i="1"/>
  <c r="F3443" i="1"/>
  <c r="H3443" i="1" l="1"/>
  <c r="J3443" i="1" s="1"/>
  <c r="I3442" i="1"/>
  <c r="F3444" i="1"/>
  <c r="C3445" i="1"/>
  <c r="D3444" i="1"/>
  <c r="I3443" i="1" l="1"/>
  <c r="H3444" i="1"/>
  <c r="J3444" i="1" s="1"/>
  <c r="D3445" i="1"/>
  <c r="C3446" i="1"/>
  <c r="F3445" i="1"/>
  <c r="H3445" i="1" l="1"/>
  <c r="J3445" i="1" s="1"/>
  <c r="I3444" i="1"/>
  <c r="C3447" i="1"/>
  <c r="F3446" i="1"/>
  <c r="D3446" i="1"/>
  <c r="H3446" i="1" l="1"/>
  <c r="J3446" i="1" s="1"/>
  <c r="I3445" i="1"/>
  <c r="D3447" i="1"/>
  <c r="C3448" i="1"/>
  <c r="F3447" i="1"/>
  <c r="H3447" i="1" l="1"/>
  <c r="J3447" i="1" s="1"/>
  <c r="I3446" i="1"/>
  <c r="F3448" i="1"/>
  <c r="C3449" i="1"/>
  <c r="D3448" i="1"/>
  <c r="I3447" i="1" l="1"/>
  <c r="H3448" i="1"/>
  <c r="J3448" i="1" s="1"/>
  <c r="C3450" i="1"/>
  <c r="F3449" i="1"/>
  <c r="D3449" i="1"/>
  <c r="H3449" i="1" l="1"/>
  <c r="J3449" i="1" s="1"/>
  <c r="I3448" i="1"/>
  <c r="D3450" i="1"/>
  <c r="C3451" i="1"/>
  <c r="F3450" i="1"/>
  <c r="H3450" i="1" l="1"/>
  <c r="J3450" i="1" s="1"/>
  <c r="I3449" i="1"/>
  <c r="C3452" i="1"/>
  <c r="F3451" i="1"/>
  <c r="D3451" i="1"/>
  <c r="H3451" i="1" l="1"/>
  <c r="J3451" i="1" s="1"/>
  <c r="I3450" i="1"/>
  <c r="F3452" i="1"/>
  <c r="C3453" i="1"/>
  <c r="D3452" i="1"/>
  <c r="H3452" i="1" l="1"/>
  <c r="J3452" i="1" s="1"/>
  <c r="I3451" i="1"/>
  <c r="F3453" i="1"/>
  <c r="C3454" i="1"/>
  <c r="D3453" i="1"/>
  <c r="I3452" i="1" l="1"/>
  <c r="H3453" i="1"/>
  <c r="J3453" i="1" s="1"/>
  <c r="F3454" i="1"/>
  <c r="D3454" i="1"/>
  <c r="C3455" i="1"/>
  <c r="H3454" i="1" l="1"/>
  <c r="J3454" i="1" s="1"/>
  <c r="I3453" i="1"/>
  <c r="C3456" i="1"/>
  <c r="D3455" i="1"/>
  <c r="F3455" i="1"/>
  <c r="H3455" i="1" s="1"/>
  <c r="I3455" i="1" l="1"/>
  <c r="J3455" i="1"/>
  <c r="I3454" i="1"/>
  <c r="C3457" i="1"/>
  <c r="D3456" i="1"/>
  <c r="F3456" i="1"/>
  <c r="H3456" i="1" l="1"/>
  <c r="I3456" i="1" s="1"/>
  <c r="F3457" i="1"/>
  <c r="D3457" i="1"/>
  <c r="C3458" i="1"/>
  <c r="H3457" i="1" l="1"/>
  <c r="J3457" i="1" s="1"/>
  <c r="J3456" i="1"/>
  <c r="D3458" i="1"/>
  <c r="F3458" i="1"/>
  <c r="C3459" i="1"/>
  <c r="H3458" i="1" l="1"/>
  <c r="I3457" i="1"/>
  <c r="D3459" i="1"/>
  <c r="F3459" i="1"/>
  <c r="C3460" i="1"/>
  <c r="H3459" i="1" l="1"/>
  <c r="J3458" i="1"/>
  <c r="I3458" i="1"/>
  <c r="D3460" i="1"/>
  <c r="F3460" i="1"/>
  <c r="C3461" i="1"/>
  <c r="H3460" i="1" l="1"/>
  <c r="J3459" i="1"/>
  <c r="I3459" i="1"/>
  <c r="C3462" i="1"/>
  <c r="F3461" i="1"/>
  <c r="D3461" i="1"/>
  <c r="H3461" i="1" l="1"/>
  <c r="J3460" i="1"/>
  <c r="I3460" i="1"/>
  <c r="C3463" i="1"/>
  <c r="F3462" i="1"/>
  <c r="D3462" i="1"/>
  <c r="H3462" i="1" l="1"/>
  <c r="I3462" i="1" s="1"/>
  <c r="J3461" i="1"/>
  <c r="I3461" i="1"/>
  <c r="F3463" i="1"/>
  <c r="C3464" i="1"/>
  <c r="D3463" i="1"/>
  <c r="H3463" i="1" l="1"/>
  <c r="J3462" i="1"/>
  <c r="D3464" i="1"/>
  <c r="F3464" i="1"/>
  <c r="C3465" i="1"/>
  <c r="H3464" i="1" l="1"/>
  <c r="J3464" i="1" s="1"/>
  <c r="I3463" i="1"/>
  <c r="J3463" i="1"/>
  <c r="D3465" i="1"/>
  <c r="F3465" i="1"/>
  <c r="C3466" i="1"/>
  <c r="H3465" i="1" l="1"/>
  <c r="J3465" i="1" s="1"/>
  <c r="I3464" i="1"/>
  <c r="D3466" i="1"/>
  <c r="F3466" i="1"/>
  <c r="C3467" i="1"/>
  <c r="I3465" i="1" l="1"/>
  <c r="H3466" i="1"/>
  <c r="J3466" i="1" s="1"/>
  <c r="F3467" i="1"/>
  <c r="D3467" i="1"/>
  <c r="C3468" i="1"/>
  <c r="H3467" i="1" l="1"/>
  <c r="J3467" i="1" s="1"/>
  <c r="I3466" i="1"/>
  <c r="D3468" i="1"/>
  <c r="C3469" i="1"/>
  <c r="F3468" i="1"/>
  <c r="I3467" i="1" l="1"/>
  <c r="H3468" i="1"/>
  <c r="J3468" i="1" s="1"/>
  <c r="D3469" i="1"/>
  <c r="F3469" i="1"/>
  <c r="C3470" i="1"/>
  <c r="H3469" i="1" l="1"/>
  <c r="J3469" i="1" s="1"/>
  <c r="I3468" i="1"/>
  <c r="D3470" i="1"/>
  <c r="C3471" i="1"/>
  <c r="F3470" i="1"/>
  <c r="H3470" i="1" l="1"/>
  <c r="J3470" i="1" s="1"/>
  <c r="I3469" i="1"/>
  <c r="F3471" i="1"/>
  <c r="C3472" i="1"/>
  <c r="D3471" i="1"/>
  <c r="H3471" i="1" l="1"/>
  <c r="J3471" i="1" s="1"/>
  <c r="I3470" i="1"/>
  <c r="D3472" i="1"/>
  <c r="F3472" i="1"/>
  <c r="C3473" i="1"/>
  <c r="H3472" i="1" l="1"/>
  <c r="J3472" i="1" s="1"/>
  <c r="I3471" i="1"/>
  <c r="D3473" i="1"/>
  <c r="F3473" i="1"/>
  <c r="C3474" i="1"/>
  <c r="H3473" i="1" l="1"/>
  <c r="J3473" i="1" s="1"/>
  <c r="I3472" i="1"/>
  <c r="C3475" i="1"/>
  <c r="F3474" i="1"/>
  <c r="D3474" i="1"/>
  <c r="H3474" i="1" l="1"/>
  <c r="J3474" i="1" s="1"/>
  <c r="I3473" i="1"/>
  <c r="C3476" i="1"/>
  <c r="D3475" i="1"/>
  <c r="F3475" i="1"/>
  <c r="H3475" i="1" l="1"/>
  <c r="J3475" i="1" s="1"/>
  <c r="I3474" i="1"/>
  <c r="D3476" i="1"/>
  <c r="C3477" i="1"/>
  <c r="F3476" i="1"/>
  <c r="H3476" i="1" l="1"/>
  <c r="J3476" i="1" s="1"/>
  <c r="I3475" i="1"/>
  <c r="C3478" i="1"/>
  <c r="F3477" i="1"/>
  <c r="D3477" i="1"/>
  <c r="H3477" i="1" l="1"/>
  <c r="J3477" i="1" s="1"/>
  <c r="I3476" i="1"/>
  <c r="C3479" i="1"/>
  <c r="F3478" i="1"/>
  <c r="D3478" i="1"/>
  <c r="H3478" i="1" l="1"/>
  <c r="J3478" i="1" s="1"/>
  <c r="I3477" i="1"/>
  <c r="D3479" i="1"/>
  <c r="C3480" i="1"/>
  <c r="F3479" i="1"/>
  <c r="H3479" i="1" l="1"/>
  <c r="J3479" i="1" s="1"/>
  <c r="I3478" i="1"/>
  <c r="D3480" i="1"/>
  <c r="F3480" i="1"/>
  <c r="C3481" i="1"/>
  <c r="I3479" i="1" l="1"/>
  <c r="H3480" i="1"/>
  <c r="J3480" i="1" s="1"/>
  <c r="D3481" i="1"/>
  <c r="C3482" i="1"/>
  <c r="F3481" i="1"/>
  <c r="H3481" i="1" l="1"/>
  <c r="J3481" i="1" s="1"/>
  <c r="I3480" i="1"/>
  <c r="D3482" i="1"/>
  <c r="F3482" i="1"/>
  <c r="C3483" i="1"/>
  <c r="H3482" i="1" l="1"/>
  <c r="J3482" i="1" s="1"/>
  <c r="I3481" i="1"/>
  <c r="D3483" i="1"/>
  <c r="F3483" i="1"/>
  <c r="C3484" i="1"/>
  <c r="I3482" i="1" l="1"/>
  <c r="H3483" i="1"/>
  <c r="J3483" i="1" s="1"/>
  <c r="C3485" i="1"/>
  <c r="F3484" i="1"/>
  <c r="D3484" i="1"/>
  <c r="H3484" i="1" l="1"/>
  <c r="J3484" i="1" s="1"/>
  <c r="I3483" i="1"/>
  <c r="F3485" i="1"/>
  <c r="D3485" i="1"/>
  <c r="C3486" i="1"/>
  <c r="H3485" i="1" l="1"/>
  <c r="J3485" i="1" s="1"/>
  <c r="I3484" i="1"/>
  <c r="F3486" i="1"/>
  <c r="D3486" i="1"/>
  <c r="C3487" i="1"/>
  <c r="I3485" i="1" l="1"/>
  <c r="H3486" i="1"/>
  <c r="J3486" i="1" s="1"/>
  <c r="F3487" i="1"/>
  <c r="C3488" i="1"/>
  <c r="D3487" i="1"/>
  <c r="H3487" i="1" l="1"/>
  <c r="J3487" i="1" s="1"/>
  <c r="I3486" i="1"/>
  <c r="D3488" i="1"/>
  <c r="C3489" i="1"/>
  <c r="F3488" i="1"/>
  <c r="H3488" i="1" l="1"/>
  <c r="J3488" i="1" s="1"/>
  <c r="I3487" i="1"/>
  <c r="D3489" i="1"/>
  <c r="C3490" i="1"/>
  <c r="F3489" i="1"/>
  <c r="H3489" i="1" l="1"/>
  <c r="J3489" i="1" s="1"/>
  <c r="I3488" i="1"/>
  <c r="C3491" i="1"/>
  <c r="F3490" i="1"/>
  <c r="D3490" i="1"/>
  <c r="I3489" i="1" l="1"/>
  <c r="H3490" i="1"/>
  <c r="J3490" i="1" s="1"/>
  <c r="C3492" i="1"/>
  <c r="D3491" i="1"/>
  <c r="F3491" i="1"/>
  <c r="H3491" i="1" l="1"/>
  <c r="J3491" i="1" s="1"/>
  <c r="I3490" i="1"/>
  <c r="C3493" i="1"/>
  <c r="F3492" i="1"/>
  <c r="D3492" i="1"/>
  <c r="H3492" i="1" l="1"/>
  <c r="J3492" i="1" s="1"/>
  <c r="I3491" i="1"/>
  <c r="D3493" i="1"/>
  <c r="F3493" i="1"/>
  <c r="C3494" i="1"/>
  <c r="H3493" i="1" l="1"/>
  <c r="J3493" i="1" s="1"/>
  <c r="I3492" i="1"/>
  <c r="F3494" i="1"/>
  <c r="D3494" i="1"/>
  <c r="C3495" i="1"/>
  <c r="H3494" i="1" l="1"/>
  <c r="J3494" i="1" s="1"/>
  <c r="I3493" i="1"/>
  <c r="D3495" i="1"/>
  <c r="F3495" i="1"/>
  <c r="C3496" i="1"/>
  <c r="H3495" i="1" l="1"/>
  <c r="J3495" i="1" s="1"/>
  <c r="I3494" i="1"/>
  <c r="D3496" i="1"/>
  <c r="C3497" i="1"/>
  <c r="F3496" i="1"/>
  <c r="H3496" i="1" l="1"/>
  <c r="J3496" i="1" s="1"/>
  <c r="I3495" i="1"/>
  <c r="D3497" i="1"/>
  <c r="F3497" i="1"/>
  <c r="C3498" i="1"/>
  <c r="H3497" i="1" l="1"/>
  <c r="J3497" i="1" s="1"/>
  <c r="I3496" i="1"/>
  <c r="C3499" i="1"/>
  <c r="D3498" i="1"/>
  <c r="F3498" i="1"/>
  <c r="H3498" i="1" l="1"/>
  <c r="J3498" i="1" s="1"/>
  <c r="I3497" i="1"/>
  <c r="F3499" i="1"/>
  <c r="C3500" i="1"/>
  <c r="D3499" i="1"/>
  <c r="I3498" i="1" l="1"/>
  <c r="H3499" i="1"/>
  <c r="J3499" i="1" s="1"/>
  <c r="C3501" i="1"/>
  <c r="F3500" i="1"/>
  <c r="D3500" i="1"/>
  <c r="H3500" i="1" l="1"/>
  <c r="J3500" i="1" s="1"/>
  <c r="I3499" i="1"/>
  <c r="C3502" i="1"/>
  <c r="F3501" i="1"/>
  <c r="D3501" i="1"/>
  <c r="I3500" i="1" l="1"/>
  <c r="H3501" i="1"/>
  <c r="J3501" i="1" s="1"/>
  <c r="C3503" i="1"/>
  <c r="F3502" i="1"/>
  <c r="D3502" i="1"/>
  <c r="H3502" i="1" l="1"/>
  <c r="J3502" i="1" s="1"/>
  <c r="I3501" i="1"/>
  <c r="C3504" i="1"/>
  <c r="F3503" i="1"/>
  <c r="D3503" i="1"/>
  <c r="H3503" i="1" l="1"/>
  <c r="J3503" i="1" s="1"/>
  <c r="I3502" i="1"/>
  <c r="F3504" i="1"/>
  <c r="C3505" i="1"/>
  <c r="D3504" i="1"/>
  <c r="H3504" i="1" l="1"/>
  <c r="J3504" i="1" s="1"/>
  <c r="I3503" i="1"/>
  <c r="D3505" i="1"/>
  <c r="F3505" i="1"/>
  <c r="C3506" i="1"/>
  <c r="H3505" i="1" l="1"/>
  <c r="J3505" i="1" s="1"/>
  <c r="I3504" i="1"/>
  <c r="D3506" i="1"/>
  <c r="F3506" i="1"/>
  <c r="C3507" i="1"/>
  <c r="H3506" i="1" l="1"/>
  <c r="J3506" i="1" s="1"/>
  <c r="I3505" i="1"/>
  <c r="C3508" i="1"/>
  <c r="D3507" i="1"/>
  <c r="F3507" i="1"/>
  <c r="H3507" i="1" l="1"/>
  <c r="J3507" i="1" s="1"/>
  <c r="I3506" i="1"/>
  <c r="D3508" i="1"/>
  <c r="F3508" i="1"/>
  <c r="C3509" i="1"/>
  <c r="H3508" i="1" l="1"/>
  <c r="J3508" i="1" s="1"/>
  <c r="I3507" i="1"/>
  <c r="C3510" i="1"/>
  <c r="F3509" i="1"/>
  <c r="D3509" i="1"/>
  <c r="H3509" i="1" l="1"/>
  <c r="J3509" i="1" s="1"/>
  <c r="I3508" i="1"/>
  <c r="D3510" i="1"/>
  <c r="F3510" i="1"/>
  <c r="C3511" i="1"/>
  <c r="H3510" i="1" l="1"/>
  <c r="J3510" i="1" s="1"/>
  <c r="I3509" i="1"/>
  <c r="F3511" i="1"/>
  <c r="D3511" i="1"/>
  <c r="C3512" i="1"/>
  <c r="H3511" i="1" l="1"/>
  <c r="J3511" i="1" s="1"/>
  <c r="I3510" i="1"/>
  <c r="D3512" i="1"/>
  <c r="F3512" i="1"/>
  <c r="C3513" i="1"/>
  <c r="H3512" i="1" l="1"/>
  <c r="J3512" i="1" s="1"/>
  <c r="I3511" i="1"/>
  <c r="F3513" i="1"/>
  <c r="C3514" i="1"/>
  <c r="D3513" i="1"/>
  <c r="H3513" i="1" l="1"/>
  <c r="J3513" i="1" s="1"/>
  <c r="I3512" i="1"/>
  <c r="D3514" i="1"/>
  <c r="C3515" i="1"/>
  <c r="F3514" i="1"/>
  <c r="H3514" i="1" l="1"/>
  <c r="J3514" i="1" s="1"/>
  <c r="I3513" i="1"/>
  <c r="F3515" i="1"/>
  <c r="C3516" i="1"/>
  <c r="D3515" i="1"/>
  <c r="H3515" i="1" l="1"/>
  <c r="J3515" i="1" s="1"/>
  <c r="I3514" i="1"/>
  <c r="F3516" i="1"/>
  <c r="D3516" i="1"/>
  <c r="C3517" i="1"/>
  <c r="I3515" i="1" l="1"/>
  <c r="H3516" i="1"/>
  <c r="J3516" i="1" s="1"/>
  <c r="F3517" i="1"/>
  <c r="C3518" i="1"/>
  <c r="D3517" i="1"/>
  <c r="H3517" i="1" l="1"/>
  <c r="J3517" i="1" s="1"/>
  <c r="I3516" i="1"/>
  <c r="C3519" i="1"/>
  <c r="F3518" i="1"/>
  <c r="D3518" i="1"/>
  <c r="H3518" i="1" l="1"/>
  <c r="J3518" i="1" s="1"/>
  <c r="I3517" i="1"/>
  <c r="D3519" i="1"/>
  <c r="F3519" i="1"/>
  <c r="C3520" i="1"/>
  <c r="H3519" i="1" l="1"/>
  <c r="J3519" i="1" s="1"/>
  <c r="I3518" i="1"/>
  <c r="F3520" i="1"/>
  <c r="C3521" i="1"/>
  <c r="D3520" i="1"/>
  <c r="H3520" i="1" l="1"/>
  <c r="J3520" i="1" s="1"/>
  <c r="I3519" i="1"/>
  <c r="D3521" i="1"/>
  <c r="F3521" i="1"/>
  <c r="C3522" i="1"/>
  <c r="H3521" i="1" l="1"/>
  <c r="J3521" i="1" s="1"/>
  <c r="I3520" i="1"/>
  <c r="C3523" i="1"/>
  <c r="F3522" i="1"/>
  <c r="D3522" i="1"/>
  <c r="H3522" i="1" l="1"/>
  <c r="J3522" i="1" s="1"/>
  <c r="I3521" i="1"/>
  <c r="D3523" i="1"/>
  <c r="F3523" i="1"/>
  <c r="C3524" i="1"/>
  <c r="H3523" i="1" l="1"/>
  <c r="J3523" i="1" s="1"/>
  <c r="I3522" i="1"/>
  <c r="F3524" i="1"/>
  <c r="C3525" i="1"/>
  <c r="D3524" i="1"/>
  <c r="H3524" i="1" l="1"/>
  <c r="J3524" i="1" s="1"/>
  <c r="I3523" i="1"/>
  <c r="D3525" i="1"/>
  <c r="F3525" i="1"/>
  <c r="C3526" i="1"/>
  <c r="I3524" i="1" l="1"/>
  <c r="H3525" i="1"/>
  <c r="J3525" i="1" s="1"/>
  <c r="C3527" i="1"/>
  <c r="F3526" i="1"/>
  <c r="D3526" i="1"/>
  <c r="H3526" i="1" l="1"/>
  <c r="J3526" i="1" s="1"/>
  <c r="I3525" i="1"/>
  <c r="F3527" i="1"/>
  <c r="D3527" i="1"/>
  <c r="C3528" i="1"/>
  <c r="H3527" i="1" l="1"/>
  <c r="J3527" i="1" s="1"/>
  <c r="I3526" i="1"/>
  <c r="F3528" i="1"/>
  <c r="D3528" i="1"/>
  <c r="C3529" i="1"/>
  <c r="H3528" i="1" l="1"/>
  <c r="J3528" i="1" s="1"/>
  <c r="I3527" i="1"/>
  <c r="F3529" i="1"/>
  <c r="C3530" i="1"/>
  <c r="D3529" i="1"/>
  <c r="H3529" i="1" l="1"/>
  <c r="J3529" i="1" s="1"/>
  <c r="I3528" i="1"/>
  <c r="C3531" i="1"/>
  <c r="F3530" i="1"/>
  <c r="D3530" i="1"/>
  <c r="H3530" i="1" l="1"/>
  <c r="J3530" i="1" s="1"/>
  <c r="I3529" i="1"/>
  <c r="D3531" i="1"/>
  <c r="F3531" i="1"/>
  <c r="C3532" i="1"/>
  <c r="H3531" i="1" l="1"/>
  <c r="J3531" i="1" s="1"/>
  <c r="I3530" i="1"/>
  <c r="D3532" i="1"/>
  <c r="F3532" i="1"/>
  <c r="C3533" i="1"/>
  <c r="I3531" i="1" l="1"/>
  <c r="H3532" i="1"/>
  <c r="J3532" i="1" s="1"/>
  <c r="F3533" i="1"/>
  <c r="C3534" i="1"/>
  <c r="D3533" i="1"/>
  <c r="H3533" i="1" l="1"/>
  <c r="J3533" i="1" s="1"/>
  <c r="I3532" i="1"/>
  <c r="D3534" i="1"/>
  <c r="F3534" i="1"/>
  <c r="C3535" i="1"/>
  <c r="H3534" i="1" l="1"/>
  <c r="J3534" i="1" s="1"/>
  <c r="I3533" i="1"/>
  <c r="D3535" i="1"/>
  <c r="C3536" i="1"/>
  <c r="F3535" i="1"/>
  <c r="H3535" i="1" l="1"/>
  <c r="J3535" i="1" s="1"/>
  <c r="I3534" i="1"/>
  <c r="D3536" i="1"/>
  <c r="C3537" i="1"/>
  <c r="F3536" i="1"/>
  <c r="H3536" i="1" l="1"/>
  <c r="J3536" i="1" s="1"/>
  <c r="I3535" i="1"/>
  <c r="D3537" i="1"/>
  <c r="C3538" i="1"/>
  <c r="F3537" i="1"/>
  <c r="H3537" i="1" l="1"/>
  <c r="J3537" i="1" s="1"/>
  <c r="I3536" i="1"/>
  <c r="F3538" i="1"/>
  <c r="C3539" i="1"/>
  <c r="D3538" i="1"/>
  <c r="H3538" i="1" l="1"/>
  <c r="J3538" i="1" s="1"/>
  <c r="I3537" i="1"/>
  <c r="F3539" i="1"/>
  <c r="C3540" i="1"/>
  <c r="D3539" i="1"/>
  <c r="I3538" i="1" l="1"/>
  <c r="H3539" i="1"/>
  <c r="J3539" i="1" s="1"/>
  <c r="D3540" i="1"/>
  <c r="C3541" i="1"/>
  <c r="F3540" i="1"/>
  <c r="H3540" i="1" l="1"/>
  <c r="J3540" i="1" s="1"/>
  <c r="I3539" i="1"/>
  <c r="F3541" i="1"/>
  <c r="D3541" i="1"/>
  <c r="C3542" i="1"/>
  <c r="H3541" i="1" l="1"/>
  <c r="J3541" i="1" s="1"/>
  <c r="I3540" i="1"/>
  <c r="F3542" i="1"/>
  <c r="D3542" i="1"/>
  <c r="C3543" i="1"/>
  <c r="I3541" i="1" l="1"/>
  <c r="H3542" i="1"/>
  <c r="J3542" i="1" s="1"/>
  <c r="F3543" i="1"/>
  <c r="C3544" i="1"/>
  <c r="D3543" i="1"/>
  <c r="H3543" i="1" l="1"/>
  <c r="J3543" i="1" s="1"/>
  <c r="I3542" i="1"/>
  <c r="C3545" i="1"/>
  <c r="F3544" i="1"/>
  <c r="D3544" i="1"/>
  <c r="H3544" i="1" l="1"/>
  <c r="J3544" i="1" s="1"/>
  <c r="I3543" i="1"/>
  <c r="D3545" i="1"/>
  <c r="F3545" i="1"/>
  <c r="C3546" i="1"/>
  <c r="H3545" i="1" l="1"/>
  <c r="J3545" i="1" s="1"/>
  <c r="I3544" i="1"/>
  <c r="F3546" i="1"/>
  <c r="C3547" i="1"/>
  <c r="D3546" i="1"/>
  <c r="I3545" i="1" l="1"/>
  <c r="H3546" i="1"/>
  <c r="J3546" i="1" s="1"/>
  <c r="D3547" i="1"/>
  <c r="C3548" i="1"/>
  <c r="F3547" i="1"/>
  <c r="H3547" i="1" l="1"/>
  <c r="J3547" i="1" s="1"/>
  <c r="I3546" i="1"/>
  <c r="F3548" i="1"/>
  <c r="D3548" i="1"/>
  <c r="C3549" i="1"/>
  <c r="H3548" i="1" l="1"/>
  <c r="J3548" i="1" s="1"/>
  <c r="I3547" i="1"/>
  <c r="C3550" i="1"/>
  <c r="D3549" i="1"/>
  <c r="F3549" i="1"/>
  <c r="H3549" i="1" l="1"/>
  <c r="J3549" i="1" s="1"/>
  <c r="I3548" i="1"/>
  <c r="F3550" i="1"/>
  <c r="C3551" i="1"/>
  <c r="D3550" i="1"/>
  <c r="H3550" i="1" l="1"/>
  <c r="J3550" i="1" s="1"/>
  <c r="I3549" i="1"/>
  <c r="F3551" i="1"/>
  <c r="C3552" i="1"/>
  <c r="D3551" i="1"/>
  <c r="I3550" i="1" l="1"/>
  <c r="H3551" i="1"/>
  <c r="J3551" i="1" s="1"/>
  <c r="D3552" i="1"/>
  <c r="F3552" i="1"/>
  <c r="C3553" i="1"/>
  <c r="H3552" i="1" l="1"/>
  <c r="J3552" i="1" s="1"/>
  <c r="I3551" i="1"/>
  <c r="F3553" i="1"/>
  <c r="C3554" i="1"/>
  <c r="D3553" i="1"/>
  <c r="I3552" i="1" l="1"/>
  <c r="H3553" i="1"/>
  <c r="J3553" i="1" s="1"/>
  <c r="D3554" i="1"/>
  <c r="F3554" i="1"/>
  <c r="C3555" i="1"/>
  <c r="I3553" i="1" l="1"/>
  <c r="H3554" i="1"/>
  <c r="J3554" i="1" s="1"/>
  <c r="C3556" i="1"/>
  <c r="F3555" i="1"/>
  <c r="D3555" i="1"/>
  <c r="I3554" i="1" l="1"/>
  <c r="H3555" i="1"/>
  <c r="J3555" i="1" s="1"/>
  <c r="F3556" i="1"/>
  <c r="C3557" i="1"/>
  <c r="D3556" i="1"/>
  <c r="I3555" i="1" l="1"/>
  <c r="H3556" i="1"/>
  <c r="J3556" i="1" s="1"/>
  <c r="F3557" i="1"/>
  <c r="C3558" i="1"/>
  <c r="D3557" i="1"/>
  <c r="I3556" i="1" l="1"/>
  <c r="H3557" i="1"/>
  <c r="J3557" i="1" s="1"/>
  <c r="F3558" i="1"/>
  <c r="C3559" i="1"/>
  <c r="D3558" i="1"/>
  <c r="H3558" i="1" l="1"/>
  <c r="J3558" i="1" s="1"/>
  <c r="I3557" i="1"/>
  <c r="F3559" i="1"/>
  <c r="C3560" i="1"/>
  <c r="D3559" i="1"/>
  <c r="H3559" i="1" l="1"/>
  <c r="J3559" i="1" s="1"/>
  <c r="I3558" i="1"/>
  <c r="F3560" i="1"/>
  <c r="C3561" i="1"/>
  <c r="D3560" i="1"/>
  <c r="H3560" i="1" l="1"/>
  <c r="J3560" i="1" s="1"/>
  <c r="I3559" i="1"/>
  <c r="F3561" i="1"/>
  <c r="C3562" i="1"/>
  <c r="D3561" i="1"/>
  <c r="I3560" i="1" l="1"/>
  <c r="H3561" i="1"/>
  <c r="J3561" i="1" s="1"/>
  <c r="F3562" i="1"/>
  <c r="C3563" i="1"/>
  <c r="D3562" i="1"/>
  <c r="H3562" i="1" l="1"/>
  <c r="J3562" i="1" s="1"/>
  <c r="I3561" i="1"/>
  <c r="F3563" i="1"/>
  <c r="C3564" i="1"/>
  <c r="D3563" i="1"/>
  <c r="H3563" i="1" l="1"/>
  <c r="J3563" i="1" s="1"/>
  <c r="I3562" i="1"/>
  <c r="F3564" i="1"/>
  <c r="C3565" i="1"/>
  <c r="D3564" i="1"/>
  <c r="H3564" i="1" l="1"/>
  <c r="J3564" i="1" s="1"/>
  <c r="I3563" i="1"/>
  <c r="F3565" i="1"/>
  <c r="C3566" i="1"/>
  <c r="D3565" i="1"/>
  <c r="I3564" i="1" l="1"/>
  <c r="H3565" i="1"/>
  <c r="J3565" i="1" s="1"/>
  <c r="F3566" i="1"/>
  <c r="C3567" i="1"/>
  <c r="D3566" i="1"/>
  <c r="H3566" i="1" l="1"/>
  <c r="J3566" i="1" s="1"/>
  <c r="I3565" i="1"/>
  <c r="F3567" i="1"/>
  <c r="C3568" i="1"/>
  <c r="D3567" i="1"/>
  <c r="I3566" i="1" l="1"/>
  <c r="H3567" i="1"/>
  <c r="J3567" i="1" s="1"/>
  <c r="F3568" i="1"/>
  <c r="D3568" i="1"/>
  <c r="C3569" i="1"/>
  <c r="H3568" i="1" l="1"/>
  <c r="J3568" i="1" s="1"/>
  <c r="I3567" i="1"/>
  <c r="F3569" i="1"/>
  <c r="C3570" i="1"/>
  <c r="D3569" i="1"/>
  <c r="H3569" i="1" l="1"/>
  <c r="J3569" i="1" s="1"/>
  <c r="I3568" i="1"/>
  <c r="F3570" i="1"/>
  <c r="C3571" i="1"/>
  <c r="D3570" i="1"/>
  <c r="H3570" i="1" l="1"/>
  <c r="J3570" i="1" s="1"/>
  <c r="I3569" i="1"/>
  <c r="F3571" i="1"/>
  <c r="C3572" i="1"/>
  <c r="D3571" i="1"/>
  <c r="H3571" i="1" l="1"/>
  <c r="J3571" i="1" s="1"/>
  <c r="I3570" i="1"/>
  <c r="F3572" i="1"/>
  <c r="C3573" i="1"/>
  <c r="D3572" i="1"/>
  <c r="I3571" i="1" l="1"/>
  <c r="H3572" i="1"/>
  <c r="J3572" i="1" s="1"/>
  <c r="F3573" i="1"/>
  <c r="C3574" i="1"/>
  <c r="D3573" i="1"/>
  <c r="H3573" i="1" l="1"/>
  <c r="J3573" i="1" s="1"/>
  <c r="I3572" i="1"/>
  <c r="F3574" i="1"/>
  <c r="C3575" i="1"/>
  <c r="D3574" i="1"/>
  <c r="I3573" i="1" l="1"/>
  <c r="H3574" i="1"/>
  <c r="J3574" i="1" s="1"/>
  <c r="F3575" i="1"/>
  <c r="C3576" i="1"/>
  <c r="D3575" i="1"/>
  <c r="H3575" i="1" l="1"/>
  <c r="J3575" i="1" s="1"/>
  <c r="I3574" i="1"/>
  <c r="F3576" i="1"/>
  <c r="D3576" i="1"/>
  <c r="C3577" i="1"/>
  <c r="I3575" i="1" l="1"/>
  <c r="H3576" i="1"/>
  <c r="J3576" i="1" s="1"/>
  <c r="F3577" i="1"/>
  <c r="C3578" i="1"/>
  <c r="D3577" i="1"/>
  <c r="H3577" i="1" l="1"/>
  <c r="J3577" i="1" s="1"/>
  <c r="I3576" i="1"/>
  <c r="F3578" i="1"/>
  <c r="C3579" i="1"/>
  <c r="D3578" i="1"/>
  <c r="I3577" i="1" l="1"/>
  <c r="H3578" i="1"/>
  <c r="J3578" i="1" s="1"/>
  <c r="F3579" i="1"/>
  <c r="C3580" i="1"/>
  <c r="D3579" i="1"/>
  <c r="H3579" i="1" l="1"/>
  <c r="J3579" i="1" s="1"/>
  <c r="I3578" i="1"/>
  <c r="F3580" i="1"/>
  <c r="C3581" i="1"/>
  <c r="D3580" i="1"/>
  <c r="H3580" i="1" l="1"/>
  <c r="J3580" i="1" s="1"/>
  <c r="I3579" i="1"/>
  <c r="F3581" i="1"/>
  <c r="C3582" i="1"/>
  <c r="D3581" i="1"/>
  <c r="I3580" i="1" l="1"/>
  <c r="H3581" i="1"/>
  <c r="J3581" i="1" s="1"/>
  <c r="F3582" i="1"/>
  <c r="D3582" i="1"/>
  <c r="C3583" i="1"/>
  <c r="H3582" i="1" l="1"/>
  <c r="J3582" i="1" s="1"/>
  <c r="I3581" i="1"/>
  <c r="F3583" i="1"/>
  <c r="C3584" i="1"/>
  <c r="D3583" i="1"/>
  <c r="I3582" i="1" l="1"/>
  <c r="H3583" i="1"/>
  <c r="J3583" i="1" s="1"/>
  <c r="F3584" i="1"/>
  <c r="D3584" i="1"/>
  <c r="C3585" i="1"/>
  <c r="H3584" i="1" l="1"/>
  <c r="J3584" i="1" s="1"/>
  <c r="I3583" i="1"/>
  <c r="F3585" i="1"/>
  <c r="C3586" i="1"/>
  <c r="D3585" i="1"/>
  <c r="I3584" i="1" l="1"/>
  <c r="H3585" i="1"/>
  <c r="J3585" i="1" s="1"/>
  <c r="F3586" i="1"/>
  <c r="C3587" i="1"/>
  <c r="D3586" i="1"/>
  <c r="H3586" i="1" l="1"/>
  <c r="J3586" i="1" s="1"/>
  <c r="I3585" i="1"/>
  <c r="F3587" i="1"/>
  <c r="C3588" i="1"/>
  <c r="D3587" i="1"/>
  <c r="I3586" i="1" l="1"/>
  <c r="H3587" i="1"/>
  <c r="J3587" i="1" s="1"/>
  <c r="F3588" i="1"/>
  <c r="D3588" i="1"/>
  <c r="C3589" i="1"/>
  <c r="H3588" i="1" l="1"/>
  <c r="J3588" i="1" s="1"/>
  <c r="I3587" i="1"/>
  <c r="F3589" i="1"/>
  <c r="C3590" i="1"/>
  <c r="D3589" i="1"/>
  <c r="I3588" i="1" l="1"/>
  <c r="H3589" i="1"/>
  <c r="J3589" i="1" s="1"/>
  <c r="F3590" i="1"/>
  <c r="D3590" i="1"/>
  <c r="C3591" i="1"/>
  <c r="H3590" i="1" l="1"/>
  <c r="J3590" i="1" s="1"/>
  <c r="I3589" i="1"/>
  <c r="F3591" i="1"/>
  <c r="C3592" i="1"/>
  <c r="D3591" i="1"/>
  <c r="I3590" i="1" l="1"/>
  <c r="H3591" i="1"/>
  <c r="J3591" i="1" s="1"/>
  <c r="F3592" i="1"/>
  <c r="C3593" i="1"/>
  <c r="D3592" i="1"/>
  <c r="H3592" i="1" l="1"/>
  <c r="J3592" i="1" s="1"/>
  <c r="I3591" i="1"/>
  <c r="F3593" i="1"/>
  <c r="C3594" i="1"/>
  <c r="D3593" i="1"/>
  <c r="I3592" i="1" l="1"/>
  <c r="H3593" i="1"/>
  <c r="J3593" i="1" s="1"/>
  <c r="F3594" i="1"/>
  <c r="D3594" i="1"/>
  <c r="C3595" i="1"/>
  <c r="I3593" i="1" l="1"/>
  <c r="H3594" i="1"/>
  <c r="J3594" i="1" s="1"/>
  <c r="F3595" i="1"/>
  <c r="C3596" i="1"/>
  <c r="D3595" i="1"/>
  <c r="I3594" i="1" l="1"/>
  <c r="H3595" i="1"/>
  <c r="J3595" i="1" s="1"/>
  <c r="F3596" i="1"/>
  <c r="C3597" i="1"/>
  <c r="D3596" i="1"/>
  <c r="H3596" i="1" l="1"/>
  <c r="J3596" i="1" s="1"/>
  <c r="I3595" i="1"/>
  <c r="F3597" i="1"/>
  <c r="C3598" i="1"/>
  <c r="D3597" i="1"/>
  <c r="H3597" i="1" l="1"/>
  <c r="J3597" i="1" s="1"/>
  <c r="I3596" i="1"/>
  <c r="F3598" i="1"/>
  <c r="C3599" i="1"/>
  <c r="D3598" i="1"/>
  <c r="H3598" i="1" l="1"/>
  <c r="J3598" i="1" s="1"/>
  <c r="I3597" i="1"/>
  <c r="F3599" i="1"/>
  <c r="C3600" i="1"/>
  <c r="D3599" i="1"/>
  <c r="H3599" i="1" l="1"/>
  <c r="J3599" i="1" s="1"/>
  <c r="I3598" i="1"/>
  <c r="F3600" i="1"/>
  <c r="D3600" i="1"/>
  <c r="C3601" i="1"/>
  <c r="H3600" i="1" l="1"/>
  <c r="J3600" i="1" s="1"/>
  <c r="I3599" i="1"/>
  <c r="F3601" i="1"/>
  <c r="C3602" i="1"/>
  <c r="D3601" i="1"/>
  <c r="H3601" i="1" l="1"/>
  <c r="J3601" i="1" s="1"/>
  <c r="I3600" i="1"/>
  <c r="F3602" i="1"/>
  <c r="C3603" i="1"/>
  <c r="D3602" i="1"/>
  <c r="I3601" i="1" l="1"/>
  <c r="H3602" i="1"/>
  <c r="J3602" i="1" s="1"/>
  <c r="F3603" i="1"/>
  <c r="C3604" i="1"/>
  <c r="D3603" i="1"/>
  <c r="H3603" i="1" l="1"/>
  <c r="J3603" i="1" s="1"/>
  <c r="I3602" i="1"/>
  <c r="F3604" i="1"/>
  <c r="D3604" i="1"/>
  <c r="C3605" i="1"/>
  <c r="I3603" i="1" l="1"/>
  <c r="H3604" i="1"/>
  <c r="J3604" i="1" s="1"/>
  <c r="F3605" i="1"/>
  <c r="D3605" i="1"/>
  <c r="C3606" i="1"/>
  <c r="H3605" i="1" l="1"/>
  <c r="J3605" i="1" s="1"/>
  <c r="I3604" i="1"/>
  <c r="F3606" i="1"/>
  <c r="C3607" i="1"/>
  <c r="D3606" i="1"/>
  <c r="H3606" i="1" l="1"/>
  <c r="J3606" i="1" s="1"/>
  <c r="I3605" i="1"/>
  <c r="F3607" i="1"/>
  <c r="D3607" i="1"/>
  <c r="C3608" i="1"/>
  <c r="I3606" i="1" l="1"/>
  <c r="H3607" i="1"/>
  <c r="J3607" i="1" s="1"/>
  <c r="F3608" i="1"/>
  <c r="D3608" i="1"/>
  <c r="C3609" i="1"/>
  <c r="H3608" i="1" l="1"/>
  <c r="J3608" i="1" s="1"/>
  <c r="I3607" i="1"/>
  <c r="F3609" i="1"/>
  <c r="D3609" i="1"/>
  <c r="C3610" i="1"/>
  <c r="H3609" i="1" l="1"/>
  <c r="J3609" i="1" s="1"/>
  <c r="I3608" i="1"/>
  <c r="F3610" i="1"/>
  <c r="D3610" i="1"/>
  <c r="C3611" i="1"/>
  <c r="I3609" i="1" l="1"/>
  <c r="H3610" i="1"/>
  <c r="J3610" i="1" s="1"/>
  <c r="F3611" i="1"/>
  <c r="C3612" i="1"/>
  <c r="D3611" i="1"/>
  <c r="H3611" i="1" l="1"/>
  <c r="J3611" i="1" s="1"/>
  <c r="I3610" i="1"/>
  <c r="F3612" i="1"/>
  <c r="D3612" i="1"/>
  <c r="C3613" i="1"/>
  <c r="I3611" i="1" l="1"/>
  <c r="H3612" i="1"/>
  <c r="J3612" i="1" s="1"/>
  <c r="F3613" i="1"/>
  <c r="C3614" i="1"/>
  <c r="D3613" i="1"/>
  <c r="H3613" i="1" l="1"/>
  <c r="J3613" i="1" s="1"/>
  <c r="I3612" i="1"/>
  <c r="F3614" i="1"/>
  <c r="D3614" i="1"/>
  <c r="C3615" i="1"/>
  <c r="I3613" i="1" l="1"/>
  <c r="H3614" i="1"/>
  <c r="J3614" i="1" s="1"/>
  <c r="F3615" i="1"/>
  <c r="D3615" i="1"/>
  <c r="C3616" i="1"/>
  <c r="I3614" i="1" l="1"/>
  <c r="H3615" i="1"/>
  <c r="J3615" i="1" s="1"/>
  <c r="F3616" i="1"/>
  <c r="D3616" i="1"/>
  <c r="C3617" i="1"/>
  <c r="I3615" i="1" l="1"/>
  <c r="H3616" i="1"/>
  <c r="J3616" i="1" s="1"/>
  <c r="F3617" i="1"/>
  <c r="C3618" i="1"/>
  <c r="D3617" i="1"/>
  <c r="I3616" i="1" l="1"/>
  <c r="H3617" i="1"/>
  <c r="J3617" i="1" s="1"/>
  <c r="F3618" i="1"/>
  <c r="D3618" i="1"/>
  <c r="C3619" i="1"/>
  <c r="I3617" i="1" l="1"/>
  <c r="H3618" i="1"/>
  <c r="J3618" i="1" s="1"/>
  <c r="F3619" i="1"/>
  <c r="C3620" i="1"/>
  <c r="D3619" i="1"/>
  <c r="I3618" i="1" l="1"/>
  <c r="H3619" i="1"/>
  <c r="J3619" i="1" s="1"/>
  <c r="F3620" i="1"/>
  <c r="D3620" i="1"/>
  <c r="C3621" i="1"/>
  <c r="I3619" i="1" l="1"/>
  <c r="H3620" i="1"/>
  <c r="J3620" i="1" s="1"/>
  <c r="F3621" i="1"/>
  <c r="C3622" i="1"/>
  <c r="D3621" i="1"/>
  <c r="I3620" i="1" l="1"/>
  <c r="H3621" i="1"/>
  <c r="J3621" i="1" s="1"/>
  <c r="F3622" i="1"/>
  <c r="D3622" i="1"/>
  <c r="C3623" i="1"/>
  <c r="I3621" i="1" l="1"/>
  <c r="H3622" i="1"/>
  <c r="J3622" i="1" s="1"/>
  <c r="F3623" i="1"/>
  <c r="D3623" i="1"/>
  <c r="C3624" i="1"/>
  <c r="H3623" i="1" l="1"/>
  <c r="J3623" i="1" s="1"/>
  <c r="I3622" i="1"/>
  <c r="F3624" i="1"/>
  <c r="D3624" i="1"/>
  <c r="C3625" i="1"/>
  <c r="H3624" i="1" l="1"/>
  <c r="J3624" i="1" s="1"/>
  <c r="I3623" i="1"/>
  <c r="F3625" i="1"/>
  <c r="C3626" i="1"/>
  <c r="D3625" i="1"/>
  <c r="H3625" i="1" l="1"/>
  <c r="J3625" i="1" s="1"/>
  <c r="I3624" i="1"/>
  <c r="F3626" i="1"/>
  <c r="D3626" i="1"/>
  <c r="C3627" i="1"/>
  <c r="I3625" i="1" l="1"/>
  <c r="H3626" i="1"/>
  <c r="J3626" i="1" s="1"/>
  <c r="F3627" i="1"/>
  <c r="D3627" i="1"/>
  <c r="C3628" i="1"/>
  <c r="H3627" i="1" l="1"/>
  <c r="J3627" i="1" s="1"/>
  <c r="I3626" i="1"/>
  <c r="F3628" i="1"/>
  <c r="D3628" i="1"/>
  <c r="C3629" i="1"/>
  <c r="H3628" i="1" l="1"/>
  <c r="J3628" i="1" s="1"/>
  <c r="I3627" i="1"/>
  <c r="F3629" i="1"/>
  <c r="C3630" i="1"/>
  <c r="D3629" i="1"/>
  <c r="H3629" i="1" l="1"/>
  <c r="J3629" i="1" s="1"/>
  <c r="I3628" i="1"/>
  <c r="F3630" i="1"/>
  <c r="D3630" i="1"/>
  <c r="C3631" i="1"/>
  <c r="H3630" i="1" l="1"/>
  <c r="J3630" i="1" s="1"/>
  <c r="I3629" i="1"/>
  <c r="F3631" i="1"/>
  <c r="C3632" i="1"/>
  <c r="D3631" i="1"/>
  <c r="H3631" i="1" l="1"/>
  <c r="J3631" i="1" s="1"/>
  <c r="I3630" i="1"/>
  <c r="F3632" i="1"/>
  <c r="D3632" i="1"/>
  <c r="C3633" i="1"/>
  <c r="I3631" i="1" l="1"/>
  <c r="H3632" i="1"/>
  <c r="J3632" i="1" s="1"/>
  <c r="F3633" i="1"/>
  <c r="C3634" i="1"/>
  <c r="D3633" i="1"/>
  <c r="H3633" i="1" l="1"/>
  <c r="J3633" i="1" s="1"/>
  <c r="I3632" i="1"/>
  <c r="F3634" i="1"/>
  <c r="D3634" i="1"/>
  <c r="C3635" i="1"/>
  <c r="I3633" i="1" l="1"/>
  <c r="H3634" i="1"/>
  <c r="J3634" i="1" s="1"/>
  <c r="F3635" i="1"/>
  <c r="D3635" i="1"/>
  <c r="C3636" i="1"/>
  <c r="H3635" i="1" l="1"/>
  <c r="J3635" i="1" s="1"/>
  <c r="I3634" i="1"/>
  <c r="F3636" i="1"/>
  <c r="D3636" i="1"/>
  <c r="C3637" i="1"/>
  <c r="I3635" i="1" l="1"/>
  <c r="H3636" i="1"/>
  <c r="J3636" i="1" s="1"/>
  <c r="F3637" i="1"/>
  <c r="C3638" i="1"/>
  <c r="D3637" i="1"/>
  <c r="H3637" i="1" l="1"/>
  <c r="J3637" i="1" s="1"/>
  <c r="I3636" i="1"/>
  <c r="F3638" i="1"/>
  <c r="D3638" i="1"/>
  <c r="C3639" i="1"/>
  <c r="I3637" i="1" l="1"/>
  <c r="H3638" i="1"/>
  <c r="J3638" i="1" s="1"/>
  <c r="F3639" i="1"/>
  <c r="D3639" i="1"/>
  <c r="C3640" i="1"/>
  <c r="I3638" i="1" l="1"/>
  <c r="H3639" i="1"/>
  <c r="J3639" i="1" s="1"/>
  <c r="F3640" i="1"/>
  <c r="D3640" i="1"/>
  <c r="C3641" i="1"/>
  <c r="I3639" i="1" l="1"/>
  <c r="H3640" i="1"/>
  <c r="J3640" i="1" s="1"/>
  <c r="F3641" i="1"/>
  <c r="C3642" i="1"/>
  <c r="D3641" i="1"/>
  <c r="I3640" i="1" l="1"/>
  <c r="H3641" i="1"/>
  <c r="J3641" i="1" s="1"/>
  <c r="F3642" i="1"/>
  <c r="D3642" i="1"/>
  <c r="C3643" i="1"/>
  <c r="I3641" i="1" l="1"/>
  <c r="H3642" i="1"/>
  <c r="J3642" i="1" s="1"/>
  <c r="F3643" i="1"/>
  <c r="C3644" i="1"/>
  <c r="D3643" i="1"/>
  <c r="H3643" i="1" l="1"/>
  <c r="J3643" i="1" s="1"/>
  <c r="I3642" i="1"/>
  <c r="F3644" i="1"/>
  <c r="D3644" i="1"/>
  <c r="C3645" i="1"/>
  <c r="H3644" i="1" l="1"/>
  <c r="J3644" i="1" s="1"/>
  <c r="I3643" i="1"/>
  <c r="F3645" i="1"/>
  <c r="C3646" i="1"/>
  <c r="D3645" i="1"/>
  <c r="H3645" i="1" l="1"/>
  <c r="J3645" i="1" s="1"/>
  <c r="I3644" i="1"/>
  <c r="F3646" i="1"/>
  <c r="D3646" i="1"/>
  <c r="C3647" i="1"/>
  <c r="I3645" i="1" l="1"/>
  <c r="H3646" i="1"/>
  <c r="J3646" i="1" s="1"/>
  <c r="F3647" i="1"/>
  <c r="D3647" i="1"/>
  <c r="C3648" i="1"/>
  <c r="H3647" i="1" l="1"/>
  <c r="J3647" i="1" s="1"/>
  <c r="I3646" i="1"/>
  <c r="F3648" i="1"/>
  <c r="D3648" i="1"/>
  <c r="C3649" i="1"/>
  <c r="H3648" i="1" l="1"/>
  <c r="J3648" i="1" s="1"/>
  <c r="I3647" i="1"/>
  <c r="F3649" i="1"/>
  <c r="C3650" i="1"/>
  <c r="D3649" i="1"/>
  <c r="I3648" i="1" l="1"/>
  <c r="H3649" i="1"/>
  <c r="J3649" i="1" s="1"/>
  <c r="F3650" i="1"/>
  <c r="D3650" i="1"/>
  <c r="C3651" i="1"/>
  <c r="H3650" i="1" l="1"/>
  <c r="J3650" i="1" s="1"/>
  <c r="I3649" i="1"/>
  <c r="F3651" i="1"/>
  <c r="D3651" i="1"/>
  <c r="C3652" i="1"/>
  <c r="H3651" i="1" l="1"/>
  <c r="J3651" i="1" s="1"/>
  <c r="I3650" i="1"/>
  <c r="F3652" i="1"/>
  <c r="D3652" i="1"/>
  <c r="C3653" i="1"/>
  <c r="I3651" i="1" l="1"/>
  <c r="H3652" i="1"/>
  <c r="J3652" i="1" s="1"/>
  <c r="F3653" i="1"/>
  <c r="D3653" i="1"/>
  <c r="C3654" i="1"/>
  <c r="H3653" i="1" l="1"/>
  <c r="J3653" i="1" s="1"/>
  <c r="I3652" i="1"/>
  <c r="F3654" i="1"/>
  <c r="D3654" i="1"/>
  <c r="C3655" i="1"/>
  <c r="I3653" i="1" l="1"/>
  <c r="H3654" i="1"/>
  <c r="J3654" i="1" s="1"/>
  <c r="C3656" i="1"/>
  <c r="D3655" i="1"/>
  <c r="F3655" i="1"/>
  <c r="H3655" i="1" l="1"/>
  <c r="J3655" i="1" s="1"/>
  <c r="I3654" i="1"/>
  <c r="C3657" i="1"/>
  <c r="D3656" i="1"/>
  <c r="F3656" i="1"/>
  <c r="H3656" i="1" l="1"/>
  <c r="J3656" i="1" s="1"/>
  <c r="I3655" i="1"/>
  <c r="C3658" i="1"/>
  <c r="F3657" i="1"/>
  <c r="D3657" i="1"/>
  <c r="H3657" i="1" l="1"/>
  <c r="J3657" i="1" s="1"/>
  <c r="I3656" i="1"/>
  <c r="D3658" i="1"/>
  <c r="F3658" i="1"/>
  <c r="C3659" i="1"/>
  <c r="H3658" i="1" l="1"/>
  <c r="J3658" i="1" s="1"/>
  <c r="I3657" i="1"/>
  <c r="F3659" i="1"/>
  <c r="D3659" i="1"/>
  <c r="C3660" i="1"/>
  <c r="I3658" i="1" l="1"/>
  <c r="H3659" i="1"/>
  <c r="J3659" i="1" s="1"/>
  <c r="F3660" i="1"/>
  <c r="D3660" i="1"/>
  <c r="C3661" i="1"/>
  <c r="H3660" i="1" l="1"/>
  <c r="J3660" i="1" s="1"/>
  <c r="I3659" i="1"/>
  <c r="F3661" i="1"/>
  <c r="C3662" i="1"/>
  <c r="D3661" i="1"/>
  <c r="I3660" i="1" l="1"/>
  <c r="H3661" i="1"/>
  <c r="J3661" i="1" s="1"/>
  <c r="D3662" i="1"/>
  <c r="C3663" i="1"/>
  <c r="F3662" i="1"/>
  <c r="H3662" i="1" l="1"/>
  <c r="J3662" i="1" s="1"/>
  <c r="I3661" i="1"/>
  <c r="D3663" i="1"/>
  <c r="C3664" i="1"/>
  <c r="F3663" i="1"/>
  <c r="H3663" i="1" l="1"/>
  <c r="J3663" i="1" s="1"/>
  <c r="I3662" i="1"/>
  <c r="D3664" i="1"/>
  <c r="F3664" i="1"/>
  <c r="C3665" i="1"/>
  <c r="H3664" i="1" l="1"/>
  <c r="J3664" i="1" s="1"/>
  <c r="I3663" i="1"/>
  <c r="F3665" i="1"/>
  <c r="D3665" i="1"/>
  <c r="C3666" i="1"/>
  <c r="H3665" i="1" l="1"/>
  <c r="J3665" i="1" s="1"/>
  <c r="I3664" i="1"/>
  <c r="F3666" i="1"/>
  <c r="C3667" i="1"/>
  <c r="D3666" i="1"/>
  <c r="H3666" i="1" l="1"/>
  <c r="J3666" i="1" s="1"/>
  <c r="I3665" i="1"/>
  <c r="C3668" i="1"/>
  <c r="F3667" i="1"/>
  <c r="D3667" i="1"/>
  <c r="H3667" i="1" l="1"/>
  <c r="J3667" i="1" s="1"/>
  <c r="I3666" i="1"/>
  <c r="D3668" i="1"/>
  <c r="F3668" i="1"/>
  <c r="C3669" i="1"/>
  <c r="H3668" i="1" l="1"/>
  <c r="J3668" i="1" s="1"/>
  <c r="I3667" i="1"/>
  <c r="D3669" i="1"/>
  <c r="F3669" i="1"/>
  <c r="C3670" i="1"/>
  <c r="H3669" i="1" l="1"/>
  <c r="J3669" i="1" s="1"/>
  <c r="I3668" i="1"/>
  <c r="F3670" i="1"/>
  <c r="C3671" i="1"/>
  <c r="D3670" i="1"/>
  <c r="H3670" i="1" l="1"/>
  <c r="J3670" i="1" s="1"/>
  <c r="I3669" i="1"/>
  <c r="F3671" i="1"/>
  <c r="C3672" i="1"/>
  <c r="D3671" i="1"/>
  <c r="I3670" i="1" l="1"/>
  <c r="H3671" i="1"/>
  <c r="J3671" i="1" s="1"/>
  <c r="F3672" i="1"/>
  <c r="D3672" i="1"/>
  <c r="C3673" i="1"/>
  <c r="H3672" i="1" l="1"/>
  <c r="J3672" i="1" s="1"/>
  <c r="I3671" i="1"/>
  <c r="C3674" i="1"/>
  <c r="D3673" i="1"/>
  <c r="F3673" i="1"/>
  <c r="H3673" i="1" l="1"/>
  <c r="J3673" i="1" s="1"/>
  <c r="I3672" i="1"/>
  <c r="F3674" i="1"/>
  <c r="C3675" i="1"/>
  <c r="D3674" i="1"/>
  <c r="H3674" i="1" l="1"/>
  <c r="J3674" i="1" s="1"/>
  <c r="I3673" i="1"/>
  <c r="C3676" i="1"/>
  <c r="F3675" i="1"/>
  <c r="D3675" i="1"/>
  <c r="H3675" i="1" l="1"/>
  <c r="J3675" i="1" s="1"/>
  <c r="I3674" i="1"/>
  <c r="F3676" i="1"/>
  <c r="C3677" i="1"/>
  <c r="D3676" i="1"/>
  <c r="H3676" i="1" l="1"/>
  <c r="J3676" i="1" s="1"/>
  <c r="I3675" i="1"/>
  <c r="F3677" i="1"/>
  <c r="C3678" i="1"/>
  <c r="D3677" i="1"/>
  <c r="I3676" i="1" l="1"/>
  <c r="H3677" i="1"/>
  <c r="J3677" i="1" s="1"/>
  <c r="F3678" i="1"/>
  <c r="D3678" i="1"/>
  <c r="C3679" i="1"/>
  <c r="H3678" i="1" l="1"/>
  <c r="J3678" i="1" s="1"/>
  <c r="I3677" i="1"/>
  <c r="C3680" i="1"/>
  <c r="F3679" i="1"/>
  <c r="D3679" i="1"/>
  <c r="H3679" i="1" l="1"/>
  <c r="J3679" i="1" s="1"/>
  <c r="I3678" i="1"/>
  <c r="D3680" i="1"/>
  <c r="C3681" i="1"/>
  <c r="F3680" i="1"/>
  <c r="H3680" i="1" l="1"/>
  <c r="J3680" i="1" s="1"/>
  <c r="I3679" i="1"/>
  <c r="D3681" i="1"/>
  <c r="F3681" i="1"/>
  <c r="C3682" i="1"/>
  <c r="H3681" i="1" l="1"/>
  <c r="J3681" i="1" s="1"/>
  <c r="I3680" i="1"/>
  <c r="F3682" i="1"/>
  <c r="D3682" i="1"/>
  <c r="C3683" i="1"/>
  <c r="H3682" i="1" l="1"/>
  <c r="J3682" i="1" s="1"/>
  <c r="I3681" i="1"/>
  <c r="D3683" i="1"/>
  <c r="F3683" i="1"/>
  <c r="C3684" i="1"/>
  <c r="H3683" i="1" l="1"/>
  <c r="J3683" i="1" s="1"/>
  <c r="I3682" i="1"/>
  <c r="F3684" i="1"/>
  <c r="C3685" i="1"/>
  <c r="D3684" i="1"/>
  <c r="H3684" i="1" l="1"/>
  <c r="J3684" i="1" s="1"/>
  <c r="I3683" i="1"/>
  <c r="D3685" i="1"/>
  <c r="C3686" i="1"/>
  <c r="F3685" i="1"/>
  <c r="H3685" i="1" l="1"/>
  <c r="J3685" i="1" s="1"/>
  <c r="I3684" i="1"/>
  <c r="D3686" i="1"/>
  <c r="F3686" i="1"/>
  <c r="C3687" i="1"/>
  <c r="H3686" i="1" l="1"/>
  <c r="J3686" i="1" s="1"/>
  <c r="I3685" i="1"/>
  <c r="D3687" i="1"/>
  <c r="F3687" i="1"/>
  <c r="C3688" i="1"/>
  <c r="H3687" i="1" l="1"/>
  <c r="J3687" i="1" s="1"/>
  <c r="I3686" i="1"/>
  <c r="F3688" i="1"/>
  <c r="C3689" i="1"/>
  <c r="D3688" i="1"/>
  <c r="I3687" i="1" l="1"/>
  <c r="H3688" i="1"/>
  <c r="J3688" i="1" s="1"/>
  <c r="F3689" i="1"/>
  <c r="C3690" i="1"/>
  <c r="D3689" i="1"/>
  <c r="H3689" i="1" l="1"/>
  <c r="J3689" i="1" s="1"/>
  <c r="I3688" i="1"/>
  <c r="F3690" i="1"/>
  <c r="D3690" i="1"/>
  <c r="C3691" i="1"/>
  <c r="H3690" i="1" l="1"/>
  <c r="J3690" i="1" s="1"/>
  <c r="I3689" i="1"/>
  <c r="C3692" i="1"/>
  <c r="F3691" i="1"/>
  <c r="D3691" i="1"/>
  <c r="H3691" i="1" l="1"/>
  <c r="J3691" i="1" s="1"/>
  <c r="I3690" i="1"/>
  <c r="F3692" i="1"/>
  <c r="D3692" i="1"/>
  <c r="C3693" i="1"/>
  <c r="H3692" i="1" l="1"/>
  <c r="J3692" i="1" s="1"/>
  <c r="I3691" i="1"/>
  <c r="F3693" i="1"/>
  <c r="D3693" i="1"/>
  <c r="C3694" i="1"/>
  <c r="H3693" i="1" l="1"/>
  <c r="J3693" i="1" s="1"/>
  <c r="I3692" i="1"/>
  <c r="F3694" i="1"/>
  <c r="D3694" i="1"/>
  <c r="C3695" i="1"/>
  <c r="H3694" i="1" l="1"/>
  <c r="J3694" i="1" s="1"/>
  <c r="I3693" i="1"/>
  <c r="C3696" i="1"/>
  <c r="D3695" i="1"/>
  <c r="F3695" i="1"/>
  <c r="H3695" i="1" l="1"/>
  <c r="J3695" i="1" s="1"/>
  <c r="I3694" i="1"/>
  <c r="C3697" i="1"/>
  <c r="D3696" i="1"/>
  <c r="F3696" i="1"/>
  <c r="H3696" i="1" l="1"/>
  <c r="J3696" i="1" s="1"/>
  <c r="I3695" i="1"/>
  <c r="C3698" i="1"/>
  <c r="D3697" i="1"/>
  <c r="F3697" i="1"/>
  <c r="H3697" i="1" l="1"/>
  <c r="J3697" i="1" s="1"/>
  <c r="I3696" i="1"/>
  <c r="C3699" i="1"/>
  <c r="F3698" i="1"/>
  <c r="D3698" i="1"/>
  <c r="H3698" i="1" l="1"/>
  <c r="J3698" i="1" s="1"/>
  <c r="I3697" i="1"/>
  <c r="D3699" i="1"/>
  <c r="F3699" i="1"/>
  <c r="C3700" i="1"/>
  <c r="H3699" i="1" l="1"/>
  <c r="J3699" i="1" s="1"/>
  <c r="I3698" i="1"/>
  <c r="F3700" i="1"/>
  <c r="C3701" i="1"/>
  <c r="D3700" i="1"/>
  <c r="H3700" i="1" l="1"/>
  <c r="J3700" i="1" s="1"/>
  <c r="I3699" i="1"/>
  <c r="F3701" i="1"/>
  <c r="D3701" i="1"/>
  <c r="C3702" i="1"/>
  <c r="I3700" i="1" l="1"/>
  <c r="H3701" i="1"/>
  <c r="J3701" i="1" s="1"/>
  <c r="C3703" i="1"/>
  <c r="F3702" i="1"/>
  <c r="D3702" i="1"/>
  <c r="I3701" i="1" l="1"/>
  <c r="H3702" i="1"/>
  <c r="J3702" i="1" s="1"/>
  <c r="D3703" i="1"/>
  <c r="C3704" i="1"/>
  <c r="F3703" i="1"/>
  <c r="I3702" i="1" l="1"/>
  <c r="H3703" i="1"/>
  <c r="J3703" i="1" s="1"/>
  <c r="C3705" i="1"/>
  <c r="F3704" i="1"/>
  <c r="D3704" i="1"/>
  <c r="H3704" i="1" l="1"/>
  <c r="J3704" i="1" s="1"/>
  <c r="I3703" i="1"/>
  <c r="C3706" i="1"/>
  <c r="D3705" i="1"/>
  <c r="F3705" i="1"/>
  <c r="H3705" i="1" s="1"/>
  <c r="I3705" i="1" l="1"/>
  <c r="J3705" i="1"/>
  <c r="I3704" i="1"/>
  <c r="C3707" i="1"/>
  <c r="F3706" i="1"/>
  <c r="D3706" i="1"/>
  <c r="H3706" i="1" l="1"/>
  <c r="J3706" i="1" s="1"/>
  <c r="F3707" i="1"/>
  <c r="C3708" i="1"/>
  <c r="D3707" i="1"/>
  <c r="H3707" i="1" l="1"/>
  <c r="J3707" i="1" s="1"/>
  <c r="I3706" i="1"/>
  <c r="C3709" i="1"/>
  <c r="F3708" i="1"/>
  <c r="D3708" i="1"/>
  <c r="H3708" i="1" l="1"/>
  <c r="J3708" i="1" s="1"/>
  <c r="I3707" i="1"/>
  <c r="C3710" i="1"/>
  <c r="D3709" i="1"/>
  <c r="F3709" i="1"/>
  <c r="I3708" i="1" l="1"/>
  <c r="H3709" i="1"/>
  <c r="J3709" i="1" s="1"/>
  <c r="C3711" i="1"/>
  <c r="D3710" i="1"/>
  <c r="F3710" i="1"/>
  <c r="I3709" i="1" l="1"/>
  <c r="H3710" i="1"/>
  <c r="J3710" i="1" s="1"/>
  <c r="C3712" i="1"/>
  <c r="D3711" i="1"/>
  <c r="F3711" i="1"/>
  <c r="H3711" i="1" l="1"/>
  <c r="J3711" i="1" s="1"/>
  <c r="I3710" i="1"/>
  <c r="C3713" i="1"/>
  <c r="F3712" i="1"/>
  <c r="D3712" i="1"/>
  <c r="H3712" i="1" l="1"/>
  <c r="J3712" i="1" s="1"/>
  <c r="I3711" i="1"/>
  <c r="F3713" i="1"/>
  <c r="D3713" i="1"/>
  <c r="C3714" i="1"/>
  <c r="H3713" i="1" l="1"/>
  <c r="J3713" i="1" s="1"/>
  <c r="I3712" i="1"/>
  <c r="D3714" i="1"/>
  <c r="C3715" i="1"/>
  <c r="F3714" i="1"/>
  <c r="H3714" i="1" l="1"/>
  <c r="J3714" i="1" s="1"/>
  <c r="I3713" i="1"/>
  <c r="C3716" i="1"/>
  <c r="D3715" i="1"/>
  <c r="F3715" i="1"/>
  <c r="H3715" i="1" l="1"/>
  <c r="J3715" i="1" s="1"/>
  <c r="I3714" i="1"/>
  <c r="F3716" i="1"/>
  <c r="C3717" i="1"/>
  <c r="D3716" i="1"/>
  <c r="H3716" i="1" l="1"/>
  <c r="J3716" i="1" s="1"/>
  <c r="I3715" i="1"/>
  <c r="F3717" i="1"/>
  <c r="C3718" i="1"/>
  <c r="D3717" i="1"/>
  <c r="H3717" i="1" l="1"/>
  <c r="J3717" i="1" s="1"/>
  <c r="I3716" i="1"/>
  <c r="C3719" i="1"/>
  <c r="D3718" i="1"/>
  <c r="F3718" i="1"/>
  <c r="H3718" i="1" l="1"/>
  <c r="J3718" i="1" s="1"/>
  <c r="I3717" i="1"/>
  <c r="F3719" i="1"/>
  <c r="D3719" i="1"/>
  <c r="C3720" i="1"/>
  <c r="H3719" i="1" l="1"/>
  <c r="J3719" i="1" s="1"/>
  <c r="I3718" i="1"/>
  <c r="F3720" i="1"/>
  <c r="C3721" i="1"/>
  <c r="D3720" i="1"/>
  <c r="H3720" i="1" l="1"/>
  <c r="J3720" i="1" s="1"/>
  <c r="I3719" i="1"/>
  <c r="C3722" i="1"/>
  <c r="D3721" i="1"/>
  <c r="F3721" i="1"/>
  <c r="H3721" i="1" l="1"/>
  <c r="J3721" i="1" s="1"/>
  <c r="I3720" i="1"/>
  <c r="F3722" i="1"/>
  <c r="D3722" i="1"/>
  <c r="C3723" i="1"/>
  <c r="H3722" i="1" l="1"/>
  <c r="J3722" i="1" s="1"/>
  <c r="I3721" i="1"/>
  <c r="F3723" i="1"/>
  <c r="C3724" i="1"/>
  <c r="D3723" i="1"/>
  <c r="H3723" i="1" l="1"/>
  <c r="J3723" i="1" s="1"/>
  <c r="I3722" i="1"/>
  <c r="C3725" i="1"/>
  <c r="D3724" i="1"/>
  <c r="F3724" i="1"/>
  <c r="H3724" i="1" l="1"/>
  <c r="J3724" i="1" s="1"/>
  <c r="I3723" i="1"/>
  <c r="D3725" i="1"/>
  <c r="F3725" i="1"/>
  <c r="C3726" i="1"/>
  <c r="H3725" i="1" l="1"/>
  <c r="J3725" i="1" s="1"/>
  <c r="I3724" i="1"/>
  <c r="C3727" i="1"/>
  <c r="F3726" i="1"/>
  <c r="D3726" i="1"/>
  <c r="H3726" i="1" l="1"/>
  <c r="J3726" i="1" s="1"/>
  <c r="I3725" i="1"/>
  <c r="C3728" i="1"/>
  <c r="D3727" i="1"/>
  <c r="F3727" i="1"/>
  <c r="H3727" i="1" l="1"/>
  <c r="J3727" i="1" s="1"/>
  <c r="I3726" i="1"/>
  <c r="F3728" i="1"/>
  <c r="C3729" i="1"/>
  <c r="D3728" i="1"/>
  <c r="I3727" i="1" l="1"/>
  <c r="H3728" i="1"/>
  <c r="J3728" i="1" s="1"/>
  <c r="C3730" i="1"/>
  <c r="F3729" i="1"/>
  <c r="D3729" i="1"/>
  <c r="H3729" i="1" l="1"/>
  <c r="J3729" i="1" s="1"/>
  <c r="I3728" i="1"/>
  <c r="F3730" i="1"/>
  <c r="C3731" i="1"/>
  <c r="D3730" i="1"/>
  <c r="I3729" i="1" l="1"/>
  <c r="H3730" i="1"/>
  <c r="J3730" i="1" s="1"/>
  <c r="C3732" i="1"/>
  <c r="D3731" i="1"/>
  <c r="F3731" i="1"/>
  <c r="H3731" i="1" l="1"/>
  <c r="J3731" i="1" s="1"/>
  <c r="I3730" i="1"/>
  <c r="C3733" i="1"/>
  <c r="D3732" i="1"/>
  <c r="F3732" i="1"/>
  <c r="H3732" i="1" l="1"/>
  <c r="J3732" i="1" s="1"/>
  <c r="I3731" i="1"/>
  <c r="F3733" i="1"/>
  <c r="D3733" i="1"/>
  <c r="C3734" i="1"/>
  <c r="I3732" i="1" l="1"/>
  <c r="H3733" i="1"/>
  <c r="J3733" i="1" s="1"/>
  <c r="C3735" i="1"/>
  <c r="D3734" i="1"/>
  <c r="F3734" i="1"/>
  <c r="H3734" i="1" l="1"/>
  <c r="J3734" i="1" s="1"/>
  <c r="I3733" i="1"/>
  <c r="F3735" i="1"/>
  <c r="D3735" i="1"/>
  <c r="C3736" i="1"/>
  <c r="I3734" i="1" l="1"/>
  <c r="H3735" i="1"/>
  <c r="J3735" i="1" s="1"/>
  <c r="F3736" i="1"/>
  <c r="C3737" i="1"/>
  <c r="D3736" i="1"/>
  <c r="H3736" i="1" l="1"/>
  <c r="J3736" i="1" s="1"/>
  <c r="I3735" i="1"/>
  <c r="F3737" i="1"/>
  <c r="C3738" i="1"/>
  <c r="D3737" i="1"/>
  <c r="H3737" i="1" l="1"/>
  <c r="J3737" i="1" s="1"/>
  <c r="I3736" i="1"/>
  <c r="C3739" i="1"/>
  <c r="D3738" i="1"/>
  <c r="F3738" i="1"/>
  <c r="H3738" i="1" l="1"/>
  <c r="J3738" i="1" s="1"/>
  <c r="I3737" i="1"/>
  <c r="C3740" i="1"/>
  <c r="D3739" i="1"/>
  <c r="F3739" i="1"/>
  <c r="H3739" i="1" l="1"/>
  <c r="J3739" i="1" s="1"/>
  <c r="I3738" i="1"/>
  <c r="F3740" i="1"/>
  <c r="D3740" i="1"/>
  <c r="C3741" i="1"/>
  <c r="I3739" i="1" l="1"/>
  <c r="H3740" i="1"/>
  <c r="J3740" i="1" s="1"/>
  <c r="D3741" i="1"/>
  <c r="F3741" i="1"/>
  <c r="C3742" i="1"/>
  <c r="H3741" i="1" l="1"/>
  <c r="J3741" i="1" s="1"/>
  <c r="I3740" i="1"/>
  <c r="F3742" i="1"/>
  <c r="D3742" i="1"/>
  <c r="C3743" i="1"/>
  <c r="I3741" i="1" l="1"/>
  <c r="H3742" i="1"/>
  <c r="J3742" i="1" s="1"/>
  <c r="C3744" i="1"/>
  <c r="D3743" i="1"/>
  <c r="F3743" i="1"/>
  <c r="H3743" i="1" l="1"/>
  <c r="J3743" i="1" s="1"/>
  <c r="I3742" i="1"/>
  <c r="D3744" i="1"/>
  <c r="F3744" i="1"/>
  <c r="C3745" i="1"/>
  <c r="H3744" i="1" l="1"/>
  <c r="J3744" i="1" s="1"/>
  <c r="I3743" i="1"/>
  <c r="C3746" i="1"/>
  <c r="D3745" i="1"/>
  <c r="F3745" i="1"/>
  <c r="H3745" i="1" l="1"/>
  <c r="J3745" i="1" s="1"/>
  <c r="I3744" i="1"/>
  <c r="F3746" i="1"/>
  <c r="D3746" i="1"/>
  <c r="C3747" i="1"/>
  <c r="I3745" i="1" l="1"/>
  <c r="H3746" i="1"/>
  <c r="J3746" i="1" s="1"/>
  <c r="D3747" i="1"/>
  <c r="C3748" i="1"/>
  <c r="F3747" i="1"/>
  <c r="H3747" i="1" l="1"/>
  <c r="J3747" i="1" s="1"/>
  <c r="I3746" i="1"/>
  <c r="C3749" i="1"/>
  <c r="F3748" i="1"/>
  <c r="D3748" i="1"/>
  <c r="H3748" i="1" l="1"/>
  <c r="J3748" i="1" s="1"/>
  <c r="I3747" i="1"/>
  <c r="C3750" i="1"/>
  <c r="D3749" i="1"/>
  <c r="F3749" i="1"/>
  <c r="H3749" i="1" l="1"/>
  <c r="J3749" i="1" s="1"/>
  <c r="I3748" i="1"/>
  <c r="C3751" i="1"/>
  <c r="D3750" i="1"/>
  <c r="F3750" i="1"/>
  <c r="H3750" i="1" l="1"/>
  <c r="J3750" i="1" s="1"/>
  <c r="I3749" i="1"/>
  <c r="F3751" i="1"/>
  <c r="D3751" i="1"/>
  <c r="C3752" i="1"/>
  <c r="I3750" i="1" l="1"/>
  <c r="H3751" i="1"/>
  <c r="J3751" i="1" s="1"/>
  <c r="C3753" i="1"/>
  <c r="D3752" i="1"/>
  <c r="F3752" i="1"/>
  <c r="H3752" i="1" l="1"/>
  <c r="J3752" i="1" s="1"/>
  <c r="I3751" i="1"/>
  <c r="D3753" i="1"/>
  <c r="F3753" i="1"/>
  <c r="C3754" i="1"/>
  <c r="H3753" i="1" l="1"/>
  <c r="J3753" i="1" s="1"/>
  <c r="I3752" i="1"/>
  <c r="F3754" i="1"/>
  <c r="D3754" i="1"/>
  <c r="C3755" i="1"/>
  <c r="H3754" i="1" l="1"/>
  <c r="J3754" i="1" s="1"/>
  <c r="I3753" i="1"/>
  <c r="F3755" i="1"/>
  <c r="H3755" i="1" s="1"/>
  <c r="C3756" i="1"/>
  <c r="D3755" i="1"/>
  <c r="I3755" i="1" l="1"/>
  <c r="J3755" i="1"/>
  <c r="I3754" i="1"/>
  <c r="D3756" i="1"/>
  <c r="C3757" i="1"/>
  <c r="F3756" i="1"/>
  <c r="H3756" i="1" l="1"/>
  <c r="I3756" i="1" s="1"/>
  <c r="F3757" i="1"/>
  <c r="D3757" i="1"/>
  <c r="C3758" i="1"/>
  <c r="H3757" i="1" l="1"/>
  <c r="J3757" i="1" s="1"/>
  <c r="J3756" i="1"/>
  <c r="C3759" i="1"/>
  <c r="F3758" i="1"/>
  <c r="D3758" i="1"/>
  <c r="H3758" i="1" l="1"/>
  <c r="I3758" i="1" s="1"/>
  <c r="I3757" i="1"/>
  <c r="D3759" i="1"/>
  <c r="C3760" i="1"/>
  <c r="F3759" i="1"/>
  <c r="H3759" i="1" l="1"/>
  <c r="J3758" i="1"/>
  <c r="C3761" i="1"/>
  <c r="D3760" i="1"/>
  <c r="F3760" i="1"/>
  <c r="H3760" i="1" l="1"/>
  <c r="J3759" i="1"/>
  <c r="I3759" i="1"/>
  <c r="C3762" i="1"/>
  <c r="D3761" i="1"/>
  <c r="F3761" i="1"/>
  <c r="H3761" i="1" l="1"/>
  <c r="J3760" i="1"/>
  <c r="I3760" i="1"/>
  <c r="C3763" i="1"/>
  <c r="D3762" i="1"/>
  <c r="F3762" i="1"/>
  <c r="H3762" i="1" l="1"/>
  <c r="I3762" i="1" s="1"/>
  <c r="J3761" i="1"/>
  <c r="I3761" i="1"/>
  <c r="C3764" i="1"/>
  <c r="F3763" i="1"/>
  <c r="D3763" i="1"/>
  <c r="H3763" i="1" l="1"/>
  <c r="I3763" i="1" s="1"/>
  <c r="J3762" i="1"/>
  <c r="D3764" i="1"/>
  <c r="F3764" i="1"/>
  <c r="C3765" i="1"/>
  <c r="H3764" i="1" l="1"/>
  <c r="J3764" i="1" s="1"/>
  <c r="J3763" i="1"/>
  <c r="F3765" i="1"/>
  <c r="C3766" i="1"/>
  <c r="D3765" i="1"/>
  <c r="H3765" i="1" l="1"/>
  <c r="J3765" i="1" s="1"/>
  <c r="I3764" i="1"/>
  <c r="D3766" i="1"/>
  <c r="C3767" i="1"/>
  <c r="F3766" i="1"/>
  <c r="H3766" i="1" l="1"/>
  <c r="J3766" i="1" s="1"/>
  <c r="I3765" i="1"/>
  <c r="C3768" i="1"/>
  <c r="F3767" i="1"/>
  <c r="D3767" i="1"/>
  <c r="H3767" i="1" l="1"/>
  <c r="J3767" i="1" s="1"/>
  <c r="I3766" i="1"/>
  <c r="D3768" i="1"/>
  <c r="F3768" i="1"/>
  <c r="C3769" i="1"/>
  <c r="H3768" i="1" l="1"/>
  <c r="J3768" i="1" s="1"/>
  <c r="I3767" i="1"/>
  <c r="D3769" i="1"/>
  <c r="F3769" i="1"/>
  <c r="C3770" i="1"/>
  <c r="H3769" i="1" l="1"/>
  <c r="J3769" i="1" s="1"/>
  <c r="I3768" i="1"/>
  <c r="F3770" i="1"/>
  <c r="D3770" i="1"/>
  <c r="C3771" i="1"/>
  <c r="H3770" i="1" l="1"/>
  <c r="J3770" i="1" s="1"/>
  <c r="I3769" i="1"/>
  <c r="C3772" i="1"/>
  <c r="D3771" i="1"/>
  <c r="F3771" i="1"/>
  <c r="H3771" i="1" l="1"/>
  <c r="J3771" i="1" s="1"/>
  <c r="I3770" i="1"/>
  <c r="F3772" i="1"/>
  <c r="C3773" i="1"/>
  <c r="D3772" i="1"/>
  <c r="H3772" i="1" l="1"/>
  <c r="J3772" i="1" s="1"/>
  <c r="I3771" i="1"/>
  <c r="C3774" i="1"/>
  <c r="D3773" i="1"/>
  <c r="F3773" i="1"/>
  <c r="H3773" i="1" l="1"/>
  <c r="J3773" i="1" s="1"/>
  <c r="I3772" i="1"/>
  <c r="D3774" i="1"/>
  <c r="C3775" i="1"/>
  <c r="F3774" i="1"/>
  <c r="H3774" i="1" l="1"/>
  <c r="J3774" i="1" s="1"/>
  <c r="I3773" i="1"/>
  <c r="C3776" i="1"/>
  <c r="F3775" i="1"/>
  <c r="D3775" i="1"/>
  <c r="H3775" i="1" l="1"/>
  <c r="J3775" i="1" s="1"/>
  <c r="I3774" i="1"/>
  <c r="D3776" i="1"/>
  <c r="C3777" i="1"/>
  <c r="F3776" i="1"/>
  <c r="H3776" i="1" l="1"/>
  <c r="J3776" i="1" s="1"/>
  <c r="I3775" i="1"/>
  <c r="C3778" i="1"/>
  <c r="F3777" i="1"/>
  <c r="D3777" i="1"/>
  <c r="H3777" i="1" l="1"/>
  <c r="J3777" i="1" s="1"/>
  <c r="I3776" i="1"/>
  <c r="D3778" i="1"/>
  <c r="C3779" i="1"/>
  <c r="F3778" i="1"/>
  <c r="H3778" i="1" l="1"/>
  <c r="J3778" i="1" s="1"/>
  <c r="I3777" i="1"/>
  <c r="F3779" i="1"/>
  <c r="C3780" i="1"/>
  <c r="D3779" i="1"/>
  <c r="H3779" i="1" l="1"/>
  <c r="J3779" i="1" s="1"/>
  <c r="I3778" i="1"/>
  <c r="F3780" i="1"/>
  <c r="D3780" i="1"/>
  <c r="C3781" i="1"/>
  <c r="H3780" i="1" l="1"/>
  <c r="J3780" i="1" s="1"/>
  <c r="I3779" i="1"/>
  <c r="D3781" i="1"/>
  <c r="F3781" i="1"/>
  <c r="C3782" i="1"/>
  <c r="I3780" i="1" l="1"/>
  <c r="H3781" i="1"/>
  <c r="J3781" i="1" s="1"/>
  <c r="F3782" i="1"/>
  <c r="C3783" i="1"/>
  <c r="D3782" i="1"/>
  <c r="H3782" i="1" l="1"/>
  <c r="J3782" i="1" s="1"/>
  <c r="I3781" i="1"/>
  <c r="C3784" i="1"/>
  <c r="F3783" i="1"/>
  <c r="D3783" i="1"/>
  <c r="H3783" i="1" l="1"/>
  <c r="J3783" i="1" s="1"/>
  <c r="I3782" i="1"/>
  <c r="D3784" i="1"/>
  <c r="F3784" i="1"/>
  <c r="C3785" i="1"/>
  <c r="H3784" i="1" l="1"/>
  <c r="J3784" i="1" s="1"/>
  <c r="I3783" i="1"/>
  <c r="F3785" i="1"/>
  <c r="D3785" i="1"/>
  <c r="C3786" i="1"/>
  <c r="H3785" i="1" l="1"/>
  <c r="J3785" i="1" s="1"/>
  <c r="I3784" i="1"/>
  <c r="F3786" i="1"/>
  <c r="C3787" i="1"/>
  <c r="D3786" i="1"/>
  <c r="I3785" i="1" l="1"/>
  <c r="H3786" i="1"/>
  <c r="J3786" i="1" s="1"/>
  <c r="D3787" i="1"/>
  <c r="C3788" i="1"/>
  <c r="F3787" i="1"/>
  <c r="H3787" i="1" l="1"/>
  <c r="J3787" i="1" s="1"/>
  <c r="I3786" i="1"/>
  <c r="F3788" i="1"/>
  <c r="C3789" i="1"/>
  <c r="D3788" i="1"/>
  <c r="I3787" i="1" l="1"/>
  <c r="H3788" i="1"/>
  <c r="J3788" i="1" s="1"/>
  <c r="C3790" i="1"/>
  <c r="F3789" i="1"/>
  <c r="D3789" i="1"/>
  <c r="H3789" i="1" l="1"/>
  <c r="J3789" i="1" s="1"/>
  <c r="I3788" i="1"/>
  <c r="F3790" i="1"/>
  <c r="C3791" i="1"/>
  <c r="D3790" i="1"/>
  <c r="I3789" i="1" l="1"/>
  <c r="H3790" i="1"/>
  <c r="J3790" i="1" s="1"/>
  <c r="C3792" i="1"/>
  <c r="D3791" i="1"/>
  <c r="F3791" i="1"/>
  <c r="H3791" i="1" l="1"/>
  <c r="J3791" i="1" s="1"/>
  <c r="I3790" i="1"/>
  <c r="C3793" i="1"/>
  <c r="F3792" i="1"/>
  <c r="D3792" i="1"/>
  <c r="H3792" i="1" l="1"/>
  <c r="J3792" i="1" s="1"/>
  <c r="I3791" i="1"/>
  <c r="D3793" i="1"/>
  <c r="F3793" i="1"/>
  <c r="C3794" i="1"/>
  <c r="H3793" i="1" l="1"/>
  <c r="J3793" i="1" s="1"/>
  <c r="I3792" i="1"/>
  <c r="F3794" i="1"/>
  <c r="C3795" i="1"/>
  <c r="D3794" i="1"/>
  <c r="H3794" i="1" l="1"/>
  <c r="J3794" i="1" s="1"/>
  <c r="I3793" i="1"/>
  <c r="D3795" i="1"/>
  <c r="C3796" i="1"/>
  <c r="F3795" i="1"/>
  <c r="H3795" i="1" l="1"/>
  <c r="J3795" i="1" s="1"/>
  <c r="I3794" i="1"/>
  <c r="F3796" i="1"/>
  <c r="C3797" i="1"/>
  <c r="D3796" i="1"/>
  <c r="I3795" i="1" l="1"/>
  <c r="H3796" i="1"/>
  <c r="J3796" i="1" s="1"/>
  <c r="F3797" i="1"/>
  <c r="D3797" i="1"/>
  <c r="C3798" i="1"/>
  <c r="H3797" i="1" l="1"/>
  <c r="J3797" i="1" s="1"/>
  <c r="I3796" i="1"/>
  <c r="F3798" i="1"/>
  <c r="D3798" i="1"/>
  <c r="C3799" i="1"/>
  <c r="H3798" i="1" l="1"/>
  <c r="J3798" i="1" s="1"/>
  <c r="I3797" i="1"/>
  <c r="D3799" i="1"/>
  <c r="F3799" i="1"/>
  <c r="C3800" i="1"/>
  <c r="H3799" i="1" l="1"/>
  <c r="J3799" i="1" s="1"/>
  <c r="I3798" i="1"/>
  <c r="F3800" i="1"/>
  <c r="C3801" i="1"/>
  <c r="D3800" i="1"/>
  <c r="H3800" i="1" l="1"/>
  <c r="J3800" i="1" s="1"/>
  <c r="I3799" i="1"/>
  <c r="F3801" i="1"/>
  <c r="D3801" i="1"/>
  <c r="C3802" i="1"/>
  <c r="I3800" i="1" l="1"/>
  <c r="H3801" i="1"/>
  <c r="J3801" i="1" s="1"/>
  <c r="F3802" i="1"/>
  <c r="C3803" i="1"/>
  <c r="D3802" i="1"/>
  <c r="I3801" i="1" l="1"/>
  <c r="H3802" i="1"/>
  <c r="J3802" i="1" s="1"/>
  <c r="D3803" i="1"/>
  <c r="F3803" i="1"/>
  <c r="C3804" i="1"/>
  <c r="I3802" i="1" l="1"/>
  <c r="H3803" i="1"/>
  <c r="J3803" i="1" s="1"/>
  <c r="F3804" i="1"/>
  <c r="D3804" i="1"/>
  <c r="C3805" i="1"/>
  <c r="I3803" i="1" l="1"/>
  <c r="H3804" i="1"/>
  <c r="J3804" i="1" s="1"/>
  <c r="F3805" i="1"/>
  <c r="D3805" i="1"/>
  <c r="C3806" i="1"/>
  <c r="H3805" i="1" l="1"/>
  <c r="I3805" i="1" s="1"/>
  <c r="I3804" i="1"/>
  <c r="F3806" i="1"/>
  <c r="C3807" i="1"/>
  <c r="D3806" i="1"/>
  <c r="J3805" i="1" l="1"/>
  <c r="H3806" i="1"/>
  <c r="I3806" i="1" s="1"/>
  <c r="F3807" i="1"/>
  <c r="D3807" i="1"/>
  <c r="C3808" i="1"/>
  <c r="H3807" i="1" l="1"/>
  <c r="I3807" i="1" s="1"/>
  <c r="J3806" i="1"/>
  <c r="D3808" i="1"/>
  <c r="F3808" i="1"/>
  <c r="C3809" i="1"/>
  <c r="H3808" i="1" l="1"/>
  <c r="J3807" i="1"/>
  <c r="D3809" i="1"/>
  <c r="F3809" i="1"/>
  <c r="C3810" i="1"/>
  <c r="H3809" i="1" l="1"/>
  <c r="I3809" i="1" s="1"/>
  <c r="J3808" i="1"/>
  <c r="I3808" i="1"/>
  <c r="F3810" i="1"/>
  <c r="D3810" i="1"/>
  <c r="C3811" i="1"/>
  <c r="H3810" i="1" l="1"/>
  <c r="J3809" i="1"/>
  <c r="D3811" i="1"/>
  <c r="F3811" i="1"/>
  <c r="C3812" i="1"/>
  <c r="H3811" i="1" l="1"/>
  <c r="J3811" i="1" s="1"/>
  <c r="J3810" i="1"/>
  <c r="I3810" i="1"/>
  <c r="F3812" i="1"/>
  <c r="D3812" i="1"/>
  <c r="C3813" i="1"/>
  <c r="H3812" i="1" l="1"/>
  <c r="I3812" i="1" s="1"/>
  <c r="I3811" i="1"/>
  <c r="D3813" i="1"/>
  <c r="F3813" i="1"/>
  <c r="C3814" i="1"/>
  <c r="H3813" i="1" l="1"/>
  <c r="J3812" i="1"/>
  <c r="C3815" i="1"/>
  <c r="F3814" i="1"/>
  <c r="D3814" i="1"/>
  <c r="H3814" i="1" l="1"/>
  <c r="J3813" i="1"/>
  <c r="I3813" i="1"/>
  <c r="C3816" i="1"/>
  <c r="F3815" i="1"/>
  <c r="D3815" i="1"/>
  <c r="H3815" i="1" l="1"/>
  <c r="J3814" i="1"/>
  <c r="I3814" i="1"/>
  <c r="F3816" i="1"/>
  <c r="D3816" i="1"/>
  <c r="C3817" i="1"/>
  <c r="H3816" i="1" l="1"/>
  <c r="J3815" i="1"/>
  <c r="I3815" i="1"/>
  <c r="D3817" i="1"/>
  <c r="F3817" i="1"/>
  <c r="C3818" i="1"/>
  <c r="H3817" i="1" l="1"/>
  <c r="J3816" i="1"/>
  <c r="I3816" i="1"/>
  <c r="C3819" i="1"/>
  <c r="D3818" i="1"/>
  <c r="F3818" i="1"/>
  <c r="H3818" i="1" l="1"/>
  <c r="J3817" i="1"/>
  <c r="I3817" i="1"/>
  <c r="C3820" i="1"/>
  <c r="F3819" i="1"/>
  <c r="D3819" i="1"/>
  <c r="H3819" i="1" l="1"/>
  <c r="I3819" i="1" s="1"/>
  <c r="J3818" i="1"/>
  <c r="I3818" i="1"/>
  <c r="D3820" i="1"/>
  <c r="C3821" i="1"/>
  <c r="F3820" i="1"/>
  <c r="H3820" i="1" l="1"/>
  <c r="J3819" i="1"/>
  <c r="D3821" i="1"/>
  <c r="C3822" i="1"/>
  <c r="F3821" i="1"/>
  <c r="H3821" i="1" l="1"/>
  <c r="I3821" i="1" s="1"/>
  <c r="J3820" i="1"/>
  <c r="I3820" i="1"/>
  <c r="D3822" i="1"/>
  <c r="F3822" i="1"/>
  <c r="C3823" i="1"/>
  <c r="H3822" i="1" l="1"/>
  <c r="J3821" i="1"/>
  <c r="D3823" i="1"/>
  <c r="C3824" i="1"/>
  <c r="F3823" i="1"/>
  <c r="H3823" i="1" l="1"/>
  <c r="I3823" i="1" s="1"/>
  <c r="J3822" i="1"/>
  <c r="I3822" i="1"/>
  <c r="F3824" i="1"/>
  <c r="C3825" i="1"/>
  <c r="D3824" i="1"/>
  <c r="H3824" i="1" l="1"/>
  <c r="J3823" i="1"/>
  <c r="C3826" i="1"/>
  <c r="F3825" i="1"/>
  <c r="D3825" i="1"/>
  <c r="H3825" i="1" l="1"/>
  <c r="J3824" i="1"/>
  <c r="I3824" i="1"/>
  <c r="F3826" i="1"/>
  <c r="C3827" i="1"/>
  <c r="D3826" i="1"/>
  <c r="H3826" i="1" l="1"/>
  <c r="J3825" i="1"/>
  <c r="I3825" i="1"/>
  <c r="D3827" i="1"/>
  <c r="F3827" i="1"/>
  <c r="C3828" i="1"/>
  <c r="H3827" i="1" l="1"/>
  <c r="J3826" i="1"/>
  <c r="I3826" i="1"/>
  <c r="F3828" i="1"/>
  <c r="C3829" i="1"/>
  <c r="D3828" i="1"/>
  <c r="H3828" i="1" l="1"/>
  <c r="I3828" i="1" s="1"/>
  <c r="J3827" i="1"/>
  <c r="I3827" i="1"/>
  <c r="D3829" i="1"/>
  <c r="F3829" i="1"/>
  <c r="C3830" i="1"/>
  <c r="H3829" i="1" l="1"/>
  <c r="J3828" i="1"/>
  <c r="D3830" i="1"/>
  <c r="C3831" i="1"/>
  <c r="F3830" i="1"/>
  <c r="H3830" i="1" l="1"/>
  <c r="J3829" i="1"/>
  <c r="I3829" i="1"/>
  <c r="D3831" i="1"/>
  <c r="C3832" i="1"/>
  <c r="F3831" i="1"/>
  <c r="H3831" i="1" l="1"/>
  <c r="J3830" i="1"/>
  <c r="I3830" i="1"/>
  <c r="F3832" i="1"/>
  <c r="D3832" i="1"/>
  <c r="C3833" i="1"/>
  <c r="H3832" i="1" l="1"/>
  <c r="J3831" i="1"/>
  <c r="I3831" i="1"/>
  <c r="F3833" i="1"/>
  <c r="D3833" i="1"/>
  <c r="C3834" i="1"/>
  <c r="H3833" i="1" l="1"/>
  <c r="J3832" i="1"/>
  <c r="I3832" i="1"/>
  <c r="F3834" i="1"/>
  <c r="C3835" i="1"/>
  <c r="D3834" i="1"/>
  <c r="H3834" i="1" l="1"/>
  <c r="J3833" i="1"/>
  <c r="I3833" i="1"/>
  <c r="C3836" i="1"/>
  <c r="F3835" i="1"/>
  <c r="D3835" i="1"/>
  <c r="H3835" i="1" l="1"/>
  <c r="J3834" i="1"/>
  <c r="I3834" i="1"/>
  <c r="F3836" i="1"/>
  <c r="D3836" i="1"/>
  <c r="C3837" i="1"/>
  <c r="H3836" i="1" l="1"/>
  <c r="I3836" i="1" s="1"/>
  <c r="J3835" i="1"/>
  <c r="I3835" i="1"/>
  <c r="C3838" i="1"/>
  <c r="F3837" i="1"/>
  <c r="D3837" i="1"/>
  <c r="H3837" i="1" l="1"/>
  <c r="J3836" i="1"/>
  <c r="F3838" i="1"/>
  <c r="D3838" i="1"/>
  <c r="C3839" i="1"/>
  <c r="H3838" i="1" l="1"/>
  <c r="J3837" i="1"/>
  <c r="I3837" i="1"/>
  <c r="D3839" i="1"/>
  <c r="F3839" i="1"/>
  <c r="C3840" i="1"/>
  <c r="H3839" i="1" l="1"/>
  <c r="J3838" i="1"/>
  <c r="I3838" i="1"/>
  <c r="C3841" i="1"/>
  <c r="F3840" i="1"/>
  <c r="D3840" i="1"/>
  <c r="H3840" i="1" l="1"/>
  <c r="J3839" i="1"/>
  <c r="I3839" i="1"/>
  <c r="C3842" i="1"/>
  <c r="F3841" i="1"/>
  <c r="D3841" i="1"/>
  <c r="H3841" i="1" l="1"/>
  <c r="J3840" i="1"/>
  <c r="I3840" i="1"/>
  <c r="D3842" i="1"/>
  <c r="F3842" i="1"/>
  <c r="C3843" i="1"/>
  <c r="H3842" i="1" l="1"/>
  <c r="J3841" i="1"/>
  <c r="I3841" i="1"/>
  <c r="F3843" i="1"/>
  <c r="D3843" i="1"/>
  <c r="C3844" i="1"/>
  <c r="H3843" i="1" l="1"/>
  <c r="J3842" i="1"/>
  <c r="I3842" i="1"/>
  <c r="F3844" i="1"/>
  <c r="C3845" i="1"/>
  <c r="D3844" i="1"/>
  <c r="H3844" i="1" l="1"/>
  <c r="J3843" i="1"/>
  <c r="I3843" i="1"/>
  <c r="D3845" i="1"/>
  <c r="C3846" i="1"/>
  <c r="F3845" i="1"/>
  <c r="H3845" i="1" l="1"/>
  <c r="I3845" i="1" s="1"/>
  <c r="J3844" i="1"/>
  <c r="I3844" i="1"/>
  <c r="F3846" i="1"/>
  <c r="C3847" i="1"/>
  <c r="D3846" i="1"/>
  <c r="H3846" i="1" l="1"/>
  <c r="J3845" i="1"/>
  <c r="D3847" i="1"/>
  <c r="F3847" i="1"/>
  <c r="C3848" i="1"/>
  <c r="H3847" i="1" l="1"/>
  <c r="I3847" i="1" s="1"/>
  <c r="J3846" i="1"/>
  <c r="I3846" i="1"/>
  <c r="F3848" i="1"/>
  <c r="C3849" i="1"/>
  <c r="D3848" i="1"/>
  <c r="H3848" i="1" l="1"/>
  <c r="J3847" i="1"/>
  <c r="C3850" i="1"/>
  <c r="D3849" i="1"/>
  <c r="F3849" i="1"/>
  <c r="H3849" i="1" l="1"/>
  <c r="J3848" i="1"/>
  <c r="I3848" i="1"/>
  <c r="F3850" i="1"/>
  <c r="C3851" i="1"/>
  <c r="D3850" i="1"/>
  <c r="H3850" i="1" l="1"/>
  <c r="J3849" i="1"/>
  <c r="I3849" i="1"/>
  <c r="D3851" i="1"/>
  <c r="F3851" i="1"/>
  <c r="C3852" i="1"/>
  <c r="H3851" i="1" l="1"/>
  <c r="J3850" i="1"/>
  <c r="I3850" i="1"/>
  <c r="C3853" i="1"/>
  <c r="F3852" i="1"/>
  <c r="D3852" i="1"/>
  <c r="H3852" i="1" l="1"/>
  <c r="I3852" i="1" s="1"/>
  <c r="J3851" i="1"/>
  <c r="I3851" i="1"/>
  <c r="C3854" i="1"/>
  <c r="F3853" i="1"/>
  <c r="D3853" i="1"/>
  <c r="H3853" i="1" l="1"/>
  <c r="J3852" i="1"/>
  <c r="F3854" i="1"/>
  <c r="D3854" i="1"/>
  <c r="C3855" i="1"/>
  <c r="H3854" i="1" l="1"/>
  <c r="I3854" i="1" s="1"/>
  <c r="J3853" i="1"/>
  <c r="I3853" i="1"/>
  <c r="F3855" i="1"/>
  <c r="C3856" i="1"/>
  <c r="D3855" i="1"/>
  <c r="H3855" i="1" l="1"/>
  <c r="J3854" i="1"/>
  <c r="F3856" i="1"/>
  <c r="D3856" i="1"/>
  <c r="C3857" i="1"/>
  <c r="H3856" i="1" l="1"/>
  <c r="J3855" i="1"/>
  <c r="I3855" i="1"/>
  <c r="F3857" i="1"/>
  <c r="C3858" i="1"/>
  <c r="D3857" i="1"/>
  <c r="H3857" i="1" l="1"/>
  <c r="J3856" i="1"/>
  <c r="I3856" i="1"/>
  <c r="F3858" i="1"/>
  <c r="D3858" i="1"/>
  <c r="C3859" i="1"/>
  <c r="H3858" i="1" l="1"/>
  <c r="J3857" i="1"/>
  <c r="I3857" i="1"/>
  <c r="C3860" i="1"/>
  <c r="D3859" i="1"/>
  <c r="F3859" i="1"/>
  <c r="H3859" i="1" l="1"/>
  <c r="I3859" i="1" s="1"/>
  <c r="J3858" i="1"/>
  <c r="I3858" i="1"/>
  <c r="F3860" i="1"/>
  <c r="C3861" i="1"/>
  <c r="D3860" i="1"/>
  <c r="H3860" i="1" l="1"/>
  <c r="J3859" i="1"/>
  <c r="F3861" i="1"/>
  <c r="C3862" i="1"/>
  <c r="D3861" i="1"/>
  <c r="H3861" i="1" l="1"/>
  <c r="I3861" i="1" s="1"/>
  <c r="J3860" i="1"/>
  <c r="I3860" i="1"/>
  <c r="F3862" i="1"/>
  <c r="C3863" i="1"/>
  <c r="D3862" i="1"/>
  <c r="H3862" i="1" l="1"/>
  <c r="I3862" i="1" s="1"/>
  <c r="J3861" i="1"/>
  <c r="F3863" i="1"/>
  <c r="D3863" i="1"/>
  <c r="C3864" i="1"/>
  <c r="H3863" i="1" l="1"/>
  <c r="I3863" i="1" s="1"/>
  <c r="J3862" i="1"/>
  <c r="C3865" i="1"/>
  <c r="F3864" i="1"/>
  <c r="D3864" i="1"/>
  <c r="H3864" i="1" l="1"/>
  <c r="J3863" i="1"/>
  <c r="F3865" i="1"/>
  <c r="D3865" i="1"/>
  <c r="C3866" i="1"/>
  <c r="H3865" i="1" l="1"/>
  <c r="J3864" i="1"/>
  <c r="I3864" i="1"/>
  <c r="C3867" i="1"/>
  <c r="F3866" i="1"/>
  <c r="D3866" i="1"/>
  <c r="H3866" i="1" l="1"/>
  <c r="J3865" i="1"/>
  <c r="I3865" i="1"/>
  <c r="F3867" i="1"/>
  <c r="C3868" i="1"/>
  <c r="D3867" i="1"/>
  <c r="H3867" i="1" l="1"/>
  <c r="J3866" i="1"/>
  <c r="I3866" i="1"/>
  <c r="F3868" i="1"/>
  <c r="C3869" i="1"/>
  <c r="D3868" i="1"/>
  <c r="H3868" i="1" l="1"/>
  <c r="J3867" i="1"/>
  <c r="I3867" i="1"/>
  <c r="D3869" i="1"/>
  <c r="F3869" i="1"/>
  <c r="C3870" i="1"/>
  <c r="H3869" i="1" l="1"/>
  <c r="I3869" i="1" s="1"/>
  <c r="J3868" i="1"/>
  <c r="I3868" i="1"/>
  <c r="F3870" i="1"/>
  <c r="C3871" i="1"/>
  <c r="D3870" i="1"/>
  <c r="H3870" i="1" l="1"/>
  <c r="I3870" i="1" s="1"/>
  <c r="J3869" i="1"/>
  <c r="F3871" i="1"/>
  <c r="C3872" i="1"/>
  <c r="D3871" i="1"/>
  <c r="H3871" i="1" l="1"/>
  <c r="I3871" i="1" s="1"/>
  <c r="J3870" i="1"/>
  <c r="F3872" i="1"/>
  <c r="C3873" i="1"/>
  <c r="D3872" i="1"/>
  <c r="H3872" i="1" l="1"/>
  <c r="J3871" i="1"/>
  <c r="F3873" i="1"/>
  <c r="C3874" i="1"/>
  <c r="D3873" i="1"/>
  <c r="H3873" i="1" l="1"/>
  <c r="J3872" i="1"/>
  <c r="I3872" i="1"/>
  <c r="F3874" i="1"/>
  <c r="C3875" i="1"/>
  <c r="D3874" i="1"/>
  <c r="H3874" i="1" l="1"/>
  <c r="J3873" i="1"/>
  <c r="I3873" i="1"/>
  <c r="F3875" i="1"/>
  <c r="C3876" i="1"/>
  <c r="D3875" i="1"/>
  <c r="H3875" i="1" l="1"/>
  <c r="J3874" i="1"/>
  <c r="I3874" i="1"/>
  <c r="F3876" i="1"/>
  <c r="D3876" i="1"/>
  <c r="C3877" i="1"/>
  <c r="H3876" i="1" l="1"/>
  <c r="J3875" i="1"/>
  <c r="I3875" i="1"/>
  <c r="D3877" i="1"/>
  <c r="C3878" i="1"/>
  <c r="F3877" i="1"/>
  <c r="H3877" i="1" l="1"/>
  <c r="I3877" i="1" s="1"/>
  <c r="J3876" i="1"/>
  <c r="I3876" i="1"/>
  <c r="F3878" i="1"/>
  <c r="D3878" i="1"/>
  <c r="C3879" i="1"/>
  <c r="H3878" i="1" l="1"/>
  <c r="J3877" i="1"/>
  <c r="F3879" i="1"/>
  <c r="C3880" i="1"/>
  <c r="D3879" i="1"/>
  <c r="H3879" i="1" l="1"/>
  <c r="I3879" i="1" s="1"/>
  <c r="J3878" i="1"/>
  <c r="I3878" i="1"/>
  <c r="F3880" i="1"/>
  <c r="D3880" i="1"/>
  <c r="C3881" i="1"/>
  <c r="H3880" i="1" l="1"/>
  <c r="J3879" i="1"/>
  <c r="F3881" i="1"/>
  <c r="D3881" i="1"/>
  <c r="C3882" i="1"/>
  <c r="H3881" i="1" l="1"/>
  <c r="J3880" i="1"/>
  <c r="I3880" i="1"/>
  <c r="C3883" i="1"/>
  <c r="D3882" i="1"/>
  <c r="F3882" i="1"/>
  <c r="H3882" i="1" l="1"/>
  <c r="J3881" i="1"/>
  <c r="I3881" i="1"/>
  <c r="F3883" i="1"/>
  <c r="C3884" i="1"/>
  <c r="D3883" i="1"/>
  <c r="H3883" i="1" l="1"/>
  <c r="J3882" i="1"/>
  <c r="I3882" i="1"/>
  <c r="F3884" i="1"/>
  <c r="D3884" i="1"/>
  <c r="C3885" i="1"/>
  <c r="H3884" i="1" l="1"/>
  <c r="I3884" i="1" s="1"/>
  <c r="J3883" i="1"/>
  <c r="I3883" i="1"/>
  <c r="D3885" i="1"/>
  <c r="C3886" i="1"/>
  <c r="F3885" i="1"/>
  <c r="H3885" i="1" l="1"/>
  <c r="J3884" i="1"/>
  <c r="F3886" i="1"/>
  <c r="D3886" i="1"/>
  <c r="C3887" i="1"/>
  <c r="H3886" i="1" l="1"/>
  <c r="I3886" i="1" s="1"/>
  <c r="J3885" i="1"/>
  <c r="I3885" i="1"/>
  <c r="F3887" i="1"/>
  <c r="C3888" i="1"/>
  <c r="D3887" i="1"/>
  <c r="H3887" i="1" l="1"/>
  <c r="I3887" i="1" s="1"/>
  <c r="J3886" i="1"/>
  <c r="C3889" i="1"/>
  <c r="F3888" i="1"/>
  <c r="D3888" i="1"/>
  <c r="H3888" i="1" l="1"/>
  <c r="I3888" i="1" s="1"/>
  <c r="J3887" i="1"/>
  <c r="F3889" i="1"/>
  <c r="D3889" i="1"/>
  <c r="C3890" i="1"/>
  <c r="H3889" i="1" l="1"/>
  <c r="J3888" i="1"/>
  <c r="C3891" i="1"/>
  <c r="D3890" i="1"/>
  <c r="F3890" i="1"/>
  <c r="H3890" i="1" l="1"/>
  <c r="J3889" i="1"/>
  <c r="I3889" i="1"/>
  <c r="F3891" i="1"/>
  <c r="D3891" i="1"/>
  <c r="C3892" i="1"/>
  <c r="H3891" i="1" l="1"/>
  <c r="J3890" i="1"/>
  <c r="I3890" i="1"/>
  <c r="C3893" i="1"/>
  <c r="D3892" i="1"/>
  <c r="F3892" i="1"/>
  <c r="H3892" i="1" l="1"/>
  <c r="J3891" i="1"/>
  <c r="I3891" i="1"/>
  <c r="C3894" i="1"/>
  <c r="D3893" i="1"/>
  <c r="F3893" i="1"/>
  <c r="H3893" i="1" l="1"/>
  <c r="J3892" i="1"/>
  <c r="I3892" i="1"/>
  <c r="F3894" i="1"/>
  <c r="D3894" i="1"/>
  <c r="C3895" i="1"/>
  <c r="H3894" i="1" l="1"/>
  <c r="I3894" i="1" s="1"/>
  <c r="J3893" i="1"/>
  <c r="I3893" i="1"/>
  <c r="F3895" i="1"/>
  <c r="C3896" i="1"/>
  <c r="D3895" i="1"/>
  <c r="H3895" i="1" l="1"/>
  <c r="I3895" i="1" s="1"/>
  <c r="J3894" i="1"/>
  <c r="F3896" i="1"/>
  <c r="C3897" i="1"/>
  <c r="D3896" i="1"/>
  <c r="H3896" i="1" l="1"/>
  <c r="I3896" i="1" s="1"/>
  <c r="J3895" i="1"/>
  <c r="F3897" i="1"/>
  <c r="C3898" i="1"/>
  <c r="D3897" i="1"/>
  <c r="H3897" i="1" l="1"/>
  <c r="J3896" i="1"/>
  <c r="F3898" i="1"/>
  <c r="C3899" i="1"/>
  <c r="D3898" i="1"/>
  <c r="H3898" i="1" l="1"/>
  <c r="J3897" i="1"/>
  <c r="I3897" i="1"/>
  <c r="F3899" i="1"/>
  <c r="D3899" i="1"/>
  <c r="C3900" i="1"/>
  <c r="H3899" i="1" l="1"/>
  <c r="J3898" i="1"/>
  <c r="I3898" i="1"/>
  <c r="D3900" i="1"/>
  <c r="C3901" i="1"/>
  <c r="F3900" i="1"/>
  <c r="H3900" i="1" l="1"/>
  <c r="J3899" i="1"/>
  <c r="I3899" i="1"/>
  <c r="F3901" i="1"/>
  <c r="D3901" i="1"/>
  <c r="C3902" i="1"/>
  <c r="H3901" i="1" l="1"/>
  <c r="J3900" i="1"/>
  <c r="I3900" i="1"/>
  <c r="D3902" i="1"/>
  <c r="F3902" i="1"/>
  <c r="C3903" i="1"/>
  <c r="H3902" i="1" l="1"/>
  <c r="I3902" i="1" s="1"/>
  <c r="J3901" i="1"/>
  <c r="I3901" i="1"/>
  <c r="C3904" i="1"/>
  <c r="F3903" i="1"/>
  <c r="D3903" i="1"/>
  <c r="H3903" i="1" l="1"/>
  <c r="I3903" i="1" s="1"/>
  <c r="J3902" i="1"/>
  <c r="D3904" i="1"/>
  <c r="C3905" i="1"/>
  <c r="F3904" i="1"/>
  <c r="H3904" i="1" l="1"/>
  <c r="I3904" i="1" s="1"/>
  <c r="J3903" i="1"/>
  <c r="C3906" i="1"/>
  <c r="F3905" i="1"/>
  <c r="D3905" i="1"/>
  <c r="H3905" i="1" l="1"/>
  <c r="J3904" i="1"/>
  <c r="F3906" i="1"/>
  <c r="C3907" i="1"/>
  <c r="D3906" i="1"/>
  <c r="H3906" i="1" l="1"/>
  <c r="J3905" i="1"/>
  <c r="I3905" i="1"/>
  <c r="F3907" i="1"/>
  <c r="C3908" i="1"/>
  <c r="D3907" i="1"/>
  <c r="H3907" i="1" l="1"/>
  <c r="J3906" i="1"/>
  <c r="I3906" i="1"/>
  <c r="D3908" i="1"/>
  <c r="C3909" i="1"/>
  <c r="F3908" i="1"/>
  <c r="H3908" i="1" l="1"/>
  <c r="J3907" i="1"/>
  <c r="I3907" i="1"/>
  <c r="F3909" i="1"/>
  <c r="D3909" i="1"/>
  <c r="C3910" i="1"/>
  <c r="H3909" i="1" l="1"/>
  <c r="J3908" i="1"/>
  <c r="I3908" i="1"/>
  <c r="F3910" i="1"/>
  <c r="C3911" i="1"/>
  <c r="D3910" i="1"/>
  <c r="H3910" i="1" l="1"/>
  <c r="I3910" i="1" s="1"/>
  <c r="J3909" i="1"/>
  <c r="I3909" i="1"/>
  <c r="C3912" i="1"/>
  <c r="F3911" i="1"/>
  <c r="D3911" i="1"/>
  <c r="H3911" i="1" l="1"/>
  <c r="J3910" i="1"/>
  <c r="F3912" i="1"/>
  <c r="D3912" i="1"/>
  <c r="C3913" i="1"/>
  <c r="H3912" i="1" l="1"/>
  <c r="I3912" i="1" s="1"/>
  <c r="J3911" i="1"/>
  <c r="I3911" i="1"/>
  <c r="F3913" i="1"/>
  <c r="C3914" i="1"/>
  <c r="D3913" i="1"/>
  <c r="H3913" i="1" l="1"/>
  <c r="I3913" i="1" s="1"/>
  <c r="J3912" i="1"/>
  <c r="F3914" i="1"/>
  <c r="C3915" i="1"/>
  <c r="D3914" i="1"/>
  <c r="H3914" i="1" l="1"/>
  <c r="J3913" i="1"/>
  <c r="F3915" i="1"/>
  <c r="D3915" i="1"/>
  <c r="C3916" i="1"/>
  <c r="H3915" i="1" l="1"/>
  <c r="J3914" i="1"/>
  <c r="I3914" i="1"/>
  <c r="F3916" i="1"/>
  <c r="D3916" i="1"/>
  <c r="C3917" i="1"/>
  <c r="H3916" i="1" l="1"/>
  <c r="J3915" i="1"/>
  <c r="I3915" i="1"/>
  <c r="F3917" i="1"/>
  <c r="C3918" i="1"/>
  <c r="D3917" i="1"/>
  <c r="H3917" i="1" l="1"/>
  <c r="I3917" i="1" s="1"/>
  <c r="J3916" i="1"/>
  <c r="I3916" i="1"/>
  <c r="F3918" i="1"/>
  <c r="C3919" i="1"/>
  <c r="D3918" i="1"/>
  <c r="H3918" i="1" l="1"/>
  <c r="I3918" i="1" s="1"/>
  <c r="J3917" i="1"/>
  <c r="F3919" i="1"/>
  <c r="C3920" i="1"/>
  <c r="D3919" i="1"/>
  <c r="H3919" i="1" l="1"/>
  <c r="I3919" i="1" s="1"/>
  <c r="J3918" i="1"/>
  <c r="C3921" i="1"/>
  <c r="D3920" i="1"/>
  <c r="F3920" i="1"/>
  <c r="H3920" i="1" l="1"/>
  <c r="J3919" i="1"/>
  <c r="F3921" i="1"/>
  <c r="C3922" i="1"/>
  <c r="D3921" i="1"/>
  <c r="H3921" i="1" l="1"/>
  <c r="J3920" i="1"/>
  <c r="I3920" i="1"/>
  <c r="C3923" i="1"/>
  <c r="D3922" i="1"/>
  <c r="F3922" i="1"/>
  <c r="H3922" i="1" l="1"/>
  <c r="J3921" i="1"/>
  <c r="I3921" i="1"/>
  <c r="D3923" i="1"/>
  <c r="F3923" i="1"/>
  <c r="C3924" i="1"/>
  <c r="H3923" i="1" l="1"/>
  <c r="J3922" i="1"/>
  <c r="I3922" i="1"/>
  <c r="F3924" i="1"/>
  <c r="C3925" i="1"/>
  <c r="D3924" i="1"/>
  <c r="H3924" i="1" l="1"/>
  <c r="J3923" i="1"/>
  <c r="I3923" i="1"/>
  <c r="C3926" i="1"/>
  <c r="D3925" i="1"/>
  <c r="F3925" i="1"/>
  <c r="H3925" i="1" l="1"/>
  <c r="I3925" i="1" s="1"/>
  <c r="J3924" i="1"/>
  <c r="I3924" i="1"/>
  <c r="F3926" i="1"/>
  <c r="D3926" i="1"/>
  <c r="C3927" i="1"/>
  <c r="H3926" i="1" l="1"/>
  <c r="J3925" i="1"/>
  <c r="F3927" i="1"/>
  <c r="C3928" i="1"/>
  <c r="D3927" i="1"/>
  <c r="H3927" i="1" l="1"/>
  <c r="I3927" i="1" s="1"/>
  <c r="J3926" i="1"/>
  <c r="I3926" i="1"/>
  <c r="F3928" i="1"/>
  <c r="C3929" i="1"/>
  <c r="D3928" i="1"/>
  <c r="H3928" i="1" l="1"/>
  <c r="J3927" i="1"/>
  <c r="F3929" i="1"/>
  <c r="C3930" i="1"/>
  <c r="D3929" i="1"/>
  <c r="H3929" i="1" l="1"/>
  <c r="J3928" i="1"/>
  <c r="I3928" i="1"/>
  <c r="C3931" i="1"/>
  <c r="D3930" i="1"/>
  <c r="F3930" i="1"/>
  <c r="H3930" i="1" l="1"/>
  <c r="J3929" i="1"/>
  <c r="I3929" i="1"/>
  <c r="F3931" i="1"/>
  <c r="C3932" i="1"/>
  <c r="D3931" i="1"/>
  <c r="H3931" i="1" l="1"/>
  <c r="I3931" i="1" s="1"/>
  <c r="J3930" i="1"/>
  <c r="I3930" i="1"/>
  <c r="F3932" i="1"/>
  <c r="C3933" i="1"/>
  <c r="D3932" i="1"/>
  <c r="H3932" i="1" l="1"/>
  <c r="J3931" i="1"/>
  <c r="F3933" i="1"/>
  <c r="D3933" i="1"/>
  <c r="C3934" i="1"/>
  <c r="H3933" i="1" l="1"/>
  <c r="J3932" i="1"/>
  <c r="I3932" i="1"/>
  <c r="F3934" i="1"/>
  <c r="C3935" i="1"/>
  <c r="D3934" i="1"/>
  <c r="H3934" i="1" l="1"/>
  <c r="J3933" i="1"/>
  <c r="I3933" i="1"/>
  <c r="C3936" i="1"/>
  <c r="F3935" i="1"/>
  <c r="D3935" i="1"/>
  <c r="H3935" i="1" l="1"/>
  <c r="I3935" i="1" s="1"/>
  <c r="J3934" i="1"/>
  <c r="I3934" i="1"/>
  <c r="D3936" i="1"/>
  <c r="C3937" i="1"/>
  <c r="F3936" i="1"/>
  <c r="H3936" i="1" l="1"/>
  <c r="I3936" i="1" s="1"/>
  <c r="J3935" i="1"/>
  <c r="D3937" i="1"/>
  <c r="C3938" i="1"/>
  <c r="F3937" i="1"/>
  <c r="H3937" i="1" l="1"/>
  <c r="J3936" i="1"/>
  <c r="C3939" i="1"/>
  <c r="F3938" i="1"/>
  <c r="D3938" i="1"/>
  <c r="H3938" i="1" l="1"/>
  <c r="J3937" i="1"/>
  <c r="I3937" i="1"/>
  <c r="D3939" i="1"/>
  <c r="C3940" i="1"/>
  <c r="F3939" i="1"/>
  <c r="H3939" i="1" l="1"/>
  <c r="J3938" i="1"/>
  <c r="I3938" i="1"/>
  <c r="F3940" i="1"/>
  <c r="C3941" i="1"/>
  <c r="D3940" i="1"/>
  <c r="H3940" i="1" l="1"/>
  <c r="J3939" i="1"/>
  <c r="I3939" i="1"/>
  <c r="F3941" i="1"/>
  <c r="D3941" i="1"/>
  <c r="C3942" i="1"/>
  <c r="H3941" i="1" l="1"/>
  <c r="J3940" i="1"/>
  <c r="I3940" i="1"/>
  <c r="F3942" i="1"/>
  <c r="D3942" i="1"/>
  <c r="C3943" i="1"/>
  <c r="H3942" i="1" l="1"/>
  <c r="J3941" i="1"/>
  <c r="I3941" i="1"/>
  <c r="F3943" i="1"/>
  <c r="D3943" i="1"/>
  <c r="C3944" i="1"/>
  <c r="H3943" i="1" l="1"/>
  <c r="J3942" i="1"/>
  <c r="I3942" i="1"/>
  <c r="F3944" i="1"/>
  <c r="D3944" i="1"/>
  <c r="C3945" i="1"/>
  <c r="H3944" i="1" l="1"/>
  <c r="I3944" i="1" s="1"/>
  <c r="J3943" i="1"/>
  <c r="I3943" i="1"/>
  <c r="F3945" i="1"/>
  <c r="C3946" i="1"/>
  <c r="D3945" i="1"/>
  <c r="H3945" i="1" l="1"/>
  <c r="I3945" i="1" s="1"/>
  <c r="J3944" i="1"/>
  <c r="F3946" i="1"/>
  <c r="C3947" i="1"/>
  <c r="D3946" i="1"/>
  <c r="H3946" i="1" l="1"/>
  <c r="I3946" i="1" s="1"/>
  <c r="J3945" i="1"/>
  <c r="F3947" i="1"/>
  <c r="C3948" i="1"/>
  <c r="D3947" i="1"/>
  <c r="H3947" i="1" l="1"/>
  <c r="I3947" i="1" s="1"/>
  <c r="J3946" i="1"/>
  <c r="F3948" i="1"/>
  <c r="C3949" i="1"/>
  <c r="D3948" i="1"/>
  <c r="H3948" i="1" l="1"/>
  <c r="J3947" i="1"/>
  <c r="C3950" i="1"/>
  <c r="D3949" i="1"/>
  <c r="F3949" i="1"/>
  <c r="H3949" i="1" l="1"/>
  <c r="J3948" i="1"/>
  <c r="I3948" i="1"/>
  <c r="F3950" i="1"/>
  <c r="C3951" i="1"/>
  <c r="D3950" i="1"/>
  <c r="H3950" i="1" l="1"/>
  <c r="J3949" i="1"/>
  <c r="I3949" i="1"/>
  <c r="F3951" i="1"/>
  <c r="C3952" i="1"/>
  <c r="D3951" i="1"/>
  <c r="H3951" i="1" l="1"/>
  <c r="J3950" i="1"/>
  <c r="I3950" i="1"/>
  <c r="F3952" i="1"/>
  <c r="C3953" i="1"/>
  <c r="D3952" i="1"/>
  <c r="H3952" i="1" l="1"/>
  <c r="J3951" i="1"/>
  <c r="I3951" i="1"/>
  <c r="F3953" i="1"/>
  <c r="C3954" i="1"/>
  <c r="D3953" i="1"/>
  <c r="H3953" i="1" l="1"/>
  <c r="J3952" i="1"/>
  <c r="I3952" i="1"/>
  <c r="C3955" i="1"/>
  <c r="F3954" i="1"/>
  <c r="D3954" i="1"/>
  <c r="H3954" i="1" l="1"/>
  <c r="J3953" i="1"/>
  <c r="I3953" i="1"/>
  <c r="D3955" i="1"/>
  <c r="C3956" i="1"/>
  <c r="F3955" i="1"/>
  <c r="H3955" i="1" l="1"/>
  <c r="I3955" i="1" s="1"/>
  <c r="J3954" i="1"/>
  <c r="I3954" i="1"/>
  <c r="C3957" i="1"/>
  <c r="D3956" i="1"/>
  <c r="F3956" i="1"/>
  <c r="H3956" i="1" l="1"/>
  <c r="J3955" i="1"/>
  <c r="F3957" i="1"/>
  <c r="D3957" i="1"/>
  <c r="C3958" i="1"/>
  <c r="H3957" i="1" l="1"/>
  <c r="I3957" i="1" s="1"/>
  <c r="J3956" i="1"/>
  <c r="I3956" i="1"/>
  <c r="D3958" i="1"/>
  <c r="F3958" i="1"/>
  <c r="C3959" i="1"/>
  <c r="H3958" i="1" l="1"/>
  <c r="J3957" i="1"/>
  <c r="F3959" i="1"/>
  <c r="D3959" i="1"/>
  <c r="C3960" i="1"/>
  <c r="H3959" i="1" l="1"/>
  <c r="J3958" i="1"/>
  <c r="I3958" i="1"/>
  <c r="F3960" i="1"/>
  <c r="D3960" i="1"/>
  <c r="C3961" i="1"/>
  <c r="H3960" i="1" l="1"/>
  <c r="J3959" i="1"/>
  <c r="I3959" i="1"/>
  <c r="F3961" i="1"/>
  <c r="D3961" i="1"/>
  <c r="C3962" i="1"/>
  <c r="H3961" i="1" l="1"/>
  <c r="J3960" i="1"/>
  <c r="I3960" i="1"/>
  <c r="D3962" i="1"/>
  <c r="F3962" i="1"/>
  <c r="C3963" i="1"/>
  <c r="H3962" i="1" l="1"/>
  <c r="I3962" i="1" s="1"/>
  <c r="J3961" i="1"/>
  <c r="I3961" i="1"/>
  <c r="D3963" i="1"/>
  <c r="C3964" i="1"/>
  <c r="F3963" i="1"/>
  <c r="H3963" i="1" l="1"/>
  <c r="J3962" i="1"/>
  <c r="C3965" i="1"/>
  <c r="D3964" i="1"/>
  <c r="F3964" i="1"/>
  <c r="H3964" i="1" l="1"/>
  <c r="J3963" i="1"/>
  <c r="I3963" i="1"/>
  <c r="F3965" i="1"/>
  <c r="D3965" i="1"/>
  <c r="C3966" i="1"/>
  <c r="H3965" i="1" l="1"/>
  <c r="J3964" i="1"/>
  <c r="I3964" i="1"/>
  <c r="D3966" i="1"/>
  <c r="C3967" i="1"/>
  <c r="F3966" i="1"/>
  <c r="H3966" i="1" l="1"/>
  <c r="J3965" i="1"/>
  <c r="I3965" i="1"/>
  <c r="F3967" i="1"/>
  <c r="D3967" i="1"/>
  <c r="C3968" i="1"/>
  <c r="H3967" i="1" l="1"/>
  <c r="J3966" i="1"/>
  <c r="I3966" i="1"/>
  <c r="C3969" i="1"/>
  <c r="F3968" i="1"/>
  <c r="D3968" i="1"/>
  <c r="H3968" i="1" l="1"/>
  <c r="J3967" i="1"/>
  <c r="I3967" i="1"/>
  <c r="F3969" i="1"/>
  <c r="C3970" i="1"/>
  <c r="D3969" i="1"/>
  <c r="H3969" i="1" l="1"/>
  <c r="J3968" i="1"/>
  <c r="I3968" i="1"/>
  <c r="C3971" i="1"/>
  <c r="D3970" i="1"/>
  <c r="F3970" i="1"/>
  <c r="H3970" i="1" l="1"/>
  <c r="I3970" i="1" s="1"/>
  <c r="J3969" i="1"/>
  <c r="I3969" i="1"/>
  <c r="F3971" i="1"/>
  <c r="C3972" i="1"/>
  <c r="D3971" i="1"/>
  <c r="H3971" i="1" l="1"/>
  <c r="I3971" i="1" s="1"/>
  <c r="J3970" i="1"/>
  <c r="C3973" i="1"/>
  <c r="D3972" i="1"/>
  <c r="F3972" i="1"/>
  <c r="H3972" i="1" l="1"/>
  <c r="J3971" i="1"/>
  <c r="F3973" i="1"/>
  <c r="C3974" i="1"/>
  <c r="D3973" i="1"/>
  <c r="H3973" i="1" l="1"/>
  <c r="J3972" i="1"/>
  <c r="I3972" i="1"/>
  <c r="C3975" i="1"/>
  <c r="F3974" i="1"/>
  <c r="D3974" i="1"/>
  <c r="H3974" i="1" l="1"/>
  <c r="J3973" i="1"/>
  <c r="I3973" i="1"/>
  <c r="F3975" i="1"/>
  <c r="D3975" i="1"/>
  <c r="C3976" i="1"/>
  <c r="H3975" i="1" l="1"/>
  <c r="J3974" i="1"/>
  <c r="I3974" i="1"/>
  <c r="F3976" i="1"/>
  <c r="C3977" i="1"/>
  <c r="D3976" i="1"/>
  <c r="H3976" i="1" l="1"/>
  <c r="J3975" i="1"/>
  <c r="I3975" i="1"/>
  <c r="F3977" i="1"/>
  <c r="D3977" i="1"/>
  <c r="C3978" i="1"/>
  <c r="H3977" i="1" l="1"/>
  <c r="J3976" i="1"/>
  <c r="I3976" i="1"/>
  <c r="C3979" i="1"/>
  <c r="D3978" i="1"/>
  <c r="F3978" i="1"/>
  <c r="H3978" i="1" l="1"/>
  <c r="I3978" i="1" s="1"/>
  <c r="J3977" i="1"/>
  <c r="I3977" i="1"/>
  <c r="F3979" i="1"/>
  <c r="C3980" i="1"/>
  <c r="D3979" i="1"/>
  <c r="H3979" i="1" l="1"/>
  <c r="J3978" i="1"/>
  <c r="F3980" i="1"/>
  <c r="C3981" i="1"/>
  <c r="D3980" i="1"/>
  <c r="H3980" i="1" l="1"/>
  <c r="I3980" i="1" s="1"/>
  <c r="J3979" i="1"/>
  <c r="I3979" i="1"/>
  <c r="C3982" i="1"/>
  <c r="F3981" i="1"/>
  <c r="D3981" i="1"/>
  <c r="H3981" i="1" l="1"/>
  <c r="J3980" i="1"/>
  <c r="F3982" i="1"/>
  <c r="D3982" i="1"/>
  <c r="C3983" i="1"/>
  <c r="H3982" i="1" l="1"/>
  <c r="J3981" i="1"/>
  <c r="I3981" i="1"/>
  <c r="C3984" i="1"/>
  <c r="D3983" i="1"/>
  <c r="F3983" i="1"/>
  <c r="H3983" i="1" l="1"/>
  <c r="J3982" i="1"/>
  <c r="I3982" i="1"/>
  <c r="F3984" i="1"/>
  <c r="D3984" i="1"/>
  <c r="C3985" i="1"/>
  <c r="H3984" i="1" l="1"/>
  <c r="J3983" i="1"/>
  <c r="I3983" i="1"/>
  <c r="F3985" i="1"/>
  <c r="D3985" i="1"/>
  <c r="C3986" i="1"/>
  <c r="H3985" i="1" l="1"/>
  <c r="I3985" i="1" s="1"/>
  <c r="J3984" i="1"/>
  <c r="I3984" i="1"/>
  <c r="F3986" i="1"/>
  <c r="D3986" i="1"/>
  <c r="C3987" i="1"/>
  <c r="H3986" i="1" l="1"/>
  <c r="J3985" i="1"/>
  <c r="F3987" i="1"/>
  <c r="D3987" i="1"/>
  <c r="C3988" i="1"/>
  <c r="H3987" i="1" l="1"/>
  <c r="I3987" i="1" s="1"/>
  <c r="J3986" i="1"/>
  <c r="I3986" i="1"/>
  <c r="F3988" i="1"/>
  <c r="D3988" i="1"/>
  <c r="C3989" i="1"/>
  <c r="H3988" i="1" l="1"/>
  <c r="J3987" i="1"/>
  <c r="F3989" i="1"/>
  <c r="D3989" i="1"/>
  <c r="C3990" i="1"/>
  <c r="H3989" i="1" l="1"/>
  <c r="J3988" i="1"/>
  <c r="I3988" i="1"/>
  <c r="F3990" i="1"/>
  <c r="D3990" i="1"/>
  <c r="C3991" i="1"/>
  <c r="H3990" i="1" l="1"/>
  <c r="J3989" i="1"/>
  <c r="I3989" i="1"/>
  <c r="F3991" i="1"/>
  <c r="C3992" i="1"/>
  <c r="D3991" i="1"/>
  <c r="H3991" i="1" l="1"/>
  <c r="J3990" i="1"/>
  <c r="I3990" i="1"/>
  <c r="F3992" i="1"/>
  <c r="C3993" i="1"/>
  <c r="D3992" i="1"/>
  <c r="H3992" i="1" l="1"/>
  <c r="I3992" i="1" s="1"/>
  <c r="J3991" i="1"/>
  <c r="I3991" i="1"/>
  <c r="F3993" i="1"/>
  <c r="C3994" i="1"/>
  <c r="D3993" i="1"/>
  <c r="H3993" i="1" l="1"/>
  <c r="I3993" i="1" s="1"/>
  <c r="J3992" i="1"/>
  <c r="F3994" i="1"/>
  <c r="C3995" i="1"/>
  <c r="D3994" i="1"/>
  <c r="H3994" i="1" l="1"/>
  <c r="J3993" i="1"/>
  <c r="F3995" i="1"/>
  <c r="C3996" i="1"/>
  <c r="D3995" i="1"/>
  <c r="H3995" i="1" l="1"/>
  <c r="J3994" i="1"/>
  <c r="I3994" i="1"/>
  <c r="F3996" i="1"/>
  <c r="D3996" i="1"/>
  <c r="C3997" i="1"/>
  <c r="H3996" i="1" l="1"/>
  <c r="J3995" i="1"/>
  <c r="I3995" i="1"/>
  <c r="F3997" i="1"/>
  <c r="C3998" i="1"/>
  <c r="D3997" i="1"/>
  <c r="H3997" i="1" l="1"/>
  <c r="J3996" i="1"/>
  <c r="I3996" i="1"/>
  <c r="F3998" i="1"/>
  <c r="C3999" i="1"/>
  <c r="D3998" i="1"/>
  <c r="H3998" i="1" l="1"/>
  <c r="J3997" i="1"/>
  <c r="I3997" i="1"/>
  <c r="F3999" i="1"/>
  <c r="D3999" i="1"/>
  <c r="C4000" i="1"/>
  <c r="H3999" i="1" l="1"/>
  <c r="I3999" i="1" s="1"/>
  <c r="J3998" i="1"/>
  <c r="I3998" i="1"/>
  <c r="F4000" i="1"/>
  <c r="C4001" i="1"/>
  <c r="D4000" i="1"/>
  <c r="H4000" i="1" l="1"/>
  <c r="I4000" i="1" s="1"/>
  <c r="J3999" i="1"/>
  <c r="F4001" i="1"/>
  <c r="C4002" i="1"/>
  <c r="D4001" i="1"/>
  <c r="H4001" i="1" l="1"/>
  <c r="I4001" i="1" s="1"/>
  <c r="J4000" i="1"/>
  <c r="F4002" i="1"/>
  <c r="C4003" i="1"/>
  <c r="D4002" i="1"/>
  <c r="H4002" i="1" l="1"/>
  <c r="J4001" i="1"/>
  <c r="F4003" i="1"/>
  <c r="C4004" i="1"/>
  <c r="D4003" i="1"/>
  <c r="H4003" i="1" l="1"/>
  <c r="J4002" i="1"/>
  <c r="I4002" i="1"/>
  <c r="F4004" i="1"/>
  <c r="C4005" i="1"/>
  <c r="D4004" i="1"/>
  <c r="H4004" i="1" l="1"/>
  <c r="J4003" i="1"/>
  <c r="I4003" i="1"/>
  <c r="F4005" i="1"/>
  <c r="D4005" i="1"/>
  <c r="H4006" i="1" l="1"/>
  <c r="H4005" i="1"/>
  <c r="J4005" i="1" s="1"/>
  <c r="J4004" i="1"/>
  <c r="I4004" i="1"/>
  <c r="I4005" i="1" l="1"/>
  <c r="H4007" i="1"/>
  <c r="J4006" i="1"/>
  <c r="I4006" i="1"/>
  <c r="H4008" i="1" l="1"/>
  <c r="J4007" i="1"/>
  <c r="I4007" i="1"/>
  <c r="H4009" i="1" l="1"/>
  <c r="J4008" i="1"/>
  <c r="I4008" i="1"/>
  <c r="H4010" i="1" l="1"/>
  <c r="J4009" i="1"/>
  <c r="I4009" i="1"/>
  <c r="J4010" i="1" l="1"/>
  <c r="I4010" i="1"/>
  <c r="H4011" i="1"/>
  <c r="J4011" i="1" l="1"/>
  <c r="I4011" i="1"/>
  <c r="H4012" i="1"/>
  <c r="J4012" i="1" l="1"/>
  <c r="I4012" i="1"/>
  <c r="H4013" i="1"/>
  <c r="J4013" i="1" l="1"/>
  <c r="I4013" i="1"/>
  <c r="H4014" i="1"/>
  <c r="J4014" i="1" l="1"/>
  <c r="I4014" i="1"/>
  <c r="H4015" i="1"/>
  <c r="J4015" i="1" l="1"/>
  <c r="I4015" i="1"/>
  <c r="H4016" i="1"/>
  <c r="J4016" i="1" l="1"/>
  <c r="I4016" i="1"/>
  <c r="H4017" i="1"/>
  <c r="J4017" i="1" l="1"/>
  <c r="I4017" i="1"/>
  <c r="H4018" i="1"/>
  <c r="J4018" i="1" l="1"/>
  <c r="I4018" i="1"/>
  <c r="H4019" i="1"/>
  <c r="J4019" i="1" l="1"/>
  <c r="I4019" i="1"/>
  <c r="H4020" i="1"/>
  <c r="J4020" i="1" l="1"/>
  <c r="I4020" i="1"/>
  <c r="H4021" i="1"/>
  <c r="J4021" i="1" l="1"/>
  <c r="I4021" i="1"/>
  <c r="H4022" i="1"/>
  <c r="J4022" i="1" l="1"/>
  <c r="I4022" i="1"/>
  <c r="H4023" i="1"/>
  <c r="J4023" i="1" l="1"/>
  <c r="I4023" i="1"/>
  <c r="H4024" i="1"/>
  <c r="J4024" i="1" l="1"/>
  <c r="I4024" i="1"/>
  <c r="H4025" i="1"/>
  <c r="J4025" i="1" l="1"/>
  <c r="I4025" i="1"/>
  <c r="H4026" i="1"/>
  <c r="J4026" i="1" l="1"/>
  <c r="I4026" i="1"/>
  <c r="H4027" i="1"/>
  <c r="J4027" i="1" l="1"/>
  <c r="I4027" i="1"/>
  <c r="H4028" i="1"/>
  <c r="J4028" i="1" l="1"/>
  <c r="I4028" i="1"/>
  <c r="H4029" i="1"/>
  <c r="J4029" i="1" l="1"/>
  <c r="I4029" i="1"/>
  <c r="H4030" i="1"/>
  <c r="J4030" i="1" l="1"/>
  <c r="I4030" i="1"/>
  <c r="H4031" i="1"/>
  <c r="J4031" i="1" l="1"/>
  <c r="I4031" i="1"/>
  <c r="H4032" i="1"/>
  <c r="J4032" i="1" l="1"/>
  <c r="I4032" i="1"/>
  <c r="H4033" i="1"/>
  <c r="J4033" i="1" l="1"/>
  <c r="I4033" i="1"/>
  <c r="H4034" i="1"/>
  <c r="J4034" i="1" l="1"/>
  <c r="I4034" i="1"/>
  <c r="H4035" i="1"/>
  <c r="J4035" i="1" l="1"/>
  <c r="I4035" i="1"/>
  <c r="H4036" i="1"/>
  <c r="J4036" i="1" l="1"/>
  <c r="I4036" i="1"/>
  <c r="H4037" i="1"/>
  <c r="J4037" i="1" l="1"/>
  <c r="I4037" i="1"/>
  <c r="H4038" i="1"/>
  <c r="J4038" i="1" l="1"/>
  <c r="I4038" i="1"/>
  <c r="H4039" i="1"/>
  <c r="J4039" i="1" l="1"/>
  <c r="I4039" i="1"/>
  <c r="H4040" i="1"/>
  <c r="J4040" i="1" l="1"/>
  <c r="I4040" i="1"/>
  <c r="H4041" i="1"/>
  <c r="J4041" i="1" l="1"/>
  <c r="I4041" i="1"/>
  <c r="H4042" i="1"/>
  <c r="J4042" i="1" l="1"/>
  <c r="I4042" i="1"/>
  <c r="H4043" i="1"/>
  <c r="J4043" i="1" l="1"/>
  <c r="I4043" i="1"/>
  <c r="H4044" i="1"/>
  <c r="J4044" i="1" l="1"/>
  <c r="I4044" i="1"/>
  <c r="H4045" i="1"/>
  <c r="J4045" i="1" l="1"/>
  <c r="I4045" i="1"/>
  <c r="H4046" i="1"/>
  <c r="J4046" i="1" l="1"/>
  <c r="I4046" i="1"/>
  <c r="H4047" i="1"/>
  <c r="J4047" i="1" l="1"/>
  <c r="I4047" i="1"/>
  <c r="H4048" i="1"/>
  <c r="J4048" i="1" l="1"/>
  <c r="I4048" i="1"/>
  <c r="H4049" i="1"/>
  <c r="J4049" i="1" l="1"/>
  <c r="I4049" i="1"/>
  <c r="H4050" i="1"/>
  <c r="J4050" i="1" l="1"/>
  <c r="I4050" i="1"/>
  <c r="H4051" i="1"/>
  <c r="J4051" i="1" l="1"/>
  <c r="I4051" i="1"/>
  <c r="H4052" i="1"/>
  <c r="J4052" i="1" l="1"/>
  <c r="I4052" i="1"/>
  <c r="H4053" i="1"/>
  <c r="J4053" i="1" l="1"/>
  <c r="I4053" i="1"/>
  <c r="H4054" i="1"/>
  <c r="J4054" i="1" l="1"/>
  <c r="I4054" i="1"/>
  <c r="H4055" i="1"/>
  <c r="J4055" i="1" l="1"/>
  <c r="I4055" i="1"/>
  <c r="H4056" i="1"/>
  <c r="J4056" i="1" l="1"/>
  <c r="I4056" i="1"/>
  <c r="H4057" i="1"/>
  <c r="J4057" i="1" l="1"/>
  <c r="I4057" i="1"/>
  <c r="H4058" i="1"/>
  <c r="J4058" i="1" l="1"/>
  <c r="I4058" i="1"/>
  <c r="H4059" i="1"/>
  <c r="J4059" i="1" l="1"/>
  <c r="I4059" i="1"/>
  <c r="H4060" i="1"/>
  <c r="J4060" i="1" l="1"/>
  <c r="I4060" i="1"/>
  <c r="H4061" i="1"/>
  <c r="J4061" i="1" l="1"/>
  <c r="I4061" i="1"/>
  <c r="H4062" i="1"/>
  <c r="J4062" i="1" l="1"/>
  <c r="I4062" i="1"/>
  <c r="H4063" i="1"/>
  <c r="J4063" i="1" l="1"/>
  <c r="I4063" i="1"/>
  <c r="H4064" i="1"/>
  <c r="J4064" i="1" l="1"/>
  <c r="I4064" i="1"/>
  <c r="H4065" i="1"/>
  <c r="J4065" i="1" l="1"/>
  <c r="I4065" i="1"/>
  <c r="H4066" i="1"/>
  <c r="J4066" i="1" l="1"/>
  <c r="I4066" i="1"/>
  <c r="H4067" i="1"/>
  <c r="J4067" i="1" l="1"/>
  <c r="I4067" i="1"/>
  <c r="H4068" i="1"/>
  <c r="J4068" i="1" l="1"/>
  <c r="I4068" i="1"/>
  <c r="H4069" i="1"/>
  <c r="J4069" i="1" l="1"/>
  <c r="I4069" i="1"/>
  <c r="H4070" i="1"/>
  <c r="J4070" i="1" l="1"/>
  <c r="I4070" i="1"/>
  <c r="H4071" i="1"/>
  <c r="J4071" i="1" l="1"/>
  <c r="I4071" i="1"/>
  <c r="H4072" i="1"/>
  <c r="J4072" i="1" l="1"/>
  <c r="I4072" i="1"/>
  <c r="H4073" i="1"/>
  <c r="J4073" i="1" l="1"/>
  <c r="I4073" i="1"/>
  <c r="H4074" i="1"/>
  <c r="J4074" i="1" l="1"/>
  <c r="I4074" i="1"/>
  <c r="H4075" i="1"/>
  <c r="I4075" i="1" l="1"/>
  <c r="J4075" i="1"/>
  <c r="K4074" i="1"/>
  <c r="K4070" i="1"/>
  <c r="K4072" i="1"/>
  <c r="K4068" i="1"/>
  <c r="K4066" i="1"/>
  <c r="R2525" i="1" l="1"/>
  <c r="R1544" i="1"/>
  <c r="R31" i="1"/>
  <c r="R1281" i="1"/>
  <c r="R2418" i="1"/>
  <c r="R3221" i="1"/>
  <c r="R4115" i="1"/>
  <c r="R867" i="1"/>
  <c r="R4953" i="1"/>
  <c r="R2063" i="1"/>
  <c r="R1656" i="1"/>
  <c r="R2974" i="1"/>
  <c r="R1709" i="1"/>
  <c r="R3381" i="1"/>
  <c r="R3683" i="1"/>
  <c r="R2637" i="1"/>
  <c r="R438" i="1"/>
  <c r="R804" i="1"/>
  <c r="R3028" i="1"/>
  <c r="R622" i="1"/>
  <c r="R4262" i="1"/>
  <c r="R3545" i="1"/>
  <c r="R3521" i="1"/>
  <c r="R733" i="1"/>
  <c r="R1397" i="1"/>
  <c r="R4851" i="1"/>
  <c r="R1098" i="1"/>
  <c r="R4294" i="1"/>
  <c r="R2444" i="1"/>
  <c r="R2958" i="1"/>
  <c r="R2732" i="1"/>
  <c r="R1369" i="1"/>
  <c r="R1247" i="1"/>
  <c r="R326" i="1"/>
  <c r="R4389" i="1"/>
  <c r="R1954" i="1"/>
  <c r="R2718" i="1"/>
  <c r="R2175" i="1"/>
  <c r="R1499" i="1"/>
  <c r="R2871" i="1"/>
  <c r="R2178" i="1"/>
  <c r="R727" i="1"/>
  <c r="R3925" i="1"/>
  <c r="R4446" i="1"/>
  <c r="R3009" i="1"/>
  <c r="R3296" i="1"/>
  <c r="R2467" i="1"/>
  <c r="R1074" i="1"/>
  <c r="R1073" i="1"/>
  <c r="R4497" i="1"/>
  <c r="R1684" i="1"/>
  <c r="R1469" i="1"/>
  <c r="R3230" i="1"/>
  <c r="R2628" i="1"/>
  <c r="R4937" i="1"/>
  <c r="R1233" i="1"/>
  <c r="R3055" i="1"/>
  <c r="R4573" i="1"/>
  <c r="R4291" i="1"/>
  <c r="R4073" i="1"/>
  <c r="R1706" i="1"/>
  <c r="R2446" i="1"/>
  <c r="R4397" i="1"/>
  <c r="R3965" i="1"/>
  <c r="R4788" i="1"/>
  <c r="R3272" i="1"/>
  <c r="R4243" i="1"/>
  <c r="R767" i="1"/>
  <c r="R1018" i="1"/>
  <c r="R1195" i="1"/>
  <c r="R944" i="1"/>
  <c r="R1333" i="1"/>
  <c r="R2278" i="1"/>
  <c r="R2164" i="1"/>
  <c r="R1402" i="1"/>
  <c r="R1962" i="1"/>
  <c r="R773" i="1"/>
  <c r="R4945" i="1"/>
  <c r="R2435" i="1"/>
  <c r="R1408" i="1"/>
  <c r="R5000" i="1"/>
  <c r="R3473" i="1"/>
  <c r="R445" i="1"/>
  <c r="R3142" i="1"/>
  <c r="R558" i="1"/>
  <c r="R3729" i="1"/>
  <c r="R1971" i="1"/>
  <c r="R4929" i="1"/>
  <c r="R3685" i="1"/>
  <c r="R4496" i="1"/>
  <c r="R2642" i="1"/>
  <c r="R299" i="1"/>
  <c r="R1565" i="1"/>
  <c r="R4306" i="1"/>
  <c r="R3818" i="1"/>
  <c r="R2965" i="1"/>
  <c r="R614" i="1"/>
  <c r="R3281" i="1"/>
  <c r="R3298" i="1"/>
  <c r="R2165" i="1"/>
  <c r="R1008" i="1"/>
  <c r="R1791" i="1"/>
  <c r="R176" i="1"/>
  <c r="R4620" i="1"/>
  <c r="R4445" i="1"/>
  <c r="R3099" i="1"/>
  <c r="R4796" i="1"/>
  <c r="R1024" i="1"/>
  <c r="R4594" i="1"/>
  <c r="R2736" i="1"/>
  <c r="R3622" i="1"/>
  <c r="R3890" i="1"/>
  <c r="R2062" i="1"/>
  <c r="R2375" i="1"/>
  <c r="R2127" i="1"/>
  <c r="R1029" i="1"/>
  <c r="R3414" i="1"/>
  <c r="R3663" i="1"/>
  <c r="R2171" i="1"/>
  <c r="R4428" i="1"/>
  <c r="R3858" i="1"/>
  <c r="R4631" i="1"/>
  <c r="R3558" i="1"/>
  <c r="R2808" i="1"/>
  <c r="R369" i="1"/>
  <c r="R1076" i="1"/>
  <c r="R1907" i="1"/>
  <c r="R4253" i="1"/>
  <c r="R4039" i="1"/>
  <c r="R3540" i="1"/>
  <c r="R70" i="1"/>
  <c r="R3061" i="1"/>
  <c r="R3263" i="1"/>
  <c r="R2298" i="1"/>
  <c r="R4864" i="1"/>
  <c r="R4465" i="1"/>
  <c r="R1121" i="1"/>
  <c r="R991" i="1"/>
  <c r="R3299" i="1"/>
  <c r="R680" i="1"/>
  <c r="R1096" i="1"/>
  <c r="R3073" i="1"/>
  <c r="R4833" i="1"/>
  <c r="R161" i="1"/>
  <c r="R104" i="1"/>
  <c r="R4417" i="1"/>
  <c r="R2099" i="1"/>
  <c r="R444" i="1"/>
  <c r="R4596" i="1"/>
  <c r="R4173" i="1"/>
  <c r="R1199" i="1"/>
  <c r="R3523" i="1"/>
  <c r="R1381" i="1"/>
  <c r="R209" i="1"/>
  <c r="R2275" i="1"/>
  <c r="R1027" i="1"/>
  <c r="R3664" i="1"/>
  <c r="R187" i="1"/>
  <c r="R4814" i="1"/>
  <c r="R3072" i="1"/>
  <c r="R149" i="1"/>
  <c r="R887" i="1"/>
  <c r="R4362" i="1"/>
  <c r="R1360" i="1"/>
  <c r="R3529" i="1"/>
  <c r="R1853" i="1"/>
  <c r="R3764" i="1"/>
  <c r="R2970" i="1"/>
  <c r="R518" i="1"/>
  <c r="R2106" i="1"/>
  <c r="R2916" i="1"/>
  <c r="R2319" i="1"/>
  <c r="R3001" i="1"/>
  <c r="R1299" i="1"/>
  <c r="R141" i="1"/>
  <c r="R4440" i="1"/>
  <c r="R201" i="1"/>
  <c r="R2458" i="1"/>
  <c r="R4546" i="1"/>
  <c r="R4337" i="1"/>
  <c r="R700" i="1"/>
  <c r="R4273" i="1"/>
  <c r="R3090" i="1"/>
  <c r="R2917" i="1"/>
  <c r="R4958" i="1"/>
  <c r="R2677" i="1"/>
  <c r="R2325" i="1"/>
  <c r="R4131" i="1"/>
  <c r="R615" i="1"/>
  <c r="R2578" i="1"/>
  <c r="R4498" i="1"/>
  <c r="R1230" i="1"/>
  <c r="R2202" i="1"/>
  <c r="R1342" i="1"/>
  <c r="R2602" i="1"/>
  <c r="R1582" i="1"/>
  <c r="R4379" i="1"/>
  <c r="R4680" i="1"/>
  <c r="R2707" i="1"/>
  <c r="R191" i="1"/>
  <c r="R3413" i="1"/>
  <c r="R646" i="1"/>
  <c r="R563" i="1"/>
  <c r="R1645" i="1"/>
  <c r="R667" i="1"/>
  <c r="R1088" i="1"/>
  <c r="R4283" i="1"/>
  <c r="R3100" i="1"/>
  <c r="R229" i="1"/>
  <c r="R2715" i="1"/>
  <c r="R1056" i="1"/>
  <c r="R1732" i="1"/>
  <c r="R4418" i="1"/>
  <c r="R3354" i="1"/>
  <c r="R4899" i="1"/>
  <c r="R2480" i="1"/>
  <c r="R2248" i="1"/>
  <c r="R4313" i="1"/>
  <c r="R1948" i="1"/>
  <c r="R811" i="1"/>
  <c r="R2722" i="1"/>
  <c r="R1465" i="1"/>
  <c r="R3181" i="1"/>
  <c r="R3312" i="1"/>
  <c r="R1046" i="1"/>
  <c r="R3661" i="1"/>
  <c r="R2462" i="1"/>
  <c r="R3104" i="1"/>
  <c r="R3271" i="1"/>
  <c r="R4785" i="1"/>
  <c r="R1057" i="1"/>
  <c r="R3863" i="1"/>
  <c r="R493" i="1"/>
  <c r="R4021" i="1"/>
  <c r="R3813" i="1"/>
  <c r="R305" i="1"/>
  <c r="R3912" i="1"/>
  <c r="R4705" i="1"/>
  <c r="R4669" i="1"/>
  <c r="R1007" i="1"/>
  <c r="R3452" i="1"/>
  <c r="R4879" i="1"/>
  <c r="R1125" i="1"/>
  <c r="R4288" i="1"/>
  <c r="R2433" i="1"/>
  <c r="R1811" i="1"/>
  <c r="R960" i="1"/>
  <c r="R2673" i="1"/>
  <c r="R816" i="1"/>
  <c r="R4279" i="1"/>
  <c r="R3660" i="1"/>
  <c r="R3353" i="1"/>
  <c r="R1928" i="1"/>
  <c r="R2465" i="1"/>
  <c r="R4186" i="1"/>
  <c r="R4304" i="1"/>
  <c r="R3049" i="1"/>
  <c r="R3291" i="1"/>
  <c r="R3702" i="1"/>
  <c r="R4196" i="1"/>
  <c r="R4534" i="1"/>
  <c r="R198" i="1"/>
  <c r="R4818" i="1"/>
  <c r="R4340" i="1"/>
  <c r="R3613" i="1"/>
  <c r="R241" i="1"/>
  <c r="R336" i="1"/>
  <c r="R4181" i="1"/>
  <c r="R2455" i="1"/>
  <c r="R609" i="1"/>
  <c r="R2936" i="1"/>
  <c r="R2814" i="1"/>
  <c r="R4208" i="1"/>
  <c r="R2475" i="1"/>
  <c r="R3487" i="1"/>
  <c r="R1372" i="1"/>
  <c r="R4374" i="1"/>
  <c r="R1584" i="1"/>
  <c r="R4299" i="1"/>
  <c r="R426" i="1"/>
  <c r="R1869" i="1"/>
  <c r="R4127" i="1"/>
  <c r="R3119" i="1"/>
  <c r="R168" i="1"/>
  <c r="R2806" i="1"/>
  <c r="R2850" i="1"/>
  <c r="R3495" i="1"/>
  <c r="R3755" i="1"/>
  <c r="R3293" i="1"/>
  <c r="R1328" i="1"/>
  <c r="R4780" i="1"/>
  <c r="R2563" i="1"/>
  <c r="R2266" i="1"/>
  <c r="R4293" i="1"/>
  <c r="R2840" i="1"/>
  <c r="R3750" i="1"/>
  <c r="R750" i="1"/>
  <c r="R248" i="1"/>
  <c r="R1447" i="1"/>
  <c r="R1521" i="1"/>
  <c r="R3628" i="1"/>
  <c r="R706" i="1"/>
  <c r="R549" i="1"/>
  <c r="R3740" i="1"/>
  <c r="R2516" i="1"/>
  <c r="R3410" i="1"/>
  <c r="R2377" i="1"/>
  <c r="R4172" i="1"/>
  <c r="R157" i="1"/>
  <c r="R664" i="1"/>
  <c r="R451" i="1"/>
  <c r="R2763" i="1"/>
  <c r="R2395" i="1"/>
  <c r="R1130" i="1"/>
  <c r="R151" i="1"/>
  <c r="R3130" i="1"/>
  <c r="R3364" i="1"/>
  <c r="R4192" i="1"/>
  <c r="R4724" i="1"/>
  <c r="R2211" i="1"/>
  <c r="R219" i="1"/>
  <c r="R4768" i="1"/>
  <c r="R2836" i="1"/>
  <c r="R4082" i="1"/>
  <c r="R2008" i="1"/>
  <c r="R696" i="1"/>
  <c r="R3786" i="1"/>
  <c r="R4650" i="1"/>
  <c r="R2148" i="1"/>
  <c r="R221" i="1"/>
  <c r="R1093" i="1"/>
  <c r="R1382" i="1"/>
  <c r="R2137" i="1"/>
  <c r="R3647" i="1"/>
  <c r="R117" i="1"/>
  <c r="R1778" i="1"/>
  <c r="R2762" i="1"/>
  <c r="R4903" i="1"/>
  <c r="R842" i="1"/>
  <c r="R433" i="1"/>
  <c r="R309" i="1"/>
  <c r="R3243" i="1"/>
  <c r="R2738" i="1"/>
  <c r="R586" i="1"/>
  <c r="R415" i="1"/>
  <c r="R4061" i="1"/>
  <c r="R4853" i="1"/>
  <c r="R4773" i="1"/>
  <c r="R2633" i="1"/>
  <c r="R4736" i="1"/>
  <c r="R817" i="1"/>
  <c r="R4654" i="1"/>
  <c r="R2354" i="1"/>
  <c r="R4216" i="1"/>
  <c r="R1067" i="1"/>
  <c r="R2663" i="1"/>
  <c r="R502" i="1"/>
  <c r="R1636" i="1"/>
  <c r="R2392" i="1"/>
  <c r="R4414" i="1"/>
  <c r="R2844" i="1"/>
  <c r="R4308" i="1"/>
  <c r="R1080" i="1"/>
  <c r="R2828" i="1"/>
  <c r="R3768" i="1"/>
  <c r="R4471" i="1"/>
  <c r="R4623" i="1"/>
  <c r="R3840" i="1"/>
  <c r="R4737" i="1"/>
  <c r="R285" i="1"/>
  <c r="R2733" i="1"/>
  <c r="R3649" i="1"/>
  <c r="R3183" i="1"/>
  <c r="R579" i="1"/>
  <c r="R3845" i="1"/>
  <c r="R45" i="1"/>
  <c r="R216" i="1"/>
  <c r="R3015" i="1"/>
  <c r="R4432" i="1"/>
  <c r="R2771" i="1"/>
  <c r="R910" i="1"/>
  <c r="R3627" i="1"/>
  <c r="R464" i="1"/>
  <c r="R3274" i="1"/>
  <c r="R1618" i="1"/>
  <c r="R4686" i="1"/>
  <c r="R4336" i="1"/>
  <c r="R4655" i="1"/>
  <c r="R2110" i="1"/>
  <c r="R2671" i="1"/>
  <c r="R4646" i="1"/>
  <c r="R2003" i="1"/>
  <c r="R1272" i="1"/>
  <c r="R3970" i="1"/>
  <c r="R4527" i="1"/>
  <c r="R1399" i="1"/>
  <c r="R4030" i="1"/>
  <c r="R824" i="1"/>
  <c r="R3816" i="1"/>
  <c r="R2744" i="1"/>
  <c r="R1993" i="1"/>
  <c r="R559" i="1"/>
  <c r="R4837" i="1"/>
  <c r="R3268" i="1"/>
  <c r="R2477" i="1"/>
  <c r="R3384" i="1"/>
  <c r="R1668" i="1"/>
  <c r="R1132" i="1"/>
  <c r="R3024" i="1"/>
  <c r="R135" i="1"/>
  <c r="R2617" i="1"/>
  <c r="R4798" i="1"/>
  <c r="R3994" i="1"/>
  <c r="R3570" i="1"/>
  <c r="R4410" i="1"/>
  <c r="R3988" i="1"/>
  <c r="R2399" i="1"/>
  <c r="R2140" i="1"/>
  <c r="R2235" i="1"/>
  <c r="R3254" i="1"/>
  <c r="R3670" i="1"/>
  <c r="R1717" i="1"/>
  <c r="R1686" i="1"/>
  <c r="R4977" i="1"/>
  <c r="R2745" i="1"/>
  <c r="R2640" i="1"/>
  <c r="R2197" i="1"/>
  <c r="R753" i="1"/>
  <c r="R3940" i="1"/>
  <c r="R626" i="1"/>
  <c r="R4177" i="1"/>
  <c r="R921" i="1"/>
  <c r="R1065" i="1"/>
  <c r="R320" i="1"/>
  <c r="R4950" i="1"/>
  <c r="R3907" i="1"/>
  <c r="R349" i="1"/>
  <c r="R2459" i="1"/>
  <c r="R3019" i="1"/>
  <c r="R738" i="1"/>
  <c r="R3530" i="1"/>
  <c r="R551" i="1"/>
  <c r="R1198" i="1"/>
  <c r="R2665" i="1"/>
  <c r="R4035" i="1"/>
  <c r="R2265" i="1"/>
  <c r="R1523" i="1"/>
  <c r="R2882" i="1"/>
  <c r="R1154" i="1"/>
  <c r="R2214" i="1"/>
  <c r="R4698" i="1"/>
  <c r="R1688" i="1"/>
  <c r="R4218" i="1"/>
  <c r="R2800" i="1"/>
  <c r="R4329" i="1"/>
  <c r="R98" i="1"/>
  <c r="R3586" i="1"/>
  <c r="R1691" i="1"/>
  <c r="R3595" i="1"/>
  <c r="R2299" i="1"/>
  <c r="R3714" i="1"/>
  <c r="R1693" i="1"/>
  <c r="R2331" i="1"/>
  <c r="R2393" i="1"/>
  <c r="R4232" i="1"/>
  <c r="R4474" i="1"/>
  <c r="R1055" i="1"/>
  <c r="R3253" i="1"/>
  <c r="R3497" i="1"/>
  <c r="R1699" i="1"/>
  <c r="R1880" i="1"/>
  <c r="R2353" i="1"/>
  <c r="R2748" i="1"/>
  <c r="R616" i="1"/>
  <c r="R3431" i="1"/>
  <c r="R2087" i="1"/>
  <c r="R4426" i="1"/>
  <c r="R1383" i="1"/>
  <c r="R1908" i="1"/>
  <c r="R1084" i="1"/>
  <c r="R1320" i="1"/>
  <c r="R4706" i="1"/>
  <c r="R3691" i="1"/>
  <c r="R2255" i="1"/>
  <c r="R3745" i="1"/>
  <c r="R684" i="1"/>
  <c r="R2504" i="1"/>
  <c r="R1422" i="1"/>
  <c r="R3400" i="1"/>
  <c r="R3121" i="1"/>
  <c r="R3284" i="1"/>
  <c r="R4331" i="1"/>
  <c r="R3875" i="1"/>
  <c r="R2206" i="1"/>
  <c r="R282" i="1"/>
  <c r="R4636" i="1"/>
  <c r="R2287" i="1"/>
  <c r="R974" i="1"/>
  <c r="R25" i="1"/>
  <c r="R61" i="1"/>
  <c r="R1800" i="1"/>
  <c r="R2533" i="1"/>
  <c r="R474" i="1"/>
  <c r="R652" i="1"/>
  <c r="R1228" i="1"/>
  <c r="R1614" i="1"/>
  <c r="R3490" i="1"/>
  <c r="R1448" i="1"/>
  <c r="R4906" i="1"/>
  <c r="R4097" i="1"/>
  <c r="R59" i="1"/>
  <c r="R1681" i="1"/>
  <c r="R2017" i="1"/>
  <c r="R1185" i="1"/>
  <c r="R544" i="1"/>
  <c r="R4935" i="1"/>
  <c r="R3522" i="1"/>
  <c r="R1298" i="1"/>
  <c r="R4601" i="1"/>
  <c r="R180" i="1"/>
  <c r="R3290" i="1"/>
  <c r="R3088" i="1"/>
  <c r="R2032" i="1"/>
  <c r="R640" i="1"/>
  <c r="R1978" i="1"/>
  <c r="R1785" i="1"/>
  <c r="R2535" i="1"/>
  <c r="R3822" i="1"/>
  <c r="R2168" i="1"/>
  <c r="R2314" i="1"/>
  <c r="R2833" i="1"/>
  <c r="R4257" i="1"/>
  <c r="R4316" i="1"/>
  <c r="R3539" i="1"/>
  <c r="R206" i="1"/>
  <c r="R1762" i="1"/>
  <c r="R2704" i="1"/>
  <c r="R2061" i="1"/>
  <c r="R3804" i="1"/>
  <c r="R478" i="1"/>
  <c r="R3302" i="1"/>
  <c r="R2119" i="1"/>
  <c r="R4967" i="1"/>
  <c r="R3498" i="1"/>
  <c r="R280" i="1"/>
  <c r="R2172" i="1"/>
  <c r="R1033" i="1"/>
  <c r="R2439" i="1"/>
  <c r="R2816" i="1"/>
  <c r="R3361" i="1"/>
  <c r="R4813" i="1"/>
  <c r="R3462" i="1"/>
  <c r="R2259" i="1"/>
  <c r="R4616" i="1"/>
  <c r="R3935" i="1"/>
  <c r="R329" i="1"/>
  <c r="R3375" i="1"/>
  <c r="R822" i="1"/>
  <c r="R1287" i="1"/>
  <c r="R988" i="1"/>
  <c r="R3231" i="1"/>
  <c r="R106" i="1"/>
  <c r="R1781" i="1"/>
  <c r="R2729" i="1"/>
  <c r="R18" i="1"/>
  <c r="R455" i="1"/>
  <c r="R4830" i="1"/>
  <c r="R3385" i="1"/>
  <c r="R3826" i="1"/>
  <c r="R1604" i="1"/>
  <c r="R4178" i="1"/>
  <c r="R2817" i="1"/>
  <c r="R2904" i="1"/>
  <c r="R3505" i="1"/>
  <c r="R793" i="1"/>
  <c r="R805" i="1"/>
  <c r="R2918" i="1"/>
  <c r="R4435" i="1"/>
  <c r="R1471" i="1"/>
  <c r="R3654" i="1"/>
  <c r="R3125" i="1"/>
  <c r="R2726" i="1"/>
  <c r="R928" i="1"/>
  <c r="R1537" i="1"/>
  <c r="R3169" i="1"/>
  <c r="R3094" i="1"/>
  <c r="R2694" i="1"/>
  <c r="R662" i="1"/>
  <c r="R1799" i="1"/>
  <c r="R2895" i="1"/>
  <c r="R1148" i="1"/>
  <c r="R3422" i="1"/>
  <c r="R1478" i="1"/>
  <c r="R1817" i="1"/>
  <c r="R217" i="1"/>
  <c r="R2959" i="1"/>
  <c r="R3851" i="1"/>
  <c r="R4829" i="1"/>
  <c r="R1728" i="1"/>
  <c r="R2976" i="1"/>
  <c r="R4361" i="1"/>
  <c r="R2536" i="1"/>
  <c r="R200" i="1"/>
  <c r="R1405" i="1"/>
  <c r="R1334" i="1"/>
  <c r="R4626" i="1"/>
  <c r="R1209" i="1"/>
  <c r="R3163" i="1"/>
  <c r="R785" i="1"/>
  <c r="R3985" i="1"/>
  <c r="R2650" i="1"/>
  <c r="R3039" i="1"/>
  <c r="R232" i="1"/>
  <c r="R3931" i="1"/>
  <c r="R3174" i="1"/>
  <c r="R1187" i="1"/>
  <c r="R4285" i="1"/>
  <c r="R3748" i="1"/>
  <c r="R4735" i="1"/>
  <c r="R1455" i="1"/>
  <c r="R4328" i="1"/>
  <c r="R2597" i="1"/>
  <c r="R2569" i="1"/>
  <c r="R2336" i="1"/>
  <c r="R3538" i="1"/>
  <c r="R3371" i="1"/>
  <c r="R3962" i="1"/>
  <c r="R4229" i="1"/>
  <c r="R2276" i="1"/>
  <c r="R2741" i="1"/>
  <c r="R3322" i="1"/>
  <c r="R2964" i="1"/>
  <c r="R488" i="1"/>
  <c r="R1138" i="1"/>
  <c r="R1467" i="1"/>
  <c r="R1550" i="1"/>
  <c r="R2823" i="1"/>
  <c r="R2821" i="1"/>
  <c r="R1809" i="1"/>
  <c r="R4891" i="1"/>
  <c r="R3165" i="1"/>
  <c r="R1859" i="1"/>
  <c r="R608" i="1"/>
  <c r="R1313" i="1"/>
  <c r="R1177" i="1"/>
  <c r="R3770" i="1"/>
  <c r="R3716" i="1"/>
  <c r="R2249" i="1"/>
  <c r="R3754" i="1"/>
  <c r="R4060" i="1"/>
  <c r="R1813" i="1"/>
  <c r="R4812" i="1"/>
  <c r="R4317" i="1"/>
  <c r="R1278" i="1"/>
  <c r="R959" i="1"/>
  <c r="R911" i="1"/>
  <c r="R1319" i="1"/>
  <c r="R53" i="1"/>
  <c r="R4774" i="1"/>
  <c r="R1777" i="1"/>
  <c r="R4685" i="1"/>
  <c r="R169" i="1"/>
  <c r="R4077" i="1"/>
  <c r="R634" i="1"/>
  <c r="R269" i="1"/>
  <c r="R864" i="1"/>
  <c r="R1330" i="1"/>
  <c r="R3212" i="1"/>
  <c r="R2788" i="1"/>
  <c r="R4794" i="1"/>
  <c r="R3311" i="1"/>
  <c r="R2545" i="1"/>
  <c r="R4982" i="1"/>
  <c r="R4284" i="1"/>
  <c r="R857" i="1"/>
  <c r="R1115" i="1"/>
  <c r="R1870" i="1"/>
  <c r="R470" i="1"/>
  <c r="R182" i="1"/>
  <c r="R2755" i="1"/>
  <c r="R1157" i="1"/>
  <c r="R3666" i="1"/>
  <c r="R1641" i="1"/>
  <c r="R2854" i="1"/>
  <c r="R3693" i="1"/>
  <c r="R3343" i="1"/>
  <c r="R2006" i="1"/>
  <c r="R688" i="1"/>
  <c r="R982" i="1"/>
  <c r="R4662" i="1"/>
  <c r="R2001" i="1"/>
  <c r="R3955" i="1"/>
  <c r="R8" i="1"/>
  <c r="R4679" i="1"/>
  <c r="R3330" i="1"/>
  <c r="R3167" i="1"/>
  <c r="R4341" i="1"/>
  <c r="R3920" i="1"/>
  <c r="R2766" i="1"/>
  <c r="R1795" i="1"/>
  <c r="R3026" i="1"/>
  <c r="R4693" i="1"/>
  <c r="R809" i="1"/>
  <c r="R3631" i="1"/>
  <c r="R3569" i="1"/>
  <c r="R2735" i="1"/>
  <c r="R748" i="1"/>
  <c r="R1321" i="1"/>
  <c r="R3143" i="1"/>
  <c r="R4458" i="1"/>
  <c r="R3989" i="1"/>
  <c r="R2682" i="1"/>
  <c r="R3793" i="1"/>
  <c r="R3720" i="1"/>
  <c r="R3288" i="1"/>
  <c r="R84" i="1"/>
  <c r="R4528" i="1"/>
  <c r="R3077" i="1"/>
  <c r="R3344" i="1"/>
  <c r="R1392" i="1"/>
  <c r="R4857" i="1"/>
  <c r="R2518" i="1"/>
  <c r="R3162" i="1"/>
  <c r="R2776" i="1"/>
  <c r="R909" i="1"/>
  <c r="R4245" i="1"/>
  <c r="R2992" i="1"/>
  <c r="R998" i="1"/>
  <c r="R2410" i="1"/>
  <c r="R1297" i="1"/>
  <c r="R845" i="1"/>
  <c r="R1718" i="1"/>
  <c r="R4580" i="1"/>
  <c r="R4128" i="1"/>
  <c r="R2376" i="1"/>
  <c r="R1773" i="1"/>
  <c r="R2111" i="1"/>
  <c r="R3801" i="1"/>
  <c r="R4198" i="1"/>
  <c r="R2978" i="1"/>
  <c r="R419" i="1"/>
  <c r="R3944" i="1"/>
  <c r="R4787" i="1"/>
  <c r="R1470" i="1"/>
  <c r="R1364" i="1"/>
  <c r="R2750" i="1"/>
  <c r="R4239" i="1"/>
  <c r="R2941" i="1"/>
  <c r="R3821" i="1"/>
  <c r="R4456" i="1"/>
  <c r="R837" i="1"/>
  <c r="R2365" i="1"/>
  <c r="R4557" i="1"/>
  <c r="R2387" i="1"/>
  <c r="R2028" i="1"/>
  <c r="R3618" i="1"/>
  <c r="R4129" i="1"/>
  <c r="R3564" i="1"/>
  <c r="R1812" i="1"/>
  <c r="R4089" i="1"/>
  <c r="R4508" i="1"/>
  <c r="R2075" i="1"/>
  <c r="R1246" i="1"/>
  <c r="R2198" i="1"/>
  <c r="R2173" i="1"/>
  <c r="R1678" i="1"/>
  <c r="R355" i="1"/>
  <c r="R2138" i="1"/>
  <c r="R4923" i="1"/>
  <c r="R1101" i="1"/>
  <c r="R3526" i="1"/>
  <c r="R2308" i="1"/>
  <c r="R4350" i="1"/>
  <c r="R3861" i="1"/>
  <c r="R3895" i="1"/>
  <c r="R3559" i="1"/>
  <c r="R4730" i="1"/>
  <c r="R945" i="1"/>
  <c r="R3047" i="1"/>
  <c r="R4936" i="1"/>
  <c r="R3866" i="1"/>
  <c r="R1310" i="1"/>
  <c r="R3246" i="1"/>
  <c r="R421" i="1"/>
  <c r="R86" i="1"/>
  <c r="R4518" i="1"/>
  <c r="R3059" i="1"/>
  <c r="R2260" i="1"/>
  <c r="R567" i="1"/>
  <c r="R4683" i="1"/>
  <c r="R465" i="1"/>
  <c r="R1301" i="1"/>
  <c r="R2130" i="1"/>
  <c r="R3739" i="1"/>
  <c r="R33" i="1"/>
  <c r="R4718" i="1"/>
  <c r="R1624" i="1"/>
  <c r="R4697" i="1"/>
  <c r="R2229" i="1"/>
  <c r="R4105" i="1"/>
  <c r="R4577" i="1"/>
  <c r="R3899" i="1"/>
  <c r="R2452" i="1"/>
  <c r="R4619" i="1"/>
  <c r="R37" i="1"/>
  <c r="R2011" i="1"/>
  <c r="R1712" i="1"/>
  <c r="R4789" i="1"/>
  <c r="R2014" i="1"/>
  <c r="R4037" i="1"/>
  <c r="R4184" i="1"/>
  <c r="R3046" i="1"/>
  <c r="R1181" i="1"/>
  <c r="R4784" i="1"/>
  <c r="R883" i="1"/>
  <c r="R3242" i="1"/>
  <c r="R546" i="1"/>
  <c r="R1000" i="1"/>
  <c r="R2115" i="1"/>
  <c r="R858" i="1"/>
  <c r="R4256" i="1"/>
  <c r="R2874" i="1"/>
  <c r="R4057" i="1"/>
  <c r="R607" i="1"/>
  <c r="R519" i="1"/>
  <c r="R28" i="1"/>
  <c r="R1567" i="1"/>
  <c r="R803" i="1"/>
  <c r="R3507" i="1"/>
  <c r="R3436" i="1"/>
  <c r="R3643" i="1"/>
  <c r="R4932" i="1"/>
  <c r="R2747" i="1"/>
  <c r="R668" i="1"/>
  <c r="R3170" i="1"/>
  <c r="R3387" i="1"/>
  <c r="R1840" i="1"/>
  <c r="R3045" i="1"/>
  <c r="R2095" i="1"/>
  <c r="R2476" i="1"/>
  <c r="R3362" i="1"/>
  <c r="R1370" i="1"/>
  <c r="R3852" i="1"/>
  <c r="R1936" i="1"/>
  <c r="R2883" i="1"/>
  <c r="R3411" i="1"/>
  <c r="R3146" i="1"/>
  <c r="R1354" i="1"/>
  <c r="R378" i="1"/>
  <c r="R923" i="1"/>
  <c r="R78" i="1"/>
  <c r="R868" i="1"/>
  <c r="R4247" i="1"/>
  <c r="R2841" i="1"/>
  <c r="R4402" i="1"/>
  <c r="R2996" i="1"/>
  <c r="R3930" i="1"/>
  <c r="R997" i="1"/>
  <c r="R1219" i="1"/>
  <c r="R1885" i="1"/>
  <c r="R4242" i="1"/>
  <c r="R2297" i="1"/>
  <c r="R457" i="1"/>
  <c r="R1850" i="1"/>
  <c r="R133" i="1"/>
  <c r="R3537" i="1"/>
  <c r="R2565" i="1"/>
  <c r="R2638" i="1"/>
  <c r="R2364" i="1"/>
  <c r="R397" i="1"/>
  <c r="R1040" i="1"/>
  <c r="R379" i="1"/>
  <c r="R2791" i="1"/>
  <c r="R3724" i="1"/>
  <c r="R4249" i="1"/>
  <c r="R1197" i="1"/>
  <c r="R3766" i="1"/>
  <c r="R806" i="1"/>
  <c r="R124" i="1"/>
  <c r="R1858" i="1"/>
  <c r="R1273" i="1"/>
  <c r="R2286" i="1"/>
  <c r="R3847" i="1"/>
  <c r="R2636" i="1"/>
  <c r="R1107" i="1"/>
  <c r="R1896" i="1"/>
  <c r="R4530" i="1"/>
  <c r="R3153" i="1"/>
  <c r="R1752" i="1"/>
  <c r="R1242" i="1"/>
  <c r="R2794" i="1"/>
  <c r="R893" i="1"/>
  <c r="R3831" i="1"/>
  <c r="R4378" i="1"/>
  <c r="R2629" i="1"/>
  <c r="R2472" i="1"/>
  <c r="R3561" i="1"/>
  <c r="R94" i="1"/>
  <c r="R3002" i="1"/>
  <c r="R3447" i="1"/>
  <c r="R1583" i="1"/>
  <c r="R3874" i="1"/>
  <c r="R3927" i="1"/>
  <c r="R1875" i="1"/>
  <c r="R4305" i="1"/>
  <c r="R17" i="1"/>
  <c r="R2556" i="1"/>
  <c r="R4143" i="1"/>
  <c r="R4956" i="1"/>
  <c r="R2830" i="1"/>
  <c r="R815" i="1"/>
  <c r="R2897" i="1"/>
  <c r="R1814" i="1"/>
  <c r="R674" i="1"/>
  <c r="R2613" i="1"/>
  <c r="R539" i="1"/>
  <c r="R4521" i="1"/>
  <c r="R1441" i="1"/>
  <c r="R3596" i="1"/>
  <c r="R4114" i="1"/>
  <c r="R3377" i="1"/>
  <c r="R1944" i="1"/>
  <c r="R891" i="1"/>
  <c r="R4608" i="1"/>
  <c r="R3486" i="1"/>
  <c r="R898" i="1"/>
  <c r="R2760" i="1"/>
  <c r="R4863" i="1"/>
  <c r="R1935" i="1"/>
  <c r="R1119" i="1"/>
  <c r="R1546" i="1"/>
  <c r="R569" i="1"/>
  <c r="R2818" i="1"/>
  <c r="R233" i="1"/>
  <c r="R2133" i="1"/>
  <c r="R2872" i="1"/>
  <c r="R4132" i="1"/>
  <c r="R4074" i="1"/>
  <c r="R3614" i="1"/>
  <c r="R213" i="1"/>
  <c r="R2861" i="1"/>
  <c r="R3425" i="1"/>
  <c r="R1878" i="1"/>
  <c r="R3289" i="1"/>
  <c r="R564" i="1"/>
  <c r="R4660" i="1"/>
  <c r="R3580" i="1"/>
  <c r="R593" i="1"/>
  <c r="R4266" i="1"/>
  <c r="R2930" i="1"/>
  <c r="R4241" i="1"/>
  <c r="R3355" i="1"/>
  <c r="R4252" i="1"/>
  <c r="R1765" i="1"/>
  <c r="R4663" i="1"/>
  <c r="R3392" i="1"/>
  <c r="R2832" i="1"/>
  <c r="R2849" i="1"/>
  <c r="R4423" i="1"/>
  <c r="R3751" i="1"/>
  <c r="R338" i="1"/>
  <c r="R4179" i="1"/>
  <c r="R1769" i="1"/>
  <c r="R1389" i="1"/>
  <c r="R3886" i="1"/>
  <c r="R4779" i="1"/>
  <c r="R3241" i="1"/>
  <c r="R3258" i="1"/>
  <c r="R4224" i="1"/>
  <c r="R2666" i="1"/>
  <c r="R4584" i="1"/>
  <c r="R1992" i="1"/>
  <c r="R68" i="1"/>
  <c r="R5004" i="1"/>
  <c r="R4595" i="1"/>
  <c r="R836" i="1"/>
  <c r="R1831" i="1"/>
  <c r="R565" i="1"/>
  <c r="R3737" i="1"/>
  <c r="R3867" i="1"/>
  <c r="R331" i="1"/>
  <c r="R1203" i="1"/>
  <c r="R4817" i="1"/>
  <c r="R2649" i="1"/>
  <c r="R3017" i="1"/>
  <c r="R3518" i="1"/>
  <c r="R480" i="1"/>
  <c r="R4905" i="1"/>
  <c r="R4752" i="1"/>
  <c r="R82" i="1"/>
  <c r="R3998" i="1"/>
  <c r="R1895" i="1"/>
  <c r="R3252" i="1"/>
  <c r="R368" i="1"/>
  <c r="R1136" i="1"/>
  <c r="R4354" i="1"/>
  <c r="R1610" i="1"/>
  <c r="R554" i="1"/>
  <c r="R3604" i="1"/>
  <c r="R1263" i="1"/>
  <c r="R4369" i="1"/>
  <c r="R52" i="1"/>
  <c r="R3896" i="1"/>
  <c r="R2495" i="1"/>
  <c r="R4444" i="1"/>
  <c r="R4699" i="1"/>
  <c r="R1518" i="1"/>
  <c r="R2083" i="1"/>
  <c r="R1803" i="1"/>
  <c r="R357" i="1"/>
  <c r="R322" i="1"/>
  <c r="R2052" i="1"/>
  <c r="R2474" i="1"/>
  <c r="R965" i="1"/>
  <c r="R3463" i="1"/>
  <c r="R2506" i="1"/>
  <c r="R4463" i="1"/>
  <c r="R467" i="1"/>
  <c r="R2402" i="1"/>
  <c r="R177" i="1"/>
  <c r="R202" i="1"/>
  <c r="R4671" i="1"/>
  <c r="R2520" i="1"/>
  <c r="R2121" i="1"/>
  <c r="R4500" i="1"/>
  <c r="R4653" i="1"/>
  <c r="R861" i="1"/>
  <c r="R2549" i="1"/>
  <c r="R1038" i="1"/>
  <c r="R2593" i="1"/>
  <c r="R2059" i="1"/>
  <c r="R3911" i="1"/>
  <c r="R725" i="1"/>
  <c r="R4703" i="1"/>
  <c r="R4477" i="1"/>
  <c r="R2691" i="1"/>
  <c r="R2167" i="1"/>
  <c r="R4148" i="1"/>
  <c r="R1391" i="1"/>
  <c r="R2531" i="1"/>
  <c r="R4104" i="1"/>
  <c r="R4123" i="1"/>
  <c r="R2177" i="1"/>
  <c r="R1509" i="1"/>
  <c r="R3763" i="1"/>
  <c r="R3388" i="1"/>
  <c r="R3669" i="1"/>
  <c r="R3697" i="1"/>
  <c r="R3979" i="1"/>
  <c r="R4382" i="1"/>
  <c r="R4210" i="1"/>
  <c r="R847" i="1"/>
  <c r="R4160" i="1"/>
  <c r="R130" i="1"/>
  <c r="R916" i="1"/>
  <c r="R1490" i="1"/>
  <c r="R123" i="1"/>
  <c r="R1426" i="1"/>
  <c r="R3477" i="1"/>
  <c r="R1910" i="1"/>
  <c r="R4610" i="1"/>
  <c r="R1235" i="1"/>
  <c r="R2045" i="1"/>
  <c r="R1254" i="1"/>
  <c r="R2223" i="1"/>
  <c r="R2031" i="1"/>
  <c r="R4539" i="1"/>
  <c r="R4676" i="1"/>
  <c r="R3324" i="1"/>
  <c r="R3438" i="1"/>
  <c r="R1468" i="1"/>
  <c r="R3357" i="1"/>
  <c r="R3897" i="1"/>
  <c r="R3499" i="1"/>
  <c r="R3674" i="1"/>
  <c r="R3319" i="1"/>
  <c r="R1756" i="1"/>
  <c r="R1585" i="1"/>
  <c r="R761" i="1"/>
  <c r="R346" i="1"/>
  <c r="R4907" i="1"/>
  <c r="R2542" i="1"/>
  <c r="R1628" i="1"/>
  <c r="R4076" i="1"/>
  <c r="R4607" i="1"/>
  <c r="R4457" i="1"/>
  <c r="R4740" i="1"/>
  <c r="R509" i="1"/>
  <c r="R5003" i="1"/>
  <c r="R134" i="1"/>
  <c r="R2327" i="1"/>
  <c r="R4029" i="1"/>
  <c r="R4347" i="1"/>
  <c r="R115" i="1"/>
  <c r="R1986" i="1"/>
  <c r="R4913" i="1"/>
  <c r="R1482" i="1"/>
  <c r="R1710" i="1"/>
  <c r="R1644" i="1"/>
  <c r="R717" i="1"/>
  <c r="R3147" i="1"/>
  <c r="R1173" i="1"/>
  <c r="R413" i="1"/>
  <c r="R2345" i="1"/>
  <c r="R521" i="1"/>
  <c r="R2534" i="1"/>
  <c r="R4163" i="1"/>
  <c r="R1496" i="1"/>
  <c r="R2496" i="1"/>
  <c r="R364" i="1"/>
  <c r="R184" i="1"/>
  <c r="R1725" i="1"/>
  <c r="R3111" i="1"/>
  <c r="R754" i="1"/>
  <c r="R1309" i="1"/>
  <c r="R2742" i="1"/>
  <c r="R3949" i="1"/>
  <c r="R3635" i="1"/>
  <c r="R808" i="1"/>
  <c r="R90" i="1"/>
  <c r="R1965" i="1"/>
  <c r="R1492" i="1"/>
  <c r="R2184" i="1"/>
  <c r="R2432" i="1"/>
  <c r="R3182" i="1"/>
  <c r="R2657" i="1"/>
  <c r="R3082" i="1"/>
  <c r="R3278" i="1"/>
  <c r="R214" i="1"/>
  <c r="R2398" i="1"/>
  <c r="R4536" i="1"/>
  <c r="R2979" i="1"/>
  <c r="R2243" i="1"/>
  <c r="R3014" i="1"/>
  <c r="R3900" i="1"/>
  <c r="R1141" i="1"/>
  <c r="R2201" i="1"/>
  <c r="R663" i="1"/>
  <c r="R3688" i="1"/>
  <c r="R1001" i="1"/>
  <c r="R3034" i="1"/>
  <c r="R1200" i="1"/>
  <c r="R1852" i="1"/>
  <c r="R2085" i="1"/>
  <c r="R3367" i="1"/>
  <c r="R4965" i="1"/>
  <c r="R994" i="1"/>
  <c r="R972" i="1"/>
  <c r="R838" i="1"/>
  <c r="R1612" i="1"/>
  <c r="R4330" i="1"/>
  <c r="R459" i="1"/>
  <c r="R4887" i="1"/>
  <c r="R2315" i="1"/>
  <c r="R1218" i="1"/>
  <c r="R3904" i="1"/>
  <c r="R1438" i="1"/>
  <c r="R2546" i="1"/>
  <c r="R3510" i="1"/>
  <c r="R143" i="1"/>
  <c r="R4480" i="1"/>
  <c r="R4099" i="1"/>
  <c r="R1660" i="1"/>
  <c r="R287" i="1"/>
  <c r="R2020" i="1"/>
  <c r="R3488" i="1"/>
  <c r="R1271" i="1"/>
  <c r="R4912" i="1"/>
  <c r="R1702" i="1"/>
  <c r="R4540" i="1"/>
  <c r="R4751" i="1"/>
  <c r="R4300" i="1"/>
  <c r="R1282" i="1"/>
  <c r="R2796" i="1"/>
  <c r="R260" i="1"/>
  <c r="R685" i="1"/>
  <c r="R1340" i="1"/>
  <c r="R4119" i="1"/>
  <c r="R2611" i="1"/>
  <c r="R1434" i="1"/>
  <c r="R4101" i="1"/>
  <c r="R3792" i="1"/>
  <c r="R243" i="1"/>
  <c r="R3623" i="1"/>
  <c r="R3929" i="1"/>
  <c r="R2962" i="1"/>
  <c r="R985" i="1"/>
  <c r="R3202" i="1"/>
  <c r="R4156" i="1"/>
  <c r="R3906" i="1"/>
  <c r="R1846" i="1"/>
  <c r="R3698" i="1"/>
  <c r="R755" i="1"/>
  <c r="R4795" i="1"/>
  <c r="R4297" i="1"/>
  <c r="R405" i="1"/>
  <c r="R4854" i="1"/>
  <c r="R771" i="1"/>
  <c r="R3974" i="1"/>
  <c r="R4672" i="1"/>
  <c r="R1825" i="1"/>
  <c r="R1579" i="1"/>
  <c r="R3386" i="1"/>
  <c r="R4927" i="1"/>
  <c r="R333" i="1"/>
  <c r="R389" i="1"/>
  <c r="R4850" i="1"/>
  <c r="R3415" i="1"/>
  <c r="R3440" i="1"/>
  <c r="R744" i="1"/>
  <c r="R2156" i="1"/>
  <c r="R2953" i="1"/>
  <c r="R484" i="1"/>
  <c r="R303" i="1"/>
  <c r="R4708" i="1"/>
  <c r="R4694" i="1"/>
  <c r="R1945" i="1"/>
  <c r="R843" i="1"/>
  <c r="R2923" i="1"/>
  <c r="R2240" i="1"/>
  <c r="R1059" i="1"/>
  <c r="R1515" i="1"/>
  <c r="R892" i="1"/>
  <c r="R1473" i="1"/>
  <c r="R1349" i="1"/>
  <c r="R2784" i="1"/>
  <c r="R2251" i="1"/>
  <c r="R1623" i="1"/>
  <c r="R908" i="1"/>
  <c r="R4782" i="1"/>
  <c r="R3062" i="1"/>
  <c r="R4509" i="1"/>
  <c r="R56" i="1"/>
  <c r="R3070" i="1"/>
  <c r="R4668" i="1"/>
  <c r="R3695" i="1"/>
  <c r="R2113" i="1"/>
  <c r="R1652" i="1"/>
  <c r="R1493" i="1"/>
  <c r="R578" i="1"/>
  <c r="R4802" i="1"/>
  <c r="R979" i="1"/>
  <c r="R4251" i="1"/>
  <c r="R2408" i="1"/>
  <c r="R1222" i="1"/>
  <c r="R1253" i="1"/>
  <c r="R3131" i="1"/>
  <c r="R4987" i="1"/>
  <c r="R1105" i="1"/>
  <c r="R354" i="1"/>
  <c r="R4810" i="1"/>
  <c r="R776" i="1"/>
  <c r="R2224" i="1"/>
  <c r="R4567" i="1"/>
  <c r="R2268" i="1"/>
  <c r="R2207" i="1"/>
  <c r="R2655" i="1"/>
  <c r="R4707" i="1"/>
  <c r="R4236" i="1"/>
  <c r="R3042" i="1"/>
  <c r="R1255" i="1"/>
  <c r="R3065" i="1"/>
  <c r="R220" i="1"/>
  <c r="R4931" i="1"/>
  <c r="R32" i="1"/>
  <c r="R2710" i="1"/>
  <c r="R4592" i="1"/>
  <c r="R4125" i="1"/>
  <c r="R3742" i="1"/>
  <c r="R920" i="1"/>
  <c r="R4756" i="1"/>
  <c r="R1964" i="1"/>
  <c r="R2647" i="1"/>
  <c r="R682" i="1"/>
  <c r="R3928" i="1"/>
  <c r="R3961" i="1"/>
  <c r="R79" i="1"/>
  <c r="R3636" i="1"/>
  <c r="R1741" i="1"/>
  <c r="R1180" i="1"/>
  <c r="R859" i="1"/>
  <c r="R784" i="1"/>
  <c r="R1436" i="1"/>
  <c r="R2891" i="1"/>
  <c r="R4550" i="1"/>
  <c r="R2350" i="1"/>
  <c r="R3879" i="1"/>
  <c r="R2834" i="1"/>
  <c r="R4995" i="1"/>
  <c r="R4665" i="1"/>
  <c r="R3772" i="1"/>
  <c r="R2254" i="1"/>
  <c r="R4479" i="1"/>
  <c r="R4461" i="1"/>
  <c r="R3113" i="1"/>
  <c r="R3624" i="1"/>
  <c r="R2416" i="1"/>
  <c r="R2483" i="1"/>
  <c r="R830" i="1"/>
  <c r="R1924" i="1"/>
  <c r="R1361" i="1"/>
  <c r="R929" i="1"/>
  <c r="R628" i="1"/>
  <c r="R1174" i="1"/>
  <c r="R610" i="1"/>
  <c r="R860" i="1"/>
  <c r="R4063" i="1"/>
  <c r="R2499" i="1"/>
  <c r="R446" i="1"/>
  <c r="R687" i="1"/>
  <c r="R3038" i="1"/>
  <c r="R4767" i="1"/>
  <c r="R878" i="1"/>
  <c r="R1780" i="1"/>
  <c r="R1196" i="1"/>
  <c r="R4820" i="1"/>
  <c r="R3602" i="1"/>
  <c r="R2730" i="1"/>
  <c r="R3178" i="1"/>
  <c r="R4775" i="1"/>
  <c r="R3427" i="1"/>
  <c r="R1268" i="1"/>
  <c r="R89" i="1"/>
  <c r="R1807" i="1"/>
  <c r="R1172" i="1"/>
  <c r="R2639" i="1"/>
  <c r="R1251" i="1"/>
  <c r="R2468" i="1"/>
  <c r="R3306" i="1"/>
  <c r="R4804" i="1"/>
  <c r="R4832" i="1"/>
  <c r="R4068" i="1"/>
  <c r="R2378" i="1"/>
  <c r="R142" i="1"/>
  <c r="R4478" i="1"/>
  <c r="R834" i="1"/>
  <c r="R4416" i="1"/>
  <c r="R605" i="1"/>
  <c r="R1873" i="1"/>
  <c r="R2954" i="1"/>
  <c r="R1244" i="1"/>
  <c r="R4322" i="1"/>
  <c r="R4315" i="1"/>
  <c r="R258" i="1"/>
  <c r="R211" i="1"/>
  <c r="R308" i="1"/>
  <c r="R4571" i="1"/>
  <c r="R742" i="1"/>
  <c r="R3208" i="1"/>
  <c r="R4083" i="1"/>
  <c r="R613" i="1"/>
  <c r="R3951" i="1"/>
  <c r="R486" i="1"/>
  <c r="R432" i="1"/>
  <c r="R1805" i="1"/>
  <c r="R226" i="1"/>
  <c r="R3465" i="1"/>
  <c r="R100" i="1"/>
  <c r="R1044" i="1"/>
  <c r="R2789" i="1"/>
  <c r="R4325" i="1"/>
  <c r="R3195" i="1"/>
  <c r="R4286" i="1"/>
  <c r="R1640" i="1"/>
  <c r="R3871" i="1"/>
  <c r="R3185" i="1"/>
  <c r="R990" i="1"/>
  <c r="R1183" i="1"/>
  <c r="R987" i="1"/>
  <c r="R4207" i="1"/>
  <c r="R2494" i="1"/>
  <c r="R3824" i="1"/>
  <c r="R2940" i="1"/>
  <c r="R507" i="1"/>
  <c r="R1305" i="1"/>
  <c r="R2837" i="1"/>
  <c r="R2183" i="1"/>
  <c r="R225" i="1"/>
  <c r="R897" i="1"/>
  <c r="R4844" i="1"/>
  <c r="R3903" i="1"/>
  <c r="R1237" i="1"/>
  <c r="R1743" i="1"/>
  <c r="R751" i="1"/>
  <c r="R2307" i="1"/>
  <c r="R3220" i="1"/>
  <c r="R1238" i="1"/>
  <c r="R4355" i="1"/>
  <c r="R633" i="1"/>
  <c r="R3967" i="1"/>
  <c r="R1764" i="1"/>
  <c r="R3689" i="1"/>
  <c r="R1864" i="1"/>
  <c r="R2103" i="1"/>
  <c r="R1844" i="1"/>
  <c r="R3795" i="1"/>
  <c r="R2169" i="1"/>
  <c r="R4992" i="1"/>
  <c r="R2876" i="1"/>
  <c r="R2676" i="1"/>
  <c r="R3152" i="1"/>
  <c r="R490" i="1"/>
  <c r="R535" i="1"/>
  <c r="R2322" i="1"/>
  <c r="R3160" i="1"/>
  <c r="R319" i="1"/>
  <c r="R1549" i="1"/>
  <c r="R3534" i="1"/>
  <c r="R1407" i="1"/>
  <c r="R4531" i="1"/>
  <c r="R2924" i="1"/>
  <c r="R1653" i="1"/>
  <c r="R2067" i="1"/>
  <c r="R318" i="1"/>
  <c r="R4944" i="1"/>
  <c r="R1570" i="1"/>
  <c r="R1286" i="1"/>
  <c r="R2866" i="1"/>
  <c r="R3547" i="1"/>
  <c r="R3481" i="1"/>
  <c r="R1331" i="1"/>
  <c r="R2910" i="1"/>
  <c r="R2737" i="1"/>
  <c r="R937" i="1"/>
  <c r="R109" i="1"/>
  <c r="R1394" i="1"/>
  <c r="R3584" i="1"/>
  <c r="R2324" i="1"/>
  <c r="R452" i="1"/>
  <c r="R1744" i="1"/>
  <c r="R2714" i="1"/>
  <c r="R2272" i="1"/>
  <c r="R3151" i="1"/>
  <c r="R1960" i="1"/>
  <c r="R3485" i="1"/>
  <c r="R4185" i="1"/>
  <c r="R1103" i="1"/>
  <c r="R1120" i="1"/>
  <c r="R647" i="1"/>
  <c r="R3396" i="1"/>
  <c r="R4126" i="1"/>
  <c r="R1578" i="1"/>
  <c r="R2524" i="1"/>
  <c r="R3144" i="1"/>
  <c r="R2653" i="1"/>
  <c r="R3637" i="1"/>
  <c r="R1883" i="1"/>
  <c r="R4633" i="1"/>
  <c r="R1279" i="1"/>
  <c r="R2947" i="1"/>
  <c r="R3982" i="1"/>
  <c r="R1367" i="1"/>
  <c r="R731" i="1"/>
  <c r="R99" i="1"/>
  <c r="R969" i="1"/>
  <c r="R3646" i="1"/>
  <c r="R1672" i="1"/>
  <c r="R2988" i="1"/>
  <c r="R3012" i="1"/>
  <c r="R1258" i="1"/>
  <c r="R2204" i="1"/>
  <c r="R430" i="1"/>
  <c r="R38" i="1"/>
  <c r="R1229" i="1"/>
  <c r="R3216" i="1"/>
  <c r="R4519" i="1"/>
  <c r="R2931" i="1"/>
  <c r="R705" i="1"/>
  <c r="R3370" i="1"/>
  <c r="R3389" i="1"/>
  <c r="R4525" i="1"/>
  <c r="R1754" i="1"/>
  <c r="R1595" i="1"/>
  <c r="R4303" i="1"/>
  <c r="R2687" i="1"/>
  <c r="R555" i="1"/>
  <c r="R1028" i="1"/>
  <c r="R656" i="1"/>
  <c r="R1823" i="1"/>
  <c r="R1532" i="1"/>
  <c r="R4569" i="1"/>
  <c r="R2971" i="1"/>
  <c r="R2205" i="1"/>
  <c r="R4588" i="1"/>
  <c r="R2497" i="1"/>
  <c r="R4948" i="1"/>
  <c r="R3634" i="1"/>
  <c r="R2053" i="1"/>
  <c r="R3193" i="1"/>
  <c r="R1790" i="1"/>
  <c r="R1530" i="1"/>
  <c r="R3060" i="1"/>
  <c r="R3585" i="1"/>
  <c r="R3275" i="1"/>
  <c r="R3969" i="1"/>
  <c r="R2811" i="1"/>
  <c r="R732" i="1"/>
  <c r="R4858" i="1"/>
  <c r="R4898" i="1"/>
  <c r="R1090" i="1"/>
  <c r="R624" i="1"/>
  <c r="R657" i="1"/>
  <c r="R2667" i="1"/>
  <c r="R324" i="1"/>
  <c r="R2012" i="1"/>
  <c r="R4217" i="1"/>
  <c r="R2889" i="1"/>
  <c r="R4180" i="1"/>
  <c r="R62" i="1"/>
  <c r="R1658" i="1"/>
  <c r="R2466" i="1"/>
  <c r="R3995" i="1"/>
  <c r="R1053" i="1"/>
  <c r="R4790" i="1"/>
  <c r="R823" i="1"/>
  <c r="R739" i="1"/>
  <c r="R412" i="1"/>
  <c r="R901" i="1"/>
  <c r="R1766" i="1"/>
  <c r="R2060" i="1"/>
  <c r="R4168" i="1"/>
  <c r="R4383" i="1"/>
  <c r="R4495" i="1"/>
  <c r="R2852" i="1"/>
  <c r="R2857" i="1"/>
  <c r="R131" i="1"/>
  <c r="R3506" i="1"/>
  <c r="R2473" i="1"/>
  <c r="R3836" i="1"/>
  <c r="R2194" i="1"/>
  <c r="R401" i="1"/>
  <c r="R4145" i="1"/>
  <c r="R3593" i="1"/>
  <c r="R1997" i="1"/>
  <c r="R2044" i="1"/>
  <c r="R2696" i="1"/>
  <c r="R4823" i="1"/>
  <c r="R2885" i="1"/>
  <c r="R4193" i="1"/>
  <c r="R665" i="1"/>
  <c r="R2068" i="1"/>
  <c r="R356" i="1"/>
  <c r="R448" i="1"/>
  <c r="R749" i="1"/>
  <c r="R1733" i="1"/>
  <c r="R2330" i="1"/>
  <c r="R3732" i="1"/>
  <c r="R2973" i="1"/>
  <c r="R2091" i="1"/>
  <c r="R874" i="1"/>
  <c r="R4384" i="1"/>
  <c r="R4776" i="1"/>
  <c r="R313" i="1"/>
  <c r="R1461" i="1"/>
  <c r="R2401" i="1"/>
  <c r="R1201" i="1"/>
  <c r="R3501" i="1"/>
  <c r="R4327" i="1"/>
  <c r="R2987" i="1"/>
  <c r="R2406" i="1"/>
  <c r="R4894" i="1"/>
  <c r="R3310" i="1"/>
  <c r="R601" i="1"/>
  <c r="R2870" i="1"/>
  <c r="R1384" i="1"/>
  <c r="R553" i="1"/>
  <c r="R2358" i="1"/>
  <c r="R4357" i="1"/>
  <c r="R4086" i="1"/>
  <c r="R743" i="1"/>
  <c r="R2562" i="1"/>
  <c r="R295" i="1"/>
  <c r="R4701" i="1"/>
  <c r="R1459" i="1"/>
  <c r="R2658" i="1"/>
  <c r="R924" i="1"/>
  <c r="R4260" i="1"/>
  <c r="R1955" i="1"/>
  <c r="R3741" i="1"/>
  <c r="R1902" i="1"/>
  <c r="R3794" i="1"/>
  <c r="R2386" i="1"/>
  <c r="R3108" i="1"/>
  <c r="R4366" i="1"/>
  <c r="R1879" i="1"/>
  <c r="R734" i="1"/>
  <c r="R4195" i="1"/>
  <c r="R698" i="1"/>
  <c r="R2487" i="1"/>
  <c r="R1224" i="1"/>
  <c r="R268" i="1"/>
  <c r="R334" i="1"/>
  <c r="R4274" i="1"/>
  <c r="R2454" i="1"/>
  <c r="R2615" i="1"/>
  <c r="R1739" i="1"/>
  <c r="R4600" i="1"/>
  <c r="R2144" i="1"/>
  <c r="R2450" i="1"/>
  <c r="R3667" i="1"/>
  <c r="R1646" i="1"/>
  <c r="R2957" i="1"/>
  <c r="R2486" i="1"/>
  <c r="R352" i="1"/>
  <c r="R2136" i="1"/>
  <c r="R1512" i="1"/>
  <c r="R4373" i="1"/>
  <c r="R4537" i="1"/>
  <c r="R4281" i="1"/>
  <c r="R798" i="1"/>
  <c r="R4408" i="1"/>
  <c r="R4094" i="1"/>
  <c r="R1615" i="1"/>
  <c r="R3016" i="1"/>
  <c r="R1480" i="1"/>
  <c r="R3057" i="1"/>
  <c r="R3827" i="1"/>
  <c r="R2411" i="1"/>
  <c r="R3546" i="1"/>
  <c r="R1887" i="1"/>
  <c r="R2723" i="1"/>
  <c r="R1445" i="1"/>
  <c r="R1208" i="1"/>
  <c r="R3457" i="1"/>
  <c r="R1124" i="1"/>
  <c r="R941" i="1"/>
  <c r="R856" i="1"/>
  <c r="R1066" i="1"/>
  <c r="R3936" i="1"/>
  <c r="R393" i="1"/>
  <c r="R103" i="1"/>
  <c r="R1906" i="1"/>
  <c r="R1210" i="1"/>
  <c r="R3981" i="1"/>
  <c r="R4700" i="1"/>
  <c r="R2892" i="1"/>
  <c r="R4335" i="1"/>
  <c r="R3172" i="1"/>
  <c r="R2859" i="1"/>
  <c r="R1980" i="1"/>
  <c r="R526" i="1"/>
  <c r="R1947" i="1"/>
  <c r="R4206" i="1"/>
  <c r="R4749" i="1"/>
  <c r="R3877" i="1"/>
  <c r="R2592" i="1"/>
  <c r="R4615" i="1"/>
  <c r="R2810" i="1"/>
  <c r="R2547" i="1"/>
  <c r="R791" i="1"/>
  <c r="R256" i="1"/>
  <c r="R730" i="1"/>
  <c r="R1158" i="1"/>
  <c r="R4715" i="1"/>
  <c r="R2990" i="1"/>
  <c r="R1913" i="1"/>
  <c r="R3217" i="1"/>
  <c r="R3972" i="1"/>
  <c r="R203" i="1"/>
  <c r="R4972" i="1"/>
  <c r="R2117" i="1"/>
  <c r="R2728" i="1"/>
  <c r="R4836" i="1"/>
  <c r="R3456" i="1"/>
  <c r="R204" i="1"/>
  <c r="R2192" i="1"/>
  <c r="R3986" i="1"/>
  <c r="R1768" i="1"/>
  <c r="R2641" i="1"/>
  <c r="R66" i="1"/>
  <c r="R788" i="1"/>
  <c r="R2420" i="1"/>
  <c r="R281" i="1"/>
  <c r="R3095" i="1"/>
  <c r="R154" i="1"/>
  <c r="R4542" i="1"/>
  <c r="R273" i="1"/>
  <c r="R1922" i="1"/>
  <c r="R4470" i="1"/>
  <c r="R3662" i="1"/>
  <c r="R1667" i="1"/>
  <c r="R2873" i="1"/>
  <c r="R10" i="1"/>
  <c r="R2090" i="1"/>
  <c r="R3294" i="1"/>
  <c r="R4140" i="1"/>
  <c r="R1464" i="1"/>
  <c r="R3639" i="1"/>
  <c r="R3857" i="1"/>
  <c r="R4721" i="1"/>
  <c r="R4439" i="1"/>
  <c r="R3207" i="1"/>
  <c r="R1607" i="1"/>
  <c r="R4400" i="1"/>
  <c r="R3941" i="1"/>
  <c r="R4874" i="1"/>
  <c r="R1925" i="1"/>
  <c r="R2526" i="1"/>
  <c r="R1265" i="1"/>
  <c r="R2805" i="1"/>
  <c r="R410" i="1"/>
  <c r="R2021" i="1"/>
  <c r="R4743" i="1"/>
  <c r="R975" i="1"/>
  <c r="R3825" i="1"/>
  <c r="R1126" i="1"/>
  <c r="R3630" i="1"/>
  <c r="R1153" i="1"/>
  <c r="R327" i="1"/>
  <c r="R4969" i="1"/>
  <c r="R2551" i="1"/>
  <c r="R1715" i="1"/>
  <c r="R764" i="1"/>
  <c r="R702" i="1"/>
  <c r="R658" i="1"/>
  <c r="R2191" i="1"/>
  <c r="R2724" i="1"/>
  <c r="R2344" i="1"/>
  <c r="R914" i="1"/>
  <c r="R2155" i="1"/>
  <c r="R1239" i="1"/>
  <c r="R189" i="1"/>
  <c r="R19" i="1"/>
  <c r="R3991" i="1"/>
  <c r="R4296" i="1"/>
  <c r="R3053" i="1"/>
  <c r="R4880" i="1"/>
  <c r="R4106" i="1"/>
  <c r="R1435" i="1"/>
  <c r="R2725" i="1"/>
  <c r="R2620" i="1"/>
  <c r="R3704" i="1"/>
  <c r="R2933" i="1"/>
  <c r="R274" i="1"/>
  <c r="R4732" i="1"/>
  <c r="R2999" i="1"/>
  <c r="R2709" i="1"/>
  <c r="R358" i="1"/>
  <c r="R3450" i="1"/>
  <c r="R3932" i="1"/>
  <c r="R3555" i="1"/>
  <c r="R4869" i="1"/>
  <c r="R511" i="1"/>
  <c r="R4006" i="1"/>
  <c r="R4490" i="1"/>
  <c r="R654" i="1"/>
  <c r="R1524" i="1"/>
  <c r="R2922" i="1"/>
  <c r="R927" i="1"/>
  <c r="R940" i="1"/>
  <c r="R2543" i="1"/>
  <c r="R3876" i="1"/>
  <c r="R2264" i="1"/>
  <c r="R637" i="1"/>
  <c r="R4443" i="1"/>
  <c r="R3029" i="1"/>
  <c r="R4747" i="1"/>
  <c r="R2288" i="1"/>
  <c r="R1456" i="1"/>
  <c r="R1603" i="1"/>
  <c r="R2436" i="1"/>
  <c r="R1414" i="1"/>
  <c r="R814" i="1"/>
  <c r="R2845" i="1"/>
  <c r="R3734" i="1"/>
  <c r="R3068" i="1"/>
  <c r="R125" i="1"/>
  <c r="R1696" i="1"/>
  <c r="R1713" i="1"/>
  <c r="R971" i="1"/>
  <c r="R1827" i="1"/>
  <c r="R2614" i="1"/>
  <c r="R1818" i="1"/>
  <c r="R2544" i="1"/>
  <c r="R2692" i="1"/>
  <c r="R2913" i="1"/>
  <c r="R977" i="1"/>
  <c r="R1669" i="1"/>
  <c r="R3552" i="1"/>
  <c r="R390" i="1"/>
  <c r="R3352" i="1"/>
  <c r="R425" i="1"/>
  <c r="R193" i="1"/>
  <c r="R3455" i="1"/>
  <c r="R1416" i="1"/>
  <c r="R4042" i="1"/>
  <c r="R4811" i="1"/>
  <c r="R775" i="1"/>
  <c r="R3262" i="1"/>
  <c r="R4866" i="1"/>
  <c r="R2621" i="1"/>
  <c r="R3512" i="1"/>
  <c r="R786" i="1"/>
  <c r="R1266" i="1"/>
  <c r="R4733" i="1"/>
  <c r="R1806" i="1"/>
  <c r="R3478" i="1"/>
  <c r="R1961" i="1"/>
  <c r="R2210" i="1"/>
  <c r="R4412" i="1"/>
  <c r="R3829" i="1"/>
  <c r="R3270" i="1"/>
  <c r="R2225" i="1"/>
  <c r="R931" i="1"/>
  <c r="R2337" i="1"/>
  <c r="R3548" i="1"/>
  <c r="R4356" i="1"/>
  <c r="R3592" i="1"/>
  <c r="R1294" i="1"/>
  <c r="R1601" i="1"/>
  <c r="R4719" i="1"/>
  <c r="R2846" i="1"/>
  <c r="R2233" i="1"/>
  <c r="R2273" i="1"/>
  <c r="R952" i="1"/>
  <c r="R4648" i="1"/>
  <c r="R1013" i="1"/>
  <c r="R2577" i="1"/>
  <c r="R2158" i="1"/>
  <c r="R4512" i="1"/>
  <c r="R4419" i="1"/>
  <c r="R2759" i="1"/>
  <c r="R1881" i="1"/>
  <c r="R1175" i="1"/>
  <c r="R4151" i="1"/>
  <c r="R2554" i="1"/>
  <c r="R2316" i="1"/>
  <c r="R375" i="1"/>
  <c r="R2751" i="1"/>
  <c r="R107" i="1"/>
  <c r="R4258" i="1"/>
  <c r="R3898" i="1"/>
  <c r="R947" i="1"/>
  <c r="R930" i="1"/>
  <c r="R4658" i="1"/>
  <c r="R1374" i="1"/>
  <c r="R1574" i="1"/>
  <c r="R4642" i="1"/>
  <c r="R3078" i="1"/>
  <c r="R347" i="1"/>
  <c r="R1023" i="1"/>
  <c r="R3626" i="1"/>
  <c r="R899" i="1"/>
  <c r="R4046" i="1"/>
  <c r="R1761" i="1"/>
  <c r="R1451" i="1"/>
  <c r="R1534" i="1"/>
  <c r="R4175" i="1"/>
  <c r="R1838" i="1"/>
  <c r="R862" i="1"/>
  <c r="R4651" i="1"/>
  <c r="R871" i="1"/>
  <c r="R772" i="1"/>
  <c r="R3066" i="1"/>
  <c r="R574" i="1"/>
  <c r="R3712" i="1"/>
  <c r="R846" i="1"/>
  <c r="R2790" i="1"/>
  <c r="R2256" i="1"/>
  <c r="R2774" i="1"/>
  <c r="R2567" i="1"/>
  <c r="R2705" i="1"/>
  <c r="R3517" i="1"/>
  <c r="R1280" i="1"/>
  <c r="R3145" i="1"/>
  <c r="R2323" i="1"/>
  <c r="R550" i="1"/>
  <c r="R3194" i="1"/>
  <c r="R1655" i="1"/>
  <c r="R2515" i="1"/>
  <c r="R1539" i="1"/>
  <c r="R573" i="1"/>
  <c r="R298" i="1"/>
  <c r="R3102" i="1"/>
  <c r="R2902" i="1"/>
  <c r="R602" i="1"/>
  <c r="R3946" i="1"/>
  <c r="R2284" i="1"/>
  <c r="R3338" i="1"/>
  <c r="R159" i="1"/>
  <c r="R3018" i="1"/>
  <c r="R2685" i="1"/>
  <c r="R3329" i="1"/>
  <c r="R472" i="1"/>
  <c r="R4570" i="1"/>
  <c r="R1974" i="1"/>
  <c r="R2648" i="1"/>
  <c r="R1540" i="1"/>
  <c r="R3687" i="1"/>
  <c r="R2352" i="1"/>
  <c r="R2390" i="1"/>
  <c r="R1034" i="1"/>
  <c r="R3390" i="1"/>
  <c r="R4565" i="1"/>
  <c r="R4365" i="1"/>
  <c r="R2764" i="1"/>
  <c r="R932" i="1"/>
  <c r="R4466" i="1"/>
  <c r="R40" i="1"/>
  <c r="R121" i="1"/>
  <c r="R420" i="1"/>
  <c r="R1377" i="1"/>
  <c r="R3838" i="1"/>
  <c r="R4430" i="1"/>
  <c r="R4107" i="1"/>
  <c r="R2580" i="1"/>
  <c r="R4085" i="1"/>
  <c r="R813" i="1"/>
  <c r="R3403" i="1"/>
  <c r="R2716" i="1"/>
  <c r="R3087" i="1"/>
  <c r="R1457" i="1"/>
  <c r="R4467" i="1"/>
  <c r="R1541" i="1"/>
  <c r="R325" i="1"/>
  <c r="R2355" i="1"/>
  <c r="R289" i="1"/>
  <c r="R795" i="1"/>
  <c r="R2447" i="1"/>
  <c r="R2986" i="1"/>
  <c r="R2440" i="1"/>
  <c r="R1071" i="1"/>
  <c r="R1152" i="1"/>
  <c r="R3323" i="1"/>
  <c r="R1089" i="1"/>
  <c r="R1581" i="1"/>
  <c r="R790" i="1"/>
  <c r="R3180" i="1"/>
  <c r="R97" i="1"/>
  <c r="R3878" i="1"/>
  <c r="R1476" i="1"/>
  <c r="R300" i="1"/>
  <c r="R4367" i="1"/>
  <c r="R4888" i="1"/>
  <c r="R3641" i="1"/>
  <c r="R670" i="1"/>
  <c r="R943" i="1"/>
  <c r="R826" i="1"/>
  <c r="R4957" i="1"/>
  <c r="R1634" i="1"/>
  <c r="R2311" i="1"/>
  <c r="R4112" i="1"/>
  <c r="R456" i="1"/>
  <c r="R2016" i="1"/>
  <c r="R2135" i="1"/>
  <c r="R3757" i="1"/>
  <c r="R3706" i="1"/>
  <c r="R4815" i="1"/>
  <c r="R976" i="1"/>
  <c r="R210" i="1"/>
  <c r="R4483" i="1"/>
  <c r="R3783" i="1"/>
  <c r="R1517" i="1"/>
  <c r="R4849" i="1"/>
  <c r="R3767" i="1"/>
  <c r="R57" i="1"/>
  <c r="R2131" i="1"/>
  <c r="R1547" i="1"/>
  <c r="R2348" i="1"/>
  <c r="R4690" i="1"/>
  <c r="R4092" i="1"/>
  <c r="R1500" i="1"/>
  <c r="R2678" i="1"/>
  <c r="R4135" i="1"/>
  <c r="R2372" i="1"/>
  <c r="R2300" i="1"/>
  <c r="R3605" i="1"/>
  <c r="R850" i="1"/>
  <c r="R3064" i="1"/>
  <c r="R2321" i="1"/>
  <c r="R4614" i="1"/>
  <c r="R1069" i="1"/>
  <c r="R366" i="1"/>
  <c r="R2934" i="1"/>
  <c r="R2199" i="1"/>
  <c r="R4070" i="1"/>
  <c r="R2289" i="1"/>
  <c r="R3430" i="1"/>
  <c r="R3880" i="1"/>
  <c r="R1142" i="1"/>
  <c r="R2222" i="1"/>
  <c r="R1204" i="1"/>
  <c r="R4974" i="1"/>
  <c r="R4515" i="1"/>
  <c r="R3159" i="1"/>
  <c r="R4514" i="1"/>
  <c r="R1637" i="1"/>
  <c r="R2899" i="1"/>
  <c r="R231" i="1"/>
  <c r="R1014" i="1"/>
  <c r="R4024" i="1"/>
  <c r="R2424" i="1"/>
  <c r="R2471" i="1"/>
  <c r="R4111" i="1"/>
  <c r="R2217" i="1"/>
  <c r="R4018" i="1"/>
  <c r="R3265" i="1"/>
  <c r="R1589" i="1"/>
  <c r="R4513" i="1"/>
  <c r="R729" i="1"/>
  <c r="R3572" i="1"/>
  <c r="R1081" i="1"/>
  <c r="R1118" i="1"/>
  <c r="R1351" i="1"/>
  <c r="R3461" i="1"/>
  <c r="R1339" i="1"/>
  <c r="R1113" i="1"/>
  <c r="R3758" i="1"/>
  <c r="R2122" i="1"/>
  <c r="R3937" i="1"/>
  <c r="R1270" i="1"/>
  <c r="R1442" i="1"/>
  <c r="R1211" i="1"/>
  <c r="R3598" i="1"/>
  <c r="R4486" i="1"/>
  <c r="R1999" i="1"/>
  <c r="R1324" i="1"/>
  <c r="R2880" i="1"/>
  <c r="R1543" i="1"/>
  <c r="R1325" i="1"/>
  <c r="R917" i="1"/>
  <c r="R621" i="1"/>
  <c r="R3717" i="1"/>
  <c r="R575" i="1"/>
  <c r="R2587" i="1"/>
  <c r="R819" i="1"/>
  <c r="R3334" i="1"/>
  <c r="R2898" i="1"/>
  <c r="R2318" i="1"/>
  <c r="R3154" i="1"/>
  <c r="R3619" i="1"/>
  <c r="R1662" i="1"/>
  <c r="R250" i="1"/>
  <c r="R3730" i="1"/>
  <c r="R2396" i="1"/>
  <c r="R980" i="1"/>
  <c r="R2599" i="1"/>
  <c r="R697" i="1"/>
  <c r="R1535" i="1"/>
  <c r="R3550" i="1"/>
  <c r="R1984" i="1"/>
  <c r="R3966" i="1"/>
  <c r="R3405" i="1"/>
  <c r="R4975" i="1"/>
  <c r="R3365" i="1"/>
  <c r="R4581" i="1"/>
  <c r="R4015" i="1"/>
  <c r="R207" i="1"/>
  <c r="R1788" i="1"/>
  <c r="R2711" i="1"/>
  <c r="R2413" i="1"/>
  <c r="R148" i="1"/>
  <c r="R2484" i="1"/>
  <c r="R2382" i="1"/>
  <c r="R4765" i="1"/>
  <c r="R3909" i="1"/>
  <c r="R3109" i="1"/>
  <c r="R2634" i="1"/>
  <c r="R3437" i="1"/>
  <c r="R3419" i="1"/>
  <c r="R2588" i="1"/>
  <c r="R645" i="1"/>
  <c r="R4589" i="1"/>
  <c r="R1095" i="1"/>
  <c r="R1398" i="1"/>
  <c r="R3256" i="1"/>
  <c r="R1207" i="1"/>
  <c r="R2078" i="1"/>
  <c r="R2576" i="1"/>
  <c r="R3176" i="1"/>
  <c r="R4824" i="1"/>
  <c r="R2125" i="1"/>
  <c r="R3968" i="1"/>
  <c r="R4084" i="1"/>
  <c r="R3192" i="1"/>
  <c r="R311" i="1"/>
  <c r="R3115" i="1"/>
  <c r="R1223" i="1"/>
  <c r="R4881" i="1"/>
  <c r="R4167" i="1"/>
  <c r="R1075" i="1"/>
  <c r="R1450" i="1"/>
  <c r="R2804" i="1"/>
  <c r="R1122" i="1"/>
  <c r="R1475" i="1"/>
  <c r="R757" i="1"/>
  <c r="R2388" i="1"/>
  <c r="R2247" i="1"/>
  <c r="R4472" i="1"/>
  <c r="R1664" i="1"/>
  <c r="R1415" i="1"/>
  <c r="R1428" i="1"/>
  <c r="R2245" i="1"/>
  <c r="R4157" i="1"/>
  <c r="R3052" i="1"/>
  <c r="R756" i="1"/>
  <c r="R2304" i="1"/>
  <c r="R707" i="1"/>
  <c r="R4058" i="1"/>
  <c r="R799" i="1"/>
  <c r="R3668" i="1"/>
  <c r="R2950" i="1"/>
  <c r="R2269" i="1"/>
  <c r="R709" i="1"/>
  <c r="R1129" i="1"/>
  <c r="R1184" i="1"/>
  <c r="R1318" i="1"/>
  <c r="R2445" i="1"/>
  <c r="R93" i="1"/>
  <c r="R3942" i="1"/>
  <c r="R1011" i="1"/>
  <c r="R2441" i="1"/>
  <c r="R81" i="1"/>
  <c r="R4821" i="1"/>
  <c r="R3257" i="1"/>
  <c r="R4091" i="1"/>
  <c r="R4892" i="1"/>
  <c r="R2500" i="1"/>
  <c r="R3054" i="1"/>
  <c r="R3320" i="1"/>
  <c r="R3560" i="1"/>
  <c r="R1679" i="1"/>
  <c r="R1139" i="1"/>
  <c r="R4746" i="1"/>
  <c r="R3802" i="1"/>
  <c r="R4786" i="1"/>
  <c r="R1721" i="1"/>
  <c r="R876" i="1"/>
  <c r="R4566" i="1"/>
  <c r="R462" i="1"/>
  <c r="R557" i="1"/>
  <c r="R2719" i="1"/>
  <c r="R120" i="1"/>
  <c r="R1536" i="1"/>
  <c r="R1647" i="1"/>
  <c r="R2827" i="1"/>
  <c r="R4826" i="1"/>
  <c r="R2662" i="1"/>
  <c r="R3536" i="1"/>
  <c r="R4991" i="1"/>
  <c r="R4278" i="1"/>
  <c r="R1487" i="1"/>
  <c r="R4599" i="1"/>
  <c r="R499" i="1"/>
  <c r="R34" i="1"/>
  <c r="R1311" i="1"/>
  <c r="R4734" i="1"/>
  <c r="R1462" i="1"/>
  <c r="R71" i="1"/>
  <c r="R4541" i="1"/>
  <c r="R4766" i="1"/>
  <c r="R3699" i="1"/>
  <c r="R387" i="1"/>
  <c r="R13" i="1"/>
  <c r="R147" i="1"/>
  <c r="R2981" i="1"/>
  <c r="R4292" i="1"/>
  <c r="R1411" i="1"/>
  <c r="R4695" i="1"/>
  <c r="R661" i="1"/>
  <c r="R812" i="1"/>
  <c r="R3224" i="1"/>
  <c r="R4838" i="1"/>
  <c r="R4769" i="1"/>
  <c r="R116" i="1"/>
  <c r="R2403" i="1"/>
  <c r="R2174" i="1"/>
  <c r="R4358" i="1"/>
  <c r="R2195" i="1"/>
  <c r="R460" i="1"/>
  <c r="R4959" i="1"/>
  <c r="R2434" i="1"/>
  <c r="R1824" i="1"/>
  <c r="R2975" i="1"/>
  <c r="R156" i="1"/>
  <c r="R1863" i="1"/>
  <c r="R2219" i="1"/>
  <c r="R240" i="1"/>
  <c r="R2274" i="1"/>
  <c r="R2082" i="1"/>
  <c r="R4822" i="1"/>
  <c r="R3476" i="1"/>
  <c r="R2699" i="1"/>
  <c r="R1894" i="1"/>
  <c r="R4909" i="1"/>
  <c r="R541" i="1"/>
  <c r="R589" i="1"/>
  <c r="R1949" i="1"/>
  <c r="R2581" i="1"/>
  <c r="R642" i="1"/>
  <c r="R3201" i="1"/>
  <c r="R2088" i="1"/>
  <c r="R4459" i="1"/>
  <c r="R4657" i="1"/>
  <c r="R3774" i="1"/>
  <c r="R498" i="1"/>
  <c r="R263" i="1"/>
  <c r="R3703" i="1"/>
  <c r="R24" i="1"/>
  <c r="R3118" i="1"/>
  <c r="R1292" i="1"/>
  <c r="R4637" i="1"/>
  <c r="R3673" i="1"/>
  <c r="R4847" i="1"/>
  <c r="R1043" i="1"/>
  <c r="R1505" i="1"/>
  <c r="R552" i="1"/>
  <c r="R1277" i="1"/>
  <c r="R1849" i="1"/>
  <c r="R277" i="1"/>
  <c r="R3441" i="1"/>
  <c r="R3475" i="1"/>
  <c r="R2153" i="1"/>
  <c r="R403" i="1"/>
  <c r="R2949" i="1"/>
  <c r="R2374" i="1"/>
  <c r="R4664" i="1"/>
  <c r="R1290" i="1"/>
  <c r="R1337" i="1"/>
  <c r="R1484" i="1"/>
  <c r="R1161" i="1"/>
  <c r="R3248" i="1"/>
  <c r="R2925" i="1"/>
  <c r="R1872" i="1"/>
  <c r="R3553" i="1"/>
  <c r="R1452" i="1"/>
  <c r="R2179" i="1"/>
  <c r="R2912" i="1"/>
  <c r="R4855" i="1"/>
  <c r="R4002" i="1"/>
  <c r="R283" i="1"/>
  <c r="R2159" i="1"/>
  <c r="R2342" i="1"/>
  <c r="R1070" i="1"/>
  <c r="R4345" i="1"/>
  <c r="R1306" i="1"/>
  <c r="R2507" i="1"/>
  <c r="R3420" i="1"/>
  <c r="R724" i="1"/>
  <c r="R372" i="1"/>
  <c r="R23" i="1"/>
  <c r="R4134" i="1"/>
  <c r="R4102" i="1"/>
  <c r="R423" i="1"/>
  <c r="R2594" i="1"/>
  <c r="R4199" i="1"/>
  <c r="R3901" i="1"/>
  <c r="R27" i="1"/>
  <c r="R4609" i="1"/>
  <c r="R1926" i="1"/>
  <c r="R186" i="1"/>
  <c r="R2675" i="1"/>
  <c r="R453" i="1"/>
  <c r="R2128" i="1"/>
  <c r="R3489" i="1"/>
  <c r="R4038" i="1"/>
  <c r="R348" i="1"/>
  <c r="R2397" i="1"/>
  <c r="R4332" i="1"/>
  <c r="R3239" i="1"/>
  <c r="R961" i="1"/>
  <c r="R385" i="1"/>
  <c r="R1763" i="1"/>
  <c r="R1794" i="1"/>
  <c r="R677" i="1"/>
  <c r="R495" i="1"/>
  <c r="R2281" i="1"/>
  <c r="R4993" i="1"/>
  <c r="R963" i="1"/>
  <c r="R954" i="1"/>
  <c r="R4375" i="1"/>
  <c r="R560" i="1"/>
  <c r="R3454" i="1"/>
  <c r="R2055" i="1"/>
  <c r="R494" i="1"/>
  <c r="R2034" i="1"/>
  <c r="R3566" i="1"/>
  <c r="R2166" i="1"/>
  <c r="R1820" i="1"/>
  <c r="R2170" i="1"/>
  <c r="R1283" i="1"/>
  <c r="R1193" i="1"/>
  <c r="R4189" i="1"/>
  <c r="R1695" i="1"/>
  <c r="R1179" i="1"/>
  <c r="R1412" i="1"/>
  <c r="R2664" i="1"/>
  <c r="R4507" i="1"/>
  <c r="R1510" i="1"/>
  <c r="R4280" i="1"/>
  <c r="R4761" i="1"/>
  <c r="R3155" i="1"/>
  <c r="R4555" i="1"/>
  <c r="R3571" i="1"/>
  <c r="R1708" i="1"/>
  <c r="R2362" i="1"/>
  <c r="R1632" i="1"/>
  <c r="R2689" i="1"/>
  <c r="R3779" i="1"/>
  <c r="R1676" i="1"/>
  <c r="R1682" i="1"/>
  <c r="R3191" i="1"/>
  <c r="R879" i="1"/>
  <c r="R2937" i="1"/>
  <c r="R1079" i="1"/>
  <c r="R2770" i="1"/>
  <c r="R4582" i="1"/>
  <c r="R4415" i="1"/>
  <c r="R3305" i="1"/>
  <c r="R2989" i="1"/>
  <c r="R2541" i="1"/>
  <c r="R4714" i="1"/>
  <c r="R1622" i="1"/>
  <c r="R2056" i="1"/>
  <c r="R227" i="1"/>
  <c r="R1344" i="1"/>
  <c r="R4108" i="1"/>
  <c r="R4009" i="1"/>
  <c r="R2994" i="1"/>
  <c r="R571" i="1"/>
  <c r="R2911" i="1"/>
  <c r="R2150" i="1"/>
  <c r="R137" i="1"/>
  <c r="R1673" i="1"/>
  <c r="R1747" i="1"/>
  <c r="R3777" i="1"/>
  <c r="R2932" i="1"/>
  <c r="R1654" i="1"/>
  <c r="R1771" i="1"/>
  <c r="R1488" i="1"/>
  <c r="R2684" i="1"/>
  <c r="R752" i="1"/>
  <c r="R3050" i="1"/>
  <c r="R967" i="1"/>
  <c r="R4438" i="1"/>
  <c r="R3690" i="1"/>
  <c r="R1012" i="1"/>
  <c r="R1322" i="1"/>
  <c r="R2429" i="1"/>
  <c r="R2294" i="1"/>
  <c r="R1345" i="1"/>
  <c r="R4031" i="1"/>
  <c r="R2825" i="1"/>
  <c r="R3938" i="1"/>
  <c r="R3922" i="1"/>
  <c r="R2234" i="1"/>
  <c r="R4574" i="1"/>
  <c r="R316" i="1"/>
  <c r="R2212" i="1"/>
  <c r="R596" i="1"/>
  <c r="R2064" i="1"/>
  <c r="R3902" i="1"/>
  <c r="R3830" i="1"/>
  <c r="R2632" i="1"/>
  <c r="R2481" i="1"/>
  <c r="R1047" i="1"/>
  <c r="R1295" i="1"/>
  <c r="R635" i="1"/>
  <c r="R4153" i="1"/>
  <c r="R4831" i="1"/>
  <c r="R4859" i="1"/>
  <c r="R1341" i="1"/>
  <c r="R873" i="1"/>
  <c r="R128" i="1"/>
  <c r="R2310" i="1"/>
  <c r="R400" i="1"/>
  <c r="R4692" i="1"/>
  <c r="R1830" i="1"/>
  <c r="R3990" i="1"/>
  <c r="R2886" i="1"/>
  <c r="R4916" i="1"/>
  <c r="R4816" i="1"/>
  <c r="R4870" i="1"/>
  <c r="R3156" i="1"/>
  <c r="R4842" i="1"/>
  <c r="R41" i="1"/>
  <c r="R1548" i="1"/>
  <c r="R4691" i="1"/>
  <c r="R4142" i="1"/>
  <c r="R1793" i="1"/>
  <c r="R829" i="1"/>
  <c r="R4726" i="1"/>
  <c r="R2200" i="1"/>
  <c r="R4321" i="1"/>
  <c r="R4431" i="1"/>
  <c r="R4289" i="1"/>
  <c r="R3574" i="1"/>
  <c r="R582" i="1"/>
  <c r="R4437" i="1"/>
  <c r="R3796" i="1"/>
  <c r="R155" i="1"/>
  <c r="R2669" i="1"/>
  <c r="R3747" i="1"/>
  <c r="R1915" i="1"/>
  <c r="R1390" i="1"/>
  <c r="R1162" i="1"/>
  <c r="R1275" i="1"/>
  <c r="R2026" i="1"/>
  <c r="R1929" i="1"/>
  <c r="R545" i="1"/>
  <c r="R2007" i="1"/>
  <c r="R291" i="1"/>
  <c r="R1976" i="1"/>
  <c r="R2670" i="1"/>
  <c r="R3973" i="1"/>
  <c r="R3820" i="1"/>
  <c r="R2312" i="1"/>
  <c r="R2792" i="1"/>
  <c r="R2347" i="1"/>
  <c r="R3184" i="1"/>
  <c r="R659" i="1"/>
  <c r="R1449" i="1"/>
  <c r="R4364" i="1"/>
  <c r="R2896" i="1"/>
  <c r="R2914" i="1"/>
  <c r="R2528" i="1"/>
  <c r="R275" i="1"/>
  <c r="R4164" i="1"/>
  <c r="R4324" i="1"/>
  <c r="R747" i="1"/>
  <c r="R906" i="1"/>
  <c r="R1051" i="1"/>
  <c r="R4928" i="1"/>
  <c r="R3806" i="1"/>
  <c r="R4022" i="1"/>
  <c r="R4158" i="1"/>
  <c r="R2643" i="1"/>
  <c r="R2668" i="1"/>
  <c r="R3428" i="1"/>
  <c r="R132" i="1"/>
  <c r="R1930" i="1"/>
  <c r="R1117" i="1"/>
  <c r="R1194" i="1"/>
  <c r="R1685" i="1"/>
  <c r="R3251" i="1"/>
  <c r="R4871" i="1"/>
  <c r="R922" i="1"/>
  <c r="R4532" i="1"/>
  <c r="R2271" i="1"/>
  <c r="R2980" i="1"/>
  <c r="R3917" i="1"/>
  <c r="R801" i="1"/>
  <c r="R1723" i="1"/>
  <c r="R1379" i="1"/>
  <c r="R1338" i="1"/>
  <c r="R1687" i="1"/>
  <c r="R1009" i="1"/>
  <c r="R1296" i="1"/>
  <c r="R3327" i="1"/>
  <c r="R2394" i="1"/>
  <c r="R2189" i="1"/>
  <c r="R681" i="1"/>
  <c r="R431" i="1"/>
  <c r="R170" i="1"/>
  <c r="R449" i="1"/>
  <c r="R3846" i="1"/>
  <c r="R3472" i="1"/>
  <c r="R1214" i="1"/>
  <c r="R3527" i="1"/>
  <c r="R2795" i="1"/>
  <c r="R3247" i="1"/>
  <c r="R4121" i="1"/>
  <c r="R4451" i="1"/>
  <c r="R353" i="1"/>
  <c r="R4201" i="1"/>
  <c r="R4825" i="1"/>
  <c r="R528" i="1"/>
  <c r="R1775" i="1"/>
  <c r="R3136" i="1"/>
  <c r="R4499" i="1"/>
  <c r="R2258" i="1"/>
  <c r="R69" i="1"/>
  <c r="R3921" i="1"/>
  <c r="R2881" i="1"/>
  <c r="R2338" i="1"/>
  <c r="R1563" i="1"/>
  <c r="R2381" i="1"/>
  <c r="R1886" i="1"/>
  <c r="R1950" i="1"/>
  <c r="R4505" i="1"/>
  <c r="R1489" i="1"/>
  <c r="R4197" i="1"/>
  <c r="R4873" i="1"/>
  <c r="R4183" i="1"/>
  <c r="R4067" i="1"/>
  <c r="R3719" i="1"/>
  <c r="R3842" i="1"/>
  <c r="R1032" i="1"/>
  <c r="R3653" i="1"/>
  <c r="R3421" i="1"/>
  <c r="R1649" i="1"/>
  <c r="R3551" i="1"/>
  <c r="R1865" i="1"/>
  <c r="R1841" i="1"/>
  <c r="R4398" i="1"/>
  <c r="R4469" i="1"/>
  <c r="R4510" i="1"/>
  <c r="R42" i="1"/>
  <c r="R3753" i="1"/>
  <c r="R3325" i="1"/>
  <c r="R4503" i="1"/>
  <c r="R2553" i="1"/>
  <c r="R1527" i="1"/>
  <c r="R485" i="1"/>
  <c r="R396" i="1"/>
  <c r="R4910" i="1"/>
  <c r="R1110" i="1"/>
  <c r="R514" i="1"/>
  <c r="R2146" i="1"/>
  <c r="R4050" i="1"/>
  <c r="R3577" i="1"/>
  <c r="R691" i="1"/>
  <c r="R3273" i="1"/>
  <c r="R768" i="1"/>
  <c r="R2626" i="1"/>
  <c r="R3226" i="1"/>
  <c r="R1284" i="1"/>
  <c r="R2539" i="1"/>
  <c r="R4586" i="1"/>
  <c r="R2802" i="1"/>
  <c r="R272" i="1"/>
  <c r="R1498" i="1"/>
  <c r="R825" i="1"/>
  <c r="R2571" i="1"/>
  <c r="R96" i="1"/>
  <c r="R2104" i="1"/>
  <c r="R304" i="1"/>
  <c r="R1166" i="1"/>
  <c r="R1403" i="1"/>
  <c r="R984" i="1"/>
  <c r="R1639" i="1"/>
  <c r="R4116" i="1"/>
  <c r="R1891" i="1"/>
  <c r="R1783" i="1"/>
  <c r="R3149" i="1"/>
  <c r="R2607" i="1"/>
  <c r="R3950" i="1"/>
  <c r="R1596" i="1"/>
  <c r="R3563" i="1"/>
  <c r="R3976" i="1"/>
  <c r="R3525" i="1"/>
  <c r="R1758" i="1"/>
  <c r="R230" i="1"/>
  <c r="R3079" i="1"/>
  <c r="R4044" i="1"/>
  <c r="R3601" i="1"/>
  <c r="R1060" i="1"/>
  <c r="R3261" i="1"/>
  <c r="R3321" i="1"/>
  <c r="R11" i="1"/>
  <c r="R2606" i="1"/>
  <c r="R4146" i="1"/>
  <c r="R3376" i="1"/>
  <c r="R3883" i="1"/>
  <c r="R1395" i="1"/>
  <c r="R1063" i="1"/>
  <c r="R1514" i="1"/>
  <c r="R3638" i="1"/>
  <c r="R581" i="1"/>
  <c r="R2356" i="1"/>
  <c r="R1857" i="1"/>
  <c r="R3048" i="1"/>
  <c r="R2120" i="1"/>
  <c r="R907" i="1"/>
  <c r="R471" i="1"/>
  <c r="R894" i="1"/>
  <c r="R660" i="1"/>
  <c r="R3923" i="1"/>
  <c r="R50" i="1"/>
  <c r="R504" i="1"/>
  <c r="R4579" i="1"/>
  <c r="R3397" i="1"/>
  <c r="R2815" i="1"/>
  <c r="R1912" i="1"/>
  <c r="R1400" i="1"/>
  <c r="R30" i="1"/>
  <c r="R1690" i="1"/>
  <c r="R1941" i="1"/>
  <c r="R2149" i="1"/>
  <c r="R440" i="1"/>
  <c r="R87" i="1"/>
  <c r="R1988" i="1"/>
  <c r="R3204" i="1"/>
  <c r="R651" i="1"/>
  <c r="R4976" i="1"/>
  <c r="R3535" i="1"/>
  <c r="R3314" i="1"/>
  <c r="R4585" i="1"/>
  <c r="R1597" i="1"/>
  <c r="R1520" i="1"/>
  <c r="R4522" i="1"/>
  <c r="R2412" i="1"/>
  <c r="R3860" i="1"/>
  <c r="R3105" i="1"/>
  <c r="R583" i="1"/>
  <c r="R2720" i="1"/>
  <c r="R4390" i="1"/>
  <c r="R4578" i="1"/>
  <c r="R2674" i="1"/>
  <c r="R3849" i="1"/>
  <c r="R3264" i="1"/>
  <c r="R2538" i="1"/>
  <c r="R4264" i="1"/>
  <c r="R1586" i="1"/>
  <c r="R778" i="1"/>
  <c r="R1745" i="1"/>
  <c r="R2317" i="1"/>
  <c r="R4069" i="1"/>
  <c r="R2431" i="1"/>
  <c r="R3470" i="1"/>
  <c r="R4603" i="1"/>
  <c r="R4482" i="1"/>
  <c r="R476" i="1"/>
  <c r="R95" i="1"/>
  <c r="R1748" i="1"/>
  <c r="R957" i="1"/>
  <c r="R1967" i="1"/>
  <c r="R1956" i="1"/>
  <c r="R4915" i="1"/>
  <c r="R1483" i="1"/>
  <c r="R3644" i="1"/>
  <c r="R394" i="1"/>
  <c r="R3412" i="1"/>
  <c r="R2384" i="1"/>
  <c r="R2070" i="1"/>
  <c r="R852" i="1"/>
  <c r="R1189" i="1"/>
  <c r="R3780" i="1"/>
  <c r="R728" i="1"/>
  <c r="R3642" i="1"/>
  <c r="R257" i="1"/>
  <c r="R3092" i="1"/>
  <c r="R1375" i="1"/>
  <c r="R3671" i="1"/>
  <c r="R2809" i="1"/>
  <c r="R2252" i="1"/>
  <c r="R4265" i="1"/>
  <c r="R1609" i="1"/>
  <c r="R114" i="1"/>
  <c r="R1989" i="1"/>
  <c r="R4771" i="1"/>
  <c r="R1156" i="1"/>
  <c r="R1099" i="1"/>
  <c r="R1714" i="1"/>
  <c r="R1017" i="1"/>
  <c r="R2855" i="1"/>
  <c r="R2686" i="1"/>
  <c r="R3122" i="1"/>
  <c r="R367" i="1"/>
  <c r="R3612" i="1"/>
  <c r="R1094" i="1"/>
  <c r="R2048" i="1"/>
  <c r="R1431" i="1"/>
  <c r="R3398" i="1"/>
  <c r="R4809" i="1"/>
  <c r="R3728" i="1"/>
  <c r="R2041" i="1"/>
  <c r="R497" i="1"/>
  <c r="R2656" i="1"/>
  <c r="R1833" i="1"/>
  <c r="R54" i="1"/>
  <c r="R26" i="1"/>
  <c r="R2884" i="1"/>
  <c r="R162" i="1"/>
  <c r="R3752" i="1"/>
  <c r="R3541" i="1"/>
  <c r="R4427" i="1"/>
  <c r="R1782" i="1"/>
  <c r="R1918" i="1"/>
  <c r="R3401" i="1"/>
  <c r="R3199" i="1"/>
  <c r="R3069" i="1"/>
  <c r="R3448" i="1"/>
  <c r="R1025" i="1"/>
  <c r="R4318" i="1"/>
  <c r="R406" i="1"/>
  <c r="R2415" i="1"/>
  <c r="R3295" i="1"/>
  <c r="R1921" i="1"/>
  <c r="R4277" i="1"/>
  <c r="R3952" i="1"/>
  <c r="R3350" i="1"/>
  <c r="R317" i="1"/>
  <c r="R2238" i="1"/>
  <c r="R4934" i="1"/>
  <c r="R4166" i="1"/>
  <c r="R4545" i="1"/>
  <c r="R2019" i="1"/>
  <c r="R2956" i="1"/>
  <c r="R2564" i="1"/>
  <c r="R2523" i="1"/>
  <c r="R1513" i="1"/>
  <c r="R3726" i="1"/>
  <c r="R4861" i="1"/>
  <c r="R1920" i="1"/>
  <c r="R2129" i="1"/>
  <c r="R1575" i="1"/>
  <c r="R4095" i="1"/>
  <c r="R3894" i="1"/>
  <c r="R3616" i="1"/>
  <c r="R3229" i="1"/>
  <c r="R4493" i="1"/>
  <c r="R4154" i="1"/>
  <c r="R3761" i="1"/>
  <c r="R4551" i="1"/>
  <c r="R3608" i="1"/>
  <c r="R450" i="1"/>
  <c r="R648" i="1"/>
  <c r="R2683" i="1"/>
  <c r="R1983" i="1"/>
  <c r="R140" i="1"/>
  <c r="R4961" i="1"/>
  <c r="R4980" i="1"/>
  <c r="R3027" i="1"/>
  <c r="R183" i="1"/>
  <c r="R2701" i="1"/>
  <c r="R3218" i="1"/>
  <c r="R1371" i="1"/>
  <c r="R4758" i="1"/>
  <c r="R3573" i="1"/>
  <c r="R4025" i="1"/>
  <c r="R572" i="1"/>
  <c r="R591" i="1"/>
  <c r="R3812" i="1"/>
  <c r="R2239" i="1"/>
  <c r="R386" i="1"/>
  <c r="R1150" i="1"/>
  <c r="R2076" i="1"/>
  <c r="R1165" i="1"/>
  <c r="R1981" i="1"/>
  <c r="R4635" i="1"/>
  <c r="R3884" i="1"/>
  <c r="R2540" i="1"/>
  <c r="R2819" i="1"/>
  <c r="R1931" i="1"/>
  <c r="R261" i="1"/>
  <c r="R4004" i="1"/>
  <c r="R715" i="1"/>
  <c r="R2681" i="1"/>
  <c r="R3171" i="1"/>
  <c r="R1504" i="1"/>
  <c r="R3888" i="1"/>
  <c r="R1979" i="1"/>
  <c r="R4572" i="1"/>
  <c r="R4372" i="1"/>
  <c r="R3939" i="1"/>
  <c r="R3543" i="1"/>
  <c r="R3161" i="1"/>
  <c r="R3345" i="1"/>
  <c r="R3175" i="1"/>
  <c r="R2037" i="1"/>
  <c r="R827" i="1"/>
  <c r="R3913" i="1"/>
  <c r="R1285" i="1"/>
  <c r="R3665" i="1"/>
  <c r="R505" i="1"/>
  <c r="R4674" i="1"/>
  <c r="R2107" i="1"/>
  <c r="R3556" i="1"/>
  <c r="R769" i="1"/>
  <c r="R1740" i="1"/>
  <c r="R2529" i="1"/>
  <c r="R4348" i="1"/>
  <c r="R1593" i="1"/>
  <c r="R4757" i="1"/>
  <c r="R4629" i="1"/>
  <c r="R1420" i="1"/>
  <c r="R1643" i="1"/>
  <c r="R3380" i="1"/>
  <c r="R1458" i="1"/>
  <c r="R831" i="1"/>
  <c r="R153" i="1"/>
  <c r="R848" i="1"/>
  <c r="R3999" i="1"/>
  <c r="R4702" i="1"/>
  <c r="R3823" i="1"/>
  <c r="R3474" i="1"/>
  <c r="R1860" i="1"/>
  <c r="R1707" i="1"/>
  <c r="R4805" i="1"/>
  <c r="R4100" i="1"/>
  <c r="R781" i="1"/>
  <c r="R2334" i="1"/>
  <c r="R1396" i="1"/>
  <c r="R4673" i="1"/>
  <c r="R2700" i="1"/>
  <c r="R1871" i="1"/>
  <c r="R428" i="1"/>
  <c r="R1368" i="1"/>
  <c r="R3340" i="1"/>
  <c r="R741" i="1"/>
  <c r="R3200" i="1"/>
  <c r="R4388" i="1"/>
  <c r="R4754" i="1"/>
  <c r="R515" i="1"/>
  <c r="R3621" i="1"/>
  <c r="R2829" i="1"/>
  <c r="R2039" i="1"/>
  <c r="R3632" i="1"/>
  <c r="R2879" i="1"/>
  <c r="R4955" i="1"/>
  <c r="R3255" i="1"/>
  <c r="R2561" i="1"/>
  <c r="R2241" i="1"/>
  <c r="R3080" i="1"/>
  <c r="R234" i="1"/>
  <c r="R523" i="1"/>
  <c r="R875" i="1"/>
  <c r="R2807" i="1"/>
  <c r="R2767" i="1"/>
  <c r="R2489" i="1"/>
  <c r="R4017" i="1"/>
  <c r="R1642" i="1"/>
  <c r="R1680" i="1"/>
  <c r="R3910" i="1"/>
  <c r="R2232" i="1"/>
  <c r="R2511" i="1"/>
  <c r="R1231" i="1"/>
  <c r="R4656" i="1"/>
  <c r="R1002" i="1"/>
  <c r="R1030" i="1"/>
  <c r="R4051" i="1"/>
  <c r="R2623" i="1"/>
  <c r="R3762" i="1"/>
  <c r="R1666" i="1"/>
  <c r="R3225" i="1"/>
  <c r="R4393" i="1"/>
  <c r="R360" i="1"/>
  <c r="R4072" i="1"/>
  <c r="R2527" i="1"/>
  <c r="R1630" i="1"/>
  <c r="R1149" i="1"/>
  <c r="R745" i="1"/>
  <c r="R1516" i="1"/>
  <c r="R3328" i="1"/>
  <c r="R4056" i="1"/>
  <c r="R4981" i="1"/>
  <c r="R3166" i="1"/>
  <c r="R1826" i="1"/>
  <c r="R3020" i="1"/>
  <c r="R942" i="1"/>
  <c r="R1705" i="1"/>
  <c r="R1529" i="1"/>
  <c r="R3084" i="1"/>
  <c r="R4381" i="1"/>
  <c r="R3173" i="1"/>
  <c r="R3283" i="1"/>
  <c r="R158" i="1"/>
  <c r="R297" i="1"/>
  <c r="R3469" i="1"/>
  <c r="R1264" i="1"/>
  <c r="R4889" i="1"/>
  <c r="R2482" i="1"/>
  <c r="R3297" i="1"/>
  <c r="R2929" i="1"/>
  <c r="R1486" i="1"/>
  <c r="R3848" i="1"/>
  <c r="R3679" i="1"/>
  <c r="R1848" i="1"/>
  <c r="R3025" i="1"/>
  <c r="R3582" i="1"/>
  <c r="R1856" i="1"/>
  <c r="R3023" i="1"/>
  <c r="R284" i="1"/>
  <c r="R3629" i="1"/>
  <c r="R2646" i="1"/>
  <c r="R2877" i="1"/>
  <c r="R2246" i="1"/>
  <c r="R3157" i="1"/>
  <c r="R307" i="1"/>
  <c r="R4309" i="1"/>
  <c r="R4392" i="1"/>
  <c r="R3834" i="1"/>
  <c r="R2659" i="1"/>
  <c r="R4411" i="1"/>
  <c r="R4988" i="1"/>
  <c r="R2758" i="1"/>
  <c r="R797" i="1"/>
  <c r="R1704" i="1"/>
  <c r="R3349" i="1"/>
  <c r="R2080" i="1"/>
  <c r="R2154" i="1"/>
  <c r="R3859" i="1"/>
  <c r="R1424" i="1"/>
  <c r="R2373" i="1"/>
  <c r="R510" i="1"/>
  <c r="R1427" i="1"/>
  <c r="R1770" i="1"/>
  <c r="R3138" i="1"/>
  <c r="R3492" i="1"/>
  <c r="R955" i="1"/>
  <c r="R3332" i="1"/>
  <c r="R2303" i="1"/>
  <c r="R4835" i="1"/>
  <c r="R1190" i="1"/>
  <c r="R2004" i="1"/>
  <c r="R3063" i="1"/>
  <c r="R3307" i="1"/>
  <c r="R3718" i="1"/>
  <c r="R2279" i="1"/>
  <c r="R4618" i="1"/>
  <c r="R1832" i="1"/>
  <c r="R1975" i="1"/>
  <c r="R4065" i="1"/>
  <c r="R4244" i="1"/>
  <c r="R4452" i="1"/>
  <c r="R2005" i="1"/>
  <c r="R4627" i="1"/>
  <c r="R3531" i="1"/>
  <c r="R3578" i="1"/>
  <c r="R4138" i="1"/>
  <c r="R3093" i="1"/>
  <c r="R1577" i="1"/>
  <c r="R487" i="1"/>
  <c r="R2625" i="1"/>
  <c r="R1939" i="1"/>
  <c r="R2340" i="1"/>
  <c r="R3504" i="1"/>
  <c r="R1903" i="1"/>
  <c r="R1932" i="1"/>
  <c r="R1694" i="1"/>
  <c r="R721" i="1"/>
  <c r="R4738" i="1"/>
  <c r="R1502" i="1"/>
  <c r="R1507" i="1"/>
  <c r="R1494" i="1"/>
  <c r="R3393" i="1"/>
  <c r="R404" i="1"/>
  <c r="R3186" i="1"/>
  <c r="R4839" i="1"/>
  <c r="R2485" i="1"/>
  <c r="R3238" i="1"/>
  <c r="R1862" i="1"/>
  <c r="R3799" i="1"/>
  <c r="R4019" i="1"/>
  <c r="R1316" i="1"/>
  <c r="R4000" i="1"/>
  <c r="R4404" i="1"/>
  <c r="R1508" i="1"/>
  <c r="R1730" i="1"/>
  <c r="R2998" i="1"/>
  <c r="R4939" i="1"/>
  <c r="R1134" i="1"/>
  <c r="R3056" i="1"/>
  <c r="R2145" i="1"/>
  <c r="R3491" i="1"/>
  <c r="R3331" i="1"/>
  <c r="R1005" i="1"/>
  <c r="R139" i="1"/>
  <c r="R1474" i="1"/>
  <c r="R4075" i="1"/>
  <c r="R255" i="1"/>
  <c r="R4386" i="1"/>
  <c r="R3250" i="1"/>
  <c r="R4872" i="1"/>
  <c r="R1671" i="1"/>
  <c r="R4005" i="1"/>
  <c r="R4516" i="1"/>
  <c r="R903" i="1"/>
  <c r="R3715" i="1"/>
  <c r="R2405" i="1"/>
  <c r="R3933" i="1"/>
  <c r="R2092" i="1"/>
  <c r="R381" i="1"/>
  <c r="R2717" i="1"/>
  <c r="R2262" i="1"/>
  <c r="R4520" i="1"/>
  <c r="R1600" i="1"/>
  <c r="R4640" i="1"/>
  <c r="R2604" i="1"/>
  <c r="R3908" i="1"/>
  <c r="R4791" i="1"/>
  <c r="R4742" i="1"/>
  <c r="R3223" i="1"/>
  <c r="R118" i="1"/>
  <c r="R1259" i="1"/>
  <c r="R2380" i="1"/>
  <c r="R1288" i="1"/>
  <c r="R4634" i="1"/>
  <c r="R588" i="1"/>
  <c r="R4710" i="1"/>
  <c r="R3864" i="1"/>
  <c r="R4925" i="1"/>
  <c r="R1556" i="1"/>
  <c r="R1123" i="1"/>
  <c r="R1215" i="1"/>
  <c r="R4122" i="1"/>
  <c r="R3964" i="1"/>
  <c r="R722" i="1"/>
  <c r="R359" i="1"/>
  <c r="R1659" i="1"/>
  <c r="R949" i="1"/>
  <c r="R4764" i="1"/>
  <c r="R1182" i="1"/>
  <c r="R1767" i="1"/>
  <c r="R2309" i="1"/>
  <c r="R4271" i="1"/>
  <c r="R2079" i="1"/>
  <c r="R3282" i="1"/>
  <c r="R2822" i="1"/>
  <c r="R1503" i="1"/>
  <c r="R4238" i="1"/>
  <c r="R16" i="1"/>
  <c r="R3339" i="1"/>
  <c r="R2430" i="1"/>
  <c r="R2101" i="1"/>
  <c r="R2798" i="1"/>
  <c r="R1564" i="1"/>
  <c r="R3844" i="1"/>
  <c r="R4449" i="1"/>
  <c r="R4529" i="1"/>
  <c r="R4778" i="1"/>
  <c r="R4377" i="1"/>
  <c r="R3872" i="1"/>
  <c r="R763" i="1"/>
  <c r="R2900" i="1"/>
  <c r="R3037" i="1"/>
  <c r="R1346" i="1"/>
  <c r="R3916" i="1"/>
  <c r="R598" i="1"/>
  <c r="R1147" i="1"/>
  <c r="R2856" i="1"/>
  <c r="R3590" i="1"/>
  <c r="R3300" i="1"/>
  <c r="R4867" i="1"/>
  <c r="R145" i="1"/>
  <c r="R72" i="1"/>
  <c r="R2875" i="1"/>
  <c r="R1236" i="1"/>
  <c r="R3041" i="1"/>
  <c r="R902" i="1"/>
  <c r="R4535" i="1"/>
  <c r="R4159" i="1"/>
  <c r="R1890" i="1"/>
  <c r="R1293" i="1"/>
  <c r="R4759" i="1"/>
  <c r="R350" i="1"/>
  <c r="R3735" i="1"/>
  <c r="R1454" i="1"/>
  <c r="R2428" i="1"/>
  <c r="R2002" i="1"/>
  <c r="R3249" i="1"/>
  <c r="R212" i="1"/>
  <c r="R2359" i="1"/>
  <c r="R4538" i="1"/>
  <c r="R1698" i="1"/>
  <c r="R4240" i="1"/>
  <c r="R1916" i="1"/>
  <c r="R1559" i="1"/>
  <c r="R2757" i="1"/>
  <c r="R4339" i="1"/>
  <c r="R606" i="1"/>
  <c r="R1602" i="1"/>
  <c r="R3493" i="1"/>
  <c r="R1378" i="1"/>
  <c r="R3116" i="1"/>
  <c r="R2887" i="1"/>
  <c r="R2532" i="1"/>
  <c r="R3588" i="1"/>
  <c r="R4081" i="1"/>
  <c r="R4876" i="1"/>
  <c r="R1140" i="1"/>
  <c r="R3997" i="1"/>
  <c r="R627" i="1"/>
  <c r="R718" i="1"/>
  <c r="R1131" i="1"/>
  <c r="R1580" i="1"/>
  <c r="R2926" i="1"/>
  <c r="R2609" i="1"/>
  <c r="R3303" i="1"/>
  <c r="R1855" i="1"/>
  <c r="R3809" i="1"/>
  <c r="R570" i="1"/>
  <c r="R3692" i="1"/>
  <c r="R2346" i="1"/>
  <c r="R4453" i="1"/>
  <c r="R3269" i="1"/>
  <c r="R4720" i="1"/>
  <c r="R4222" i="1"/>
  <c r="R3856" i="1"/>
  <c r="R1257" i="1"/>
  <c r="R150" i="1"/>
  <c r="R4920" i="1"/>
  <c r="R3914" i="1"/>
  <c r="R190" i="1"/>
  <c r="R3426" i="1"/>
  <c r="R2530" i="1"/>
  <c r="R2813" i="1"/>
  <c r="R3458" i="1"/>
  <c r="R4130" i="1"/>
  <c r="R537" i="1"/>
  <c r="R2522" i="1"/>
  <c r="R399" i="1"/>
  <c r="R713" i="1"/>
  <c r="R844" i="1"/>
  <c r="R4263" i="1"/>
  <c r="R1670" i="1"/>
  <c r="R1335" i="1"/>
  <c r="R2385" i="1"/>
  <c r="R4338" i="1"/>
  <c r="R4014" i="1"/>
  <c r="R205" i="1"/>
  <c r="R1501" i="1"/>
  <c r="R174" i="1"/>
  <c r="R1423" i="1"/>
  <c r="R1314" i="1"/>
  <c r="R1985" i="1"/>
  <c r="R1041" i="1"/>
  <c r="R80" i="1"/>
  <c r="R3010" i="1"/>
  <c r="R1359" i="1"/>
  <c r="R2761" i="1"/>
  <c r="R2660" i="1"/>
  <c r="R1308" i="1"/>
  <c r="R4032" i="1"/>
  <c r="R996" i="1"/>
  <c r="R1525" i="1"/>
  <c r="R1772" i="1"/>
  <c r="R302" i="1"/>
  <c r="R835" i="1"/>
  <c r="R3308" i="1"/>
  <c r="R950" i="1"/>
  <c r="R4295" i="1"/>
  <c r="R1829" i="1"/>
  <c r="R4269" i="1"/>
  <c r="R4387" i="1"/>
  <c r="R4080" i="1"/>
  <c r="R2907" i="1"/>
  <c r="R2851" i="1"/>
  <c r="R4727" i="1"/>
  <c r="R2024" i="1"/>
  <c r="R4997" i="1"/>
  <c r="R361" i="1"/>
  <c r="R392" i="1"/>
  <c r="R2228" i="1"/>
  <c r="R1917" i="1"/>
  <c r="R238" i="1"/>
  <c r="R4213" i="1"/>
  <c r="R1213" i="1"/>
  <c r="R1914" i="1"/>
  <c r="R4649" i="1"/>
  <c r="R2693" i="1"/>
  <c r="R1821" i="1"/>
  <c r="R1554" i="1"/>
  <c r="R3214" i="1"/>
  <c r="R2108" i="1"/>
  <c r="R958" i="1"/>
  <c r="R181" i="1"/>
  <c r="R1078" i="1"/>
  <c r="R2305" i="1"/>
  <c r="R704" i="1"/>
  <c r="R1226" i="1"/>
  <c r="R720" i="1"/>
  <c r="R370" i="1"/>
  <c r="R2868" i="1"/>
  <c r="R1050" i="1"/>
  <c r="R3709" i="1"/>
  <c r="R4323" i="1"/>
  <c r="R839" i="1"/>
  <c r="R1048" i="1"/>
  <c r="R1845" i="1"/>
  <c r="R4949" i="1"/>
  <c r="R770" i="1"/>
  <c r="R2583" i="1"/>
  <c r="R695" i="1"/>
  <c r="R1542" i="1"/>
  <c r="R373" i="1"/>
  <c r="R1036" i="1"/>
  <c r="R1336" i="1"/>
  <c r="R2590" i="1"/>
  <c r="R2888" i="1"/>
  <c r="R2842" i="1"/>
  <c r="R1205" i="1"/>
  <c r="R1446" i="1"/>
  <c r="R2132" i="1"/>
  <c r="R3128" i="1"/>
  <c r="R4475" i="1"/>
  <c r="R2022" i="1"/>
  <c r="R2320" i="1"/>
  <c r="R1590" i="1"/>
  <c r="R3277" i="1"/>
  <c r="R855" i="1"/>
  <c r="R2909" i="1"/>
  <c r="R3150" i="1"/>
  <c r="R870" i="1"/>
  <c r="R2984" i="1"/>
  <c r="R939" i="1"/>
  <c r="R1619" i="1"/>
  <c r="R3233" i="1"/>
  <c r="R2622" i="1"/>
  <c r="R1531" i="1"/>
  <c r="R1003" i="1"/>
  <c r="R1757" i="1"/>
  <c r="R2463" i="1"/>
  <c r="R4226" i="1"/>
  <c r="R4862" i="1"/>
  <c r="R692" i="1"/>
  <c r="R4841" i="1"/>
  <c r="R244" i="1"/>
  <c r="R129" i="1"/>
  <c r="R1146" i="1"/>
  <c r="R2448" i="1"/>
  <c r="R3514" i="1"/>
  <c r="R482" i="1"/>
  <c r="R4897" i="1"/>
  <c r="R4010" i="1"/>
  <c r="R4576" i="1"/>
  <c r="R1143" i="1"/>
  <c r="R4962" i="1"/>
  <c r="R4908" i="1"/>
  <c r="R2046" i="1"/>
  <c r="R4985" i="1"/>
  <c r="R1357" i="1"/>
  <c r="R4203" i="1"/>
  <c r="R127" i="1"/>
  <c r="R1365" i="1"/>
  <c r="R1608" i="1"/>
  <c r="R1884" i="1"/>
  <c r="R2291" i="1"/>
  <c r="R2769" i="1"/>
  <c r="R2216" i="1"/>
  <c r="R475" i="1"/>
  <c r="R4020" i="1"/>
  <c r="R714" i="1"/>
  <c r="R782" i="1"/>
  <c r="R3832" i="1"/>
  <c r="R4494" i="1"/>
  <c r="R110" i="1"/>
  <c r="R1566" i="1"/>
  <c r="R1366" i="1"/>
  <c r="R3423" i="1"/>
  <c r="R3342" i="1"/>
  <c r="R4246" i="1"/>
  <c r="R3429" i="1"/>
  <c r="R1039" i="1"/>
  <c r="R1716" i="1"/>
  <c r="R4998" i="1"/>
  <c r="R4473" i="1"/>
  <c r="R4424" i="1"/>
  <c r="R4904" i="1"/>
  <c r="R4625" i="1"/>
  <c r="R60" i="1"/>
  <c r="R3464" i="1"/>
  <c r="R1651" i="1"/>
  <c r="R1837" i="1"/>
  <c r="R1410" i="1"/>
  <c r="R853" i="1"/>
  <c r="R2786" i="1"/>
  <c r="R4722" i="1"/>
  <c r="R1663" i="1"/>
  <c r="R3449" i="1"/>
  <c r="R3620" i="1"/>
  <c r="R2772" i="1"/>
  <c r="R4066" i="1"/>
  <c r="R3672" i="1"/>
  <c r="R3771" i="1"/>
  <c r="R2550" i="1"/>
  <c r="R3285" i="1"/>
  <c r="R4983" i="1"/>
  <c r="R4591" i="1"/>
  <c r="R4059" i="1"/>
  <c r="R171" i="1"/>
  <c r="R4568" i="1"/>
  <c r="R2780" i="1"/>
  <c r="R1868" i="1"/>
  <c r="R4027" i="1"/>
  <c r="R3984" i="1"/>
  <c r="R3483" i="1"/>
  <c r="R603" i="1"/>
  <c r="R4647" i="1"/>
  <c r="R4088" i="1"/>
  <c r="R703" i="1"/>
  <c r="R4370" i="1"/>
  <c r="R4270" i="1"/>
  <c r="R2152" i="1"/>
  <c r="R4298" i="1"/>
  <c r="R1952" i="1"/>
  <c r="R900" i="1"/>
  <c r="R466" i="1"/>
  <c r="R4194" i="1"/>
  <c r="R3368" i="1"/>
  <c r="R2702" i="1"/>
  <c r="R2081" i="1"/>
  <c r="R3245" i="1"/>
  <c r="R1842" i="1"/>
  <c r="R3775" i="1"/>
  <c r="R3383" i="1"/>
  <c r="R4434" i="1"/>
  <c r="R4713" i="1"/>
  <c r="R2244" i="1"/>
  <c r="R1054" i="1"/>
  <c r="R1274" i="1"/>
  <c r="R3609" i="1"/>
  <c r="R363" i="1"/>
  <c r="R536" i="1"/>
  <c r="R3610" i="1"/>
  <c r="R286" i="1"/>
  <c r="R935" i="1"/>
  <c r="R262" i="1"/>
  <c r="R3869" i="1"/>
  <c r="R4276" i="1"/>
  <c r="R962" i="1"/>
  <c r="R4200" i="1"/>
  <c r="R2464" i="1"/>
  <c r="R5001" i="1"/>
  <c r="R4561" i="1"/>
  <c r="R4846" i="1"/>
  <c r="R3075" i="1"/>
  <c r="R2552" i="1"/>
  <c r="R2400" i="1"/>
  <c r="R2157" i="1"/>
  <c r="R414" i="1"/>
  <c r="R435" i="1"/>
  <c r="R3891" i="1"/>
  <c r="R1026" i="1"/>
  <c r="R2963" i="1"/>
  <c r="R2635" i="1"/>
  <c r="R4376" i="1"/>
  <c r="R4333" i="1"/>
  <c r="R2969" i="1"/>
  <c r="R3924" i="1"/>
  <c r="R4190" i="1"/>
  <c r="R1225" i="1"/>
  <c r="R4687" i="1"/>
  <c r="R4485" i="1"/>
  <c r="R3528" i="1"/>
  <c r="R3480" i="1"/>
  <c r="R986" i="1"/>
  <c r="R851" i="1"/>
  <c r="R2414" i="1"/>
  <c r="R4547" i="1"/>
  <c r="R388" i="1"/>
  <c r="R568" i="1"/>
  <c r="R2180" i="1"/>
  <c r="R237" i="1"/>
  <c r="R2084" i="1"/>
  <c r="R3379" i="1"/>
  <c r="R1750" i="1"/>
  <c r="R548" i="1"/>
  <c r="R3240" i="1"/>
  <c r="R620" i="1"/>
  <c r="R1432" i="1"/>
  <c r="R341" i="1"/>
  <c r="R538" i="1"/>
  <c r="R2752" i="1"/>
  <c r="R590" i="1"/>
  <c r="R4436" i="1"/>
  <c r="R3640" i="1"/>
  <c r="R3187" i="1"/>
  <c r="R2960" i="1"/>
  <c r="R4342" i="1"/>
  <c r="R2921" i="1"/>
  <c r="R1491" i="1"/>
  <c r="R4966" i="1"/>
  <c r="R4917" i="1"/>
  <c r="R587" i="1"/>
  <c r="R2680" i="1"/>
  <c r="R2404" i="1"/>
  <c r="R4502" i="1"/>
  <c r="R1133" i="1"/>
  <c r="R3987" i="1"/>
  <c r="R1987" i="1"/>
  <c r="R1289" i="1"/>
  <c r="R1104" i="1"/>
  <c r="R3234" i="1"/>
  <c r="R1889" i="1"/>
  <c r="R4675" i="1"/>
  <c r="R1522" i="1"/>
  <c r="R3835" i="1"/>
  <c r="R3418" i="1"/>
  <c r="R1731" i="1"/>
  <c r="R2134" i="1"/>
  <c r="R4043" i="1"/>
  <c r="R1927" i="1"/>
  <c r="R1942" i="1"/>
  <c r="R1497" i="1"/>
  <c r="R481" i="1"/>
  <c r="R4055" i="1"/>
  <c r="R1953" i="1"/>
  <c r="R970" i="1"/>
  <c r="R1937" i="1"/>
  <c r="R4211" i="1"/>
  <c r="R978" i="1"/>
  <c r="R630" i="1"/>
  <c r="R1388" i="1"/>
  <c r="R434" i="1"/>
  <c r="R948" i="1"/>
  <c r="R4462" i="1"/>
  <c r="R4028" i="1"/>
  <c r="R2645" i="1"/>
  <c r="R2369" i="1"/>
  <c r="R1326" i="1"/>
  <c r="R3205" i="1"/>
  <c r="R2033" i="1"/>
  <c r="R251" i="1"/>
  <c r="R3819" i="1"/>
  <c r="R4162" i="1"/>
  <c r="R3467" i="1"/>
  <c r="R3791" i="1"/>
  <c r="R1212" i="1"/>
  <c r="R2162" i="1"/>
  <c r="R3127" i="1"/>
  <c r="R1037" i="1"/>
  <c r="R3215" i="1"/>
  <c r="R443" i="1"/>
  <c r="R44" i="1"/>
  <c r="R75" i="1"/>
  <c r="R1843" i="1"/>
  <c r="R4442" i="1"/>
  <c r="R345" i="1"/>
  <c r="R4204" i="1"/>
  <c r="R1661" i="1"/>
  <c r="R529" i="1"/>
  <c r="R3784" i="1"/>
  <c r="R266" i="1"/>
  <c r="R3081" i="1"/>
  <c r="R2843" i="1"/>
  <c r="R1963" i="1"/>
  <c r="R2773" i="1"/>
  <c r="R2951" i="1"/>
  <c r="R4624" i="1"/>
  <c r="R4688" i="1"/>
  <c r="R2236" i="1"/>
  <c r="R77" i="1"/>
  <c r="R46" i="1"/>
  <c r="R3021" i="1"/>
  <c r="R863" i="1"/>
  <c r="R1418" i="1"/>
  <c r="R2213" i="1"/>
  <c r="R265" i="1"/>
  <c r="R1562" i="1"/>
  <c r="R4524" i="1"/>
  <c r="R2143" i="1"/>
  <c r="R4250" i="1"/>
  <c r="R1495" i="1"/>
  <c r="R690" i="1"/>
  <c r="R340" i="1"/>
  <c r="R3309" i="1"/>
  <c r="R2559" i="1"/>
  <c r="R1746" i="1"/>
  <c r="R2074" i="1"/>
  <c r="R889" i="1"/>
  <c r="R2057" i="1"/>
  <c r="R1443" i="1"/>
  <c r="R1552" i="1"/>
  <c r="R1966" i="1"/>
  <c r="R3445" i="1"/>
  <c r="R1463" i="1"/>
  <c r="R1854" i="1"/>
  <c r="R4598" i="1"/>
  <c r="R2295" i="1"/>
  <c r="R4772" i="1"/>
  <c r="R3139" i="1"/>
  <c r="R4843" i="1"/>
  <c r="R3511" i="1"/>
  <c r="R2038" i="1"/>
  <c r="R4188" i="1"/>
  <c r="R2847" i="1"/>
  <c r="R766" i="1"/>
  <c r="R3107" i="1"/>
  <c r="R4954" i="1"/>
  <c r="R3733" i="1"/>
  <c r="R3648" i="1"/>
  <c r="R737" i="1"/>
  <c r="R1951" i="1"/>
  <c r="R1774" i="1"/>
  <c r="R3133" i="1"/>
  <c r="R2109" i="1"/>
  <c r="R3678" i="1"/>
  <c r="R2753" i="1"/>
  <c r="R236" i="1"/>
  <c r="R2071" i="1"/>
  <c r="R1479" i="1"/>
  <c r="R2422" i="1"/>
  <c r="R993" i="1"/>
  <c r="R612" i="1"/>
  <c r="R3773" i="1"/>
  <c r="R938" i="1"/>
  <c r="R2306" i="1"/>
  <c r="R454" i="1"/>
  <c r="R4860" i="1"/>
  <c r="R2461" i="1"/>
  <c r="R2579" i="1"/>
  <c r="R4079" i="1"/>
  <c r="R3562" i="1"/>
  <c r="R532" i="1"/>
  <c r="R712" i="1"/>
  <c r="R3372" i="1"/>
  <c r="R566" i="1"/>
  <c r="R3815" i="1"/>
  <c r="R2848" i="1"/>
  <c r="R527" i="1"/>
  <c r="R4666" i="1"/>
  <c r="R351" i="1"/>
  <c r="R3633" i="1"/>
  <c r="R2572" i="1"/>
  <c r="R4661" i="1"/>
  <c r="R2389" i="1"/>
  <c r="R1909" i="1"/>
  <c r="R513" i="1"/>
  <c r="R4048" i="1"/>
  <c r="R3625" i="1"/>
  <c r="R4468" i="1"/>
  <c r="R604" i="1"/>
  <c r="R531" i="1"/>
  <c r="R4652" i="1"/>
  <c r="R2283" i="1"/>
  <c r="R936" i="1"/>
  <c r="R4282" i="1"/>
  <c r="R380" i="1"/>
  <c r="R1598" i="1"/>
  <c r="R4868" i="1"/>
  <c r="R1016" i="1"/>
  <c r="R2939" i="1"/>
  <c r="R4971" i="1"/>
  <c r="R3110" i="1"/>
  <c r="R2077" i="1"/>
  <c r="R1753" i="1"/>
  <c r="R4947" i="1"/>
  <c r="R376" i="1"/>
  <c r="R4952" i="1"/>
  <c r="R1959" i="1"/>
  <c r="R556" i="1"/>
  <c r="R1911" i="1"/>
  <c r="R3565" i="1"/>
  <c r="R3544" i="1"/>
  <c r="R2050" i="1"/>
  <c r="R4047" i="1"/>
  <c r="R3071" i="1"/>
  <c r="R4036" i="1"/>
  <c r="R631" i="1"/>
  <c r="R43" i="1"/>
  <c r="R1810" i="1"/>
  <c r="R2491" i="1"/>
  <c r="R880" i="1"/>
  <c r="R4587" i="1"/>
  <c r="R2734" i="1"/>
  <c r="R4395" i="1"/>
  <c r="R259" i="1"/>
  <c r="R4230" i="1"/>
  <c r="R4064" i="1"/>
  <c r="R821" i="1"/>
  <c r="R3778" i="1"/>
  <c r="R2421" i="1"/>
  <c r="R3382" i="1"/>
  <c r="R1460" i="1"/>
  <c r="R342" i="1"/>
  <c r="R3466" i="1"/>
  <c r="R1835" i="1"/>
  <c r="R1086" i="1"/>
  <c r="R2498" i="1"/>
  <c r="R2967" i="1"/>
  <c r="R746" i="1"/>
  <c r="R3318" i="1"/>
  <c r="R4169" i="1"/>
  <c r="R762" i="1"/>
  <c r="R3460" i="1"/>
  <c r="R3943" i="1"/>
  <c r="R2339" i="1"/>
  <c r="R3721" i="1"/>
  <c r="R2838" i="1"/>
  <c r="R4071" i="1"/>
  <c r="R4447" i="1"/>
  <c r="R483" i="1"/>
  <c r="R1625" i="1"/>
  <c r="R3360" i="1"/>
  <c r="R2047" i="1"/>
  <c r="R4819" i="1"/>
  <c r="R2591" i="1"/>
  <c r="R2824" i="1"/>
  <c r="R337" i="1"/>
  <c r="R2114" i="1"/>
  <c r="R492" i="1"/>
  <c r="R4644" i="1"/>
  <c r="R3210" i="1"/>
  <c r="R4563" i="1"/>
  <c r="R2977" i="1"/>
  <c r="R1588" i="1"/>
  <c r="R4926" i="1"/>
  <c r="R4174" i="1"/>
  <c r="R2361" i="1"/>
  <c r="R3235" i="1"/>
  <c r="R315" i="1"/>
  <c r="R1444" i="1"/>
  <c r="R4900" i="1"/>
  <c r="R964" i="1"/>
  <c r="R4407" i="1"/>
  <c r="R1109" i="1"/>
  <c r="R2257" i="1"/>
  <c r="R1991" i="1"/>
  <c r="R4681" i="1"/>
  <c r="R264" i="1"/>
  <c r="R4040" i="1"/>
  <c r="R1819" i="1"/>
  <c r="R1217" i="1"/>
  <c r="R678" i="1"/>
  <c r="R4016" i="1"/>
  <c r="R4704" i="1"/>
  <c r="R113" i="1"/>
  <c r="R4346" i="1"/>
  <c r="R2839" i="1"/>
  <c r="R4506" i="1"/>
  <c r="R2920" i="1"/>
  <c r="R2503" i="1"/>
  <c r="R215" i="1"/>
  <c r="R3189" i="1"/>
  <c r="R3882" i="1"/>
  <c r="R619" i="1"/>
  <c r="R4517" i="1"/>
  <c r="R3209" i="1"/>
  <c r="R4363" i="1"/>
  <c r="R65" i="1"/>
  <c r="R3957" i="1"/>
  <c r="R4753" i="1"/>
  <c r="R3188" i="1"/>
  <c r="R4564" i="1"/>
  <c r="R2743" i="1"/>
  <c r="R1933" i="1"/>
  <c r="R1990" i="1"/>
  <c r="R3378" i="1"/>
  <c r="R2982" i="1"/>
  <c r="R383" i="1"/>
  <c r="R1045" i="1"/>
  <c r="R1077" i="1"/>
  <c r="R2831" i="1"/>
  <c r="R1792" i="1"/>
  <c r="R641" i="1"/>
  <c r="R4924" i="1"/>
  <c r="R164" i="1"/>
  <c r="R3971" i="1"/>
  <c r="R774" i="1"/>
  <c r="R2141" i="1"/>
  <c r="R3434" i="1"/>
  <c r="R4371" i="1"/>
  <c r="R4865" i="1"/>
  <c r="R4783" i="1"/>
  <c r="R3459" i="1"/>
  <c r="R2018" i="1"/>
  <c r="R4834" i="1"/>
  <c r="R4054" i="1"/>
  <c r="R1380" i="1"/>
  <c r="R398" i="1"/>
  <c r="R4007" i="1"/>
  <c r="R1677" i="1"/>
  <c r="R3600" i="1"/>
  <c r="R330" i="1"/>
  <c r="R126" i="1"/>
  <c r="R623" i="1"/>
  <c r="R4001" i="1"/>
  <c r="R4385" i="1"/>
  <c r="R522" i="1"/>
  <c r="R1736" i="1"/>
  <c r="R4559" i="1"/>
  <c r="R1163" i="1"/>
  <c r="R832" i="1"/>
  <c r="R3785" i="1"/>
  <c r="R4622" i="1"/>
  <c r="R854" i="1"/>
  <c r="R2568" i="1"/>
  <c r="R2584" i="1"/>
  <c r="R3918" i="1"/>
  <c r="R3993" i="1"/>
  <c r="R1409" i="1"/>
  <c r="R4717" i="1"/>
  <c r="R3394" i="1"/>
  <c r="R1648" i="1"/>
  <c r="R1996" i="1"/>
  <c r="R395" i="1"/>
  <c r="R636" i="1"/>
  <c r="R195" i="1"/>
  <c r="R2654" i="1"/>
  <c r="R3597" i="1"/>
  <c r="R4152" i="1"/>
  <c r="R4911" i="1"/>
  <c r="R3533" i="1"/>
  <c r="R48" i="1"/>
  <c r="R1519" i="1"/>
  <c r="R3085" i="1"/>
  <c r="R1128" i="1"/>
  <c r="R2093" i="1"/>
  <c r="R1440" i="1"/>
  <c r="R382" i="1"/>
  <c r="R3005" i="1"/>
  <c r="R437" i="1"/>
  <c r="R4613" i="1"/>
  <c r="R3850" i="1"/>
  <c r="R3076" i="1"/>
  <c r="R63" i="1"/>
  <c r="R1899" i="1"/>
  <c r="R4543" i="1"/>
  <c r="R3731" i="1"/>
  <c r="R4678" i="1"/>
  <c r="R595" i="1"/>
  <c r="R2867" i="1"/>
  <c r="R4209" i="1"/>
  <c r="R4729" i="1"/>
  <c r="R3705" i="1"/>
  <c r="R1888" i="1"/>
  <c r="R580" i="1"/>
  <c r="R1786" i="1"/>
  <c r="R1035" i="1"/>
  <c r="R3515" i="1"/>
  <c r="R3736" i="1"/>
  <c r="R4777" i="1"/>
  <c r="R3358" i="1"/>
  <c r="R3341" i="1"/>
  <c r="R4003" i="1"/>
  <c r="R638" i="1"/>
  <c r="R3789" i="1"/>
  <c r="R4712" i="1"/>
  <c r="R1569" i="1"/>
  <c r="R1839" i="1"/>
  <c r="R1958" i="1"/>
  <c r="R1144" i="1"/>
  <c r="R1232" i="1"/>
  <c r="R4643" i="1"/>
  <c r="R1866" i="1"/>
  <c r="R101" i="1"/>
  <c r="R3868" i="1"/>
  <c r="R1421" i="1"/>
  <c r="R2371" i="1"/>
  <c r="R167" i="1"/>
  <c r="R152" i="1"/>
  <c r="R4797" i="1"/>
  <c r="R242" i="1"/>
  <c r="R3594" i="1"/>
  <c r="R1159" i="1"/>
  <c r="R3402" i="1"/>
  <c r="R4139" i="1"/>
  <c r="R2426" i="1"/>
  <c r="R2517" i="1"/>
  <c r="R2703" i="1"/>
  <c r="R2010" i="1"/>
  <c r="R2600" i="1"/>
  <c r="R810" i="1"/>
  <c r="R1901" i="1"/>
  <c r="R1742" i="1"/>
  <c r="R1804" i="1"/>
  <c r="R442" i="1"/>
  <c r="R1919" i="1"/>
  <c r="R905" i="1"/>
  <c r="R787" i="1"/>
  <c r="R2803" i="1"/>
  <c r="R1571" i="1"/>
  <c r="R2479" i="1"/>
  <c r="R3496" i="1"/>
  <c r="R3769" i="1"/>
  <c r="R1406" i="1"/>
  <c r="R2025" i="1"/>
  <c r="R2519" i="1"/>
  <c r="R4946" i="1"/>
  <c r="R4533" i="1"/>
  <c r="R3206" i="1"/>
  <c r="R676" i="1"/>
  <c r="R2263" i="1"/>
  <c r="R679" i="1"/>
  <c r="R2566" i="1"/>
  <c r="R4170" i="1"/>
  <c r="R1605" i="1"/>
  <c r="R3934" i="1"/>
  <c r="R4553" i="1"/>
  <c r="R4875" i="1"/>
  <c r="R1726" i="1"/>
  <c r="R2812" i="1"/>
  <c r="R163" i="1"/>
  <c r="R2754" i="1"/>
  <c r="R683" i="1"/>
  <c r="R4933" i="1"/>
  <c r="R3743" i="1"/>
  <c r="R249" i="1"/>
  <c r="R5002" i="1"/>
  <c r="R2935" i="1"/>
  <c r="R4429" i="1"/>
  <c r="R1227" i="1"/>
  <c r="R3865" i="1"/>
  <c r="R4220" i="1"/>
  <c r="R3583" i="1"/>
  <c r="R2335" i="1"/>
  <c r="R4711" i="1"/>
  <c r="R1433" i="1"/>
  <c r="R3800" i="1"/>
  <c r="R1108" i="1"/>
  <c r="R525" i="1"/>
  <c r="R314" i="1"/>
  <c r="R2782" i="1"/>
  <c r="R3760" i="1"/>
  <c r="R2066" i="1"/>
  <c r="R3765" i="1"/>
  <c r="R1169" i="1"/>
  <c r="R3228" i="1"/>
  <c r="R3316" i="1"/>
  <c r="R4748" i="1"/>
  <c r="R3781" i="1"/>
  <c r="R4455" i="1"/>
  <c r="R1006" i="1"/>
  <c r="R3651" i="1"/>
  <c r="R736" i="1"/>
  <c r="R3656" i="1"/>
  <c r="R2966" i="1"/>
  <c r="R2112" i="1"/>
  <c r="R4023" i="1"/>
  <c r="R885" i="1"/>
  <c r="R2560" i="1"/>
  <c r="R1058" i="1"/>
  <c r="R2391" i="1"/>
  <c r="R5005" i="1"/>
  <c r="R644" i="1"/>
  <c r="R4744" i="1"/>
  <c r="R3655" i="1"/>
  <c r="R1373" i="1"/>
  <c r="R2058" i="1"/>
  <c r="R2161" i="1"/>
  <c r="R1356" i="1"/>
  <c r="R1802" i="1"/>
  <c r="R740" i="1"/>
  <c r="R2493" i="1"/>
  <c r="R2253" i="1"/>
  <c r="R1155" i="1"/>
  <c r="R293" i="1"/>
  <c r="R91" i="1"/>
  <c r="R4511" i="1"/>
  <c r="R4941" i="1"/>
  <c r="R47" i="1"/>
  <c r="R92" i="1"/>
  <c r="R3406" i="1"/>
  <c r="R1719" i="1"/>
  <c r="R1261" i="1"/>
  <c r="R3304" i="1"/>
  <c r="R3958" i="1"/>
  <c r="R3479" i="1"/>
  <c r="R1250" i="1"/>
  <c r="R1363" i="1"/>
  <c r="R3568" i="1"/>
  <c r="R3022" i="1"/>
  <c r="R2343" i="1"/>
  <c r="R1429" i="1"/>
  <c r="R4501" i="1"/>
  <c r="R3348" i="1"/>
  <c r="R2282" i="1"/>
  <c r="R3945" i="1"/>
  <c r="R2502" i="1"/>
  <c r="R4877" i="1"/>
  <c r="R4248" i="1"/>
  <c r="R1692" i="1"/>
  <c r="R2193" i="1"/>
  <c r="R3814" i="1"/>
  <c r="R3599" i="1"/>
  <c r="R4984" i="1"/>
  <c r="R2215" i="1"/>
  <c r="R4725" i="1"/>
  <c r="R1015" i="1"/>
  <c r="R2370" i="1"/>
  <c r="R2521" i="1"/>
  <c r="R1300" i="1"/>
  <c r="R4741" i="1"/>
  <c r="R2182" i="1"/>
  <c r="R3237" i="1"/>
  <c r="R1269" i="1"/>
  <c r="R1779" i="1"/>
  <c r="R1801" i="1"/>
  <c r="R108" i="1"/>
  <c r="R1973" i="1"/>
  <c r="R3576" i="1"/>
  <c r="R2292" i="1"/>
  <c r="R4792" i="1"/>
  <c r="R1977" i="1"/>
  <c r="R2765" i="1"/>
  <c r="R3279" i="1"/>
  <c r="R1822" i="1"/>
  <c r="R1350" i="1"/>
  <c r="R196" i="1"/>
  <c r="R1385" i="1"/>
  <c r="R3607" i="1"/>
  <c r="R2290" i="1"/>
  <c r="R4141" i="1"/>
  <c r="R759" i="1"/>
  <c r="R2574" i="1"/>
  <c r="R2510" i="1"/>
  <c r="R3213" i="1"/>
  <c r="R1202" i="1"/>
  <c r="R1353" i="1"/>
  <c r="R1629" i="1"/>
  <c r="R4343" i="1"/>
  <c r="R1621" i="1"/>
  <c r="R2453" i="1"/>
  <c r="R3359" i="1"/>
  <c r="R2739" i="1"/>
  <c r="R4235" i="1"/>
  <c r="R999" i="1"/>
  <c r="R1606" i="1"/>
  <c r="R2652" i="1"/>
  <c r="R4793" i="1"/>
  <c r="R4611" i="1"/>
  <c r="R3006" i="1"/>
  <c r="R1186" i="1"/>
  <c r="R3044" i="1"/>
  <c r="R4078" i="1"/>
  <c r="R2712" i="1"/>
  <c r="R4621" i="1"/>
  <c r="R956" i="1"/>
  <c r="R4219" i="1"/>
  <c r="R4272" i="1"/>
  <c r="R4728" i="1"/>
  <c r="R3494" i="1"/>
  <c r="R1192" i="1"/>
  <c r="R540" i="1"/>
  <c r="R3363" i="1"/>
  <c r="R3030" i="1"/>
  <c r="R4214" i="1"/>
  <c r="R1594" i="1"/>
  <c r="R2181" i="1"/>
  <c r="R3686" i="1"/>
  <c r="R4491" i="1"/>
  <c r="R1052" i="1"/>
  <c r="R1358" i="1"/>
  <c r="R138" i="1"/>
  <c r="R4425" i="1"/>
  <c r="R3682" i="1"/>
  <c r="R4290" i="1"/>
  <c r="R2478" i="1"/>
  <c r="R2906" i="1"/>
  <c r="R3579" i="1"/>
  <c r="R4476" i="1"/>
  <c r="R1711" i="1"/>
  <c r="R4403" i="1"/>
  <c r="R276" i="1"/>
  <c r="R3391" i="1"/>
  <c r="R3658" i="1"/>
  <c r="R3103" i="1"/>
  <c r="R895" i="1"/>
  <c r="R185" i="1"/>
  <c r="R2231" i="1"/>
  <c r="R3727" i="1"/>
  <c r="R711" i="1"/>
  <c r="R4638" i="1"/>
  <c r="R1010" i="1"/>
  <c r="R694" i="1"/>
  <c r="R3713" i="1"/>
  <c r="R3805" i="1"/>
  <c r="R4227" i="1"/>
  <c r="R166" i="1"/>
  <c r="R2097" i="1"/>
  <c r="R925" i="1"/>
  <c r="R1303" i="1"/>
  <c r="R301" i="1"/>
  <c r="R328" i="1"/>
  <c r="R1151" i="1"/>
  <c r="R3106" i="1"/>
  <c r="R2126" i="1"/>
  <c r="R3313" i="1"/>
  <c r="R1751" i="1"/>
  <c r="R463" i="1"/>
  <c r="R2894" i="1"/>
  <c r="R673" i="1"/>
  <c r="R2333" i="1"/>
  <c r="R530" i="1"/>
  <c r="R416" i="1"/>
  <c r="R865" i="1"/>
  <c r="R2706" i="1"/>
  <c r="R3503" i="1"/>
  <c r="R2557" i="1"/>
  <c r="R1969" i="1"/>
  <c r="R1102" i="1"/>
  <c r="R4302" i="1"/>
  <c r="R2051" i="1"/>
  <c r="R3086" i="1"/>
  <c r="R1160" i="1"/>
  <c r="R1439" i="1"/>
  <c r="R3701" i="1"/>
  <c r="R1675" i="1"/>
  <c r="R789" i="1"/>
  <c r="R3892" i="1"/>
  <c r="R1191" i="1"/>
  <c r="R1784" i="1"/>
  <c r="R2417" i="1"/>
  <c r="R2163" i="1"/>
  <c r="R1085" i="1"/>
  <c r="R3817" i="1"/>
  <c r="R2341" i="1"/>
  <c r="R2598" i="1"/>
  <c r="R2069" i="1"/>
  <c r="R4450" i="1"/>
  <c r="R267" i="1"/>
  <c r="R2672" i="1"/>
  <c r="R122" i="1"/>
  <c r="R3003" i="1"/>
  <c r="R1940" i="1"/>
  <c r="R1312" i="1"/>
  <c r="R2514" i="1"/>
  <c r="R3232" i="1"/>
  <c r="R4012" i="1"/>
  <c r="R758" i="1"/>
  <c r="R4827" i="1"/>
  <c r="R1171" i="1"/>
  <c r="R4319" i="1"/>
  <c r="R3915" i="1"/>
  <c r="R3067" i="1"/>
  <c r="R2575" i="1"/>
  <c r="R3843" i="1"/>
  <c r="R699" i="1"/>
  <c r="R3260" i="1"/>
  <c r="R4840" i="1"/>
  <c r="R3259" i="1"/>
  <c r="R2618" i="1"/>
  <c r="R503" i="1"/>
  <c r="R2049" i="1"/>
  <c r="R2787" i="1"/>
  <c r="R427" i="1"/>
  <c r="R49" i="1"/>
  <c r="R4391" i="1"/>
  <c r="R332" i="1"/>
  <c r="R2942" i="1"/>
  <c r="R4890" i="1"/>
  <c r="R1355" i="1"/>
  <c r="R1170" i="1"/>
  <c r="R4488" i="1"/>
  <c r="R496" i="1"/>
  <c r="R2227" i="1"/>
  <c r="R4045" i="1"/>
  <c r="R884" i="1"/>
  <c r="R3960" i="1"/>
  <c r="R1904" i="1"/>
  <c r="R3158" i="1"/>
  <c r="R2779" i="1"/>
  <c r="R2015" i="1"/>
  <c r="R2042" i="1"/>
  <c r="R1789" i="1"/>
  <c r="R3148" i="1"/>
  <c r="R3117" i="1"/>
  <c r="R2570" i="1"/>
  <c r="R643" i="1"/>
  <c r="R2379" i="1"/>
  <c r="R12" i="1"/>
  <c r="R441" i="1"/>
  <c r="R1568" i="1"/>
  <c r="R429" i="1"/>
  <c r="R458" i="1"/>
  <c r="R4149" i="1"/>
  <c r="R119" i="1"/>
  <c r="R4526" i="1"/>
  <c r="R4689" i="1"/>
  <c r="R2242" i="1"/>
  <c r="R792" i="1"/>
  <c r="R3333" i="1"/>
  <c r="R1561" i="1"/>
  <c r="R597" i="1"/>
  <c r="R3723" i="1"/>
  <c r="R4670" i="1"/>
  <c r="R3948" i="1"/>
  <c r="R913" i="1"/>
  <c r="R973" i="1"/>
  <c r="R1759" i="1"/>
  <c r="R2237" i="1"/>
  <c r="R1221" i="1"/>
  <c r="R4448" i="1"/>
  <c r="R254" i="1"/>
  <c r="R4970" i="1"/>
  <c r="R3373" i="1"/>
  <c r="R58" i="1"/>
  <c r="R4215" i="1"/>
  <c r="R3222" i="1"/>
  <c r="R3722" i="1"/>
  <c r="R1466" i="1"/>
  <c r="R246" i="1"/>
  <c r="R1386" i="1"/>
  <c r="R2820" i="1"/>
  <c r="R3000" i="1"/>
  <c r="R3051" i="1"/>
  <c r="R4261" i="1"/>
  <c r="R2027" i="1"/>
  <c r="R1720" i="1"/>
  <c r="R926" i="1"/>
  <c r="R2799" i="1"/>
  <c r="R1387" i="1"/>
  <c r="R3502" i="1"/>
  <c r="R1635" i="1"/>
  <c r="R3435" i="1"/>
  <c r="R1430" i="1"/>
  <c r="R2631" i="1"/>
  <c r="R1877" i="1"/>
  <c r="R3803" i="1"/>
  <c r="R4800" i="1"/>
  <c r="R3036" i="1"/>
  <c r="R533" i="1"/>
  <c r="R3266" i="1"/>
  <c r="R4548" i="1"/>
  <c r="R2226" i="1"/>
  <c r="R218" i="1"/>
  <c r="R2267" i="1"/>
  <c r="R2955" i="1"/>
  <c r="R2160" i="1"/>
  <c r="R2230" i="1"/>
  <c r="R1968" i="1"/>
  <c r="R625" i="1"/>
  <c r="R1167" i="1"/>
  <c r="R3123" i="1"/>
  <c r="R3567" i="1"/>
  <c r="R872" i="1"/>
  <c r="R951" i="1"/>
  <c r="R2176" i="1"/>
  <c r="R4205" i="1"/>
  <c r="R3211" i="1"/>
  <c r="R3007" i="1"/>
  <c r="R2351" i="1"/>
  <c r="R3008" i="1"/>
  <c r="R2065" i="1"/>
  <c r="R418" i="1"/>
  <c r="R666" i="1"/>
  <c r="R1506" i="1"/>
  <c r="R2616" i="1"/>
  <c r="R3482" i="1"/>
  <c r="R2360" i="1"/>
  <c r="R3287" i="1"/>
  <c r="R1970" i="1"/>
  <c r="R3983" i="1"/>
  <c r="R222" i="1"/>
  <c r="R4237" i="1"/>
  <c r="R841" i="1"/>
  <c r="R4137" i="1"/>
  <c r="R3091" i="1"/>
  <c r="R500" i="1"/>
  <c r="R4799" i="1"/>
  <c r="R3810" i="1"/>
  <c r="R3575" i="1"/>
  <c r="R4986" i="1"/>
  <c r="R3120" i="1"/>
  <c r="R1576" i="1"/>
  <c r="R4617" i="1"/>
  <c r="R4310" i="1"/>
  <c r="R447" i="1"/>
  <c r="R4996" i="1"/>
  <c r="R2470" i="1"/>
  <c r="R4110" i="1"/>
  <c r="R2094" i="1"/>
  <c r="R3112" i="1"/>
  <c r="R3508" i="1"/>
  <c r="R1111" i="1"/>
  <c r="R1560" i="1"/>
  <c r="R877" i="1"/>
  <c r="R1332" i="1"/>
  <c r="R3963" i="1"/>
  <c r="R4312" i="1"/>
  <c r="R4433" i="1"/>
  <c r="R968" i="1"/>
  <c r="R4011" i="1"/>
  <c r="R3710" i="1"/>
  <c r="R2589" i="1"/>
  <c r="R2826" i="1"/>
  <c r="R4212" i="1"/>
  <c r="R9" i="1"/>
  <c r="R3101" i="1"/>
  <c r="R543" i="1"/>
  <c r="R3446" i="1"/>
  <c r="R3746" i="1"/>
  <c r="R1994" i="1"/>
  <c r="R3356" i="1"/>
  <c r="R2749" i="1"/>
  <c r="R208" i="1"/>
  <c r="R3432" i="1"/>
  <c r="R4033" i="1"/>
  <c r="R4682" i="1"/>
  <c r="R719" i="1"/>
  <c r="R4133" i="1"/>
  <c r="R1572" i="1"/>
  <c r="R1304" i="1"/>
  <c r="R2601" i="1"/>
  <c r="R51" i="1"/>
  <c r="R1323" i="1"/>
  <c r="R4575" i="1"/>
  <c r="R3468" i="1"/>
  <c r="R1905" i="1"/>
  <c r="R223" i="1"/>
  <c r="R4921" i="1"/>
  <c r="R3011" i="1"/>
  <c r="R3292" i="1"/>
  <c r="R3776" i="1"/>
  <c r="R165" i="1"/>
  <c r="R4963" i="1"/>
  <c r="R3043" i="1"/>
  <c r="R105" i="1"/>
  <c r="R896" i="1"/>
  <c r="R4801" i="1"/>
  <c r="R2890" i="1"/>
  <c r="R2991" i="1"/>
  <c r="R4659" i="1"/>
  <c r="R175" i="1"/>
  <c r="R2427" i="1"/>
  <c r="R3659" i="1"/>
  <c r="R4360" i="1"/>
  <c r="R3587" i="1"/>
  <c r="R710" i="1"/>
  <c r="R2302" i="1"/>
  <c r="R3905" i="1"/>
  <c r="R3347" i="1"/>
  <c r="R3203" i="1"/>
  <c r="R3657" i="1"/>
  <c r="R2513" i="1"/>
  <c r="R561" i="1"/>
  <c r="R2573" i="1"/>
  <c r="R760" i="1"/>
  <c r="R1020" i="1"/>
  <c r="R3513" i="1"/>
  <c r="R4554" i="1"/>
  <c r="R411" i="1"/>
  <c r="R3301" i="1"/>
  <c r="R618" i="1"/>
  <c r="R840" i="1"/>
  <c r="R2449" i="1"/>
  <c r="R14" i="1"/>
  <c r="R2490" i="1"/>
  <c r="R4353" i="1"/>
  <c r="R1867" i="1"/>
  <c r="R3346" i="1"/>
  <c r="R3975" i="1"/>
  <c r="R2280" i="1"/>
  <c r="R7" i="1"/>
  <c r="R73" i="1"/>
  <c r="R807" i="1"/>
  <c r="R672" i="1"/>
  <c r="R1555" i="1"/>
  <c r="R2688" i="1"/>
  <c r="R424" i="1"/>
  <c r="R4590" i="1"/>
  <c r="R239" i="1"/>
  <c r="R3676" i="1"/>
  <c r="R3404" i="1"/>
  <c r="R4605" i="1"/>
  <c r="R4487" i="1"/>
  <c r="R489" i="1"/>
  <c r="R2585" i="1"/>
  <c r="R4267" i="1"/>
  <c r="R716" i="1"/>
  <c r="R112" i="1"/>
  <c r="R777" i="1"/>
  <c r="R1861" i="1"/>
  <c r="R3788" i="1"/>
  <c r="R4171" i="1"/>
  <c r="R2072" i="1"/>
  <c r="R321" i="1"/>
  <c r="R1787" i="1"/>
  <c r="R4460" i="1"/>
  <c r="R3926" i="1"/>
  <c r="R3606" i="1"/>
  <c r="R2220" i="1"/>
  <c r="R708" i="1"/>
  <c r="R1240" i="1"/>
  <c r="R4848" i="1"/>
  <c r="R2409" i="1"/>
  <c r="R4893" i="1"/>
  <c r="R882" i="1"/>
  <c r="R3424" i="1"/>
  <c r="R4492" i="1"/>
  <c r="R2968" i="1"/>
  <c r="R1347" i="1"/>
  <c r="R29" i="1"/>
  <c r="R2277" i="1"/>
  <c r="R4191" i="1"/>
  <c r="R1617" i="1"/>
  <c r="R562" i="1"/>
  <c r="R919" i="1"/>
  <c r="R3140" i="1"/>
  <c r="R4639" i="1"/>
  <c r="R4806" i="1"/>
  <c r="R765" i="1"/>
  <c r="R4852" i="1"/>
  <c r="R3996" i="1"/>
  <c r="R15" i="1"/>
  <c r="R3399" i="1"/>
  <c r="R1511" i="1"/>
  <c r="R2908" i="1"/>
  <c r="R1836" i="1"/>
  <c r="R2697" i="1"/>
  <c r="R3407" i="1"/>
  <c r="R3811" i="1"/>
  <c r="R3839" i="1"/>
  <c r="R4901" i="1"/>
  <c r="R1893" i="1"/>
  <c r="R3114" i="1"/>
  <c r="R4026" i="1"/>
  <c r="R4147" i="1"/>
  <c r="R1755" i="1"/>
  <c r="R3680" i="1"/>
  <c r="R4087" i="1"/>
  <c r="R253" i="1"/>
  <c r="R3919" i="1"/>
  <c r="R2777" i="1"/>
  <c r="R436" i="1"/>
  <c r="R1982" i="1"/>
  <c r="R600" i="1"/>
  <c r="R4351" i="1"/>
  <c r="R4606" i="1"/>
  <c r="R3603" i="1"/>
  <c r="R2425" i="1"/>
  <c r="R2296" i="1"/>
  <c r="R1206" i="1"/>
  <c r="R374" i="1"/>
  <c r="R4919" i="1"/>
  <c r="R2190" i="1"/>
  <c r="R4314" i="1"/>
  <c r="R1923" i="1"/>
  <c r="R1114" i="1"/>
  <c r="R3408" i="1"/>
  <c r="R4441" i="1"/>
  <c r="R3471" i="1"/>
  <c r="R3841" i="1"/>
  <c r="R1168" i="1"/>
  <c r="R1998" i="1"/>
  <c r="R4523" i="1"/>
  <c r="R4750" i="1"/>
  <c r="R796" i="1"/>
  <c r="R1638" i="1"/>
  <c r="R4544" i="1"/>
  <c r="R4409" i="1"/>
  <c r="R4311" i="1"/>
  <c r="R4807" i="1"/>
  <c r="R2118" i="1"/>
  <c r="R1116" i="1"/>
  <c r="R1437" i="1"/>
  <c r="R3738" i="1"/>
  <c r="R4406" i="1"/>
  <c r="R4268" i="1"/>
  <c r="R2778" i="1"/>
  <c r="R3197" i="1"/>
  <c r="R3124" i="1"/>
  <c r="R2695" i="1"/>
  <c r="R1898" i="1"/>
  <c r="R3615" i="1"/>
  <c r="R1946" i="1"/>
  <c r="R779" i="1"/>
  <c r="R1760" i="1"/>
  <c r="R981" i="1"/>
  <c r="R4187" i="1"/>
  <c r="R3520" i="1"/>
  <c r="R3179" i="1"/>
  <c r="R1100" i="1"/>
  <c r="R2721" i="1"/>
  <c r="R629" i="1"/>
  <c r="R4176" i="1"/>
  <c r="R669" i="1"/>
  <c r="R3947" i="1"/>
  <c r="R4612" i="1"/>
  <c r="R3953" i="1"/>
  <c r="R1808" i="1"/>
  <c r="R2332" i="1"/>
  <c r="R278" i="1"/>
  <c r="R2073" i="1"/>
  <c r="R2608" i="1"/>
  <c r="R2456" i="1"/>
  <c r="R290" i="1"/>
  <c r="R2089" i="1"/>
  <c r="R599" i="1"/>
  <c r="R2139" i="1"/>
  <c r="R2995" i="1"/>
  <c r="R1329" i="1"/>
  <c r="R4182" i="1"/>
  <c r="R3807" i="1"/>
  <c r="R1528" i="1"/>
  <c r="R2186" i="1"/>
  <c r="R1633" i="1"/>
  <c r="R1557" i="1"/>
  <c r="R3828" i="1"/>
  <c r="R3650" i="1"/>
  <c r="R64" i="1"/>
  <c r="R3542" i="1"/>
  <c r="R2903" i="1"/>
  <c r="R377" i="1"/>
  <c r="R3177" i="1"/>
  <c r="R4999" i="1"/>
  <c r="R4803" i="1"/>
  <c r="R3790" i="1"/>
  <c r="R3451" i="1"/>
  <c r="R76" i="1"/>
  <c r="R3433" i="1"/>
  <c r="R4221" i="1"/>
  <c r="R2603" i="1"/>
  <c r="R2451" i="1"/>
  <c r="R4155" i="1"/>
  <c r="R1816" i="1"/>
  <c r="R3416" i="1"/>
  <c r="R3744" i="1"/>
  <c r="R2627" i="1"/>
  <c r="R4602" i="1"/>
  <c r="R966" i="1"/>
  <c r="R833" i="1"/>
  <c r="R1737" i="1"/>
  <c r="R439" i="1"/>
  <c r="R4684" i="1"/>
  <c r="R1828" i="1"/>
  <c r="R3889" i="1"/>
  <c r="R1291" i="1"/>
  <c r="R1815" i="1"/>
  <c r="R4885" i="1"/>
  <c r="R1245" i="1"/>
  <c r="R4053" i="1"/>
  <c r="R2366" i="1"/>
  <c r="R2469" i="1"/>
  <c r="R1453" i="1"/>
  <c r="R3725" i="1"/>
  <c r="R136" i="1"/>
  <c r="R1317" i="1"/>
  <c r="R1892" i="1"/>
  <c r="R675" i="1"/>
  <c r="R3756" i="1"/>
  <c r="R2218" i="1"/>
  <c r="R3532" i="1"/>
  <c r="R1425" i="1"/>
  <c r="R2853" i="1"/>
  <c r="R1262" i="1"/>
  <c r="R2948" i="1"/>
  <c r="R4960" i="1"/>
  <c r="R422" i="1"/>
  <c r="R4762" i="1"/>
  <c r="R4484" i="1"/>
  <c r="R1401" i="1"/>
  <c r="R3369" i="1"/>
  <c r="R2438" i="1"/>
  <c r="R2548" i="1"/>
  <c r="R2612" i="1"/>
  <c r="R818" i="1"/>
  <c r="R2261" i="1"/>
  <c r="R1776" i="1"/>
  <c r="R2793" i="1"/>
  <c r="R1900" i="1"/>
  <c r="R2945" i="1"/>
  <c r="R2185" i="1"/>
  <c r="R3366" i="1"/>
  <c r="R1631" i="1"/>
  <c r="R2619" i="1"/>
  <c r="R2423" i="1"/>
  <c r="R1724" i="1"/>
  <c r="R4124" i="1"/>
  <c r="R2558" i="1"/>
  <c r="R1611" i="1"/>
  <c r="R4940" i="1"/>
  <c r="R343" i="1"/>
  <c r="R371" i="1"/>
  <c r="R4352" i="1"/>
  <c r="R4895" i="1"/>
  <c r="R1729" i="1"/>
  <c r="R2915" i="1"/>
  <c r="R2443" i="1"/>
  <c r="R1701" i="1"/>
  <c r="R1315" i="1"/>
  <c r="R384" i="1"/>
  <c r="R2029" i="1"/>
  <c r="R4349" i="1"/>
  <c r="R4275" i="1"/>
  <c r="R3196" i="1"/>
  <c r="R4632" i="1"/>
  <c r="R4552" i="1"/>
  <c r="R2863" i="1"/>
  <c r="R3708" i="1"/>
  <c r="R1092" i="1"/>
  <c r="R3132" i="1"/>
  <c r="R2326" i="1"/>
  <c r="R469" i="1"/>
  <c r="R1252" i="1"/>
  <c r="R2878" i="1"/>
  <c r="R2285" i="1"/>
  <c r="R3837" i="1"/>
  <c r="R2740" i="1"/>
  <c r="R4223" i="1"/>
  <c r="R2349" i="1"/>
  <c r="R1882" i="1"/>
  <c r="R1404" i="1"/>
  <c r="R2781" i="1"/>
  <c r="R3317" i="1"/>
  <c r="R2030" i="1"/>
  <c r="R4368" i="1"/>
  <c r="R4481" i="1"/>
  <c r="R2116" i="1"/>
  <c r="R199" i="1"/>
  <c r="R4401" i="1"/>
  <c r="R477" i="1"/>
  <c r="R1477" i="1"/>
  <c r="R4978" i="1"/>
  <c r="R4716" i="1"/>
  <c r="R3129" i="1"/>
  <c r="R2919" i="1"/>
  <c r="R4117" i="1"/>
  <c r="R933" i="1"/>
  <c r="R3417" i="1"/>
  <c r="R3351" i="1"/>
  <c r="R918" i="1"/>
  <c r="R4320" i="1"/>
  <c r="R461" i="1"/>
  <c r="R2368" i="1"/>
  <c r="R2944" i="1"/>
  <c r="R4359" i="1"/>
  <c r="R4225" i="1"/>
  <c r="R1551" i="1"/>
  <c r="R4938" i="1"/>
  <c r="R1573" i="1"/>
  <c r="R2537" i="1"/>
  <c r="R2187" i="1"/>
  <c r="R1243" i="1"/>
  <c r="R335" i="1"/>
  <c r="R1145" i="1"/>
  <c r="R1650" i="1"/>
  <c r="R1613" i="1"/>
  <c r="R3854" i="1"/>
  <c r="R4964" i="1"/>
  <c r="R3956" i="1"/>
  <c r="R912" i="1"/>
  <c r="R4259" i="1"/>
  <c r="R3040" i="1"/>
  <c r="R2124" i="1"/>
  <c r="R689" i="1"/>
  <c r="R2858" i="1"/>
  <c r="R2690" i="1"/>
  <c r="R726" i="1"/>
  <c r="R3893" i="1"/>
  <c r="R2040" i="1"/>
  <c r="R1327" i="1"/>
  <c r="R4118" i="1"/>
  <c r="R235" i="1"/>
  <c r="R3700" i="1"/>
  <c r="R4630" i="1"/>
  <c r="R74" i="1"/>
  <c r="R4979" i="1"/>
  <c r="R4549" i="1"/>
  <c r="R4667" i="1"/>
  <c r="R3992" i="1"/>
  <c r="R4902" i="1"/>
  <c r="R794" i="1"/>
  <c r="R3219" i="1"/>
  <c r="R2985" i="1"/>
  <c r="R2698" i="1"/>
  <c r="R508" i="1"/>
  <c r="R4334" i="1"/>
  <c r="R2582" i="1"/>
  <c r="R3881" i="1"/>
  <c r="R3684" i="1"/>
  <c r="R2961" i="1"/>
  <c r="R391" i="1"/>
  <c r="R3236" i="1"/>
  <c r="R1068" i="1"/>
  <c r="R67" i="1"/>
  <c r="R192" i="1"/>
  <c r="R2595" i="1"/>
  <c r="R3980" i="1"/>
  <c r="R2731" i="1"/>
  <c r="R4755" i="1"/>
  <c r="R4951" i="1"/>
  <c r="R1019" i="1"/>
  <c r="R3276" i="1"/>
  <c r="R989" i="1"/>
  <c r="R4008" i="1"/>
  <c r="R2102" i="1"/>
  <c r="R2801" i="1"/>
  <c r="R2036" i="1"/>
  <c r="R2301" i="1"/>
  <c r="R516" i="1"/>
  <c r="R2512" i="1"/>
  <c r="R20" i="1"/>
  <c r="R4896" i="1"/>
  <c r="R3749" i="1"/>
  <c r="R2313" i="1"/>
  <c r="R2893" i="1"/>
  <c r="R886" i="1"/>
  <c r="R3227" i="1"/>
  <c r="R144" i="1"/>
  <c r="R2651" i="1"/>
  <c r="R1481" i="1"/>
  <c r="R1592" i="1"/>
  <c r="R4228" i="1"/>
  <c r="R3554" i="1"/>
  <c r="R2086" i="1"/>
  <c r="R3244" i="1"/>
  <c r="R1934" i="1"/>
  <c r="R4113" i="1"/>
  <c r="R520" i="1"/>
  <c r="R1735" i="1"/>
  <c r="R365" i="1"/>
  <c r="R2142" i="1"/>
  <c r="R3484" i="1"/>
  <c r="R344" i="1"/>
  <c r="R2096" i="1"/>
  <c r="R1587" i="1"/>
  <c r="R1061" i="1"/>
  <c r="R783" i="1"/>
  <c r="R576" i="1"/>
  <c r="R653" i="1"/>
  <c r="R2460" i="1"/>
  <c r="R1091" i="1"/>
  <c r="R501" i="1"/>
  <c r="R2098" i="1"/>
  <c r="R4930" i="1"/>
  <c r="R4103" i="1"/>
  <c r="R2708" i="1"/>
  <c r="R1260" i="1"/>
  <c r="R4562" i="1"/>
  <c r="R3954" i="1"/>
  <c r="R592" i="1"/>
  <c r="R3519" i="1"/>
  <c r="R617" i="1"/>
  <c r="R2188" i="1"/>
  <c r="R1062" i="1"/>
  <c r="R2488" i="1"/>
  <c r="R3873" i="1"/>
  <c r="R4556" i="1"/>
  <c r="R584" i="1"/>
  <c r="R3395" i="1"/>
  <c r="R4731" i="1"/>
  <c r="R3833" i="1"/>
  <c r="R1417" i="1"/>
  <c r="R3126" i="1"/>
  <c r="R1798" i="1"/>
  <c r="R1665" i="1"/>
  <c r="R1178" i="1"/>
  <c r="R2997" i="1"/>
  <c r="R4489" i="1"/>
  <c r="R3675" i="1"/>
  <c r="R890" i="1"/>
  <c r="R4120" i="1"/>
  <c r="R2869" i="1"/>
  <c r="R506" i="1"/>
  <c r="R1697" i="1"/>
  <c r="R3808" i="1"/>
  <c r="R2035" i="1"/>
  <c r="R1419" i="1"/>
  <c r="R4696" i="1"/>
  <c r="R270" i="1"/>
  <c r="R172" i="1"/>
  <c r="R983" i="1"/>
  <c r="R3326" i="1"/>
  <c r="R3862" i="1"/>
  <c r="R1164" i="1"/>
  <c r="R1031" i="1"/>
  <c r="R934" i="1"/>
  <c r="R723" i="1"/>
  <c r="R3787" i="1"/>
  <c r="R3032" i="1"/>
  <c r="R4739" i="1"/>
  <c r="R655" i="1"/>
  <c r="R671" i="1"/>
  <c r="R323" i="1"/>
  <c r="R1049" i="1"/>
  <c r="R2661" i="1"/>
  <c r="R4420" i="1"/>
  <c r="R228" i="1"/>
  <c r="R1188" i="1"/>
  <c r="R1599" i="1"/>
  <c r="R1267" i="1"/>
  <c r="R2329" i="1"/>
  <c r="R2952" i="1"/>
  <c r="R4405" i="1"/>
  <c r="R4136" i="1"/>
  <c r="R85" i="1"/>
  <c r="R1083" i="1"/>
  <c r="R869" i="1"/>
  <c r="R4709" i="1"/>
  <c r="R4781" i="1"/>
  <c r="R409" i="1"/>
  <c r="R1376" i="1"/>
  <c r="R4886" i="1"/>
  <c r="R3524" i="1"/>
  <c r="R173" i="1"/>
  <c r="R1995" i="1"/>
  <c r="R2864" i="1"/>
  <c r="R2270" i="1"/>
  <c r="R4645" i="1"/>
  <c r="R2586" i="1"/>
  <c r="R4109" i="1"/>
  <c r="R408" i="1"/>
  <c r="R904" i="1"/>
  <c r="R915" i="1"/>
  <c r="R55" i="1"/>
  <c r="R1526" i="1"/>
  <c r="R491" i="1"/>
  <c r="R3557" i="1"/>
  <c r="R2501" i="1"/>
  <c r="R686" i="1"/>
  <c r="R3443" i="1"/>
  <c r="R594" i="1"/>
  <c r="R339" i="1"/>
  <c r="R4990" i="1"/>
  <c r="R4150" i="1"/>
  <c r="R3439" i="1"/>
  <c r="R3137" i="1"/>
  <c r="R3677" i="1"/>
  <c r="R3711" i="1"/>
  <c r="R4943" i="1"/>
  <c r="R2407" i="1"/>
  <c r="R2367" i="1"/>
  <c r="R2596" i="1"/>
  <c r="R4287" i="1"/>
  <c r="R3336" i="1"/>
  <c r="R4049" i="1"/>
  <c r="R1234" i="1"/>
  <c r="R4583" i="1"/>
  <c r="R473" i="1"/>
  <c r="R4994" i="1"/>
  <c r="R1722" i="1"/>
  <c r="R4096" i="1"/>
  <c r="R4878" i="1"/>
  <c r="R3652" i="1"/>
  <c r="R1957" i="1"/>
  <c r="R417" i="1"/>
  <c r="R1674" i="1"/>
  <c r="R21" i="1"/>
  <c r="R3782" i="1"/>
  <c r="R2457" i="1"/>
  <c r="R4464" i="1"/>
  <c r="R4231" i="1"/>
  <c r="R3335" i="1"/>
  <c r="R4914" i="1"/>
  <c r="R4884" i="1"/>
  <c r="R4922" i="1"/>
  <c r="R3696" i="1"/>
  <c r="R632" i="1"/>
  <c r="R1683" i="1"/>
  <c r="R4763" i="1"/>
  <c r="R1127" i="1"/>
  <c r="R1485" i="1"/>
  <c r="R146" i="1"/>
  <c r="R820" i="1"/>
  <c r="R1135" i="1"/>
  <c r="R3168" i="1"/>
  <c r="R4090" i="1"/>
  <c r="R402" i="1"/>
  <c r="R1248" i="1"/>
  <c r="R1249" i="1"/>
  <c r="R4098" i="1"/>
  <c r="R693" i="1"/>
  <c r="R2009" i="1"/>
  <c r="R4422" i="1"/>
  <c r="R2901" i="1"/>
  <c r="R252" i="1"/>
  <c r="R312" i="1"/>
  <c r="R1734" i="1"/>
  <c r="R178" i="1"/>
  <c r="R992" i="1"/>
  <c r="R2610" i="1"/>
  <c r="R4504" i="1"/>
  <c r="R650" i="1"/>
  <c r="R1220" i="1"/>
  <c r="R2293" i="1"/>
  <c r="R1216" i="1"/>
  <c r="R888" i="1"/>
  <c r="R2727" i="1"/>
  <c r="R4856" i="1"/>
  <c r="R2993" i="1"/>
  <c r="R4723" i="1"/>
  <c r="R1307" i="1"/>
  <c r="R3134" i="1"/>
  <c r="R4828" i="1"/>
  <c r="R1897" i="1"/>
  <c r="R3096" i="1"/>
  <c r="R3315" i="1"/>
  <c r="R1626" i="1"/>
  <c r="R1874" i="1"/>
  <c r="R1276" i="1"/>
  <c r="R1972" i="1"/>
  <c r="R3759" i="1"/>
  <c r="R4808" i="1"/>
  <c r="R4013" i="1"/>
  <c r="R639" i="1"/>
  <c r="R3004" i="1"/>
  <c r="R517" i="1"/>
  <c r="R3885" i="1"/>
  <c r="R1834" i="1"/>
  <c r="R3031" i="1"/>
  <c r="R2209" i="1"/>
  <c r="R995" i="1"/>
  <c r="R2383" i="1"/>
  <c r="R2151" i="1"/>
  <c r="R2644" i="1"/>
  <c r="R2624" i="1"/>
  <c r="R1538" i="1"/>
  <c r="R3617" i="1"/>
  <c r="R2785" i="1"/>
  <c r="R4380" i="1"/>
  <c r="R3409" i="1"/>
  <c r="R292" i="1"/>
  <c r="R1876" i="1"/>
  <c r="R1553" i="1"/>
  <c r="R3098" i="1"/>
  <c r="R800" i="1"/>
  <c r="R1749" i="1"/>
  <c r="R111" i="1"/>
  <c r="R4093" i="1"/>
  <c r="R179" i="1"/>
  <c r="R1472" i="1"/>
  <c r="R2835" i="1"/>
  <c r="R4745" i="1"/>
  <c r="R4628" i="1"/>
  <c r="R102" i="1"/>
  <c r="R3374" i="1"/>
  <c r="R2437" i="1"/>
  <c r="R4034" i="1"/>
  <c r="R2938" i="1"/>
  <c r="R2679" i="1"/>
  <c r="R1558" i="1"/>
  <c r="R1064" i="1"/>
  <c r="R2928" i="1"/>
  <c r="R1847" i="1"/>
  <c r="R547" i="1"/>
  <c r="R2357" i="1"/>
  <c r="R1241" i="1"/>
  <c r="R4597" i="1"/>
  <c r="R2756" i="1"/>
  <c r="R4421" i="1"/>
  <c r="R3135" i="1"/>
  <c r="R2972" i="1"/>
  <c r="R3083" i="1"/>
  <c r="R2505" i="1"/>
  <c r="R1627" i="1"/>
  <c r="R1352" i="1"/>
  <c r="R4942" i="1"/>
  <c r="R1042" i="1"/>
  <c r="R1727" i="1"/>
  <c r="R294" i="1"/>
  <c r="R2860" i="1"/>
  <c r="R1082" i="1"/>
  <c r="R3853" i="1"/>
  <c r="R2054" i="1"/>
  <c r="R1797" i="1"/>
  <c r="R4161" i="1"/>
  <c r="R1022" i="1"/>
  <c r="R2023" i="1"/>
  <c r="R4641" i="1"/>
  <c r="R4989" i="1"/>
  <c r="R3035" i="1"/>
  <c r="R4326" i="1"/>
  <c r="R534" i="1"/>
  <c r="R4255" i="1"/>
  <c r="R2943" i="1"/>
  <c r="R194" i="1"/>
  <c r="R2250" i="1"/>
  <c r="R4560" i="1"/>
  <c r="R2105" i="1"/>
  <c r="R2419" i="1"/>
  <c r="R35" i="1"/>
  <c r="R3058" i="1"/>
  <c r="R2630" i="1"/>
  <c r="R802" i="1"/>
  <c r="R3337" i="1"/>
  <c r="R611" i="1"/>
  <c r="R271" i="1"/>
  <c r="R3855" i="1"/>
  <c r="R849" i="1"/>
  <c r="R4399" i="1"/>
  <c r="R2442" i="1"/>
  <c r="R4883" i="1"/>
  <c r="R36" i="1"/>
  <c r="R4882" i="1"/>
  <c r="R2783" i="1"/>
  <c r="R3141" i="1"/>
  <c r="R4845" i="1"/>
  <c r="R1533" i="1"/>
  <c r="R542" i="1"/>
  <c r="R247" i="1"/>
  <c r="R296" i="1"/>
  <c r="R1021" i="1"/>
  <c r="R585" i="1"/>
  <c r="R1087" i="1"/>
  <c r="R83" i="1"/>
  <c r="R4454" i="1"/>
  <c r="R3453" i="1"/>
  <c r="R1620" i="1"/>
  <c r="R3959" i="1"/>
  <c r="R735" i="1"/>
  <c r="R4770" i="1"/>
  <c r="R2043" i="1"/>
  <c r="R2123" i="1"/>
  <c r="R1738" i="1"/>
  <c r="R2905" i="1"/>
  <c r="R4593" i="1"/>
  <c r="R1004" i="1"/>
  <c r="R4062" i="1"/>
  <c r="R3509" i="1"/>
  <c r="R1689" i="1"/>
  <c r="R4041" i="1"/>
  <c r="R3589" i="1"/>
  <c r="R3089" i="1"/>
  <c r="R2555" i="1"/>
  <c r="R188" i="1"/>
  <c r="R3887" i="1"/>
  <c r="R245" i="1"/>
  <c r="R3190" i="1"/>
  <c r="R4973" i="1"/>
  <c r="R953" i="1"/>
  <c r="R2013" i="1"/>
  <c r="R3591" i="1"/>
  <c r="R2221" i="1"/>
  <c r="R2508" i="1"/>
  <c r="R3280" i="1"/>
  <c r="R3267" i="1"/>
  <c r="R4394" i="1"/>
  <c r="R866" i="1"/>
  <c r="R1700" i="1"/>
  <c r="R1097" i="1"/>
  <c r="R3013" i="1"/>
  <c r="R2862" i="1"/>
  <c r="R4144" i="1"/>
  <c r="R881" i="1"/>
  <c r="R3694" i="1"/>
  <c r="R4396" i="1"/>
  <c r="R22" i="1"/>
  <c r="R1393" i="1"/>
  <c r="R2713" i="1"/>
  <c r="R4558" i="1"/>
  <c r="R4918" i="1"/>
  <c r="R2797" i="1"/>
  <c r="R3798" i="1"/>
  <c r="R828" i="1"/>
  <c r="R3581" i="1"/>
  <c r="R1545" i="1"/>
  <c r="R4344" i="1"/>
  <c r="R2363" i="1"/>
  <c r="R4301" i="1"/>
  <c r="R3033" i="1"/>
  <c r="R2983" i="1"/>
  <c r="R3198" i="1"/>
  <c r="R3444" i="1"/>
  <c r="R4760" i="1"/>
  <c r="R310" i="1"/>
  <c r="R3097" i="1"/>
  <c r="R306" i="1"/>
  <c r="R3611" i="1"/>
  <c r="R4165" i="1"/>
  <c r="R3164" i="1"/>
  <c r="R197" i="1"/>
  <c r="R4052" i="1"/>
  <c r="R2605" i="1"/>
  <c r="R512" i="1"/>
  <c r="R88" i="1"/>
  <c r="R3797" i="1"/>
  <c r="R2208" i="1"/>
  <c r="R701" i="1"/>
  <c r="R3681" i="1"/>
  <c r="R2147" i="1"/>
  <c r="R1796" i="1"/>
  <c r="R4968" i="1"/>
  <c r="R288" i="1"/>
  <c r="R3442" i="1"/>
  <c r="R468" i="1"/>
  <c r="R224" i="1"/>
  <c r="R1851" i="1"/>
  <c r="R524" i="1"/>
  <c r="R4677" i="1"/>
  <c r="R3870" i="1"/>
  <c r="R4604" i="1"/>
  <c r="R1362" i="1"/>
  <c r="R4307" i="1"/>
  <c r="R1348" i="1"/>
  <c r="R2509" i="1"/>
  <c r="R4202" i="1"/>
  <c r="R2492" i="1"/>
  <c r="R1176" i="1"/>
  <c r="R1112" i="1"/>
  <c r="R3978" i="1"/>
  <c r="R279" i="1"/>
  <c r="R1616" i="1"/>
  <c r="R3074" i="1"/>
  <c r="R2927" i="1"/>
  <c r="R1703" i="1"/>
  <c r="R2768" i="1"/>
  <c r="R1591" i="1"/>
  <c r="R2328" i="1"/>
  <c r="R1343" i="1"/>
  <c r="R479" i="1"/>
  <c r="R1938" i="1"/>
  <c r="R3500" i="1"/>
  <c r="R3286" i="1"/>
  <c r="R2946" i="1"/>
  <c r="R39" i="1"/>
  <c r="R4254" i="1"/>
  <c r="R1072" i="1"/>
  <c r="R1256" i="1"/>
  <c r="R4413" i="1"/>
  <c r="R1657" i="1"/>
  <c r="R2203" i="1"/>
  <c r="R577" i="1"/>
  <c r="R780" i="1"/>
  <c r="R160" i="1"/>
  <c r="R407" i="1"/>
  <c r="R2746" i="1"/>
  <c r="R1943" i="1"/>
  <c r="R3549" i="1"/>
  <c r="R1302" i="1"/>
  <c r="R2000" i="1"/>
  <c r="R1106" i="1"/>
  <c r="R3977" i="1"/>
  <c r="R2865" i="1"/>
  <c r="R4233" i="1"/>
  <c r="R649" i="1"/>
  <c r="R1413" i="1"/>
  <c r="R2196" i="1"/>
  <c r="R2100" i="1"/>
  <c r="R3645" i="1"/>
  <c r="R362" i="1"/>
  <c r="R4234" i="1"/>
  <c r="R946" i="1"/>
  <c r="R3516" i="1"/>
  <c r="R3707" i="1"/>
  <c r="R1137" i="1"/>
  <c r="R2775" i="1"/>
  <c r="R6" i="1"/>
  <c r="H20" i="3"/>
  <c r="K4075" i="1"/>
  <c r="K1875" i="1"/>
  <c r="K1027" i="1"/>
  <c r="K522" i="1"/>
  <c r="K1026" i="1"/>
  <c r="K1873" i="1"/>
  <c r="K523" i="1"/>
  <c r="K1874" i="1"/>
  <c r="K5001" i="1"/>
  <c r="K5002" i="1"/>
  <c r="K524" i="1"/>
  <c r="K525" i="1"/>
  <c r="K1028" i="1"/>
  <c r="K5003" i="1"/>
  <c r="K795" i="1"/>
  <c r="K5004" i="1"/>
  <c r="K1029" i="1"/>
  <c r="K1876" i="1"/>
  <c r="K1878" i="1"/>
  <c r="K526" i="1"/>
  <c r="K1022" i="1"/>
  <c r="K1877" i="1"/>
  <c r="K527" i="1"/>
  <c r="K4655" i="1"/>
  <c r="K1444" i="1"/>
  <c r="K210" i="1"/>
  <c r="K4126" i="1"/>
  <c r="K920" i="1"/>
  <c r="K4666" i="1"/>
  <c r="K4594" i="1"/>
  <c r="K4320" i="1"/>
  <c r="K4296" i="1"/>
  <c r="K4352" i="1"/>
  <c r="K1619" i="1"/>
  <c r="K4229" i="1"/>
  <c r="K1306" i="1"/>
  <c r="K4823" i="1"/>
  <c r="K4125" i="1"/>
  <c r="K4215" i="1"/>
  <c r="K1565" i="1"/>
  <c r="K1389" i="1"/>
  <c r="K403" i="1"/>
  <c r="K4302" i="1"/>
  <c r="K4571" i="1"/>
  <c r="K61" i="1"/>
  <c r="K32" i="1"/>
  <c r="K4634" i="1"/>
  <c r="K137" i="1"/>
  <c r="K1595" i="1"/>
  <c r="K4545" i="1"/>
  <c r="K357" i="1"/>
  <c r="K111" i="1"/>
  <c r="K4129" i="1"/>
  <c r="K156" i="1"/>
  <c r="K1807" i="1"/>
  <c r="K4562" i="1"/>
  <c r="K1392" i="1"/>
  <c r="K1432" i="1"/>
  <c r="K519" i="1"/>
  <c r="K4533" i="1"/>
  <c r="K4419" i="1"/>
  <c r="K4443" i="1"/>
  <c r="K23" i="1"/>
  <c r="K4307" i="1"/>
  <c r="K228" i="1"/>
  <c r="K1628" i="1"/>
  <c r="K329" i="1"/>
  <c r="K763" i="1"/>
  <c r="K294" i="1"/>
  <c r="K146" i="1"/>
  <c r="K1257" i="1"/>
  <c r="K4173" i="1"/>
  <c r="K4616" i="1"/>
  <c r="K1406" i="1"/>
  <c r="K4630" i="1"/>
  <c r="K4275" i="1"/>
  <c r="K4151" i="1"/>
  <c r="K4303" i="1"/>
  <c r="K4365" i="1"/>
  <c r="K941" i="1"/>
  <c r="K215" i="1"/>
  <c r="K1365" i="1"/>
  <c r="K4260" i="1"/>
  <c r="K1270" i="1"/>
  <c r="K1337" i="1"/>
  <c r="K4688" i="1"/>
  <c r="K4519" i="1"/>
  <c r="K83" i="1"/>
  <c r="K1277" i="1"/>
  <c r="K4706" i="1"/>
  <c r="K4137" i="1"/>
  <c r="K4524" i="1"/>
  <c r="K774" i="1"/>
  <c r="K226" i="1"/>
  <c r="K1352" i="1"/>
  <c r="K4441" i="1"/>
  <c r="K1293" i="1"/>
  <c r="K1319" i="1"/>
  <c r="K1274" i="1"/>
  <c r="K4278" i="1"/>
  <c r="K1585" i="1"/>
  <c r="K4729" i="1"/>
  <c r="K282" i="1"/>
  <c r="K4112" i="1"/>
  <c r="K4423" i="1"/>
  <c r="K4185" i="1"/>
  <c r="K4315" i="1"/>
  <c r="K1558" i="1"/>
  <c r="K4255" i="1"/>
  <c r="K4938" i="1"/>
  <c r="K1256" i="1"/>
  <c r="K163" i="1"/>
  <c r="K4534" i="1"/>
  <c r="K4557" i="1"/>
  <c r="K4343" i="1"/>
  <c r="K4716" i="1"/>
  <c r="K4246" i="1"/>
  <c r="K4096" i="1"/>
  <c r="K255" i="1"/>
  <c r="K4895" i="1"/>
  <c r="K4617" i="1"/>
  <c r="K4477" i="1"/>
  <c r="K4257" i="1"/>
  <c r="K4309" i="1"/>
  <c r="K4238" i="1"/>
  <c r="K4420" i="1"/>
  <c r="K4727" i="1"/>
  <c r="K119" i="1"/>
  <c r="K1431" i="1"/>
  <c r="K4401" i="1"/>
  <c r="K4339" i="1"/>
  <c r="K196" i="1"/>
  <c r="K4134" i="1"/>
  <c r="K286" i="1"/>
  <c r="K272" i="1"/>
  <c r="K4979" i="1"/>
  <c r="K4149" i="1"/>
  <c r="K304" i="1"/>
  <c r="K4789" i="1"/>
  <c r="K4751" i="1"/>
  <c r="K1592" i="1"/>
  <c r="K151" i="1"/>
  <c r="K4254" i="1"/>
  <c r="K4122" i="1"/>
  <c r="K4596" i="1"/>
  <c r="K4362" i="1"/>
  <c r="K4250" i="1"/>
  <c r="K69" i="1"/>
  <c r="K4708" i="1"/>
  <c r="K1566" i="1"/>
  <c r="K4739" i="1"/>
  <c r="K4197" i="1"/>
  <c r="K4323" i="1"/>
  <c r="K4179" i="1"/>
  <c r="K4715" i="1"/>
  <c r="K4090" i="1"/>
  <c r="K4322" i="1"/>
  <c r="K17" i="1"/>
  <c r="K4136" i="1"/>
  <c r="K37" i="1"/>
  <c r="K968" i="1"/>
  <c r="K212" i="1"/>
  <c r="K4573" i="1"/>
  <c r="K22" i="1"/>
  <c r="K284" i="1"/>
  <c r="K116" i="1"/>
  <c r="K4453" i="1"/>
  <c r="K4763" i="1"/>
  <c r="K4194" i="1"/>
  <c r="K1395" i="1"/>
  <c r="K1577" i="1"/>
  <c r="K1426" i="1"/>
  <c r="K170" i="1"/>
  <c r="K264" i="1"/>
  <c r="K223" i="1"/>
  <c r="K4610" i="1"/>
  <c r="K1440" i="1"/>
  <c r="K4682" i="1"/>
  <c r="K16" i="1"/>
  <c r="K779" i="1"/>
  <c r="K4627" i="1"/>
  <c r="K167" i="1"/>
  <c r="K1785" i="1"/>
  <c r="K4265" i="1"/>
  <c r="K50" i="1"/>
  <c r="K4635" i="1"/>
  <c r="K4658" i="1"/>
  <c r="K4966" i="1"/>
  <c r="K1627" i="1"/>
  <c r="K13" i="1"/>
  <c r="K4094" i="1"/>
  <c r="K4308" i="1"/>
  <c r="K4496" i="1"/>
  <c r="K1582" i="1"/>
  <c r="K4409" i="1"/>
  <c r="K4654" i="1"/>
  <c r="K1299" i="1"/>
  <c r="K4458" i="1"/>
  <c r="K4445" i="1"/>
  <c r="K4121" i="1"/>
  <c r="K184" i="1"/>
  <c r="K1448" i="1"/>
  <c r="K4213" i="1"/>
  <c r="K4186" i="1"/>
  <c r="K4162" i="1"/>
  <c r="K1403" i="1"/>
  <c r="K1657" i="1"/>
  <c r="K1437" i="1"/>
  <c r="K4221" i="1"/>
  <c r="K142" i="1"/>
  <c r="K4721" i="1"/>
  <c r="K1407" i="1"/>
  <c r="K65" i="1"/>
  <c r="K207" i="1"/>
  <c r="K4435" i="1"/>
  <c r="K169" i="1"/>
  <c r="K1879" i="1"/>
  <c r="K193" i="1"/>
  <c r="K1315" i="1"/>
  <c r="K861" i="1"/>
  <c r="K4522" i="1"/>
  <c r="K4092" i="1"/>
  <c r="K1364" i="1"/>
  <c r="K253" i="1"/>
  <c r="K4619" i="1"/>
  <c r="K4359" i="1"/>
  <c r="K1354" i="1"/>
  <c r="K4561" i="1"/>
  <c r="K4100" i="1"/>
  <c r="K4560" i="1"/>
  <c r="K1282" i="1"/>
  <c r="K182" i="1"/>
  <c r="K1588" i="1"/>
  <c r="K4476" i="1"/>
  <c r="K4222" i="1"/>
  <c r="K938" i="1"/>
  <c r="K4397" i="1"/>
  <c r="K4720" i="1"/>
  <c r="K1847" i="1"/>
  <c r="K1324" i="1"/>
  <c r="K4166" i="1"/>
  <c r="K4734" i="1"/>
  <c r="K4762" i="1"/>
  <c r="K4163" i="1"/>
  <c r="K4480" i="1"/>
  <c r="K274" i="1"/>
  <c r="K47" i="1"/>
  <c r="K4417" i="1"/>
  <c r="K4809" i="1"/>
  <c r="K4211" i="1"/>
  <c r="K4595" i="1"/>
  <c r="K4728" i="1"/>
  <c r="K4464" i="1"/>
  <c r="K4115" i="1"/>
  <c r="K4284" i="1"/>
  <c r="K4570" i="1"/>
  <c r="K4133" i="1"/>
  <c r="K240" i="1"/>
  <c r="K1436" i="1"/>
  <c r="K1575" i="1"/>
  <c r="K1376" i="1"/>
  <c r="K4294" i="1"/>
  <c r="K1794" i="1"/>
  <c r="K4693" i="1"/>
  <c r="K781" i="1"/>
  <c r="K4615" i="1"/>
  <c r="K166" i="1"/>
  <c r="K1580" i="1"/>
  <c r="K4730" i="1"/>
  <c r="K4237" i="1"/>
  <c r="K4146" i="1"/>
  <c r="K277" i="1"/>
  <c r="K788" i="1"/>
  <c r="K4374" i="1"/>
  <c r="K4629" i="1"/>
  <c r="K4689" i="1"/>
  <c r="K257" i="1"/>
  <c r="K4268" i="1"/>
  <c r="K757" i="1"/>
  <c r="K1423" i="1"/>
  <c r="K262" i="1"/>
  <c r="K177" i="1"/>
  <c r="K1349" i="1"/>
  <c r="K4430" i="1"/>
  <c r="K275" i="1"/>
  <c r="K236" i="1"/>
  <c r="K4436" i="1"/>
  <c r="K4702" i="1"/>
  <c r="K4259" i="1"/>
  <c r="K4207" i="1"/>
  <c r="K4132" i="1"/>
  <c r="K1296" i="1"/>
  <c r="K1405" i="1"/>
  <c r="K136" i="1"/>
  <c r="K1314" i="1"/>
  <c r="K1758" i="1"/>
  <c r="K4228" i="1"/>
  <c r="K4372" i="1"/>
  <c r="K7" i="1"/>
  <c r="K4406" i="1"/>
  <c r="K101" i="1"/>
  <c r="K4077" i="1"/>
  <c r="K4391" i="1"/>
  <c r="K4195" i="1"/>
  <c r="K4369" i="1"/>
  <c r="K857" i="1"/>
  <c r="K4418" i="1"/>
  <c r="K4527" i="1"/>
  <c r="K1623" i="1"/>
  <c r="K4831" i="1"/>
  <c r="K217" i="1"/>
  <c r="K4210" i="1"/>
  <c r="K4148" i="1"/>
  <c r="K1289" i="1"/>
  <c r="K4644" i="1"/>
  <c r="K4346" i="1"/>
  <c r="K1502" i="1"/>
  <c r="K969" i="1"/>
  <c r="K4695" i="1"/>
  <c r="K4620" i="1"/>
  <c r="K1275" i="1"/>
  <c r="K4456" i="1"/>
  <c r="K1693" i="1"/>
  <c r="K1271" i="1"/>
  <c r="K4371" i="1"/>
  <c r="K1394" i="1"/>
  <c r="K765" i="1"/>
  <c r="K4083" i="1"/>
  <c r="K4316" i="1"/>
  <c r="K1343" i="1"/>
  <c r="K4298" i="1"/>
  <c r="K1611" i="1"/>
  <c r="K1288" i="1"/>
  <c r="K4664" i="1"/>
  <c r="K4868" i="1"/>
  <c r="K1597" i="1"/>
  <c r="K4301" i="1"/>
  <c r="K449" i="1"/>
  <c r="K1430" i="1"/>
  <c r="K1617" i="1"/>
  <c r="K4204" i="1"/>
  <c r="K4123" i="1"/>
  <c r="K1351" i="1"/>
  <c r="K77" i="1"/>
  <c r="K976" i="1"/>
  <c r="K149" i="1"/>
  <c r="K4176" i="1"/>
  <c r="K4263" i="1"/>
  <c r="K39" i="1"/>
  <c r="K1656" i="1"/>
  <c r="K4599" i="1"/>
  <c r="K4367" i="1"/>
  <c r="K1031" i="1"/>
  <c r="K4652" i="1"/>
  <c r="K1374" i="1"/>
  <c r="K4584" i="1"/>
  <c r="K135" i="1"/>
  <c r="K1378" i="1"/>
  <c r="K1633" i="1"/>
  <c r="K4585" i="1"/>
  <c r="K4867" i="1"/>
  <c r="K4223" i="1"/>
  <c r="K378" i="1"/>
  <c r="K1606" i="1"/>
  <c r="K4460" i="1"/>
  <c r="K4472" i="1"/>
  <c r="K4707" i="1"/>
  <c r="K1594" i="1"/>
  <c r="K1523" i="1"/>
  <c r="K4209" i="1"/>
  <c r="K91" i="1"/>
  <c r="K150" i="1"/>
  <c r="K817" i="1"/>
  <c r="K4191" i="1"/>
  <c r="K4394" i="1"/>
  <c r="K4701" i="1"/>
  <c r="K58" i="1"/>
  <c r="K4719" i="1"/>
  <c r="K24" i="1"/>
  <c r="K4656" i="1"/>
  <c r="K1497" i="1"/>
  <c r="K188" i="1"/>
  <c r="K4647" i="1"/>
  <c r="K1634" i="1"/>
  <c r="K1417" i="1"/>
  <c r="K30" i="1"/>
  <c r="K4900" i="1"/>
  <c r="K4386" i="1"/>
  <c r="K4274" i="1"/>
  <c r="K4293" i="1"/>
  <c r="K4357" i="1"/>
  <c r="K1534" i="1"/>
  <c r="K767" i="1"/>
  <c r="K283" i="1"/>
  <c r="K1379" i="1"/>
  <c r="K4347" i="1"/>
  <c r="K4349" i="1"/>
  <c r="K4305" i="1"/>
  <c r="K4567" i="1"/>
  <c r="K1570" i="1"/>
  <c r="K4680" i="1"/>
  <c r="K6" i="1"/>
  <c r="K128" i="1"/>
  <c r="K4370" i="1"/>
  <c r="K1720" i="1"/>
  <c r="K4586" i="1"/>
  <c r="K4326" i="1"/>
  <c r="K1366" i="1"/>
  <c r="K4429" i="1"/>
  <c r="K1326" i="1"/>
  <c r="K1338" i="1"/>
  <c r="K4755" i="1"/>
  <c r="K4736" i="1"/>
  <c r="K4572" i="1"/>
  <c r="K4558" i="1"/>
  <c r="K1348" i="1"/>
  <c r="K4474" i="1"/>
  <c r="K62" i="1"/>
  <c r="K288" i="1"/>
  <c r="K174" i="1"/>
  <c r="K126" i="1"/>
  <c r="K4473" i="1"/>
  <c r="K1335" i="1"/>
  <c r="K4353" i="1"/>
  <c r="K773" i="1"/>
  <c r="K4264" i="1"/>
  <c r="K266" i="1"/>
  <c r="K4479" i="1"/>
  <c r="K1614" i="1"/>
  <c r="K1640" i="1"/>
  <c r="K4465" i="1"/>
  <c r="K4310" i="1"/>
  <c r="K4283" i="1"/>
  <c r="K4628" i="1"/>
  <c r="K4683" i="1"/>
  <c r="K247" i="1"/>
  <c r="K4085" i="1"/>
  <c r="K4290" i="1"/>
  <c r="K132" i="1"/>
  <c r="K1301" i="1"/>
  <c r="K4447" i="1"/>
  <c r="K78" i="1"/>
  <c r="K4089" i="1"/>
  <c r="K4608" i="1"/>
  <c r="K1359" i="1"/>
  <c r="K4547" i="1"/>
  <c r="K1269" i="1"/>
  <c r="K1545" i="1"/>
  <c r="K171" i="1"/>
  <c r="K4529" i="1"/>
  <c r="K4082" i="1"/>
  <c r="K953" i="1"/>
  <c r="K4712" i="1"/>
  <c r="K4140" i="1"/>
  <c r="K4403" i="1"/>
  <c r="K104" i="1"/>
  <c r="K4327" i="1"/>
  <c r="K153" i="1"/>
  <c r="K183" i="1"/>
  <c r="K1413" i="1"/>
  <c r="K775" i="1"/>
  <c r="K267" i="1"/>
  <c r="K4421" i="1"/>
  <c r="K381" i="1"/>
  <c r="K4231" i="1"/>
  <c r="K4177" i="1"/>
  <c r="K4740" i="1"/>
  <c r="K1393" i="1"/>
  <c r="K1635" i="1"/>
  <c r="K4175" i="1"/>
  <c r="K4752" i="1"/>
  <c r="K9" i="1"/>
  <c r="K186" i="1"/>
  <c r="K761" i="1"/>
  <c r="K4600" i="1"/>
  <c r="K105" i="1"/>
  <c r="K4642" i="1"/>
  <c r="K4244" i="1"/>
  <c r="K4080" i="1"/>
  <c r="K4633" i="1"/>
  <c r="K1390" i="1"/>
  <c r="K4091" i="1"/>
  <c r="K4579" i="1"/>
  <c r="K4735" i="1"/>
  <c r="K1323" i="1"/>
  <c r="K1353" i="1"/>
  <c r="K1567" i="1"/>
  <c r="K1589" i="1"/>
  <c r="K172" i="1"/>
  <c r="K450" i="1"/>
  <c r="K4578" i="1"/>
  <c r="K4139" i="1"/>
  <c r="K36" i="1"/>
  <c r="K1320" i="1"/>
  <c r="K4613" i="1"/>
  <c r="K1599" i="1"/>
  <c r="K1788" i="1"/>
  <c r="K123" i="1"/>
  <c r="K1357" i="1"/>
  <c r="K4665" i="1"/>
  <c r="K829" i="1"/>
  <c r="K827" i="1"/>
  <c r="K4603" i="1"/>
  <c r="K4964" i="1"/>
  <c r="K4424" i="1"/>
  <c r="K1564" i="1"/>
  <c r="K4241" i="1"/>
  <c r="K14" i="1"/>
  <c r="K4609" i="1"/>
  <c r="K4439" i="1"/>
  <c r="K280" i="1"/>
  <c r="K33" i="1"/>
  <c r="K87" i="1"/>
  <c r="K366" i="1"/>
  <c r="K4681" i="1"/>
  <c r="K4124" i="1"/>
  <c r="K4109" i="1"/>
  <c r="K528" i="1"/>
  <c r="K4287" i="1"/>
  <c r="K4245" i="1"/>
  <c r="K160" i="1"/>
  <c r="K1284" i="1"/>
  <c r="K86" i="1"/>
  <c r="K4152" i="1"/>
  <c r="K117" i="1"/>
  <c r="K4108" i="1"/>
  <c r="K48" i="1"/>
  <c r="K4984" i="1"/>
  <c r="K4632" i="1"/>
  <c r="K4373" i="1"/>
  <c r="K4582" i="1"/>
  <c r="K4513" i="1"/>
  <c r="K4208" i="1"/>
  <c r="K1506" i="1"/>
  <c r="K42" i="1"/>
  <c r="K1546" i="1"/>
  <c r="K4448" i="1"/>
  <c r="K241" i="1"/>
  <c r="K1435" i="1"/>
  <c r="K206" i="1"/>
  <c r="K1515" i="1"/>
  <c r="K1604" i="1"/>
  <c r="K1831" i="1"/>
  <c r="K70" i="1"/>
  <c r="K1016" i="1"/>
  <c r="K4381" i="1"/>
  <c r="K4546" i="1"/>
  <c r="K4692" i="1"/>
  <c r="K4569" i="1"/>
  <c r="K202" i="1"/>
  <c r="K4679" i="1"/>
  <c r="K4434" i="1"/>
  <c r="K4252" i="1"/>
  <c r="K4225" i="1"/>
  <c r="K1309" i="1"/>
  <c r="K1290" i="1"/>
  <c r="K4674" i="1"/>
  <c r="K4428" i="1"/>
  <c r="K4759" i="1"/>
  <c r="K4076" i="1"/>
  <c r="K4281" i="1"/>
  <c r="K4675" i="1"/>
  <c r="K1593" i="1"/>
  <c r="K793" i="1"/>
  <c r="K1382" i="1"/>
  <c r="K73" i="1"/>
  <c r="K140" i="1"/>
  <c r="K4271" i="1"/>
  <c r="K4530" i="1"/>
  <c r="K4581" i="1"/>
  <c r="K1427" i="1"/>
  <c r="K5005" i="1"/>
  <c r="K93" i="1"/>
  <c r="K4375" i="1"/>
  <c r="K4493" i="1"/>
  <c r="K4300" i="1"/>
  <c r="K57" i="1"/>
  <c r="K80" i="1"/>
  <c r="K4285" i="1"/>
  <c r="K4590" i="1"/>
  <c r="K1356" i="1"/>
  <c r="K225" i="1"/>
  <c r="K213" i="1"/>
  <c r="K756" i="1"/>
  <c r="K89" i="1"/>
  <c r="K766" i="1"/>
  <c r="K4398" i="1"/>
  <c r="K4376" i="1"/>
  <c r="K232" i="1"/>
  <c r="K4746" i="1"/>
  <c r="K1380" i="1"/>
  <c r="K4723" i="1"/>
  <c r="K4317" i="1"/>
  <c r="K4393" i="1"/>
  <c r="K4553" i="1"/>
  <c r="K45" i="1"/>
  <c r="K474" i="1"/>
  <c r="K211" i="1"/>
  <c r="K4452" i="1"/>
  <c r="K4566" i="1"/>
  <c r="K1294" i="1"/>
  <c r="K4183" i="1"/>
  <c r="K52" i="1"/>
  <c r="K4354" i="1"/>
  <c r="K1260" i="1"/>
  <c r="K4321" i="1"/>
  <c r="K147" i="1"/>
  <c r="K1746" i="1"/>
  <c r="K4203" i="1"/>
  <c r="K4525" i="1"/>
  <c r="K4212" i="1"/>
  <c r="K4750" i="1"/>
  <c r="K97" i="1"/>
  <c r="K4270" i="1"/>
  <c r="K4510" i="1"/>
  <c r="K1441" i="1"/>
  <c r="K4258" i="1"/>
  <c r="K141" i="1"/>
  <c r="K145" i="1"/>
  <c r="K162" i="1"/>
  <c r="K1333" i="1"/>
  <c r="K4587" i="1"/>
  <c r="K768" i="1"/>
  <c r="K4361" i="1"/>
  <c r="K4744" i="1"/>
  <c r="K4724" i="1"/>
  <c r="K1358" i="1"/>
  <c r="K4663" i="1"/>
  <c r="K1587" i="1"/>
  <c r="K1613" i="1"/>
  <c r="K106" i="1"/>
  <c r="K4084" i="1"/>
  <c r="K4325" i="1"/>
  <c r="K4181" i="1"/>
  <c r="K4526" i="1"/>
  <c r="K4574" i="1"/>
  <c r="K4396" i="1"/>
  <c r="K482" i="1"/>
  <c r="K4196" i="1"/>
  <c r="K306" i="1"/>
  <c r="K1391" i="1"/>
  <c r="K4690" i="1"/>
  <c r="K1415" i="1"/>
  <c r="K486" i="1"/>
  <c r="K4559" i="1"/>
  <c r="K4731" i="1"/>
  <c r="K1625" i="1"/>
  <c r="K263" i="1"/>
  <c r="K4738" i="1"/>
  <c r="K4165" i="1"/>
  <c r="K4673" i="1"/>
  <c r="K138" i="1"/>
  <c r="K152" i="1"/>
  <c r="K1572" i="1"/>
  <c r="K4442" i="1"/>
  <c r="K4542" i="1"/>
  <c r="K4333" i="1"/>
  <c r="K4187" i="1"/>
  <c r="K4614" i="1"/>
  <c r="K4455" i="1"/>
  <c r="K1784" i="1"/>
  <c r="K102" i="1"/>
  <c r="K40" i="1"/>
  <c r="K4145" i="1"/>
  <c r="K4135" i="1"/>
  <c r="K1650" i="1"/>
  <c r="K4102" i="1"/>
  <c r="K4555" i="1"/>
  <c r="K20" i="1"/>
  <c r="K4661" i="1"/>
  <c r="K1388" i="1"/>
  <c r="K4468" i="1"/>
  <c r="K168" i="1"/>
  <c r="K4389" i="1"/>
  <c r="K1493" i="1"/>
  <c r="K4079" i="1"/>
  <c r="K4650" i="1"/>
  <c r="K4368" i="1"/>
  <c r="K1030" i="1"/>
  <c r="K55" i="1"/>
  <c r="K276" i="1"/>
  <c r="K791" i="1"/>
  <c r="K4749" i="1"/>
  <c r="K4232" i="1"/>
  <c r="K1313" i="1"/>
  <c r="K1362" i="1"/>
  <c r="K4226" i="1"/>
  <c r="K960" i="1"/>
  <c r="K254" i="1"/>
  <c r="K4144" i="1"/>
  <c r="K49" i="1"/>
  <c r="K4410" i="1"/>
  <c r="K260" i="1"/>
  <c r="K250" i="1"/>
  <c r="K291" i="1"/>
  <c r="K4612" i="1"/>
  <c r="K911" i="1"/>
  <c r="K4662" i="1"/>
  <c r="K4404" i="1"/>
  <c r="K21" i="1"/>
  <c r="K122" i="1"/>
  <c r="K1291" i="1"/>
  <c r="K4416" i="1"/>
  <c r="K4289" i="1"/>
  <c r="K148" i="1"/>
  <c r="K515" i="1"/>
  <c r="K1279" i="1"/>
  <c r="K4138" i="1"/>
  <c r="K339" i="1"/>
  <c r="K1377" i="1"/>
  <c r="K4366" i="1"/>
  <c r="K154" i="1"/>
  <c r="K1425" i="1"/>
  <c r="K1603" i="1"/>
  <c r="K4556" i="1"/>
  <c r="K326" i="1"/>
  <c r="K243" i="1"/>
  <c r="K4295" i="1"/>
  <c r="K764" i="1"/>
  <c r="K28" i="1"/>
  <c r="K8" i="1"/>
  <c r="K4120" i="1"/>
  <c r="K759" i="1"/>
  <c r="K4463" i="1"/>
  <c r="K4505" i="1"/>
  <c r="K18" i="1"/>
  <c r="K4331" i="1"/>
  <c r="K34" i="1"/>
  <c r="K4732" i="1"/>
  <c r="K4427" i="1"/>
  <c r="K1450" i="1"/>
  <c r="K1849" i="1"/>
  <c r="K4164" i="1"/>
  <c r="K92" i="1"/>
  <c r="K121" i="1"/>
  <c r="K4536" i="1"/>
  <c r="K1615" i="1"/>
  <c r="K1568" i="1"/>
  <c r="K1371" i="1"/>
  <c r="K4189" i="1"/>
  <c r="K4841" i="1"/>
  <c r="K4622" i="1"/>
  <c r="K115" i="1"/>
  <c r="K396" i="1"/>
  <c r="K4234" i="1"/>
  <c r="K10" i="1"/>
  <c r="K74" i="1"/>
  <c r="K192" i="1"/>
  <c r="K235" i="1"/>
  <c r="K242" i="1"/>
  <c r="K1616" i="1"/>
  <c r="K200" i="1"/>
  <c r="K4182" i="1"/>
  <c r="K4537" i="1"/>
  <c r="K4577" i="1"/>
  <c r="K4178" i="1"/>
  <c r="K907" i="1"/>
  <c r="K4517" i="1"/>
  <c r="K1651" i="1"/>
  <c r="K139" i="1"/>
  <c r="K1601" i="1"/>
  <c r="K1409" i="1"/>
  <c r="K1821" i="1"/>
  <c r="K4392" i="1"/>
  <c r="K4360" i="1"/>
  <c r="K224" i="1"/>
  <c r="K4113" i="1"/>
  <c r="K133" i="1"/>
  <c r="K214" i="1"/>
  <c r="K4475" i="1"/>
  <c r="K4945" i="1"/>
  <c r="K4297" i="1"/>
  <c r="K265" i="1"/>
  <c r="K787" i="1"/>
  <c r="K1383" i="1"/>
  <c r="K4814" i="1"/>
  <c r="K109" i="1"/>
  <c r="K94" i="1"/>
  <c r="K4340" i="1"/>
  <c r="K4676" i="1"/>
  <c r="K293" i="1"/>
  <c r="K4387" i="1"/>
  <c r="K777" i="1"/>
  <c r="K1327" i="1"/>
  <c r="K4344" i="1"/>
  <c r="K1569" i="1"/>
  <c r="K201" i="1"/>
  <c r="K4440" i="1"/>
  <c r="K1438" i="1"/>
  <c r="K4541" i="1"/>
  <c r="K4314" i="1"/>
  <c r="K4625" i="1"/>
  <c r="K4805" i="1"/>
  <c r="K4777" i="1"/>
  <c r="K4266" i="1"/>
  <c r="K1529" i="1"/>
  <c r="K1429" i="1"/>
  <c r="K1573" i="1"/>
  <c r="K4248" i="1"/>
  <c r="K4514" i="1"/>
  <c r="K4227" i="1"/>
  <c r="K4544" i="1"/>
  <c r="K778" i="1"/>
  <c r="K4641" i="1"/>
  <c r="K1311" i="1"/>
  <c r="K1262" i="1"/>
  <c r="K503" i="1"/>
  <c r="K1373" i="1"/>
  <c r="K4395" i="1"/>
  <c r="K4342" i="1"/>
  <c r="K4597" i="1"/>
  <c r="K1334" i="1"/>
  <c r="K4709" i="1"/>
  <c r="K1370" i="1"/>
  <c r="K770" i="1"/>
  <c r="K1602" i="1"/>
  <c r="K4766" i="1"/>
  <c r="K4857" i="1"/>
  <c r="K190" i="1"/>
  <c r="K1591" i="1"/>
  <c r="K4454" i="1"/>
  <c r="K84" i="1"/>
  <c r="K4378" i="1"/>
  <c r="K1726" i="1"/>
  <c r="K4337" i="1"/>
  <c r="K4249" i="1"/>
  <c r="K4402" i="1"/>
  <c r="K29" i="1"/>
  <c r="K520" i="1"/>
  <c r="K4390" i="1"/>
  <c r="K1576" i="1"/>
  <c r="K1770" i="1"/>
  <c r="K1305" i="1"/>
  <c r="K4446" i="1"/>
  <c r="K72" i="1"/>
  <c r="K497" i="1"/>
  <c r="K4086" i="1"/>
  <c r="K813" i="1"/>
  <c r="K1408" i="1"/>
  <c r="K1273" i="1"/>
  <c r="K181" i="1"/>
  <c r="K4431" i="1"/>
  <c r="K4796" i="1"/>
  <c r="K1268" i="1"/>
  <c r="K1285" i="1"/>
  <c r="K4660" i="1"/>
  <c r="K4481" i="1"/>
  <c r="K1264" i="1"/>
  <c r="K4583" i="1"/>
  <c r="K1571" i="1"/>
  <c r="K4671" i="1"/>
  <c r="K332" i="1"/>
  <c r="K4157" i="1"/>
  <c r="K114" i="1"/>
  <c r="K1340" i="1"/>
  <c r="K4902" i="1"/>
  <c r="K273" i="1"/>
  <c r="K1645" i="1"/>
  <c r="K4150" i="1"/>
  <c r="K191" i="1"/>
  <c r="K279" i="1"/>
  <c r="K4511" i="1"/>
  <c r="K855" i="1"/>
  <c r="K4672" i="1"/>
  <c r="K67" i="1"/>
  <c r="K4087" i="1"/>
  <c r="K4261" i="1"/>
  <c r="K4224" i="1"/>
  <c r="K4141" i="1"/>
  <c r="K4461" i="1"/>
  <c r="K4363" i="1"/>
  <c r="K1631" i="1"/>
  <c r="K56" i="1"/>
  <c r="K4167" i="1"/>
  <c r="K771" i="1"/>
  <c r="K1508" i="1"/>
  <c r="K1818" i="1"/>
  <c r="K312" i="1"/>
  <c r="K1858" i="1"/>
  <c r="K4799" i="1"/>
  <c r="K4914" i="1"/>
  <c r="K4822" i="1"/>
  <c r="K346" i="1"/>
  <c r="K1867" i="1"/>
  <c r="K388" i="1"/>
  <c r="K120" i="1"/>
  <c r="K1526" i="1"/>
  <c r="K1641" i="1"/>
  <c r="K1579" i="1"/>
  <c r="K1860" i="1"/>
  <c r="K4776" i="1"/>
  <c r="K1676" i="1"/>
  <c r="K398" i="1"/>
  <c r="K179" i="1"/>
  <c r="K4640" i="1"/>
  <c r="K1662" i="1"/>
  <c r="K4114" i="1"/>
  <c r="K1416" i="1"/>
  <c r="K4936" i="1"/>
  <c r="K1836" i="1"/>
  <c r="K1000" i="1"/>
  <c r="K897" i="1"/>
  <c r="K836" i="1"/>
  <c r="K1476" i="1"/>
  <c r="K1485" i="1"/>
  <c r="K27" i="1"/>
  <c r="K1690" i="1"/>
  <c r="K1793" i="1"/>
  <c r="K4815" i="1"/>
  <c r="K1332" i="1"/>
  <c r="K1556" i="1"/>
  <c r="K4341" i="1"/>
  <c r="K1557" i="1"/>
  <c r="K1507" i="1"/>
  <c r="K1699" i="1"/>
  <c r="K1014" i="1"/>
  <c r="K4504" i="1"/>
  <c r="K4636" i="1"/>
  <c r="K4093" i="1"/>
  <c r="K837" i="1"/>
  <c r="K1871" i="1"/>
  <c r="K1307" i="1"/>
  <c r="K1767" i="1"/>
  <c r="K834" i="1"/>
  <c r="K4848" i="1"/>
  <c r="K353" i="1"/>
  <c r="K1771" i="1"/>
  <c r="K4794" i="1"/>
  <c r="K308" i="1"/>
  <c r="K1261" i="1"/>
  <c r="K90" i="1"/>
  <c r="K4277" i="1"/>
  <c r="K914" i="1"/>
  <c r="K4484" i="1"/>
  <c r="K64" i="1"/>
  <c r="K4899" i="1"/>
  <c r="K1865" i="1"/>
  <c r="K303" i="1"/>
  <c r="K1733" i="1"/>
  <c r="K4407" i="1"/>
  <c r="K1025" i="1"/>
  <c r="K518" i="1"/>
  <c r="K490" i="1"/>
  <c r="K1019" i="1"/>
  <c r="K4459" i="1"/>
  <c r="K314" i="1"/>
  <c r="K1672" i="1"/>
  <c r="K4548" i="1"/>
  <c r="K4251" i="1"/>
  <c r="K1837" i="1"/>
  <c r="K1685" i="1"/>
  <c r="K4554" i="1"/>
  <c r="K4847" i="1"/>
  <c r="K1514" i="1"/>
  <c r="K4107" i="1"/>
  <c r="K88" i="1"/>
  <c r="K1300" i="1"/>
  <c r="K4501" i="1"/>
  <c r="K1799" i="1"/>
  <c r="K417" i="1"/>
  <c r="K792" i="1"/>
  <c r="K1824" i="1"/>
  <c r="K317" i="1"/>
  <c r="K901" i="1"/>
  <c r="K1868" i="1"/>
  <c r="K4711" i="1"/>
  <c r="K1512" i="1"/>
  <c r="K110" i="1"/>
  <c r="K1003" i="1"/>
  <c r="K4791" i="1"/>
  <c r="K4784" i="1"/>
  <c r="K4588" i="1"/>
  <c r="K4973" i="1"/>
  <c r="K517" i="1"/>
  <c r="K1010" i="1"/>
  <c r="K931" i="1"/>
  <c r="K4332" i="1"/>
  <c r="K127" i="1"/>
  <c r="K886" i="1"/>
  <c r="K4877" i="1"/>
  <c r="K129" i="1"/>
  <c r="K488" i="1"/>
  <c r="K435" i="1"/>
  <c r="K801" i="1"/>
  <c r="K4631" i="1"/>
  <c r="K4335" i="1"/>
  <c r="K974" i="1"/>
  <c r="K4802" i="1"/>
  <c r="K1024" i="1"/>
  <c r="K1443" i="1"/>
  <c r="K902" i="1"/>
  <c r="K1684" i="1"/>
  <c r="K271" i="1"/>
  <c r="K1852" i="1"/>
  <c r="K892" i="1"/>
  <c r="K383" i="1"/>
  <c r="K4239" i="1"/>
  <c r="K4385" i="1"/>
  <c r="K1363" i="1"/>
  <c r="K4819" i="1"/>
  <c r="K932" i="1"/>
  <c r="K987" i="1"/>
  <c r="K4242" i="1"/>
  <c r="K4471" i="1"/>
  <c r="K165" i="1"/>
  <c r="K4531" i="1"/>
  <c r="K468" i="1"/>
  <c r="K4311" i="1"/>
  <c r="K4866" i="1"/>
  <c r="K1308" i="1"/>
  <c r="K4422" i="1"/>
  <c r="K4700" i="1"/>
  <c r="K251" i="1"/>
  <c r="K856" i="1"/>
  <c r="K4508" i="1"/>
  <c r="K4646" i="1"/>
  <c r="K999" i="1"/>
  <c r="K980" i="1"/>
  <c r="K1345" i="1"/>
  <c r="K237" i="1"/>
  <c r="K4487" i="1"/>
  <c r="K1598" i="1"/>
  <c r="K4992" i="1"/>
  <c r="K1532" i="1"/>
  <c r="K1452" i="1"/>
  <c r="K1536" i="1"/>
  <c r="K4910" i="1"/>
  <c r="K485" i="1"/>
  <c r="K1753" i="1"/>
  <c r="K4812" i="1"/>
  <c r="K808" i="1"/>
  <c r="K1649" i="1"/>
  <c r="K1018" i="1"/>
  <c r="K1846" i="1"/>
  <c r="K1748" i="1"/>
  <c r="K368" i="1"/>
  <c r="K1791" i="1"/>
  <c r="K1728" i="1"/>
  <c r="K4863" i="1"/>
  <c r="K218" i="1"/>
  <c r="K4400" i="1"/>
  <c r="K320" i="1"/>
  <c r="K4830" i="1"/>
  <c r="K1451" i="1"/>
  <c r="K270" i="1"/>
  <c r="K1760" i="1"/>
  <c r="K1636" i="1"/>
  <c r="K4714" i="1"/>
  <c r="K758" i="1"/>
  <c r="K4438" i="1"/>
  <c r="K990" i="1"/>
  <c r="K393" i="1"/>
  <c r="K4850" i="1"/>
  <c r="K4774" i="1"/>
  <c r="K1764" i="1"/>
  <c r="K4408" i="1"/>
  <c r="K465" i="1"/>
  <c r="K4405" i="1"/>
  <c r="K4921" i="1"/>
  <c r="K391" i="1"/>
  <c r="K461" i="1"/>
  <c r="K4334" i="1"/>
  <c r="K925" i="1"/>
  <c r="K1735" i="1"/>
  <c r="K4697" i="1"/>
  <c r="K4885" i="1"/>
  <c r="K463" i="1"/>
  <c r="K318" i="1"/>
  <c r="K1687" i="1"/>
  <c r="K4906" i="1"/>
  <c r="K866" i="1"/>
  <c r="K4444" i="1"/>
  <c r="K882" i="1"/>
  <c r="K1707" i="1"/>
  <c r="K4780" i="1"/>
  <c r="K309" i="1"/>
  <c r="K4949" i="1"/>
  <c r="K816" i="1"/>
  <c r="K4953" i="1"/>
  <c r="K1715" i="1"/>
  <c r="K4890" i="1"/>
  <c r="K4351" i="1"/>
  <c r="K4399" i="1"/>
  <c r="K334" i="1"/>
  <c r="K343" i="1"/>
  <c r="K4886" i="1"/>
  <c r="K4995" i="1"/>
  <c r="K4778" i="1"/>
  <c r="K4193" i="1"/>
  <c r="K1825" i="1"/>
  <c r="K4840" i="1"/>
  <c r="K1765" i="1"/>
  <c r="K4852" i="1"/>
  <c r="K1857" i="1"/>
  <c r="K924" i="1"/>
  <c r="K4908" i="1"/>
  <c r="K1698" i="1"/>
  <c r="K4685" i="1"/>
  <c r="K4982" i="1"/>
  <c r="K354" i="1"/>
  <c r="K835" i="1"/>
  <c r="K4486" i="1"/>
  <c r="K981" i="1"/>
  <c r="K4998" i="1"/>
  <c r="K4216" i="1"/>
  <c r="K4304" i="1"/>
  <c r="K252" i="1"/>
  <c r="K1828" i="1"/>
  <c r="K912" i="1"/>
  <c r="K352" i="1"/>
  <c r="K862" i="1"/>
  <c r="K1009" i="1"/>
  <c r="K4502" i="1"/>
  <c r="K4811" i="1"/>
  <c r="K1331" i="1"/>
  <c r="K871" i="1"/>
  <c r="K498" i="1"/>
  <c r="K4653" i="1"/>
  <c r="K820" i="1"/>
  <c r="K4503" i="1"/>
  <c r="K513" i="1"/>
  <c r="K951" i="1"/>
  <c r="K4499" i="1"/>
  <c r="K1511" i="1"/>
  <c r="K928" i="1"/>
  <c r="K4638" i="1"/>
  <c r="K1032" i="1"/>
  <c r="K4198" i="1"/>
  <c r="K4854" i="1"/>
  <c r="K1524" i="1"/>
  <c r="K908" i="1"/>
  <c r="K4963" i="1"/>
  <c r="K4415" i="1"/>
  <c r="K4273" i="1"/>
  <c r="K144" i="1"/>
  <c r="K313" i="1"/>
  <c r="K358" i="1"/>
  <c r="K943" i="1"/>
  <c r="K1787" i="1"/>
  <c r="K4568" i="1"/>
  <c r="K4669" i="1"/>
  <c r="K1759" i="1"/>
  <c r="K338" i="1"/>
  <c r="K822" i="1"/>
  <c r="K884" i="1"/>
  <c r="K373" i="1"/>
  <c r="K4414" i="1"/>
  <c r="K1562" i="1"/>
  <c r="K1610" i="1"/>
  <c r="K484" i="1"/>
  <c r="K492" i="1"/>
  <c r="K807" i="1"/>
  <c r="K363" i="1"/>
  <c r="K1473" i="1"/>
  <c r="K221" i="1"/>
  <c r="K935" i="1"/>
  <c r="K4898" i="1"/>
  <c r="K917" i="1"/>
  <c r="K53" i="1"/>
  <c r="K4233" i="1"/>
  <c r="K444" i="1"/>
  <c r="K4947" i="1"/>
  <c r="K848" i="1"/>
  <c r="K411" i="1"/>
  <c r="K402" i="1"/>
  <c r="K418" i="1"/>
  <c r="K1747" i="1"/>
  <c r="K377" i="1"/>
  <c r="K118" i="1"/>
  <c r="K4104" i="1"/>
  <c r="K762" i="1"/>
  <c r="K333" i="1"/>
  <c r="K4725" i="1"/>
  <c r="K1369" i="1"/>
  <c r="K4550" i="1"/>
  <c r="K4643" i="1"/>
  <c r="K1265" i="1"/>
  <c r="K4206" i="1"/>
  <c r="K1304" i="1"/>
  <c r="K216" i="1"/>
  <c r="K1399" i="1"/>
  <c r="K4117" i="1"/>
  <c r="K4543" i="1"/>
  <c r="K4174" i="1"/>
  <c r="K1276" i="1"/>
  <c r="K4128" i="1"/>
  <c r="K4512" i="1"/>
  <c r="K1548" i="1"/>
  <c r="K4907" i="1"/>
  <c r="K1697" i="1"/>
  <c r="K1560" i="1"/>
  <c r="K1642" i="1"/>
  <c r="K504" i="1"/>
  <c r="K1001" i="1"/>
  <c r="K1341" i="1"/>
  <c r="K1346" i="1"/>
  <c r="K4329" i="1"/>
  <c r="K1283" i="1"/>
  <c r="K963" i="1"/>
  <c r="K1845" i="1"/>
  <c r="K4837" i="1"/>
  <c r="K4768" i="1"/>
  <c r="K440" i="1"/>
  <c r="K1812" i="1"/>
  <c r="K984" i="1"/>
  <c r="K4535" i="1"/>
  <c r="K1680" i="1"/>
  <c r="K1477" i="1"/>
  <c r="K997" i="1"/>
  <c r="K4957" i="1"/>
  <c r="K278" i="1"/>
  <c r="K1708" i="1"/>
  <c r="K392" i="1"/>
  <c r="K1798" i="1"/>
  <c r="K496" i="1"/>
  <c r="K1483" i="1"/>
  <c r="K4773" i="1"/>
  <c r="K4482" i="1"/>
  <c r="K436" i="1"/>
  <c r="K514" i="1"/>
  <c r="K287" i="1"/>
  <c r="K4081" i="1"/>
  <c r="K4306" i="1"/>
  <c r="K1258" i="1"/>
  <c r="K98" i="1"/>
  <c r="K4983" i="1"/>
  <c r="K1008" i="1"/>
  <c r="K4703" i="1"/>
  <c r="K1780" i="1"/>
  <c r="K113" i="1"/>
  <c r="K4878" i="1"/>
  <c r="K4515" i="1"/>
  <c r="K1832" i="1"/>
  <c r="K4218" i="1"/>
  <c r="K4919" i="1"/>
  <c r="K1797" i="1"/>
  <c r="K947" i="1"/>
  <c r="K1434" i="1"/>
  <c r="K1516" i="1"/>
  <c r="K222" i="1"/>
  <c r="K875" i="1"/>
  <c r="K4130" i="1"/>
  <c r="K4869" i="1"/>
  <c r="K4787" i="1"/>
  <c r="K4999" i="1"/>
  <c r="K1503" i="1"/>
  <c r="K825" i="1"/>
  <c r="K1504" i="1"/>
  <c r="K1498" i="1"/>
  <c r="K1864" i="1"/>
  <c r="K1648" i="1"/>
  <c r="K511" i="1"/>
  <c r="K1804" i="1"/>
  <c r="K4564" i="1"/>
  <c r="K1776" i="1"/>
  <c r="K919" i="1"/>
  <c r="K991" i="1"/>
  <c r="K1674" i="1"/>
  <c r="K203" i="1"/>
  <c r="K470" i="1"/>
  <c r="K1632" i="1"/>
  <c r="K4336" i="1"/>
  <c r="K4483" i="1"/>
  <c r="K1347" i="1"/>
  <c r="K4888" i="1"/>
  <c r="K4843" i="1"/>
  <c r="K956" i="1"/>
  <c r="K1533" i="1"/>
  <c r="K1412" i="1"/>
  <c r="K4691" i="1"/>
  <c r="K447" i="1"/>
  <c r="K1729" i="1"/>
  <c r="K954" i="1"/>
  <c r="K1724" i="1"/>
  <c r="K4485" i="1"/>
  <c r="K876" i="1"/>
  <c r="K500" i="1"/>
  <c r="K4451" i="1"/>
  <c r="K1840" i="1"/>
  <c r="K446" i="1"/>
  <c r="K1482" i="1"/>
  <c r="K1456" i="1"/>
  <c r="K1673" i="1"/>
  <c r="K1330" i="1"/>
  <c r="K4348" i="1"/>
  <c r="K4201" i="1"/>
  <c r="K1537" i="1"/>
  <c r="K841" i="1"/>
  <c r="K4873" i="1"/>
  <c r="K4606" i="1"/>
  <c r="K4887" i="1"/>
  <c r="K891" i="1"/>
  <c r="K859" i="1"/>
  <c r="K4756" i="1"/>
  <c r="K209" i="1"/>
  <c r="K881" i="1"/>
  <c r="K130" i="1"/>
  <c r="K1496" i="1"/>
  <c r="K1541" i="1"/>
  <c r="K4915" i="1"/>
  <c r="K60" i="1"/>
  <c r="K4758" i="1"/>
  <c r="K4913" i="1"/>
  <c r="K1471" i="1"/>
  <c r="K1620" i="1"/>
  <c r="K1278" i="1"/>
  <c r="K760" i="1"/>
  <c r="K4994" i="1"/>
  <c r="K4575" i="1"/>
  <c r="K296" i="1"/>
  <c r="K1447" i="1"/>
  <c r="K1851" i="1"/>
  <c r="K1863" i="1"/>
  <c r="K1499" i="1"/>
  <c r="K4884" i="1"/>
  <c r="K4968" i="1"/>
  <c r="K4806" i="1"/>
  <c r="K323" i="1"/>
  <c r="K975" i="1"/>
  <c r="K4844" i="1"/>
  <c r="K1712" i="1"/>
  <c r="K1702" i="1"/>
  <c r="K1316" i="1"/>
  <c r="K1480" i="1"/>
  <c r="K4904" i="1"/>
  <c r="K175" i="1"/>
  <c r="K164" i="1"/>
  <c r="K1768" i="1"/>
  <c r="K1600" i="1"/>
  <c r="K4318" i="1"/>
  <c r="K4312" i="1"/>
  <c r="K4432" i="1"/>
  <c r="K229" i="1"/>
  <c r="K1372" i="1"/>
  <c r="K776" i="1"/>
  <c r="K12" i="1"/>
  <c r="K51" i="1"/>
  <c r="K1286" i="1"/>
  <c r="K4668" i="1"/>
  <c r="K439" i="1"/>
  <c r="K1653" i="1"/>
  <c r="K896" i="1"/>
  <c r="K1002" i="1"/>
  <c r="K4989" i="1"/>
  <c r="K4099" i="1"/>
  <c r="K4169" i="1"/>
  <c r="K428" i="1"/>
  <c r="K937" i="1"/>
  <c r="K4161" i="1"/>
  <c r="K1467" i="1"/>
  <c r="K4874" i="1"/>
  <c r="K1790" i="1"/>
  <c r="K1781" i="1"/>
  <c r="K1772" i="1"/>
  <c r="K419" i="1"/>
  <c r="K1841" i="1"/>
  <c r="K394" i="1"/>
  <c r="K374" i="1"/>
  <c r="K927" i="1"/>
  <c r="K1455" i="1"/>
  <c r="K4951" i="1"/>
  <c r="K1292" i="1"/>
  <c r="K234" i="1"/>
  <c r="K355" i="1"/>
  <c r="K448" i="1"/>
  <c r="K1463" i="1"/>
  <c r="K4862" i="1"/>
  <c r="K4624" i="1"/>
  <c r="K438" i="1"/>
  <c r="K4765" i="1"/>
  <c r="K4142" i="1"/>
  <c r="K1462" i="1"/>
  <c r="K375" i="1"/>
  <c r="K248" i="1"/>
  <c r="K134" i="1"/>
  <c r="K1411" i="1"/>
  <c r="K4742" i="1"/>
  <c r="K4939" i="1"/>
  <c r="K860" i="1"/>
  <c r="K1469" i="1"/>
  <c r="K1535" i="1"/>
  <c r="K970" i="1"/>
  <c r="K878" i="1"/>
  <c r="K4449" i="1"/>
  <c r="K434" i="1"/>
  <c r="K426" i="1"/>
  <c r="K1404" i="1"/>
  <c r="K904" i="1"/>
  <c r="K4775" i="1"/>
  <c r="K1547" i="1"/>
  <c r="K4865" i="1"/>
  <c r="K4785" i="1"/>
  <c r="K4384" i="1"/>
  <c r="K4976" i="1"/>
  <c r="K995" i="1"/>
  <c r="K4657" i="1"/>
  <c r="K1820" i="1"/>
  <c r="K1813" i="1"/>
  <c r="K1826" i="1"/>
  <c r="K802" i="1"/>
  <c r="K845" i="1"/>
  <c r="K1777" i="1"/>
  <c r="K959" i="1"/>
  <c r="K864" i="1"/>
  <c r="K1870" i="1"/>
  <c r="K4993" i="1"/>
  <c r="K360" i="1"/>
  <c r="K1792" i="1"/>
  <c r="K4829" i="1"/>
  <c r="K4240" i="1"/>
  <c r="K4929" i="1"/>
  <c r="K4782" i="1"/>
  <c r="K1581" i="1"/>
  <c r="K1621" i="1"/>
  <c r="K4576" i="1"/>
  <c r="K1325" i="1"/>
  <c r="K99" i="1"/>
  <c r="K199" i="1"/>
  <c r="K464" i="1"/>
  <c r="K443" i="1"/>
  <c r="K4834" i="1"/>
  <c r="K395" i="1"/>
  <c r="K1004" i="1"/>
  <c r="K826" i="1"/>
  <c r="K4858" i="1"/>
  <c r="K4872" i="1"/>
  <c r="K494" i="1"/>
  <c r="K1714" i="1"/>
  <c r="K1302" i="1"/>
  <c r="K1756" i="1"/>
  <c r="K336" i="1"/>
  <c r="K898" i="1"/>
  <c r="K1833" i="1"/>
  <c r="K1659" i="1"/>
  <c r="K4748" i="1"/>
  <c r="K259" i="1"/>
  <c r="K4202" i="1"/>
  <c r="K1850" i="1"/>
  <c r="K1842" i="1"/>
  <c r="K832" i="1"/>
  <c r="K4892" i="1"/>
  <c r="K1510" i="1"/>
  <c r="K322" i="1"/>
  <c r="K874" i="1"/>
  <c r="K4747" i="1"/>
  <c r="K929" i="1"/>
  <c r="K1397" i="1"/>
  <c r="K782" i="1"/>
  <c r="K4816" i="1"/>
  <c r="K1683" i="1"/>
  <c r="K1612" i="1"/>
  <c r="K1737" i="1"/>
  <c r="K1823" i="1"/>
  <c r="K155" i="1"/>
  <c r="K794" i="1"/>
  <c r="K233" i="1"/>
  <c r="K1574" i="1"/>
  <c r="K4236" i="1"/>
  <c r="K4506" i="1"/>
  <c r="K915" i="1"/>
  <c r="K1839" i="1"/>
  <c r="K481" i="1"/>
  <c r="K926" i="1"/>
  <c r="K361" i="1"/>
  <c r="K4328" i="1"/>
  <c r="K1544" i="1"/>
  <c r="K506" i="1"/>
  <c r="K906" i="1"/>
  <c r="K1810" i="1"/>
  <c r="K1339" i="1"/>
  <c r="K1329" i="1"/>
  <c r="K955" i="1"/>
  <c r="K4987" i="1"/>
  <c r="K4377" i="1"/>
  <c r="K1470" i="1"/>
  <c r="K1490" i="1"/>
  <c r="K1629" i="1"/>
  <c r="K4457" i="1"/>
  <c r="K1297" i="1"/>
  <c r="K1678" i="1"/>
  <c r="K4500" i="1"/>
  <c r="K1522" i="1"/>
  <c r="K362" i="1"/>
  <c r="K1783" i="1"/>
  <c r="K100" i="1"/>
  <c r="K4836" i="1"/>
  <c r="K1530" i="1"/>
  <c r="K877" i="1"/>
  <c r="K1869" i="1"/>
  <c r="K1401" i="1"/>
  <c r="K1844" i="1"/>
  <c r="K4718" i="1"/>
  <c r="K81" i="1"/>
  <c r="K4855" i="1"/>
  <c r="K429" i="1"/>
  <c r="K1664" i="1"/>
  <c r="K459" i="1"/>
  <c r="K4119" i="1"/>
  <c r="K59" i="1"/>
  <c r="K516" i="1"/>
  <c r="K1464" i="1"/>
  <c r="K4667" i="1"/>
  <c r="K4199" i="1"/>
  <c r="K4364" i="1"/>
  <c r="K4313" i="1"/>
  <c r="K1563" i="1"/>
  <c r="K285" i="1"/>
  <c r="K4991" i="1"/>
  <c r="K4933" i="1"/>
  <c r="K4687" i="1"/>
  <c r="K107" i="1"/>
  <c r="K1418" i="1"/>
  <c r="K4111" i="1"/>
  <c r="K4704" i="1"/>
  <c r="K4272" i="1"/>
  <c r="K4158" i="1"/>
  <c r="K507" i="1"/>
  <c r="K4772" i="1"/>
  <c r="K4217" i="1"/>
  <c r="K4356" i="1"/>
  <c r="K4338" i="1"/>
  <c r="K1367" i="1"/>
  <c r="K4946" i="1"/>
  <c r="K1475" i="1"/>
  <c r="K157" i="1"/>
  <c r="K4437" i="1"/>
  <c r="K4849" i="1"/>
  <c r="K424" i="1"/>
  <c r="K1856" i="1"/>
  <c r="K1637" i="1"/>
  <c r="K430" i="1"/>
  <c r="K4871" i="1"/>
  <c r="K1384" i="1"/>
  <c r="K245" i="1"/>
  <c r="K1665" i="1"/>
  <c r="K307" i="1"/>
  <c r="K4997" i="1"/>
  <c r="K1754" i="1"/>
  <c r="K412" i="1"/>
  <c r="K298" i="1"/>
  <c r="K161" i="1"/>
  <c r="K4256" i="1"/>
  <c r="K46" i="1"/>
  <c r="K4889" i="1"/>
  <c r="K1011" i="1"/>
  <c r="K818" i="1"/>
  <c r="K427" i="1"/>
  <c r="K784" i="1"/>
  <c r="K838" i="1"/>
  <c r="K1549" i="1"/>
  <c r="K351" i="1"/>
  <c r="K1815" i="1"/>
  <c r="K350" i="1"/>
  <c r="K1750" i="1"/>
  <c r="K4977" i="1"/>
  <c r="K842" i="1"/>
  <c r="K930" i="1"/>
  <c r="K1669" i="1"/>
  <c r="K1465" i="1"/>
  <c r="K819" i="1"/>
  <c r="K1461" i="1"/>
  <c r="K4930" i="1"/>
  <c r="K331" i="1"/>
  <c r="K1872" i="1"/>
  <c r="K512" i="1"/>
  <c r="K4922" i="1"/>
  <c r="K1552" i="1"/>
  <c r="K4726" i="1"/>
  <c r="K4934" i="1"/>
  <c r="K1445" i="1"/>
  <c r="K4911" i="1"/>
  <c r="K989" i="1"/>
  <c r="K939" i="1"/>
  <c r="K4924" i="1"/>
  <c r="K4920" i="1"/>
  <c r="K4882" i="1"/>
  <c r="K870" i="1"/>
  <c r="K789" i="1"/>
  <c r="K510" i="1"/>
  <c r="K4509" i="1"/>
  <c r="K385" i="1"/>
  <c r="K1321" i="1"/>
  <c r="K195" i="1"/>
  <c r="K372" i="1"/>
  <c r="K281" i="1"/>
  <c r="K4116" i="1"/>
  <c r="K4817" i="1"/>
  <c r="K885" i="1"/>
  <c r="K4845" i="1"/>
  <c r="K865" i="1"/>
  <c r="K909" i="1"/>
  <c r="K1736" i="1"/>
  <c r="K356" i="1"/>
  <c r="K4118" i="1"/>
  <c r="K477" i="1"/>
  <c r="K916" i="1"/>
  <c r="K4639" i="1"/>
  <c r="K1741" i="1"/>
  <c r="K1795" i="1"/>
  <c r="K1854" i="1"/>
  <c r="K965" i="1"/>
  <c r="K297" i="1"/>
  <c r="K4516" i="1"/>
  <c r="K1360" i="1"/>
  <c r="K4214" i="1"/>
  <c r="K131" i="1"/>
  <c r="K4276" i="1"/>
  <c r="K1521" i="1"/>
  <c r="K4839" i="1"/>
  <c r="K814" i="1"/>
  <c r="K25" i="1"/>
  <c r="K454" i="1"/>
  <c r="K460" i="1"/>
  <c r="K1808" i="1"/>
  <c r="K4926" i="1"/>
  <c r="K1817" i="1"/>
  <c r="K1517" i="1"/>
  <c r="K1449" i="1"/>
  <c r="K804" i="1"/>
  <c r="K41" i="1"/>
  <c r="K1460" i="1"/>
  <c r="K4494" i="1"/>
  <c r="K1023" i="1"/>
  <c r="K1719" i="1"/>
  <c r="K812" i="1"/>
  <c r="K967" i="1"/>
  <c r="K1829" i="1"/>
  <c r="K1855" i="1"/>
  <c r="K1727" i="1"/>
  <c r="K945" i="1"/>
  <c r="K921" i="1"/>
  <c r="K4170" i="1"/>
  <c r="K1866" i="1"/>
  <c r="K1489" i="1"/>
  <c r="K1660" i="1"/>
  <c r="K4767" i="1"/>
  <c r="K292" i="1"/>
  <c r="K4291" i="1"/>
  <c r="K1751" i="1"/>
  <c r="K1742" i="1"/>
  <c r="K1738" i="1"/>
  <c r="K4795" i="1"/>
  <c r="K1281" i="1"/>
  <c r="K4959" i="1"/>
  <c r="K769" i="1"/>
  <c r="K797" i="1"/>
  <c r="K4538" i="1"/>
  <c r="K44" i="1"/>
  <c r="K4355" i="1"/>
  <c r="K1701" i="1"/>
  <c r="K4131" i="1"/>
  <c r="K1468" i="1"/>
  <c r="K1559" i="1"/>
  <c r="K1743" i="1"/>
  <c r="K1816" i="1"/>
  <c r="K1006" i="1"/>
  <c r="K4286" i="1"/>
  <c r="K4602" i="1"/>
  <c r="K4779" i="1"/>
  <c r="K4826" i="1"/>
  <c r="K445" i="1"/>
  <c r="K328" i="1"/>
  <c r="K4917" i="1"/>
  <c r="K4698" i="1"/>
  <c r="K1527" i="1"/>
  <c r="K4916" i="1"/>
  <c r="K934" i="1"/>
  <c r="K1682" i="1"/>
  <c r="K75" i="1"/>
  <c r="K4593" i="1"/>
  <c r="K4760" i="1"/>
  <c r="K863" i="1"/>
  <c r="K1310" i="1"/>
  <c r="K4467" i="1"/>
  <c r="K1419" i="1"/>
  <c r="K4743" i="1"/>
  <c r="K4205" i="1"/>
  <c r="K4292" i="1"/>
  <c r="K4605" i="1"/>
  <c r="K189" i="1"/>
  <c r="K19" i="1"/>
  <c r="K4818" i="1"/>
  <c r="K1385" i="1"/>
  <c r="K4358" i="1"/>
  <c r="K187" i="1"/>
  <c r="K4498" i="1"/>
  <c r="K803" i="1"/>
  <c r="K1013" i="1"/>
  <c r="K340" i="1"/>
  <c r="K821" i="1"/>
  <c r="K197" i="1"/>
  <c r="K4988" i="1"/>
  <c r="K4507" i="1"/>
  <c r="K76" i="1"/>
  <c r="K964" i="1"/>
  <c r="K4769" i="1"/>
  <c r="K337" i="1"/>
  <c r="K4893" i="1"/>
  <c r="K4880" i="1"/>
  <c r="K1539" i="1"/>
  <c r="K369" i="1"/>
  <c r="K1675" i="1"/>
  <c r="K452" i="1"/>
  <c r="K4832" i="1"/>
  <c r="K4981" i="1"/>
  <c r="K321" i="1"/>
  <c r="K4247" i="1"/>
  <c r="K108" i="1"/>
  <c r="K4686" i="1"/>
  <c r="K456" i="1"/>
  <c r="K432" i="1"/>
  <c r="K1287" i="1"/>
  <c r="K4103" i="1"/>
  <c r="K4754" i="1"/>
  <c r="K4990" i="1"/>
  <c r="K31" i="1"/>
  <c r="K1834" i="1"/>
  <c r="K4956" i="1"/>
  <c r="K4958" i="1"/>
  <c r="K204" i="1"/>
  <c r="K258" i="1"/>
  <c r="K103" i="1"/>
  <c r="K324" i="1"/>
  <c r="K851" i="1"/>
  <c r="K365" i="1"/>
  <c r="K4952" i="1"/>
  <c r="K406" i="1"/>
  <c r="K4891" i="1"/>
  <c r="K341" i="1"/>
  <c r="K347" i="1"/>
  <c r="K451" i="1"/>
  <c r="K4147" i="1"/>
  <c r="K4520" i="1"/>
  <c r="K4219" i="1"/>
  <c r="K4088" i="1"/>
  <c r="K466" i="1"/>
  <c r="K4490" i="1"/>
  <c r="K952" i="1"/>
  <c r="K4651" i="1"/>
  <c r="K4948" i="1"/>
  <c r="K4521" i="1"/>
  <c r="K1272" i="1"/>
  <c r="K1663" i="1"/>
  <c r="K1643" i="1"/>
  <c r="K4828" i="1"/>
  <c r="K4905" i="1"/>
  <c r="K1487" i="1"/>
  <c r="K1481" i="1"/>
  <c r="K1677" i="1"/>
  <c r="K1740" i="1"/>
  <c r="K850" i="1"/>
  <c r="K4388" i="1"/>
  <c r="K1386" i="1"/>
  <c r="K4618" i="1"/>
  <c r="K231" i="1"/>
  <c r="K4971" i="1"/>
  <c r="K469" i="1"/>
  <c r="K4955" i="1"/>
  <c r="K4978" i="1"/>
  <c r="K1861" i="1"/>
  <c r="K823" i="1"/>
  <c r="K1679" i="1"/>
  <c r="K335" i="1"/>
  <c r="K4928" i="1"/>
  <c r="K985" i="1"/>
  <c r="K4095" i="1"/>
  <c r="K1298" i="1"/>
  <c r="K4864" i="1"/>
  <c r="K1303" i="1"/>
  <c r="K1021" i="1"/>
  <c r="K330" i="1"/>
  <c r="K4804" i="1"/>
  <c r="K4626" i="1"/>
  <c r="K4539" i="1"/>
  <c r="K4230" i="1"/>
  <c r="K208" i="1"/>
  <c r="K923" i="1"/>
  <c r="K1658" i="1"/>
  <c r="K978" i="1"/>
  <c r="K1752" i="1"/>
  <c r="K471" i="1"/>
  <c r="K1835" i="1"/>
  <c r="K1410" i="1"/>
  <c r="K390" i="1"/>
  <c r="K4592" i="1"/>
  <c r="K4975" i="1"/>
  <c r="K4379" i="1"/>
  <c r="K66" i="1"/>
  <c r="K1716" i="1"/>
  <c r="K227" i="1"/>
  <c r="K893" i="1"/>
  <c r="K1551" i="1"/>
  <c r="K124" i="1"/>
  <c r="K4411" i="1"/>
  <c r="K1694" i="1"/>
  <c r="K4607" i="1"/>
  <c r="K180" i="1"/>
  <c r="K4937" i="1"/>
  <c r="K416" i="1"/>
  <c r="K913" i="1"/>
  <c r="K1802" i="1"/>
  <c r="K310" i="1"/>
  <c r="K1721" i="1"/>
  <c r="K1420" i="1"/>
  <c r="K1838" i="1"/>
  <c r="K1491" i="1"/>
  <c r="K493" i="1"/>
  <c r="K499" i="1"/>
  <c r="K442" i="1"/>
  <c r="K380" i="1"/>
  <c r="K455" i="1"/>
  <c r="K5000" i="1"/>
  <c r="K800" i="1"/>
  <c r="K4985" i="1"/>
  <c r="K1639" i="1"/>
  <c r="K1484" i="1"/>
  <c r="K1454" i="1"/>
  <c r="K1711" i="1"/>
  <c r="K961" i="1"/>
  <c r="K4788" i="1"/>
  <c r="K796" i="1"/>
  <c r="K844" i="1"/>
  <c r="K1538" i="1"/>
  <c r="K1734" i="1"/>
  <c r="K4684" i="1"/>
  <c r="K940" i="1"/>
  <c r="K389" i="1"/>
  <c r="K1488" i="1"/>
  <c r="K1442" i="1"/>
  <c r="K230" i="1"/>
  <c r="K4694" i="1"/>
  <c r="K790" i="1"/>
  <c r="K397" i="1"/>
  <c r="K972" i="1"/>
  <c r="K1691" i="1"/>
  <c r="K1806" i="1"/>
  <c r="K1479" i="1"/>
  <c r="K1318" i="1"/>
  <c r="K4279" i="1"/>
  <c r="K4382" i="1"/>
  <c r="K899" i="1"/>
  <c r="K4330" i="1"/>
  <c r="K1773" i="1"/>
  <c r="K244" i="1"/>
  <c r="K95" i="1"/>
  <c r="K1322" i="1"/>
  <c r="K4380" i="1"/>
  <c r="K239" i="1"/>
  <c r="K4280" i="1"/>
  <c r="K1439" i="1"/>
  <c r="K1555" i="1"/>
  <c r="K4153" i="1"/>
  <c r="K1342" i="1"/>
  <c r="K4965" i="1"/>
  <c r="K772" i="1"/>
  <c r="K986" i="1"/>
  <c r="K1453" i="1"/>
  <c r="K1626" i="1"/>
  <c r="K4713" i="1"/>
  <c r="K1375" i="1"/>
  <c r="K1466" i="1"/>
  <c r="K4770" i="1"/>
  <c r="K4717" i="1"/>
  <c r="K1387" i="1"/>
  <c r="K480" i="1"/>
  <c r="K4168" i="1"/>
  <c r="K4589" i="1"/>
  <c r="K1800" i="1"/>
  <c r="K946" i="1"/>
  <c r="K1355" i="1"/>
  <c r="K4470" i="1"/>
  <c r="K1709" i="1"/>
  <c r="K1519" i="1"/>
  <c r="K847" i="1"/>
  <c r="K833" i="1"/>
  <c r="K4853" i="1"/>
  <c r="K1015" i="1"/>
  <c r="K1540" i="1"/>
  <c r="K4552" i="1"/>
  <c r="K810" i="1"/>
  <c r="K4565" i="1"/>
  <c r="K348" i="1"/>
  <c r="K1509" i="1"/>
  <c r="K852" i="1"/>
  <c r="K478" i="1"/>
  <c r="K1457" i="1"/>
  <c r="K1647" i="1"/>
  <c r="K4935" i="1"/>
  <c r="K839" i="1"/>
  <c r="K413" i="1"/>
  <c r="K1518" i="1"/>
  <c r="K509" i="1"/>
  <c r="K437" i="1"/>
  <c r="K1586" i="1"/>
  <c r="K1605" i="1"/>
  <c r="K4677" i="1"/>
  <c r="K4962" i="1"/>
  <c r="K1686" i="1"/>
  <c r="K4105" i="1"/>
  <c r="K4563" i="1"/>
  <c r="K1638" i="1"/>
  <c r="K4532" i="1"/>
  <c r="K1421" i="1"/>
  <c r="K950" i="1"/>
  <c r="K319" i="1"/>
  <c r="K289" i="1"/>
  <c r="K1859" i="1"/>
  <c r="K4918" i="1"/>
  <c r="K1543" i="1"/>
  <c r="K407" i="1"/>
  <c r="K4733" i="1"/>
  <c r="K4659" i="1"/>
  <c r="K1755" i="1"/>
  <c r="K1550" i="1"/>
  <c r="K1671" i="1"/>
  <c r="K4462" i="1"/>
  <c r="K918" i="1"/>
  <c r="K1525" i="1"/>
  <c r="K4757" i="1"/>
  <c r="K1458" i="1"/>
  <c r="K1700" i="1"/>
  <c r="K1775" i="1"/>
  <c r="K1853" i="1"/>
  <c r="K178" i="1"/>
  <c r="K1782" i="1"/>
  <c r="K890" i="1"/>
  <c r="K1474" i="1"/>
  <c r="K858" i="1"/>
  <c r="K85" i="1"/>
  <c r="K933" i="1"/>
  <c r="K828" i="1"/>
  <c r="K1722" i="1"/>
  <c r="K483" i="1"/>
  <c r="K4860" i="1"/>
  <c r="K1762" i="1"/>
  <c r="K979" i="1"/>
  <c r="K441" i="1"/>
  <c r="K4101" i="1"/>
  <c r="K4345" i="1"/>
  <c r="K1266" i="1"/>
  <c r="K4110" i="1"/>
  <c r="K4412" i="1"/>
  <c r="K495" i="1"/>
  <c r="K4801" i="1"/>
  <c r="K993" i="1"/>
  <c r="K1761" i="1"/>
  <c r="K15" i="1"/>
  <c r="K4781" i="1"/>
  <c r="K4425" i="1"/>
  <c r="K922" i="1"/>
  <c r="K4954" i="1"/>
  <c r="K487" i="1"/>
  <c r="K815" i="1"/>
  <c r="K1584" i="1"/>
  <c r="K4156" i="1"/>
  <c r="K205" i="1"/>
  <c r="K420" i="1"/>
  <c r="K783" i="1"/>
  <c r="K4793" i="1"/>
  <c r="K1713" i="1"/>
  <c r="K996" i="1"/>
  <c r="K4621" i="1"/>
  <c r="K4426" i="1"/>
  <c r="K1848" i="1"/>
  <c r="K300" i="1"/>
  <c r="K1424" i="1"/>
  <c r="K4623" i="1"/>
  <c r="K4927" i="1"/>
  <c r="K843" i="1"/>
  <c r="K1696" i="1"/>
  <c r="K35" i="1"/>
  <c r="K26" i="1"/>
  <c r="K4450" i="1"/>
  <c r="K889" i="1"/>
  <c r="K853" i="1"/>
  <c r="K849" i="1"/>
  <c r="K4943" i="1"/>
  <c r="K4523" i="1"/>
  <c r="K4433" i="1"/>
  <c r="K4972" i="1"/>
  <c r="K476" i="1"/>
  <c r="K1596" i="1"/>
  <c r="K785" i="1"/>
  <c r="K1796" i="1"/>
  <c r="K387" i="1"/>
  <c r="K887" i="1"/>
  <c r="K159" i="1"/>
  <c r="K4190" i="1"/>
  <c r="K472" i="1"/>
  <c r="K4942" i="1"/>
  <c r="K4155" i="1"/>
  <c r="K158" i="1"/>
  <c r="K1501" i="1"/>
  <c r="K880" i="1"/>
  <c r="K1259" i="1"/>
  <c r="K962" i="1"/>
  <c r="K4879" i="1"/>
  <c r="K1862" i="1"/>
  <c r="K4591" i="1"/>
  <c r="K4835" i="1"/>
  <c r="K4528" i="1"/>
  <c r="K371" i="1"/>
  <c r="K1428" i="1"/>
  <c r="K256" i="1"/>
  <c r="K1400" i="1"/>
  <c r="K869" i="1"/>
  <c r="K1723" i="1"/>
  <c r="K1622" i="1"/>
  <c r="K1618" i="1"/>
  <c r="K249" i="1"/>
  <c r="K4478" i="1"/>
  <c r="K4710" i="1"/>
  <c r="K261" i="1"/>
  <c r="K1402" i="1"/>
  <c r="K4267" i="1"/>
  <c r="K194" i="1"/>
  <c r="K1312" i="1"/>
  <c r="K1317" i="1"/>
  <c r="K315" i="1"/>
  <c r="K4798" i="1"/>
  <c r="K4903" i="1"/>
  <c r="K4800" i="1"/>
  <c r="K342" i="1"/>
  <c r="K1433" i="1"/>
  <c r="K268" i="1"/>
  <c r="K998" i="1"/>
  <c r="K220" i="1"/>
  <c r="K4792" i="1"/>
  <c r="K846" i="1"/>
  <c r="K4813" i="1"/>
  <c r="K1803" i="1"/>
  <c r="K4897" i="1"/>
  <c r="K1692" i="1"/>
  <c r="K1681" i="1"/>
  <c r="K4803" i="1"/>
  <c r="K977" i="1"/>
  <c r="K4491" i="1"/>
  <c r="K4974" i="1"/>
  <c r="K376" i="1"/>
  <c r="K4601" i="1"/>
  <c r="K4678" i="1"/>
  <c r="K4383" i="1"/>
  <c r="K1624" i="1"/>
  <c r="K1528" i="1"/>
  <c r="K910" i="1"/>
  <c r="K4180" i="1"/>
  <c r="K63" i="1"/>
  <c r="K1732" i="1"/>
  <c r="K1531" i="1"/>
  <c r="K1779" i="1"/>
  <c r="K1706" i="1"/>
  <c r="K4881" i="1"/>
  <c r="K905" i="1"/>
  <c r="K798" i="1"/>
  <c r="K4648" i="1"/>
  <c r="K1608" i="1"/>
  <c r="K458" i="1"/>
  <c r="K1688" i="1"/>
  <c r="K4808" i="1"/>
  <c r="K508" i="1"/>
  <c r="K479" i="1"/>
  <c r="K409" i="1"/>
  <c r="K1731" i="1"/>
  <c r="K982" i="1"/>
  <c r="K973" i="1"/>
  <c r="K4497" i="1"/>
  <c r="K883" i="1"/>
  <c r="K1344" i="1"/>
  <c r="K1830" i="1"/>
  <c r="K1263" i="1"/>
  <c r="K4970" i="1"/>
  <c r="K4737" i="1"/>
  <c r="K305" i="1"/>
  <c r="K1414" i="1"/>
  <c r="K1492" i="1"/>
  <c r="K994" i="1"/>
  <c r="K4940" i="1"/>
  <c r="K1583" i="1"/>
  <c r="K831" i="1"/>
  <c r="K1670" i="1"/>
  <c r="K1819" i="1"/>
  <c r="K299" i="1"/>
  <c r="K71" i="1"/>
  <c r="K295" i="1"/>
  <c r="K401" i="1"/>
  <c r="K1745" i="1"/>
  <c r="K1542" i="1"/>
  <c r="K530" i="1"/>
  <c r="K1396" i="1"/>
  <c r="K4269" i="1"/>
  <c r="K1578" i="1"/>
  <c r="K4699" i="1"/>
  <c r="K467" i="1"/>
  <c r="K316" i="1"/>
  <c r="K4489" i="1"/>
  <c r="K867" i="1"/>
  <c r="K1486" i="1"/>
  <c r="K1459" i="1"/>
  <c r="K1739" i="1"/>
  <c r="K238" i="1"/>
  <c r="K1766" i="1"/>
  <c r="K888" i="1"/>
  <c r="K4235" i="1"/>
  <c r="K473" i="1"/>
  <c r="K302" i="1"/>
  <c r="K1646" i="1"/>
  <c r="K423" i="1"/>
  <c r="K4960" i="1"/>
  <c r="K344" i="1"/>
  <c r="K1280" i="1"/>
  <c r="K414" i="1"/>
  <c r="K4923" i="1"/>
  <c r="K780" i="1"/>
  <c r="K1267" i="1"/>
  <c r="K1644" i="1"/>
  <c r="K349" i="1"/>
  <c r="K1668" i="1"/>
  <c r="K1012" i="1"/>
  <c r="K1295" i="1"/>
  <c r="K4220" i="1"/>
  <c r="K4649" i="1"/>
  <c r="K1695" i="1"/>
  <c r="K1398" i="1"/>
  <c r="K958" i="1"/>
  <c r="K1667" i="1"/>
  <c r="K457" i="1"/>
  <c r="K4846" i="1"/>
  <c r="K4941" i="1"/>
  <c r="K1368" i="1"/>
  <c r="K1361" i="1"/>
  <c r="K4171" i="1"/>
  <c r="K4184" i="1"/>
  <c r="K290" i="1"/>
  <c r="K68" i="1"/>
  <c r="K1513" i="1"/>
  <c r="K4172" i="1"/>
  <c r="K1652" i="1"/>
  <c r="K4786" i="1"/>
  <c r="K1520" i="1"/>
  <c r="K4518" i="1"/>
  <c r="K4820" i="1"/>
  <c r="K840" i="1"/>
  <c r="K1718" i="1"/>
  <c r="K4912" i="1"/>
  <c r="K425" i="1"/>
  <c r="K125" i="1"/>
  <c r="K4540" i="1"/>
  <c r="K502" i="1"/>
  <c r="K4825" i="1"/>
  <c r="K1778" i="1"/>
  <c r="K379" i="1"/>
  <c r="K1607" i="1"/>
  <c r="K944" i="1"/>
  <c r="K1336" i="1"/>
  <c r="K1827" i="1"/>
  <c r="K1710" i="1"/>
  <c r="K4901" i="1"/>
  <c r="K43" i="1"/>
  <c r="K4883" i="1"/>
  <c r="K4106" i="1"/>
  <c r="K1717" i="1"/>
  <c r="K4894" i="1"/>
  <c r="K475" i="1"/>
  <c r="K4143" i="1"/>
  <c r="K4127" i="1"/>
  <c r="K786" i="1"/>
  <c r="K1630" i="1"/>
  <c r="K1495" i="1"/>
  <c r="K1554" i="1"/>
  <c r="K462" i="1"/>
  <c r="K4797" i="1"/>
  <c r="K1655" i="1"/>
  <c r="K824" i="1"/>
  <c r="K4200" i="1"/>
  <c r="K4282" i="1"/>
  <c r="K4870" i="1"/>
  <c r="K176" i="1"/>
  <c r="K4761" i="1"/>
  <c r="K4842" i="1"/>
  <c r="K1381" i="1"/>
  <c r="K4705" i="1"/>
  <c r="K1472" i="1"/>
  <c r="K4764" i="1"/>
  <c r="K4154" i="1"/>
  <c r="K404" i="1"/>
  <c r="K38" i="1"/>
  <c r="K799" i="1"/>
  <c r="K4097" i="1"/>
  <c r="K4098" i="1"/>
  <c r="K4551" i="1"/>
  <c r="K198" i="1"/>
  <c r="K4192" i="1"/>
  <c r="K4319" i="1"/>
  <c r="K4961" i="1"/>
  <c r="K431" i="1"/>
  <c r="K872" i="1"/>
  <c r="K4324" i="1"/>
  <c r="K173" i="1"/>
  <c r="K421" i="1"/>
  <c r="K501" i="1"/>
  <c r="K4580" i="1"/>
  <c r="K4807" i="1"/>
  <c r="K4875" i="1"/>
  <c r="K54" i="1"/>
  <c r="K143" i="1"/>
  <c r="K1350" i="1"/>
  <c r="K4856" i="1"/>
  <c r="K491" i="1"/>
  <c r="K4466" i="1"/>
  <c r="K269" i="1"/>
  <c r="K988" i="1"/>
  <c r="K4827" i="1"/>
  <c r="K1805" i="1"/>
  <c r="K1730" i="1"/>
  <c r="K1725" i="1"/>
  <c r="K1446" i="1"/>
  <c r="K4262" i="1"/>
  <c r="K4159" i="1"/>
  <c r="K246" i="1"/>
  <c r="K4611" i="1"/>
  <c r="K1478" i="1"/>
  <c r="K4670" i="1"/>
  <c r="K4876" i="1"/>
  <c r="K830" i="1"/>
  <c r="K4078" i="1"/>
  <c r="K879" i="1"/>
  <c r="K811" i="1"/>
  <c r="K809" i="1"/>
  <c r="K868" i="1"/>
  <c r="K971" i="1"/>
  <c r="K1422" i="1"/>
  <c r="K405" i="1"/>
  <c r="K1654" i="1"/>
  <c r="K949" i="1"/>
  <c r="K895" i="1"/>
  <c r="K4696" i="1"/>
  <c r="K364" i="1"/>
  <c r="K410" i="1"/>
  <c r="K4859" i="1"/>
  <c r="K1689" i="1"/>
  <c r="K185" i="1"/>
  <c r="K4492" i="1"/>
  <c r="K96" i="1"/>
  <c r="K1661" i="1"/>
  <c r="K4950" i="1"/>
  <c r="K1811" i="1"/>
  <c r="K79" i="1"/>
  <c r="K1744" i="1"/>
  <c r="K367" i="1"/>
  <c r="K4821" i="1"/>
  <c r="K1703" i="1"/>
  <c r="K4967" i="1"/>
  <c r="K1749" i="1"/>
  <c r="K4741" i="1"/>
  <c r="K11" i="1"/>
  <c r="K4810" i="1"/>
  <c r="K1814" i="1"/>
  <c r="K1609" i="1"/>
  <c r="K1500" i="1"/>
  <c r="K4299" i="1"/>
  <c r="K4604" i="1"/>
  <c r="K1328" i="1"/>
  <c r="K1561" i="1"/>
  <c r="K806" i="1"/>
  <c r="K384" i="1"/>
  <c r="K805" i="1"/>
  <c r="K4253" i="1"/>
  <c r="K4783" i="1"/>
  <c r="K4495" i="1"/>
  <c r="K4986" i="1"/>
  <c r="K4350" i="1"/>
  <c r="K1704" i="1"/>
  <c r="K327" i="1"/>
  <c r="K400" i="1"/>
  <c r="K4833" i="1"/>
  <c r="K4598" i="1"/>
  <c r="K4645" i="1"/>
  <c r="K4861" i="1"/>
  <c r="K4996" i="1"/>
  <c r="K966" i="1"/>
  <c r="K957" i="1"/>
  <c r="K948" i="1"/>
  <c r="K345" i="1"/>
  <c r="K325" i="1"/>
  <c r="K408" i="1"/>
  <c r="K854" i="1"/>
  <c r="K1769" i="1"/>
  <c r="K4413" i="1"/>
  <c r="K4771" i="1"/>
  <c r="K4745" i="1"/>
  <c r="K4931" i="1"/>
  <c r="K311" i="1"/>
  <c r="K359" i="1"/>
  <c r="K219" i="1"/>
  <c r="K415" i="1"/>
  <c r="K112" i="1"/>
  <c r="K1789" i="1"/>
  <c r="K422" i="1"/>
  <c r="K521" i="1"/>
  <c r="K4243" i="1"/>
  <c r="K4838" i="1"/>
  <c r="K1705" i="1"/>
  <c r="K1763" i="1"/>
  <c r="K4722" i="1"/>
  <c r="K1786" i="1"/>
  <c r="K992" i="1"/>
  <c r="K942" i="1"/>
  <c r="K1666" i="1"/>
  <c r="K4790" i="1"/>
  <c r="K1005" i="1"/>
  <c r="K370" i="1"/>
  <c r="K894" i="1"/>
  <c r="K4969" i="1"/>
  <c r="K1494" i="1"/>
  <c r="K1809" i="1"/>
  <c r="K82" i="1"/>
  <c r="K4160" i="1"/>
  <c r="K382" i="1"/>
  <c r="K4488" i="1"/>
  <c r="K4980" i="1"/>
  <c r="K1774" i="1"/>
  <c r="K900" i="1"/>
  <c r="K4288" i="1"/>
  <c r="K4909" i="1"/>
  <c r="K399" i="1"/>
  <c r="K903" i="1"/>
  <c r="K4753" i="1"/>
  <c r="K1590" i="1"/>
  <c r="K4469" i="1"/>
  <c r="K1505" i="1"/>
  <c r="K386" i="1"/>
  <c r="K4549" i="1"/>
  <c r="K1553" i="1"/>
  <c r="K936" i="1"/>
  <c r="K1017" i="1"/>
  <c r="K4851" i="1"/>
  <c r="K4824" i="1"/>
  <c r="K4188" i="1"/>
  <c r="K4637" i="1"/>
  <c r="K1801" i="1"/>
  <c r="K1757" i="1"/>
  <c r="K301" i="1"/>
  <c r="K1843" i="1"/>
  <c r="K873" i="1"/>
  <c r="K4932" i="1"/>
  <c r="K4896" i="1"/>
  <c r="K1020" i="1"/>
  <c r="K4925" i="1"/>
  <c r="K1822" i="1"/>
  <c r="K529" i="1"/>
  <c r="K1880" i="1"/>
  <c r="K531" i="1"/>
  <c r="K453" i="1"/>
  <c r="K4944" i="1"/>
  <c r="K489" i="1"/>
  <c r="K983" i="1"/>
  <c r="K1033" i="1"/>
  <c r="K433" i="1"/>
  <c r="K1881" i="1"/>
  <c r="K1007" i="1"/>
  <c r="K505" i="1"/>
  <c r="K1036" i="1"/>
  <c r="K1034" i="1"/>
  <c r="K1883" i="1"/>
  <c r="K1882" i="1"/>
  <c r="K532" i="1"/>
  <c r="K1037" i="1"/>
  <c r="K533" i="1"/>
  <c r="K1035" i="1"/>
  <c r="K534" i="1"/>
  <c r="K1038" i="1"/>
  <c r="K1884" i="1"/>
  <c r="K535" i="1"/>
  <c r="K1885" i="1"/>
  <c r="K1887" i="1"/>
  <c r="K1886" i="1"/>
  <c r="K536" i="1"/>
  <c r="K537" i="1"/>
  <c r="K540" i="1"/>
  <c r="K1041" i="1"/>
  <c r="K1039" i="1"/>
  <c r="K1888" i="1"/>
  <c r="K1042" i="1"/>
  <c r="K1040" i="1"/>
  <c r="K538" i="1"/>
  <c r="K1889" i="1"/>
  <c r="K1891" i="1"/>
  <c r="K539" i="1"/>
  <c r="K1043" i="1"/>
  <c r="K1892" i="1"/>
  <c r="K1044" i="1"/>
  <c r="K542" i="1"/>
  <c r="K1047" i="1"/>
  <c r="K1890" i="1"/>
  <c r="K541" i="1"/>
  <c r="K1045" i="1"/>
  <c r="K1894" i="1"/>
  <c r="K543" i="1"/>
  <c r="K1893" i="1"/>
  <c r="K1046" i="1"/>
  <c r="K1895" i="1"/>
  <c r="K1048" i="1"/>
  <c r="K544" i="1"/>
  <c r="K547" i="1"/>
  <c r="K545" i="1"/>
  <c r="K548" i="1"/>
  <c r="K1050" i="1"/>
  <c r="K1897" i="1"/>
  <c r="K1049" i="1"/>
  <c r="K1896" i="1"/>
  <c r="K546" i="1"/>
  <c r="K1052" i="1"/>
  <c r="K1898" i="1"/>
  <c r="K1899" i="1"/>
  <c r="K549" i="1"/>
  <c r="K1051" i="1"/>
  <c r="K1054" i="1"/>
  <c r="K550" i="1"/>
  <c r="K1053" i="1"/>
  <c r="K1902" i="1"/>
  <c r="K1900" i="1"/>
  <c r="K553" i="1"/>
  <c r="K1057" i="1"/>
  <c r="K1901" i="1"/>
  <c r="K551" i="1"/>
  <c r="K552" i="1"/>
  <c r="K1055" i="1"/>
  <c r="K557" i="1"/>
  <c r="K1905" i="1"/>
  <c r="K556" i="1"/>
  <c r="K1056" i="1"/>
  <c r="K1904" i="1"/>
  <c r="K1903" i="1"/>
  <c r="K1060" i="1"/>
  <c r="K554" i="1"/>
  <c r="K1906" i="1"/>
  <c r="K1059" i="1"/>
  <c r="K555" i="1"/>
  <c r="K1058" i="1"/>
  <c r="K1907" i="1"/>
  <c r="K558" i="1"/>
  <c r="K561" i="1"/>
  <c r="K1061" i="1"/>
  <c r="K559" i="1"/>
  <c r="K560" i="1"/>
  <c r="K1908" i="1"/>
  <c r="K1909" i="1"/>
  <c r="K1062" i="1"/>
  <c r="K563" i="1"/>
  <c r="K1910" i="1"/>
  <c r="K1911" i="1"/>
  <c r="K562" i="1"/>
  <c r="K1066" i="1"/>
  <c r="K1063" i="1"/>
  <c r="K1065" i="1"/>
  <c r="K1064" i="1"/>
  <c r="K1913" i="1"/>
  <c r="K1912" i="1"/>
  <c r="K564" i="1"/>
  <c r="K565" i="1"/>
  <c r="K1914" i="1"/>
  <c r="K1067" i="1"/>
  <c r="K1917" i="1"/>
  <c r="K566" i="1"/>
  <c r="K1069" i="1"/>
  <c r="K1915" i="1"/>
  <c r="K567" i="1"/>
  <c r="K1916" i="1"/>
  <c r="K1068" i="1"/>
  <c r="K569" i="1"/>
  <c r="K571" i="1"/>
  <c r="K1071" i="1"/>
  <c r="K1918" i="1"/>
  <c r="K568" i="1"/>
  <c r="K1070" i="1"/>
  <c r="K570" i="1"/>
  <c r="K572" i="1"/>
  <c r="K573" i="1"/>
  <c r="K1920" i="1"/>
  <c r="K1919" i="1"/>
  <c r="K1072" i="1"/>
  <c r="K1076" i="1"/>
  <c r="K1073" i="1"/>
  <c r="K1922" i="1"/>
  <c r="K1921" i="1"/>
  <c r="K1074" i="1"/>
  <c r="K574" i="1"/>
  <c r="K1925" i="1"/>
  <c r="K1926" i="1"/>
  <c r="K1923" i="1"/>
  <c r="K1075" i="1"/>
  <c r="K575" i="1"/>
  <c r="K1924" i="1"/>
  <c r="K1079" i="1"/>
  <c r="K576" i="1"/>
  <c r="K1077" i="1"/>
  <c r="K1927" i="1"/>
  <c r="K1078" i="1"/>
  <c r="K580" i="1"/>
  <c r="K581" i="1"/>
  <c r="K577" i="1"/>
  <c r="K578" i="1"/>
  <c r="K579" i="1"/>
  <c r="K1931" i="1"/>
  <c r="K1081" i="1"/>
  <c r="K1928" i="1"/>
  <c r="K1080" i="1"/>
  <c r="K1930" i="1"/>
  <c r="K1929" i="1"/>
  <c r="K1082" i="1"/>
  <c r="K583" i="1"/>
  <c r="K584" i="1"/>
  <c r="K582" i="1"/>
  <c r="K1933" i="1"/>
  <c r="K1084" i="1"/>
  <c r="K1083" i="1"/>
  <c r="K1932" i="1"/>
  <c r="K585" i="1"/>
  <c r="K586" i="1"/>
  <c r="K1086" i="1"/>
  <c r="K1936" i="1"/>
  <c r="K1085" i="1"/>
  <c r="K1088" i="1"/>
  <c r="K1935" i="1"/>
  <c r="K1934" i="1"/>
  <c r="K588" i="1"/>
  <c r="K1087" i="1"/>
  <c r="K587" i="1"/>
  <c r="K590" i="1"/>
  <c r="K1089" i="1"/>
  <c r="K1937" i="1"/>
  <c r="K1940" i="1"/>
  <c r="K1938" i="1"/>
  <c r="K1090" i="1"/>
  <c r="K1091" i="1"/>
  <c r="K1939" i="1"/>
  <c r="K1092" i="1"/>
  <c r="K592" i="1"/>
  <c r="K589" i="1"/>
  <c r="K591" i="1"/>
  <c r="K593" i="1"/>
  <c r="K1093" i="1"/>
  <c r="K1094" i="1"/>
  <c r="K1095" i="1"/>
  <c r="K1941" i="1"/>
  <c r="K1942" i="1"/>
  <c r="K594" i="1"/>
  <c r="K1943" i="1"/>
  <c r="K595" i="1"/>
  <c r="K1945" i="1"/>
  <c r="K1097" i="1"/>
  <c r="K1096" i="1"/>
  <c r="K1944" i="1"/>
  <c r="K1099" i="1"/>
  <c r="K596" i="1"/>
  <c r="K1946" i="1"/>
  <c r="K598" i="1"/>
  <c r="K597" i="1"/>
  <c r="K1098" i="1"/>
  <c r="K1947" i="1"/>
  <c r="K599" i="1"/>
  <c r="K1100" i="1"/>
  <c r="K1948" i="1"/>
  <c r="K602" i="1"/>
  <c r="K1101" i="1"/>
  <c r="K600" i="1"/>
  <c r="K1949" i="1"/>
  <c r="K601" i="1"/>
  <c r="K1103" i="1"/>
  <c r="K1102" i="1"/>
  <c r="K1104" i="1"/>
  <c r="K603" i="1"/>
  <c r="K1950" i="1"/>
  <c r="K1952" i="1"/>
  <c r="K1951" i="1"/>
  <c r="K605" i="1"/>
  <c r="K1954" i="1"/>
  <c r="K604" i="1"/>
  <c r="K1953" i="1"/>
  <c r="K1105" i="1"/>
  <c r="K1106" i="1"/>
  <c r="K1109" i="1"/>
  <c r="K606" i="1"/>
  <c r="K1107" i="1"/>
  <c r="K608" i="1"/>
  <c r="K1957" i="1"/>
  <c r="K607" i="1"/>
  <c r="K1955" i="1"/>
  <c r="K1108" i="1"/>
  <c r="K1956" i="1"/>
  <c r="K1960" i="1"/>
  <c r="K1112" i="1"/>
  <c r="K610" i="1"/>
  <c r="K609" i="1"/>
  <c r="K1959" i="1"/>
  <c r="K1958" i="1"/>
  <c r="K612" i="1"/>
  <c r="K1111" i="1"/>
  <c r="K1110" i="1"/>
  <c r="K611" i="1"/>
  <c r="K613" i="1"/>
  <c r="K1962" i="1"/>
  <c r="K1961" i="1"/>
  <c r="K1113" i="1"/>
  <c r="K1114" i="1"/>
  <c r="K1115" i="1"/>
  <c r="K1964" i="1"/>
  <c r="K614" i="1"/>
  <c r="K1963" i="1"/>
  <c r="K615" i="1"/>
  <c r="K616" i="1"/>
  <c r="K1116" i="1"/>
  <c r="K1118" i="1"/>
  <c r="K1119" i="1"/>
  <c r="K1117" i="1"/>
  <c r="K1965" i="1"/>
  <c r="K1121" i="1"/>
  <c r="K1966" i="1"/>
  <c r="K1967" i="1"/>
  <c r="K618" i="1"/>
  <c r="K1120" i="1"/>
  <c r="K617" i="1"/>
  <c r="K1969" i="1"/>
  <c r="K1968" i="1"/>
  <c r="K621" i="1"/>
  <c r="K1123" i="1"/>
  <c r="K619" i="1"/>
  <c r="K620" i="1"/>
  <c r="K622" i="1"/>
  <c r="K1970" i="1"/>
  <c r="K1124" i="1"/>
  <c r="K625" i="1"/>
  <c r="K1122" i="1"/>
  <c r="K1971" i="1"/>
  <c r="K1125" i="1"/>
  <c r="K624" i="1"/>
  <c r="K1974" i="1"/>
  <c r="K1973" i="1"/>
  <c r="K623" i="1"/>
  <c r="K1126" i="1"/>
  <c r="K1972" i="1"/>
  <c r="K1127" i="1"/>
  <c r="K627" i="1"/>
  <c r="K1975" i="1"/>
  <c r="K1979" i="1"/>
  <c r="K1128" i="1"/>
  <c r="K628" i="1"/>
  <c r="K626" i="1"/>
  <c r="K630" i="1"/>
  <c r="K1976" i="1"/>
  <c r="K1129" i="1"/>
  <c r="K1977" i="1"/>
  <c r="K1130" i="1"/>
  <c r="K1131" i="1"/>
  <c r="K629" i="1"/>
  <c r="K1978" i="1"/>
  <c r="K633" i="1"/>
  <c r="K1132" i="1"/>
  <c r="K1980" i="1"/>
  <c r="K1133" i="1"/>
  <c r="K632" i="1"/>
  <c r="K1982" i="1"/>
  <c r="K631" i="1"/>
  <c r="K1981" i="1"/>
  <c r="K634" i="1"/>
  <c r="K1135" i="1"/>
  <c r="K1134" i="1"/>
  <c r="K1986" i="1"/>
  <c r="K1137" i="1"/>
  <c r="K1983" i="1"/>
  <c r="K1984" i="1"/>
  <c r="K635" i="1"/>
  <c r="K636" i="1"/>
  <c r="K1136" i="1"/>
  <c r="K1988" i="1"/>
  <c r="K637" i="1"/>
  <c r="K1985" i="1"/>
  <c r="K1139" i="1"/>
  <c r="K1138" i="1"/>
  <c r="K640" i="1"/>
  <c r="K639" i="1"/>
  <c r="K1987" i="1"/>
  <c r="K638" i="1"/>
  <c r="K641" i="1"/>
  <c r="K1140" i="1"/>
  <c r="K1141" i="1"/>
  <c r="K1142" i="1"/>
  <c r="K1989" i="1"/>
  <c r="K1990" i="1"/>
  <c r="K642" i="1"/>
  <c r="K1143" i="1"/>
  <c r="K1146" i="1"/>
  <c r="K644" i="1"/>
  <c r="K1991" i="1"/>
  <c r="K1145" i="1"/>
  <c r="K1993" i="1"/>
  <c r="K1992" i="1"/>
  <c r="K643" i="1"/>
  <c r="K1147" i="1"/>
  <c r="K1144" i="1"/>
  <c r="K1994" i="1"/>
  <c r="K1997" i="1"/>
  <c r="K646" i="1"/>
  <c r="K1148" i="1"/>
  <c r="K647" i="1"/>
  <c r="K1995" i="1"/>
  <c r="K645" i="1"/>
  <c r="K648" i="1"/>
  <c r="K1149" i="1"/>
  <c r="K1996" i="1"/>
  <c r="K649" i="1"/>
  <c r="K650" i="1"/>
  <c r="K1150" i="1"/>
  <c r="K2000" i="1"/>
  <c r="K1998" i="1"/>
  <c r="K1152" i="1"/>
  <c r="K1151" i="1"/>
  <c r="K651" i="1"/>
  <c r="K1153" i="1"/>
  <c r="K1999" i="1"/>
  <c r="K2001" i="1"/>
  <c r="K653" i="1"/>
  <c r="K652" i="1"/>
  <c r="K1158" i="1"/>
  <c r="K654" i="1"/>
  <c r="K2003" i="1"/>
  <c r="K655" i="1"/>
  <c r="K1156" i="1"/>
  <c r="K1155" i="1"/>
  <c r="K1154" i="1"/>
  <c r="K2002" i="1"/>
  <c r="K2005" i="1"/>
  <c r="K2004" i="1"/>
  <c r="K1157" i="1"/>
  <c r="K656" i="1"/>
  <c r="K657" i="1"/>
  <c r="K2006" i="1"/>
  <c r="K2007" i="1"/>
  <c r="K2009" i="1"/>
  <c r="K1160" i="1"/>
  <c r="K658" i="1"/>
  <c r="K1159" i="1"/>
  <c r="K2008" i="1"/>
  <c r="K661" i="1"/>
  <c r="K1163" i="1"/>
  <c r="K659" i="1"/>
  <c r="K660" i="1"/>
  <c r="K1161" i="1"/>
  <c r="K1162" i="1"/>
  <c r="K2010" i="1"/>
  <c r="K1164" i="1"/>
  <c r="K2011" i="1"/>
  <c r="K1167" i="1"/>
  <c r="K663" i="1"/>
  <c r="K1166" i="1"/>
  <c r="K662" i="1"/>
  <c r="K2014" i="1"/>
  <c r="K2012" i="1"/>
  <c r="K2013" i="1"/>
  <c r="K664" i="1"/>
  <c r="K1165" i="1"/>
  <c r="K2015" i="1"/>
  <c r="K1169" i="1"/>
  <c r="K2017" i="1"/>
  <c r="K1168" i="1"/>
  <c r="K666" i="1"/>
  <c r="K668" i="1"/>
  <c r="K665" i="1"/>
  <c r="K2016" i="1"/>
  <c r="K670" i="1"/>
  <c r="K667" i="1"/>
  <c r="K2018" i="1"/>
  <c r="K672" i="1"/>
  <c r="K2019" i="1"/>
  <c r="K669" i="1"/>
  <c r="K1171" i="1"/>
  <c r="K1172" i="1"/>
  <c r="K2020" i="1"/>
  <c r="K673" i="1"/>
  <c r="K671" i="1"/>
  <c r="K1170" i="1"/>
  <c r="K2021" i="1"/>
  <c r="K674" i="1"/>
  <c r="K1174" i="1"/>
  <c r="K2023" i="1"/>
  <c r="K1173" i="1"/>
  <c r="K1176" i="1"/>
  <c r="K2024" i="1"/>
  <c r="K1177" i="1"/>
  <c r="K2022" i="1"/>
  <c r="K2026" i="1"/>
  <c r="K2025" i="1"/>
  <c r="K1175" i="1"/>
  <c r="K677" i="1"/>
  <c r="K676" i="1"/>
  <c r="K675" i="1"/>
  <c r="K1178" i="1"/>
  <c r="K679" i="1"/>
  <c r="K1179" i="1"/>
  <c r="K2027" i="1"/>
  <c r="K1180" i="1"/>
  <c r="K2028" i="1"/>
  <c r="K680" i="1"/>
  <c r="K2029" i="1"/>
  <c r="K2030" i="1"/>
  <c r="K678" i="1"/>
  <c r="K1181" i="1"/>
  <c r="K681" i="1"/>
  <c r="K2033" i="1"/>
  <c r="K1182" i="1"/>
  <c r="K1183" i="1"/>
  <c r="K2031" i="1"/>
  <c r="K683" i="1"/>
  <c r="K682" i="1"/>
  <c r="K2032" i="1"/>
  <c r="K1184" i="1"/>
  <c r="K684" i="1"/>
  <c r="K2035" i="1"/>
  <c r="K2034" i="1"/>
  <c r="K1185" i="1"/>
  <c r="K1186" i="1"/>
  <c r="K1187" i="1"/>
  <c r="K686" i="1"/>
  <c r="K2036" i="1"/>
  <c r="K685" i="1"/>
  <c r="K2037" i="1"/>
  <c r="K689" i="1"/>
  <c r="K1188" i="1"/>
  <c r="K1189" i="1"/>
  <c r="K687" i="1"/>
  <c r="K688" i="1"/>
  <c r="K2038" i="1"/>
  <c r="K1192" i="1"/>
  <c r="K691" i="1"/>
  <c r="K2039" i="1"/>
  <c r="K1190" i="1"/>
  <c r="K690" i="1"/>
  <c r="K2040" i="1"/>
  <c r="K1191" i="1"/>
  <c r="K2043" i="1"/>
  <c r="K2041" i="1"/>
  <c r="K1194" i="1"/>
  <c r="K1195" i="1"/>
  <c r="K1193" i="1"/>
  <c r="K692" i="1"/>
  <c r="K693" i="1"/>
  <c r="K2042" i="1"/>
  <c r="K694" i="1"/>
  <c r="K2046" i="1"/>
  <c r="K695" i="1"/>
  <c r="K1197" i="1"/>
  <c r="K1196" i="1"/>
  <c r="K2044" i="1"/>
  <c r="K697" i="1"/>
  <c r="K1199" i="1"/>
  <c r="K2045" i="1"/>
  <c r="K2047" i="1"/>
  <c r="K696" i="1"/>
  <c r="K2048" i="1"/>
  <c r="K1198" i="1"/>
  <c r="K698" i="1"/>
  <c r="K2049" i="1"/>
  <c r="K699" i="1"/>
  <c r="K1200" i="1"/>
  <c r="K2050" i="1"/>
  <c r="K701" i="1"/>
  <c r="K700" i="1"/>
  <c r="K1204" i="1"/>
  <c r="K2052" i="1"/>
  <c r="K702" i="1"/>
  <c r="K1203" i="1"/>
  <c r="K1202" i="1"/>
  <c r="K2051" i="1"/>
  <c r="K1201" i="1"/>
  <c r="K703" i="1"/>
  <c r="K2053" i="1"/>
  <c r="K707" i="1"/>
  <c r="K2054" i="1"/>
  <c r="K706" i="1"/>
  <c r="K704" i="1"/>
  <c r="K1205" i="1"/>
  <c r="K2058" i="1"/>
  <c r="K2056" i="1"/>
  <c r="K1206" i="1"/>
  <c r="K705" i="1"/>
  <c r="K2055" i="1"/>
  <c r="K1207" i="1"/>
  <c r="K708" i="1"/>
  <c r="K1209" i="1"/>
  <c r="K2059" i="1"/>
  <c r="K2057" i="1"/>
  <c r="K711" i="1"/>
  <c r="K1208" i="1"/>
  <c r="K1210" i="1"/>
  <c r="K710" i="1"/>
  <c r="K709" i="1"/>
  <c r="K2060" i="1"/>
  <c r="K2062" i="1"/>
  <c r="K1212" i="1"/>
  <c r="K1211" i="1"/>
  <c r="K1213" i="1"/>
  <c r="K712" i="1"/>
  <c r="K2061" i="1"/>
  <c r="K1214" i="1"/>
  <c r="K713" i="1"/>
  <c r="K1215" i="1"/>
  <c r="K2063" i="1"/>
  <c r="K2065" i="1"/>
  <c r="K714" i="1"/>
  <c r="K2064" i="1"/>
  <c r="K715" i="1"/>
  <c r="K1216" i="1"/>
  <c r="K716" i="1"/>
  <c r="K2067" i="1"/>
  <c r="K717" i="1"/>
  <c r="K1217" i="1"/>
  <c r="K2068" i="1"/>
  <c r="K2066" i="1"/>
  <c r="K1218" i="1"/>
  <c r="K2070" i="1"/>
  <c r="K1220" i="1"/>
  <c r="K1219" i="1"/>
  <c r="K718" i="1"/>
  <c r="K720" i="1"/>
  <c r="K719" i="1"/>
  <c r="K2071" i="1"/>
  <c r="K2069" i="1"/>
  <c r="K1222" i="1"/>
  <c r="K1221" i="1"/>
  <c r="K721" i="1"/>
  <c r="K1223" i="1"/>
  <c r="K723" i="1"/>
  <c r="K722" i="1"/>
  <c r="K2072" i="1"/>
  <c r="K1224" i="1"/>
  <c r="K2073" i="1"/>
  <c r="K724" i="1"/>
  <c r="K1225" i="1"/>
  <c r="K2076" i="1"/>
  <c r="K725" i="1"/>
  <c r="K2075" i="1"/>
  <c r="K1226" i="1"/>
  <c r="K2074" i="1"/>
  <c r="K1227" i="1"/>
  <c r="K726" i="1"/>
  <c r="K727" i="1"/>
  <c r="K2078" i="1"/>
  <c r="K2077" i="1"/>
  <c r="K1228" i="1"/>
  <c r="K1231" i="1"/>
  <c r="K1229" i="1"/>
  <c r="K1230" i="1"/>
  <c r="K2081" i="1"/>
  <c r="K728" i="1"/>
  <c r="K1234" i="1"/>
  <c r="K2079" i="1"/>
  <c r="K729" i="1"/>
  <c r="K1235" i="1"/>
  <c r="K730" i="1"/>
  <c r="K2080" i="1"/>
  <c r="K1233" i="1"/>
  <c r="K733" i="1"/>
  <c r="K1232" i="1"/>
  <c r="K732" i="1"/>
  <c r="K2082" i="1"/>
  <c r="K2083" i="1"/>
  <c r="K731" i="1"/>
  <c r="K735" i="1"/>
  <c r="K734" i="1"/>
  <c r="K1236" i="1"/>
  <c r="K2084" i="1"/>
  <c r="K738" i="1"/>
  <c r="K2085" i="1"/>
  <c r="K2086" i="1"/>
  <c r="K736" i="1"/>
  <c r="K1237" i="1"/>
  <c r="K1238" i="1"/>
  <c r="K737" i="1"/>
  <c r="K1239" i="1"/>
  <c r="K2087" i="1"/>
  <c r="K2090" i="1"/>
  <c r="K2089" i="1"/>
  <c r="K2088" i="1"/>
  <c r="K1241" i="1"/>
  <c r="K1240" i="1"/>
  <c r="K739" i="1"/>
  <c r="K742" i="1"/>
  <c r="K1242" i="1"/>
  <c r="K743" i="1"/>
  <c r="K2091" i="1"/>
  <c r="K741" i="1"/>
  <c r="K740" i="1"/>
  <c r="K1243" i="1"/>
  <c r="K1244" i="1"/>
  <c r="K2095" i="1"/>
  <c r="K2092" i="1"/>
  <c r="K2094" i="1"/>
  <c r="K1245" i="1"/>
  <c r="K744" i="1"/>
  <c r="K2093" i="1"/>
  <c r="K1248" i="1"/>
  <c r="K1247" i="1"/>
  <c r="K745" i="1"/>
  <c r="K1246" i="1"/>
  <c r="K2096" i="1"/>
  <c r="K747" i="1"/>
  <c r="K746" i="1"/>
  <c r="K2098" i="1"/>
  <c r="K1249" i="1"/>
  <c r="K2097" i="1"/>
  <c r="K748" i="1"/>
  <c r="K2099" i="1"/>
  <c r="K1250" i="1"/>
  <c r="K749" i="1"/>
  <c r="K2103" i="1"/>
  <c r="K750" i="1"/>
  <c r="K1251" i="1"/>
  <c r="K2101" i="1"/>
  <c r="K2100" i="1"/>
  <c r="K1252" i="1"/>
  <c r="K2102" i="1"/>
  <c r="K751" i="1"/>
  <c r="K1253" i="1"/>
  <c r="K752" i="1"/>
  <c r="K1254" i="1"/>
  <c r="K753" i="1"/>
  <c r="K754" i="1"/>
  <c r="K1255" i="1"/>
  <c r="K2104" i="1"/>
  <c r="K755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5" i="1"/>
  <c r="K2144" i="1"/>
  <c r="K2147" i="1"/>
  <c r="K2146" i="1"/>
  <c r="K2150" i="1"/>
  <c r="K2148" i="1"/>
  <c r="K2149" i="1"/>
  <c r="K2152" i="1"/>
  <c r="K2151" i="1"/>
  <c r="K2153" i="1"/>
  <c r="K2154" i="1"/>
  <c r="K2155" i="1"/>
  <c r="K2156" i="1"/>
  <c r="K2158" i="1"/>
  <c r="K2160" i="1"/>
  <c r="K2157" i="1"/>
  <c r="K2159" i="1"/>
  <c r="K2162" i="1"/>
  <c r="K2161" i="1"/>
  <c r="K2163" i="1"/>
  <c r="K2164" i="1"/>
  <c r="K2165" i="1"/>
  <c r="K2167" i="1"/>
  <c r="K2166" i="1"/>
  <c r="K2170" i="1"/>
  <c r="K2169" i="1"/>
  <c r="K2168" i="1"/>
  <c r="K2173" i="1"/>
  <c r="K2171" i="1"/>
  <c r="K2172" i="1"/>
  <c r="K2175" i="1"/>
  <c r="K2174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5" i="1"/>
  <c r="K2194" i="1"/>
  <c r="K2198" i="1"/>
  <c r="K2196" i="1"/>
  <c r="K2197" i="1"/>
  <c r="K2202" i="1"/>
  <c r="K2199" i="1"/>
  <c r="K2201" i="1"/>
  <c r="K2200" i="1"/>
  <c r="K2204" i="1"/>
  <c r="K2203" i="1"/>
  <c r="K2208" i="1"/>
  <c r="K2205" i="1"/>
  <c r="K2207" i="1"/>
  <c r="K2206" i="1"/>
  <c r="K2210" i="1"/>
  <c r="K2209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50" i="1"/>
  <c r="K2249" i="1"/>
  <c r="K2251" i="1"/>
  <c r="K2252" i="1"/>
  <c r="K2255" i="1"/>
  <c r="K2254" i="1"/>
  <c r="K2253" i="1"/>
  <c r="K2256" i="1"/>
  <c r="K2257" i="1"/>
  <c r="K2258" i="1"/>
  <c r="K2259" i="1"/>
  <c r="K2263" i="1"/>
  <c r="K2260" i="1"/>
  <c r="K2261" i="1"/>
  <c r="K2264" i="1"/>
  <c r="K2262" i="1"/>
  <c r="K2265" i="1"/>
  <c r="K2267" i="1"/>
  <c r="K2266" i="1"/>
  <c r="K2268" i="1"/>
  <c r="K2269" i="1"/>
  <c r="K2270" i="1"/>
  <c r="K2273" i="1"/>
  <c r="K2271" i="1"/>
  <c r="K2272" i="1"/>
  <c r="K2274" i="1"/>
  <c r="K2275" i="1"/>
  <c r="K2277" i="1"/>
  <c r="K2276" i="1"/>
  <c r="K2279" i="1"/>
  <c r="K2278" i="1"/>
  <c r="K2280" i="1"/>
  <c r="K2281" i="1"/>
  <c r="K2283" i="1"/>
  <c r="K2285" i="1"/>
  <c r="K2282" i="1"/>
  <c r="K2286" i="1"/>
  <c r="K2287" i="1"/>
  <c r="K2284" i="1"/>
  <c r="K2288" i="1"/>
  <c r="K2289" i="1"/>
  <c r="K2290" i="1"/>
  <c r="K2292" i="1"/>
  <c r="K2294" i="1"/>
  <c r="K2291" i="1"/>
  <c r="K2293" i="1"/>
  <c r="K2296" i="1"/>
  <c r="K2295" i="1"/>
  <c r="K2298" i="1"/>
  <c r="K2297" i="1"/>
  <c r="K2299" i="1"/>
  <c r="K2302" i="1"/>
  <c r="K2300" i="1"/>
  <c r="K2301" i="1"/>
  <c r="K2303" i="1"/>
  <c r="K2304" i="1"/>
  <c r="K2306" i="1"/>
  <c r="K2305" i="1"/>
  <c r="K2308" i="1"/>
  <c r="K2307" i="1"/>
  <c r="K2309" i="1"/>
  <c r="K2310" i="1"/>
  <c r="K2311" i="1"/>
  <c r="K2313" i="1"/>
  <c r="K2312" i="1"/>
  <c r="K2315" i="1"/>
  <c r="K2317" i="1"/>
  <c r="K2314" i="1"/>
  <c r="K2322" i="1"/>
  <c r="K2318" i="1"/>
  <c r="K2316" i="1"/>
  <c r="K2319" i="1"/>
  <c r="K2320" i="1"/>
  <c r="K2325" i="1"/>
  <c r="K2321" i="1"/>
  <c r="K2324" i="1"/>
  <c r="K2323" i="1"/>
  <c r="K2326" i="1"/>
  <c r="K2327" i="1"/>
  <c r="K2328" i="1"/>
  <c r="K2330" i="1"/>
  <c r="K2329" i="1"/>
  <c r="K2331" i="1"/>
  <c r="K2332" i="1"/>
  <c r="K2334" i="1"/>
  <c r="K2333" i="1"/>
  <c r="K2335" i="1"/>
  <c r="K2337" i="1"/>
  <c r="K2336" i="1"/>
  <c r="K2338" i="1"/>
  <c r="K2341" i="1"/>
  <c r="K2339" i="1"/>
  <c r="K2343" i="1"/>
  <c r="K2342" i="1"/>
  <c r="K2340" i="1"/>
  <c r="K2345" i="1"/>
  <c r="K2344" i="1"/>
  <c r="K2349" i="1"/>
  <c r="K2347" i="1"/>
  <c r="K2346" i="1"/>
  <c r="K2351" i="1"/>
  <c r="K2348" i="1"/>
  <c r="K2350" i="1"/>
  <c r="K2354" i="1"/>
  <c r="K2353" i="1"/>
  <c r="K2355" i="1"/>
  <c r="K2352" i="1"/>
  <c r="K2357" i="1"/>
  <c r="K2356" i="1"/>
  <c r="K2359" i="1"/>
  <c r="K2358" i="1"/>
  <c r="K2360" i="1"/>
  <c r="K2361" i="1"/>
  <c r="K2363" i="1"/>
  <c r="K2364" i="1"/>
  <c r="K2362" i="1"/>
  <c r="K2366" i="1"/>
  <c r="K2365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400" i="1"/>
  <c r="K2399" i="1"/>
  <c r="K2401" i="1"/>
  <c r="K2402" i="1"/>
  <c r="K2403" i="1"/>
  <c r="K2404" i="1"/>
  <c r="K2405" i="1"/>
  <c r="K2406" i="1"/>
  <c r="K2407" i="1"/>
  <c r="K2408" i="1"/>
  <c r="K2409" i="1"/>
  <c r="K2410" i="1"/>
  <c r="K2413" i="1"/>
  <c r="K2411" i="1"/>
  <c r="K2414" i="1"/>
  <c r="K2415" i="1"/>
  <c r="K2412" i="1"/>
  <c r="K2417" i="1"/>
  <c r="K2416" i="1"/>
  <c r="K2419" i="1"/>
  <c r="K2421" i="1"/>
  <c r="K2418" i="1"/>
  <c r="K2420" i="1"/>
  <c r="K2423" i="1"/>
  <c r="K2422" i="1"/>
  <c r="K2425" i="1"/>
  <c r="K2424" i="1"/>
  <c r="K2429" i="1"/>
  <c r="K2427" i="1"/>
  <c r="K2426" i="1"/>
  <c r="K2428" i="1"/>
  <c r="K2431" i="1"/>
  <c r="K2433" i="1"/>
  <c r="K2430" i="1"/>
  <c r="K2432" i="1"/>
  <c r="K2435" i="1"/>
  <c r="K2434" i="1"/>
  <c r="K2437" i="1"/>
  <c r="K2436" i="1"/>
  <c r="K2438" i="1"/>
  <c r="K2439" i="1"/>
  <c r="K2443" i="1"/>
  <c r="K2440" i="1"/>
  <c r="K2442" i="1"/>
  <c r="K2441" i="1"/>
  <c r="K2445" i="1"/>
  <c r="K2444" i="1"/>
  <c r="K2446" i="1"/>
  <c r="K2448" i="1"/>
  <c r="K2450" i="1"/>
  <c r="K2447" i="1"/>
  <c r="K2449" i="1"/>
  <c r="K2453" i="1"/>
  <c r="K2451" i="1"/>
  <c r="K2452" i="1"/>
  <c r="K2454" i="1"/>
  <c r="K2455" i="1"/>
  <c r="K2456" i="1"/>
  <c r="K2458" i="1"/>
  <c r="K2457" i="1"/>
  <c r="K2460" i="1"/>
  <c r="K2459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7" i="1"/>
  <c r="K2476" i="1"/>
  <c r="K2478" i="1"/>
  <c r="K2479" i="1"/>
  <c r="K2484" i="1"/>
  <c r="K2480" i="1"/>
  <c r="K2481" i="1"/>
  <c r="K2486" i="1"/>
  <c r="K2482" i="1"/>
  <c r="K2483" i="1"/>
  <c r="K2485" i="1"/>
  <c r="K2487" i="1"/>
  <c r="K2491" i="1"/>
  <c r="K2488" i="1"/>
  <c r="K2492" i="1"/>
  <c r="K2489" i="1"/>
  <c r="K2490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4" i="1"/>
  <c r="K2523" i="1"/>
  <c r="K2526" i="1"/>
  <c r="K2525" i="1"/>
  <c r="K2528" i="1"/>
  <c r="K2527" i="1"/>
  <c r="K2531" i="1"/>
  <c r="K2529" i="1"/>
  <c r="K2530" i="1"/>
  <c r="K2533" i="1"/>
  <c r="K2532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4" i="1"/>
  <c r="K2563" i="1"/>
  <c r="K2566" i="1"/>
  <c r="K2565" i="1"/>
  <c r="K2569" i="1"/>
  <c r="K2571" i="1"/>
  <c r="K2568" i="1"/>
  <c r="K2570" i="1"/>
  <c r="K2567" i="1"/>
  <c r="K2573" i="1"/>
  <c r="K2572" i="1"/>
  <c r="K2576" i="1"/>
  <c r="K2574" i="1"/>
  <c r="K2575" i="1"/>
  <c r="K2578" i="1"/>
  <c r="K2577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3" i="1"/>
  <c r="K2612" i="1"/>
  <c r="K2614" i="1"/>
  <c r="K2615" i="1"/>
  <c r="K2620" i="1"/>
  <c r="K2617" i="1"/>
  <c r="K2621" i="1"/>
  <c r="K2616" i="1"/>
  <c r="K2618" i="1"/>
  <c r="K2622" i="1"/>
  <c r="K2619" i="1"/>
  <c r="K2623" i="1"/>
  <c r="K2625" i="1"/>
  <c r="K2624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8" i="1"/>
  <c r="K2647" i="1"/>
  <c r="K2649" i="1"/>
  <c r="K2650" i="1"/>
  <c r="K2651" i="1"/>
  <c r="K2652" i="1"/>
  <c r="K2655" i="1"/>
  <c r="K2654" i="1"/>
  <c r="K2657" i="1"/>
  <c r="K2653" i="1"/>
  <c r="K2656" i="1"/>
  <c r="K2659" i="1"/>
  <c r="K2658" i="1"/>
  <c r="K2660" i="1"/>
  <c r="K2662" i="1"/>
  <c r="K2661" i="1"/>
  <c r="K2664" i="1"/>
  <c r="K2663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80" i="1"/>
  <c r="K2679" i="1"/>
  <c r="K2681" i="1"/>
  <c r="K2682" i="1"/>
  <c r="K2684" i="1"/>
  <c r="K2683" i="1"/>
  <c r="K2687" i="1"/>
  <c r="K2685" i="1"/>
  <c r="K2686" i="1"/>
  <c r="K2688" i="1"/>
  <c r="K2689" i="1"/>
  <c r="K2690" i="1"/>
  <c r="K2691" i="1"/>
  <c r="K2692" i="1"/>
  <c r="K2693" i="1"/>
  <c r="K2694" i="1"/>
  <c r="K2695" i="1"/>
  <c r="K2696" i="1"/>
  <c r="K2698" i="1"/>
  <c r="K2697" i="1"/>
  <c r="K2699" i="1"/>
  <c r="K2700" i="1"/>
  <c r="K2705" i="1"/>
  <c r="K2702" i="1"/>
  <c r="K2701" i="1"/>
  <c r="K2706" i="1"/>
  <c r="K2704" i="1"/>
  <c r="K2707" i="1"/>
  <c r="K2703" i="1"/>
  <c r="K2709" i="1"/>
  <c r="K2708" i="1"/>
  <c r="K2712" i="1"/>
  <c r="K2710" i="1"/>
  <c r="K2714" i="1"/>
  <c r="K2711" i="1"/>
  <c r="K2713" i="1"/>
  <c r="K2716" i="1"/>
  <c r="K2715" i="1"/>
  <c r="K2718" i="1"/>
  <c r="K2717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5" i="1"/>
  <c r="K2744" i="1"/>
  <c r="K2746" i="1"/>
  <c r="K2747" i="1"/>
  <c r="K2748" i="1"/>
  <c r="K2749" i="1"/>
  <c r="K2752" i="1"/>
  <c r="K2751" i="1"/>
  <c r="K2750" i="1"/>
  <c r="K2754" i="1"/>
  <c r="K2755" i="1"/>
  <c r="K2753" i="1"/>
  <c r="K2756" i="1"/>
  <c r="K2758" i="1"/>
  <c r="K2757" i="1"/>
  <c r="K2760" i="1"/>
  <c r="K2759" i="1"/>
  <c r="K2761" i="1"/>
  <c r="K2763" i="1"/>
  <c r="K2762" i="1"/>
  <c r="K2764" i="1"/>
  <c r="K2766" i="1"/>
  <c r="K2765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1" i="1"/>
  <c r="K2790" i="1"/>
  <c r="K2792" i="1"/>
  <c r="K2793" i="1"/>
  <c r="K2797" i="1"/>
  <c r="K2795" i="1"/>
  <c r="K2794" i="1"/>
  <c r="K2798" i="1"/>
  <c r="K2799" i="1"/>
  <c r="K2800" i="1"/>
  <c r="K2796" i="1"/>
  <c r="K2803" i="1"/>
  <c r="K2801" i="1"/>
  <c r="K2805" i="1"/>
  <c r="K2802" i="1"/>
  <c r="K2804" i="1"/>
  <c r="K2806" i="1"/>
  <c r="K2808" i="1"/>
  <c r="K2807" i="1"/>
  <c r="K2809" i="1"/>
  <c r="K2810" i="1"/>
  <c r="K2811" i="1"/>
  <c r="K2812" i="1"/>
  <c r="K2813" i="1"/>
  <c r="K2814" i="1"/>
  <c r="K2815" i="1"/>
  <c r="K2816" i="1"/>
  <c r="K2818" i="1"/>
  <c r="K2817" i="1"/>
  <c r="K2819" i="1"/>
  <c r="K2820" i="1"/>
  <c r="K2825" i="1"/>
  <c r="K2821" i="1"/>
  <c r="K2822" i="1"/>
  <c r="K2824" i="1"/>
  <c r="K2823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4" i="1"/>
  <c r="K2873" i="1"/>
  <c r="K2878" i="1"/>
  <c r="K2875" i="1"/>
  <c r="K2876" i="1"/>
  <c r="K2877" i="1"/>
  <c r="K2881" i="1"/>
  <c r="K2879" i="1"/>
  <c r="K2880" i="1"/>
  <c r="K2883" i="1"/>
  <c r="K2882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6" i="1"/>
  <c r="K2900" i="1"/>
  <c r="K2901" i="1"/>
  <c r="K2903" i="1"/>
  <c r="K2902" i="1"/>
  <c r="K2904" i="1"/>
  <c r="K2905" i="1"/>
  <c r="K2908" i="1"/>
  <c r="K2907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8" i="1"/>
  <c r="K2997" i="1"/>
  <c r="K2999" i="1"/>
  <c r="K3004" i="1"/>
  <c r="K3002" i="1"/>
  <c r="K3001" i="1"/>
  <c r="K3000" i="1"/>
  <c r="K3003" i="1"/>
  <c r="K3006" i="1"/>
  <c r="K3005" i="1"/>
  <c r="K3007" i="1"/>
  <c r="K3008" i="1"/>
  <c r="K3009" i="1"/>
  <c r="K3011" i="1"/>
  <c r="K3013" i="1"/>
  <c r="K3014" i="1"/>
  <c r="K3010" i="1"/>
  <c r="K3012" i="1"/>
  <c r="K3016" i="1"/>
  <c r="K3015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9" i="1"/>
  <c r="K3048" i="1"/>
  <c r="K3050" i="1"/>
  <c r="K3051" i="1"/>
  <c r="K3055" i="1"/>
  <c r="K3053" i="1"/>
  <c r="K3052" i="1"/>
  <c r="K3054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8" i="1"/>
  <c r="K3097" i="1"/>
  <c r="K3099" i="1"/>
  <c r="K3100" i="1"/>
  <c r="K3104" i="1"/>
  <c r="K3102" i="1"/>
  <c r="K3101" i="1"/>
  <c r="K3106" i="1"/>
  <c r="K3105" i="1"/>
  <c r="K3103" i="1"/>
  <c r="K3107" i="1"/>
  <c r="K3108" i="1"/>
  <c r="K3113" i="1"/>
  <c r="K3112" i="1"/>
  <c r="K3110" i="1"/>
  <c r="K3109" i="1"/>
  <c r="K3111" i="1"/>
  <c r="K3115" i="1"/>
  <c r="K3114" i="1"/>
  <c r="K3116" i="1"/>
  <c r="K3117" i="1"/>
  <c r="K3118" i="1"/>
  <c r="K3120" i="1"/>
  <c r="K3119" i="1"/>
  <c r="K3122" i="1"/>
  <c r="K3121" i="1"/>
  <c r="K3123" i="1"/>
  <c r="K3124" i="1"/>
  <c r="K3127" i="1"/>
  <c r="K3128" i="1"/>
  <c r="K3126" i="1"/>
  <c r="K3125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5" i="1"/>
  <c r="K3143" i="1"/>
  <c r="K3144" i="1"/>
  <c r="K3147" i="1"/>
  <c r="K3146" i="1"/>
  <c r="K3148" i="1"/>
  <c r="K3150" i="1"/>
  <c r="K3149" i="1"/>
  <c r="K3155" i="1"/>
  <c r="K3152" i="1"/>
  <c r="K3151" i="1"/>
  <c r="K3153" i="1"/>
  <c r="K3154" i="1"/>
  <c r="K3156" i="1"/>
  <c r="K3158" i="1"/>
  <c r="K3157" i="1"/>
  <c r="K3160" i="1"/>
  <c r="K3159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4" i="1"/>
  <c r="K3203" i="1"/>
  <c r="K3208" i="1"/>
  <c r="K3205" i="1"/>
  <c r="K3207" i="1"/>
  <c r="K3206" i="1"/>
  <c r="K3211" i="1"/>
  <c r="K3209" i="1"/>
  <c r="K3212" i="1"/>
  <c r="K3210" i="1"/>
  <c r="K3214" i="1"/>
  <c r="K3213" i="1"/>
  <c r="K3216" i="1"/>
  <c r="K3217" i="1"/>
  <c r="K3215" i="1"/>
  <c r="K3219" i="1"/>
  <c r="K3218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5" i="1"/>
  <c r="K3244" i="1"/>
  <c r="K3247" i="1"/>
  <c r="K3246" i="1"/>
  <c r="K3250" i="1"/>
  <c r="K3251" i="1"/>
  <c r="K3249" i="1"/>
  <c r="K3248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2" i="1"/>
  <c r="K3301" i="1"/>
  <c r="K3304" i="1"/>
  <c r="K3303" i="1"/>
  <c r="K3309" i="1"/>
  <c r="K3306" i="1"/>
  <c r="K3305" i="1"/>
  <c r="K3310" i="1"/>
  <c r="K3308" i="1"/>
  <c r="K3307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8" i="1"/>
  <c r="K3327" i="1"/>
  <c r="K3329" i="1"/>
  <c r="K3330" i="1"/>
  <c r="K3331" i="1"/>
  <c r="K3332" i="1"/>
  <c r="K3335" i="1"/>
  <c r="K3336" i="1"/>
  <c r="K3333" i="1"/>
  <c r="K3334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2" i="1"/>
  <c r="K3361" i="1"/>
  <c r="K3363" i="1"/>
  <c r="K3364" i="1"/>
  <c r="K3366" i="1"/>
  <c r="K3365" i="1"/>
  <c r="K3367" i="1"/>
  <c r="K3368" i="1"/>
  <c r="K3370" i="1"/>
  <c r="K3369" i="1"/>
  <c r="K3373" i="1"/>
  <c r="K3371" i="1"/>
  <c r="K3372" i="1"/>
  <c r="K3375" i="1"/>
  <c r="K3374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8" i="1"/>
  <c r="K3447" i="1"/>
  <c r="K3449" i="1"/>
  <c r="K3450" i="1"/>
  <c r="K3453" i="1"/>
  <c r="K3452" i="1"/>
  <c r="K3455" i="1"/>
  <c r="K3451" i="1"/>
  <c r="K3454" i="1"/>
  <c r="K3456" i="1"/>
  <c r="K3458" i="1"/>
  <c r="K3457" i="1"/>
  <c r="K3459" i="1"/>
  <c r="K3460" i="1"/>
  <c r="K3461" i="1"/>
  <c r="K3462" i="1"/>
  <c r="K3464" i="1"/>
  <c r="K3467" i="1"/>
  <c r="K3463" i="1"/>
  <c r="K3465" i="1"/>
  <c r="K3466" i="1"/>
  <c r="K3468" i="1"/>
  <c r="K3469" i="1"/>
  <c r="K3470" i="1"/>
  <c r="K3471" i="1"/>
  <c r="K3472" i="1"/>
  <c r="K3474" i="1"/>
  <c r="K3473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5" i="1"/>
  <c r="K3494" i="1"/>
  <c r="K3499" i="1"/>
  <c r="K3496" i="1"/>
  <c r="K3500" i="1"/>
  <c r="K3497" i="1"/>
  <c r="K3498" i="1"/>
  <c r="K3502" i="1"/>
  <c r="K3501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21" i="1"/>
  <c r="K3519" i="1"/>
  <c r="K3518" i="1"/>
  <c r="K3520" i="1"/>
  <c r="K3524" i="1"/>
  <c r="K3522" i="1"/>
  <c r="K3523" i="1"/>
  <c r="K3526" i="1"/>
  <c r="K3525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6" i="1"/>
  <c r="K3550" i="1"/>
  <c r="K3551" i="1"/>
  <c r="K3553" i="1"/>
  <c r="K3552" i="1"/>
  <c r="K3554" i="1"/>
  <c r="K3555" i="1"/>
  <c r="K3558" i="1"/>
  <c r="K3557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6" i="1"/>
  <c r="K3585" i="1"/>
  <c r="K3588" i="1"/>
  <c r="K3587" i="1"/>
  <c r="K3593" i="1"/>
  <c r="K3590" i="1"/>
  <c r="K3589" i="1"/>
  <c r="K3592" i="1"/>
  <c r="K3591" i="1"/>
  <c r="K3595" i="1"/>
  <c r="K3594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21" i="1"/>
  <c r="K3616" i="1"/>
  <c r="K3615" i="1"/>
  <c r="K3617" i="1"/>
  <c r="K3618" i="1"/>
  <c r="K3619" i="1"/>
  <c r="K3620" i="1"/>
  <c r="K3622" i="1"/>
  <c r="K3623" i="1"/>
  <c r="K3624" i="1"/>
  <c r="K3625" i="1"/>
  <c r="K3626" i="1"/>
  <c r="K3627" i="1"/>
  <c r="K3628" i="1"/>
  <c r="K3629" i="1"/>
  <c r="K3630" i="1"/>
  <c r="K3631" i="1"/>
  <c r="K3632" i="1"/>
  <c r="K3634" i="1"/>
  <c r="K3633" i="1"/>
  <c r="K3636" i="1"/>
  <c r="K3635" i="1"/>
  <c r="K3640" i="1"/>
  <c r="K3637" i="1"/>
  <c r="K3638" i="1"/>
  <c r="K3639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6" i="1"/>
  <c r="K3684" i="1"/>
  <c r="K3687" i="1"/>
  <c r="K3685" i="1"/>
  <c r="K3689" i="1"/>
  <c r="K3688" i="1"/>
  <c r="K3690" i="1"/>
  <c r="K3691" i="1"/>
  <c r="K3692" i="1"/>
  <c r="K3694" i="1"/>
  <c r="K3693" i="1"/>
  <c r="K3695" i="1"/>
  <c r="K3696" i="1"/>
  <c r="K3701" i="1"/>
  <c r="K3697" i="1"/>
  <c r="K3698" i="1"/>
  <c r="K3700" i="1"/>
  <c r="K3699" i="1"/>
  <c r="K3705" i="1"/>
  <c r="K3704" i="1"/>
  <c r="K3702" i="1"/>
  <c r="K3703" i="1"/>
  <c r="K3707" i="1"/>
  <c r="K3706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50" i="1"/>
  <c r="K3749" i="1"/>
  <c r="K3751" i="1"/>
  <c r="K3752" i="1"/>
  <c r="K3755" i="1"/>
  <c r="K3757" i="1"/>
  <c r="K3756" i="1"/>
  <c r="K3758" i="1"/>
  <c r="K3753" i="1"/>
  <c r="K3754" i="1"/>
  <c r="K3759" i="1"/>
  <c r="K3760" i="1"/>
  <c r="K3763" i="1"/>
  <c r="K3761" i="1"/>
  <c r="K3762" i="1"/>
  <c r="K3765" i="1"/>
  <c r="K3764" i="1"/>
  <c r="K3766" i="1"/>
  <c r="K3767" i="1"/>
  <c r="K3768" i="1"/>
  <c r="K3769" i="1"/>
  <c r="K3770" i="1"/>
  <c r="K3771" i="1"/>
  <c r="K3773" i="1"/>
  <c r="K3772" i="1"/>
  <c r="K3780" i="1"/>
  <c r="K3774" i="1"/>
  <c r="K3775" i="1"/>
  <c r="K3776" i="1"/>
  <c r="K3777" i="1"/>
  <c r="K3778" i="1"/>
  <c r="K3779" i="1"/>
  <c r="K3782" i="1"/>
  <c r="K3781" i="1"/>
  <c r="K3783" i="1"/>
  <c r="K3784" i="1"/>
  <c r="K3785" i="1"/>
  <c r="K3786" i="1"/>
  <c r="K3787" i="1"/>
  <c r="K3788" i="1"/>
  <c r="K3789" i="1"/>
  <c r="K3790" i="1"/>
  <c r="K3791" i="1"/>
  <c r="K3792" i="1"/>
  <c r="K3794" i="1"/>
  <c r="K3793" i="1"/>
  <c r="K3795" i="1"/>
  <c r="K3796" i="1"/>
  <c r="K3798" i="1"/>
  <c r="K3797" i="1"/>
  <c r="K3801" i="1"/>
  <c r="K3800" i="1"/>
  <c r="K3805" i="1"/>
  <c r="K3799" i="1"/>
  <c r="K3804" i="1"/>
  <c r="K3802" i="1"/>
  <c r="K3803" i="1"/>
  <c r="K3807" i="1"/>
  <c r="K3809" i="1"/>
  <c r="K3806" i="1"/>
  <c r="K3808" i="1"/>
  <c r="K3811" i="1"/>
  <c r="K3810" i="1"/>
  <c r="K3814" i="1"/>
  <c r="K3812" i="1"/>
  <c r="K3813" i="1"/>
  <c r="K3815" i="1"/>
  <c r="K3819" i="1"/>
  <c r="K3816" i="1"/>
  <c r="K3820" i="1"/>
  <c r="K3821" i="1"/>
  <c r="K3817" i="1"/>
  <c r="K3818" i="1"/>
  <c r="K3823" i="1"/>
  <c r="K3822" i="1"/>
  <c r="K3824" i="1"/>
  <c r="K3825" i="1"/>
  <c r="K3826" i="1"/>
  <c r="K3828" i="1"/>
  <c r="K3827" i="1"/>
  <c r="K3829" i="1"/>
  <c r="K3830" i="1"/>
  <c r="K3831" i="1"/>
  <c r="K3832" i="1"/>
  <c r="K3833" i="1"/>
  <c r="K3836" i="1"/>
  <c r="K3834" i="1"/>
  <c r="K3835" i="1"/>
  <c r="K3838" i="1"/>
  <c r="K3837" i="1"/>
  <c r="K3839" i="1"/>
  <c r="K3840" i="1"/>
  <c r="K3841" i="1"/>
  <c r="K3842" i="1"/>
  <c r="K3845" i="1"/>
  <c r="K3843" i="1"/>
  <c r="K3847" i="1"/>
  <c r="K3844" i="1"/>
  <c r="K3846" i="1"/>
  <c r="K3849" i="1"/>
  <c r="K3848" i="1"/>
  <c r="K3854" i="1"/>
  <c r="K3852" i="1"/>
  <c r="K3850" i="1"/>
  <c r="K3851" i="1"/>
  <c r="K3853" i="1"/>
  <c r="K3856" i="1"/>
  <c r="K3855" i="1"/>
  <c r="K3859" i="1"/>
  <c r="K3857" i="1"/>
  <c r="K3858" i="1"/>
  <c r="K3861" i="1"/>
  <c r="K3860" i="1"/>
  <c r="K3862" i="1"/>
  <c r="K3865" i="1"/>
  <c r="K3863" i="1"/>
  <c r="K3864" i="1"/>
  <c r="K3867" i="1"/>
  <c r="K3866" i="1"/>
  <c r="K3869" i="1"/>
  <c r="K3868" i="1"/>
  <c r="K3870" i="1"/>
  <c r="K3871" i="1"/>
  <c r="K3872" i="1"/>
  <c r="K3873" i="1"/>
  <c r="K3874" i="1"/>
  <c r="K3877" i="1"/>
  <c r="K3879" i="1"/>
  <c r="K3875" i="1"/>
  <c r="K3876" i="1"/>
  <c r="K3878" i="1"/>
  <c r="K3880" i="1"/>
  <c r="K3881" i="1"/>
  <c r="K3882" i="1"/>
  <c r="K3884" i="1"/>
  <c r="K3886" i="1"/>
  <c r="K3883" i="1"/>
  <c r="K3885" i="1"/>
  <c r="K3887" i="1"/>
  <c r="K3890" i="1"/>
  <c r="K3888" i="1"/>
  <c r="K3889" i="1"/>
  <c r="K3892" i="1"/>
  <c r="K3891" i="1"/>
  <c r="K3894" i="1"/>
  <c r="K3893" i="1"/>
  <c r="K3895" i="1"/>
  <c r="K3898" i="1"/>
  <c r="K3896" i="1"/>
  <c r="K3897" i="1"/>
  <c r="K3900" i="1"/>
  <c r="K3899" i="1"/>
  <c r="K3902" i="1"/>
  <c r="K3901" i="1"/>
  <c r="K3903" i="1"/>
  <c r="K3904" i="1"/>
  <c r="K3906" i="1"/>
  <c r="K3905" i="1"/>
  <c r="K3907" i="1"/>
  <c r="K3910" i="1"/>
  <c r="K3908" i="1"/>
  <c r="K3912" i="1"/>
  <c r="K3911" i="1"/>
  <c r="K3909" i="1"/>
  <c r="K3913" i="1"/>
  <c r="K3915" i="1"/>
  <c r="K3914" i="1"/>
  <c r="K3917" i="1"/>
  <c r="K3916" i="1"/>
  <c r="K3918" i="1"/>
  <c r="K3921" i="1"/>
  <c r="K3919" i="1"/>
  <c r="K3920" i="1"/>
  <c r="K3922" i="1"/>
  <c r="K3923" i="1"/>
  <c r="K3926" i="1"/>
  <c r="K3927" i="1"/>
  <c r="K3925" i="1"/>
  <c r="K3924" i="1"/>
  <c r="K3928" i="1"/>
  <c r="K3929" i="1"/>
  <c r="K3930" i="1"/>
  <c r="K3931" i="1"/>
  <c r="K3933" i="1"/>
  <c r="K3932" i="1"/>
  <c r="K3935" i="1"/>
  <c r="K3934" i="1"/>
  <c r="K3936" i="1"/>
  <c r="K3938" i="1"/>
  <c r="K3937" i="1"/>
  <c r="K3940" i="1"/>
  <c r="K3939" i="1"/>
  <c r="K3942" i="1"/>
  <c r="K3941" i="1"/>
  <c r="K3944" i="1"/>
  <c r="K3943" i="1"/>
  <c r="K3945" i="1"/>
  <c r="K3947" i="1"/>
  <c r="K3949" i="1"/>
  <c r="K3946" i="1"/>
  <c r="K3948" i="1"/>
  <c r="K3950" i="1"/>
  <c r="K3951" i="1"/>
  <c r="K3952" i="1"/>
  <c r="K3953" i="1"/>
  <c r="K3954" i="1"/>
  <c r="K3955" i="1"/>
  <c r="K3957" i="1"/>
  <c r="K3956" i="1"/>
  <c r="K3958" i="1"/>
  <c r="K3959" i="1"/>
  <c r="K3960" i="1"/>
  <c r="K3964" i="1"/>
  <c r="K3961" i="1"/>
  <c r="K3962" i="1"/>
  <c r="K3963" i="1"/>
  <c r="K3965" i="1"/>
  <c r="K3966" i="1"/>
  <c r="K3967" i="1"/>
  <c r="K3968" i="1"/>
  <c r="K3970" i="1"/>
  <c r="K3969" i="1"/>
  <c r="K3971" i="1"/>
  <c r="K3972" i="1"/>
  <c r="K3973" i="1"/>
  <c r="K3974" i="1"/>
  <c r="K3975" i="1"/>
  <c r="K3976" i="1"/>
  <c r="K3980" i="1"/>
  <c r="K3977" i="1"/>
  <c r="K3978" i="1"/>
  <c r="K3979" i="1"/>
  <c r="K3982" i="1"/>
  <c r="K3981" i="1"/>
  <c r="K3985" i="1"/>
  <c r="K3983" i="1"/>
  <c r="K3984" i="1"/>
  <c r="K3987" i="1"/>
  <c r="K3986" i="1"/>
  <c r="K3989" i="1"/>
  <c r="K3988" i="1"/>
  <c r="K3990" i="1"/>
  <c r="K3991" i="1"/>
  <c r="K3992" i="1"/>
  <c r="K3995" i="1"/>
  <c r="K3993" i="1"/>
  <c r="K3994" i="1"/>
  <c r="K3997" i="1"/>
  <c r="K3996" i="1"/>
  <c r="K3999" i="1"/>
  <c r="K3998" i="1"/>
  <c r="K4000" i="1"/>
  <c r="K4001" i="1"/>
  <c r="K4003" i="1"/>
  <c r="K4002" i="1"/>
  <c r="K4006" i="1"/>
  <c r="K4004" i="1"/>
  <c r="K4005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71" i="1"/>
  <c r="K4069" i="1"/>
  <c r="K4073" i="1"/>
  <c r="K4067" i="1"/>
  <c r="K4065" i="1"/>
  <c r="H18" i="3" l="1"/>
  <c r="L18" i="3" s="1"/>
  <c r="M18" i="3" s="1"/>
  <c r="H19" i="3"/>
  <c r="L19" i="3" s="1"/>
  <c r="M19" i="3" s="1"/>
  <c r="H17" i="3"/>
  <c r="L17" i="3" l="1"/>
  <c r="J18" i="3"/>
  <c r="P18" i="3" s="1"/>
  <c r="J19" i="3"/>
  <c r="P19" i="3" s="1"/>
  <c r="J17" i="3"/>
  <c r="M17" i="3"/>
  <c r="M20" i="3" s="1"/>
  <c r="L20" i="3"/>
  <c r="I18" i="3"/>
  <c r="O18" i="3" s="1"/>
  <c r="I17" i="3"/>
  <c r="O17" i="3" s="1"/>
  <c r="I19" i="3"/>
  <c r="O19" i="3" s="1"/>
  <c r="J20" i="3" l="1"/>
  <c r="P17" i="3"/>
  <c r="P20" i="3" s="1"/>
  <c r="O20" i="3"/>
  <c r="I20" i="3"/>
  <c r="F17" i="3" s="1"/>
  <c r="F18" i="3" l="1"/>
  <c r="F19" i="3"/>
  <c r="F28" i="3"/>
  <c r="F20" i="3" l="1"/>
</calcChain>
</file>

<file path=xl/sharedStrings.xml><?xml version="1.0" encoding="utf-8"?>
<sst xmlns="http://schemas.openxmlformats.org/spreadsheetml/2006/main" count="5214" uniqueCount="120">
  <si>
    <t>Index</t>
  </si>
  <si>
    <t>Item Class</t>
  </si>
  <si>
    <t>Production Item</t>
  </si>
  <si>
    <t>Service Item</t>
  </si>
  <si>
    <t>Retail Item</t>
  </si>
  <si>
    <t>Violin</t>
  </si>
  <si>
    <t>Viola</t>
  </si>
  <si>
    <t>Cello</t>
  </si>
  <si>
    <t>Bass</t>
  </si>
  <si>
    <t>Flute</t>
  </si>
  <si>
    <t>Piccolo</t>
  </si>
  <si>
    <t>Oboe</t>
  </si>
  <si>
    <t>Bassoon</t>
  </si>
  <si>
    <t>Instrument Family</t>
  </si>
  <si>
    <t>Strings</t>
  </si>
  <si>
    <t>Woodwinds</t>
  </si>
  <si>
    <t>Brass</t>
  </si>
  <si>
    <t>Percussion</t>
  </si>
  <si>
    <t>Other</t>
  </si>
  <si>
    <t>Grand Piano</t>
  </si>
  <si>
    <t>Upright Piano</t>
  </si>
  <si>
    <t>Electric Keyboard</t>
  </si>
  <si>
    <t>Electric Guitar</t>
  </si>
  <si>
    <t>Acoustic Guitar</t>
  </si>
  <si>
    <t>Clarinet</t>
  </si>
  <si>
    <t>Saxophone</t>
  </si>
  <si>
    <t>Trumpet</t>
  </si>
  <si>
    <t>Trombone</t>
  </si>
  <si>
    <t>Tuba</t>
  </si>
  <si>
    <t>French Horn</t>
  </si>
  <si>
    <t>Snare Drum</t>
  </si>
  <si>
    <t>Timpani</t>
  </si>
  <si>
    <t>Bass Drum</t>
  </si>
  <si>
    <t>Cymbal</t>
  </si>
  <si>
    <t>Theremin</t>
  </si>
  <si>
    <t>Synthesizer</t>
  </si>
  <si>
    <t>Models</t>
  </si>
  <si>
    <t>Related Retail Parts</t>
  </si>
  <si>
    <t>Related Service Parts</t>
  </si>
  <si>
    <t>Software</t>
  </si>
  <si>
    <t>Instructional Material</t>
  </si>
  <si>
    <t>Musical Accessories</t>
  </si>
  <si>
    <t>Retail Start Index</t>
  </si>
  <si>
    <t>Service Start Index</t>
  </si>
  <si>
    <t>Related Production Parts</t>
  </si>
  <si>
    <t>Shared Strings</t>
  </si>
  <si>
    <t>Shared Woodwinds</t>
  </si>
  <si>
    <t>Shared Brass</t>
  </si>
  <si>
    <t>Shared Percussion</t>
  </si>
  <si>
    <t>Shared Other</t>
  </si>
  <si>
    <t>Shared Pianos</t>
  </si>
  <si>
    <t>Pianos</t>
  </si>
  <si>
    <t>Production Start Index</t>
  </si>
  <si>
    <t>Instrument Table Summary</t>
  </si>
  <si>
    <t>Related Instrument/Accessory</t>
  </si>
  <si>
    <t>Instrument/Accesory</t>
  </si>
  <si>
    <t>Class Prefix</t>
  </si>
  <si>
    <t>Instrument Infix</t>
  </si>
  <si>
    <t>Item Number</t>
  </si>
  <si>
    <t>Item Description</t>
  </si>
  <si>
    <t>Item Suffix</t>
  </si>
  <si>
    <t>Model Infix</t>
  </si>
  <si>
    <t>Unique</t>
  </si>
  <si>
    <t>Systematically Generated Item Master</t>
  </si>
  <si>
    <t>Indexed item master with item number definitions and uniqueness check</t>
  </si>
  <si>
    <t>Inventory</t>
  </si>
  <si>
    <t>Standard Cost</t>
  </si>
  <si>
    <t>Annual Consumption</t>
  </si>
  <si>
    <t>Breakdown by instrument family and item class</t>
  </si>
  <si>
    <t>A</t>
  </si>
  <si>
    <t>B</t>
  </si>
  <si>
    <t>C</t>
  </si>
  <si>
    <t>= High value, high volume items</t>
  </si>
  <si>
    <t>= High value, medium volume or medium value, high volume</t>
  </si>
  <si>
    <t>= Low value or low volume items</t>
  </si>
  <si>
    <t>Summary Table</t>
  </si>
  <si>
    <t>Distribution of items by ABC classification</t>
  </si>
  <si>
    <t>ABC Class</t>
  </si>
  <si>
    <t>Total</t>
  </si>
  <si>
    <t>Row Labels</t>
  </si>
  <si>
    <t>Grand Total</t>
  </si>
  <si>
    <t>Sum of Inventory</t>
  </si>
  <si>
    <t>Average of Standard Cost</t>
  </si>
  <si>
    <t>Sum of Consumption Value</t>
  </si>
  <si>
    <t>Sum of Inventory Value</t>
  </si>
  <si>
    <t>Inventory Value</t>
  </si>
  <si>
    <t>Consumption Value</t>
  </si>
  <si>
    <t>Pivot Table Analysis</t>
  </si>
  <si>
    <t>By item class, instrument family, and instrument</t>
  </si>
  <si>
    <t>(All)</t>
  </si>
  <si>
    <t>Consumption of N Items</t>
  </si>
  <si>
    <t>Consumption Rank</t>
  </si>
  <si>
    <t>=ROUND(IF($B6 = "Production Item",POWER(RANDBETWEEN(0, 2), RANDBETWEEN(1, 5)), IF($B6 = "Service Item", RANDBETWEEN(0, 10), RANDBETWEEN(0, 100))), 2)</t>
  </si>
  <si>
    <t>=ROUND(IF($B6 = "Production Item", RANDBETWEEN(1, 100), IF($B6 = "Service Item", RANDBETWEEN(1, 1000), RANDBETWEEN(1000, 10000))), 2)</t>
  </si>
  <si>
    <t>=ROUND(IF($B6 = "Production Item", POWER(RANDBETWEEN(0, 20), 2), IF($B6 = "Service Item", POWER(RANDBETWEEN(0, 5), 3), RANDBETWEEN(5, 100))), 2)</t>
  </si>
  <si>
    <t>Cumulative Consumption</t>
  </si>
  <si>
    <t>Calculated % of Items</t>
  </si>
  <si>
    <t>User Selected % of Items</t>
  </si>
  <si>
    <t>Calculated % of Consumption</t>
  </si>
  <si>
    <t>User Selected % of Consumption</t>
  </si>
  <si>
    <t>= Counting days per year</t>
  </si>
  <si>
    <t>times per year</t>
  </si>
  <si>
    <t>time per year</t>
  </si>
  <si>
    <t>ABC Classification of Items - Informational:</t>
  </si>
  <si>
    <t>https://en.wikipedia.org/wiki/ABC_analysis</t>
  </si>
  <si>
    <t>items counted</t>
  </si>
  <si>
    <t>Percent Rank</t>
  </si>
  <si>
    <r>
      <t xml:space="preserve">By item and consumption percentages - User input highlighted in </t>
    </r>
    <r>
      <rPr>
        <b/>
        <i/>
        <sz val="11"/>
        <color theme="1"/>
        <rFont val="Calibri"/>
        <family val="2"/>
        <scheme val="minor"/>
      </rPr>
      <t>YELLOW</t>
    </r>
  </si>
  <si>
    <t>Suggested Daily Counts</t>
  </si>
  <si>
    <t>Suggested Annual Counts</t>
  </si>
  <si>
    <t>2. User selects consumption distribution percentages then model suggests daily counts to cover auditing demands.</t>
  </si>
  <si>
    <t>1. User selects item distribution percentages then model suggests daily counts to cover auditing demands.</t>
  </si>
  <si>
    <t>Inventory Value of N Items</t>
  </si>
  <si>
    <t>Items (N)</t>
  </si>
  <si>
    <r>
      <rPr>
        <b/>
        <i/>
        <u/>
        <sz val="11"/>
        <color rgb="FFFF0000"/>
        <rFont val="Calibri"/>
        <family val="2"/>
        <scheme val="minor"/>
      </rPr>
      <t>NOTE</t>
    </r>
    <r>
      <rPr>
        <b/>
        <i/>
        <sz val="11"/>
        <color rgb="FFFF0000"/>
        <rFont val="Calibri"/>
        <family val="2"/>
        <scheme val="minor"/>
      </rPr>
      <t xml:space="preserve">: </t>
    </r>
    <r>
      <rPr>
        <i/>
        <sz val="11"/>
        <color rgb="FFFF0000"/>
        <rFont val="Calibri"/>
        <family val="2"/>
        <scheme val="minor"/>
      </rPr>
      <t>"Total Annual Cycle Count of Consumption/Inventory" are measures of the amount of consumption/inventory that are verified by cycle counting with the frequencies suggested by the model.</t>
    </r>
  </si>
  <si>
    <t>Cycle Counted Consumption</t>
  </si>
  <si>
    <t>Cycle Counted Inventory</t>
  </si>
  <si>
    <t xml:space="preserve"> </t>
  </si>
  <si>
    <t>Randomly generated fields - copied/repasted as values after being generated by formulas in cells L4, M4, and N4</t>
  </si>
  <si>
    <t>Infix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</si>
</sst>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_(&quot;$&quot;* #,##0_);_(&quot;$&quot;* \(#,##0\);_(&quot;$&quot;* &quot;-&quot;??_);_(@_)"/>
    <numFmt numFmtId="167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2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44" fontId="0" fillId="0" borderId="0" xfId="2" applyFont="1" applyAlignment="1">
      <alignment horizontal="left"/>
    </xf>
    <xf numFmtId="37" fontId="0" fillId="0" borderId="0" xfId="1" applyNumberFormat="1" applyFont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pivotButton="1"/>
    <xf numFmtId="164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166" fontId="0" fillId="0" borderId="0" xfId="0" applyNumberFormat="1"/>
    <xf numFmtId="44" fontId="1" fillId="3" borderId="2" xfId="2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7" fontId="0" fillId="0" borderId="3" xfId="1" applyNumberFormat="1" applyFont="1" applyBorder="1" applyAlignment="1">
      <alignment horizontal="left"/>
    </xf>
    <xf numFmtId="37" fontId="1" fillId="3" borderId="4" xfId="1" applyNumberFormat="1" applyFont="1" applyFill="1" applyBorder="1" applyAlignment="1">
      <alignment horizontal="left"/>
    </xf>
    <xf numFmtId="37" fontId="2" fillId="0" borderId="3" xfId="1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Alignment="1">
      <alignment horizontal="center"/>
    </xf>
    <xf numFmtId="166" fontId="0" fillId="0" borderId="0" xfId="2" applyNumberFormat="1" applyFont="1" applyAlignment="1">
      <alignment horizontal="left"/>
    </xf>
    <xf numFmtId="0" fontId="0" fillId="0" borderId="2" xfId="0" applyBorder="1" applyAlignment="1">
      <alignment horizontal="center"/>
    </xf>
    <xf numFmtId="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4" borderId="2" xfId="0" applyFont="1" applyFill="1" applyBorder="1" applyAlignment="1">
      <alignment horizontal="left"/>
    </xf>
    <xf numFmtId="5" fontId="0" fillId="0" borderId="0" xfId="2" applyNumberFormat="1" applyFont="1" applyAlignment="1">
      <alignment horizontal="left"/>
    </xf>
    <xf numFmtId="9" fontId="0" fillId="0" borderId="0" xfId="0" applyNumberFormat="1" applyAlignment="1">
      <alignment horizontal="center"/>
    </xf>
    <xf numFmtId="166" fontId="0" fillId="0" borderId="0" xfId="0" applyNumberFormat="1" applyAlignment="1">
      <alignment horizontal="left"/>
    </xf>
    <xf numFmtId="9" fontId="0" fillId="0" borderId="0" xfId="3" applyFont="1" applyFill="1" applyAlignment="1">
      <alignment horizontal="center"/>
    </xf>
    <xf numFmtId="1" fontId="0" fillId="0" borderId="0" xfId="2" applyNumberFormat="1" applyFont="1" applyAlignment="1">
      <alignment horizontal="left"/>
    </xf>
    <xf numFmtId="1" fontId="0" fillId="0" borderId="2" xfId="2" applyNumberFormat="1" applyFont="1" applyBorder="1" applyAlignment="1">
      <alignment horizontal="left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9" fontId="0" fillId="2" borderId="7" xfId="0" applyNumberFormat="1" applyFill="1" applyBorder="1" applyAlignment="1">
      <alignment horizontal="center"/>
    </xf>
    <xf numFmtId="9" fontId="0" fillId="2" borderId="8" xfId="0" applyNumberFormat="1" applyFill="1" applyBorder="1" applyAlignment="1">
      <alignment horizontal="center"/>
    </xf>
    <xf numFmtId="9" fontId="0" fillId="2" borderId="6" xfId="3" applyFont="1" applyFill="1" applyBorder="1" applyAlignment="1">
      <alignment horizontal="center"/>
    </xf>
    <xf numFmtId="9" fontId="0" fillId="2" borderId="7" xfId="3" applyFont="1" applyFill="1" applyBorder="1" applyAlignment="1">
      <alignment horizontal="center"/>
    </xf>
    <xf numFmtId="9" fontId="0" fillId="2" borderId="8" xfId="3" applyFont="1" applyFill="1" applyBorder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9" fontId="0" fillId="0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5" fillId="0" borderId="0" xfId="4" applyAlignment="1">
      <alignment horizontal="left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 wrapText="1"/>
    </xf>
    <xf numFmtId="1" fontId="1" fillId="0" borderId="2" xfId="2" applyNumberFormat="1" applyFont="1" applyBorder="1" applyAlignment="1">
      <alignment horizontal="center" wrapText="1"/>
    </xf>
    <xf numFmtId="1" fontId="0" fillId="0" borderId="0" xfId="2" applyNumberFormat="1" applyFont="1" applyAlignment="1">
      <alignment horizontal="center"/>
    </xf>
    <xf numFmtId="1" fontId="0" fillId="0" borderId="1" xfId="2" applyNumberFormat="1" applyFont="1" applyBorder="1" applyAlignment="1">
      <alignment horizontal="center"/>
    </xf>
    <xf numFmtId="1" fontId="1" fillId="0" borderId="0" xfId="2" applyNumberFormat="1" applyFont="1" applyAlignment="1">
      <alignment horizontal="center"/>
    </xf>
    <xf numFmtId="0" fontId="0" fillId="0" borderId="0" xfId="0" applyAlignment="1">
      <alignment horizontal="left" indent="1"/>
    </xf>
    <xf numFmtId="167" fontId="0" fillId="0" borderId="0" xfId="2" applyNumberFormat="1" applyFont="1" applyAlignment="1">
      <alignment horizontal="center"/>
    </xf>
    <xf numFmtId="167" fontId="0" fillId="0" borderId="2" xfId="2" applyNumberFormat="1" applyFont="1" applyBorder="1" applyAlignment="1">
      <alignment horizontal="center"/>
    </xf>
    <xf numFmtId="167" fontId="1" fillId="0" borderId="2" xfId="2" applyNumberFormat="1" applyFont="1" applyBorder="1" applyAlignment="1">
      <alignment horizontal="center" wrapText="1"/>
    </xf>
    <xf numFmtId="167" fontId="0" fillId="0" borderId="1" xfId="2" applyNumberFormat="1" applyFont="1" applyBorder="1" applyAlignment="1">
      <alignment horizontal="center"/>
    </xf>
    <xf numFmtId="167" fontId="1" fillId="0" borderId="0" xfId="2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1" xfId="0" applyNumberFormat="1" applyBorder="1" applyAlignment="1">
      <alignment horizontal="center"/>
    </xf>
    <xf numFmtId="9" fontId="0" fillId="0" borderId="0" xfId="3" applyFont="1" applyAlignment="1">
      <alignment horizontal="left"/>
    </xf>
    <xf numFmtId="9" fontId="1" fillId="4" borderId="2" xfId="3" applyFont="1" applyFill="1" applyBorder="1" applyAlignment="1">
      <alignment horizontal="left"/>
    </xf>
    <xf numFmtId="0" fontId="0" fillId="0" borderId="0" xfId="0" quotePrefix="1" applyAlignment="1">
      <alignment horizontal="center"/>
    </xf>
    <xf numFmtId="0" fontId="0" fillId="2" borderId="5" xfId="0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67" fontId="6" fillId="0" borderId="0" xfId="0" applyNumberFormat="1" applyFont="1" applyAlignment="1">
      <alignment horizontal="center"/>
    </xf>
    <xf numFmtId="0" fontId="7" fillId="0" borderId="0" xfId="0" applyFont="1" applyAlignment="1">
      <alignment horizontal="left"/>
    </xf>
    <xf numFmtId="167" fontId="1" fillId="0" borderId="0" xfId="0" applyNumberFormat="1" applyFont="1" applyAlignment="1">
      <alignment horizontal="center"/>
    </xf>
    <xf numFmtId="37" fontId="0" fillId="0" borderId="5" xfId="1" quotePrefix="1" applyNumberFormat="1" applyFont="1" applyBorder="1" applyAlignment="1">
      <alignment horizontal="left" indent="1"/>
    </xf>
    <xf numFmtId="44" fontId="0" fillId="0" borderId="5" xfId="2" quotePrefix="1" applyFont="1" applyBorder="1" applyAlignment="1">
      <alignment horizontal="left" indent="1"/>
    </xf>
    <xf numFmtId="0" fontId="0" fillId="0" borderId="5" xfId="0" quotePrefix="1" applyBorder="1" applyAlignment="1">
      <alignment horizontal="left" indent="1"/>
    </xf>
    <xf numFmtId="0" fontId="1" fillId="4" borderId="1" xfId="0" applyFont="1" applyFill="1" applyBorder="1" applyAlignment="1">
      <alignment horizontal="left"/>
    </xf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15"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&quot;$&quot;#,##0.0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&quot;$&quot;#,##0.0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&quot;$&quot;#,##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Cumulative Consumption Distribution by Item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Cumulative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'Item Master'!$R$6:$R$5005</c:f>
              <c:numCache>
                <c:formatCode>0%</c:formatCode>
                <c:ptCount val="5000"/>
                <c:pt idx="0">
                  <c:v>0.5474</c:v>
                </c:pt>
                <c:pt idx="1">
                  <c:v>0.43419999999999997</c:v>
                </c:pt>
                <c:pt idx="2">
                  <c:v>0.75760000000000005</c:v>
                </c:pt>
                <c:pt idx="3">
                  <c:v>0.41839999999999999</c:v>
                </c:pt>
                <c:pt idx="4">
                  <c:v>0.89319999999999999</c:v>
                </c:pt>
                <c:pt idx="5">
                  <c:v>0.1472</c:v>
                </c:pt>
                <c:pt idx="6">
                  <c:v>0.9466</c:v>
                </c:pt>
                <c:pt idx="7">
                  <c:v>0.13980000000000001</c:v>
                </c:pt>
                <c:pt idx="8">
                  <c:v>0.64680000000000004</c:v>
                </c:pt>
                <c:pt idx="9">
                  <c:v>0.88980000000000004</c:v>
                </c:pt>
                <c:pt idx="10">
                  <c:v>0.94920000000000004</c:v>
                </c:pt>
                <c:pt idx="11">
                  <c:v>0.8216</c:v>
                </c:pt>
                <c:pt idx="12">
                  <c:v>0.32319999999999999</c:v>
                </c:pt>
                <c:pt idx="13">
                  <c:v>0.61760000000000004</c:v>
                </c:pt>
                <c:pt idx="14">
                  <c:v>0.62619999999999998</c:v>
                </c:pt>
                <c:pt idx="15">
                  <c:v>0.29699999999999999</c:v>
                </c:pt>
                <c:pt idx="16">
                  <c:v>0.4612</c:v>
                </c:pt>
                <c:pt idx="17">
                  <c:v>0.18179999999999999</c:v>
                </c:pt>
                <c:pt idx="18">
                  <c:v>0.46800000000000003</c:v>
                </c:pt>
                <c:pt idx="19">
                  <c:v>0.69020000000000004</c:v>
                </c:pt>
                <c:pt idx="20">
                  <c:v>0.5</c:v>
                </c:pt>
                <c:pt idx="21">
                  <c:v>0.72060000000000002</c:v>
                </c:pt>
                <c:pt idx="22">
                  <c:v>0.50880000000000003</c:v>
                </c:pt>
                <c:pt idx="23">
                  <c:v>0.79039999999999999</c:v>
                </c:pt>
                <c:pt idx="24">
                  <c:v>0.28639999999999999</c:v>
                </c:pt>
                <c:pt idx="25">
                  <c:v>0.80779999999999996</c:v>
                </c:pt>
                <c:pt idx="26">
                  <c:v>0.77259999999999995</c:v>
                </c:pt>
                <c:pt idx="27">
                  <c:v>0.45760000000000001</c:v>
                </c:pt>
                <c:pt idx="28">
                  <c:v>0.69259999999999999</c:v>
                </c:pt>
                <c:pt idx="29">
                  <c:v>0.2354</c:v>
                </c:pt>
                <c:pt idx="30">
                  <c:v>0.30459999999999998</c:v>
                </c:pt>
                <c:pt idx="31">
                  <c:v>0.42059999999999997</c:v>
                </c:pt>
                <c:pt idx="32">
                  <c:v>0.93159999999999998</c:v>
                </c:pt>
                <c:pt idx="33">
                  <c:v>0.11700000000000001</c:v>
                </c:pt>
                <c:pt idx="34">
                  <c:v>0.60599999999999998</c:v>
                </c:pt>
                <c:pt idx="35">
                  <c:v>0.47160000000000002</c:v>
                </c:pt>
                <c:pt idx="36">
                  <c:v>0.4824</c:v>
                </c:pt>
                <c:pt idx="37">
                  <c:v>0.45400000000000001</c:v>
                </c:pt>
                <c:pt idx="38">
                  <c:v>0.71740000000000004</c:v>
                </c:pt>
                <c:pt idx="39">
                  <c:v>0.58499999999999996</c:v>
                </c:pt>
                <c:pt idx="40">
                  <c:v>0.53080000000000005</c:v>
                </c:pt>
                <c:pt idx="41">
                  <c:v>0.52259999999999995</c:v>
                </c:pt>
                <c:pt idx="42">
                  <c:v>0.218</c:v>
                </c:pt>
                <c:pt idx="43">
                  <c:v>0.2258</c:v>
                </c:pt>
                <c:pt idx="44">
                  <c:v>0.4118</c:v>
                </c:pt>
                <c:pt idx="45">
                  <c:v>0.6552</c:v>
                </c:pt>
                <c:pt idx="46">
                  <c:v>0.78720000000000001</c:v>
                </c:pt>
                <c:pt idx="47">
                  <c:v>0.49</c:v>
                </c:pt>
                <c:pt idx="48">
                  <c:v>0.52100000000000002</c:v>
                </c:pt>
                <c:pt idx="49">
                  <c:v>0.19339999999999999</c:v>
                </c:pt>
                <c:pt idx="50">
                  <c:v>0.4148</c:v>
                </c:pt>
                <c:pt idx="51">
                  <c:v>0.77400000000000002</c:v>
                </c:pt>
                <c:pt idx="52">
                  <c:v>0.1792</c:v>
                </c:pt>
                <c:pt idx="53">
                  <c:v>0.34300000000000003</c:v>
                </c:pt>
                <c:pt idx="54">
                  <c:v>0.69399999999999995</c:v>
                </c:pt>
                <c:pt idx="55">
                  <c:v>0.28860000000000002</c:v>
                </c:pt>
                <c:pt idx="56">
                  <c:v>0.67120000000000002</c:v>
                </c:pt>
                <c:pt idx="57">
                  <c:v>0.28339999999999999</c:v>
                </c:pt>
                <c:pt idx="58">
                  <c:v>0.93159999999999998</c:v>
                </c:pt>
                <c:pt idx="59">
                  <c:v>0.12620000000000001</c:v>
                </c:pt>
                <c:pt idx="60">
                  <c:v>0.70020000000000004</c:v>
                </c:pt>
                <c:pt idx="61">
                  <c:v>0.61980000000000002</c:v>
                </c:pt>
                <c:pt idx="62">
                  <c:v>0.62360000000000004</c:v>
                </c:pt>
                <c:pt idx="63">
                  <c:v>0.59240000000000004</c:v>
                </c:pt>
                <c:pt idx="64">
                  <c:v>0.57440000000000002</c:v>
                </c:pt>
                <c:pt idx="65">
                  <c:v>0.83599999999999997</c:v>
                </c:pt>
                <c:pt idx="66">
                  <c:v>0.91359999999999997</c:v>
                </c:pt>
                <c:pt idx="67">
                  <c:v>0.93540000000000001</c:v>
                </c:pt>
                <c:pt idx="68">
                  <c:v>0.36959999999999998</c:v>
                </c:pt>
                <c:pt idx="69">
                  <c:v>0.48060000000000003</c:v>
                </c:pt>
                <c:pt idx="70">
                  <c:v>0.89419999999999999</c:v>
                </c:pt>
                <c:pt idx="71">
                  <c:v>0.1532</c:v>
                </c:pt>
                <c:pt idx="72">
                  <c:v>0.27500000000000002</c:v>
                </c:pt>
                <c:pt idx="73">
                  <c:v>0.8216</c:v>
                </c:pt>
                <c:pt idx="74">
                  <c:v>0.54200000000000004</c:v>
                </c:pt>
                <c:pt idx="75">
                  <c:v>0.17879999999999999</c:v>
                </c:pt>
                <c:pt idx="76">
                  <c:v>0.66200000000000003</c:v>
                </c:pt>
                <c:pt idx="77">
                  <c:v>0.29299999999999998</c:v>
                </c:pt>
                <c:pt idx="78">
                  <c:v>0.80700000000000005</c:v>
                </c:pt>
                <c:pt idx="79">
                  <c:v>0.6946</c:v>
                </c:pt>
                <c:pt idx="80">
                  <c:v>0.36659999999999998</c:v>
                </c:pt>
                <c:pt idx="81">
                  <c:v>0.78059999999999996</c:v>
                </c:pt>
                <c:pt idx="82">
                  <c:v>0.9486</c:v>
                </c:pt>
                <c:pt idx="83">
                  <c:v>0.51300000000000001</c:v>
                </c:pt>
                <c:pt idx="84">
                  <c:v>0.876</c:v>
                </c:pt>
                <c:pt idx="85">
                  <c:v>0.2036</c:v>
                </c:pt>
                <c:pt idx="86">
                  <c:v>0.45279999999999998</c:v>
                </c:pt>
                <c:pt idx="87">
                  <c:v>0.37580000000000002</c:v>
                </c:pt>
                <c:pt idx="88">
                  <c:v>0.2006</c:v>
                </c:pt>
                <c:pt idx="89">
                  <c:v>0.35780000000000001</c:v>
                </c:pt>
                <c:pt idx="90">
                  <c:v>0.1588</c:v>
                </c:pt>
                <c:pt idx="91">
                  <c:v>0.46500000000000002</c:v>
                </c:pt>
                <c:pt idx="92">
                  <c:v>0.54139999999999999</c:v>
                </c:pt>
                <c:pt idx="93">
                  <c:v>0.92779999999999996</c:v>
                </c:pt>
                <c:pt idx="94">
                  <c:v>0.5474</c:v>
                </c:pt>
                <c:pt idx="95">
                  <c:v>0.71860000000000002</c:v>
                </c:pt>
                <c:pt idx="96">
                  <c:v>0.39900000000000002</c:v>
                </c:pt>
                <c:pt idx="97">
                  <c:v>0.32679999999999998</c:v>
                </c:pt>
                <c:pt idx="98">
                  <c:v>0.49</c:v>
                </c:pt>
                <c:pt idx="99">
                  <c:v>0.69540000000000002</c:v>
                </c:pt>
                <c:pt idx="100">
                  <c:v>0.5806</c:v>
                </c:pt>
                <c:pt idx="101">
                  <c:v>0.214</c:v>
                </c:pt>
                <c:pt idx="102">
                  <c:v>0.66500000000000004</c:v>
                </c:pt>
                <c:pt idx="103">
                  <c:v>0.94099999999999995</c:v>
                </c:pt>
                <c:pt idx="104">
                  <c:v>0.28339999999999999</c:v>
                </c:pt>
                <c:pt idx="105">
                  <c:v>0.30980000000000002</c:v>
                </c:pt>
                <c:pt idx="106">
                  <c:v>0.88160000000000005</c:v>
                </c:pt>
                <c:pt idx="107">
                  <c:v>0.94920000000000004</c:v>
                </c:pt>
                <c:pt idx="108">
                  <c:v>0.30580000000000002</c:v>
                </c:pt>
                <c:pt idx="109">
                  <c:v>0.67679999999999996</c:v>
                </c:pt>
                <c:pt idx="110">
                  <c:v>0.94920000000000004</c:v>
                </c:pt>
                <c:pt idx="111">
                  <c:v>0.69720000000000004</c:v>
                </c:pt>
                <c:pt idx="112">
                  <c:v>0.20860000000000001</c:v>
                </c:pt>
                <c:pt idx="113">
                  <c:v>0.51300000000000001</c:v>
                </c:pt>
                <c:pt idx="114">
                  <c:v>0.67200000000000004</c:v>
                </c:pt>
                <c:pt idx="115">
                  <c:v>0.40179999999999999</c:v>
                </c:pt>
                <c:pt idx="116">
                  <c:v>0.32140000000000002</c:v>
                </c:pt>
                <c:pt idx="117">
                  <c:v>0.82740000000000002</c:v>
                </c:pt>
                <c:pt idx="118">
                  <c:v>0.7238</c:v>
                </c:pt>
                <c:pt idx="119">
                  <c:v>0.61880000000000002</c:v>
                </c:pt>
                <c:pt idx="120">
                  <c:v>0.46920000000000001</c:v>
                </c:pt>
                <c:pt idx="121">
                  <c:v>0.8216</c:v>
                </c:pt>
                <c:pt idx="122">
                  <c:v>0.1308</c:v>
                </c:pt>
                <c:pt idx="123">
                  <c:v>0.41639999999999999</c:v>
                </c:pt>
                <c:pt idx="124">
                  <c:v>0.81699999999999995</c:v>
                </c:pt>
                <c:pt idx="125">
                  <c:v>0.92900000000000005</c:v>
                </c:pt>
                <c:pt idx="126">
                  <c:v>0.7268</c:v>
                </c:pt>
                <c:pt idx="127">
                  <c:v>0.2722</c:v>
                </c:pt>
                <c:pt idx="128">
                  <c:v>0.60799999999999998</c:v>
                </c:pt>
                <c:pt idx="129">
                  <c:v>0.58760000000000001</c:v>
                </c:pt>
                <c:pt idx="130">
                  <c:v>0.92420000000000002</c:v>
                </c:pt>
                <c:pt idx="131">
                  <c:v>0.1132</c:v>
                </c:pt>
                <c:pt idx="132">
                  <c:v>0.39079999999999998</c:v>
                </c:pt>
                <c:pt idx="133">
                  <c:v>0.39800000000000002</c:v>
                </c:pt>
                <c:pt idx="134">
                  <c:v>0.87660000000000005</c:v>
                </c:pt>
                <c:pt idx="135">
                  <c:v>0.37919999999999998</c:v>
                </c:pt>
                <c:pt idx="136">
                  <c:v>0.2162</c:v>
                </c:pt>
                <c:pt idx="137">
                  <c:v>0.47939999999999999</c:v>
                </c:pt>
                <c:pt idx="138">
                  <c:v>0.34899999999999998</c:v>
                </c:pt>
                <c:pt idx="139">
                  <c:v>0.224</c:v>
                </c:pt>
                <c:pt idx="140">
                  <c:v>0.60040000000000004</c:v>
                </c:pt>
                <c:pt idx="141">
                  <c:v>0.22140000000000001</c:v>
                </c:pt>
                <c:pt idx="142">
                  <c:v>0.82740000000000002</c:v>
                </c:pt>
                <c:pt idx="143">
                  <c:v>0.64339999999999997</c:v>
                </c:pt>
                <c:pt idx="144">
                  <c:v>0.46300000000000002</c:v>
                </c:pt>
                <c:pt idx="145">
                  <c:v>0.55220000000000002</c:v>
                </c:pt>
                <c:pt idx="146">
                  <c:v>0.94920000000000004</c:v>
                </c:pt>
                <c:pt idx="147">
                  <c:v>0.3196</c:v>
                </c:pt>
                <c:pt idx="148">
                  <c:v>0.60880000000000001</c:v>
                </c:pt>
                <c:pt idx="149">
                  <c:v>0.88360000000000005</c:v>
                </c:pt>
                <c:pt idx="150">
                  <c:v>0.4214</c:v>
                </c:pt>
                <c:pt idx="151">
                  <c:v>0.30359999999999998</c:v>
                </c:pt>
                <c:pt idx="152">
                  <c:v>0.68879999999999997</c:v>
                </c:pt>
                <c:pt idx="153">
                  <c:v>0.79139999999999999</c:v>
                </c:pt>
                <c:pt idx="154">
                  <c:v>0.64019999999999999</c:v>
                </c:pt>
                <c:pt idx="155">
                  <c:v>0.78539999999999999</c:v>
                </c:pt>
                <c:pt idx="156">
                  <c:v>0.26540000000000002</c:v>
                </c:pt>
                <c:pt idx="157">
                  <c:v>0.71379999999999999</c:v>
                </c:pt>
                <c:pt idx="158">
                  <c:v>0.34899999999999998</c:v>
                </c:pt>
                <c:pt idx="159">
                  <c:v>0.1336</c:v>
                </c:pt>
                <c:pt idx="160">
                  <c:v>0.52100000000000002</c:v>
                </c:pt>
                <c:pt idx="161">
                  <c:v>0.35759999999999997</c:v>
                </c:pt>
                <c:pt idx="162">
                  <c:v>0.73899999999999999</c:v>
                </c:pt>
                <c:pt idx="163">
                  <c:v>0.9274</c:v>
                </c:pt>
                <c:pt idx="164">
                  <c:v>0.8518</c:v>
                </c:pt>
                <c:pt idx="165">
                  <c:v>0.48799999999999999</c:v>
                </c:pt>
                <c:pt idx="166">
                  <c:v>0.90659999999999996</c:v>
                </c:pt>
                <c:pt idx="167">
                  <c:v>0.28160000000000002</c:v>
                </c:pt>
                <c:pt idx="168">
                  <c:v>0.76200000000000001</c:v>
                </c:pt>
                <c:pt idx="169">
                  <c:v>0.94920000000000004</c:v>
                </c:pt>
                <c:pt idx="170">
                  <c:v>0.17480000000000001</c:v>
                </c:pt>
                <c:pt idx="171">
                  <c:v>0.76639999999999997</c:v>
                </c:pt>
                <c:pt idx="172">
                  <c:v>0.73</c:v>
                </c:pt>
                <c:pt idx="173">
                  <c:v>0.28339999999999999</c:v>
                </c:pt>
                <c:pt idx="174">
                  <c:v>0.76</c:v>
                </c:pt>
                <c:pt idx="175">
                  <c:v>0.45100000000000001</c:v>
                </c:pt>
                <c:pt idx="176">
                  <c:v>0.83599999999999997</c:v>
                </c:pt>
                <c:pt idx="177">
                  <c:v>0.61519999999999997</c:v>
                </c:pt>
                <c:pt idx="178">
                  <c:v>0.20860000000000001</c:v>
                </c:pt>
                <c:pt idx="179">
                  <c:v>0.94920000000000004</c:v>
                </c:pt>
                <c:pt idx="180">
                  <c:v>0.11899999999999999</c:v>
                </c:pt>
                <c:pt idx="181">
                  <c:v>0.90280000000000005</c:v>
                </c:pt>
                <c:pt idx="182">
                  <c:v>0.19939999999999999</c:v>
                </c:pt>
                <c:pt idx="183">
                  <c:v>0.23400000000000001</c:v>
                </c:pt>
                <c:pt idx="184">
                  <c:v>0.94579999999999997</c:v>
                </c:pt>
                <c:pt idx="185">
                  <c:v>0.5504</c:v>
                </c:pt>
                <c:pt idx="186">
                  <c:v>0.18459999999999999</c:v>
                </c:pt>
                <c:pt idx="187">
                  <c:v>0.91059999999999997</c:v>
                </c:pt>
                <c:pt idx="188">
                  <c:v>0.35420000000000001</c:v>
                </c:pt>
                <c:pt idx="189">
                  <c:v>0.52039999999999997</c:v>
                </c:pt>
                <c:pt idx="190">
                  <c:v>0.51400000000000001</c:v>
                </c:pt>
                <c:pt idx="191">
                  <c:v>0.81079999999999997</c:v>
                </c:pt>
                <c:pt idx="192">
                  <c:v>0.91920000000000002</c:v>
                </c:pt>
                <c:pt idx="193">
                  <c:v>0.873</c:v>
                </c:pt>
                <c:pt idx="194">
                  <c:v>0.94920000000000004</c:v>
                </c:pt>
                <c:pt idx="195">
                  <c:v>0.8468</c:v>
                </c:pt>
                <c:pt idx="196">
                  <c:v>0.55120000000000002</c:v>
                </c:pt>
                <c:pt idx="197">
                  <c:v>0.58879999999999999</c:v>
                </c:pt>
                <c:pt idx="198">
                  <c:v>0.1704</c:v>
                </c:pt>
                <c:pt idx="199">
                  <c:v>0.38740000000000002</c:v>
                </c:pt>
                <c:pt idx="200">
                  <c:v>0.31319999999999998</c:v>
                </c:pt>
                <c:pt idx="201">
                  <c:v>0.26840000000000003</c:v>
                </c:pt>
                <c:pt idx="202">
                  <c:v>0.85840000000000005</c:v>
                </c:pt>
                <c:pt idx="203">
                  <c:v>0.75139999999999996</c:v>
                </c:pt>
                <c:pt idx="204">
                  <c:v>0.94920000000000004</c:v>
                </c:pt>
                <c:pt idx="205">
                  <c:v>0.1464</c:v>
                </c:pt>
                <c:pt idx="206">
                  <c:v>0.59360000000000002</c:v>
                </c:pt>
                <c:pt idx="207">
                  <c:v>0.1704</c:v>
                </c:pt>
                <c:pt idx="208">
                  <c:v>0.93159999999999998</c:v>
                </c:pt>
                <c:pt idx="209">
                  <c:v>0.4854</c:v>
                </c:pt>
                <c:pt idx="210">
                  <c:v>0.8952</c:v>
                </c:pt>
                <c:pt idx="211">
                  <c:v>0.78600000000000003</c:v>
                </c:pt>
                <c:pt idx="212">
                  <c:v>0.47720000000000001</c:v>
                </c:pt>
                <c:pt idx="213">
                  <c:v>0.73699999999999999</c:v>
                </c:pt>
                <c:pt idx="214">
                  <c:v>0.82</c:v>
                </c:pt>
                <c:pt idx="215">
                  <c:v>0.35160000000000002</c:v>
                </c:pt>
                <c:pt idx="216">
                  <c:v>0.41639999999999999</c:v>
                </c:pt>
                <c:pt idx="217">
                  <c:v>0.75019999999999998</c:v>
                </c:pt>
                <c:pt idx="218">
                  <c:v>0.36620000000000003</c:v>
                </c:pt>
                <c:pt idx="219">
                  <c:v>0.40839999999999999</c:v>
                </c:pt>
                <c:pt idx="220">
                  <c:v>0.2162</c:v>
                </c:pt>
                <c:pt idx="221">
                  <c:v>0.32140000000000002</c:v>
                </c:pt>
                <c:pt idx="222">
                  <c:v>0.24279999999999999</c:v>
                </c:pt>
                <c:pt idx="223">
                  <c:v>0.85619999999999996</c:v>
                </c:pt>
                <c:pt idx="224">
                  <c:v>0.94920000000000004</c:v>
                </c:pt>
                <c:pt idx="225">
                  <c:v>0.2364</c:v>
                </c:pt>
                <c:pt idx="226">
                  <c:v>0.50219999999999998</c:v>
                </c:pt>
                <c:pt idx="227">
                  <c:v>0.12720000000000001</c:v>
                </c:pt>
                <c:pt idx="228">
                  <c:v>0.35420000000000001</c:v>
                </c:pt>
                <c:pt idx="229">
                  <c:v>0.55059999999999998</c:v>
                </c:pt>
                <c:pt idx="230">
                  <c:v>0.48799999999999999</c:v>
                </c:pt>
                <c:pt idx="231">
                  <c:v>0.94920000000000004</c:v>
                </c:pt>
                <c:pt idx="232">
                  <c:v>0.7802</c:v>
                </c:pt>
                <c:pt idx="233">
                  <c:v>0.16539999999999999</c:v>
                </c:pt>
                <c:pt idx="234">
                  <c:v>0.65300000000000002</c:v>
                </c:pt>
                <c:pt idx="235">
                  <c:v>0.51639999999999997</c:v>
                </c:pt>
                <c:pt idx="236">
                  <c:v>0.5</c:v>
                </c:pt>
                <c:pt idx="237">
                  <c:v>0.222</c:v>
                </c:pt>
                <c:pt idx="238">
                  <c:v>0.24640000000000001</c:v>
                </c:pt>
                <c:pt idx="239">
                  <c:v>0.72819999999999996</c:v>
                </c:pt>
                <c:pt idx="240">
                  <c:v>0.63880000000000003</c:v>
                </c:pt>
                <c:pt idx="241">
                  <c:v>0.91059999999999997</c:v>
                </c:pt>
                <c:pt idx="242">
                  <c:v>0.3634</c:v>
                </c:pt>
                <c:pt idx="243">
                  <c:v>0.70340000000000003</c:v>
                </c:pt>
                <c:pt idx="244">
                  <c:v>0.39479999999999998</c:v>
                </c:pt>
                <c:pt idx="245">
                  <c:v>0.94920000000000004</c:v>
                </c:pt>
                <c:pt idx="246">
                  <c:v>0.73340000000000005</c:v>
                </c:pt>
                <c:pt idx="247">
                  <c:v>0.69879999999999998</c:v>
                </c:pt>
                <c:pt idx="248">
                  <c:v>0.14979999999999999</c:v>
                </c:pt>
                <c:pt idx="249">
                  <c:v>0.35680000000000001</c:v>
                </c:pt>
                <c:pt idx="250">
                  <c:v>0.70340000000000003</c:v>
                </c:pt>
                <c:pt idx="251">
                  <c:v>0.94920000000000004</c:v>
                </c:pt>
                <c:pt idx="252">
                  <c:v>0.81799999999999995</c:v>
                </c:pt>
                <c:pt idx="253">
                  <c:v>0.70179999999999998</c:v>
                </c:pt>
                <c:pt idx="254">
                  <c:v>0.51300000000000001</c:v>
                </c:pt>
                <c:pt idx="255">
                  <c:v>0.15959999999999999</c:v>
                </c:pt>
                <c:pt idx="256">
                  <c:v>0.47560000000000002</c:v>
                </c:pt>
                <c:pt idx="257">
                  <c:v>0.94920000000000004</c:v>
                </c:pt>
                <c:pt idx="258">
                  <c:v>0.52259999999999995</c:v>
                </c:pt>
                <c:pt idx="259">
                  <c:v>0.6482</c:v>
                </c:pt>
                <c:pt idx="260">
                  <c:v>0.4924</c:v>
                </c:pt>
                <c:pt idx="261">
                  <c:v>0.14580000000000001</c:v>
                </c:pt>
                <c:pt idx="262">
                  <c:v>0.25580000000000003</c:v>
                </c:pt>
                <c:pt idx="263">
                  <c:v>0.34320000000000001</c:v>
                </c:pt>
                <c:pt idx="264">
                  <c:v>0.12479999999999999</c:v>
                </c:pt>
                <c:pt idx="265">
                  <c:v>0.94920000000000004</c:v>
                </c:pt>
                <c:pt idx="266">
                  <c:v>0.1988</c:v>
                </c:pt>
                <c:pt idx="267">
                  <c:v>0.2918</c:v>
                </c:pt>
                <c:pt idx="268">
                  <c:v>0.4612</c:v>
                </c:pt>
                <c:pt idx="269">
                  <c:v>0.65480000000000005</c:v>
                </c:pt>
                <c:pt idx="270">
                  <c:v>0.15959999999999999</c:v>
                </c:pt>
                <c:pt idx="271">
                  <c:v>0.59079999999999999</c:v>
                </c:pt>
                <c:pt idx="272">
                  <c:v>0.36520000000000002</c:v>
                </c:pt>
                <c:pt idx="273">
                  <c:v>0.25159999999999999</c:v>
                </c:pt>
                <c:pt idx="274">
                  <c:v>0.19220000000000001</c:v>
                </c:pt>
                <c:pt idx="275">
                  <c:v>0.88360000000000005</c:v>
                </c:pt>
                <c:pt idx="276">
                  <c:v>0.83179999999999998</c:v>
                </c:pt>
                <c:pt idx="277">
                  <c:v>0.49880000000000002</c:v>
                </c:pt>
                <c:pt idx="278">
                  <c:v>0.29360000000000003</c:v>
                </c:pt>
                <c:pt idx="279">
                  <c:v>0.63619999999999999</c:v>
                </c:pt>
                <c:pt idx="280">
                  <c:v>0.38400000000000001</c:v>
                </c:pt>
                <c:pt idx="281">
                  <c:v>0.52259999999999995</c:v>
                </c:pt>
                <c:pt idx="282">
                  <c:v>0.3372</c:v>
                </c:pt>
                <c:pt idx="283">
                  <c:v>0.40379999999999999</c:v>
                </c:pt>
                <c:pt idx="284">
                  <c:v>0.94920000000000004</c:v>
                </c:pt>
                <c:pt idx="285">
                  <c:v>0.40379999999999999</c:v>
                </c:pt>
                <c:pt idx="286">
                  <c:v>0.78939999999999999</c:v>
                </c:pt>
                <c:pt idx="287">
                  <c:v>0.47420000000000001</c:v>
                </c:pt>
                <c:pt idx="288">
                  <c:v>0.38119999999999998</c:v>
                </c:pt>
                <c:pt idx="289">
                  <c:v>0.61799999999999999</c:v>
                </c:pt>
                <c:pt idx="290">
                  <c:v>0.1726</c:v>
                </c:pt>
                <c:pt idx="291">
                  <c:v>0.46439999999999998</c:v>
                </c:pt>
                <c:pt idx="292">
                  <c:v>0.6482</c:v>
                </c:pt>
                <c:pt idx="293">
                  <c:v>0.3196</c:v>
                </c:pt>
                <c:pt idx="294">
                  <c:v>0.71579999999999999</c:v>
                </c:pt>
                <c:pt idx="295">
                  <c:v>0.35899999999999999</c:v>
                </c:pt>
                <c:pt idx="296">
                  <c:v>0.65480000000000005</c:v>
                </c:pt>
                <c:pt idx="297">
                  <c:v>0.2666</c:v>
                </c:pt>
                <c:pt idx="298">
                  <c:v>0.86439999999999995</c:v>
                </c:pt>
                <c:pt idx="299">
                  <c:v>0.63780000000000003</c:v>
                </c:pt>
                <c:pt idx="300">
                  <c:v>0.60880000000000001</c:v>
                </c:pt>
                <c:pt idx="301">
                  <c:v>0.5756</c:v>
                </c:pt>
                <c:pt idx="302">
                  <c:v>0.46300000000000002</c:v>
                </c:pt>
                <c:pt idx="303">
                  <c:v>0.38159999999999999</c:v>
                </c:pt>
                <c:pt idx="304">
                  <c:v>0.54579999999999995</c:v>
                </c:pt>
                <c:pt idx="305">
                  <c:v>0.26840000000000003</c:v>
                </c:pt>
                <c:pt idx="306">
                  <c:v>0.62360000000000004</c:v>
                </c:pt>
                <c:pt idx="307">
                  <c:v>0.77400000000000002</c:v>
                </c:pt>
                <c:pt idx="308">
                  <c:v>0.1552</c:v>
                </c:pt>
                <c:pt idx="309">
                  <c:v>0.45979999999999999</c:v>
                </c:pt>
                <c:pt idx="310">
                  <c:v>0.81079999999999997</c:v>
                </c:pt>
                <c:pt idx="311">
                  <c:v>0.78559999999999997</c:v>
                </c:pt>
                <c:pt idx="312">
                  <c:v>0.72660000000000002</c:v>
                </c:pt>
                <c:pt idx="313">
                  <c:v>0.26900000000000002</c:v>
                </c:pt>
                <c:pt idx="314">
                  <c:v>0.30099999999999999</c:v>
                </c:pt>
                <c:pt idx="315">
                  <c:v>0.30199999999999999</c:v>
                </c:pt>
                <c:pt idx="316">
                  <c:v>0.6744</c:v>
                </c:pt>
                <c:pt idx="317">
                  <c:v>0.86439999999999995</c:v>
                </c:pt>
                <c:pt idx="318">
                  <c:v>0.25240000000000001</c:v>
                </c:pt>
                <c:pt idx="319">
                  <c:v>0.57379999999999998</c:v>
                </c:pt>
                <c:pt idx="320">
                  <c:v>0.25359999999999999</c:v>
                </c:pt>
                <c:pt idx="321">
                  <c:v>0.16200000000000001</c:v>
                </c:pt>
                <c:pt idx="322">
                  <c:v>0.6744</c:v>
                </c:pt>
                <c:pt idx="323">
                  <c:v>0.75600000000000001</c:v>
                </c:pt>
                <c:pt idx="324">
                  <c:v>0.17219999999999999</c:v>
                </c:pt>
                <c:pt idx="325">
                  <c:v>0.54139999999999999</c:v>
                </c:pt>
                <c:pt idx="326">
                  <c:v>0.70199999999999996</c:v>
                </c:pt>
                <c:pt idx="327">
                  <c:v>0.25080000000000002</c:v>
                </c:pt>
                <c:pt idx="328">
                  <c:v>0.21099999999999999</c:v>
                </c:pt>
                <c:pt idx="329">
                  <c:v>0.24</c:v>
                </c:pt>
                <c:pt idx="330">
                  <c:v>0.42880000000000001</c:v>
                </c:pt>
                <c:pt idx="331">
                  <c:v>0.41220000000000001</c:v>
                </c:pt>
                <c:pt idx="332">
                  <c:v>0.91059999999999997</c:v>
                </c:pt>
                <c:pt idx="333">
                  <c:v>0.46200000000000002</c:v>
                </c:pt>
                <c:pt idx="334">
                  <c:v>0.46600000000000003</c:v>
                </c:pt>
                <c:pt idx="335">
                  <c:v>0.91059999999999997</c:v>
                </c:pt>
                <c:pt idx="336">
                  <c:v>0.66659999999999997</c:v>
                </c:pt>
                <c:pt idx="337">
                  <c:v>0.68020000000000003</c:v>
                </c:pt>
                <c:pt idx="338">
                  <c:v>0.84299999999999997</c:v>
                </c:pt>
                <c:pt idx="339">
                  <c:v>0.31440000000000001</c:v>
                </c:pt>
                <c:pt idx="340">
                  <c:v>0.4496</c:v>
                </c:pt>
                <c:pt idx="341">
                  <c:v>0.79139999999999999</c:v>
                </c:pt>
                <c:pt idx="342">
                  <c:v>0.82</c:v>
                </c:pt>
                <c:pt idx="343">
                  <c:v>0.69540000000000002</c:v>
                </c:pt>
                <c:pt idx="344">
                  <c:v>0.62360000000000004</c:v>
                </c:pt>
                <c:pt idx="345">
                  <c:v>0.43319999999999997</c:v>
                </c:pt>
                <c:pt idx="346">
                  <c:v>0.57799999999999996</c:v>
                </c:pt>
                <c:pt idx="347">
                  <c:v>0.94920000000000004</c:v>
                </c:pt>
                <c:pt idx="348">
                  <c:v>0.83840000000000003</c:v>
                </c:pt>
                <c:pt idx="349">
                  <c:v>0.16439999999999999</c:v>
                </c:pt>
                <c:pt idx="350">
                  <c:v>0.94920000000000004</c:v>
                </c:pt>
                <c:pt idx="351">
                  <c:v>0.94920000000000004</c:v>
                </c:pt>
                <c:pt idx="352">
                  <c:v>0.94920000000000004</c:v>
                </c:pt>
                <c:pt idx="353">
                  <c:v>0.26600000000000001</c:v>
                </c:pt>
                <c:pt idx="354">
                  <c:v>0.82599999999999996</c:v>
                </c:pt>
                <c:pt idx="355">
                  <c:v>0.25819999999999999</c:v>
                </c:pt>
                <c:pt idx="356">
                  <c:v>0.33360000000000001</c:v>
                </c:pt>
                <c:pt idx="357">
                  <c:v>0.68300000000000005</c:v>
                </c:pt>
                <c:pt idx="358">
                  <c:v>0.58879999999999999</c:v>
                </c:pt>
                <c:pt idx="359">
                  <c:v>0.66500000000000004</c:v>
                </c:pt>
                <c:pt idx="360">
                  <c:v>0.1792</c:v>
                </c:pt>
                <c:pt idx="361">
                  <c:v>0.51519999999999999</c:v>
                </c:pt>
                <c:pt idx="362">
                  <c:v>0.68879999999999997</c:v>
                </c:pt>
                <c:pt idx="363">
                  <c:v>0.94920000000000004</c:v>
                </c:pt>
                <c:pt idx="364">
                  <c:v>0.57699999999999996</c:v>
                </c:pt>
                <c:pt idx="365">
                  <c:v>0.63360000000000005</c:v>
                </c:pt>
                <c:pt idx="366">
                  <c:v>0.72060000000000002</c:v>
                </c:pt>
                <c:pt idx="367">
                  <c:v>0.54139999999999999</c:v>
                </c:pt>
                <c:pt idx="368">
                  <c:v>0.19939999999999999</c:v>
                </c:pt>
                <c:pt idx="369">
                  <c:v>0.59660000000000002</c:v>
                </c:pt>
                <c:pt idx="370">
                  <c:v>0.2268</c:v>
                </c:pt>
                <c:pt idx="371">
                  <c:v>0.63500000000000001</c:v>
                </c:pt>
                <c:pt idx="372">
                  <c:v>0.73460000000000003</c:v>
                </c:pt>
                <c:pt idx="373">
                  <c:v>0.76439999999999997</c:v>
                </c:pt>
                <c:pt idx="374">
                  <c:v>0.81240000000000001</c:v>
                </c:pt>
                <c:pt idx="375">
                  <c:v>0.85540000000000005</c:v>
                </c:pt>
                <c:pt idx="376">
                  <c:v>0.39639999999999997</c:v>
                </c:pt>
                <c:pt idx="377">
                  <c:v>0.56779999999999997</c:v>
                </c:pt>
                <c:pt idx="378">
                  <c:v>0.69259999999999999</c:v>
                </c:pt>
                <c:pt idx="379">
                  <c:v>0.19220000000000001</c:v>
                </c:pt>
                <c:pt idx="380">
                  <c:v>0.20860000000000001</c:v>
                </c:pt>
                <c:pt idx="381">
                  <c:v>0.45639999999999997</c:v>
                </c:pt>
                <c:pt idx="382">
                  <c:v>0.18659999999999999</c:v>
                </c:pt>
                <c:pt idx="383">
                  <c:v>0.43480000000000002</c:v>
                </c:pt>
                <c:pt idx="384">
                  <c:v>0.60119999999999996</c:v>
                </c:pt>
                <c:pt idx="385">
                  <c:v>0.94920000000000004</c:v>
                </c:pt>
                <c:pt idx="386">
                  <c:v>0.88300000000000001</c:v>
                </c:pt>
                <c:pt idx="387">
                  <c:v>0.4728</c:v>
                </c:pt>
                <c:pt idx="388">
                  <c:v>0.94920000000000004</c:v>
                </c:pt>
                <c:pt idx="389">
                  <c:v>0.34060000000000001</c:v>
                </c:pt>
                <c:pt idx="390">
                  <c:v>0.51100000000000001</c:v>
                </c:pt>
                <c:pt idx="391">
                  <c:v>0.69879999999999998</c:v>
                </c:pt>
                <c:pt idx="392">
                  <c:v>0.70860000000000001</c:v>
                </c:pt>
                <c:pt idx="393">
                  <c:v>0.53580000000000005</c:v>
                </c:pt>
                <c:pt idx="394">
                  <c:v>0.61060000000000003</c:v>
                </c:pt>
                <c:pt idx="395">
                  <c:v>0.251</c:v>
                </c:pt>
                <c:pt idx="396">
                  <c:v>0.86040000000000005</c:v>
                </c:pt>
                <c:pt idx="397">
                  <c:v>0.26840000000000003</c:v>
                </c:pt>
                <c:pt idx="398">
                  <c:v>0.2198</c:v>
                </c:pt>
                <c:pt idx="399">
                  <c:v>0.64339999999999997</c:v>
                </c:pt>
                <c:pt idx="400">
                  <c:v>0.24879999999999999</c:v>
                </c:pt>
                <c:pt idx="401">
                  <c:v>0.86799999999999999</c:v>
                </c:pt>
                <c:pt idx="402">
                  <c:v>0.46500000000000002</c:v>
                </c:pt>
                <c:pt idx="403">
                  <c:v>0.36120000000000002</c:v>
                </c:pt>
                <c:pt idx="404">
                  <c:v>0.21179999999999999</c:v>
                </c:pt>
                <c:pt idx="405">
                  <c:v>0.28799999999999998</c:v>
                </c:pt>
                <c:pt idx="406">
                  <c:v>0.3856</c:v>
                </c:pt>
                <c:pt idx="407">
                  <c:v>0.4904</c:v>
                </c:pt>
                <c:pt idx="408">
                  <c:v>0.52500000000000002</c:v>
                </c:pt>
                <c:pt idx="409">
                  <c:v>0.13639999999999999</c:v>
                </c:pt>
                <c:pt idx="410">
                  <c:v>0.152</c:v>
                </c:pt>
                <c:pt idx="411">
                  <c:v>0.82740000000000002</c:v>
                </c:pt>
                <c:pt idx="412">
                  <c:v>0.72160000000000002</c:v>
                </c:pt>
                <c:pt idx="413">
                  <c:v>0.94799999999999995</c:v>
                </c:pt>
                <c:pt idx="414">
                  <c:v>0.85940000000000005</c:v>
                </c:pt>
                <c:pt idx="415">
                  <c:v>0.1162</c:v>
                </c:pt>
                <c:pt idx="416">
                  <c:v>0.503</c:v>
                </c:pt>
                <c:pt idx="417">
                  <c:v>0.87519999999999998</c:v>
                </c:pt>
                <c:pt idx="418">
                  <c:v>0.34760000000000002</c:v>
                </c:pt>
                <c:pt idx="419">
                  <c:v>0.79879999999999995</c:v>
                </c:pt>
                <c:pt idx="420">
                  <c:v>0.89680000000000004</c:v>
                </c:pt>
                <c:pt idx="421">
                  <c:v>0.24460000000000001</c:v>
                </c:pt>
                <c:pt idx="422">
                  <c:v>0.4496</c:v>
                </c:pt>
                <c:pt idx="423">
                  <c:v>0.69879999999999998</c:v>
                </c:pt>
                <c:pt idx="424">
                  <c:v>0.51200000000000001</c:v>
                </c:pt>
                <c:pt idx="425">
                  <c:v>0.87419999999999998</c:v>
                </c:pt>
                <c:pt idx="426">
                  <c:v>0.91779999999999995</c:v>
                </c:pt>
                <c:pt idx="427">
                  <c:v>0.86960000000000004</c:v>
                </c:pt>
                <c:pt idx="428">
                  <c:v>0.19159999999999999</c:v>
                </c:pt>
                <c:pt idx="429">
                  <c:v>0.67559999999999998</c:v>
                </c:pt>
                <c:pt idx="430">
                  <c:v>0.94920000000000004</c:v>
                </c:pt>
                <c:pt idx="431">
                  <c:v>0.38940000000000002</c:v>
                </c:pt>
                <c:pt idx="432">
                  <c:v>0.85119999999999996</c:v>
                </c:pt>
                <c:pt idx="433">
                  <c:v>0.94920000000000004</c:v>
                </c:pt>
                <c:pt idx="434">
                  <c:v>0.94920000000000004</c:v>
                </c:pt>
                <c:pt idx="435">
                  <c:v>0.7944</c:v>
                </c:pt>
                <c:pt idx="436">
                  <c:v>0.92900000000000005</c:v>
                </c:pt>
                <c:pt idx="437">
                  <c:v>0.83179999999999998</c:v>
                </c:pt>
                <c:pt idx="438">
                  <c:v>0.54079999999999995</c:v>
                </c:pt>
                <c:pt idx="439">
                  <c:v>0.27139999999999997</c:v>
                </c:pt>
                <c:pt idx="440">
                  <c:v>0.221</c:v>
                </c:pt>
                <c:pt idx="441">
                  <c:v>0.80779999999999996</c:v>
                </c:pt>
                <c:pt idx="442">
                  <c:v>0.58660000000000001</c:v>
                </c:pt>
                <c:pt idx="443">
                  <c:v>0.94920000000000004</c:v>
                </c:pt>
                <c:pt idx="444">
                  <c:v>0.1212</c:v>
                </c:pt>
                <c:pt idx="445">
                  <c:v>0.39040000000000002</c:v>
                </c:pt>
                <c:pt idx="446">
                  <c:v>0.45979999999999999</c:v>
                </c:pt>
                <c:pt idx="447">
                  <c:v>0.1288</c:v>
                </c:pt>
                <c:pt idx="448">
                  <c:v>0.3296</c:v>
                </c:pt>
                <c:pt idx="449">
                  <c:v>0.4516</c:v>
                </c:pt>
                <c:pt idx="450">
                  <c:v>0.161</c:v>
                </c:pt>
                <c:pt idx="451">
                  <c:v>0.56779999999999997</c:v>
                </c:pt>
                <c:pt idx="452">
                  <c:v>0.83599999999999997</c:v>
                </c:pt>
                <c:pt idx="453">
                  <c:v>0.57620000000000005</c:v>
                </c:pt>
                <c:pt idx="454">
                  <c:v>0.76</c:v>
                </c:pt>
                <c:pt idx="455">
                  <c:v>0.33119999999999999</c:v>
                </c:pt>
                <c:pt idx="456">
                  <c:v>0.2964</c:v>
                </c:pt>
                <c:pt idx="457">
                  <c:v>0.89680000000000004</c:v>
                </c:pt>
                <c:pt idx="458">
                  <c:v>0.1542</c:v>
                </c:pt>
                <c:pt idx="459">
                  <c:v>0.64139999999999997</c:v>
                </c:pt>
                <c:pt idx="460">
                  <c:v>0.5706</c:v>
                </c:pt>
                <c:pt idx="461">
                  <c:v>0.73580000000000001</c:v>
                </c:pt>
                <c:pt idx="462">
                  <c:v>0.88759999999999994</c:v>
                </c:pt>
                <c:pt idx="463">
                  <c:v>0.84199999999999997</c:v>
                </c:pt>
                <c:pt idx="464">
                  <c:v>0.93420000000000003</c:v>
                </c:pt>
                <c:pt idx="465">
                  <c:v>0.79139999999999999</c:v>
                </c:pt>
                <c:pt idx="466">
                  <c:v>0.3468</c:v>
                </c:pt>
                <c:pt idx="467">
                  <c:v>0.88680000000000003</c:v>
                </c:pt>
                <c:pt idx="468">
                  <c:v>0.68879999999999997</c:v>
                </c:pt>
                <c:pt idx="469">
                  <c:v>0.69540000000000002</c:v>
                </c:pt>
                <c:pt idx="470">
                  <c:v>0.2918</c:v>
                </c:pt>
                <c:pt idx="471">
                  <c:v>0.86799999999999999</c:v>
                </c:pt>
                <c:pt idx="472">
                  <c:v>0.35980000000000001</c:v>
                </c:pt>
                <c:pt idx="473">
                  <c:v>0.82740000000000002</c:v>
                </c:pt>
                <c:pt idx="474">
                  <c:v>0.93940000000000001</c:v>
                </c:pt>
                <c:pt idx="475">
                  <c:v>0.61619999999999997</c:v>
                </c:pt>
                <c:pt idx="476">
                  <c:v>0.76</c:v>
                </c:pt>
                <c:pt idx="477">
                  <c:v>0.22900000000000001</c:v>
                </c:pt>
                <c:pt idx="478">
                  <c:v>0.88719999999999999</c:v>
                </c:pt>
                <c:pt idx="479">
                  <c:v>0.6784</c:v>
                </c:pt>
                <c:pt idx="480">
                  <c:v>0.42720000000000002</c:v>
                </c:pt>
                <c:pt idx="481">
                  <c:v>0.67659999999999998</c:v>
                </c:pt>
                <c:pt idx="482">
                  <c:v>0.44080000000000003</c:v>
                </c:pt>
                <c:pt idx="483">
                  <c:v>0.2344</c:v>
                </c:pt>
                <c:pt idx="484">
                  <c:v>0.53080000000000005</c:v>
                </c:pt>
                <c:pt idx="485">
                  <c:v>0.93940000000000001</c:v>
                </c:pt>
                <c:pt idx="486">
                  <c:v>0.73899999999999999</c:v>
                </c:pt>
                <c:pt idx="487">
                  <c:v>0.56759999999999999</c:v>
                </c:pt>
                <c:pt idx="488">
                  <c:v>0.39600000000000002</c:v>
                </c:pt>
                <c:pt idx="489">
                  <c:v>0.86040000000000005</c:v>
                </c:pt>
                <c:pt idx="490">
                  <c:v>0.49880000000000002</c:v>
                </c:pt>
                <c:pt idx="491">
                  <c:v>0.1242</c:v>
                </c:pt>
                <c:pt idx="492">
                  <c:v>0.185</c:v>
                </c:pt>
                <c:pt idx="493">
                  <c:v>0.72160000000000002</c:v>
                </c:pt>
                <c:pt idx="494">
                  <c:v>0.51639999999999997</c:v>
                </c:pt>
                <c:pt idx="495">
                  <c:v>0.32319999999999999</c:v>
                </c:pt>
                <c:pt idx="496">
                  <c:v>0.74239999999999995</c:v>
                </c:pt>
                <c:pt idx="497">
                  <c:v>0.3054</c:v>
                </c:pt>
                <c:pt idx="498">
                  <c:v>0.7722</c:v>
                </c:pt>
                <c:pt idx="499">
                  <c:v>0.18060000000000001</c:v>
                </c:pt>
                <c:pt idx="500">
                  <c:v>0.52600000000000002</c:v>
                </c:pt>
                <c:pt idx="501">
                  <c:v>0.94920000000000004</c:v>
                </c:pt>
                <c:pt idx="502">
                  <c:v>0.45279999999999998</c:v>
                </c:pt>
                <c:pt idx="503">
                  <c:v>0.43280000000000002</c:v>
                </c:pt>
                <c:pt idx="504">
                  <c:v>0.35220000000000001</c:v>
                </c:pt>
                <c:pt idx="505">
                  <c:v>0.74560000000000004</c:v>
                </c:pt>
                <c:pt idx="506">
                  <c:v>0.30480000000000002</c:v>
                </c:pt>
                <c:pt idx="507">
                  <c:v>0.45860000000000001</c:v>
                </c:pt>
                <c:pt idx="508">
                  <c:v>0.73099999999999998</c:v>
                </c:pt>
                <c:pt idx="509">
                  <c:v>0.7752</c:v>
                </c:pt>
                <c:pt idx="510">
                  <c:v>0.37919999999999998</c:v>
                </c:pt>
                <c:pt idx="511">
                  <c:v>0.43880000000000002</c:v>
                </c:pt>
                <c:pt idx="512">
                  <c:v>0.81420000000000003</c:v>
                </c:pt>
                <c:pt idx="513">
                  <c:v>0.91779999999999995</c:v>
                </c:pt>
                <c:pt idx="514">
                  <c:v>0.84919999999999995</c:v>
                </c:pt>
                <c:pt idx="515">
                  <c:v>0.46400000000000002</c:v>
                </c:pt>
                <c:pt idx="516">
                  <c:v>0.93</c:v>
                </c:pt>
                <c:pt idx="517">
                  <c:v>0.37719999999999998</c:v>
                </c:pt>
                <c:pt idx="518">
                  <c:v>0.42899999999999999</c:v>
                </c:pt>
                <c:pt idx="519">
                  <c:v>0.41060000000000002</c:v>
                </c:pt>
                <c:pt idx="520">
                  <c:v>0.47420000000000001</c:v>
                </c:pt>
                <c:pt idx="521">
                  <c:v>0.27979999999999999</c:v>
                </c:pt>
                <c:pt idx="522">
                  <c:v>0.9042</c:v>
                </c:pt>
                <c:pt idx="523">
                  <c:v>0.73460000000000003</c:v>
                </c:pt>
                <c:pt idx="524">
                  <c:v>0.35980000000000001</c:v>
                </c:pt>
                <c:pt idx="525">
                  <c:v>0.6744</c:v>
                </c:pt>
                <c:pt idx="526">
                  <c:v>0.44019999999999998</c:v>
                </c:pt>
                <c:pt idx="527">
                  <c:v>0.49880000000000002</c:v>
                </c:pt>
                <c:pt idx="528">
                  <c:v>0.2364</c:v>
                </c:pt>
                <c:pt idx="529">
                  <c:v>0.93700000000000006</c:v>
                </c:pt>
                <c:pt idx="530">
                  <c:v>0.8024</c:v>
                </c:pt>
                <c:pt idx="531">
                  <c:v>0.53839999999999999</c:v>
                </c:pt>
                <c:pt idx="532">
                  <c:v>0.78720000000000001</c:v>
                </c:pt>
                <c:pt idx="533">
                  <c:v>0.39079999999999998</c:v>
                </c:pt>
                <c:pt idx="534">
                  <c:v>0.18340000000000001</c:v>
                </c:pt>
                <c:pt idx="535">
                  <c:v>0.28860000000000002</c:v>
                </c:pt>
                <c:pt idx="536">
                  <c:v>0.55520000000000003</c:v>
                </c:pt>
                <c:pt idx="537">
                  <c:v>0.3372</c:v>
                </c:pt>
                <c:pt idx="538">
                  <c:v>0.192</c:v>
                </c:pt>
                <c:pt idx="539">
                  <c:v>0.81040000000000001</c:v>
                </c:pt>
                <c:pt idx="540">
                  <c:v>0.58279999999999998</c:v>
                </c:pt>
                <c:pt idx="541">
                  <c:v>0.33119999999999999</c:v>
                </c:pt>
                <c:pt idx="542">
                  <c:v>0.1946</c:v>
                </c:pt>
                <c:pt idx="543">
                  <c:v>0.8216</c:v>
                </c:pt>
                <c:pt idx="544">
                  <c:v>0.93720000000000003</c:v>
                </c:pt>
                <c:pt idx="545">
                  <c:v>0.41360000000000002</c:v>
                </c:pt>
                <c:pt idx="546">
                  <c:v>0.82640000000000002</c:v>
                </c:pt>
                <c:pt idx="547">
                  <c:v>0.90539999999999998</c:v>
                </c:pt>
                <c:pt idx="548">
                  <c:v>0.61980000000000002</c:v>
                </c:pt>
                <c:pt idx="549">
                  <c:v>0.80459999999999998</c:v>
                </c:pt>
                <c:pt idx="550">
                  <c:v>0.53339999999999999</c:v>
                </c:pt>
                <c:pt idx="551">
                  <c:v>0.94920000000000004</c:v>
                </c:pt>
                <c:pt idx="552">
                  <c:v>0.67979999999999996</c:v>
                </c:pt>
                <c:pt idx="553">
                  <c:v>0.11940000000000001</c:v>
                </c:pt>
                <c:pt idx="554">
                  <c:v>0.19539999999999999</c:v>
                </c:pt>
                <c:pt idx="555">
                  <c:v>0.5786</c:v>
                </c:pt>
                <c:pt idx="556">
                  <c:v>0.36859999999999998</c:v>
                </c:pt>
                <c:pt idx="557">
                  <c:v>0.65939999999999999</c:v>
                </c:pt>
                <c:pt idx="558">
                  <c:v>0.49220000000000003</c:v>
                </c:pt>
                <c:pt idx="559">
                  <c:v>0.88500000000000001</c:v>
                </c:pt>
                <c:pt idx="560">
                  <c:v>0.45979999999999999</c:v>
                </c:pt>
                <c:pt idx="561">
                  <c:v>0.60740000000000005</c:v>
                </c:pt>
                <c:pt idx="562">
                  <c:v>0.63180000000000003</c:v>
                </c:pt>
                <c:pt idx="563">
                  <c:v>0.75600000000000001</c:v>
                </c:pt>
                <c:pt idx="564">
                  <c:v>0.35980000000000001</c:v>
                </c:pt>
                <c:pt idx="565">
                  <c:v>0.88759999999999994</c:v>
                </c:pt>
                <c:pt idx="566">
                  <c:v>0.66059999999999997</c:v>
                </c:pt>
                <c:pt idx="567">
                  <c:v>0.78580000000000005</c:v>
                </c:pt>
                <c:pt idx="568">
                  <c:v>0.40379999999999999</c:v>
                </c:pt>
                <c:pt idx="569">
                  <c:v>0.79039999999999999</c:v>
                </c:pt>
                <c:pt idx="570">
                  <c:v>0.9234</c:v>
                </c:pt>
                <c:pt idx="571">
                  <c:v>0.60040000000000004</c:v>
                </c:pt>
                <c:pt idx="572">
                  <c:v>0.21099999999999999</c:v>
                </c:pt>
                <c:pt idx="573">
                  <c:v>0.91920000000000002</c:v>
                </c:pt>
                <c:pt idx="574">
                  <c:v>0.76519999999999999</c:v>
                </c:pt>
                <c:pt idx="575">
                  <c:v>0.56479999999999997</c:v>
                </c:pt>
                <c:pt idx="576">
                  <c:v>0.49099999999999999</c:v>
                </c:pt>
                <c:pt idx="577">
                  <c:v>0.40100000000000002</c:v>
                </c:pt>
                <c:pt idx="578">
                  <c:v>0.66500000000000004</c:v>
                </c:pt>
                <c:pt idx="579">
                  <c:v>0.88439999999999996</c:v>
                </c:pt>
                <c:pt idx="580">
                  <c:v>0.1298</c:v>
                </c:pt>
                <c:pt idx="581">
                  <c:v>0.92479999999999996</c:v>
                </c:pt>
                <c:pt idx="582">
                  <c:v>0.8518</c:v>
                </c:pt>
                <c:pt idx="583">
                  <c:v>0.1512</c:v>
                </c:pt>
                <c:pt idx="584">
                  <c:v>0.746</c:v>
                </c:pt>
                <c:pt idx="585">
                  <c:v>0.40679999999999999</c:v>
                </c:pt>
                <c:pt idx="586">
                  <c:v>0.39979999999999999</c:v>
                </c:pt>
                <c:pt idx="587">
                  <c:v>0.60880000000000001</c:v>
                </c:pt>
                <c:pt idx="588">
                  <c:v>0.59560000000000002</c:v>
                </c:pt>
                <c:pt idx="589">
                  <c:v>0.62360000000000004</c:v>
                </c:pt>
                <c:pt idx="590">
                  <c:v>0.2442</c:v>
                </c:pt>
                <c:pt idx="591">
                  <c:v>0.8236</c:v>
                </c:pt>
                <c:pt idx="592">
                  <c:v>0.6784</c:v>
                </c:pt>
                <c:pt idx="593">
                  <c:v>0.94920000000000004</c:v>
                </c:pt>
                <c:pt idx="594">
                  <c:v>0.13980000000000001</c:v>
                </c:pt>
                <c:pt idx="595">
                  <c:v>0.29980000000000001</c:v>
                </c:pt>
                <c:pt idx="596">
                  <c:v>0.40379999999999999</c:v>
                </c:pt>
                <c:pt idx="597">
                  <c:v>0.8</c:v>
                </c:pt>
                <c:pt idx="598">
                  <c:v>0.57699999999999996</c:v>
                </c:pt>
                <c:pt idx="599">
                  <c:v>0.77159999999999995</c:v>
                </c:pt>
                <c:pt idx="600">
                  <c:v>0.94920000000000004</c:v>
                </c:pt>
                <c:pt idx="601">
                  <c:v>0.20680000000000001</c:v>
                </c:pt>
                <c:pt idx="602">
                  <c:v>0.63339999999999996</c:v>
                </c:pt>
                <c:pt idx="603">
                  <c:v>0.78059999999999996</c:v>
                </c:pt>
                <c:pt idx="604">
                  <c:v>0.54300000000000004</c:v>
                </c:pt>
                <c:pt idx="605">
                  <c:v>0.76200000000000001</c:v>
                </c:pt>
                <c:pt idx="606">
                  <c:v>0.94920000000000004</c:v>
                </c:pt>
                <c:pt idx="607">
                  <c:v>0.50880000000000003</c:v>
                </c:pt>
                <c:pt idx="608">
                  <c:v>0.63260000000000005</c:v>
                </c:pt>
                <c:pt idx="609">
                  <c:v>0.84919999999999995</c:v>
                </c:pt>
                <c:pt idx="610">
                  <c:v>0.89480000000000004</c:v>
                </c:pt>
                <c:pt idx="611">
                  <c:v>0.68600000000000005</c:v>
                </c:pt>
                <c:pt idx="612">
                  <c:v>0.66920000000000002</c:v>
                </c:pt>
                <c:pt idx="613">
                  <c:v>0.86299999999999999</c:v>
                </c:pt>
                <c:pt idx="614">
                  <c:v>0.15740000000000001</c:v>
                </c:pt>
                <c:pt idx="615">
                  <c:v>0.64059999999999995</c:v>
                </c:pt>
                <c:pt idx="616">
                  <c:v>0.185</c:v>
                </c:pt>
                <c:pt idx="617">
                  <c:v>0.55640000000000001</c:v>
                </c:pt>
                <c:pt idx="618">
                  <c:v>0.87919999999999998</c:v>
                </c:pt>
                <c:pt idx="619">
                  <c:v>0.45639999999999997</c:v>
                </c:pt>
                <c:pt idx="620">
                  <c:v>0.55979999999999996</c:v>
                </c:pt>
                <c:pt idx="621">
                  <c:v>0.4924</c:v>
                </c:pt>
                <c:pt idx="622">
                  <c:v>0.32540000000000002</c:v>
                </c:pt>
                <c:pt idx="623">
                  <c:v>0.17380000000000001</c:v>
                </c:pt>
                <c:pt idx="624">
                  <c:v>0.17760000000000001</c:v>
                </c:pt>
                <c:pt idx="625">
                  <c:v>0.112</c:v>
                </c:pt>
                <c:pt idx="626">
                  <c:v>0.57340000000000002</c:v>
                </c:pt>
                <c:pt idx="627">
                  <c:v>0.2422</c:v>
                </c:pt>
                <c:pt idx="628">
                  <c:v>0.81420000000000003</c:v>
                </c:pt>
                <c:pt idx="629">
                  <c:v>0.55220000000000002</c:v>
                </c:pt>
                <c:pt idx="630">
                  <c:v>0.11840000000000001</c:v>
                </c:pt>
                <c:pt idx="631">
                  <c:v>0.53339999999999999</c:v>
                </c:pt>
                <c:pt idx="632">
                  <c:v>0.61580000000000001</c:v>
                </c:pt>
                <c:pt idx="633">
                  <c:v>0.371</c:v>
                </c:pt>
                <c:pt idx="634">
                  <c:v>0.79139999999999999</c:v>
                </c:pt>
                <c:pt idx="635">
                  <c:v>0.83599999999999997</c:v>
                </c:pt>
                <c:pt idx="636">
                  <c:v>0.2036</c:v>
                </c:pt>
                <c:pt idx="637">
                  <c:v>0.47020000000000001</c:v>
                </c:pt>
                <c:pt idx="638">
                  <c:v>0.49659999999999999</c:v>
                </c:pt>
                <c:pt idx="639">
                  <c:v>0.51200000000000001</c:v>
                </c:pt>
                <c:pt idx="640">
                  <c:v>0.56399999999999995</c:v>
                </c:pt>
                <c:pt idx="641">
                  <c:v>0.1658</c:v>
                </c:pt>
                <c:pt idx="642">
                  <c:v>0.1396</c:v>
                </c:pt>
                <c:pt idx="643">
                  <c:v>0.46200000000000002</c:v>
                </c:pt>
                <c:pt idx="644">
                  <c:v>0.86439999999999995</c:v>
                </c:pt>
                <c:pt idx="645">
                  <c:v>0.94399999999999995</c:v>
                </c:pt>
                <c:pt idx="646">
                  <c:v>0.61219999999999997</c:v>
                </c:pt>
                <c:pt idx="647">
                  <c:v>0.69359999999999999</c:v>
                </c:pt>
                <c:pt idx="648">
                  <c:v>0.37380000000000002</c:v>
                </c:pt>
                <c:pt idx="649">
                  <c:v>0.61060000000000003</c:v>
                </c:pt>
                <c:pt idx="650">
                  <c:v>0.91920000000000002</c:v>
                </c:pt>
                <c:pt idx="651">
                  <c:v>0.1512</c:v>
                </c:pt>
                <c:pt idx="652">
                  <c:v>0.18379999999999999</c:v>
                </c:pt>
                <c:pt idx="653">
                  <c:v>0.93159999999999998</c:v>
                </c:pt>
                <c:pt idx="654">
                  <c:v>0.38319999999999999</c:v>
                </c:pt>
                <c:pt idx="655">
                  <c:v>0.63780000000000003</c:v>
                </c:pt>
                <c:pt idx="656">
                  <c:v>0.67200000000000004</c:v>
                </c:pt>
                <c:pt idx="657">
                  <c:v>0.64680000000000004</c:v>
                </c:pt>
                <c:pt idx="658">
                  <c:v>0.80979999999999996</c:v>
                </c:pt>
                <c:pt idx="659">
                  <c:v>0.91739999999999999</c:v>
                </c:pt>
                <c:pt idx="660">
                  <c:v>0.22819999999999999</c:v>
                </c:pt>
                <c:pt idx="661">
                  <c:v>0.62619999999999998</c:v>
                </c:pt>
                <c:pt idx="662">
                  <c:v>0.68859999999999999</c:v>
                </c:pt>
                <c:pt idx="663">
                  <c:v>0.54359999999999997</c:v>
                </c:pt>
                <c:pt idx="664">
                  <c:v>0.41820000000000002</c:v>
                </c:pt>
                <c:pt idx="665">
                  <c:v>0.83099999999999996</c:v>
                </c:pt>
                <c:pt idx="666">
                  <c:v>0.93159999999999998</c:v>
                </c:pt>
                <c:pt idx="667">
                  <c:v>0.37840000000000001</c:v>
                </c:pt>
                <c:pt idx="668">
                  <c:v>0.20319999999999999</c:v>
                </c:pt>
                <c:pt idx="669">
                  <c:v>0.84040000000000004</c:v>
                </c:pt>
                <c:pt idx="670">
                  <c:v>0.6784</c:v>
                </c:pt>
                <c:pt idx="671">
                  <c:v>0.126</c:v>
                </c:pt>
                <c:pt idx="672">
                  <c:v>0.17480000000000001</c:v>
                </c:pt>
                <c:pt idx="673">
                  <c:v>0.83479999999999999</c:v>
                </c:pt>
                <c:pt idx="674">
                  <c:v>0.47720000000000001</c:v>
                </c:pt>
                <c:pt idx="675">
                  <c:v>0.4824</c:v>
                </c:pt>
                <c:pt idx="676">
                  <c:v>0.30640000000000001</c:v>
                </c:pt>
                <c:pt idx="677">
                  <c:v>0.8024</c:v>
                </c:pt>
                <c:pt idx="678">
                  <c:v>0.214</c:v>
                </c:pt>
                <c:pt idx="679">
                  <c:v>0.60660000000000003</c:v>
                </c:pt>
                <c:pt idx="680">
                  <c:v>0.57479999999999998</c:v>
                </c:pt>
                <c:pt idx="681">
                  <c:v>0.94920000000000004</c:v>
                </c:pt>
                <c:pt idx="682">
                  <c:v>0.49840000000000001</c:v>
                </c:pt>
                <c:pt idx="683">
                  <c:v>0.21279999999999999</c:v>
                </c:pt>
                <c:pt idx="684">
                  <c:v>0.71579999999999999</c:v>
                </c:pt>
                <c:pt idx="685">
                  <c:v>0.41020000000000001</c:v>
                </c:pt>
                <c:pt idx="686">
                  <c:v>0.87039999999999995</c:v>
                </c:pt>
                <c:pt idx="687">
                  <c:v>0.23899999999999999</c:v>
                </c:pt>
                <c:pt idx="688">
                  <c:v>0.74760000000000004</c:v>
                </c:pt>
                <c:pt idx="689">
                  <c:v>0.94920000000000004</c:v>
                </c:pt>
                <c:pt idx="690">
                  <c:v>0.87039999999999995</c:v>
                </c:pt>
                <c:pt idx="691">
                  <c:v>0.622</c:v>
                </c:pt>
                <c:pt idx="692">
                  <c:v>0.56779999999999997</c:v>
                </c:pt>
                <c:pt idx="693">
                  <c:v>0.38840000000000002</c:v>
                </c:pt>
                <c:pt idx="694">
                  <c:v>0.79759999999999998</c:v>
                </c:pt>
                <c:pt idx="695">
                  <c:v>0.73880000000000001</c:v>
                </c:pt>
                <c:pt idx="696">
                  <c:v>0.1704</c:v>
                </c:pt>
                <c:pt idx="697">
                  <c:v>0.73060000000000003</c:v>
                </c:pt>
                <c:pt idx="698">
                  <c:v>0.6552</c:v>
                </c:pt>
                <c:pt idx="699">
                  <c:v>0.37719999999999998</c:v>
                </c:pt>
                <c:pt idx="700">
                  <c:v>0.72419999999999995</c:v>
                </c:pt>
                <c:pt idx="701">
                  <c:v>0.63100000000000001</c:v>
                </c:pt>
                <c:pt idx="702">
                  <c:v>0.94920000000000004</c:v>
                </c:pt>
                <c:pt idx="703">
                  <c:v>0.58179999999999998</c:v>
                </c:pt>
                <c:pt idx="704">
                  <c:v>0.47160000000000002</c:v>
                </c:pt>
                <c:pt idx="705">
                  <c:v>0.78859999999999997</c:v>
                </c:pt>
                <c:pt idx="706">
                  <c:v>0.31559999999999999</c:v>
                </c:pt>
                <c:pt idx="707">
                  <c:v>0.41639999999999999</c:v>
                </c:pt>
                <c:pt idx="708">
                  <c:v>0.64659999999999995</c:v>
                </c:pt>
                <c:pt idx="709">
                  <c:v>0.92179999999999995</c:v>
                </c:pt>
                <c:pt idx="710">
                  <c:v>0.69099999999999995</c:v>
                </c:pt>
                <c:pt idx="711">
                  <c:v>0.85840000000000005</c:v>
                </c:pt>
                <c:pt idx="712">
                  <c:v>0.9264</c:v>
                </c:pt>
                <c:pt idx="713">
                  <c:v>0.91559999999999997</c:v>
                </c:pt>
                <c:pt idx="714">
                  <c:v>0.38779999999999998</c:v>
                </c:pt>
                <c:pt idx="715">
                  <c:v>0.83979999999999999</c:v>
                </c:pt>
                <c:pt idx="716">
                  <c:v>0.94799999999999995</c:v>
                </c:pt>
                <c:pt idx="717">
                  <c:v>0.56279999999999997</c:v>
                </c:pt>
                <c:pt idx="718">
                  <c:v>0.34599999999999997</c:v>
                </c:pt>
                <c:pt idx="719">
                  <c:v>0.30259999999999998</c:v>
                </c:pt>
                <c:pt idx="720">
                  <c:v>0.69740000000000002</c:v>
                </c:pt>
                <c:pt idx="721">
                  <c:v>0.33179999999999998</c:v>
                </c:pt>
                <c:pt idx="722">
                  <c:v>0.89839999999999998</c:v>
                </c:pt>
                <c:pt idx="723">
                  <c:v>0.90539999999999998</c:v>
                </c:pt>
                <c:pt idx="724">
                  <c:v>0.52500000000000002</c:v>
                </c:pt>
                <c:pt idx="725">
                  <c:v>0.4874</c:v>
                </c:pt>
                <c:pt idx="726">
                  <c:v>0.88539999999999996</c:v>
                </c:pt>
                <c:pt idx="727">
                  <c:v>0.25359999999999999</c:v>
                </c:pt>
                <c:pt idx="728">
                  <c:v>0.3206</c:v>
                </c:pt>
                <c:pt idx="729">
                  <c:v>0.36080000000000001</c:v>
                </c:pt>
                <c:pt idx="730">
                  <c:v>0.19639999999999999</c:v>
                </c:pt>
                <c:pt idx="731">
                  <c:v>0.6996</c:v>
                </c:pt>
                <c:pt idx="732">
                  <c:v>0.79139999999999999</c:v>
                </c:pt>
                <c:pt idx="733">
                  <c:v>0.56399999999999995</c:v>
                </c:pt>
                <c:pt idx="734">
                  <c:v>0.93120000000000003</c:v>
                </c:pt>
                <c:pt idx="735">
                  <c:v>0.28639999999999999</c:v>
                </c:pt>
                <c:pt idx="736">
                  <c:v>0.74960000000000004</c:v>
                </c:pt>
                <c:pt idx="737">
                  <c:v>0.65139999999999998</c:v>
                </c:pt>
                <c:pt idx="738">
                  <c:v>0.34520000000000001</c:v>
                </c:pt>
                <c:pt idx="739">
                  <c:v>0.8478</c:v>
                </c:pt>
                <c:pt idx="740">
                  <c:v>0.253</c:v>
                </c:pt>
                <c:pt idx="741">
                  <c:v>0.26700000000000002</c:v>
                </c:pt>
                <c:pt idx="742">
                  <c:v>0.69179999999999997</c:v>
                </c:pt>
                <c:pt idx="743">
                  <c:v>0.77759999999999996</c:v>
                </c:pt>
                <c:pt idx="744">
                  <c:v>0.32319999999999999</c:v>
                </c:pt>
                <c:pt idx="745">
                  <c:v>0.60240000000000005</c:v>
                </c:pt>
                <c:pt idx="746">
                  <c:v>0.29160000000000003</c:v>
                </c:pt>
                <c:pt idx="747">
                  <c:v>0.8992</c:v>
                </c:pt>
                <c:pt idx="748">
                  <c:v>0.58340000000000003</c:v>
                </c:pt>
                <c:pt idx="749">
                  <c:v>0.83979999999999999</c:v>
                </c:pt>
                <c:pt idx="750">
                  <c:v>0.76839999999999997</c:v>
                </c:pt>
                <c:pt idx="751">
                  <c:v>0.70199999999999996</c:v>
                </c:pt>
                <c:pt idx="752">
                  <c:v>0.34899999999999998</c:v>
                </c:pt>
                <c:pt idx="753">
                  <c:v>0.22259999999999999</c:v>
                </c:pt>
                <c:pt idx="754">
                  <c:v>0.5978</c:v>
                </c:pt>
                <c:pt idx="755">
                  <c:v>0.37080000000000002</c:v>
                </c:pt>
                <c:pt idx="756">
                  <c:v>0.42499999999999999</c:v>
                </c:pt>
                <c:pt idx="757">
                  <c:v>0.31940000000000002</c:v>
                </c:pt>
                <c:pt idx="758">
                  <c:v>0.93459999999999999</c:v>
                </c:pt>
                <c:pt idx="759">
                  <c:v>0.622</c:v>
                </c:pt>
                <c:pt idx="760">
                  <c:v>0.77639999999999998</c:v>
                </c:pt>
                <c:pt idx="761">
                  <c:v>0.94920000000000004</c:v>
                </c:pt>
                <c:pt idx="762">
                  <c:v>0.1454</c:v>
                </c:pt>
                <c:pt idx="763">
                  <c:v>0.89039999999999997</c:v>
                </c:pt>
                <c:pt idx="764">
                  <c:v>0.112</c:v>
                </c:pt>
                <c:pt idx="765">
                  <c:v>0.2616</c:v>
                </c:pt>
                <c:pt idx="766">
                  <c:v>0.123</c:v>
                </c:pt>
                <c:pt idx="767">
                  <c:v>0.81320000000000003</c:v>
                </c:pt>
                <c:pt idx="768">
                  <c:v>0.34060000000000001</c:v>
                </c:pt>
                <c:pt idx="769">
                  <c:v>0.59560000000000002</c:v>
                </c:pt>
                <c:pt idx="770">
                  <c:v>0.7994</c:v>
                </c:pt>
                <c:pt idx="771">
                  <c:v>0.68020000000000003</c:v>
                </c:pt>
                <c:pt idx="772">
                  <c:v>0.76939999999999997</c:v>
                </c:pt>
                <c:pt idx="773">
                  <c:v>0.86439999999999995</c:v>
                </c:pt>
                <c:pt idx="774">
                  <c:v>0.2102</c:v>
                </c:pt>
                <c:pt idx="775">
                  <c:v>0.1716</c:v>
                </c:pt>
                <c:pt idx="776">
                  <c:v>0.71040000000000003</c:v>
                </c:pt>
                <c:pt idx="777">
                  <c:v>0.6552</c:v>
                </c:pt>
                <c:pt idx="778">
                  <c:v>0.68479999999999996</c:v>
                </c:pt>
                <c:pt idx="779">
                  <c:v>0.86639999999999995</c:v>
                </c:pt>
                <c:pt idx="780">
                  <c:v>0.43280000000000002</c:v>
                </c:pt>
                <c:pt idx="781">
                  <c:v>0.90539999999999998</c:v>
                </c:pt>
                <c:pt idx="782">
                  <c:v>0.84160000000000001</c:v>
                </c:pt>
                <c:pt idx="783">
                  <c:v>0.31819999999999998</c:v>
                </c:pt>
                <c:pt idx="784">
                  <c:v>0.82320000000000004</c:v>
                </c:pt>
                <c:pt idx="785">
                  <c:v>0.37719999999999998</c:v>
                </c:pt>
                <c:pt idx="786">
                  <c:v>0.15740000000000001</c:v>
                </c:pt>
                <c:pt idx="787">
                  <c:v>0.1152</c:v>
                </c:pt>
                <c:pt idx="788">
                  <c:v>0.2382</c:v>
                </c:pt>
                <c:pt idx="789">
                  <c:v>0.94579999999999997</c:v>
                </c:pt>
                <c:pt idx="790">
                  <c:v>0.39800000000000002</c:v>
                </c:pt>
                <c:pt idx="791">
                  <c:v>0.85940000000000005</c:v>
                </c:pt>
                <c:pt idx="792">
                  <c:v>0.14560000000000001</c:v>
                </c:pt>
                <c:pt idx="793">
                  <c:v>0.19980000000000001</c:v>
                </c:pt>
                <c:pt idx="794">
                  <c:v>0.3992</c:v>
                </c:pt>
                <c:pt idx="795">
                  <c:v>0.14879999999999999</c:v>
                </c:pt>
                <c:pt idx="796">
                  <c:v>0.48060000000000003</c:v>
                </c:pt>
                <c:pt idx="797">
                  <c:v>0.39479999999999998</c:v>
                </c:pt>
                <c:pt idx="798">
                  <c:v>0.19339999999999999</c:v>
                </c:pt>
                <c:pt idx="799">
                  <c:v>0.40920000000000001</c:v>
                </c:pt>
                <c:pt idx="800">
                  <c:v>0.84299999999999997</c:v>
                </c:pt>
                <c:pt idx="801">
                  <c:v>0.94920000000000004</c:v>
                </c:pt>
                <c:pt idx="802">
                  <c:v>0.24079999999999999</c:v>
                </c:pt>
                <c:pt idx="803">
                  <c:v>0.50680000000000003</c:v>
                </c:pt>
                <c:pt idx="804">
                  <c:v>0.67759999999999998</c:v>
                </c:pt>
                <c:pt idx="805">
                  <c:v>0.72160000000000002</c:v>
                </c:pt>
                <c:pt idx="806">
                  <c:v>0.71540000000000004</c:v>
                </c:pt>
                <c:pt idx="807">
                  <c:v>0.2268</c:v>
                </c:pt>
                <c:pt idx="808">
                  <c:v>0.53800000000000003</c:v>
                </c:pt>
                <c:pt idx="809">
                  <c:v>0.80700000000000005</c:v>
                </c:pt>
                <c:pt idx="810">
                  <c:v>0.23580000000000001</c:v>
                </c:pt>
                <c:pt idx="811">
                  <c:v>0.4854</c:v>
                </c:pt>
                <c:pt idx="812">
                  <c:v>0.64580000000000004</c:v>
                </c:pt>
                <c:pt idx="813">
                  <c:v>0.185</c:v>
                </c:pt>
                <c:pt idx="814">
                  <c:v>0.42080000000000001</c:v>
                </c:pt>
                <c:pt idx="815">
                  <c:v>0.49099999999999999</c:v>
                </c:pt>
                <c:pt idx="816">
                  <c:v>0.75219999999999998</c:v>
                </c:pt>
                <c:pt idx="817">
                  <c:v>0.122</c:v>
                </c:pt>
                <c:pt idx="818">
                  <c:v>0.25679999999999997</c:v>
                </c:pt>
                <c:pt idx="819">
                  <c:v>0.49159999999999998</c:v>
                </c:pt>
                <c:pt idx="820">
                  <c:v>0.873</c:v>
                </c:pt>
                <c:pt idx="821">
                  <c:v>0.41420000000000001</c:v>
                </c:pt>
                <c:pt idx="822">
                  <c:v>0.40600000000000003</c:v>
                </c:pt>
                <c:pt idx="823">
                  <c:v>0.89600000000000002</c:v>
                </c:pt>
                <c:pt idx="824">
                  <c:v>0.56399999999999995</c:v>
                </c:pt>
                <c:pt idx="825">
                  <c:v>0.86960000000000004</c:v>
                </c:pt>
                <c:pt idx="826">
                  <c:v>0.76639999999999997</c:v>
                </c:pt>
                <c:pt idx="827">
                  <c:v>0.77159999999999995</c:v>
                </c:pt>
                <c:pt idx="828">
                  <c:v>0.91559999999999997</c:v>
                </c:pt>
                <c:pt idx="829">
                  <c:v>0.89139999999999997</c:v>
                </c:pt>
                <c:pt idx="830">
                  <c:v>0.8508</c:v>
                </c:pt>
                <c:pt idx="831">
                  <c:v>0.35420000000000001</c:v>
                </c:pt>
                <c:pt idx="832">
                  <c:v>0.83140000000000003</c:v>
                </c:pt>
                <c:pt idx="833">
                  <c:v>0.2336</c:v>
                </c:pt>
                <c:pt idx="834">
                  <c:v>0.93320000000000003</c:v>
                </c:pt>
                <c:pt idx="835">
                  <c:v>0.49719999999999998</c:v>
                </c:pt>
                <c:pt idx="836">
                  <c:v>0.30559999999999998</c:v>
                </c:pt>
                <c:pt idx="837">
                  <c:v>0.75019999999999998</c:v>
                </c:pt>
                <c:pt idx="838">
                  <c:v>0.45100000000000001</c:v>
                </c:pt>
                <c:pt idx="839">
                  <c:v>0.27300000000000002</c:v>
                </c:pt>
                <c:pt idx="840">
                  <c:v>0.80159999999999998</c:v>
                </c:pt>
                <c:pt idx="841">
                  <c:v>0.85619999999999996</c:v>
                </c:pt>
                <c:pt idx="842">
                  <c:v>0.84619999999999995</c:v>
                </c:pt>
                <c:pt idx="843">
                  <c:v>0.94920000000000004</c:v>
                </c:pt>
                <c:pt idx="844">
                  <c:v>0.22339999999999999</c:v>
                </c:pt>
                <c:pt idx="845">
                  <c:v>0.75639999999999996</c:v>
                </c:pt>
                <c:pt idx="846">
                  <c:v>0.58499999999999996</c:v>
                </c:pt>
                <c:pt idx="847">
                  <c:v>0.80879999999999996</c:v>
                </c:pt>
                <c:pt idx="848">
                  <c:v>0.71279999999999999</c:v>
                </c:pt>
                <c:pt idx="849">
                  <c:v>0.61619999999999997</c:v>
                </c:pt>
                <c:pt idx="850">
                  <c:v>0.47939999999999999</c:v>
                </c:pt>
                <c:pt idx="851">
                  <c:v>0.81240000000000001</c:v>
                </c:pt>
                <c:pt idx="852">
                  <c:v>0.39279999999999998</c:v>
                </c:pt>
                <c:pt idx="853">
                  <c:v>0.55220000000000002</c:v>
                </c:pt>
                <c:pt idx="854">
                  <c:v>0.94920000000000004</c:v>
                </c:pt>
                <c:pt idx="855">
                  <c:v>0.25719999999999998</c:v>
                </c:pt>
                <c:pt idx="856">
                  <c:v>0.13420000000000001</c:v>
                </c:pt>
                <c:pt idx="857">
                  <c:v>0.25719999999999998</c:v>
                </c:pt>
                <c:pt idx="858">
                  <c:v>0.22140000000000001</c:v>
                </c:pt>
                <c:pt idx="859">
                  <c:v>0.87480000000000002</c:v>
                </c:pt>
                <c:pt idx="860">
                  <c:v>0.8004</c:v>
                </c:pt>
                <c:pt idx="861">
                  <c:v>0.33539999999999998</c:v>
                </c:pt>
                <c:pt idx="862">
                  <c:v>0.22739999999999999</c:v>
                </c:pt>
                <c:pt idx="863">
                  <c:v>0.56520000000000004</c:v>
                </c:pt>
                <c:pt idx="864">
                  <c:v>0.74880000000000002</c:v>
                </c:pt>
                <c:pt idx="865">
                  <c:v>0.61380000000000001</c:v>
                </c:pt>
                <c:pt idx="866">
                  <c:v>0.2848</c:v>
                </c:pt>
                <c:pt idx="867">
                  <c:v>0.8992</c:v>
                </c:pt>
                <c:pt idx="868">
                  <c:v>0.70960000000000001</c:v>
                </c:pt>
                <c:pt idx="869">
                  <c:v>0.30099999999999999</c:v>
                </c:pt>
                <c:pt idx="870">
                  <c:v>0.16339999999999999</c:v>
                </c:pt>
                <c:pt idx="871">
                  <c:v>0.59379999999999999</c:v>
                </c:pt>
                <c:pt idx="872">
                  <c:v>0.4516</c:v>
                </c:pt>
                <c:pt idx="873">
                  <c:v>0.5988</c:v>
                </c:pt>
                <c:pt idx="874">
                  <c:v>0.71760000000000002</c:v>
                </c:pt>
                <c:pt idx="875">
                  <c:v>0.38319999999999999</c:v>
                </c:pt>
                <c:pt idx="876">
                  <c:v>0.3206</c:v>
                </c:pt>
                <c:pt idx="877">
                  <c:v>0.35859999999999997</c:v>
                </c:pt>
                <c:pt idx="878">
                  <c:v>0.5544</c:v>
                </c:pt>
                <c:pt idx="879">
                  <c:v>0.26600000000000001</c:v>
                </c:pt>
                <c:pt idx="880">
                  <c:v>0.5474</c:v>
                </c:pt>
                <c:pt idx="881">
                  <c:v>0.92700000000000005</c:v>
                </c:pt>
                <c:pt idx="882">
                  <c:v>0.61480000000000001</c:v>
                </c:pt>
                <c:pt idx="883">
                  <c:v>0.61</c:v>
                </c:pt>
                <c:pt idx="884">
                  <c:v>0.1512</c:v>
                </c:pt>
                <c:pt idx="885">
                  <c:v>0.75019999999999998</c:v>
                </c:pt>
                <c:pt idx="886">
                  <c:v>0.41060000000000002</c:v>
                </c:pt>
                <c:pt idx="887">
                  <c:v>0.89300000000000002</c:v>
                </c:pt>
                <c:pt idx="888">
                  <c:v>0.82</c:v>
                </c:pt>
                <c:pt idx="889">
                  <c:v>0.4824</c:v>
                </c:pt>
                <c:pt idx="890">
                  <c:v>0.24079999999999999</c:v>
                </c:pt>
                <c:pt idx="891">
                  <c:v>0.12620000000000001</c:v>
                </c:pt>
                <c:pt idx="892">
                  <c:v>0.53339999999999999</c:v>
                </c:pt>
                <c:pt idx="893">
                  <c:v>0.69020000000000004</c:v>
                </c:pt>
                <c:pt idx="894">
                  <c:v>0.63100000000000001</c:v>
                </c:pt>
                <c:pt idx="895">
                  <c:v>0.253</c:v>
                </c:pt>
                <c:pt idx="896">
                  <c:v>0.60740000000000005</c:v>
                </c:pt>
                <c:pt idx="897">
                  <c:v>0.76200000000000001</c:v>
                </c:pt>
                <c:pt idx="898">
                  <c:v>0.44519999999999998</c:v>
                </c:pt>
                <c:pt idx="899">
                  <c:v>0.51959999999999995</c:v>
                </c:pt>
                <c:pt idx="900">
                  <c:v>0.2382</c:v>
                </c:pt>
                <c:pt idx="901">
                  <c:v>0.94920000000000004</c:v>
                </c:pt>
                <c:pt idx="902">
                  <c:v>0.62039999999999995</c:v>
                </c:pt>
                <c:pt idx="903">
                  <c:v>0.77039999999999997</c:v>
                </c:pt>
                <c:pt idx="904">
                  <c:v>0.40739999999999998</c:v>
                </c:pt>
                <c:pt idx="905">
                  <c:v>0.2346</c:v>
                </c:pt>
                <c:pt idx="906">
                  <c:v>0.45679999999999998</c:v>
                </c:pt>
                <c:pt idx="907">
                  <c:v>0.69820000000000004</c:v>
                </c:pt>
                <c:pt idx="908">
                  <c:v>0.185</c:v>
                </c:pt>
                <c:pt idx="909">
                  <c:v>0.72419999999999995</c:v>
                </c:pt>
                <c:pt idx="910">
                  <c:v>0.36480000000000001</c:v>
                </c:pt>
                <c:pt idx="911">
                  <c:v>0.35420000000000001</c:v>
                </c:pt>
                <c:pt idx="912">
                  <c:v>0.94279999999999997</c:v>
                </c:pt>
                <c:pt idx="913">
                  <c:v>0.622</c:v>
                </c:pt>
                <c:pt idx="914">
                  <c:v>0.18820000000000001</c:v>
                </c:pt>
                <c:pt idx="915">
                  <c:v>0.50419999999999998</c:v>
                </c:pt>
                <c:pt idx="916">
                  <c:v>0.91659999999999997</c:v>
                </c:pt>
                <c:pt idx="917">
                  <c:v>0.2994</c:v>
                </c:pt>
                <c:pt idx="918">
                  <c:v>0.2152</c:v>
                </c:pt>
                <c:pt idx="919">
                  <c:v>0.55559999999999998</c:v>
                </c:pt>
                <c:pt idx="920">
                  <c:v>0.94920000000000004</c:v>
                </c:pt>
                <c:pt idx="921">
                  <c:v>0.27779999999999999</c:v>
                </c:pt>
                <c:pt idx="922">
                  <c:v>0.60240000000000005</c:v>
                </c:pt>
                <c:pt idx="923">
                  <c:v>0.45760000000000001</c:v>
                </c:pt>
                <c:pt idx="924">
                  <c:v>0.33779999999999999</c:v>
                </c:pt>
                <c:pt idx="925">
                  <c:v>0.82699999999999996</c:v>
                </c:pt>
                <c:pt idx="926">
                  <c:v>0.49419999999999997</c:v>
                </c:pt>
                <c:pt idx="927">
                  <c:v>0.19539999999999999</c:v>
                </c:pt>
                <c:pt idx="928">
                  <c:v>0.76</c:v>
                </c:pt>
                <c:pt idx="929">
                  <c:v>0.16839999999999999</c:v>
                </c:pt>
                <c:pt idx="930">
                  <c:v>0.56479999999999997</c:v>
                </c:pt>
                <c:pt idx="931">
                  <c:v>0.68600000000000005</c:v>
                </c:pt>
                <c:pt idx="932">
                  <c:v>0.14760000000000001</c:v>
                </c:pt>
                <c:pt idx="933">
                  <c:v>0.29899999999999999</c:v>
                </c:pt>
                <c:pt idx="934">
                  <c:v>0.4728</c:v>
                </c:pt>
                <c:pt idx="935">
                  <c:v>0.82340000000000002</c:v>
                </c:pt>
                <c:pt idx="936">
                  <c:v>0.2908</c:v>
                </c:pt>
                <c:pt idx="937">
                  <c:v>0.57340000000000002</c:v>
                </c:pt>
                <c:pt idx="938">
                  <c:v>0.61519999999999997</c:v>
                </c:pt>
                <c:pt idx="939">
                  <c:v>0.44700000000000001</c:v>
                </c:pt>
                <c:pt idx="940">
                  <c:v>0.20960000000000001</c:v>
                </c:pt>
                <c:pt idx="941">
                  <c:v>0.4824</c:v>
                </c:pt>
                <c:pt idx="942">
                  <c:v>0.1152</c:v>
                </c:pt>
                <c:pt idx="943">
                  <c:v>0.80900000000000005</c:v>
                </c:pt>
                <c:pt idx="944">
                  <c:v>0.39360000000000001</c:v>
                </c:pt>
                <c:pt idx="945">
                  <c:v>0.35580000000000001</c:v>
                </c:pt>
                <c:pt idx="946">
                  <c:v>0.94920000000000004</c:v>
                </c:pt>
                <c:pt idx="947">
                  <c:v>0.84299999999999997</c:v>
                </c:pt>
                <c:pt idx="948">
                  <c:v>0.20960000000000001</c:v>
                </c:pt>
                <c:pt idx="949">
                  <c:v>0.69140000000000001</c:v>
                </c:pt>
                <c:pt idx="950">
                  <c:v>0.89039999999999997</c:v>
                </c:pt>
                <c:pt idx="951">
                  <c:v>0.25719999999999998</c:v>
                </c:pt>
                <c:pt idx="952">
                  <c:v>0.52039999999999997</c:v>
                </c:pt>
                <c:pt idx="953">
                  <c:v>0.94920000000000004</c:v>
                </c:pt>
                <c:pt idx="954">
                  <c:v>0.18179999999999999</c:v>
                </c:pt>
                <c:pt idx="955">
                  <c:v>0.2974</c:v>
                </c:pt>
                <c:pt idx="956">
                  <c:v>0.53339999999999999</c:v>
                </c:pt>
                <c:pt idx="957">
                  <c:v>0.30740000000000001</c:v>
                </c:pt>
                <c:pt idx="958">
                  <c:v>0.73580000000000001</c:v>
                </c:pt>
                <c:pt idx="959">
                  <c:v>0.57140000000000002</c:v>
                </c:pt>
                <c:pt idx="960">
                  <c:v>0.14460000000000001</c:v>
                </c:pt>
                <c:pt idx="961">
                  <c:v>0.13539999999999999</c:v>
                </c:pt>
                <c:pt idx="962">
                  <c:v>0.5786</c:v>
                </c:pt>
                <c:pt idx="963">
                  <c:v>0.44319999999999998</c:v>
                </c:pt>
                <c:pt idx="964">
                  <c:v>0.61760000000000004</c:v>
                </c:pt>
                <c:pt idx="965">
                  <c:v>0.87919999999999998</c:v>
                </c:pt>
                <c:pt idx="966">
                  <c:v>0.12</c:v>
                </c:pt>
                <c:pt idx="967">
                  <c:v>0.48039999999999999</c:v>
                </c:pt>
                <c:pt idx="968">
                  <c:v>0.41060000000000002</c:v>
                </c:pt>
                <c:pt idx="969">
                  <c:v>0.9446</c:v>
                </c:pt>
                <c:pt idx="970">
                  <c:v>0.161</c:v>
                </c:pt>
                <c:pt idx="971">
                  <c:v>0.8518</c:v>
                </c:pt>
                <c:pt idx="972">
                  <c:v>0.52100000000000002</c:v>
                </c:pt>
                <c:pt idx="973">
                  <c:v>0.81420000000000003</c:v>
                </c:pt>
                <c:pt idx="974">
                  <c:v>0.61280000000000001</c:v>
                </c:pt>
                <c:pt idx="975">
                  <c:v>0.75639999999999996</c:v>
                </c:pt>
                <c:pt idx="976">
                  <c:v>0.37259999999999999</c:v>
                </c:pt>
                <c:pt idx="977">
                  <c:v>0.38080000000000003</c:v>
                </c:pt>
                <c:pt idx="978">
                  <c:v>0.90380000000000005</c:v>
                </c:pt>
                <c:pt idx="979">
                  <c:v>0.158</c:v>
                </c:pt>
                <c:pt idx="980">
                  <c:v>0.56020000000000003</c:v>
                </c:pt>
                <c:pt idx="981">
                  <c:v>0.79559999999999997</c:v>
                </c:pt>
                <c:pt idx="982">
                  <c:v>0.85760000000000003</c:v>
                </c:pt>
                <c:pt idx="983">
                  <c:v>0.18340000000000001</c:v>
                </c:pt>
                <c:pt idx="984">
                  <c:v>0.84599999999999997</c:v>
                </c:pt>
                <c:pt idx="985">
                  <c:v>0.73460000000000003</c:v>
                </c:pt>
                <c:pt idx="986">
                  <c:v>0.25019999999999998</c:v>
                </c:pt>
                <c:pt idx="987">
                  <c:v>0.68799999999999994</c:v>
                </c:pt>
                <c:pt idx="988">
                  <c:v>0.6552</c:v>
                </c:pt>
                <c:pt idx="989">
                  <c:v>0.75380000000000003</c:v>
                </c:pt>
                <c:pt idx="990">
                  <c:v>0.21659999999999999</c:v>
                </c:pt>
                <c:pt idx="991">
                  <c:v>0.82420000000000004</c:v>
                </c:pt>
                <c:pt idx="992">
                  <c:v>0.32979999999999998</c:v>
                </c:pt>
                <c:pt idx="993">
                  <c:v>0.70579999999999998</c:v>
                </c:pt>
                <c:pt idx="994">
                  <c:v>0.65400000000000003</c:v>
                </c:pt>
                <c:pt idx="995">
                  <c:v>0.34360000000000002</c:v>
                </c:pt>
                <c:pt idx="996">
                  <c:v>0.73780000000000001</c:v>
                </c:pt>
                <c:pt idx="997">
                  <c:v>0.43659999999999999</c:v>
                </c:pt>
                <c:pt idx="998">
                  <c:v>0.40039999999999998</c:v>
                </c:pt>
                <c:pt idx="999">
                  <c:v>0.2828</c:v>
                </c:pt>
                <c:pt idx="1000">
                  <c:v>0.8024</c:v>
                </c:pt>
                <c:pt idx="1001">
                  <c:v>0.28599999999999998</c:v>
                </c:pt>
                <c:pt idx="1002">
                  <c:v>0.14879999999999999</c:v>
                </c:pt>
                <c:pt idx="1003">
                  <c:v>0.57620000000000005</c:v>
                </c:pt>
                <c:pt idx="1004">
                  <c:v>0.70960000000000001</c:v>
                </c:pt>
                <c:pt idx="1005">
                  <c:v>0.60240000000000005</c:v>
                </c:pt>
                <c:pt idx="1006">
                  <c:v>0.67379999999999995</c:v>
                </c:pt>
                <c:pt idx="1007">
                  <c:v>0.14399999999999999</c:v>
                </c:pt>
                <c:pt idx="1008">
                  <c:v>0.32540000000000002</c:v>
                </c:pt>
                <c:pt idx="1009">
                  <c:v>0.62119999999999997</c:v>
                </c:pt>
                <c:pt idx="1010">
                  <c:v>0.29520000000000002</c:v>
                </c:pt>
                <c:pt idx="1011">
                  <c:v>0.8</c:v>
                </c:pt>
                <c:pt idx="1012">
                  <c:v>0.2792</c:v>
                </c:pt>
                <c:pt idx="1013">
                  <c:v>0.38</c:v>
                </c:pt>
                <c:pt idx="1014">
                  <c:v>0.81799999999999995</c:v>
                </c:pt>
                <c:pt idx="1015">
                  <c:v>0.51300000000000001</c:v>
                </c:pt>
                <c:pt idx="1016">
                  <c:v>0.68679999999999997</c:v>
                </c:pt>
                <c:pt idx="1017">
                  <c:v>0.40920000000000001</c:v>
                </c:pt>
                <c:pt idx="1018">
                  <c:v>0.90100000000000002</c:v>
                </c:pt>
                <c:pt idx="1019">
                  <c:v>0.72740000000000005</c:v>
                </c:pt>
                <c:pt idx="1020">
                  <c:v>0.81679999999999997</c:v>
                </c:pt>
                <c:pt idx="1021">
                  <c:v>0.91920000000000002</c:v>
                </c:pt>
                <c:pt idx="1022">
                  <c:v>0.32819999999999999</c:v>
                </c:pt>
                <c:pt idx="1023">
                  <c:v>0.64339999999999997</c:v>
                </c:pt>
                <c:pt idx="1024">
                  <c:v>0.88439999999999996</c:v>
                </c:pt>
                <c:pt idx="1025">
                  <c:v>0.91059999999999997</c:v>
                </c:pt>
                <c:pt idx="1026">
                  <c:v>0.19980000000000001</c:v>
                </c:pt>
                <c:pt idx="1027">
                  <c:v>0.1434</c:v>
                </c:pt>
                <c:pt idx="1028">
                  <c:v>0.89480000000000004</c:v>
                </c:pt>
                <c:pt idx="1029">
                  <c:v>0.37719999999999998</c:v>
                </c:pt>
                <c:pt idx="1030">
                  <c:v>0.58340000000000003</c:v>
                </c:pt>
                <c:pt idx="1031">
                  <c:v>0.44900000000000001</c:v>
                </c:pt>
                <c:pt idx="1032">
                  <c:v>0.78859999999999997</c:v>
                </c:pt>
                <c:pt idx="1033">
                  <c:v>0.33079999999999998</c:v>
                </c:pt>
                <c:pt idx="1034">
                  <c:v>0.59079999999999999</c:v>
                </c:pt>
                <c:pt idx="1035">
                  <c:v>0.30980000000000002</c:v>
                </c:pt>
                <c:pt idx="1036">
                  <c:v>0.27979999999999999</c:v>
                </c:pt>
                <c:pt idx="1037">
                  <c:v>0.66420000000000001</c:v>
                </c:pt>
                <c:pt idx="1038">
                  <c:v>0.77600000000000002</c:v>
                </c:pt>
                <c:pt idx="1039">
                  <c:v>0.39419999999999999</c:v>
                </c:pt>
                <c:pt idx="1040">
                  <c:v>0.44080000000000003</c:v>
                </c:pt>
                <c:pt idx="1041">
                  <c:v>0.61799999999999999</c:v>
                </c:pt>
                <c:pt idx="1042">
                  <c:v>0.94920000000000004</c:v>
                </c:pt>
                <c:pt idx="1043">
                  <c:v>0.63680000000000003</c:v>
                </c:pt>
                <c:pt idx="1044">
                  <c:v>0.63880000000000003</c:v>
                </c:pt>
                <c:pt idx="1045">
                  <c:v>0.91359999999999997</c:v>
                </c:pt>
                <c:pt idx="1046">
                  <c:v>0.12559999999999999</c:v>
                </c:pt>
                <c:pt idx="1047">
                  <c:v>0.56679999999999997</c:v>
                </c:pt>
                <c:pt idx="1048">
                  <c:v>0.1532</c:v>
                </c:pt>
                <c:pt idx="1049">
                  <c:v>0.4854</c:v>
                </c:pt>
                <c:pt idx="1050">
                  <c:v>0.22900000000000001</c:v>
                </c:pt>
                <c:pt idx="1051">
                  <c:v>0.34239999999999998</c:v>
                </c:pt>
                <c:pt idx="1052">
                  <c:v>0.28639999999999999</c:v>
                </c:pt>
                <c:pt idx="1053">
                  <c:v>0.92279999999999995</c:v>
                </c:pt>
                <c:pt idx="1054">
                  <c:v>0.4446</c:v>
                </c:pt>
                <c:pt idx="1055">
                  <c:v>0.8216</c:v>
                </c:pt>
                <c:pt idx="1056">
                  <c:v>0.40379999999999999</c:v>
                </c:pt>
                <c:pt idx="1057">
                  <c:v>0.79759999999999998</c:v>
                </c:pt>
                <c:pt idx="1058">
                  <c:v>0.1386</c:v>
                </c:pt>
                <c:pt idx="1059">
                  <c:v>0.432</c:v>
                </c:pt>
                <c:pt idx="1060">
                  <c:v>0.34599999999999997</c:v>
                </c:pt>
                <c:pt idx="1061">
                  <c:v>0.33600000000000002</c:v>
                </c:pt>
                <c:pt idx="1062">
                  <c:v>0.35720000000000002</c:v>
                </c:pt>
                <c:pt idx="1063">
                  <c:v>0.80579999999999996</c:v>
                </c:pt>
                <c:pt idx="1064">
                  <c:v>0.56720000000000004</c:v>
                </c:pt>
                <c:pt idx="1065">
                  <c:v>0.56179999999999997</c:v>
                </c:pt>
                <c:pt idx="1066">
                  <c:v>0.74199999999999999</c:v>
                </c:pt>
                <c:pt idx="1067">
                  <c:v>0.59319999999999995</c:v>
                </c:pt>
                <c:pt idx="1068">
                  <c:v>0.68020000000000003</c:v>
                </c:pt>
                <c:pt idx="1069">
                  <c:v>0.61339999999999995</c:v>
                </c:pt>
                <c:pt idx="1070">
                  <c:v>0.92800000000000005</c:v>
                </c:pt>
                <c:pt idx="1071">
                  <c:v>0.44600000000000001</c:v>
                </c:pt>
                <c:pt idx="1072">
                  <c:v>0.31159999999999999</c:v>
                </c:pt>
                <c:pt idx="1073">
                  <c:v>0.88580000000000003</c:v>
                </c:pt>
                <c:pt idx="1074">
                  <c:v>0.21099999999999999</c:v>
                </c:pt>
                <c:pt idx="1075">
                  <c:v>0.39639999999999997</c:v>
                </c:pt>
                <c:pt idx="1076">
                  <c:v>0.58740000000000003</c:v>
                </c:pt>
                <c:pt idx="1077">
                  <c:v>0.61219999999999997</c:v>
                </c:pt>
                <c:pt idx="1078">
                  <c:v>0.34760000000000002</c:v>
                </c:pt>
                <c:pt idx="1079">
                  <c:v>0.76</c:v>
                </c:pt>
                <c:pt idx="1080">
                  <c:v>0.79139999999999999</c:v>
                </c:pt>
                <c:pt idx="1081">
                  <c:v>0.41959999999999997</c:v>
                </c:pt>
                <c:pt idx="1082">
                  <c:v>0.50480000000000003</c:v>
                </c:pt>
                <c:pt idx="1083">
                  <c:v>0.83840000000000003</c:v>
                </c:pt>
                <c:pt idx="1084">
                  <c:v>0.29520000000000002</c:v>
                </c:pt>
                <c:pt idx="1085">
                  <c:v>0.18379999999999999</c:v>
                </c:pt>
                <c:pt idx="1086">
                  <c:v>0.59560000000000002</c:v>
                </c:pt>
                <c:pt idx="1087">
                  <c:v>0.42299999999999999</c:v>
                </c:pt>
                <c:pt idx="1088">
                  <c:v>0.51</c:v>
                </c:pt>
                <c:pt idx="1089">
                  <c:v>0.1416</c:v>
                </c:pt>
                <c:pt idx="1090">
                  <c:v>0.28339999999999999</c:v>
                </c:pt>
                <c:pt idx="1091">
                  <c:v>0.54700000000000004</c:v>
                </c:pt>
                <c:pt idx="1092">
                  <c:v>0.43</c:v>
                </c:pt>
                <c:pt idx="1093">
                  <c:v>0.26900000000000002</c:v>
                </c:pt>
                <c:pt idx="1094">
                  <c:v>0.8216</c:v>
                </c:pt>
                <c:pt idx="1095">
                  <c:v>0.87380000000000002</c:v>
                </c:pt>
                <c:pt idx="1096">
                  <c:v>0.2964</c:v>
                </c:pt>
                <c:pt idx="1097">
                  <c:v>0.16259999999999999</c:v>
                </c:pt>
                <c:pt idx="1098">
                  <c:v>0.4738</c:v>
                </c:pt>
                <c:pt idx="1099">
                  <c:v>0.50880000000000003</c:v>
                </c:pt>
                <c:pt idx="1100">
                  <c:v>0.68679999999999997</c:v>
                </c:pt>
                <c:pt idx="1101">
                  <c:v>0.1736</c:v>
                </c:pt>
                <c:pt idx="1102">
                  <c:v>0.49159999999999998</c:v>
                </c:pt>
                <c:pt idx="1103">
                  <c:v>0.55220000000000002</c:v>
                </c:pt>
                <c:pt idx="1104">
                  <c:v>0.629</c:v>
                </c:pt>
                <c:pt idx="1105">
                  <c:v>0.30199999999999999</c:v>
                </c:pt>
                <c:pt idx="1106">
                  <c:v>0.38</c:v>
                </c:pt>
                <c:pt idx="1107">
                  <c:v>0.30940000000000001</c:v>
                </c:pt>
                <c:pt idx="1108">
                  <c:v>0.51439999999999997</c:v>
                </c:pt>
                <c:pt idx="1109">
                  <c:v>0.31019999999999998</c:v>
                </c:pt>
                <c:pt idx="1110">
                  <c:v>0.57479999999999998</c:v>
                </c:pt>
                <c:pt idx="1111">
                  <c:v>0.71160000000000001</c:v>
                </c:pt>
                <c:pt idx="1112">
                  <c:v>0.54300000000000004</c:v>
                </c:pt>
                <c:pt idx="1113">
                  <c:v>0.68020000000000003</c:v>
                </c:pt>
                <c:pt idx="1114">
                  <c:v>0.59660000000000002</c:v>
                </c:pt>
                <c:pt idx="1115">
                  <c:v>0.8236</c:v>
                </c:pt>
                <c:pt idx="1116">
                  <c:v>0.94920000000000004</c:v>
                </c:pt>
                <c:pt idx="1117">
                  <c:v>0.82940000000000003</c:v>
                </c:pt>
                <c:pt idx="1118">
                  <c:v>0.94920000000000004</c:v>
                </c:pt>
                <c:pt idx="1119">
                  <c:v>0.77880000000000005</c:v>
                </c:pt>
                <c:pt idx="1120">
                  <c:v>0.71860000000000002</c:v>
                </c:pt>
                <c:pt idx="1121">
                  <c:v>0.79559999999999997</c:v>
                </c:pt>
                <c:pt idx="1122">
                  <c:v>0.44900000000000001</c:v>
                </c:pt>
                <c:pt idx="1123">
                  <c:v>0.48</c:v>
                </c:pt>
                <c:pt idx="1124">
                  <c:v>0.16839999999999999</c:v>
                </c:pt>
                <c:pt idx="1125">
                  <c:v>0.53339999999999999</c:v>
                </c:pt>
                <c:pt idx="1126">
                  <c:v>0.65939999999999999</c:v>
                </c:pt>
                <c:pt idx="1127">
                  <c:v>0.28220000000000001</c:v>
                </c:pt>
                <c:pt idx="1128">
                  <c:v>0.755</c:v>
                </c:pt>
                <c:pt idx="1129">
                  <c:v>0.5544</c:v>
                </c:pt>
                <c:pt idx="1130">
                  <c:v>0.73960000000000004</c:v>
                </c:pt>
                <c:pt idx="1131">
                  <c:v>0.73099999999999998</c:v>
                </c:pt>
                <c:pt idx="1132">
                  <c:v>0.59660000000000002</c:v>
                </c:pt>
                <c:pt idx="1133">
                  <c:v>0.52859999999999996</c:v>
                </c:pt>
                <c:pt idx="1134">
                  <c:v>0.79759999999999998</c:v>
                </c:pt>
                <c:pt idx="1135">
                  <c:v>0.71760000000000002</c:v>
                </c:pt>
                <c:pt idx="1136">
                  <c:v>0.42199999999999999</c:v>
                </c:pt>
                <c:pt idx="1137">
                  <c:v>0.2044</c:v>
                </c:pt>
                <c:pt idx="1138">
                  <c:v>0.214</c:v>
                </c:pt>
                <c:pt idx="1139">
                  <c:v>0.79879999999999995</c:v>
                </c:pt>
                <c:pt idx="1140">
                  <c:v>0.43140000000000001</c:v>
                </c:pt>
                <c:pt idx="1141">
                  <c:v>0.30740000000000001</c:v>
                </c:pt>
                <c:pt idx="1142">
                  <c:v>0.39700000000000002</c:v>
                </c:pt>
                <c:pt idx="1143">
                  <c:v>0.16200000000000001</c:v>
                </c:pt>
                <c:pt idx="1144">
                  <c:v>0.59799999999999998</c:v>
                </c:pt>
                <c:pt idx="1145">
                  <c:v>0.81640000000000001</c:v>
                </c:pt>
                <c:pt idx="1146">
                  <c:v>0.72919999999999996</c:v>
                </c:pt>
                <c:pt idx="1147">
                  <c:v>0.92959999999999998</c:v>
                </c:pt>
                <c:pt idx="1148">
                  <c:v>0.63319999999999999</c:v>
                </c:pt>
                <c:pt idx="1149">
                  <c:v>0.40100000000000002</c:v>
                </c:pt>
                <c:pt idx="1150">
                  <c:v>0.58660000000000001</c:v>
                </c:pt>
                <c:pt idx="1151">
                  <c:v>0.4446</c:v>
                </c:pt>
                <c:pt idx="1152">
                  <c:v>0.45400000000000001</c:v>
                </c:pt>
                <c:pt idx="1153">
                  <c:v>0.8538</c:v>
                </c:pt>
                <c:pt idx="1154">
                  <c:v>0.54020000000000001</c:v>
                </c:pt>
                <c:pt idx="1155">
                  <c:v>0.629</c:v>
                </c:pt>
                <c:pt idx="1156">
                  <c:v>0.21579999999999999</c:v>
                </c:pt>
                <c:pt idx="1157">
                  <c:v>0.72819999999999996</c:v>
                </c:pt>
                <c:pt idx="1158">
                  <c:v>0.2044</c:v>
                </c:pt>
                <c:pt idx="1159">
                  <c:v>0.2026</c:v>
                </c:pt>
                <c:pt idx="1160">
                  <c:v>0.66779999999999995</c:v>
                </c:pt>
                <c:pt idx="1161">
                  <c:v>0.61419999999999997</c:v>
                </c:pt>
                <c:pt idx="1162">
                  <c:v>0.49419999999999997</c:v>
                </c:pt>
                <c:pt idx="1163">
                  <c:v>0.66379999999999995</c:v>
                </c:pt>
                <c:pt idx="1164">
                  <c:v>0.52039999999999997</c:v>
                </c:pt>
                <c:pt idx="1165">
                  <c:v>0.60860000000000003</c:v>
                </c:pt>
                <c:pt idx="1166">
                  <c:v>0.22739999999999999</c:v>
                </c:pt>
                <c:pt idx="1167">
                  <c:v>0.83460000000000001</c:v>
                </c:pt>
                <c:pt idx="1168">
                  <c:v>0.77639999999999998</c:v>
                </c:pt>
                <c:pt idx="1169">
                  <c:v>0.2172</c:v>
                </c:pt>
                <c:pt idx="1170">
                  <c:v>0.16839999999999999</c:v>
                </c:pt>
                <c:pt idx="1171">
                  <c:v>0.73340000000000005</c:v>
                </c:pt>
                <c:pt idx="1172">
                  <c:v>0.60740000000000005</c:v>
                </c:pt>
                <c:pt idx="1173">
                  <c:v>0.63100000000000001</c:v>
                </c:pt>
                <c:pt idx="1174">
                  <c:v>0.54400000000000004</c:v>
                </c:pt>
                <c:pt idx="1175">
                  <c:v>0.27</c:v>
                </c:pt>
                <c:pt idx="1176">
                  <c:v>0.69399999999999995</c:v>
                </c:pt>
                <c:pt idx="1177">
                  <c:v>0.42899999999999999</c:v>
                </c:pt>
                <c:pt idx="1178">
                  <c:v>0.18179999999999999</c:v>
                </c:pt>
                <c:pt idx="1179">
                  <c:v>0.24540000000000001</c:v>
                </c:pt>
                <c:pt idx="1180">
                  <c:v>0.64139999999999997</c:v>
                </c:pt>
                <c:pt idx="1181">
                  <c:v>0.71279999999999999</c:v>
                </c:pt>
                <c:pt idx="1182">
                  <c:v>0.33639999999999998</c:v>
                </c:pt>
                <c:pt idx="1183">
                  <c:v>0.70660000000000001</c:v>
                </c:pt>
                <c:pt idx="1184">
                  <c:v>0.94240000000000002</c:v>
                </c:pt>
                <c:pt idx="1185">
                  <c:v>0.35320000000000001</c:v>
                </c:pt>
                <c:pt idx="1186">
                  <c:v>0.50480000000000003</c:v>
                </c:pt>
                <c:pt idx="1187">
                  <c:v>0.72060000000000002</c:v>
                </c:pt>
                <c:pt idx="1188">
                  <c:v>0.22059999999999999</c:v>
                </c:pt>
                <c:pt idx="1189">
                  <c:v>0.2404</c:v>
                </c:pt>
                <c:pt idx="1190">
                  <c:v>0.94920000000000004</c:v>
                </c:pt>
                <c:pt idx="1191">
                  <c:v>0.75800000000000001</c:v>
                </c:pt>
                <c:pt idx="1192">
                  <c:v>0.47139999999999999</c:v>
                </c:pt>
                <c:pt idx="1193">
                  <c:v>0.34899999999999998</c:v>
                </c:pt>
                <c:pt idx="1194">
                  <c:v>0.58840000000000003</c:v>
                </c:pt>
                <c:pt idx="1195">
                  <c:v>0.1298</c:v>
                </c:pt>
                <c:pt idx="1196">
                  <c:v>0.62360000000000004</c:v>
                </c:pt>
                <c:pt idx="1197">
                  <c:v>0.1336</c:v>
                </c:pt>
                <c:pt idx="1198">
                  <c:v>0.1772</c:v>
                </c:pt>
                <c:pt idx="1199">
                  <c:v>0.4824</c:v>
                </c:pt>
                <c:pt idx="1200">
                  <c:v>0.40100000000000002</c:v>
                </c:pt>
                <c:pt idx="1201">
                  <c:v>0.86680000000000001</c:v>
                </c:pt>
                <c:pt idx="1202">
                  <c:v>0.67200000000000004</c:v>
                </c:pt>
                <c:pt idx="1203">
                  <c:v>0.50480000000000003</c:v>
                </c:pt>
                <c:pt idx="1204">
                  <c:v>0.74239999999999995</c:v>
                </c:pt>
                <c:pt idx="1205">
                  <c:v>0.68879999999999997</c:v>
                </c:pt>
                <c:pt idx="1206">
                  <c:v>0.61880000000000002</c:v>
                </c:pt>
                <c:pt idx="1207">
                  <c:v>0.94920000000000004</c:v>
                </c:pt>
                <c:pt idx="1208">
                  <c:v>0.17580000000000001</c:v>
                </c:pt>
                <c:pt idx="1209">
                  <c:v>0.66200000000000003</c:v>
                </c:pt>
                <c:pt idx="1210">
                  <c:v>0.81640000000000001</c:v>
                </c:pt>
                <c:pt idx="1211">
                  <c:v>0.91559999999999997</c:v>
                </c:pt>
                <c:pt idx="1212">
                  <c:v>0.60599999999999998</c:v>
                </c:pt>
                <c:pt idx="1213">
                  <c:v>0.20319999999999999</c:v>
                </c:pt>
                <c:pt idx="1214">
                  <c:v>0.94920000000000004</c:v>
                </c:pt>
                <c:pt idx="1215">
                  <c:v>0.66779999999999995</c:v>
                </c:pt>
                <c:pt idx="1216">
                  <c:v>0.72740000000000005</c:v>
                </c:pt>
                <c:pt idx="1217">
                  <c:v>0.68300000000000005</c:v>
                </c:pt>
                <c:pt idx="1218">
                  <c:v>0.67120000000000002</c:v>
                </c:pt>
                <c:pt idx="1219">
                  <c:v>0.94840000000000002</c:v>
                </c:pt>
                <c:pt idx="1220">
                  <c:v>0.77259999999999995</c:v>
                </c:pt>
                <c:pt idx="1221">
                  <c:v>0.93640000000000001</c:v>
                </c:pt>
                <c:pt idx="1222">
                  <c:v>0.86299999999999999</c:v>
                </c:pt>
                <c:pt idx="1223">
                  <c:v>0.2026</c:v>
                </c:pt>
                <c:pt idx="1224">
                  <c:v>0.1512</c:v>
                </c:pt>
                <c:pt idx="1225">
                  <c:v>0.54020000000000001</c:v>
                </c:pt>
                <c:pt idx="1226">
                  <c:v>0.81320000000000003</c:v>
                </c:pt>
                <c:pt idx="1227">
                  <c:v>0.9234</c:v>
                </c:pt>
                <c:pt idx="1228">
                  <c:v>0.70860000000000001</c:v>
                </c:pt>
                <c:pt idx="1229">
                  <c:v>0.2364</c:v>
                </c:pt>
                <c:pt idx="1230">
                  <c:v>0.63619999999999999</c:v>
                </c:pt>
                <c:pt idx="1231">
                  <c:v>0.57579999999999998</c:v>
                </c:pt>
                <c:pt idx="1232">
                  <c:v>0.11020000000000001</c:v>
                </c:pt>
                <c:pt idx="1233">
                  <c:v>0.18060000000000001</c:v>
                </c:pt>
                <c:pt idx="1234">
                  <c:v>0.65759999999999996</c:v>
                </c:pt>
                <c:pt idx="1235">
                  <c:v>0.59260000000000002</c:v>
                </c:pt>
                <c:pt idx="1236">
                  <c:v>0.78200000000000003</c:v>
                </c:pt>
                <c:pt idx="1237">
                  <c:v>0.7046</c:v>
                </c:pt>
                <c:pt idx="1238">
                  <c:v>0.35320000000000001</c:v>
                </c:pt>
                <c:pt idx="1239">
                  <c:v>0.82940000000000003</c:v>
                </c:pt>
                <c:pt idx="1240">
                  <c:v>0.31559999999999999</c:v>
                </c:pt>
                <c:pt idx="1241">
                  <c:v>0.50119999999999998</c:v>
                </c:pt>
                <c:pt idx="1242">
                  <c:v>0.51</c:v>
                </c:pt>
                <c:pt idx="1243">
                  <c:v>0.752</c:v>
                </c:pt>
                <c:pt idx="1244">
                  <c:v>0.50680000000000003</c:v>
                </c:pt>
                <c:pt idx="1245">
                  <c:v>0.62619999999999998</c:v>
                </c:pt>
                <c:pt idx="1246">
                  <c:v>0.29799999999999999</c:v>
                </c:pt>
                <c:pt idx="1247">
                  <c:v>0.1318</c:v>
                </c:pt>
                <c:pt idx="1248">
                  <c:v>0.27300000000000002</c:v>
                </c:pt>
                <c:pt idx="1249">
                  <c:v>0.87039999999999995</c:v>
                </c:pt>
                <c:pt idx="1250">
                  <c:v>0.92900000000000005</c:v>
                </c:pt>
                <c:pt idx="1251">
                  <c:v>0.13220000000000001</c:v>
                </c:pt>
                <c:pt idx="1252">
                  <c:v>0.1308</c:v>
                </c:pt>
                <c:pt idx="1253">
                  <c:v>0.50160000000000005</c:v>
                </c:pt>
                <c:pt idx="1254">
                  <c:v>0.82740000000000002</c:v>
                </c:pt>
                <c:pt idx="1255">
                  <c:v>0.85760000000000003</c:v>
                </c:pt>
                <c:pt idx="1256">
                  <c:v>0.30359999999999998</c:v>
                </c:pt>
                <c:pt idx="1257">
                  <c:v>0.27400000000000002</c:v>
                </c:pt>
                <c:pt idx="1258">
                  <c:v>0.94920000000000004</c:v>
                </c:pt>
                <c:pt idx="1259">
                  <c:v>0.13880000000000001</c:v>
                </c:pt>
                <c:pt idx="1260">
                  <c:v>0.91659999999999997</c:v>
                </c:pt>
                <c:pt idx="1261">
                  <c:v>0.39800000000000002</c:v>
                </c:pt>
                <c:pt idx="1262">
                  <c:v>0.58879999999999999</c:v>
                </c:pt>
                <c:pt idx="1263">
                  <c:v>0.47720000000000001</c:v>
                </c:pt>
                <c:pt idx="1264">
                  <c:v>0.82699999999999996</c:v>
                </c:pt>
                <c:pt idx="1265">
                  <c:v>0.55979999999999996</c:v>
                </c:pt>
                <c:pt idx="1266">
                  <c:v>0.64680000000000004</c:v>
                </c:pt>
                <c:pt idx="1267">
                  <c:v>0.35720000000000002</c:v>
                </c:pt>
                <c:pt idx="1268">
                  <c:v>0.36959999999999998</c:v>
                </c:pt>
                <c:pt idx="1269">
                  <c:v>0.57279999999999998</c:v>
                </c:pt>
                <c:pt idx="1270">
                  <c:v>0.5988</c:v>
                </c:pt>
                <c:pt idx="1271">
                  <c:v>0.71860000000000002</c:v>
                </c:pt>
                <c:pt idx="1272">
                  <c:v>0.14879999999999999</c:v>
                </c:pt>
                <c:pt idx="1273">
                  <c:v>0.69379999999999997</c:v>
                </c:pt>
                <c:pt idx="1274">
                  <c:v>0.309</c:v>
                </c:pt>
                <c:pt idx="1275">
                  <c:v>0.69259999999999999</c:v>
                </c:pt>
                <c:pt idx="1276">
                  <c:v>0.85119999999999996</c:v>
                </c:pt>
                <c:pt idx="1277">
                  <c:v>0.90539999999999998</c:v>
                </c:pt>
                <c:pt idx="1278">
                  <c:v>0.67359999999999998</c:v>
                </c:pt>
                <c:pt idx="1279">
                  <c:v>0.94920000000000004</c:v>
                </c:pt>
                <c:pt idx="1280">
                  <c:v>0.56299999999999994</c:v>
                </c:pt>
                <c:pt idx="1281">
                  <c:v>0.80779999999999996</c:v>
                </c:pt>
                <c:pt idx="1282">
                  <c:v>0.29520000000000002</c:v>
                </c:pt>
                <c:pt idx="1283">
                  <c:v>0.45979999999999999</c:v>
                </c:pt>
                <c:pt idx="1284">
                  <c:v>0.51780000000000004</c:v>
                </c:pt>
                <c:pt idx="1285">
                  <c:v>0.15740000000000001</c:v>
                </c:pt>
                <c:pt idx="1286">
                  <c:v>0.24660000000000001</c:v>
                </c:pt>
                <c:pt idx="1287">
                  <c:v>0.94920000000000004</c:v>
                </c:pt>
                <c:pt idx="1288">
                  <c:v>0.187</c:v>
                </c:pt>
                <c:pt idx="1289">
                  <c:v>0.33019999999999999</c:v>
                </c:pt>
                <c:pt idx="1290">
                  <c:v>0.94399999999999995</c:v>
                </c:pt>
                <c:pt idx="1291">
                  <c:v>0.32319999999999999</c:v>
                </c:pt>
                <c:pt idx="1292">
                  <c:v>0.53080000000000005</c:v>
                </c:pt>
                <c:pt idx="1293">
                  <c:v>0.87039999999999995</c:v>
                </c:pt>
                <c:pt idx="1294">
                  <c:v>0.27300000000000002</c:v>
                </c:pt>
                <c:pt idx="1295">
                  <c:v>0.55220000000000002</c:v>
                </c:pt>
                <c:pt idx="1296">
                  <c:v>0.68020000000000003</c:v>
                </c:pt>
                <c:pt idx="1297">
                  <c:v>0.52439999999999998</c:v>
                </c:pt>
                <c:pt idx="1298">
                  <c:v>0.41199999999999998</c:v>
                </c:pt>
                <c:pt idx="1299">
                  <c:v>0.89839999999999998</c:v>
                </c:pt>
                <c:pt idx="1300">
                  <c:v>0.4864</c:v>
                </c:pt>
                <c:pt idx="1301">
                  <c:v>0.55879999999999996</c:v>
                </c:pt>
                <c:pt idx="1302">
                  <c:v>0.60880000000000001</c:v>
                </c:pt>
                <c:pt idx="1303">
                  <c:v>0.49719999999999998</c:v>
                </c:pt>
                <c:pt idx="1304">
                  <c:v>0.21579999999999999</c:v>
                </c:pt>
                <c:pt idx="1305">
                  <c:v>0.66300000000000003</c:v>
                </c:pt>
                <c:pt idx="1306">
                  <c:v>0.14699999999999999</c:v>
                </c:pt>
                <c:pt idx="1307">
                  <c:v>0.34520000000000001</c:v>
                </c:pt>
                <c:pt idx="1308">
                  <c:v>0.1484</c:v>
                </c:pt>
                <c:pt idx="1309">
                  <c:v>0.3538</c:v>
                </c:pt>
                <c:pt idx="1310">
                  <c:v>0.19800000000000001</c:v>
                </c:pt>
                <c:pt idx="1311">
                  <c:v>0.58760000000000001</c:v>
                </c:pt>
                <c:pt idx="1312">
                  <c:v>0.18940000000000001</c:v>
                </c:pt>
                <c:pt idx="1313">
                  <c:v>0.39700000000000002</c:v>
                </c:pt>
                <c:pt idx="1314">
                  <c:v>0.3674</c:v>
                </c:pt>
                <c:pt idx="1315">
                  <c:v>0.222</c:v>
                </c:pt>
                <c:pt idx="1316">
                  <c:v>0.74299999999999999</c:v>
                </c:pt>
                <c:pt idx="1317">
                  <c:v>0.24940000000000001</c:v>
                </c:pt>
                <c:pt idx="1318">
                  <c:v>0.20519999999999999</c:v>
                </c:pt>
                <c:pt idx="1319">
                  <c:v>0.17380000000000001</c:v>
                </c:pt>
                <c:pt idx="1320">
                  <c:v>0.2364</c:v>
                </c:pt>
                <c:pt idx="1321">
                  <c:v>0.1216</c:v>
                </c:pt>
                <c:pt idx="1322">
                  <c:v>0.221</c:v>
                </c:pt>
                <c:pt idx="1323">
                  <c:v>0.34039999999999998</c:v>
                </c:pt>
                <c:pt idx="1324">
                  <c:v>0.61880000000000002</c:v>
                </c:pt>
                <c:pt idx="1325">
                  <c:v>0.22639999999999999</c:v>
                </c:pt>
                <c:pt idx="1326">
                  <c:v>0.80400000000000005</c:v>
                </c:pt>
                <c:pt idx="1327">
                  <c:v>0.52239999999999998</c:v>
                </c:pt>
                <c:pt idx="1328">
                  <c:v>0.3992</c:v>
                </c:pt>
                <c:pt idx="1329">
                  <c:v>0.81420000000000003</c:v>
                </c:pt>
                <c:pt idx="1330">
                  <c:v>0.8468</c:v>
                </c:pt>
                <c:pt idx="1331">
                  <c:v>0.45679999999999998</c:v>
                </c:pt>
                <c:pt idx="1332">
                  <c:v>0.8246</c:v>
                </c:pt>
                <c:pt idx="1333">
                  <c:v>0.16600000000000001</c:v>
                </c:pt>
                <c:pt idx="1334">
                  <c:v>0.88759999999999994</c:v>
                </c:pt>
                <c:pt idx="1335">
                  <c:v>0.36559999999999998</c:v>
                </c:pt>
                <c:pt idx="1336">
                  <c:v>0.48799999999999999</c:v>
                </c:pt>
                <c:pt idx="1337">
                  <c:v>0.39479999999999998</c:v>
                </c:pt>
                <c:pt idx="1338">
                  <c:v>0.53779999999999994</c:v>
                </c:pt>
                <c:pt idx="1339">
                  <c:v>0.67400000000000004</c:v>
                </c:pt>
                <c:pt idx="1340">
                  <c:v>0.37380000000000002</c:v>
                </c:pt>
                <c:pt idx="1341">
                  <c:v>0.31119999999999998</c:v>
                </c:pt>
                <c:pt idx="1342">
                  <c:v>0.94920000000000004</c:v>
                </c:pt>
                <c:pt idx="1343">
                  <c:v>0.47499999999999998</c:v>
                </c:pt>
                <c:pt idx="1344">
                  <c:v>0.38779999999999998</c:v>
                </c:pt>
                <c:pt idx="1345">
                  <c:v>0.45279999999999998</c:v>
                </c:pt>
                <c:pt idx="1346">
                  <c:v>0.91920000000000002</c:v>
                </c:pt>
                <c:pt idx="1347">
                  <c:v>0.1196</c:v>
                </c:pt>
                <c:pt idx="1348">
                  <c:v>0.59</c:v>
                </c:pt>
                <c:pt idx="1349">
                  <c:v>0.2258</c:v>
                </c:pt>
                <c:pt idx="1350">
                  <c:v>0.13880000000000001</c:v>
                </c:pt>
                <c:pt idx="1351">
                  <c:v>0.3286</c:v>
                </c:pt>
                <c:pt idx="1352">
                  <c:v>0.71040000000000003</c:v>
                </c:pt>
                <c:pt idx="1353">
                  <c:v>0.26100000000000001</c:v>
                </c:pt>
                <c:pt idx="1354">
                  <c:v>0.73780000000000001</c:v>
                </c:pt>
                <c:pt idx="1355">
                  <c:v>0.14760000000000001</c:v>
                </c:pt>
                <c:pt idx="1356">
                  <c:v>0.1694</c:v>
                </c:pt>
                <c:pt idx="1357">
                  <c:v>0.37959999999999999</c:v>
                </c:pt>
                <c:pt idx="1358">
                  <c:v>0.24460000000000001</c:v>
                </c:pt>
                <c:pt idx="1359">
                  <c:v>0.84840000000000004</c:v>
                </c:pt>
                <c:pt idx="1360">
                  <c:v>0.81799999999999995</c:v>
                </c:pt>
                <c:pt idx="1361">
                  <c:v>0.629</c:v>
                </c:pt>
                <c:pt idx="1362">
                  <c:v>0.63759999999999994</c:v>
                </c:pt>
                <c:pt idx="1363">
                  <c:v>0.74199999999999999</c:v>
                </c:pt>
                <c:pt idx="1364">
                  <c:v>0.6482</c:v>
                </c:pt>
                <c:pt idx="1365">
                  <c:v>0.73340000000000005</c:v>
                </c:pt>
                <c:pt idx="1366">
                  <c:v>0.81799999999999995</c:v>
                </c:pt>
                <c:pt idx="1367">
                  <c:v>0.26240000000000002</c:v>
                </c:pt>
                <c:pt idx="1368">
                  <c:v>0.59519999999999995</c:v>
                </c:pt>
                <c:pt idx="1369">
                  <c:v>0.56699999999999995</c:v>
                </c:pt>
                <c:pt idx="1370">
                  <c:v>0.37159999999999999</c:v>
                </c:pt>
                <c:pt idx="1371">
                  <c:v>0.85540000000000005</c:v>
                </c:pt>
                <c:pt idx="1372">
                  <c:v>0.24179999999999999</c:v>
                </c:pt>
                <c:pt idx="1373">
                  <c:v>0.53979999999999995</c:v>
                </c:pt>
                <c:pt idx="1374">
                  <c:v>0.73319999999999996</c:v>
                </c:pt>
                <c:pt idx="1375">
                  <c:v>0.67559999999999998</c:v>
                </c:pt>
                <c:pt idx="1376">
                  <c:v>0.52959999999999996</c:v>
                </c:pt>
                <c:pt idx="1377">
                  <c:v>0.3604</c:v>
                </c:pt>
                <c:pt idx="1378">
                  <c:v>0.60199999999999998</c:v>
                </c:pt>
                <c:pt idx="1379">
                  <c:v>0.37</c:v>
                </c:pt>
                <c:pt idx="1380">
                  <c:v>0.53339999999999999</c:v>
                </c:pt>
                <c:pt idx="1381">
                  <c:v>0.6482</c:v>
                </c:pt>
                <c:pt idx="1382">
                  <c:v>0.28999999999999998</c:v>
                </c:pt>
                <c:pt idx="1383">
                  <c:v>0.25819999999999999</c:v>
                </c:pt>
                <c:pt idx="1384">
                  <c:v>0.19539999999999999</c:v>
                </c:pt>
                <c:pt idx="1385">
                  <c:v>0.23219999999999999</c:v>
                </c:pt>
                <c:pt idx="1386">
                  <c:v>0.94920000000000004</c:v>
                </c:pt>
                <c:pt idx="1387">
                  <c:v>0.90100000000000002</c:v>
                </c:pt>
                <c:pt idx="1388">
                  <c:v>0.58760000000000001</c:v>
                </c:pt>
                <c:pt idx="1389">
                  <c:v>0.63439999999999996</c:v>
                </c:pt>
                <c:pt idx="1390">
                  <c:v>0.24759999999999999</c:v>
                </c:pt>
                <c:pt idx="1391">
                  <c:v>0.47699999999999998</c:v>
                </c:pt>
                <c:pt idx="1392">
                  <c:v>0.67979999999999996</c:v>
                </c:pt>
                <c:pt idx="1393">
                  <c:v>0.17380000000000001</c:v>
                </c:pt>
                <c:pt idx="1394">
                  <c:v>0.17660000000000001</c:v>
                </c:pt>
                <c:pt idx="1395">
                  <c:v>0.1694</c:v>
                </c:pt>
                <c:pt idx="1396">
                  <c:v>0.5998</c:v>
                </c:pt>
                <c:pt idx="1397">
                  <c:v>0.34599999999999997</c:v>
                </c:pt>
                <c:pt idx="1398">
                  <c:v>0.74060000000000004</c:v>
                </c:pt>
                <c:pt idx="1399">
                  <c:v>0.87039999999999995</c:v>
                </c:pt>
                <c:pt idx="1400">
                  <c:v>0.67400000000000004</c:v>
                </c:pt>
                <c:pt idx="1401">
                  <c:v>0.52100000000000002</c:v>
                </c:pt>
                <c:pt idx="1402">
                  <c:v>0.69740000000000002</c:v>
                </c:pt>
                <c:pt idx="1403">
                  <c:v>0.64680000000000004</c:v>
                </c:pt>
                <c:pt idx="1404">
                  <c:v>0.51280000000000003</c:v>
                </c:pt>
                <c:pt idx="1405">
                  <c:v>0.66559999999999997</c:v>
                </c:pt>
                <c:pt idx="1406">
                  <c:v>0.26340000000000002</c:v>
                </c:pt>
                <c:pt idx="1407">
                  <c:v>0.6482</c:v>
                </c:pt>
                <c:pt idx="1408">
                  <c:v>0.40179999999999999</c:v>
                </c:pt>
                <c:pt idx="1409">
                  <c:v>0.71760000000000002</c:v>
                </c:pt>
                <c:pt idx="1410">
                  <c:v>0.71199999999999997</c:v>
                </c:pt>
                <c:pt idx="1411">
                  <c:v>0.79479999999999995</c:v>
                </c:pt>
                <c:pt idx="1412">
                  <c:v>0.86799999999999999</c:v>
                </c:pt>
                <c:pt idx="1413">
                  <c:v>0.85119999999999996</c:v>
                </c:pt>
                <c:pt idx="1414">
                  <c:v>0.94920000000000004</c:v>
                </c:pt>
                <c:pt idx="1415">
                  <c:v>0.78859999999999997</c:v>
                </c:pt>
                <c:pt idx="1416">
                  <c:v>0.93459999999999999</c:v>
                </c:pt>
                <c:pt idx="1417">
                  <c:v>0.73580000000000001</c:v>
                </c:pt>
                <c:pt idx="1418">
                  <c:v>0.25359999999999999</c:v>
                </c:pt>
                <c:pt idx="1419">
                  <c:v>0.14879999999999999</c:v>
                </c:pt>
                <c:pt idx="1420">
                  <c:v>0.57579999999999998</c:v>
                </c:pt>
                <c:pt idx="1421">
                  <c:v>0.78720000000000001</c:v>
                </c:pt>
                <c:pt idx="1422">
                  <c:v>0.312</c:v>
                </c:pt>
                <c:pt idx="1423">
                  <c:v>0.373</c:v>
                </c:pt>
                <c:pt idx="1424">
                  <c:v>0.48599999999999999</c:v>
                </c:pt>
                <c:pt idx="1425">
                  <c:v>0.41839999999999999</c:v>
                </c:pt>
                <c:pt idx="1426">
                  <c:v>0.91659999999999997</c:v>
                </c:pt>
                <c:pt idx="1427">
                  <c:v>0.55879999999999996</c:v>
                </c:pt>
                <c:pt idx="1428">
                  <c:v>0.4148</c:v>
                </c:pt>
                <c:pt idx="1429">
                  <c:v>0.87980000000000003</c:v>
                </c:pt>
                <c:pt idx="1430">
                  <c:v>0.52500000000000002</c:v>
                </c:pt>
                <c:pt idx="1431">
                  <c:v>0.85019999999999996</c:v>
                </c:pt>
                <c:pt idx="1432">
                  <c:v>0.94920000000000004</c:v>
                </c:pt>
                <c:pt idx="1433">
                  <c:v>0.94920000000000004</c:v>
                </c:pt>
                <c:pt idx="1434">
                  <c:v>0.56520000000000004</c:v>
                </c:pt>
                <c:pt idx="1435">
                  <c:v>0.91479999999999995</c:v>
                </c:pt>
                <c:pt idx="1436">
                  <c:v>0.94920000000000004</c:v>
                </c:pt>
                <c:pt idx="1437">
                  <c:v>0.50419999999999998</c:v>
                </c:pt>
                <c:pt idx="1438">
                  <c:v>0.84460000000000002</c:v>
                </c:pt>
                <c:pt idx="1439">
                  <c:v>0.70720000000000005</c:v>
                </c:pt>
                <c:pt idx="1440">
                  <c:v>0.5</c:v>
                </c:pt>
                <c:pt idx="1441">
                  <c:v>0.4496</c:v>
                </c:pt>
                <c:pt idx="1442">
                  <c:v>0.33539999999999998</c:v>
                </c:pt>
                <c:pt idx="1443">
                  <c:v>0.35899999999999999</c:v>
                </c:pt>
                <c:pt idx="1444">
                  <c:v>0.3286</c:v>
                </c:pt>
                <c:pt idx="1445">
                  <c:v>0.3206</c:v>
                </c:pt>
                <c:pt idx="1446">
                  <c:v>0.1358</c:v>
                </c:pt>
                <c:pt idx="1447">
                  <c:v>0.79759999999999998</c:v>
                </c:pt>
                <c:pt idx="1448">
                  <c:v>0.19819999999999999</c:v>
                </c:pt>
                <c:pt idx="1449">
                  <c:v>0.61799999999999999</c:v>
                </c:pt>
                <c:pt idx="1450">
                  <c:v>0.57379999999999998</c:v>
                </c:pt>
                <c:pt idx="1451">
                  <c:v>0.81079999999999997</c:v>
                </c:pt>
                <c:pt idx="1452">
                  <c:v>0.432</c:v>
                </c:pt>
                <c:pt idx="1453">
                  <c:v>0.66779999999999995</c:v>
                </c:pt>
                <c:pt idx="1454">
                  <c:v>0.92420000000000002</c:v>
                </c:pt>
                <c:pt idx="1455">
                  <c:v>0.74060000000000004</c:v>
                </c:pt>
                <c:pt idx="1456">
                  <c:v>0.214</c:v>
                </c:pt>
                <c:pt idx="1457">
                  <c:v>0.1694</c:v>
                </c:pt>
                <c:pt idx="1458">
                  <c:v>0.94920000000000004</c:v>
                </c:pt>
                <c:pt idx="1459">
                  <c:v>0.12559999999999999</c:v>
                </c:pt>
                <c:pt idx="1460">
                  <c:v>0.20799999999999999</c:v>
                </c:pt>
                <c:pt idx="1461">
                  <c:v>0.6784</c:v>
                </c:pt>
                <c:pt idx="1462">
                  <c:v>0.85940000000000005</c:v>
                </c:pt>
                <c:pt idx="1463">
                  <c:v>0.57279999999999998</c:v>
                </c:pt>
                <c:pt idx="1464">
                  <c:v>0.68020000000000003</c:v>
                </c:pt>
                <c:pt idx="1465">
                  <c:v>0.76439999999999997</c:v>
                </c:pt>
                <c:pt idx="1466">
                  <c:v>0.59160000000000001</c:v>
                </c:pt>
                <c:pt idx="1467">
                  <c:v>0.23100000000000001</c:v>
                </c:pt>
                <c:pt idx="1468">
                  <c:v>0.26200000000000001</c:v>
                </c:pt>
                <c:pt idx="1469">
                  <c:v>0.71379999999999999</c:v>
                </c:pt>
                <c:pt idx="1470">
                  <c:v>0.45600000000000002</c:v>
                </c:pt>
                <c:pt idx="1471">
                  <c:v>0.51859999999999995</c:v>
                </c:pt>
                <c:pt idx="1472">
                  <c:v>0.30299999999999999</c:v>
                </c:pt>
                <c:pt idx="1473">
                  <c:v>0.30299999999999999</c:v>
                </c:pt>
                <c:pt idx="1474">
                  <c:v>0.43880000000000002</c:v>
                </c:pt>
                <c:pt idx="1475">
                  <c:v>0.93940000000000001</c:v>
                </c:pt>
                <c:pt idx="1476">
                  <c:v>0.63880000000000003</c:v>
                </c:pt>
                <c:pt idx="1477">
                  <c:v>0.19220000000000001</c:v>
                </c:pt>
                <c:pt idx="1478">
                  <c:v>0.20680000000000001</c:v>
                </c:pt>
                <c:pt idx="1479">
                  <c:v>0.68879999999999997</c:v>
                </c:pt>
                <c:pt idx="1480">
                  <c:v>0.65139999999999998</c:v>
                </c:pt>
                <c:pt idx="1481">
                  <c:v>0.56779999999999997</c:v>
                </c:pt>
                <c:pt idx="1482">
                  <c:v>0.34360000000000002</c:v>
                </c:pt>
                <c:pt idx="1483">
                  <c:v>0.52500000000000002</c:v>
                </c:pt>
                <c:pt idx="1484">
                  <c:v>0.35160000000000002</c:v>
                </c:pt>
                <c:pt idx="1485">
                  <c:v>0.1946</c:v>
                </c:pt>
                <c:pt idx="1486">
                  <c:v>0.86180000000000001</c:v>
                </c:pt>
                <c:pt idx="1487">
                  <c:v>0.40279999999999999</c:v>
                </c:pt>
                <c:pt idx="1488">
                  <c:v>0.16600000000000001</c:v>
                </c:pt>
                <c:pt idx="1489">
                  <c:v>0.29360000000000003</c:v>
                </c:pt>
                <c:pt idx="1490">
                  <c:v>0.91059999999999997</c:v>
                </c:pt>
                <c:pt idx="1491">
                  <c:v>0.78720000000000001</c:v>
                </c:pt>
                <c:pt idx="1492">
                  <c:v>0.183</c:v>
                </c:pt>
                <c:pt idx="1493">
                  <c:v>0.58699999999999997</c:v>
                </c:pt>
                <c:pt idx="1494">
                  <c:v>0.32140000000000002</c:v>
                </c:pt>
                <c:pt idx="1495">
                  <c:v>0.86099999999999999</c:v>
                </c:pt>
                <c:pt idx="1496">
                  <c:v>0.746</c:v>
                </c:pt>
                <c:pt idx="1497">
                  <c:v>0.58499999999999996</c:v>
                </c:pt>
                <c:pt idx="1498">
                  <c:v>0.312</c:v>
                </c:pt>
                <c:pt idx="1499">
                  <c:v>0.38400000000000001</c:v>
                </c:pt>
                <c:pt idx="1500">
                  <c:v>0.26779999999999998</c:v>
                </c:pt>
                <c:pt idx="1501">
                  <c:v>0.94279999999999997</c:v>
                </c:pt>
                <c:pt idx="1502">
                  <c:v>0.66659999999999997</c:v>
                </c:pt>
                <c:pt idx="1503">
                  <c:v>0.58879999999999999</c:v>
                </c:pt>
                <c:pt idx="1504">
                  <c:v>0.45679999999999998</c:v>
                </c:pt>
                <c:pt idx="1505">
                  <c:v>0.66279999999999994</c:v>
                </c:pt>
                <c:pt idx="1506">
                  <c:v>0.71679999999999999</c:v>
                </c:pt>
                <c:pt idx="1507">
                  <c:v>0.91559999999999997</c:v>
                </c:pt>
                <c:pt idx="1508">
                  <c:v>0.82740000000000002</c:v>
                </c:pt>
                <c:pt idx="1509">
                  <c:v>0.30020000000000002</c:v>
                </c:pt>
                <c:pt idx="1510">
                  <c:v>0.53680000000000005</c:v>
                </c:pt>
                <c:pt idx="1511">
                  <c:v>0.72419999999999995</c:v>
                </c:pt>
                <c:pt idx="1512">
                  <c:v>0.8004</c:v>
                </c:pt>
                <c:pt idx="1513">
                  <c:v>0.42899999999999999</c:v>
                </c:pt>
                <c:pt idx="1514">
                  <c:v>0.64139999999999997</c:v>
                </c:pt>
                <c:pt idx="1515">
                  <c:v>0.87980000000000003</c:v>
                </c:pt>
                <c:pt idx="1516">
                  <c:v>0.53220000000000001</c:v>
                </c:pt>
                <c:pt idx="1517">
                  <c:v>0.41899999999999998</c:v>
                </c:pt>
                <c:pt idx="1518">
                  <c:v>0.88160000000000005</c:v>
                </c:pt>
                <c:pt idx="1519">
                  <c:v>0.91479999999999995</c:v>
                </c:pt>
                <c:pt idx="1520">
                  <c:v>0.94920000000000004</c:v>
                </c:pt>
                <c:pt idx="1521">
                  <c:v>0.49480000000000002</c:v>
                </c:pt>
                <c:pt idx="1522">
                  <c:v>0.89200000000000002</c:v>
                </c:pt>
                <c:pt idx="1523">
                  <c:v>0.20519999999999999</c:v>
                </c:pt>
                <c:pt idx="1524">
                  <c:v>0.77780000000000005</c:v>
                </c:pt>
                <c:pt idx="1525">
                  <c:v>0.65939999999999999</c:v>
                </c:pt>
                <c:pt idx="1526">
                  <c:v>0.94920000000000004</c:v>
                </c:pt>
                <c:pt idx="1527">
                  <c:v>0.5786</c:v>
                </c:pt>
                <c:pt idx="1528">
                  <c:v>0.70960000000000001</c:v>
                </c:pt>
                <c:pt idx="1529">
                  <c:v>0.94579999999999997</c:v>
                </c:pt>
                <c:pt idx="1530">
                  <c:v>0.56520000000000004</c:v>
                </c:pt>
                <c:pt idx="1531">
                  <c:v>0.68020000000000003</c:v>
                </c:pt>
                <c:pt idx="1532">
                  <c:v>0.82740000000000002</c:v>
                </c:pt>
                <c:pt idx="1533">
                  <c:v>0.4214</c:v>
                </c:pt>
                <c:pt idx="1534">
                  <c:v>0.63680000000000003</c:v>
                </c:pt>
                <c:pt idx="1535">
                  <c:v>0.1144</c:v>
                </c:pt>
                <c:pt idx="1536">
                  <c:v>0.26779999999999998</c:v>
                </c:pt>
                <c:pt idx="1537">
                  <c:v>0.57140000000000002</c:v>
                </c:pt>
                <c:pt idx="1538">
                  <c:v>0.37659999999999999</c:v>
                </c:pt>
                <c:pt idx="1539">
                  <c:v>0.71379999999999999</c:v>
                </c:pt>
                <c:pt idx="1540">
                  <c:v>0.74139999999999995</c:v>
                </c:pt>
                <c:pt idx="1541">
                  <c:v>0.253</c:v>
                </c:pt>
                <c:pt idx="1542">
                  <c:v>0.72160000000000002</c:v>
                </c:pt>
                <c:pt idx="1543">
                  <c:v>0.33339999999999997</c:v>
                </c:pt>
                <c:pt idx="1544">
                  <c:v>0.2036</c:v>
                </c:pt>
                <c:pt idx="1545">
                  <c:v>0.7974</c:v>
                </c:pt>
                <c:pt idx="1546">
                  <c:v>0.70720000000000005</c:v>
                </c:pt>
                <c:pt idx="1547">
                  <c:v>0.37</c:v>
                </c:pt>
                <c:pt idx="1548">
                  <c:v>0.60160000000000002</c:v>
                </c:pt>
                <c:pt idx="1549">
                  <c:v>0.13880000000000001</c:v>
                </c:pt>
                <c:pt idx="1550">
                  <c:v>0.46920000000000001</c:v>
                </c:pt>
                <c:pt idx="1551">
                  <c:v>0.6704</c:v>
                </c:pt>
                <c:pt idx="1552">
                  <c:v>0.2828</c:v>
                </c:pt>
                <c:pt idx="1553">
                  <c:v>0.29239999999999999</c:v>
                </c:pt>
                <c:pt idx="1554">
                  <c:v>0.67559999999999998</c:v>
                </c:pt>
                <c:pt idx="1555">
                  <c:v>0.62139999999999995</c:v>
                </c:pt>
                <c:pt idx="1556">
                  <c:v>0.43759999999999999</c:v>
                </c:pt>
                <c:pt idx="1557">
                  <c:v>0.36299999999999999</c:v>
                </c:pt>
                <c:pt idx="1558">
                  <c:v>0.42199999999999999</c:v>
                </c:pt>
                <c:pt idx="1559">
                  <c:v>0.122</c:v>
                </c:pt>
                <c:pt idx="1560">
                  <c:v>0.56140000000000001</c:v>
                </c:pt>
                <c:pt idx="1561">
                  <c:v>0.49299999999999999</c:v>
                </c:pt>
                <c:pt idx="1562">
                  <c:v>0.22900000000000001</c:v>
                </c:pt>
                <c:pt idx="1563">
                  <c:v>0.7782</c:v>
                </c:pt>
                <c:pt idx="1564">
                  <c:v>0.38</c:v>
                </c:pt>
                <c:pt idx="1565">
                  <c:v>0.62619999999999998</c:v>
                </c:pt>
                <c:pt idx="1566">
                  <c:v>0.57799999999999996</c:v>
                </c:pt>
                <c:pt idx="1567">
                  <c:v>0.30020000000000002</c:v>
                </c:pt>
                <c:pt idx="1568">
                  <c:v>0.58140000000000003</c:v>
                </c:pt>
                <c:pt idx="1569">
                  <c:v>0.55740000000000001</c:v>
                </c:pt>
                <c:pt idx="1570">
                  <c:v>0.112</c:v>
                </c:pt>
                <c:pt idx="1571">
                  <c:v>0.23499999999999999</c:v>
                </c:pt>
                <c:pt idx="1572">
                  <c:v>0.224</c:v>
                </c:pt>
                <c:pt idx="1573">
                  <c:v>0.8982</c:v>
                </c:pt>
                <c:pt idx="1574">
                  <c:v>0.89139999999999997</c:v>
                </c:pt>
                <c:pt idx="1575">
                  <c:v>0.87039999999999995</c:v>
                </c:pt>
                <c:pt idx="1576">
                  <c:v>0.23480000000000001</c:v>
                </c:pt>
                <c:pt idx="1577">
                  <c:v>0.58760000000000001</c:v>
                </c:pt>
                <c:pt idx="1578">
                  <c:v>0.34799999999999998</c:v>
                </c:pt>
                <c:pt idx="1579">
                  <c:v>0.90800000000000003</c:v>
                </c:pt>
                <c:pt idx="1580">
                  <c:v>0.86399999999999999</c:v>
                </c:pt>
                <c:pt idx="1581">
                  <c:v>0.89200000000000002</c:v>
                </c:pt>
                <c:pt idx="1582">
                  <c:v>0.21879999999999999</c:v>
                </c:pt>
                <c:pt idx="1583">
                  <c:v>0.90100000000000002</c:v>
                </c:pt>
                <c:pt idx="1584">
                  <c:v>0.31059999999999999</c:v>
                </c:pt>
                <c:pt idx="1585">
                  <c:v>0.33079999999999998</c:v>
                </c:pt>
                <c:pt idx="1586">
                  <c:v>0.94920000000000004</c:v>
                </c:pt>
                <c:pt idx="1587">
                  <c:v>0.25359999999999999</c:v>
                </c:pt>
                <c:pt idx="1588">
                  <c:v>0.32400000000000001</c:v>
                </c:pt>
                <c:pt idx="1589">
                  <c:v>0.25359999999999999</c:v>
                </c:pt>
                <c:pt idx="1590">
                  <c:v>0.94920000000000004</c:v>
                </c:pt>
                <c:pt idx="1591">
                  <c:v>0.40379999999999999</c:v>
                </c:pt>
                <c:pt idx="1592">
                  <c:v>0.39219999999999999</c:v>
                </c:pt>
                <c:pt idx="1593">
                  <c:v>0.5706</c:v>
                </c:pt>
                <c:pt idx="1594">
                  <c:v>0.82740000000000002</c:v>
                </c:pt>
                <c:pt idx="1595">
                  <c:v>0.65880000000000005</c:v>
                </c:pt>
                <c:pt idx="1596">
                  <c:v>0.49719999999999998</c:v>
                </c:pt>
                <c:pt idx="1597">
                  <c:v>0.5494</c:v>
                </c:pt>
                <c:pt idx="1598">
                  <c:v>0.91059999999999997</c:v>
                </c:pt>
                <c:pt idx="1599">
                  <c:v>0.52600000000000002</c:v>
                </c:pt>
                <c:pt idx="1600">
                  <c:v>0.53720000000000001</c:v>
                </c:pt>
                <c:pt idx="1601">
                  <c:v>0.49559999999999998</c:v>
                </c:pt>
                <c:pt idx="1602">
                  <c:v>0.1376</c:v>
                </c:pt>
                <c:pt idx="1603">
                  <c:v>0.29360000000000003</c:v>
                </c:pt>
                <c:pt idx="1604">
                  <c:v>0.40679999999999999</c:v>
                </c:pt>
                <c:pt idx="1605">
                  <c:v>0.56079999999999997</c:v>
                </c:pt>
                <c:pt idx="1606">
                  <c:v>0.24940000000000001</c:v>
                </c:pt>
                <c:pt idx="1607">
                  <c:v>0.31119999999999998</c:v>
                </c:pt>
                <c:pt idx="1608">
                  <c:v>0.4158</c:v>
                </c:pt>
                <c:pt idx="1609">
                  <c:v>0.1288</c:v>
                </c:pt>
                <c:pt idx="1610">
                  <c:v>0.34520000000000001</c:v>
                </c:pt>
                <c:pt idx="1611">
                  <c:v>0.37380000000000002</c:v>
                </c:pt>
                <c:pt idx="1612">
                  <c:v>0.90100000000000002</c:v>
                </c:pt>
                <c:pt idx="1613">
                  <c:v>0.13519999999999999</c:v>
                </c:pt>
                <c:pt idx="1614">
                  <c:v>0.1376</c:v>
                </c:pt>
                <c:pt idx="1615">
                  <c:v>0.47799999999999998</c:v>
                </c:pt>
                <c:pt idx="1616">
                  <c:v>0.94920000000000004</c:v>
                </c:pt>
                <c:pt idx="1617">
                  <c:v>0.6734</c:v>
                </c:pt>
                <c:pt idx="1618">
                  <c:v>0.59799999999999998</c:v>
                </c:pt>
                <c:pt idx="1619">
                  <c:v>0.77859999999999996</c:v>
                </c:pt>
                <c:pt idx="1620">
                  <c:v>0.82940000000000003</c:v>
                </c:pt>
                <c:pt idx="1621">
                  <c:v>0.26019999999999999</c:v>
                </c:pt>
                <c:pt idx="1622">
                  <c:v>0.18940000000000001</c:v>
                </c:pt>
                <c:pt idx="1623">
                  <c:v>0.74760000000000004</c:v>
                </c:pt>
                <c:pt idx="1624">
                  <c:v>0.375</c:v>
                </c:pt>
                <c:pt idx="1625">
                  <c:v>0.67679999999999996</c:v>
                </c:pt>
                <c:pt idx="1626">
                  <c:v>0.1988</c:v>
                </c:pt>
                <c:pt idx="1627">
                  <c:v>0.38979999999999998</c:v>
                </c:pt>
                <c:pt idx="1628">
                  <c:v>0.44740000000000002</c:v>
                </c:pt>
                <c:pt idx="1629">
                  <c:v>0.4496</c:v>
                </c:pt>
                <c:pt idx="1630">
                  <c:v>0.6704</c:v>
                </c:pt>
                <c:pt idx="1631">
                  <c:v>0.29699999999999999</c:v>
                </c:pt>
                <c:pt idx="1632">
                  <c:v>0.21940000000000001</c:v>
                </c:pt>
                <c:pt idx="1633">
                  <c:v>0.55559999999999998</c:v>
                </c:pt>
                <c:pt idx="1634">
                  <c:v>0.34360000000000002</c:v>
                </c:pt>
                <c:pt idx="1635">
                  <c:v>0.70579999999999998</c:v>
                </c:pt>
                <c:pt idx="1636">
                  <c:v>0.94399999999999995</c:v>
                </c:pt>
                <c:pt idx="1637">
                  <c:v>0.503</c:v>
                </c:pt>
                <c:pt idx="1638">
                  <c:v>0.81420000000000003</c:v>
                </c:pt>
                <c:pt idx="1639">
                  <c:v>0.1666</c:v>
                </c:pt>
                <c:pt idx="1640">
                  <c:v>0.156</c:v>
                </c:pt>
                <c:pt idx="1641">
                  <c:v>0.21279999999999999</c:v>
                </c:pt>
                <c:pt idx="1642">
                  <c:v>0.32140000000000002</c:v>
                </c:pt>
                <c:pt idx="1643">
                  <c:v>0.94920000000000004</c:v>
                </c:pt>
                <c:pt idx="1644">
                  <c:v>0.11020000000000001</c:v>
                </c:pt>
                <c:pt idx="1645">
                  <c:v>0.80459999999999998</c:v>
                </c:pt>
                <c:pt idx="1646">
                  <c:v>0.64139999999999997</c:v>
                </c:pt>
                <c:pt idx="1647">
                  <c:v>0.35320000000000001</c:v>
                </c:pt>
                <c:pt idx="1648">
                  <c:v>0.8478</c:v>
                </c:pt>
                <c:pt idx="1649">
                  <c:v>0.73160000000000003</c:v>
                </c:pt>
                <c:pt idx="1650">
                  <c:v>0.93940000000000001</c:v>
                </c:pt>
                <c:pt idx="1651">
                  <c:v>0.1704</c:v>
                </c:pt>
                <c:pt idx="1652">
                  <c:v>0.29459999999999997</c:v>
                </c:pt>
                <c:pt idx="1653">
                  <c:v>0.91020000000000001</c:v>
                </c:pt>
                <c:pt idx="1654">
                  <c:v>0.496</c:v>
                </c:pt>
                <c:pt idx="1655">
                  <c:v>0.59379999999999999</c:v>
                </c:pt>
                <c:pt idx="1656">
                  <c:v>0.29799999999999999</c:v>
                </c:pt>
                <c:pt idx="1657">
                  <c:v>0.38219999999999998</c:v>
                </c:pt>
                <c:pt idx="1658">
                  <c:v>0.36659999999999998</c:v>
                </c:pt>
                <c:pt idx="1659">
                  <c:v>0.8246</c:v>
                </c:pt>
                <c:pt idx="1660">
                  <c:v>0.81079999999999997</c:v>
                </c:pt>
                <c:pt idx="1661">
                  <c:v>0.39040000000000002</c:v>
                </c:pt>
                <c:pt idx="1662">
                  <c:v>0.56299999999999994</c:v>
                </c:pt>
                <c:pt idx="1663">
                  <c:v>0.81799999999999995</c:v>
                </c:pt>
                <c:pt idx="1664">
                  <c:v>0.89680000000000004</c:v>
                </c:pt>
                <c:pt idx="1665">
                  <c:v>0.76780000000000004</c:v>
                </c:pt>
                <c:pt idx="1666">
                  <c:v>0.5474</c:v>
                </c:pt>
                <c:pt idx="1667">
                  <c:v>0.62619999999999998</c:v>
                </c:pt>
                <c:pt idx="1668">
                  <c:v>0.5302</c:v>
                </c:pt>
                <c:pt idx="1669">
                  <c:v>0.74439999999999995</c:v>
                </c:pt>
                <c:pt idx="1670">
                  <c:v>0.878</c:v>
                </c:pt>
                <c:pt idx="1671">
                  <c:v>0.38740000000000002</c:v>
                </c:pt>
                <c:pt idx="1672">
                  <c:v>0.66979999999999995</c:v>
                </c:pt>
                <c:pt idx="1673">
                  <c:v>0.73199999999999998</c:v>
                </c:pt>
                <c:pt idx="1674">
                  <c:v>0.32440000000000002</c:v>
                </c:pt>
                <c:pt idx="1675">
                  <c:v>0.44579999999999997</c:v>
                </c:pt>
                <c:pt idx="1676">
                  <c:v>0.14280000000000001</c:v>
                </c:pt>
                <c:pt idx="1677">
                  <c:v>0.55120000000000002</c:v>
                </c:pt>
                <c:pt idx="1678">
                  <c:v>0.37159999999999999</c:v>
                </c:pt>
                <c:pt idx="1679">
                  <c:v>0.86439999999999995</c:v>
                </c:pt>
                <c:pt idx="1680">
                  <c:v>0.62619999999999998</c:v>
                </c:pt>
                <c:pt idx="1681">
                  <c:v>0.1988</c:v>
                </c:pt>
                <c:pt idx="1682">
                  <c:v>0.93400000000000005</c:v>
                </c:pt>
                <c:pt idx="1683">
                  <c:v>0.43319999999999997</c:v>
                </c:pt>
                <c:pt idx="1684">
                  <c:v>0.56999999999999995</c:v>
                </c:pt>
                <c:pt idx="1685">
                  <c:v>0.1968</c:v>
                </c:pt>
                <c:pt idx="1686">
                  <c:v>0.91059999999999997</c:v>
                </c:pt>
                <c:pt idx="1687">
                  <c:v>0.53180000000000005</c:v>
                </c:pt>
                <c:pt idx="1688">
                  <c:v>0.66559999999999997</c:v>
                </c:pt>
                <c:pt idx="1689">
                  <c:v>0.58499999999999996</c:v>
                </c:pt>
                <c:pt idx="1690">
                  <c:v>0.114</c:v>
                </c:pt>
                <c:pt idx="1691">
                  <c:v>0.66300000000000003</c:v>
                </c:pt>
                <c:pt idx="1692">
                  <c:v>0.94240000000000002</c:v>
                </c:pt>
                <c:pt idx="1693">
                  <c:v>0.1288</c:v>
                </c:pt>
                <c:pt idx="1694">
                  <c:v>0.3604</c:v>
                </c:pt>
                <c:pt idx="1695">
                  <c:v>0.64339999999999997</c:v>
                </c:pt>
                <c:pt idx="1696">
                  <c:v>0.28339999999999999</c:v>
                </c:pt>
                <c:pt idx="1697">
                  <c:v>0.23519999999999999</c:v>
                </c:pt>
                <c:pt idx="1698">
                  <c:v>0.79139999999999999</c:v>
                </c:pt>
                <c:pt idx="1699">
                  <c:v>0.40639999999999998</c:v>
                </c:pt>
                <c:pt idx="1700">
                  <c:v>0.65939999999999999</c:v>
                </c:pt>
                <c:pt idx="1701">
                  <c:v>0.53539999999999999</c:v>
                </c:pt>
                <c:pt idx="1702">
                  <c:v>0.63260000000000005</c:v>
                </c:pt>
                <c:pt idx="1703">
                  <c:v>0.83299999999999996</c:v>
                </c:pt>
                <c:pt idx="1704">
                  <c:v>0.87419999999999998</c:v>
                </c:pt>
                <c:pt idx="1705">
                  <c:v>0.45760000000000001</c:v>
                </c:pt>
                <c:pt idx="1706">
                  <c:v>0.56079999999999997</c:v>
                </c:pt>
                <c:pt idx="1707">
                  <c:v>0.19040000000000001</c:v>
                </c:pt>
                <c:pt idx="1708">
                  <c:v>0.73199999999999998</c:v>
                </c:pt>
                <c:pt idx="1709">
                  <c:v>0.71160000000000001</c:v>
                </c:pt>
                <c:pt idx="1710">
                  <c:v>0.3372</c:v>
                </c:pt>
                <c:pt idx="1711">
                  <c:v>0.24340000000000001</c:v>
                </c:pt>
                <c:pt idx="1712">
                  <c:v>0.32679999999999998</c:v>
                </c:pt>
                <c:pt idx="1713">
                  <c:v>0.77039999999999997</c:v>
                </c:pt>
                <c:pt idx="1714">
                  <c:v>0.82</c:v>
                </c:pt>
                <c:pt idx="1715">
                  <c:v>0.31719999999999998</c:v>
                </c:pt>
                <c:pt idx="1716">
                  <c:v>0.94920000000000004</c:v>
                </c:pt>
                <c:pt idx="1717">
                  <c:v>0.57220000000000004</c:v>
                </c:pt>
                <c:pt idx="1718">
                  <c:v>0.32679999999999998</c:v>
                </c:pt>
                <c:pt idx="1719">
                  <c:v>0.70720000000000005</c:v>
                </c:pt>
                <c:pt idx="1720">
                  <c:v>0.94920000000000004</c:v>
                </c:pt>
                <c:pt idx="1721">
                  <c:v>0.9446</c:v>
                </c:pt>
                <c:pt idx="1722">
                  <c:v>0.246</c:v>
                </c:pt>
                <c:pt idx="1723">
                  <c:v>0.88759999999999994</c:v>
                </c:pt>
                <c:pt idx="1724">
                  <c:v>0.29799999999999999</c:v>
                </c:pt>
                <c:pt idx="1725">
                  <c:v>0.59799999999999998</c:v>
                </c:pt>
                <c:pt idx="1726">
                  <c:v>0.432</c:v>
                </c:pt>
                <c:pt idx="1727">
                  <c:v>0.312</c:v>
                </c:pt>
                <c:pt idx="1728">
                  <c:v>0.66779999999999995</c:v>
                </c:pt>
                <c:pt idx="1729">
                  <c:v>0.94920000000000004</c:v>
                </c:pt>
                <c:pt idx="1730">
                  <c:v>0.38600000000000001</c:v>
                </c:pt>
                <c:pt idx="1731">
                  <c:v>0.67520000000000002</c:v>
                </c:pt>
                <c:pt idx="1732">
                  <c:v>0.61619999999999997</c:v>
                </c:pt>
                <c:pt idx="1733">
                  <c:v>0.27700000000000002</c:v>
                </c:pt>
                <c:pt idx="1734">
                  <c:v>0.90100000000000002</c:v>
                </c:pt>
                <c:pt idx="1735">
                  <c:v>0.52600000000000002</c:v>
                </c:pt>
                <c:pt idx="1736">
                  <c:v>0.29980000000000001</c:v>
                </c:pt>
                <c:pt idx="1737">
                  <c:v>0.86180000000000001</c:v>
                </c:pt>
                <c:pt idx="1738">
                  <c:v>0.83179999999999998</c:v>
                </c:pt>
                <c:pt idx="1739">
                  <c:v>0.91479999999999995</c:v>
                </c:pt>
                <c:pt idx="1740">
                  <c:v>0.25359999999999999</c:v>
                </c:pt>
                <c:pt idx="1741">
                  <c:v>0.37159999999999999</c:v>
                </c:pt>
                <c:pt idx="1742">
                  <c:v>0.27439999999999998</c:v>
                </c:pt>
                <c:pt idx="1743">
                  <c:v>0.41539999999999999</c:v>
                </c:pt>
                <c:pt idx="1744">
                  <c:v>0.5474</c:v>
                </c:pt>
                <c:pt idx="1745">
                  <c:v>0.92800000000000005</c:v>
                </c:pt>
                <c:pt idx="1746">
                  <c:v>0.36520000000000002</c:v>
                </c:pt>
                <c:pt idx="1747">
                  <c:v>0.71199999999999997</c:v>
                </c:pt>
                <c:pt idx="1748">
                  <c:v>0.224</c:v>
                </c:pt>
                <c:pt idx="1749">
                  <c:v>0.11840000000000001</c:v>
                </c:pt>
                <c:pt idx="1750">
                  <c:v>0.46179999999999999</c:v>
                </c:pt>
                <c:pt idx="1751">
                  <c:v>0.49959999999999999</c:v>
                </c:pt>
                <c:pt idx="1752">
                  <c:v>0.87039999999999995</c:v>
                </c:pt>
                <c:pt idx="1753">
                  <c:v>0.9274</c:v>
                </c:pt>
                <c:pt idx="1754">
                  <c:v>0.33279999999999998</c:v>
                </c:pt>
                <c:pt idx="1755">
                  <c:v>0.43919999999999998</c:v>
                </c:pt>
                <c:pt idx="1756">
                  <c:v>0.18940000000000001</c:v>
                </c:pt>
                <c:pt idx="1757">
                  <c:v>0.94920000000000004</c:v>
                </c:pt>
                <c:pt idx="1758">
                  <c:v>0.32679999999999998</c:v>
                </c:pt>
                <c:pt idx="1759">
                  <c:v>0.16539999999999999</c:v>
                </c:pt>
                <c:pt idx="1760">
                  <c:v>0.23580000000000001</c:v>
                </c:pt>
                <c:pt idx="1761">
                  <c:v>0.4496</c:v>
                </c:pt>
                <c:pt idx="1762">
                  <c:v>0.58340000000000003</c:v>
                </c:pt>
                <c:pt idx="1763">
                  <c:v>0.57379999999999998</c:v>
                </c:pt>
                <c:pt idx="1764">
                  <c:v>0.65400000000000003</c:v>
                </c:pt>
                <c:pt idx="1765">
                  <c:v>0.2298</c:v>
                </c:pt>
                <c:pt idx="1766">
                  <c:v>0.93720000000000003</c:v>
                </c:pt>
                <c:pt idx="1767">
                  <c:v>0.19539999999999999</c:v>
                </c:pt>
                <c:pt idx="1768">
                  <c:v>0.94920000000000004</c:v>
                </c:pt>
                <c:pt idx="1769">
                  <c:v>0.307</c:v>
                </c:pt>
                <c:pt idx="1770">
                  <c:v>0.77880000000000005</c:v>
                </c:pt>
                <c:pt idx="1771">
                  <c:v>0.61519999999999997</c:v>
                </c:pt>
                <c:pt idx="1772">
                  <c:v>0.83240000000000003</c:v>
                </c:pt>
                <c:pt idx="1773">
                  <c:v>0.8518</c:v>
                </c:pt>
                <c:pt idx="1774">
                  <c:v>0.72719999999999996</c:v>
                </c:pt>
                <c:pt idx="1775">
                  <c:v>0.443</c:v>
                </c:pt>
                <c:pt idx="1776">
                  <c:v>0.1484</c:v>
                </c:pt>
                <c:pt idx="1777">
                  <c:v>0.623</c:v>
                </c:pt>
                <c:pt idx="1778">
                  <c:v>0.35780000000000001</c:v>
                </c:pt>
                <c:pt idx="1779">
                  <c:v>0.37280000000000002</c:v>
                </c:pt>
                <c:pt idx="1780">
                  <c:v>0.75219999999999998</c:v>
                </c:pt>
                <c:pt idx="1781">
                  <c:v>0.57140000000000002</c:v>
                </c:pt>
                <c:pt idx="1782">
                  <c:v>0.94920000000000004</c:v>
                </c:pt>
                <c:pt idx="1783">
                  <c:v>0.43419999999999997</c:v>
                </c:pt>
                <c:pt idx="1784">
                  <c:v>0.38519999999999999</c:v>
                </c:pt>
                <c:pt idx="1785">
                  <c:v>0.65080000000000005</c:v>
                </c:pt>
                <c:pt idx="1786">
                  <c:v>0.5494</c:v>
                </c:pt>
                <c:pt idx="1787">
                  <c:v>0.44180000000000003</c:v>
                </c:pt>
                <c:pt idx="1788">
                  <c:v>0.18940000000000001</c:v>
                </c:pt>
                <c:pt idx="1789">
                  <c:v>0.87419999999999998</c:v>
                </c:pt>
                <c:pt idx="1790">
                  <c:v>0.5474</c:v>
                </c:pt>
                <c:pt idx="1791">
                  <c:v>0.60240000000000005</c:v>
                </c:pt>
                <c:pt idx="1792">
                  <c:v>0.56200000000000006</c:v>
                </c:pt>
                <c:pt idx="1793">
                  <c:v>0.30199999999999999</c:v>
                </c:pt>
                <c:pt idx="1794">
                  <c:v>0.82679999999999998</c:v>
                </c:pt>
                <c:pt idx="1795">
                  <c:v>0.29239999999999999</c:v>
                </c:pt>
                <c:pt idx="1796">
                  <c:v>0.46500000000000002</c:v>
                </c:pt>
                <c:pt idx="1797">
                  <c:v>0.23219999999999999</c:v>
                </c:pt>
                <c:pt idx="1798">
                  <c:v>0.5302</c:v>
                </c:pt>
                <c:pt idx="1799">
                  <c:v>0.57979999999999998</c:v>
                </c:pt>
                <c:pt idx="1800">
                  <c:v>0.50660000000000005</c:v>
                </c:pt>
                <c:pt idx="1801">
                  <c:v>0.31759999999999999</c:v>
                </c:pt>
                <c:pt idx="1802">
                  <c:v>0.41020000000000001</c:v>
                </c:pt>
                <c:pt idx="1803">
                  <c:v>0.26340000000000002</c:v>
                </c:pt>
                <c:pt idx="1804">
                  <c:v>0.49159999999999998</c:v>
                </c:pt>
                <c:pt idx="1805">
                  <c:v>0.1764</c:v>
                </c:pt>
                <c:pt idx="1806">
                  <c:v>0.53200000000000003</c:v>
                </c:pt>
                <c:pt idx="1807">
                  <c:v>0.749</c:v>
                </c:pt>
                <c:pt idx="1808">
                  <c:v>0.52739999999999998</c:v>
                </c:pt>
                <c:pt idx="1809">
                  <c:v>0.72299999999999998</c:v>
                </c:pt>
                <c:pt idx="1810">
                  <c:v>0.6986</c:v>
                </c:pt>
                <c:pt idx="1811">
                  <c:v>0.61580000000000001</c:v>
                </c:pt>
                <c:pt idx="1812">
                  <c:v>0.84460000000000002</c:v>
                </c:pt>
                <c:pt idx="1813">
                  <c:v>0.61</c:v>
                </c:pt>
                <c:pt idx="1814">
                  <c:v>0.57220000000000004</c:v>
                </c:pt>
                <c:pt idx="1815">
                  <c:v>0.89139999999999997</c:v>
                </c:pt>
                <c:pt idx="1816">
                  <c:v>0.2646</c:v>
                </c:pt>
                <c:pt idx="1817">
                  <c:v>0.93940000000000001</c:v>
                </c:pt>
                <c:pt idx="1818">
                  <c:v>0.21179999999999999</c:v>
                </c:pt>
                <c:pt idx="1819">
                  <c:v>0.78939999999999999</c:v>
                </c:pt>
                <c:pt idx="1820">
                  <c:v>0.9466</c:v>
                </c:pt>
                <c:pt idx="1821">
                  <c:v>0.42</c:v>
                </c:pt>
                <c:pt idx="1822">
                  <c:v>0.38279999999999997</c:v>
                </c:pt>
                <c:pt idx="1823">
                  <c:v>0.94920000000000004</c:v>
                </c:pt>
                <c:pt idx="1824">
                  <c:v>0.90680000000000005</c:v>
                </c:pt>
                <c:pt idx="1825">
                  <c:v>0.90639999999999998</c:v>
                </c:pt>
                <c:pt idx="1826">
                  <c:v>0.4032</c:v>
                </c:pt>
                <c:pt idx="1827">
                  <c:v>0.71040000000000003</c:v>
                </c:pt>
                <c:pt idx="1828">
                  <c:v>0.39019999999999999</c:v>
                </c:pt>
                <c:pt idx="1829">
                  <c:v>0.91059999999999997</c:v>
                </c:pt>
                <c:pt idx="1830">
                  <c:v>0.43980000000000002</c:v>
                </c:pt>
                <c:pt idx="1831">
                  <c:v>0.78220000000000001</c:v>
                </c:pt>
                <c:pt idx="1832">
                  <c:v>0.47839999999999999</c:v>
                </c:pt>
                <c:pt idx="1833">
                  <c:v>0.24179999999999999</c:v>
                </c:pt>
                <c:pt idx="1834">
                  <c:v>0.66200000000000003</c:v>
                </c:pt>
                <c:pt idx="1835">
                  <c:v>0.3916</c:v>
                </c:pt>
                <c:pt idx="1836">
                  <c:v>0.76519999999999999</c:v>
                </c:pt>
                <c:pt idx="1837">
                  <c:v>0.43819999999999998</c:v>
                </c:pt>
                <c:pt idx="1838">
                  <c:v>0.1552</c:v>
                </c:pt>
                <c:pt idx="1839">
                  <c:v>0.19400000000000001</c:v>
                </c:pt>
                <c:pt idx="1840">
                  <c:v>0.6552</c:v>
                </c:pt>
                <c:pt idx="1841">
                  <c:v>0.71279999999999999</c:v>
                </c:pt>
                <c:pt idx="1842">
                  <c:v>0.23019999999999999</c:v>
                </c:pt>
                <c:pt idx="1843">
                  <c:v>0.81699999999999995</c:v>
                </c:pt>
                <c:pt idx="1844">
                  <c:v>0.9264</c:v>
                </c:pt>
                <c:pt idx="1845">
                  <c:v>0.14280000000000001</c:v>
                </c:pt>
                <c:pt idx="1846">
                  <c:v>0.36699999999999999</c:v>
                </c:pt>
                <c:pt idx="1847">
                  <c:v>0.4158</c:v>
                </c:pt>
                <c:pt idx="1848">
                  <c:v>0.30099999999999999</c:v>
                </c:pt>
                <c:pt idx="1849">
                  <c:v>0.94920000000000004</c:v>
                </c:pt>
                <c:pt idx="1850">
                  <c:v>0.12720000000000001</c:v>
                </c:pt>
                <c:pt idx="1851">
                  <c:v>0.30480000000000002</c:v>
                </c:pt>
                <c:pt idx="1852">
                  <c:v>0.75800000000000001</c:v>
                </c:pt>
                <c:pt idx="1853">
                  <c:v>0.64119999999999999</c:v>
                </c:pt>
                <c:pt idx="1854">
                  <c:v>0.49959999999999999</c:v>
                </c:pt>
                <c:pt idx="1855">
                  <c:v>0.19220000000000001</c:v>
                </c:pt>
                <c:pt idx="1856">
                  <c:v>0.1968</c:v>
                </c:pt>
                <c:pt idx="1857">
                  <c:v>0.54479999999999995</c:v>
                </c:pt>
                <c:pt idx="1858">
                  <c:v>0.27</c:v>
                </c:pt>
                <c:pt idx="1859">
                  <c:v>0.21240000000000001</c:v>
                </c:pt>
                <c:pt idx="1860">
                  <c:v>0.16339999999999999</c:v>
                </c:pt>
                <c:pt idx="1861">
                  <c:v>0.84460000000000002</c:v>
                </c:pt>
                <c:pt idx="1862">
                  <c:v>0.58179999999999998</c:v>
                </c:pt>
                <c:pt idx="1863">
                  <c:v>0.4864</c:v>
                </c:pt>
                <c:pt idx="1864">
                  <c:v>0.66339999999999999</c:v>
                </c:pt>
                <c:pt idx="1865">
                  <c:v>0.53580000000000005</c:v>
                </c:pt>
                <c:pt idx="1866">
                  <c:v>0.79139999999999999</c:v>
                </c:pt>
                <c:pt idx="1867">
                  <c:v>0.9446</c:v>
                </c:pt>
                <c:pt idx="1868">
                  <c:v>0.16439999999999999</c:v>
                </c:pt>
                <c:pt idx="1869">
                  <c:v>0.13420000000000001</c:v>
                </c:pt>
                <c:pt idx="1870">
                  <c:v>0.55220000000000002</c:v>
                </c:pt>
                <c:pt idx="1871">
                  <c:v>0.15379999999999999</c:v>
                </c:pt>
                <c:pt idx="1872">
                  <c:v>0.70420000000000005</c:v>
                </c:pt>
                <c:pt idx="1873">
                  <c:v>0.5786</c:v>
                </c:pt>
                <c:pt idx="1874">
                  <c:v>0.94920000000000004</c:v>
                </c:pt>
                <c:pt idx="1875">
                  <c:v>0.63519999999999999</c:v>
                </c:pt>
                <c:pt idx="1876">
                  <c:v>0.1666</c:v>
                </c:pt>
                <c:pt idx="1877">
                  <c:v>0.51700000000000002</c:v>
                </c:pt>
                <c:pt idx="1878">
                  <c:v>0.84560000000000002</c:v>
                </c:pt>
                <c:pt idx="1879">
                  <c:v>0.59379999999999999</c:v>
                </c:pt>
                <c:pt idx="1880">
                  <c:v>0.7288</c:v>
                </c:pt>
                <c:pt idx="1881">
                  <c:v>0.94920000000000004</c:v>
                </c:pt>
                <c:pt idx="1882">
                  <c:v>0.6996</c:v>
                </c:pt>
                <c:pt idx="1883">
                  <c:v>0.94920000000000004</c:v>
                </c:pt>
                <c:pt idx="1884">
                  <c:v>0.38219999999999998</c:v>
                </c:pt>
                <c:pt idx="1885">
                  <c:v>0.73780000000000001</c:v>
                </c:pt>
                <c:pt idx="1886">
                  <c:v>0.71860000000000002</c:v>
                </c:pt>
                <c:pt idx="1887">
                  <c:v>0.52759999999999996</c:v>
                </c:pt>
                <c:pt idx="1888">
                  <c:v>0.67200000000000004</c:v>
                </c:pt>
                <c:pt idx="1889">
                  <c:v>0.15959999999999999</c:v>
                </c:pt>
                <c:pt idx="1890">
                  <c:v>0.4894</c:v>
                </c:pt>
                <c:pt idx="1891">
                  <c:v>0.35220000000000001</c:v>
                </c:pt>
                <c:pt idx="1892">
                  <c:v>0.33960000000000001</c:v>
                </c:pt>
                <c:pt idx="1893">
                  <c:v>0.12720000000000001</c:v>
                </c:pt>
                <c:pt idx="1894">
                  <c:v>0.94920000000000004</c:v>
                </c:pt>
                <c:pt idx="1895">
                  <c:v>0.6552</c:v>
                </c:pt>
                <c:pt idx="1896">
                  <c:v>0.76519999999999999</c:v>
                </c:pt>
                <c:pt idx="1897">
                  <c:v>0.79139999999999999</c:v>
                </c:pt>
                <c:pt idx="1898">
                  <c:v>0.873</c:v>
                </c:pt>
                <c:pt idx="1899">
                  <c:v>0.92600000000000005</c:v>
                </c:pt>
                <c:pt idx="1900">
                  <c:v>0.94920000000000004</c:v>
                </c:pt>
                <c:pt idx="1901">
                  <c:v>0.53839999999999999</c:v>
                </c:pt>
                <c:pt idx="1902">
                  <c:v>0.37380000000000002</c:v>
                </c:pt>
                <c:pt idx="1903">
                  <c:v>0.90680000000000005</c:v>
                </c:pt>
                <c:pt idx="1904">
                  <c:v>0.27760000000000001</c:v>
                </c:pt>
                <c:pt idx="1905">
                  <c:v>0.65939999999999999</c:v>
                </c:pt>
                <c:pt idx="1906">
                  <c:v>0.66059999999999997</c:v>
                </c:pt>
                <c:pt idx="1907">
                  <c:v>0.48060000000000003</c:v>
                </c:pt>
                <c:pt idx="1908">
                  <c:v>0.2336</c:v>
                </c:pt>
                <c:pt idx="1909">
                  <c:v>0.64259999999999995</c:v>
                </c:pt>
                <c:pt idx="1910">
                  <c:v>0.74160000000000004</c:v>
                </c:pt>
                <c:pt idx="1911">
                  <c:v>0.14979999999999999</c:v>
                </c:pt>
                <c:pt idx="1912">
                  <c:v>0.93320000000000003</c:v>
                </c:pt>
                <c:pt idx="1913">
                  <c:v>0.86680000000000001</c:v>
                </c:pt>
                <c:pt idx="1914">
                  <c:v>0.62360000000000004</c:v>
                </c:pt>
                <c:pt idx="1915">
                  <c:v>0.23180000000000001</c:v>
                </c:pt>
                <c:pt idx="1916">
                  <c:v>0.68479999999999996</c:v>
                </c:pt>
                <c:pt idx="1917">
                  <c:v>0.31059999999999999</c:v>
                </c:pt>
                <c:pt idx="1918">
                  <c:v>0.68020000000000003</c:v>
                </c:pt>
                <c:pt idx="1919">
                  <c:v>0.1968</c:v>
                </c:pt>
                <c:pt idx="1920">
                  <c:v>0.31900000000000001</c:v>
                </c:pt>
                <c:pt idx="1921">
                  <c:v>0.3538</c:v>
                </c:pt>
                <c:pt idx="1922">
                  <c:v>0.6946</c:v>
                </c:pt>
                <c:pt idx="1923">
                  <c:v>0.59660000000000002</c:v>
                </c:pt>
                <c:pt idx="1924">
                  <c:v>0.84199999999999997</c:v>
                </c:pt>
                <c:pt idx="1925">
                  <c:v>0.71379999999999999</c:v>
                </c:pt>
                <c:pt idx="1926">
                  <c:v>0.75800000000000001</c:v>
                </c:pt>
                <c:pt idx="1927">
                  <c:v>0.1462</c:v>
                </c:pt>
                <c:pt idx="1928">
                  <c:v>0.48060000000000003</c:v>
                </c:pt>
                <c:pt idx="1929">
                  <c:v>0.55220000000000002</c:v>
                </c:pt>
                <c:pt idx="1930">
                  <c:v>0.27779999999999999</c:v>
                </c:pt>
                <c:pt idx="1931">
                  <c:v>0.65820000000000001</c:v>
                </c:pt>
                <c:pt idx="1932">
                  <c:v>0.63680000000000003</c:v>
                </c:pt>
                <c:pt idx="1933">
                  <c:v>0.78720000000000001</c:v>
                </c:pt>
                <c:pt idx="1934">
                  <c:v>0.41520000000000001</c:v>
                </c:pt>
                <c:pt idx="1935">
                  <c:v>0.94920000000000004</c:v>
                </c:pt>
                <c:pt idx="1936">
                  <c:v>0.39360000000000001</c:v>
                </c:pt>
                <c:pt idx="1937">
                  <c:v>0.2152</c:v>
                </c:pt>
                <c:pt idx="1938">
                  <c:v>0.55740000000000001</c:v>
                </c:pt>
                <c:pt idx="1939">
                  <c:v>0.92479999999999996</c:v>
                </c:pt>
                <c:pt idx="1940">
                  <c:v>0.94920000000000004</c:v>
                </c:pt>
                <c:pt idx="1941">
                  <c:v>0.36220000000000002</c:v>
                </c:pt>
                <c:pt idx="1942">
                  <c:v>0.4924</c:v>
                </c:pt>
                <c:pt idx="1943">
                  <c:v>0.40379999999999999</c:v>
                </c:pt>
                <c:pt idx="1944">
                  <c:v>0.5242</c:v>
                </c:pt>
                <c:pt idx="1945">
                  <c:v>0.69540000000000002</c:v>
                </c:pt>
                <c:pt idx="1946">
                  <c:v>0.14580000000000001</c:v>
                </c:pt>
                <c:pt idx="1947">
                  <c:v>0.23860000000000001</c:v>
                </c:pt>
                <c:pt idx="1948">
                  <c:v>0.91920000000000002</c:v>
                </c:pt>
                <c:pt idx="1949">
                  <c:v>0.6996</c:v>
                </c:pt>
                <c:pt idx="1950">
                  <c:v>0.4728</c:v>
                </c:pt>
                <c:pt idx="1951">
                  <c:v>0.90380000000000005</c:v>
                </c:pt>
                <c:pt idx="1952">
                  <c:v>0.185</c:v>
                </c:pt>
                <c:pt idx="1953">
                  <c:v>0.91059999999999997</c:v>
                </c:pt>
                <c:pt idx="1954">
                  <c:v>0.4894</c:v>
                </c:pt>
                <c:pt idx="1955">
                  <c:v>0.1206</c:v>
                </c:pt>
                <c:pt idx="1956">
                  <c:v>0.49719999999999998</c:v>
                </c:pt>
                <c:pt idx="1957">
                  <c:v>0.33500000000000002</c:v>
                </c:pt>
                <c:pt idx="1958">
                  <c:v>0.51439999999999997</c:v>
                </c:pt>
                <c:pt idx="1959">
                  <c:v>0.74960000000000004</c:v>
                </c:pt>
                <c:pt idx="1960">
                  <c:v>0.72299999999999998</c:v>
                </c:pt>
                <c:pt idx="1961">
                  <c:v>0.13320000000000001</c:v>
                </c:pt>
                <c:pt idx="1962">
                  <c:v>0.89680000000000004</c:v>
                </c:pt>
                <c:pt idx="1963">
                  <c:v>0.56520000000000004</c:v>
                </c:pt>
                <c:pt idx="1964">
                  <c:v>0.60199999999999998</c:v>
                </c:pt>
                <c:pt idx="1965">
                  <c:v>0.74760000000000004</c:v>
                </c:pt>
                <c:pt idx="1966">
                  <c:v>0.48420000000000002</c:v>
                </c:pt>
                <c:pt idx="1967">
                  <c:v>0.28120000000000001</c:v>
                </c:pt>
                <c:pt idx="1968">
                  <c:v>0.43</c:v>
                </c:pt>
                <c:pt idx="1969">
                  <c:v>0.74380000000000002</c:v>
                </c:pt>
                <c:pt idx="1970">
                  <c:v>0.11020000000000001</c:v>
                </c:pt>
                <c:pt idx="1971">
                  <c:v>0.93540000000000001</c:v>
                </c:pt>
                <c:pt idx="1972">
                  <c:v>0.47020000000000001</c:v>
                </c:pt>
                <c:pt idx="1973">
                  <c:v>0.19159999999999999</c:v>
                </c:pt>
                <c:pt idx="1974">
                  <c:v>0.5706</c:v>
                </c:pt>
                <c:pt idx="1975">
                  <c:v>0.74019999999999997</c:v>
                </c:pt>
                <c:pt idx="1976">
                  <c:v>0.57999999999999996</c:v>
                </c:pt>
                <c:pt idx="1977">
                  <c:v>0.47020000000000001</c:v>
                </c:pt>
                <c:pt idx="1978">
                  <c:v>0.29360000000000003</c:v>
                </c:pt>
                <c:pt idx="1979">
                  <c:v>0.82499999999999996</c:v>
                </c:pt>
                <c:pt idx="1980">
                  <c:v>0.52100000000000002</c:v>
                </c:pt>
                <c:pt idx="1981">
                  <c:v>0.61</c:v>
                </c:pt>
                <c:pt idx="1982">
                  <c:v>0.23899999999999999</c:v>
                </c:pt>
                <c:pt idx="1983">
                  <c:v>0.1358</c:v>
                </c:pt>
                <c:pt idx="1984">
                  <c:v>0.629</c:v>
                </c:pt>
                <c:pt idx="1985">
                  <c:v>0.71640000000000004</c:v>
                </c:pt>
                <c:pt idx="1986">
                  <c:v>0.5474</c:v>
                </c:pt>
                <c:pt idx="1987">
                  <c:v>0.38400000000000001</c:v>
                </c:pt>
                <c:pt idx="1988">
                  <c:v>0.90880000000000005</c:v>
                </c:pt>
                <c:pt idx="1989">
                  <c:v>0.27179999999999999</c:v>
                </c:pt>
                <c:pt idx="1990">
                  <c:v>0.79659999999999997</c:v>
                </c:pt>
                <c:pt idx="1991">
                  <c:v>0.37840000000000001</c:v>
                </c:pt>
                <c:pt idx="1992">
                  <c:v>0.4456</c:v>
                </c:pt>
                <c:pt idx="1993">
                  <c:v>0.32679999999999998</c:v>
                </c:pt>
                <c:pt idx="1994">
                  <c:v>0.28060000000000002</c:v>
                </c:pt>
                <c:pt idx="1995">
                  <c:v>0.8538</c:v>
                </c:pt>
                <c:pt idx="1996">
                  <c:v>0.4466</c:v>
                </c:pt>
                <c:pt idx="1997">
                  <c:v>0.31759999999999999</c:v>
                </c:pt>
                <c:pt idx="1998">
                  <c:v>0.72340000000000004</c:v>
                </c:pt>
                <c:pt idx="1999">
                  <c:v>0.36859999999999998</c:v>
                </c:pt>
                <c:pt idx="2000">
                  <c:v>0.36220000000000002</c:v>
                </c:pt>
                <c:pt idx="2001">
                  <c:v>0.43959999999999999</c:v>
                </c:pt>
                <c:pt idx="2002">
                  <c:v>0.75800000000000001</c:v>
                </c:pt>
                <c:pt idx="2003">
                  <c:v>0.41639999999999999</c:v>
                </c:pt>
                <c:pt idx="2004">
                  <c:v>0.29859999999999998</c:v>
                </c:pt>
                <c:pt idx="2005">
                  <c:v>0.32140000000000002</c:v>
                </c:pt>
                <c:pt idx="2006">
                  <c:v>0.72419999999999995</c:v>
                </c:pt>
                <c:pt idx="2007">
                  <c:v>0.61799999999999999</c:v>
                </c:pt>
                <c:pt idx="2008">
                  <c:v>0.5</c:v>
                </c:pt>
                <c:pt idx="2009">
                  <c:v>0.23100000000000001</c:v>
                </c:pt>
                <c:pt idx="2010">
                  <c:v>0.24759999999999999</c:v>
                </c:pt>
                <c:pt idx="2011">
                  <c:v>0.85819999999999996</c:v>
                </c:pt>
                <c:pt idx="2012">
                  <c:v>0.15040000000000001</c:v>
                </c:pt>
                <c:pt idx="2013">
                  <c:v>0.65039999999999998</c:v>
                </c:pt>
                <c:pt idx="2014">
                  <c:v>0.83840000000000003</c:v>
                </c:pt>
                <c:pt idx="2015">
                  <c:v>0.8024</c:v>
                </c:pt>
                <c:pt idx="2016">
                  <c:v>0.34360000000000002</c:v>
                </c:pt>
                <c:pt idx="2017">
                  <c:v>0.26100000000000001</c:v>
                </c:pt>
                <c:pt idx="2018">
                  <c:v>0.91359999999999997</c:v>
                </c:pt>
                <c:pt idx="2019">
                  <c:v>0.55600000000000005</c:v>
                </c:pt>
                <c:pt idx="2020">
                  <c:v>0.47239999999999999</c:v>
                </c:pt>
                <c:pt idx="2021">
                  <c:v>0.46739999999999998</c:v>
                </c:pt>
                <c:pt idx="2022">
                  <c:v>0.20860000000000001</c:v>
                </c:pt>
                <c:pt idx="2023">
                  <c:v>0.18740000000000001</c:v>
                </c:pt>
                <c:pt idx="2024">
                  <c:v>0.20960000000000001</c:v>
                </c:pt>
                <c:pt idx="2025">
                  <c:v>0.60040000000000004</c:v>
                </c:pt>
                <c:pt idx="2026">
                  <c:v>0.41220000000000001</c:v>
                </c:pt>
                <c:pt idx="2027">
                  <c:v>0.58499999999999996</c:v>
                </c:pt>
                <c:pt idx="2028">
                  <c:v>0.54079999999999995</c:v>
                </c:pt>
                <c:pt idx="2029">
                  <c:v>0.8538</c:v>
                </c:pt>
                <c:pt idx="2030">
                  <c:v>0.53580000000000005</c:v>
                </c:pt>
                <c:pt idx="2031">
                  <c:v>0.50180000000000002</c:v>
                </c:pt>
                <c:pt idx="2032">
                  <c:v>0.37719999999999998</c:v>
                </c:pt>
                <c:pt idx="2033">
                  <c:v>0.85619999999999996</c:v>
                </c:pt>
                <c:pt idx="2034">
                  <c:v>0.71279999999999999</c:v>
                </c:pt>
                <c:pt idx="2035">
                  <c:v>0.77880000000000005</c:v>
                </c:pt>
                <c:pt idx="2036">
                  <c:v>0.75919999999999999</c:v>
                </c:pt>
                <c:pt idx="2037">
                  <c:v>0.23100000000000001</c:v>
                </c:pt>
                <c:pt idx="2038">
                  <c:v>0.76119999999999999</c:v>
                </c:pt>
                <c:pt idx="2039">
                  <c:v>0.51439999999999997</c:v>
                </c:pt>
                <c:pt idx="2040">
                  <c:v>0.87660000000000005</c:v>
                </c:pt>
                <c:pt idx="2041">
                  <c:v>0.30840000000000001</c:v>
                </c:pt>
                <c:pt idx="2042">
                  <c:v>0.47099999999999997</c:v>
                </c:pt>
                <c:pt idx="2043">
                  <c:v>0.68679999999999997</c:v>
                </c:pt>
                <c:pt idx="2044">
                  <c:v>0.79479999999999995</c:v>
                </c:pt>
                <c:pt idx="2045">
                  <c:v>0.68020000000000003</c:v>
                </c:pt>
                <c:pt idx="2046">
                  <c:v>0.29239999999999999</c:v>
                </c:pt>
                <c:pt idx="2047">
                  <c:v>0.86680000000000001</c:v>
                </c:pt>
                <c:pt idx="2048">
                  <c:v>0.71379999999999999</c:v>
                </c:pt>
                <c:pt idx="2049">
                  <c:v>0.13220000000000001</c:v>
                </c:pt>
                <c:pt idx="2050">
                  <c:v>0.1638</c:v>
                </c:pt>
                <c:pt idx="2051">
                  <c:v>0.49099999999999999</c:v>
                </c:pt>
                <c:pt idx="2052">
                  <c:v>0.23019999999999999</c:v>
                </c:pt>
                <c:pt idx="2053">
                  <c:v>0.22819999999999999</c:v>
                </c:pt>
                <c:pt idx="2054">
                  <c:v>0.156</c:v>
                </c:pt>
                <c:pt idx="2055">
                  <c:v>0.35580000000000001</c:v>
                </c:pt>
                <c:pt idx="2056">
                  <c:v>0.53500000000000003</c:v>
                </c:pt>
                <c:pt idx="2057">
                  <c:v>0.72419999999999995</c:v>
                </c:pt>
                <c:pt idx="2058">
                  <c:v>0.74439999999999995</c:v>
                </c:pt>
                <c:pt idx="2059">
                  <c:v>0.51559999999999995</c:v>
                </c:pt>
                <c:pt idx="2060">
                  <c:v>0.63180000000000003</c:v>
                </c:pt>
                <c:pt idx="2061">
                  <c:v>0.45860000000000001</c:v>
                </c:pt>
                <c:pt idx="2062">
                  <c:v>0.80459999999999998</c:v>
                </c:pt>
                <c:pt idx="2063">
                  <c:v>0.94920000000000004</c:v>
                </c:pt>
                <c:pt idx="2064">
                  <c:v>0.629</c:v>
                </c:pt>
                <c:pt idx="2065">
                  <c:v>0.629</c:v>
                </c:pt>
                <c:pt idx="2066">
                  <c:v>0.8024</c:v>
                </c:pt>
                <c:pt idx="2067">
                  <c:v>0.72060000000000002</c:v>
                </c:pt>
                <c:pt idx="2068">
                  <c:v>0.42759999999999998</c:v>
                </c:pt>
                <c:pt idx="2069">
                  <c:v>0.65080000000000005</c:v>
                </c:pt>
                <c:pt idx="2070">
                  <c:v>0.48499999999999999</c:v>
                </c:pt>
                <c:pt idx="2071">
                  <c:v>0.42480000000000001</c:v>
                </c:pt>
                <c:pt idx="2072">
                  <c:v>0.69179999999999997</c:v>
                </c:pt>
                <c:pt idx="2073">
                  <c:v>0.91779999999999995</c:v>
                </c:pt>
                <c:pt idx="2074">
                  <c:v>0.25900000000000001</c:v>
                </c:pt>
                <c:pt idx="2075">
                  <c:v>0.52939999999999998</c:v>
                </c:pt>
                <c:pt idx="2076">
                  <c:v>0.43840000000000001</c:v>
                </c:pt>
                <c:pt idx="2077">
                  <c:v>0.64139999999999997</c:v>
                </c:pt>
                <c:pt idx="2078">
                  <c:v>0.1694</c:v>
                </c:pt>
                <c:pt idx="2079">
                  <c:v>0.32140000000000002</c:v>
                </c:pt>
                <c:pt idx="2080">
                  <c:v>0.68879999999999997</c:v>
                </c:pt>
                <c:pt idx="2081">
                  <c:v>0.86180000000000001</c:v>
                </c:pt>
                <c:pt idx="2082">
                  <c:v>0.44600000000000001</c:v>
                </c:pt>
                <c:pt idx="2083">
                  <c:v>0.72419999999999995</c:v>
                </c:pt>
                <c:pt idx="2084">
                  <c:v>0.2024</c:v>
                </c:pt>
                <c:pt idx="2085">
                  <c:v>0.94920000000000004</c:v>
                </c:pt>
                <c:pt idx="2086">
                  <c:v>0.1726</c:v>
                </c:pt>
                <c:pt idx="2087">
                  <c:v>0.81799999999999995</c:v>
                </c:pt>
                <c:pt idx="2088">
                  <c:v>0.3866</c:v>
                </c:pt>
                <c:pt idx="2089">
                  <c:v>0.23019999999999999</c:v>
                </c:pt>
                <c:pt idx="2090">
                  <c:v>0.69179999999999997</c:v>
                </c:pt>
                <c:pt idx="2091">
                  <c:v>0.64259999999999995</c:v>
                </c:pt>
                <c:pt idx="2092">
                  <c:v>0.69820000000000004</c:v>
                </c:pt>
                <c:pt idx="2093">
                  <c:v>0.3634</c:v>
                </c:pt>
                <c:pt idx="2094">
                  <c:v>0.45519999999999999</c:v>
                </c:pt>
                <c:pt idx="2095">
                  <c:v>0.39479999999999998</c:v>
                </c:pt>
                <c:pt idx="2096">
                  <c:v>0.89039999999999997</c:v>
                </c:pt>
                <c:pt idx="2097">
                  <c:v>0.9446</c:v>
                </c:pt>
                <c:pt idx="2098">
                  <c:v>0.42499999999999999</c:v>
                </c:pt>
                <c:pt idx="2099">
                  <c:v>0.77639999999999998</c:v>
                </c:pt>
                <c:pt idx="2100">
                  <c:v>0.90680000000000005</c:v>
                </c:pt>
                <c:pt idx="2101">
                  <c:v>0.63780000000000003</c:v>
                </c:pt>
                <c:pt idx="2102">
                  <c:v>0.40379999999999999</c:v>
                </c:pt>
                <c:pt idx="2103">
                  <c:v>0.27439999999999998</c:v>
                </c:pt>
                <c:pt idx="2104">
                  <c:v>0.2878</c:v>
                </c:pt>
                <c:pt idx="2105">
                  <c:v>0.90859999999999996</c:v>
                </c:pt>
                <c:pt idx="2106">
                  <c:v>0.94920000000000004</c:v>
                </c:pt>
                <c:pt idx="2107">
                  <c:v>0.76639999999999997</c:v>
                </c:pt>
                <c:pt idx="2108">
                  <c:v>0.93</c:v>
                </c:pt>
                <c:pt idx="2109">
                  <c:v>0.59660000000000002</c:v>
                </c:pt>
                <c:pt idx="2110">
                  <c:v>0.307</c:v>
                </c:pt>
                <c:pt idx="2111">
                  <c:v>0.68020000000000003</c:v>
                </c:pt>
                <c:pt idx="2112">
                  <c:v>0.5786</c:v>
                </c:pt>
                <c:pt idx="2113">
                  <c:v>0.43919999999999998</c:v>
                </c:pt>
                <c:pt idx="2114">
                  <c:v>0.252</c:v>
                </c:pt>
                <c:pt idx="2115">
                  <c:v>0.75139999999999996</c:v>
                </c:pt>
                <c:pt idx="2116">
                  <c:v>0.13320000000000001</c:v>
                </c:pt>
                <c:pt idx="2117">
                  <c:v>0.15040000000000001</c:v>
                </c:pt>
                <c:pt idx="2118">
                  <c:v>0.22819999999999999</c:v>
                </c:pt>
                <c:pt idx="2119">
                  <c:v>0.82940000000000003</c:v>
                </c:pt>
                <c:pt idx="2120">
                  <c:v>0.2014</c:v>
                </c:pt>
                <c:pt idx="2121">
                  <c:v>0.60499999999999998</c:v>
                </c:pt>
                <c:pt idx="2122">
                  <c:v>0.57799999999999996</c:v>
                </c:pt>
                <c:pt idx="2123">
                  <c:v>0.2102</c:v>
                </c:pt>
                <c:pt idx="2124">
                  <c:v>0.44180000000000003</c:v>
                </c:pt>
                <c:pt idx="2125">
                  <c:v>0.17380000000000001</c:v>
                </c:pt>
                <c:pt idx="2126">
                  <c:v>0.2198</c:v>
                </c:pt>
                <c:pt idx="2127">
                  <c:v>0.72</c:v>
                </c:pt>
                <c:pt idx="2128">
                  <c:v>0.34239999999999998</c:v>
                </c:pt>
                <c:pt idx="2129">
                  <c:v>0.312</c:v>
                </c:pt>
                <c:pt idx="2130">
                  <c:v>0.35060000000000002</c:v>
                </c:pt>
                <c:pt idx="2131">
                  <c:v>0.66059999999999997</c:v>
                </c:pt>
                <c:pt idx="2132">
                  <c:v>0.39419999999999999</c:v>
                </c:pt>
                <c:pt idx="2133">
                  <c:v>0.56779999999999997</c:v>
                </c:pt>
                <c:pt idx="2134">
                  <c:v>0.50639999999999996</c:v>
                </c:pt>
                <c:pt idx="2135">
                  <c:v>0.87880000000000003</c:v>
                </c:pt>
                <c:pt idx="2136">
                  <c:v>0.25359999999999999</c:v>
                </c:pt>
                <c:pt idx="2137">
                  <c:v>0.44840000000000002</c:v>
                </c:pt>
                <c:pt idx="2138">
                  <c:v>0.3508</c:v>
                </c:pt>
                <c:pt idx="2139">
                  <c:v>0.87519999999999998</c:v>
                </c:pt>
                <c:pt idx="2140">
                  <c:v>0.42199999999999999</c:v>
                </c:pt>
                <c:pt idx="2141">
                  <c:v>0.77880000000000005</c:v>
                </c:pt>
                <c:pt idx="2142">
                  <c:v>0.42759999999999998</c:v>
                </c:pt>
                <c:pt idx="2143">
                  <c:v>0.94920000000000004</c:v>
                </c:pt>
                <c:pt idx="2144">
                  <c:v>0.1802</c:v>
                </c:pt>
                <c:pt idx="2145">
                  <c:v>0.81699999999999995</c:v>
                </c:pt>
                <c:pt idx="2146">
                  <c:v>0.20519999999999999</c:v>
                </c:pt>
                <c:pt idx="2147">
                  <c:v>0.75019999999999998</c:v>
                </c:pt>
                <c:pt idx="2148">
                  <c:v>0.1678</c:v>
                </c:pt>
                <c:pt idx="2149">
                  <c:v>0.65880000000000005</c:v>
                </c:pt>
                <c:pt idx="2150">
                  <c:v>0.23580000000000001</c:v>
                </c:pt>
                <c:pt idx="2151">
                  <c:v>0.88759999999999994</c:v>
                </c:pt>
                <c:pt idx="2152">
                  <c:v>0.313</c:v>
                </c:pt>
                <c:pt idx="2153">
                  <c:v>0.49299999999999999</c:v>
                </c:pt>
                <c:pt idx="2154">
                  <c:v>0.85740000000000005</c:v>
                </c:pt>
                <c:pt idx="2155">
                  <c:v>0.30259999999999998</c:v>
                </c:pt>
                <c:pt idx="2156">
                  <c:v>0.371</c:v>
                </c:pt>
                <c:pt idx="2157">
                  <c:v>0.28639999999999999</c:v>
                </c:pt>
                <c:pt idx="2158">
                  <c:v>0.80159999999999998</c:v>
                </c:pt>
                <c:pt idx="2159">
                  <c:v>0.54679999999999995</c:v>
                </c:pt>
                <c:pt idx="2160">
                  <c:v>0.1784</c:v>
                </c:pt>
                <c:pt idx="2161">
                  <c:v>0.36180000000000001</c:v>
                </c:pt>
                <c:pt idx="2162">
                  <c:v>0.76939999999999997</c:v>
                </c:pt>
                <c:pt idx="2163">
                  <c:v>0.90920000000000001</c:v>
                </c:pt>
                <c:pt idx="2164">
                  <c:v>0.52259999999999995</c:v>
                </c:pt>
                <c:pt idx="2165">
                  <c:v>0.9264</c:v>
                </c:pt>
                <c:pt idx="2166">
                  <c:v>0.22259999999999999</c:v>
                </c:pt>
                <c:pt idx="2167">
                  <c:v>0.31440000000000001</c:v>
                </c:pt>
                <c:pt idx="2168">
                  <c:v>0.75380000000000003</c:v>
                </c:pt>
                <c:pt idx="2169">
                  <c:v>0.73780000000000001</c:v>
                </c:pt>
                <c:pt idx="2170">
                  <c:v>0.37580000000000002</c:v>
                </c:pt>
                <c:pt idx="2171">
                  <c:v>0.50260000000000005</c:v>
                </c:pt>
                <c:pt idx="2172">
                  <c:v>0.51900000000000002</c:v>
                </c:pt>
                <c:pt idx="2173">
                  <c:v>0.38519999999999999</c:v>
                </c:pt>
                <c:pt idx="2174">
                  <c:v>0.92179999999999995</c:v>
                </c:pt>
                <c:pt idx="2175">
                  <c:v>0.27139999999999997</c:v>
                </c:pt>
                <c:pt idx="2176">
                  <c:v>0.53580000000000005</c:v>
                </c:pt>
                <c:pt idx="2177">
                  <c:v>0.5474</c:v>
                </c:pt>
                <c:pt idx="2178">
                  <c:v>0.36859999999999998</c:v>
                </c:pt>
                <c:pt idx="2179">
                  <c:v>0.65339999999999998</c:v>
                </c:pt>
                <c:pt idx="2180">
                  <c:v>0.67800000000000005</c:v>
                </c:pt>
                <c:pt idx="2181">
                  <c:v>0.53339999999999999</c:v>
                </c:pt>
                <c:pt idx="2182">
                  <c:v>0.57699999999999996</c:v>
                </c:pt>
                <c:pt idx="2183">
                  <c:v>0.94920000000000004</c:v>
                </c:pt>
                <c:pt idx="2184">
                  <c:v>0.66779999999999995</c:v>
                </c:pt>
                <c:pt idx="2185">
                  <c:v>0.62619999999999998</c:v>
                </c:pt>
                <c:pt idx="2186">
                  <c:v>0.1376</c:v>
                </c:pt>
                <c:pt idx="2187">
                  <c:v>0.38600000000000001</c:v>
                </c:pt>
                <c:pt idx="2188">
                  <c:v>0.30580000000000002</c:v>
                </c:pt>
                <c:pt idx="2189">
                  <c:v>0.90280000000000005</c:v>
                </c:pt>
                <c:pt idx="2190">
                  <c:v>0.94920000000000004</c:v>
                </c:pt>
                <c:pt idx="2191">
                  <c:v>0.3508</c:v>
                </c:pt>
                <c:pt idx="2192">
                  <c:v>0.76519999999999999</c:v>
                </c:pt>
                <c:pt idx="2193">
                  <c:v>0.90880000000000005</c:v>
                </c:pt>
                <c:pt idx="2194">
                  <c:v>0.1802</c:v>
                </c:pt>
                <c:pt idx="2195">
                  <c:v>0.63880000000000003</c:v>
                </c:pt>
                <c:pt idx="2196">
                  <c:v>0.23980000000000001</c:v>
                </c:pt>
                <c:pt idx="2197">
                  <c:v>0.36120000000000002</c:v>
                </c:pt>
                <c:pt idx="2198">
                  <c:v>0.38179999999999997</c:v>
                </c:pt>
                <c:pt idx="2199">
                  <c:v>0.2898</c:v>
                </c:pt>
                <c:pt idx="2200">
                  <c:v>0.86680000000000001</c:v>
                </c:pt>
                <c:pt idx="2201">
                  <c:v>0.2908</c:v>
                </c:pt>
                <c:pt idx="2202">
                  <c:v>0.25640000000000002</c:v>
                </c:pt>
                <c:pt idx="2203">
                  <c:v>0.61419999999999997</c:v>
                </c:pt>
                <c:pt idx="2204">
                  <c:v>0.65339999999999998</c:v>
                </c:pt>
                <c:pt idx="2205">
                  <c:v>0.56520000000000004</c:v>
                </c:pt>
                <c:pt idx="2206">
                  <c:v>0.89839999999999998</c:v>
                </c:pt>
                <c:pt idx="2207">
                  <c:v>0.50960000000000005</c:v>
                </c:pt>
                <c:pt idx="2208">
                  <c:v>0.214</c:v>
                </c:pt>
                <c:pt idx="2209">
                  <c:v>0.15959999999999999</c:v>
                </c:pt>
                <c:pt idx="2210">
                  <c:v>0.92859999999999998</c:v>
                </c:pt>
                <c:pt idx="2211">
                  <c:v>0.49480000000000002</c:v>
                </c:pt>
                <c:pt idx="2212">
                  <c:v>0.23180000000000001</c:v>
                </c:pt>
                <c:pt idx="2213">
                  <c:v>0.31659999999999999</c:v>
                </c:pt>
                <c:pt idx="2214">
                  <c:v>0.92479999999999996</c:v>
                </c:pt>
                <c:pt idx="2215">
                  <c:v>0.45579999999999998</c:v>
                </c:pt>
                <c:pt idx="2216">
                  <c:v>0.6784</c:v>
                </c:pt>
                <c:pt idx="2217">
                  <c:v>0.91659999999999997</c:v>
                </c:pt>
                <c:pt idx="2218">
                  <c:v>0.34239999999999998</c:v>
                </c:pt>
                <c:pt idx="2219">
                  <c:v>0.77400000000000002</c:v>
                </c:pt>
                <c:pt idx="2220">
                  <c:v>0.3846</c:v>
                </c:pt>
                <c:pt idx="2221">
                  <c:v>0.69020000000000004</c:v>
                </c:pt>
                <c:pt idx="2222">
                  <c:v>0.502</c:v>
                </c:pt>
                <c:pt idx="2223">
                  <c:v>0.66659999999999997</c:v>
                </c:pt>
                <c:pt idx="2224">
                  <c:v>0.45500000000000002</c:v>
                </c:pt>
                <c:pt idx="2225">
                  <c:v>0.21099999999999999</c:v>
                </c:pt>
                <c:pt idx="2226">
                  <c:v>0.51</c:v>
                </c:pt>
                <c:pt idx="2227">
                  <c:v>0.53720000000000001</c:v>
                </c:pt>
                <c:pt idx="2228">
                  <c:v>0.35560000000000003</c:v>
                </c:pt>
                <c:pt idx="2229">
                  <c:v>0.30359999999999998</c:v>
                </c:pt>
                <c:pt idx="2230">
                  <c:v>0.93159999999999998</c:v>
                </c:pt>
                <c:pt idx="2231">
                  <c:v>0.85940000000000005</c:v>
                </c:pt>
                <c:pt idx="2232">
                  <c:v>0.15959999999999999</c:v>
                </c:pt>
                <c:pt idx="2233">
                  <c:v>0.80979999999999996</c:v>
                </c:pt>
                <c:pt idx="2234">
                  <c:v>0.14979999999999999</c:v>
                </c:pt>
                <c:pt idx="2235">
                  <c:v>0.1288</c:v>
                </c:pt>
                <c:pt idx="2236">
                  <c:v>0.3286</c:v>
                </c:pt>
                <c:pt idx="2237">
                  <c:v>0.4874</c:v>
                </c:pt>
                <c:pt idx="2238">
                  <c:v>0.92859999999999998</c:v>
                </c:pt>
                <c:pt idx="2239">
                  <c:v>0.88419999999999999</c:v>
                </c:pt>
                <c:pt idx="2240">
                  <c:v>0.33019999999999999</c:v>
                </c:pt>
                <c:pt idx="2241">
                  <c:v>0.1726</c:v>
                </c:pt>
                <c:pt idx="2242">
                  <c:v>0.84899999999999998</c:v>
                </c:pt>
                <c:pt idx="2243">
                  <c:v>0.85940000000000005</c:v>
                </c:pt>
                <c:pt idx="2244">
                  <c:v>0.77039999999999997</c:v>
                </c:pt>
                <c:pt idx="2245">
                  <c:v>0.43319999999999997</c:v>
                </c:pt>
                <c:pt idx="2246">
                  <c:v>0.94920000000000004</c:v>
                </c:pt>
                <c:pt idx="2247">
                  <c:v>0.93540000000000001</c:v>
                </c:pt>
                <c:pt idx="2248">
                  <c:v>0.48060000000000003</c:v>
                </c:pt>
                <c:pt idx="2249">
                  <c:v>0.1792</c:v>
                </c:pt>
                <c:pt idx="2250">
                  <c:v>0.68300000000000005</c:v>
                </c:pt>
                <c:pt idx="2251">
                  <c:v>0.70540000000000003</c:v>
                </c:pt>
                <c:pt idx="2252">
                  <c:v>0.94920000000000004</c:v>
                </c:pt>
                <c:pt idx="2253">
                  <c:v>0.62039999999999995</c:v>
                </c:pt>
                <c:pt idx="2254">
                  <c:v>0.1376</c:v>
                </c:pt>
                <c:pt idx="2255">
                  <c:v>0.3846</c:v>
                </c:pt>
                <c:pt idx="2256">
                  <c:v>0.77259999999999995</c:v>
                </c:pt>
                <c:pt idx="2257">
                  <c:v>0.24079999999999999</c:v>
                </c:pt>
                <c:pt idx="2258">
                  <c:v>0.1782</c:v>
                </c:pt>
                <c:pt idx="2259">
                  <c:v>0.78220000000000001</c:v>
                </c:pt>
                <c:pt idx="2260">
                  <c:v>0.8952</c:v>
                </c:pt>
                <c:pt idx="2261">
                  <c:v>0.25059999999999999</c:v>
                </c:pt>
                <c:pt idx="2262">
                  <c:v>0.7994</c:v>
                </c:pt>
                <c:pt idx="2263">
                  <c:v>0.57699999999999996</c:v>
                </c:pt>
                <c:pt idx="2264">
                  <c:v>0.35199999999999998</c:v>
                </c:pt>
                <c:pt idx="2265">
                  <c:v>0.83979999999999999</c:v>
                </c:pt>
                <c:pt idx="2266">
                  <c:v>0.36559999999999998</c:v>
                </c:pt>
                <c:pt idx="2267">
                  <c:v>0.39700000000000002</c:v>
                </c:pt>
                <c:pt idx="2268">
                  <c:v>0.84919999999999995</c:v>
                </c:pt>
                <c:pt idx="2269">
                  <c:v>0.84199999999999997</c:v>
                </c:pt>
                <c:pt idx="2270">
                  <c:v>0.63360000000000005</c:v>
                </c:pt>
                <c:pt idx="2271">
                  <c:v>0.57999999999999996</c:v>
                </c:pt>
                <c:pt idx="2272">
                  <c:v>0.8992</c:v>
                </c:pt>
                <c:pt idx="2273">
                  <c:v>0.75700000000000001</c:v>
                </c:pt>
                <c:pt idx="2274">
                  <c:v>0.437</c:v>
                </c:pt>
                <c:pt idx="2275">
                  <c:v>0.1424</c:v>
                </c:pt>
                <c:pt idx="2276">
                  <c:v>0.48060000000000003</c:v>
                </c:pt>
                <c:pt idx="2277">
                  <c:v>0.54200000000000004</c:v>
                </c:pt>
                <c:pt idx="2278">
                  <c:v>0.94920000000000004</c:v>
                </c:pt>
                <c:pt idx="2279">
                  <c:v>0.40179999999999999</c:v>
                </c:pt>
                <c:pt idx="2280">
                  <c:v>0.22320000000000001</c:v>
                </c:pt>
                <c:pt idx="2281">
                  <c:v>0.83399999999999996</c:v>
                </c:pt>
                <c:pt idx="2282">
                  <c:v>0.8538</c:v>
                </c:pt>
                <c:pt idx="2283">
                  <c:v>0.72919999999999996</c:v>
                </c:pt>
                <c:pt idx="2284">
                  <c:v>0.25519999999999998</c:v>
                </c:pt>
                <c:pt idx="2285">
                  <c:v>0.3196</c:v>
                </c:pt>
                <c:pt idx="2286">
                  <c:v>0.42080000000000001</c:v>
                </c:pt>
                <c:pt idx="2287">
                  <c:v>0.89680000000000004</c:v>
                </c:pt>
                <c:pt idx="2288">
                  <c:v>0.40920000000000001</c:v>
                </c:pt>
                <c:pt idx="2289">
                  <c:v>0.93720000000000003</c:v>
                </c:pt>
                <c:pt idx="2290">
                  <c:v>0.64339999999999997</c:v>
                </c:pt>
                <c:pt idx="2291">
                  <c:v>0.94920000000000004</c:v>
                </c:pt>
                <c:pt idx="2292">
                  <c:v>0.47499999999999998</c:v>
                </c:pt>
                <c:pt idx="2293">
                  <c:v>0.56140000000000001</c:v>
                </c:pt>
                <c:pt idx="2294">
                  <c:v>0.28599999999999998</c:v>
                </c:pt>
                <c:pt idx="2295">
                  <c:v>0.34739999999999999</c:v>
                </c:pt>
                <c:pt idx="2296">
                  <c:v>0.29480000000000001</c:v>
                </c:pt>
                <c:pt idx="2297">
                  <c:v>0.71540000000000004</c:v>
                </c:pt>
                <c:pt idx="2298">
                  <c:v>0.186</c:v>
                </c:pt>
                <c:pt idx="2299">
                  <c:v>0.74299999999999999</c:v>
                </c:pt>
                <c:pt idx="2300">
                  <c:v>0.94920000000000004</c:v>
                </c:pt>
                <c:pt idx="2301">
                  <c:v>0.2238</c:v>
                </c:pt>
                <c:pt idx="2302">
                  <c:v>0.45939999999999998</c:v>
                </c:pt>
                <c:pt idx="2303">
                  <c:v>0.3342</c:v>
                </c:pt>
                <c:pt idx="2304">
                  <c:v>0.2596</c:v>
                </c:pt>
                <c:pt idx="2305">
                  <c:v>0.87980000000000003</c:v>
                </c:pt>
                <c:pt idx="2306">
                  <c:v>0.67800000000000005</c:v>
                </c:pt>
                <c:pt idx="2307">
                  <c:v>0.25819999999999999</c:v>
                </c:pt>
                <c:pt idx="2308">
                  <c:v>0.1968</c:v>
                </c:pt>
                <c:pt idx="2309">
                  <c:v>0.55120000000000002</c:v>
                </c:pt>
                <c:pt idx="2310">
                  <c:v>0.8216</c:v>
                </c:pt>
                <c:pt idx="2311">
                  <c:v>0.66420000000000001</c:v>
                </c:pt>
                <c:pt idx="2312">
                  <c:v>0.68479999999999996</c:v>
                </c:pt>
                <c:pt idx="2313">
                  <c:v>0.40739999999999998</c:v>
                </c:pt>
                <c:pt idx="2314">
                  <c:v>0.39419999999999999</c:v>
                </c:pt>
                <c:pt idx="2315">
                  <c:v>0.78220000000000001</c:v>
                </c:pt>
                <c:pt idx="2316">
                  <c:v>0.87980000000000003</c:v>
                </c:pt>
                <c:pt idx="2317">
                  <c:v>0.33460000000000001</c:v>
                </c:pt>
                <c:pt idx="2318">
                  <c:v>0.88580000000000003</c:v>
                </c:pt>
                <c:pt idx="2319">
                  <c:v>0.20680000000000001</c:v>
                </c:pt>
                <c:pt idx="2320">
                  <c:v>0.94920000000000004</c:v>
                </c:pt>
                <c:pt idx="2321">
                  <c:v>0.4728</c:v>
                </c:pt>
                <c:pt idx="2322">
                  <c:v>0.63619999999999999</c:v>
                </c:pt>
                <c:pt idx="2323">
                  <c:v>0.22259999999999999</c:v>
                </c:pt>
                <c:pt idx="2324">
                  <c:v>0.61980000000000002</c:v>
                </c:pt>
                <c:pt idx="2325">
                  <c:v>0.86439999999999995</c:v>
                </c:pt>
                <c:pt idx="2326">
                  <c:v>0.32440000000000002</c:v>
                </c:pt>
                <c:pt idx="2327">
                  <c:v>0.86960000000000004</c:v>
                </c:pt>
                <c:pt idx="2328">
                  <c:v>0.79139999999999999</c:v>
                </c:pt>
                <c:pt idx="2329">
                  <c:v>0.40379999999999999</c:v>
                </c:pt>
                <c:pt idx="2330">
                  <c:v>0.48</c:v>
                </c:pt>
                <c:pt idx="2331">
                  <c:v>0.80579999999999996</c:v>
                </c:pt>
                <c:pt idx="2332">
                  <c:v>0.46739999999999998</c:v>
                </c:pt>
                <c:pt idx="2333">
                  <c:v>0.14199999999999999</c:v>
                </c:pt>
                <c:pt idx="2334">
                  <c:v>0.55640000000000001</c:v>
                </c:pt>
                <c:pt idx="2335">
                  <c:v>0.78120000000000001</c:v>
                </c:pt>
                <c:pt idx="2336">
                  <c:v>0.62039999999999995</c:v>
                </c:pt>
                <c:pt idx="2337">
                  <c:v>0.28039999999999998</c:v>
                </c:pt>
                <c:pt idx="2338">
                  <c:v>0.78220000000000001</c:v>
                </c:pt>
                <c:pt idx="2339">
                  <c:v>0.38</c:v>
                </c:pt>
                <c:pt idx="2340">
                  <c:v>0.2596</c:v>
                </c:pt>
                <c:pt idx="2341">
                  <c:v>0.49299999999999999</c:v>
                </c:pt>
                <c:pt idx="2342">
                  <c:v>0.46739999999999998</c:v>
                </c:pt>
                <c:pt idx="2343">
                  <c:v>0.5544</c:v>
                </c:pt>
                <c:pt idx="2344">
                  <c:v>0.53839999999999999</c:v>
                </c:pt>
                <c:pt idx="2345">
                  <c:v>0.6552</c:v>
                </c:pt>
                <c:pt idx="2346">
                  <c:v>0.94920000000000004</c:v>
                </c:pt>
                <c:pt idx="2347">
                  <c:v>0.5474</c:v>
                </c:pt>
                <c:pt idx="2348">
                  <c:v>0.43319999999999997</c:v>
                </c:pt>
                <c:pt idx="2349">
                  <c:v>0.93840000000000001</c:v>
                </c:pt>
                <c:pt idx="2350">
                  <c:v>0.6784</c:v>
                </c:pt>
                <c:pt idx="2351">
                  <c:v>0.80940000000000001</c:v>
                </c:pt>
                <c:pt idx="2352">
                  <c:v>0.17219999999999999</c:v>
                </c:pt>
                <c:pt idx="2353">
                  <c:v>0.17480000000000001</c:v>
                </c:pt>
                <c:pt idx="2354">
                  <c:v>0.89459999999999995</c:v>
                </c:pt>
                <c:pt idx="2355">
                  <c:v>0.57679999999999998</c:v>
                </c:pt>
                <c:pt idx="2356">
                  <c:v>0.2482</c:v>
                </c:pt>
                <c:pt idx="2357">
                  <c:v>0.29299999999999998</c:v>
                </c:pt>
                <c:pt idx="2358">
                  <c:v>0.58840000000000003</c:v>
                </c:pt>
                <c:pt idx="2359">
                  <c:v>0.14280000000000001</c:v>
                </c:pt>
                <c:pt idx="2360">
                  <c:v>0.94740000000000002</c:v>
                </c:pt>
                <c:pt idx="2361">
                  <c:v>0.12720000000000001</c:v>
                </c:pt>
                <c:pt idx="2362">
                  <c:v>0.86099999999999999</c:v>
                </c:pt>
                <c:pt idx="2363">
                  <c:v>0.34599999999999997</c:v>
                </c:pt>
                <c:pt idx="2364">
                  <c:v>0.44940000000000002</c:v>
                </c:pt>
                <c:pt idx="2365">
                  <c:v>0.43419999999999997</c:v>
                </c:pt>
                <c:pt idx="2366">
                  <c:v>0.16439999999999999</c:v>
                </c:pt>
                <c:pt idx="2367">
                  <c:v>0.3866</c:v>
                </c:pt>
                <c:pt idx="2368">
                  <c:v>0.1242</c:v>
                </c:pt>
                <c:pt idx="2369">
                  <c:v>0.72</c:v>
                </c:pt>
                <c:pt idx="2370">
                  <c:v>0.25240000000000001</c:v>
                </c:pt>
                <c:pt idx="2371">
                  <c:v>0.94340000000000002</c:v>
                </c:pt>
                <c:pt idx="2372">
                  <c:v>0.73460000000000003</c:v>
                </c:pt>
                <c:pt idx="2373">
                  <c:v>0.2364</c:v>
                </c:pt>
                <c:pt idx="2374">
                  <c:v>0.8992</c:v>
                </c:pt>
                <c:pt idx="2375">
                  <c:v>0.60660000000000003</c:v>
                </c:pt>
                <c:pt idx="2376">
                  <c:v>0.2908</c:v>
                </c:pt>
                <c:pt idx="2377">
                  <c:v>0.45860000000000001</c:v>
                </c:pt>
                <c:pt idx="2378">
                  <c:v>0.56940000000000002</c:v>
                </c:pt>
                <c:pt idx="2379">
                  <c:v>0.58499999999999996</c:v>
                </c:pt>
                <c:pt idx="2380">
                  <c:v>0.42299999999999999</c:v>
                </c:pt>
                <c:pt idx="2381">
                  <c:v>0.90939999999999999</c:v>
                </c:pt>
                <c:pt idx="2382">
                  <c:v>0.59160000000000001</c:v>
                </c:pt>
                <c:pt idx="2383">
                  <c:v>0.2374</c:v>
                </c:pt>
                <c:pt idx="2384">
                  <c:v>0.91559999999999997</c:v>
                </c:pt>
                <c:pt idx="2385">
                  <c:v>0.89039999999999997</c:v>
                </c:pt>
                <c:pt idx="2386">
                  <c:v>0.51400000000000001</c:v>
                </c:pt>
                <c:pt idx="2387">
                  <c:v>0.503</c:v>
                </c:pt>
                <c:pt idx="2388">
                  <c:v>0.91920000000000002</c:v>
                </c:pt>
                <c:pt idx="2389">
                  <c:v>0.58179999999999998</c:v>
                </c:pt>
                <c:pt idx="2390">
                  <c:v>0.90680000000000005</c:v>
                </c:pt>
                <c:pt idx="2391">
                  <c:v>0.93159999999999998</c:v>
                </c:pt>
                <c:pt idx="2392">
                  <c:v>0.2792</c:v>
                </c:pt>
                <c:pt idx="2393">
                  <c:v>0.90100000000000002</c:v>
                </c:pt>
                <c:pt idx="2394">
                  <c:v>0.83479999999999999</c:v>
                </c:pt>
                <c:pt idx="2395">
                  <c:v>0.93899999999999995</c:v>
                </c:pt>
                <c:pt idx="2396">
                  <c:v>0.46239999999999998</c:v>
                </c:pt>
                <c:pt idx="2397">
                  <c:v>0.2084</c:v>
                </c:pt>
                <c:pt idx="2398">
                  <c:v>0.218</c:v>
                </c:pt>
                <c:pt idx="2399">
                  <c:v>0.59160000000000001</c:v>
                </c:pt>
                <c:pt idx="2400">
                  <c:v>0.314</c:v>
                </c:pt>
                <c:pt idx="2401">
                  <c:v>0.17480000000000001</c:v>
                </c:pt>
                <c:pt idx="2402">
                  <c:v>0.88580000000000003</c:v>
                </c:pt>
                <c:pt idx="2403">
                  <c:v>0.58140000000000003</c:v>
                </c:pt>
                <c:pt idx="2404">
                  <c:v>0.89559999999999995</c:v>
                </c:pt>
                <c:pt idx="2405">
                  <c:v>0.91059999999999997</c:v>
                </c:pt>
                <c:pt idx="2406">
                  <c:v>0.50960000000000005</c:v>
                </c:pt>
                <c:pt idx="2407">
                  <c:v>0.58460000000000001</c:v>
                </c:pt>
                <c:pt idx="2408">
                  <c:v>0.65400000000000003</c:v>
                </c:pt>
                <c:pt idx="2409">
                  <c:v>0.51</c:v>
                </c:pt>
                <c:pt idx="2410">
                  <c:v>0.31840000000000002</c:v>
                </c:pt>
                <c:pt idx="2411">
                  <c:v>0.26340000000000002</c:v>
                </c:pt>
                <c:pt idx="2412">
                  <c:v>0.73060000000000003</c:v>
                </c:pt>
                <c:pt idx="2413">
                  <c:v>0.68479999999999996</c:v>
                </c:pt>
                <c:pt idx="2414">
                  <c:v>0.90100000000000002</c:v>
                </c:pt>
                <c:pt idx="2415">
                  <c:v>0.74019999999999997</c:v>
                </c:pt>
                <c:pt idx="2416">
                  <c:v>0.57999999999999996</c:v>
                </c:pt>
                <c:pt idx="2417">
                  <c:v>0.39079999999999998</c:v>
                </c:pt>
                <c:pt idx="2418">
                  <c:v>0.88439999999999996</c:v>
                </c:pt>
                <c:pt idx="2419">
                  <c:v>0.86960000000000004</c:v>
                </c:pt>
                <c:pt idx="2420">
                  <c:v>0.47899999999999998</c:v>
                </c:pt>
                <c:pt idx="2421">
                  <c:v>0.2656</c:v>
                </c:pt>
                <c:pt idx="2422">
                  <c:v>0.79559999999999997</c:v>
                </c:pt>
                <c:pt idx="2423">
                  <c:v>0.66659999999999997</c:v>
                </c:pt>
                <c:pt idx="2424">
                  <c:v>0.77880000000000005</c:v>
                </c:pt>
                <c:pt idx="2425">
                  <c:v>0.94920000000000004</c:v>
                </c:pt>
                <c:pt idx="2426">
                  <c:v>0.94920000000000004</c:v>
                </c:pt>
                <c:pt idx="2427">
                  <c:v>0.66559999999999997</c:v>
                </c:pt>
                <c:pt idx="2428">
                  <c:v>0.2974</c:v>
                </c:pt>
                <c:pt idx="2429">
                  <c:v>0.35299999999999998</c:v>
                </c:pt>
                <c:pt idx="2430">
                  <c:v>0.51100000000000001</c:v>
                </c:pt>
                <c:pt idx="2431">
                  <c:v>0.94920000000000004</c:v>
                </c:pt>
                <c:pt idx="2432">
                  <c:v>0.14360000000000001</c:v>
                </c:pt>
                <c:pt idx="2433">
                  <c:v>0.78420000000000001</c:v>
                </c:pt>
                <c:pt idx="2434">
                  <c:v>0.60160000000000002</c:v>
                </c:pt>
                <c:pt idx="2435">
                  <c:v>0.63360000000000005</c:v>
                </c:pt>
                <c:pt idx="2436">
                  <c:v>0.93940000000000001</c:v>
                </c:pt>
                <c:pt idx="2437">
                  <c:v>0.2858</c:v>
                </c:pt>
                <c:pt idx="2438">
                  <c:v>0.94920000000000004</c:v>
                </c:pt>
                <c:pt idx="2439">
                  <c:v>0.4864</c:v>
                </c:pt>
                <c:pt idx="2440">
                  <c:v>0.74239999999999995</c:v>
                </c:pt>
                <c:pt idx="2441">
                  <c:v>0.59379999999999999</c:v>
                </c:pt>
                <c:pt idx="2442">
                  <c:v>0.86299999999999999</c:v>
                </c:pt>
                <c:pt idx="2443">
                  <c:v>0.83240000000000003</c:v>
                </c:pt>
                <c:pt idx="2444">
                  <c:v>0.64059999999999995</c:v>
                </c:pt>
                <c:pt idx="2445">
                  <c:v>0.94920000000000004</c:v>
                </c:pt>
                <c:pt idx="2446">
                  <c:v>0.1174</c:v>
                </c:pt>
                <c:pt idx="2447">
                  <c:v>0.83599999999999997</c:v>
                </c:pt>
                <c:pt idx="2448">
                  <c:v>0.86180000000000001</c:v>
                </c:pt>
                <c:pt idx="2449">
                  <c:v>0.75700000000000001</c:v>
                </c:pt>
                <c:pt idx="2450">
                  <c:v>0.89680000000000004</c:v>
                </c:pt>
                <c:pt idx="2451">
                  <c:v>0.12720000000000001</c:v>
                </c:pt>
                <c:pt idx="2452">
                  <c:v>0.4098</c:v>
                </c:pt>
                <c:pt idx="2453">
                  <c:v>0.37659999999999999</c:v>
                </c:pt>
                <c:pt idx="2454">
                  <c:v>0.80520000000000003</c:v>
                </c:pt>
                <c:pt idx="2455">
                  <c:v>0.22059999999999999</c:v>
                </c:pt>
                <c:pt idx="2456">
                  <c:v>0.91359999999999997</c:v>
                </c:pt>
                <c:pt idx="2457">
                  <c:v>0.15720000000000001</c:v>
                </c:pt>
                <c:pt idx="2458">
                  <c:v>0.80700000000000005</c:v>
                </c:pt>
                <c:pt idx="2459">
                  <c:v>0.66339999999999999</c:v>
                </c:pt>
                <c:pt idx="2460">
                  <c:v>0.43759999999999999</c:v>
                </c:pt>
                <c:pt idx="2461">
                  <c:v>0.78939999999999999</c:v>
                </c:pt>
                <c:pt idx="2462">
                  <c:v>0.79759999999999998</c:v>
                </c:pt>
                <c:pt idx="2463">
                  <c:v>0.64580000000000004</c:v>
                </c:pt>
                <c:pt idx="2464">
                  <c:v>0.43980000000000002</c:v>
                </c:pt>
                <c:pt idx="2465">
                  <c:v>0.89839999999999998</c:v>
                </c:pt>
                <c:pt idx="2466">
                  <c:v>0.52259999999999995</c:v>
                </c:pt>
                <c:pt idx="2467">
                  <c:v>0.86099999999999999</c:v>
                </c:pt>
                <c:pt idx="2468">
                  <c:v>0.89559999999999995</c:v>
                </c:pt>
                <c:pt idx="2469">
                  <c:v>0.46639999999999998</c:v>
                </c:pt>
                <c:pt idx="2470">
                  <c:v>0.19819999999999999</c:v>
                </c:pt>
                <c:pt idx="2471">
                  <c:v>0.67679999999999996</c:v>
                </c:pt>
                <c:pt idx="2472">
                  <c:v>0.46920000000000001</c:v>
                </c:pt>
                <c:pt idx="2473">
                  <c:v>0.33500000000000002</c:v>
                </c:pt>
                <c:pt idx="2474">
                  <c:v>0.31440000000000001</c:v>
                </c:pt>
                <c:pt idx="2475">
                  <c:v>0.47160000000000002</c:v>
                </c:pt>
                <c:pt idx="2476">
                  <c:v>0.27300000000000002</c:v>
                </c:pt>
                <c:pt idx="2477">
                  <c:v>0.45100000000000001</c:v>
                </c:pt>
                <c:pt idx="2478">
                  <c:v>0.89319999999999999</c:v>
                </c:pt>
                <c:pt idx="2479">
                  <c:v>0.8538</c:v>
                </c:pt>
                <c:pt idx="2480">
                  <c:v>0.39179999999999998</c:v>
                </c:pt>
                <c:pt idx="2481">
                  <c:v>0.78939999999999999</c:v>
                </c:pt>
                <c:pt idx="2482">
                  <c:v>0.68799999999999994</c:v>
                </c:pt>
                <c:pt idx="2483">
                  <c:v>0.70579999999999998</c:v>
                </c:pt>
                <c:pt idx="2484">
                  <c:v>0.69540000000000002</c:v>
                </c:pt>
                <c:pt idx="2485">
                  <c:v>0.34820000000000001</c:v>
                </c:pt>
                <c:pt idx="2486">
                  <c:v>0.32140000000000002</c:v>
                </c:pt>
                <c:pt idx="2487">
                  <c:v>0.39479999999999998</c:v>
                </c:pt>
                <c:pt idx="2488">
                  <c:v>0.50680000000000003</c:v>
                </c:pt>
                <c:pt idx="2489">
                  <c:v>0.755</c:v>
                </c:pt>
                <c:pt idx="2490">
                  <c:v>0.46439999999999998</c:v>
                </c:pt>
                <c:pt idx="2491">
                  <c:v>0.91059999999999997</c:v>
                </c:pt>
                <c:pt idx="2492">
                  <c:v>0.59319999999999995</c:v>
                </c:pt>
                <c:pt idx="2493">
                  <c:v>0.38840000000000002</c:v>
                </c:pt>
                <c:pt idx="2494">
                  <c:v>0.436</c:v>
                </c:pt>
                <c:pt idx="2495">
                  <c:v>0.7944</c:v>
                </c:pt>
                <c:pt idx="2496">
                  <c:v>0.28999999999999998</c:v>
                </c:pt>
                <c:pt idx="2497">
                  <c:v>0.54400000000000004</c:v>
                </c:pt>
                <c:pt idx="2498">
                  <c:v>0.25240000000000001</c:v>
                </c:pt>
                <c:pt idx="2499">
                  <c:v>0.57279999999999998</c:v>
                </c:pt>
                <c:pt idx="2500">
                  <c:v>0.47399999999999998</c:v>
                </c:pt>
                <c:pt idx="2501">
                  <c:v>0.35899999999999999</c:v>
                </c:pt>
                <c:pt idx="2502">
                  <c:v>0.39879999999999999</c:v>
                </c:pt>
                <c:pt idx="2503">
                  <c:v>0.50480000000000003</c:v>
                </c:pt>
                <c:pt idx="2504">
                  <c:v>0.73160000000000003</c:v>
                </c:pt>
                <c:pt idx="2505">
                  <c:v>0.60499999999999998</c:v>
                </c:pt>
                <c:pt idx="2506">
                  <c:v>0.80159999999999998</c:v>
                </c:pt>
                <c:pt idx="2507">
                  <c:v>0.16139999999999999</c:v>
                </c:pt>
                <c:pt idx="2508">
                  <c:v>0.46300000000000002</c:v>
                </c:pt>
                <c:pt idx="2509">
                  <c:v>0.47620000000000001</c:v>
                </c:pt>
                <c:pt idx="2510">
                  <c:v>0.55059999999999998</c:v>
                </c:pt>
                <c:pt idx="2511">
                  <c:v>0.74380000000000002</c:v>
                </c:pt>
                <c:pt idx="2512">
                  <c:v>0.623</c:v>
                </c:pt>
                <c:pt idx="2513">
                  <c:v>0.755</c:v>
                </c:pt>
                <c:pt idx="2514">
                  <c:v>0.22639999999999999</c:v>
                </c:pt>
                <c:pt idx="2515">
                  <c:v>0.65820000000000001</c:v>
                </c:pt>
                <c:pt idx="2516">
                  <c:v>0.29360000000000003</c:v>
                </c:pt>
                <c:pt idx="2517">
                  <c:v>0.45219999999999999</c:v>
                </c:pt>
                <c:pt idx="2518">
                  <c:v>0.70420000000000005</c:v>
                </c:pt>
                <c:pt idx="2519">
                  <c:v>0.9224</c:v>
                </c:pt>
                <c:pt idx="2520">
                  <c:v>0.64980000000000004</c:v>
                </c:pt>
                <c:pt idx="2521">
                  <c:v>0.36840000000000001</c:v>
                </c:pt>
                <c:pt idx="2522">
                  <c:v>0.33960000000000001</c:v>
                </c:pt>
                <c:pt idx="2523">
                  <c:v>0.1678</c:v>
                </c:pt>
                <c:pt idx="2524">
                  <c:v>0.54359999999999997</c:v>
                </c:pt>
                <c:pt idx="2525">
                  <c:v>0.45279999999999998</c:v>
                </c:pt>
                <c:pt idx="2526">
                  <c:v>0.22739999999999999</c:v>
                </c:pt>
                <c:pt idx="2527">
                  <c:v>0.45279999999999998</c:v>
                </c:pt>
                <c:pt idx="2528">
                  <c:v>0.24879999999999999</c:v>
                </c:pt>
                <c:pt idx="2529">
                  <c:v>0.87660000000000005</c:v>
                </c:pt>
                <c:pt idx="2530">
                  <c:v>0.19980000000000001</c:v>
                </c:pt>
                <c:pt idx="2531">
                  <c:v>0.41420000000000001</c:v>
                </c:pt>
                <c:pt idx="2532">
                  <c:v>0.5706</c:v>
                </c:pt>
                <c:pt idx="2533">
                  <c:v>0.19400000000000001</c:v>
                </c:pt>
                <c:pt idx="2534">
                  <c:v>0.38219999999999998</c:v>
                </c:pt>
                <c:pt idx="2535">
                  <c:v>0.39979999999999999</c:v>
                </c:pt>
                <c:pt idx="2536">
                  <c:v>0.46300000000000002</c:v>
                </c:pt>
                <c:pt idx="2537">
                  <c:v>0.1734</c:v>
                </c:pt>
                <c:pt idx="2538">
                  <c:v>0.90059999999999996</c:v>
                </c:pt>
                <c:pt idx="2539">
                  <c:v>0.17580000000000001</c:v>
                </c:pt>
                <c:pt idx="2540">
                  <c:v>0.64580000000000004</c:v>
                </c:pt>
                <c:pt idx="2541">
                  <c:v>0.43140000000000001</c:v>
                </c:pt>
                <c:pt idx="2542">
                  <c:v>0.70020000000000004</c:v>
                </c:pt>
                <c:pt idx="2543">
                  <c:v>0.4032</c:v>
                </c:pt>
                <c:pt idx="2544">
                  <c:v>0.13039999999999999</c:v>
                </c:pt>
                <c:pt idx="2545">
                  <c:v>0.70720000000000005</c:v>
                </c:pt>
                <c:pt idx="2546">
                  <c:v>0.27779999999999999</c:v>
                </c:pt>
                <c:pt idx="2547">
                  <c:v>0.39179999999999998</c:v>
                </c:pt>
                <c:pt idx="2548">
                  <c:v>0.78680000000000005</c:v>
                </c:pt>
                <c:pt idx="2549">
                  <c:v>0.71379999999999999</c:v>
                </c:pt>
                <c:pt idx="2550">
                  <c:v>0.65139999999999998</c:v>
                </c:pt>
                <c:pt idx="2551">
                  <c:v>0.31319999999999998</c:v>
                </c:pt>
                <c:pt idx="2552">
                  <c:v>0.94920000000000004</c:v>
                </c:pt>
                <c:pt idx="2553">
                  <c:v>0.94920000000000004</c:v>
                </c:pt>
                <c:pt idx="2554">
                  <c:v>0.2374</c:v>
                </c:pt>
                <c:pt idx="2555">
                  <c:v>0.31759999999999999</c:v>
                </c:pt>
                <c:pt idx="2556">
                  <c:v>0.41060000000000002</c:v>
                </c:pt>
                <c:pt idx="2557">
                  <c:v>0.2198</c:v>
                </c:pt>
                <c:pt idx="2558">
                  <c:v>0.36780000000000002</c:v>
                </c:pt>
                <c:pt idx="2559">
                  <c:v>0.51980000000000004</c:v>
                </c:pt>
                <c:pt idx="2560">
                  <c:v>0.88680000000000003</c:v>
                </c:pt>
                <c:pt idx="2561">
                  <c:v>0.78859999999999997</c:v>
                </c:pt>
                <c:pt idx="2562">
                  <c:v>0.85619999999999996</c:v>
                </c:pt>
                <c:pt idx="2563">
                  <c:v>0.94920000000000004</c:v>
                </c:pt>
                <c:pt idx="2564">
                  <c:v>0.52880000000000005</c:v>
                </c:pt>
                <c:pt idx="2565">
                  <c:v>0.21759999999999999</c:v>
                </c:pt>
                <c:pt idx="2566">
                  <c:v>0.94920000000000004</c:v>
                </c:pt>
                <c:pt idx="2567">
                  <c:v>0.28320000000000001</c:v>
                </c:pt>
                <c:pt idx="2568">
                  <c:v>0.50680000000000003</c:v>
                </c:pt>
                <c:pt idx="2569">
                  <c:v>0.26500000000000001</c:v>
                </c:pt>
                <c:pt idx="2570">
                  <c:v>0.89319999999999999</c:v>
                </c:pt>
                <c:pt idx="2571">
                  <c:v>0.86180000000000001</c:v>
                </c:pt>
                <c:pt idx="2572">
                  <c:v>0.52259999999999995</c:v>
                </c:pt>
                <c:pt idx="2573">
                  <c:v>0.36620000000000003</c:v>
                </c:pt>
                <c:pt idx="2574">
                  <c:v>0.33960000000000001</c:v>
                </c:pt>
                <c:pt idx="2575">
                  <c:v>0.19040000000000001</c:v>
                </c:pt>
                <c:pt idx="2576">
                  <c:v>0.878</c:v>
                </c:pt>
                <c:pt idx="2577">
                  <c:v>0.89039999999999997</c:v>
                </c:pt>
                <c:pt idx="2578">
                  <c:v>0.34060000000000001</c:v>
                </c:pt>
                <c:pt idx="2579">
                  <c:v>0.42899999999999999</c:v>
                </c:pt>
                <c:pt idx="2580">
                  <c:v>0.29220000000000002</c:v>
                </c:pt>
                <c:pt idx="2581">
                  <c:v>0.94920000000000004</c:v>
                </c:pt>
                <c:pt idx="2582">
                  <c:v>0.94920000000000004</c:v>
                </c:pt>
                <c:pt idx="2583">
                  <c:v>0.36699999999999999</c:v>
                </c:pt>
                <c:pt idx="2584">
                  <c:v>0.1638</c:v>
                </c:pt>
                <c:pt idx="2585">
                  <c:v>0.13539999999999999</c:v>
                </c:pt>
                <c:pt idx="2586">
                  <c:v>0.87039999999999995</c:v>
                </c:pt>
                <c:pt idx="2587">
                  <c:v>0.50839999999999996</c:v>
                </c:pt>
                <c:pt idx="2588">
                  <c:v>0.52880000000000005</c:v>
                </c:pt>
                <c:pt idx="2589">
                  <c:v>0.86399999999999999</c:v>
                </c:pt>
                <c:pt idx="2590">
                  <c:v>0.7752</c:v>
                </c:pt>
                <c:pt idx="2591">
                  <c:v>0.28799999999999998</c:v>
                </c:pt>
                <c:pt idx="2592">
                  <c:v>0.71819999999999995</c:v>
                </c:pt>
                <c:pt idx="2593">
                  <c:v>0.30740000000000001</c:v>
                </c:pt>
                <c:pt idx="2594">
                  <c:v>0.29299999999999998</c:v>
                </c:pt>
                <c:pt idx="2595">
                  <c:v>0.42080000000000001</c:v>
                </c:pt>
                <c:pt idx="2596">
                  <c:v>0.32400000000000001</c:v>
                </c:pt>
                <c:pt idx="2597">
                  <c:v>0.38119999999999998</c:v>
                </c:pt>
                <c:pt idx="2598">
                  <c:v>0.14119999999999999</c:v>
                </c:pt>
                <c:pt idx="2599">
                  <c:v>0.83599999999999997</c:v>
                </c:pt>
                <c:pt idx="2600">
                  <c:v>0.1472</c:v>
                </c:pt>
                <c:pt idx="2601">
                  <c:v>0.53680000000000005</c:v>
                </c:pt>
                <c:pt idx="2602">
                  <c:v>0.94920000000000004</c:v>
                </c:pt>
                <c:pt idx="2603">
                  <c:v>0.29480000000000001</c:v>
                </c:pt>
                <c:pt idx="2604">
                  <c:v>0.94920000000000004</c:v>
                </c:pt>
                <c:pt idx="2605">
                  <c:v>0.5494</c:v>
                </c:pt>
                <c:pt idx="2606">
                  <c:v>0.90680000000000005</c:v>
                </c:pt>
                <c:pt idx="2607">
                  <c:v>0.81420000000000003</c:v>
                </c:pt>
                <c:pt idx="2608">
                  <c:v>0.43</c:v>
                </c:pt>
                <c:pt idx="2609">
                  <c:v>0.40739999999999998</c:v>
                </c:pt>
                <c:pt idx="2610">
                  <c:v>0.27439999999999998</c:v>
                </c:pt>
                <c:pt idx="2611">
                  <c:v>0.70720000000000005</c:v>
                </c:pt>
                <c:pt idx="2612">
                  <c:v>0.2762</c:v>
                </c:pt>
                <c:pt idx="2613">
                  <c:v>0.63780000000000003</c:v>
                </c:pt>
                <c:pt idx="2614">
                  <c:v>0.14799999999999999</c:v>
                </c:pt>
                <c:pt idx="2615">
                  <c:v>0.53220000000000001</c:v>
                </c:pt>
                <c:pt idx="2616">
                  <c:v>0.91739999999999999</c:v>
                </c:pt>
                <c:pt idx="2617">
                  <c:v>0.42299999999999999</c:v>
                </c:pt>
                <c:pt idx="2618">
                  <c:v>0.4496</c:v>
                </c:pt>
                <c:pt idx="2619">
                  <c:v>0.83840000000000003</c:v>
                </c:pt>
                <c:pt idx="2620">
                  <c:v>0.56940000000000002</c:v>
                </c:pt>
                <c:pt idx="2621">
                  <c:v>0.43140000000000001</c:v>
                </c:pt>
                <c:pt idx="2622">
                  <c:v>0.94920000000000004</c:v>
                </c:pt>
                <c:pt idx="2623">
                  <c:v>0.90059999999999996</c:v>
                </c:pt>
                <c:pt idx="2624">
                  <c:v>0.66979999999999995</c:v>
                </c:pt>
                <c:pt idx="2625">
                  <c:v>0.1784</c:v>
                </c:pt>
                <c:pt idx="2626">
                  <c:v>0.93420000000000003</c:v>
                </c:pt>
                <c:pt idx="2627">
                  <c:v>0.28220000000000001</c:v>
                </c:pt>
                <c:pt idx="2628">
                  <c:v>0.218</c:v>
                </c:pt>
                <c:pt idx="2629">
                  <c:v>0.72419999999999995</c:v>
                </c:pt>
                <c:pt idx="2630">
                  <c:v>0.76839999999999997</c:v>
                </c:pt>
                <c:pt idx="2631">
                  <c:v>0.94920000000000004</c:v>
                </c:pt>
                <c:pt idx="2632">
                  <c:v>0.2666</c:v>
                </c:pt>
                <c:pt idx="2633">
                  <c:v>0.40839999999999999</c:v>
                </c:pt>
                <c:pt idx="2634">
                  <c:v>0.91359999999999997</c:v>
                </c:pt>
                <c:pt idx="2635">
                  <c:v>0.71040000000000003</c:v>
                </c:pt>
                <c:pt idx="2636">
                  <c:v>0.3342</c:v>
                </c:pt>
                <c:pt idx="2637">
                  <c:v>0.93120000000000003</c:v>
                </c:pt>
                <c:pt idx="2638">
                  <c:v>0.3866</c:v>
                </c:pt>
                <c:pt idx="2639">
                  <c:v>0.94920000000000004</c:v>
                </c:pt>
                <c:pt idx="2640">
                  <c:v>0.90680000000000005</c:v>
                </c:pt>
                <c:pt idx="2641">
                  <c:v>0.16139999999999999</c:v>
                </c:pt>
                <c:pt idx="2642">
                  <c:v>0.50680000000000003</c:v>
                </c:pt>
                <c:pt idx="2643">
                  <c:v>0.6744</c:v>
                </c:pt>
                <c:pt idx="2644">
                  <c:v>0.93840000000000001</c:v>
                </c:pt>
                <c:pt idx="2645">
                  <c:v>0.62360000000000004</c:v>
                </c:pt>
                <c:pt idx="2646">
                  <c:v>0.38319999999999999</c:v>
                </c:pt>
                <c:pt idx="2647">
                  <c:v>0.34360000000000002</c:v>
                </c:pt>
                <c:pt idx="2648">
                  <c:v>0.1968</c:v>
                </c:pt>
                <c:pt idx="2649">
                  <c:v>0.7722</c:v>
                </c:pt>
                <c:pt idx="2650">
                  <c:v>0.83360000000000001</c:v>
                </c:pt>
                <c:pt idx="2651">
                  <c:v>0.27779999999999999</c:v>
                </c:pt>
                <c:pt idx="2652">
                  <c:v>0.86040000000000005</c:v>
                </c:pt>
                <c:pt idx="2653">
                  <c:v>0.42499999999999999</c:v>
                </c:pt>
                <c:pt idx="2654">
                  <c:v>0.16439999999999999</c:v>
                </c:pt>
                <c:pt idx="2655">
                  <c:v>0.1152</c:v>
                </c:pt>
                <c:pt idx="2656">
                  <c:v>0.27779999999999999</c:v>
                </c:pt>
                <c:pt idx="2657">
                  <c:v>0.74719999999999998</c:v>
                </c:pt>
                <c:pt idx="2658">
                  <c:v>0.51180000000000003</c:v>
                </c:pt>
                <c:pt idx="2659">
                  <c:v>0.93</c:v>
                </c:pt>
                <c:pt idx="2660">
                  <c:v>0.28160000000000002</c:v>
                </c:pt>
                <c:pt idx="2661">
                  <c:v>0.33639999999999998</c:v>
                </c:pt>
                <c:pt idx="2662">
                  <c:v>0.48799999999999999</c:v>
                </c:pt>
                <c:pt idx="2663">
                  <c:v>0.61060000000000003</c:v>
                </c:pt>
                <c:pt idx="2664">
                  <c:v>0.1452</c:v>
                </c:pt>
                <c:pt idx="2665">
                  <c:v>0.38979999999999998</c:v>
                </c:pt>
                <c:pt idx="2666">
                  <c:v>0.84040000000000004</c:v>
                </c:pt>
                <c:pt idx="2667">
                  <c:v>0.873</c:v>
                </c:pt>
                <c:pt idx="2668">
                  <c:v>0.39679999999999999</c:v>
                </c:pt>
                <c:pt idx="2669">
                  <c:v>0.76939999999999997</c:v>
                </c:pt>
                <c:pt idx="2670">
                  <c:v>0.28639999999999999</c:v>
                </c:pt>
                <c:pt idx="2671">
                  <c:v>0.8992</c:v>
                </c:pt>
                <c:pt idx="2672">
                  <c:v>0.1792</c:v>
                </c:pt>
                <c:pt idx="2673">
                  <c:v>0.55740000000000001</c:v>
                </c:pt>
                <c:pt idx="2674">
                  <c:v>0.18279999999999999</c:v>
                </c:pt>
                <c:pt idx="2675">
                  <c:v>0.55959999999999999</c:v>
                </c:pt>
                <c:pt idx="2676">
                  <c:v>0.70340000000000003</c:v>
                </c:pt>
                <c:pt idx="2677">
                  <c:v>0.12</c:v>
                </c:pt>
                <c:pt idx="2678">
                  <c:v>0.48060000000000003</c:v>
                </c:pt>
                <c:pt idx="2679">
                  <c:v>0.94320000000000004</c:v>
                </c:pt>
                <c:pt idx="2680">
                  <c:v>0.86799999999999999</c:v>
                </c:pt>
                <c:pt idx="2681">
                  <c:v>0.1376</c:v>
                </c:pt>
                <c:pt idx="2682">
                  <c:v>0.79139999999999999</c:v>
                </c:pt>
                <c:pt idx="2683">
                  <c:v>0.40279999999999999</c:v>
                </c:pt>
                <c:pt idx="2684">
                  <c:v>0.20680000000000001</c:v>
                </c:pt>
                <c:pt idx="2685">
                  <c:v>0.876</c:v>
                </c:pt>
                <c:pt idx="2686">
                  <c:v>0.78380000000000005</c:v>
                </c:pt>
                <c:pt idx="2687">
                  <c:v>0.87660000000000005</c:v>
                </c:pt>
                <c:pt idx="2688">
                  <c:v>0.58460000000000001</c:v>
                </c:pt>
                <c:pt idx="2689">
                  <c:v>0.86799999999999999</c:v>
                </c:pt>
                <c:pt idx="2690">
                  <c:v>0.23219999999999999</c:v>
                </c:pt>
                <c:pt idx="2691">
                  <c:v>0.79559999999999997</c:v>
                </c:pt>
                <c:pt idx="2692">
                  <c:v>0.61960000000000004</c:v>
                </c:pt>
                <c:pt idx="2693">
                  <c:v>0.81420000000000003</c:v>
                </c:pt>
                <c:pt idx="2694">
                  <c:v>0.18740000000000001</c:v>
                </c:pt>
                <c:pt idx="2695">
                  <c:v>0.47020000000000001</c:v>
                </c:pt>
                <c:pt idx="2696">
                  <c:v>0.78220000000000001</c:v>
                </c:pt>
                <c:pt idx="2697">
                  <c:v>0.56299999999999994</c:v>
                </c:pt>
                <c:pt idx="2698">
                  <c:v>0.62619999999999998</c:v>
                </c:pt>
                <c:pt idx="2699">
                  <c:v>0.46860000000000002</c:v>
                </c:pt>
                <c:pt idx="2700">
                  <c:v>0.39279999999999998</c:v>
                </c:pt>
                <c:pt idx="2701">
                  <c:v>0.57699999999999996</c:v>
                </c:pt>
                <c:pt idx="2702">
                  <c:v>0.21659999999999999</c:v>
                </c:pt>
                <c:pt idx="2703">
                  <c:v>0.88759999999999994</c:v>
                </c:pt>
                <c:pt idx="2704">
                  <c:v>0.38779999999999998</c:v>
                </c:pt>
                <c:pt idx="2705">
                  <c:v>0.94720000000000004</c:v>
                </c:pt>
                <c:pt idx="2706">
                  <c:v>0.39219999999999999</c:v>
                </c:pt>
                <c:pt idx="2707">
                  <c:v>0.82499999999999996</c:v>
                </c:pt>
                <c:pt idx="2708">
                  <c:v>0.91059999999999997</c:v>
                </c:pt>
                <c:pt idx="2709">
                  <c:v>0.6552</c:v>
                </c:pt>
                <c:pt idx="2710">
                  <c:v>0.58340000000000003</c:v>
                </c:pt>
                <c:pt idx="2711">
                  <c:v>0.27500000000000002</c:v>
                </c:pt>
                <c:pt idx="2712">
                  <c:v>0.94920000000000004</c:v>
                </c:pt>
                <c:pt idx="2713">
                  <c:v>0.45760000000000001</c:v>
                </c:pt>
                <c:pt idx="2714">
                  <c:v>0.187</c:v>
                </c:pt>
                <c:pt idx="2715">
                  <c:v>0.82740000000000002</c:v>
                </c:pt>
                <c:pt idx="2716">
                  <c:v>0.42899999999999999</c:v>
                </c:pt>
                <c:pt idx="2717">
                  <c:v>0.54059999999999997</c:v>
                </c:pt>
                <c:pt idx="2718">
                  <c:v>0.51980000000000004</c:v>
                </c:pt>
                <c:pt idx="2719">
                  <c:v>0.18179999999999999</c:v>
                </c:pt>
                <c:pt idx="2720">
                  <c:v>0.35420000000000001</c:v>
                </c:pt>
                <c:pt idx="2721">
                  <c:v>0.90939999999999999</c:v>
                </c:pt>
                <c:pt idx="2722">
                  <c:v>0.84099999999999997</c:v>
                </c:pt>
                <c:pt idx="2723">
                  <c:v>0.2006</c:v>
                </c:pt>
                <c:pt idx="2724">
                  <c:v>0.32440000000000002</c:v>
                </c:pt>
                <c:pt idx="2725">
                  <c:v>0.93720000000000003</c:v>
                </c:pt>
                <c:pt idx="2726">
                  <c:v>0.61060000000000003</c:v>
                </c:pt>
                <c:pt idx="2727">
                  <c:v>0.90459999999999996</c:v>
                </c:pt>
                <c:pt idx="2728">
                  <c:v>0.13880000000000001</c:v>
                </c:pt>
                <c:pt idx="2729">
                  <c:v>0.4904</c:v>
                </c:pt>
                <c:pt idx="2730">
                  <c:v>0.83840000000000003</c:v>
                </c:pt>
                <c:pt idx="2731">
                  <c:v>0.64800000000000002</c:v>
                </c:pt>
                <c:pt idx="2732">
                  <c:v>0.87660000000000005</c:v>
                </c:pt>
                <c:pt idx="2733">
                  <c:v>0.44500000000000001</c:v>
                </c:pt>
                <c:pt idx="2734">
                  <c:v>0.85540000000000005</c:v>
                </c:pt>
                <c:pt idx="2735">
                  <c:v>0.76200000000000001</c:v>
                </c:pt>
                <c:pt idx="2736">
                  <c:v>0.24940000000000001</c:v>
                </c:pt>
                <c:pt idx="2737">
                  <c:v>0.49480000000000002</c:v>
                </c:pt>
                <c:pt idx="2738">
                  <c:v>0.66420000000000001</c:v>
                </c:pt>
                <c:pt idx="2739">
                  <c:v>0.9234</c:v>
                </c:pt>
                <c:pt idx="2740">
                  <c:v>0.7046</c:v>
                </c:pt>
                <c:pt idx="2741">
                  <c:v>0.33860000000000001</c:v>
                </c:pt>
                <c:pt idx="2742">
                  <c:v>0.64980000000000004</c:v>
                </c:pt>
                <c:pt idx="2743">
                  <c:v>0.47560000000000002</c:v>
                </c:pt>
                <c:pt idx="2744">
                  <c:v>0.28220000000000001</c:v>
                </c:pt>
                <c:pt idx="2745">
                  <c:v>0.1968</c:v>
                </c:pt>
                <c:pt idx="2746">
                  <c:v>0.62339999999999995</c:v>
                </c:pt>
                <c:pt idx="2747">
                  <c:v>0.75139999999999996</c:v>
                </c:pt>
                <c:pt idx="2748">
                  <c:v>0.53580000000000005</c:v>
                </c:pt>
                <c:pt idx="2749">
                  <c:v>0.73780000000000001</c:v>
                </c:pt>
                <c:pt idx="2750">
                  <c:v>0.2772</c:v>
                </c:pt>
                <c:pt idx="2751">
                  <c:v>0.21879999999999999</c:v>
                </c:pt>
                <c:pt idx="2752">
                  <c:v>0.94740000000000002</c:v>
                </c:pt>
                <c:pt idx="2753">
                  <c:v>0.8478</c:v>
                </c:pt>
                <c:pt idx="2754">
                  <c:v>0.83840000000000003</c:v>
                </c:pt>
                <c:pt idx="2755">
                  <c:v>0.94920000000000004</c:v>
                </c:pt>
                <c:pt idx="2756">
                  <c:v>0.55220000000000002</c:v>
                </c:pt>
                <c:pt idx="2757">
                  <c:v>0.94340000000000002</c:v>
                </c:pt>
                <c:pt idx="2758">
                  <c:v>0.33800000000000002</c:v>
                </c:pt>
                <c:pt idx="2759">
                  <c:v>0.75319999999999998</c:v>
                </c:pt>
                <c:pt idx="2760">
                  <c:v>0.88759999999999994</c:v>
                </c:pt>
                <c:pt idx="2761">
                  <c:v>0.24279999999999999</c:v>
                </c:pt>
                <c:pt idx="2762">
                  <c:v>0.53339999999999999</c:v>
                </c:pt>
                <c:pt idx="2763">
                  <c:v>0.38080000000000003</c:v>
                </c:pt>
                <c:pt idx="2764">
                  <c:v>0.74760000000000004</c:v>
                </c:pt>
                <c:pt idx="2765">
                  <c:v>0.27100000000000002</c:v>
                </c:pt>
                <c:pt idx="2766">
                  <c:v>0.33360000000000001</c:v>
                </c:pt>
                <c:pt idx="2767">
                  <c:v>0.94920000000000004</c:v>
                </c:pt>
                <c:pt idx="2768">
                  <c:v>0.31659999999999999</c:v>
                </c:pt>
                <c:pt idx="2769">
                  <c:v>0.30480000000000002</c:v>
                </c:pt>
                <c:pt idx="2770">
                  <c:v>0.79139999999999999</c:v>
                </c:pt>
                <c:pt idx="2771">
                  <c:v>0.82</c:v>
                </c:pt>
                <c:pt idx="2772">
                  <c:v>0.37840000000000001</c:v>
                </c:pt>
                <c:pt idx="2773">
                  <c:v>0.53080000000000005</c:v>
                </c:pt>
                <c:pt idx="2774">
                  <c:v>0.39279999999999998</c:v>
                </c:pt>
                <c:pt idx="2775">
                  <c:v>0.62360000000000004</c:v>
                </c:pt>
                <c:pt idx="2776">
                  <c:v>0.39600000000000002</c:v>
                </c:pt>
                <c:pt idx="2777">
                  <c:v>0.94920000000000004</c:v>
                </c:pt>
                <c:pt idx="2778">
                  <c:v>0.75319999999999998</c:v>
                </c:pt>
                <c:pt idx="2779">
                  <c:v>0.2616</c:v>
                </c:pt>
                <c:pt idx="2780">
                  <c:v>0.44080000000000003</c:v>
                </c:pt>
                <c:pt idx="2781">
                  <c:v>0.65939999999999999</c:v>
                </c:pt>
                <c:pt idx="2782">
                  <c:v>0.1174</c:v>
                </c:pt>
                <c:pt idx="2783">
                  <c:v>0.1678</c:v>
                </c:pt>
                <c:pt idx="2784">
                  <c:v>0.76200000000000001</c:v>
                </c:pt>
                <c:pt idx="2785">
                  <c:v>0.64139999999999997</c:v>
                </c:pt>
                <c:pt idx="2786">
                  <c:v>0.70860000000000001</c:v>
                </c:pt>
                <c:pt idx="2787">
                  <c:v>0.60880000000000001</c:v>
                </c:pt>
                <c:pt idx="2788">
                  <c:v>0.9486</c:v>
                </c:pt>
                <c:pt idx="2789">
                  <c:v>0.88719999999999999</c:v>
                </c:pt>
                <c:pt idx="2790">
                  <c:v>0.77039999999999997</c:v>
                </c:pt>
                <c:pt idx="2791">
                  <c:v>0.57479999999999998</c:v>
                </c:pt>
                <c:pt idx="2792">
                  <c:v>0.91779999999999995</c:v>
                </c:pt>
                <c:pt idx="2793">
                  <c:v>0.62360000000000004</c:v>
                </c:pt>
                <c:pt idx="2794">
                  <c:v>0.37840000000000001</c:v>
                </c:pt>
                <c:pt idx="2795">
                  <c:v>0.70199999999999996</c:v>
                </c:pt>
                <c:pt idx="2796">
                  <c:v>0.628</c:v>
                </c:pt>
                <c:pt idx="2797">
                  <c:v>0.37719999999999998</c:v>
                </c:pt>
                <c:pt idx="2798">
                  <c:v>0.2132</c:v>
                </c:pt>
                <c:pt idx="2799">
                  <c:v>0.47839999999999999</c:v>
                </c:pt>
                <c:pt idx="2800">
                  <c:v>0.36480000000000001</c:v>
                </c:pt>
                <c:pt idx="2801">
                  <c:v>0.3584</c:v>
                </c:pt>
                <c:pt idx="2802">
                  <c:v>0.92479999999999996</c:v>
                </c:pt>
                <c:pt idx="2803">
                  <c:v>0.60119999999999996</c:v>
                </c:pt>
                <c:pt idx="2804">
                  <c:v>0.80700000000000005</c:v>
                </c:pt>
                <c:pt idx="2805">
                  <c:v>0.52759999999999996</c:v>
                </c:pt>
                <c:pt idx="2806">
                  <c:v>0.64559999999999995</c:v>
                </c:pt>
                <c:pt idx="2807">
                  <c:v>0.77639999999999998</c:v>
                </c:pt>
                <c:pt idx="2808">
                  <c:v>0.33119999999999999</c:v>
                </c:pt>
                <c:pt idx="2809">
                  <c:v>0.81420000000000003</c:v>
                </c:pt>
                <c:pt idx="2810">
                  <c:v>0.746</c:v>
                </c:pt>
                <c:pt idx="2811">
                  <c:v>0.2354</c:v>
                </c:pt>
                <c:pt idx="2812">
                  <c:v>0.45400000000000001</c:v>
                </c:pt>
                <c:pt idx="2813">
                  <c:v>0.38840000000000002</c:v>
                </c:pt>
                <c:pt idx="2814">
                  <c:v>0.94920000000000004</c:v>
                </c:pt>
                <c:pt idx="2815">
                  <c:v>0.71040000000000003</c:v>
                </c:pt>
                <c:pt idx="2816">
                  <c:v>0.65139999999999998</c:v>
                </c:pt>
                <c:pt idx="2817">
                  <c:v>0.53259999999999996</c:v>
                </c:pt>
                <c:pt idx="2818">
                  <c:v>0.124</c:v>
                </c:pt>
                <c:pt idx="2819">
                  <c:v>0.37319999999999998</c:v>
                </c:pt>
                <c:pt idx="2820">
                  <c:v>0.3634</c:v>
                </c:pt>
                <c:pt idx="2821">
                  <c:v>0.75580000000000003</c:v>
                </c:pt>
                <c:pt idx="2822">
                  <c:v>0.83599999999999997</c:v>
                </c:pt>
                <c:pt idx="2823">
                  <c:v>0.16839999999999999</c:v>
                </c:pt>
                <c:pt idx="2824">
                  <c:v>0.2036</c:v>
                </c:pt>
                <c:pt idx="2825">
                  <c:v>0.79039999999999999</c:v>
                </c:pt>
                <c:pt idx="2826">
                  <c:v>0.70020000000000004</c:v>
                </c:pt>
                <c:pt idx="2827">
                  <c:v>0.85760000000000003</c:v>
                </c:pt>
                <c:pt idx="2828">
                  <c:v>0.90100000000000002</c:v>
                </c:pt>
                <c:pt idx="2829">
                  <c:v>0.94920000000000004</c:v>
                </c:pt>
                <c:pt idx="2830">
                  <c:v>0.4662</c:v>
                </c:pt>
                <c:pt idx="2831">
                  <c:v>0.32679999999999998</c:v>
                </c:pt>
                <c:pt idx="2832">
                  <c:v>0.27779999999999999</c:v>
                </c:pt>
                <c:pt idx="2833">
                  <c:v>0.83099999999999996</c:v>
                </c:pt>
                <c:pt idx="2834">
                  <c:v>0.94920000000000004</c:v>
                </c:pt>
                <c:pt idx="2835">
                  <c:v>0.20180000000000001</c:v>
                </c:pt>
                <c:pt idx="2836">
                  <c:v>0.88300000000000001</c:v>
                </c:pt>
                <c:pt idx="2837">
                  <c:v>0.60499999999999998</c:v>
                </c:pt>
                <c:pt idx="2838">
                  <c:v>0.5988</c:v>
                </c:pt>
                <c:pt idx="2839">
                  <c:v>0.91879999999999995</c:v>
                </c:pt>
                <c:pt idx="2840">
                  <c:v>0.4728</c:v>
                </c:pt>
                <c:pt idx="2841">
                  <c:v>0.73</c:v>
                </c:pt>
                <c:pt idx="2842">
                  <c:v>0.68600000000000005</c:v>
                </c:pt>
                <c:pt idx="2843">
                  <c:v>0.31159999999999999</c:v>
                </c:pt>
                <c:pt idx="2844">
                  <c:v>0.2374</c:v>
                </c:pt>
                <c:pt idx="2845">
                  <c:v>0.36420000000000002</c:v>
                </c:pt>
                <c:pt idx="2846">
                  <c:v>0.83599999999999997</c:v>
                </c:pt>
                <c:pt idx="2847">
                  <c:v>0.55720000000000003</c:v>
                </c:pt>
                <c:pt idx="2848">
                  <c:v>0.52880000000000005</c:v>
                </c:pt>
                <c:pt idx="2849">
                  <c:v>0.87839999999999996</c:v>
                </c:pt>
                <c:pt idx="2850">
                  <c:v>0.64980000000000004</c:v>
                </c:pt>
                <c:pt idx="2851">
                  <c:v>0.21560000000000001</c:v>
                </c:pt>
                <c:pt idx="2852">
                  <c:v>0.70840000000000003</c:v>
                </c:pt>
                <c:pt idx="2853">
                  <c:v>0.76200000000000001</c:v>
                </c:pt>
                <c:pt idx="2854">
                  <c:v>0.94920000000000004</c:v>
                </c:pt>
                <c:pt idx="2855">
                  <c:v>0.92700000000000005</c:v>
                </c:pt>
                <c:pt idx="2856">
                  <c:v>0.15379999999999999</c:v>
                </c:pt>
                <c:pt idx="2857">
                  <c:v>0.69879999999999998</c:v>
                </c:pt>
                <c:pt idx="2858">
                  <c:v>0.58120000000000005</c:v>
                </c:pt>
                <c:pt idx="2859">
                  <c:v>0.33539999999999998</c:v>
                </c:pt>
                <c:pt idx="2860">
                  <c:v>0.4824</c:v>
                </c:pt>
                <c:pt idx="2861">
                  <c:v>0.85</c:v>
                </c:pt>
                <c:pt idx="2862">
                  <c:v>0.29880000000000001</c:v>
                </c:pt>
                <c:pt idx="2863">
                  <c:v>0.65280000000000005</c:v>
                </c:pt>
                <c:pt idx="2864">
                  <c:v>0.21340000000000001</c:v>
                </c:pt>
                <c:pt idx="2865">
                  <c:v>0.92279999999999995</c:v>
                </c:pt>
                <c:pt idx="2866">
                  <c:v>0.24940000000000001</c:v>
                </c:pt>
                <c:pt idx="2867">
                  <c:v>0.19400000000000001</c:v>
                </c:pt>
                <c:pt idx="2868">
                  <c:v>0.41399999999999998</c:v>
                </c:pt>
                <c:pt idx="2869">
                  <c:v>0.94920000000000004</c:v>
                </c:pt>
                <c:pt idx="2870">
                  <c:v>0.38940000000000002</c:v>
                </c:pt>
                <c:pt idx="2871">
                  <c:v>0.80959999999999999</c:v>
                </c:pt>
                <c:pt idx="2872">
                  <c:v>0.74760000000000004</c:v>
                </c:pt>
                <c:pt idx="2873">
                  <c:v>0.1666</c:v>
                </c:pt>
                <c:pt idx="2874">
                  <c:v>0.33639999999999998</c:v>
                </c:pt>
                <c:pt idx="2875">
                  <c:v>0.2994</c:v>
                </c:pt>
                <c:pt idx="2876">
                  <c:v>0.19980000000000001</c:v>
                </c:pt>
                <c:pt idx="2877">
                  <c:v>0.94099999999999995</c:v>
                </c:pt>
                <c:pt idx="2878">
                  <c:v>0.66779999999999995</c:v>
                </c:pt>
                <c:pt idx="2879">
                  <c:v>0.42</c:v>
                </c:pt>
                <c:pt idx="2880">
                  <c:v>0.56779999999999997</c:v>
                </c:pt>
                <c:pt idx="2881">
                  <c:v>0.37580000000000002</c:v>
                </c:pt>
                <c:pt idx="2882">
                  <c:v>0.50480000000000003</c:v>
                </c:pt>
                <c:pt idx="2883">
                  <c:v>0.42499999999999999</c:v>
                </c:pt>
                <c:pt idx="2884">
                  <c:v>0.33360000000000001</c:v>
                </c:pt>
                <c:pt idx="2885">
                  <c:v>0.90280000000000005</c:v>
                </c:pt>
                <c:pt idx="2886">
                  <c:v>0.76619999999999999</c:v>
                </c:pt>
                <c:pt idx="2887">
                  <c:v>0.81320000000000003</c:v>
                </c:pt>
                <c:pt idx="2888">
                  <c:v>0.60799999999999998</c:v>
                </c:pt>
                <c:pt idx="2889">
                  <c:v>0.4214</c:v>
                </c:pt>
                <c:pt idx="2890">
                  <c:v>0.36180000000000001</c:v>
                </c:pt>
                <c:pt idx="2891">
                  <c:v>0.55640000000000001</c:v>
                </c:pt>
                <c:pt idx="2892">
                  <c:v>0.93</c:v>
                </c:pt>
                <c:pt idx="2893">
                  <c:v>0.67120000000000002</c:v>
                </c:pt>
                <c:pt idx="2894">
                  <c:v>0.36099999999999999</c:v>
                </c:pt>
                <c:pt idx="2895">
                  <c:v>0.72419999999999995</c:v>
                </c:pt>
                <c:pt idx="2896">
                  <c:v>0.19220000000000001</c:v>
                </c:pt>
                <c:pt idx="2897">
                  <c:v>0.88500000000000001</c:v>
                </c:pt>
                <c:pt idx="2898">
                  <c:v>0.34200000000000003</c:v>
                </c:pt>
                <c:pt idx="2899">
                  <c:v>0.43559999999999999</c:v>
                </c:pt>
                <c:pt idx="2900">
                  <c:v>0.68020000000000003</c:v>
                </c:pt>
                <c:pt idx="2901">
                  <c:v>0.40379999999999999</c:v>
                </c:pt>
                <c:pt idx="2902">
                  <c:v>0.90459999999999996</c:v>
                </c:pt>
                <c:pt idx="2903">
                  <c:v>0.51</c:v>
                </c:pt>
                <c:pt idx="2904">
                  <c:v>0.28060000000000002</c:v>
                </c:pt>
                <c:pt idx="2905">
                  <c:v>0.8004</c:v>
                </c:pt>
                <c:pt idx="2906">
                  <c:v>0.51780000000000004</c:v>
                </c:pt>
                <c:pt idx="2907">
                  <c:v>0.27100000000000002</c:v>
                </c:pt>
                <c:pt idx="2908">
                  <c:v>0.84619999999999995</c:v>
                </c:pt>
                <c:pt idx="2909">
                  <c:v>0.61619999999999997</c:v>
                </c:pt>
                <c:pt idx="2910">
                  <c:v>0.57440000000000002</c:v>
                </c:pt>
                <c:pt idx="2911">
                  <c:v>0.50480000000000003</c:v>
                </c:pt>
                <c:pt idx="2912">
                  <c:v>0.46679999999999999</c:v>
                </c:pt>
                <c:pt idx="2913">
                  <c:v>0.2964</c:v>
                </c:pt>
                <c:pt idx="2914">
                  <c:v>0.92279999999999995</c:v>
                </c:pt>
                <c:pt idx="2915">
                  <c:v>0.2014</c:v>
                </c:pt>
                <c:pt idx="2916">
                  <c:v>0.63539999999999996</c:v>
                </c:pt>
                <c:pt idx="2917">
                  <c:v>0.44159999999999999</c:v>
                </c:pt>
                <c:pt idx="2918">
                  <c:v>0.92600000000000005</c:v>
                </c:pt>
                <c:pt idx="2919">
                  <c:v>0.23400000000000001</c:v>
                </c:pt>
                <c:pt idx="2920">
                  <c:v>0.76200000000000001</c:v>
                </c:pt>
                <c:pt idx="2921">
                  <c:v>0.94920000000000004</c:v>
                </c:pt>
                <c:pt idx="2922">
                  <c:v>0.25619999999999998</c:v>
                </c:pt>
                <c:pt idx="2923">
                  <c:v>0.59219999999999995</c:v>
                </c:pt>
                <c:pt idx="2924">
                  <c:v>0.52600000000000002</c:v>
                </c:pt>
                <c:pt idx="2925">
                  <c:v>0.9446</c:v>
                </c:pt>
                <c:pt idx="2926">
                  <c:v>0.81699999999999995</c:v>
                </c:pt>
                <c:pt idx="2927">
                  <c:v>0.37140000000000001</c:v>
                </c:pt>
                <c:pt idx="2928">
                  <c:v>0.432</c:v>
                </c:pt>
                <c:pt idx="2929">
                  <c:v>0.66979999999999995</c:v>
                </c:pt>
                <c:pt idx="2930">
                  <c:v>0.74160000000000004</c:v>
                </c:pt>
                <c:pt idx="2931">
                  <c:v>0.68479999999999996</c:v>
                </c:pt>
                <c:pt idx="2932">
                  <c:v>0.71819999999999995</c:v>
                </c:pt>
                <c:pt idx="2933">
                  <c:v>0.48499999999999999</c:v>
                </c:pt>
                <c:pt idx="2934">
                  <c:v>0.46300000000000002</c:v>
                </c:pt>
                <c:pt idx="2935">
                  <c:v>0.59560000000000002</c:v>
                </c:pt>
                <c:pt idx="2936">
                  <c:v>0.33179999999999998</c:v>
                </c:pt>
                <c:pt idx="2937">
                  <c:v>0.3196</c:v>
                </c:pt>
                <c:pt idx="2938">
                  <c:v>0.82740000000000002</c:v>
                </c:pt>
                <c:pt idx="2939">
                  <c:v>0.93940000000000001</c:v>
                </c:pt>
                <c:pt idx="2940">
                  <c:v>0.37</c:v>
                </c:pt>
                <c:pt idx="2941">
                  <c:v>0.93720000000000003</c:v>
                </c:pt>
                <c:pt idx="2942">
                  <c:v>0.316</c:v>
                </c:pt>
                <c:pt idx="2943">
                  <c:v>0.2472</c:v>
                </c:pt>
                <c:pt idx="2944">
                  <c:v>0.55740000000000001</c:v>
                </c:pt>
                <c:pt idx="2945">
                  <c:v>0.33800000000000002</c:v>
                </c:pt>
                <c:pt idx="2946">
                  <c:v>0.37380000000000002</c:v>
                </c:pt>
                <c:pt idx="2947">
                  <c:v>0.5806</c:v>
                </c:pt>
                <c:pt idx="2948">
                  <c:v>0.33479999999999999</c:v>
                </c:pt>
                <c:pt idx="2949">
                  <c:v>0.14460000000000001</c:v>
                </c:pt>
                <c:pt idx="2950">
                  <c:v>0.55740000000000001</c:v>
                </c:pt>
                <c:pt idx="2951">
                  <c:v>0.68300000000000005</c:v>
                </c:pt>
                <c:pt idx="2952">
                  <c:v>0.4556</c:v>
                </c:pt>
                <c:pt idx="2953">
                  <c:v>0.74960000000000004</c:v>
                </c:pt>
                <c:pt idx="2954">
                  <c:v>0.36459999999999998</c:v>
                </c:pt>
                <c:pt idx="2955">
                  <c:v>0.60240000000000005</c:v>
                </c:pt>
                <c:pt idx="2956">
                  <c:v>0.8468</c:v>
                </c:pt>
                <c:pt idx="2957">
                  <c:v>0.83360000000000001</c:v>
                </c:pt>
                <c:pt idx="2958">
                  <c:v>0.47620000000000001</c:v>
                </c:pt>
                <c:pt idx="2959">
                  <c:v>0.58279999999999998</c:v>
                </c:pt>
                <c:pt idx="2960">
                  <c:v>0.69540000000000002</c:v>
                </c:pt>
                <c:pt idx="2961">
                  <c:v>0.63560000000000005</c:v>
                </c:pt>
                <c:pt idx="2962">
                  <c:v>0.94920000000000004</c:v>
                </c:pt>
                <c:pt idx="2963">
                  <c:v>0.2656</c:v>
                </c:pt>
                <c:pt idx="2964">
                  <c:v>0.32440000000000002</c:v>
                </c:pt>
                <c:pt idx="2965">
                  <c:v>0.51680000000000004</c:v>
                </c:pt>
                <c:pt idx="2966">
                  <c:v>0.13220000000000001</c:v>
                </c:pt>
                <c:pt idx="2967">
                  <c:v>0.87839999999999996</c:v>
                </c:pt>
                <c:pt idx="2968">
                  <c:v>0.54300000000000004</c:v>
                </c:pt>
                <c:pt idx="2969">
                  <c:v>0.68479999999999996</c:v>
                </c:pt>
                <c:pt idx="2970">
                  <c:v>0.26279999999999998</c:v>
                </c:pt>
                <c:pt idx="2971">
                  <c:v>0.61060000000000003</c:v>
                </c:pt>
                <c:pt idx="2972">
                  <c:v>0.26900000000000002</c:v>
                </c:pt>
                <c:pt idx="2973">
                  <c:v>0.5494</c:v>
                </c:pt>
                <c:pt idx="2974">
                  <c:v>0.94920000000000004</c:v>
                </c:pt>
                <c:pt idx="2975">
                  <c:v>0.47939999999999999</c:v>
                </c:pt>
                <c:pt idx="2976">
                  <c:v>0.1366</c:v>
                </c:pt>
                <c:pt idx="2977">
                  <c:v>0.2172</c:v>
                </c:pt>
                <c:pt idx="2978">
                  <c:v>0.41799999999999998</c:v>
                </c:pt>
                <c:pt idx="2979">
                  <c:v>0.41639999999999999</c:v>
                </c:pt>
                <c:pt idx="2980">
                  <c:v>0.47499999999999998</c:v>
                </c:pt>
                <c:pt idx="2981">
                  <c:v>0.61280000000000001</c:v>
                </c:pt>
                <c:pt idx="2982">
                  <c:v>0.87480000000000002</c:v>
                </c:pt>
                <c:pt idx="2983">
                  <c:v>0.93459999999999999</c:v>
                </c:pt>
                <c:pt idx="2984">
                  <c:v>0.91020000000000001</c:v>
                </c:pt>
                <c:pt idx="2985">
                  <c:v>0.42459999999999998</c:v>
                </c:pt>
                <c:pt idx="2986">
                  <c:v>0.18060000000000001</c:v>
                </c:pt>
                <c:pt idx="2987">
                  <c:v>0.25359999999999999</c:v>
                </c:pt>
                <c:pt idx="2988">
                  <c:v>0.86939999999999995</c:v>
                </c:pt>
                <c:pt idx="2989">
                  <c:v>0.94920000000000004</c:v>
                </c:pt>
                <c:pt idx="2990">
                  <c:v>0.46879999999999999</c:v>
                </c:pt>
                <c:pt idx="2991">
                  <c:v>0.58879999999999999</c:v>
                </c:pt>
                <c:pt idx="2992">
                  <c:v>0.8538</c:v>
                </c:pt>
                <c:pt idx="2993">
                  <c:v>0.42420000000000002</c:v>
                </c:pt>
                <c:pt idx="2994">
                  <c:v>0.94920000000000004</c:v>
                </c:pt>
                <c:pt idx="2995">
                  <c:v>0.26960000000000001</c:v>
                </c:pt>
                <c:pt idx="2996">
                  <c:v>0.25640000000000002</c:v>
                </c:pt>
                <c:pt idx="2997">
                  <c:v>0.46639999999999998</c:v>
                </c:pt>
                <c:pt idx="2998">
                  <c:v>0.27179999999999999</c:v>
                </c:pt>
                <c:pt idx="2999">
                  <c:v>0.94920000000000004</c:v>
                </c:pt>
                <c:pt idx="3000">
                  <c:v>0.16439999999999999</c:v>
                </c:pt>
                <c:pt idx="3001">
                  <c:v>0.629</c:v>
                </c:pt>
                <c:pt idx="3002">
                  <c:v>0.84919999999999995</c:v>
                </c:pt>
                <c:pt idx="3003">
                  <c:v>0.58279999999999998</c:v>
                </c:pt>
                <c:pt idx="3004">
                  <c:v>0.48420000000000002</c:v>
                </c:pt>
                <c:pt idx="3005">
                  <c:v>0.48060000000000003</c:v>
                </c:pt>
                <c:pt idx="3006">
                  <c:v>0.26340000000000002</c:v>
                </c:pt>
                <c:pt idx="3007">
                  <c:v>0.80979999999999996</c:v>
                </c:pt>
                <c:pt idx="3008">
                  <c:v>0.40679999999999999</c:v>
                </c:pt>
                <c:pt idx="3009">
                  <c:v>0.50600000000000001</c:v>
                </c:pt>
                <c:pt idx="3010">
                  <c:v>0.13039999999999999</c:v>
                </c:pt>
                <c:pt idx="3011">
                  <c:v>0.73460000000000003</c:v>
                </c:pt>
                <c:pt idx="3012">
                  <c:v>0.316</c:v>
                </c:pt>
                <c:pt idx="3013">
                  <c:v>0.30840000000000001</c:v>
                </c:pt>
                <c:pt idx="3014">
                  <c:v>0.41060000000000002</c:v>
                </c:pt>
                <c:pt idx="3015">
                  <c:v>0.71279999999999999</c:v>
                </c:pt>
                <c:pt idx="3016">
                  <c:v>0.33800000000000002</c:v>
                </c:pt>
                <c:pt idx="3017">
                  <c:v>0.94920000000000004</c:v>
                </c:pt>
                <c:pt idx="3018">
                  <c:v>0.55220000000000002</c:v>
                </c:pt>
                <c:pt idx="3019">
                  <c:v>0.42759999999999998</c:v>
                </c:pt>
                <c:pt idx="3020">
                  <c:v>0.32140000000000002</c:v>
                </c:pt>
                <c:pt idx="3021">
                  <c:v>0.69740000000000002</c:v>
                </c:pt>
                <c:pt idx="3022">
                  <c:v>0.26200000000000001</c:v>
                </c:pt>
                <c:pt idx="3023">
                  <c:v>0.83560000000000001</c:v>
                </c:pt>
                <c:pt idx="3024">
                  <c:v>0.89200000000000002</c:v>
                </c:pt>
                <c:pt idx="3025">
                  <c:v>0.37340000000000001</c:v>
                </c:pt>
                <c:pt idx="3026">
                  <c:v>0.77880000000000005</c:v>
                </c:pt>
                <c:pt idx="3027">
                  <c:v>0.62880000000000003</c:v>
                </c:pt>
                <c:pt idx="3028">
                  <c:v>0.35</c:v>
                </c:pt>
                <c:pt idx="3029">
                  <c:v>0.27400000000000002</c:v>
                </c:pt>
                <c:pt idx="3030">
                  <c:v>0.44080000000000003</c:v>
                </c:pt>
                <c:pt idx="3031">
                  <c:v>0.92120000000000002</c:v>
                </c:pt>
                <c:pt idx="3032">
                  <c:v>0.2596</c:v>
                </c:pt>
                <c:pt idx="3033">
                  <c:v>0.5</c:v>
                </c:pt>
                <c:pt idx="3034">
                  <c:v>0.55220000000000002</c:v>
                </c:pt>
                <c:pt idx="3035">
                  <c:v>0.66559999999999997</c:v>
                </c:pt>
                <c:pt idx="3036">
                  <c:v>0.94920000000000004</c:v>
                </c:pt>
                <c:pt idx="3037">
                  <c:v>0.94920000000000004</c:v>
                </c:pt>
                <c:pt idx="3038">
                  <c:v>0.58179999999999998</c:v>
                </c:pt>
                <c:pt idx="3039">
                  <c:v>0.56779999999999997</c:v>
                </c:pt>
                <c:pt idx="3040">
                  <c:v>0.72340000000000004</c:v>
                </c:pt>
                <c:pt idx="3041">
                  <c:v>0.44319999999999998</c:v>
                </c:pt>
                <c:pt idx="3042">
                  <c:v>0.88759999999999994</c:v>
                </c:pt>
                <c:pt idx="3043">
                  <c:v>0.26500000000000001</c:v>
                </c:pt>
                <c:pt idx="3044">
                  <c:v>0.94579999999999997</c:v>
                </c:pt>
                <c:pt idx="3045">
                  <c:v>0.94920000000000004</c:v>
                </c:pt>
                <c:pt idx="3046">
                  <c:v>0.82940000000000003</c:v>
                </c:pt>
                <c:pt idx="3047">
                  <c:v>0.61619999999999997</c:v>
                </c:pt>
                <c:pt idx="3048">
                  <c:v>0.1144</c:v>
                </c:pt>
                <c:pt idx="3049">
                  <c:v>0.89200000000000002</c:v>
                </c:pt>
                <c:pt idx="3050">
                  <c:v>0.94920000000000004</c:v>
                </c:pt>
                <c:pt idx="3051">
                  <c:v>0.70020000000000004</c:v>
                </c:pt>
                <c:pt idx="3052">
                  <c:v>0.5302</c:v>
                </c:pt>
                <c:pt idx="3053">
                  <c:v>0.94099999999999995</c:v>
                </c:pt>
                <c:pt idx="3054">
                  <c:v>0.48920000000000002</c:v>
                </c:pt>
                <c:pt idx="3055">
                  <c:v>0.123</c:v>
                </c:pt>
                <c:pt idx="3056">
                  <c:v>0.2762</c:v>
                </c:pt>
                <c:pt idx="3057">
                  <c:v>0.20680000000000001</c:v>
                </c:pt>
                <c:pt idx="3058">
                  <c:v>0.52839999999999998</c:v>
                </c:pt>
                <c:pt idx="3059">
                  <c:v>0.51559999999999995</c:v>
                </c:pt>
                <c:pt idx="3060">
                  <c:v>0.19120000000000001</c:v>
                </c:pt>
                <c:pt idx="3061">
                  <c:v>0.1212</c:v>
                </c:pt>
                <c:pt idx="3062">
                  <c:v>0.36420000000000002</c:v>
                </c:pt>
                <c:pt idx="3063">
                  <c:v>0.88759999999999994</c:v>
                </c:pt>
                <c:pt idx="3064">
                  <c:v>0.11899999999999999</c:v>
                </c:pt>
                <c:pt idx="3065">
                  <c:v>0.42680000000000001</c:v>
                </c:pt>
                <c:pt idx="3066">
                  <c:v>0.72160000000000002</c:v>
                </c:pt>
                <c:pt idx="3067">
                  <c:v>0.62360000000000004</c:v>
                </c:pt>
                <c:pt idx="3068">
                  <c:v>0.86299999999999999</c:v>
                </c:pt>
                <c:pt idx="3069">
                  <c:v>0.46800000000000003</c:v>
                </c:pt>
                <c:pt idx="3070">
                  <c:v>0.70340000000000003</c:v>
                </c:pt>
                <c:pt idx="3071">
                  <c:v>0.65820000000000001</c:v>
                </c:pt>
                <c:pt idx="3072">
                  <c:v>0.3422</c:v>
                </c:pt>
                <c:pt idx="3073">
                  <c:v>0.67200000000000004</c:v>
                </c:pt>
                <c:pt idx="3074">
                  <c:v>0.59519999999999995</c:v>
                </c:pt>
                <c:pt idx="3075">
                  <c:v>0.61880000000000002</c:v>
                </c:pt>
                <c:pt idx="3076">
                  <c:v>0.39219999999999999</c:v>
                </c:pt>
                <c:pt idx="3077">
                  <c:v>0.7752</c:v>
                </c:pt>
                <c:pt idx="3078">
                  <c:v>0.87519999999999998</c:v>
                </c:pt>
                <c:pt idx="3079">
                  <c:v>0.56999999999999995</c:v>
                </c:pt>
                <c:pt idx="3080">
                  <c:v>0.63880000000000003</c:v>
                </c:pt>
                <c:pt idx="3081">
                  <c:v>0.87660000000000005</c:v>
                </c:pt>
                <c:pt idx="3082">
                  <c:v>0.81240000000000001</c:v>
                </c:pt>
                <c:pt idx="3083">
                  <c:v>0.78220000000000001</c:v>
                </c:pt>
                <c:pt idx="3084">
                  <c:v>0.79420000000000002</c:v>
                </c:pt>
                <c:pt idx="3085">
                  <c:v>0.70199999999999996</c:v>
                </c:pt>
                <c:pt idx="3086">
                  <c:v>0.2762</c:v>
                </c:pt>
                <c:pt idx="3087">
                  <c:v>0.69020000000000004</c:v>
                </c:pt>
                <c:pt idx="3088">
                  <c:v>0.86180000000000001</c:v>
                </c:pt>
                <c:pt idx="3089">
                  <c:v>0.93540000000000001</c:v>
                </c:pt>
                <c:pt idx="3090">
                  <c:v>0.94099999999999995</c:v>
                </c:pt>
                <c:pt idx="3091">
                  <c:v>0.87960000000000005</c:v>
                </c:pt>
                <c:pt idx="3092">
                  <c:v>0.75800000000000001</c:v>
                </c:pt>
                <c:pt idx="3093">
                  <c:v>0.85840000000000005</c:v>
                </c:pt>
                <c:pt idx="3094">
                  <c:v>0.73140000000000005</c:v>
                </c:pt>
                <c:pt idx="3095">
                  <c:v>0.44019999999999998</c:v>
                </c:pt>
                <c:pt idx="3096">
                  <c:v>0.80640000000000001</c:v>
                </c:pt>
                <c:pt idx="3097">
                  <c:v>0.38279999999999997</c:v>
                </c:pt>
                <c:pt idx="3098">
                  <c:v>0.69179999999999997</c:v>
                </c:pt>
                <c:pt idx="3099">
                  <c:v>0.48060000000000003</c:v>
                </c:pt>
                <c:pt idx="3100">
                  <c:v>0.94920000000000004</c:v>
                </c:pt>
                <c:pt idx="3101">
                  <c:v>0.28520000000000001</c:v>
                </c:pt>
                <c:pt idx="3102">
                  <c:v>0.76139999999999997</c:v>
                </c:pt>
                <c:pt idx="3103">
                  <c:v>0.2422</c:v>
                </c:pt>
                <c:pt idx="3104">
                  <c:v>0.78600000000000003</c:v>
                </c:pt>
                <c:pt idx="3105">
                  <c:v>0.83240000000000003</c:v>
                </c:pt>
                <c:pt idx="3106">
                  <c:v>0.83599999999999997</c:v>
                </c:pt>
                <c:pt idx="3107">
                  <c:v>0.72819999999999996</c:v>
                </c:pt>
                <c:pt idx="3108">
                  <c:v>0.629</c:v>
                </c:pt>
                <c:pt idx="3109">
                  <c:v>0.36780000000000002</c:v>
                </c:pt>
                <c:pt idx="3110">
                  <c:v>0.1416</c:v>
                </c:pt>
                <c:pt idx="3111">
                  <c:v>0.224</c:v>
                </c:pt>
                <c:pt idx="3112">
                  <c:v>0.22819999999999999</c:v>
                </c:pt>
                <c:pt idx="3113">
                  <c:v>0.66139999999999999</c:v>
                </c:pt>
                <c:pt idx="3114">
                  <c:v>0.2606</c:v>
                </c:pt>
                <c:pt idx="3115">
                  <c:v>0.48799999999999999</c:v>
                </c:pt>
                <c:pt idx="3116">
                  <c:v>0.59379999999999999</c:v>
                </c:pt>
                <c:pt idx="3117">
                  <c:v>0.94920000000000004</c:v>
                </c:pt>
                <c:pt idx="3118">
                  <c:v>0.6482</c:v>
                </c:pt>
                <c:pt idx="3119">
                  <c:v>0.2374</c:v>
                </c:pt>
                <c:pt idx="3120">
                  <c:v>0.74560000000000004</c:v>
                </c:pt>
                <c:pt idx="3121">
                  <c:v>0.34060000000000001</c:v>
                </c:pt>
                <c:pt idx="3122">
                  <c:v>0.65800000000000003</c:v>
                </c:pt>
                <c:pt idx="3123">
                  <c:v>0.54400000000000004</c:v>
                </c:pt>
                <c:pt idx="3124">
                  <c:v>0.27679999999999999</c:v>
                </c:pt>
                <c:pt idx="3125">
                  <c:v>0.60799999999999998</c:v>
                </c:pt>
                <c:pt idx="3126">
                  <c:v>0.33019999999999999</c:v>
                </c:pt>
                <c:pt idx="3127">
                  <c:v>0.28160000000000002</c:v>
                </c:pt>
                <c:pt idx="3128">
                  <c:v>0.58499999999999996</c:v>
                </c:pt>
                <c:pt idx="3129">
                  <c:v>0.78120000000000001</c:v>
                </c:pt>
                <c:pt idx="3130">
                  <c:v>0.76819999999999999</c:v>
                </c:pt>
                <c:pt idx="3131">
                  <c:v>0.55520000000000003</c:v>
                </c:pt>
                <c:pt idx="3132">
                  <c:v>0.69540000000000002</c:v>
                </c:pt>
                <c:pt idx="3133">
                  <c:v>0.81420000000000003</c:v>
                </c:pt>
                <c:pt idx="3134">
                  <c:v>0.75919999999999999</c:v>
                </c:pt>
                <c:pt idx="3135">
                  <c:v>0.76200000000000001</c:v>
                </c:pt>
                <c:pt idx="3136">
                  <c:v>0.55600000000000005</c:v>
                </c:pt>
                <c:pt idx="3137">
                  <c:v>0.43740000000000001</c:v>
                </c:pt>
                <c:pt idx="3138">
                  <c:v>0.4128</c:v>
                </c:pt>
                <c:pt idx="3139">
                  <c:v>0.86160000000000003</c:v>
                </c:pt>
                <c:pt idx="3140">
                  <c:v>0.1694</c:v>
                </c:pt>
                <c:pt idx="3141">
                  <c:v>0.23899999999999999</c:v>
                </c:pt>
                <c:pt idx="3142">
                  <c:v>0.83599999999999997</c:v>
                </c:pt>
                <c:pt idx="3143">
                  <c:v>0.52600000000000002</c:v>
                </c:pt>
                <c:pt idx="3144">
                  <c:v>0.63439999999999996</c:v>
                </c:pt>
                <c:pt idx="3145">
                  <c:v>0.25580000000000003</c:v>
                </c:pt>
                <c:pt idx="3146">
                  <c:v>0.91779999999999995</c:v>
                </c:pt>
                <c:pt idx="3147">
                  <c:v>0.20200000000000001</c:v>
                </c:pt>
                <c:pt idx="3148">
                  <c:v>0.74439999999999995</c:v>
                </c:pt>
                <c:pt idx="3149">
                  <c:v>0.69399999999999995</c:v>
                </c:pt>
                <c:pt idx="3150">
                  <c:v>0.68020000000000003</c:v>
                </c:pt>
                <c:pt idx="3151">
                  <c:v>0.82599999999999996</c:v>
                </c:pt>
                <c:pt idx="3152">
                  <c:v>0.85019999999999996</c:v>
                </c:pt>
                <c:pt idx="3153">
                  <c:v>0.879</c:v>
                </c:pt>
                <c:pt idx="3154">
                  <c:v>0.35899999999999999</c:v>
                </c:pt>
                <c:pt idx="3155">
                  <c:v>0.38640000000000002</c:v>
                </c:pt>
                <c:pt idx="3156">
                  <c:v>0.4768</c:v>
                </c:pt>
                <c:pt idx="3157">
                  <c:v>0.52600000000000002</c:v>
                </c:pt>
                <c:pt idx="3158">
                  <c:v>0.32619999999999999</c:v>
                </c:pt>
                <c:pt idx="3159">
                  <c:v>0.64259999999999995</c:v>
                </c:pt>
                <c:pt idx="3160">
                  <c:v>0.47</c:v>
                </c:pt>
                <c:pt idx="3161">
                  <c:v>0.68679999999999997</c:v>
                </c:pt>
                <c:pt idx="3162">
                  <c:v>0.72419999999999995</c:v>
                </c:pt>
                <c:pt idx="3163">
                  <c:v>0.72419999999999995</c:v>
                </c:pt>
                <c:pt idx="3164">
                  <c:v>0.19819999999999999</c:v>
                </c:pt>
                <c:pt idx="3165">
                  <c:v>0.2606</c:v>
                </c:pt>
                <c:pt idx="3166">
                  <c:v>0.58879999999999999</c:v>
                </c:pt>
                <c:pt idx="3167">
                  <c:v>0.58340000000000003</c:v>
                </c:pt>
                <c:pt idx="3168">
                  <c:v>0.90800000000000003</c:v>
                </c:pt>
                <c:pt idx="3169">
                  <c:v>0.39979999999999999</c:v>
                </c:pt>
                <c:pt idx="3170">
                  <c:v>0.61619999999999997</c:v>
                </c:pt>
                <c:pt idx="3171">
                  <c:v>0.86439999999999995</c:v>
                </c:pt>
                <c:pt idx="3172">
                  <c:v>0.2268</c:v>
                </c:pt>
                <c:pt idx="3173">
                  <c:v>0.94920000000000004</c:v>
                </c:pt>
                <c:pt idx="3174">
                  <c:v>0.2482</c:v>
                </c:pt>
                <c:pt idx="3175">
                  <c:v>0.52759999999999996</c:v>
                </c:pt>
                <c:pt idx="3176">
                  <c:v>0.30840000000000001</c:v>
                </c:pt>
                <c:pt idx="3177">
                  <c:v>0.94920000000000004</c:v>
                </c:pt>
                <c:pt idx="3178">
                  <c:v>0.38200000000000001</c:v>
                </c:pt>
                <c:pt idx="3179">
                  <c:v>0.20860000000000001</c:v>
                </c:pt>
                <c:pt idx="3180">
                  <c:v>0.60499999999999998</c:v>
                </c:pt>
                <c:pt idx="3181">
                  <c:v>0.54579999999999995</c:v>
                </c:pt>
                <c:pt idx="3182">
                  <c:v>0.89639999999999997</c:v>
                </c:pt>
                <c:pt idx="3183">
                  <c:v>0.28339999999999999</c:v>
                </c:pt>
                <c:pt idx="3184">
                  <c:v>0.38319999999999999</c:v>
                </c:pt>
                <c:pt idx="3185">
                  <c:v>0.94920000000000004</c:v>
                </c:pt>
                <c:pt idx="3186">
                  <c:v>0.91059999999999997</c:v>
                </c:pt>
                <c:pt idx="3187">
                  <c:v>0.73460000000000003</c:v>
                </c:pt>
                <c:pt idx="3188">
                  <c:v>0.436</c:v>
                </c:pt>
                <c:pt idx="3189">
                  <c:v>0.81079999999999997</c:v>
                </c:pt>
                <c:pt idx="3190">
                  <c:v>0.2006</c:v>
                </c:pt>
                <c:pt idx="3191">
                  <c:v>0.28520000000000001</c:v>
                </c:pt>
                <c:pt idx="3192">
                  <c:v>0.56520000000000004</c:v>
                </c:pt>
                <c:pt idx="3193">
                  <c:v>0.65039999999999998</c:v>
                </c:pt>
                <c:pt idx="3194">
                  <c:v>0.83399999999999996</c:v>
                </c:pt>
                <c:pt idx="3195">
                  <c:v>0.47099999999999997</c:v>
                </c:pt>
                <c:pt idx="3196">
                  <c:v>0.1318</c:v>
                </c:pt>
                <c:pt idx="3197">
                  <c:v>0.65139999999999998</c:v>
                </c:pt>
                <c:pt idx="3198">
                  <c:v>0.375</c:v>
                </c:pt>
                <c:pt idx="3199">
                  <c:v>0.66659999999999997</c:v>
                </c:pt>
                <c:pt idx="3200">
                  <c:v>0.50219999999999998</c:v>
                </c:pt>
                <c:pt idx="3201">
                  <c:v>0.23280000000000001</c:v>
                </c:pt>
                <c:pt idx="3202">
                  <c:v>0.64639999999999997</c:v>
                </c:pt>
                <c:pt idx="3203">
                  <c:v>0.39700000000000002</c:v>
                </c:pt>
                <c:pt idx="3204">
                  <c:v>0.30819999999999997</c:v>
                </c:pt>
                <c:pt idx="3205">
                  <c:v>0.28999999999999998</c:v>
                </c:pt>
                <c:pt idx="3206">
                  <c:v>0.94920000000000004</c:v>
                </c:pt>
                <c:pt idx="3207">
                  <c:v>0.46679999999999999</c:v>
                </c:pt>
                <c:pt idx="3208">
                  <c:v>0.83599999999999997</c:v>
                </c:pt>
                <c:pt idx="3209">
                  <c:v>0.56299999999999994</c:v>
                </c:pt>
                <c:pt idx="3210">
                  <c:v>0.1174</c:v>
                </c:pt>
                <c:pt idx="3211">
                  <c:v>0.84299999999999997</c:v>
                </c:pt>
                <c:pt idx="3212">
                  <c:v>0.51519999999999999</c:v>
                </c:pt>
                <c:pt idx="3213">
                  <c:v>0.31719999999999998</c:v>
                </c:pt>
                <c:pt idx="3214">
                  <c:v>0.1628</c:v>
                </c:pt>
                <c:pt idx="3215">
                  <c:v>0.25679999999999997</c:v>
                </c:pt>
                <c:pt idx="3216">
                  <c:v>0.28060000000000002</c:v>
                </c:pt>
                <c:pt idx="3217">
                  <c:v>0.21060000000000001</c:v>
                </c:pt>
                <c:pt idx="3218">
                  <c:v>0.66920000000000002</c:v>
                </c:pt>
                <c:pt idx="3219">
                  <c:v>0.81799999999999995</c:v>
                </c:pt>
                <c:pt idx="3220">
                  <c:v>0.92179999999999995</c:v>
                </c:pt>
                <c:pt idx="3221">
                  <c:v>0.51739999999999997</c:v>
                </c:pt>
                <c:pt idx="3222">
                  <c:v>0.62360000000000004</c:v>
                </c:pt>
                <c:pt idx="3223">
                  <c:v>0.30020000000000002</c:v>
                </c:pt>
                <c:pt idx="3224">
                  <c:v>0.91879999999999995</c:v>
                </c:pt>
                <c:pt idx="3225">
                  <c:v>0.86299999999999999</c:v>
                </c:pt>
                <c:pt idx="3226">
                  <c:v>0.12479999999999999</c:v>
                </c:pt>
                <c:pt idx="3227">
                  <c:v>0.6552</c:v>
                </c:pt>
                <c:pt idx="3228">
                  <c:v>0.52759999999999996</c:v>
                </c:pt>
                <c:pt idx="3229">
                  <c:v>0.67559999999999998</c:v>
                </c:pt>
                <c:pt idx="3230">
                  <c:v>0.74439999999999995</c:v>
                </c:pt>
                <c:pt idx="3231">
                  <c:v>0.5464</c:v>
                </c:pt>
                <c:pt idx="3232">
                  <c:v>0.59379999999999999</c:v>
                </c:pt>
                <c:pt idx="3233">
                  <c:v>0.45760000000000001</c:v>
                </c:pt>
                <c:pt idx="3234">
                  <c:v>0.42280000000000001</c:v>
                </c:pt>
                <c:pt idx="3235">
                  <c:v>0.68300000000000005</c:v>
                </c:pt>
                <c:pt idx="3236">
                  <c:v>0.13420000000000001</c:v>
                </c:pt>
                <c:pt idx="3237">
                  <c:v>0.81799999999999995</c:v>
                </c:pt>
                <c:pt idx="3238">
                  <c:v>0.83520000000000005</c:v>
                </c:pt>
                <c:pt idx="3239">
                  <c:v>0.65080000000000005</c:v>
                </c:pt>
                <c:pt idx="3240">
                  <c:v>0.13980000000000001</c:v>
                </c:pt>
                <c:pt idx="3241">
                  <c:v>0.12720000000000001</c:v>
                </c:pt>
                <c:pt idx="3242">
                  <c:v>0.50680000000000003</c:v>
                </c:pt>
                <c:pt idx="3243">
                  <c:v>0.60240000000000005</c:v>
                </c:pt>
                <c:pt idx="3244">
                  <c:v>0.51900000000000002</c:v>
                </c:pt>
                <c:pt idx="3245">
                  <c:v>0.64339999999999997</c:v>
                </c:pt>
                <c:pt idx="3246">
                  <c:v>0.31019999999999998</c:v>
                </c:pt>
                <c:pt idx="3247">
                  <c:v>0.34320000000000001</c:v>
                </c:pt>
                <c:pt idx="3248">
                  <c:v>0.3634</c:v>
                </c:pt>
                <c:pt idx="3249">
                  <c:v>0.40160000000000001</c:v>
                </c:pt>
                <c:pt idx="3250">
                  <c:v>0.58179999999999998</c:v>
                </c:pt>
                <c:pt idx="3251">
                  <c:v>0.49659999999999999</c:v>
                </c:pt>
                <c:pt idx="3252">
                  <c:v>0.31319999999999998</c:v>
                </c:pt>
                <c:pt idx="3253">
                  <c:v>0.82940000000000003</c:v>
                </c:pt>
                <c:pt idx="3254">
                  <c:v>0.25519999999999998</c:v>
                </c:pt>
                <c:pt idx="3255">
                  <c:v>0.53979999999999995</c:v>
                </c:pt>
                <c:pt idx="3256">
                  <c:v>0.54200000000000004</c:v>
                </c:pt>
                <c:pt idx="3257">
                  <c:v>0.70660000000000001</c:v>
                </c:pt>
                <c:pt idx="3258">
                  <c:v>0.84299999999999997</c:v>
                </c:pt>
                <c:pt idx="3259">
                  <c:v>0.72419999999999995</c:v>
                </c:pt>
                <c:pt idx="3260">
                  <c:v>0.51300000000000001</c:v>
                </c:pt>
                <c:pt idx="3261">
                  <c:v>0.17680000000000001</c:v>
                </c:pt>
                <c:pt idx="3262">
                  <c:v>0.59079999999999999</c:v>
                </c:pt>
                <c:pt idx="3263">
                  <c:v>0.90459999999999996</c:v>
                </c:pt>
                <c:pt idx="3264">
                  <c:v>0.62039999999999995</c:v>
                </c:pt>
                <c:pt idx="3265">
                  <c:v>0.87980000000000003</c:v>
                </c:pt>
                <c:pt idx="3266">
                  <c:v>0.77159999999999995</c:v>
                </c:pt>
                <c:pt idx="3267">
                  <c:v>0.35820000000000002</c:v>
                </c:pt>
                <c:pt idx="3268">
                  <c:v>0.78059999999999996</c:v>
                </c:pt>
                <c:pt idx="3269">
                  <c:v>0.48699999999999999</c:v>
                </c:pt>
                <c:pt idx="3270">
                  <c:v>0.47720000000000001</c:v>
                </c:pt>
                <c:pt idx="3271">
                  <c:v>0.26779999999999998</c:v>
                </c:pt>
                <c:pt idx="3272">
                  <c:v>0.2482</c:v>
                </c:pt>
                <c:pt idx="3273">
                  <c:v>0.41220000000000001</c:v>
                </c:pt>
                <c:pt idx="3274">
                  <c:v>0.57479999999999998</c:v>
                </c:pt>
                <c:pt idx="3275">
                  <c:v>0.75019999999999998</c:v>
                </c:pt>
                <c:pt idx="3276">
                  <c:v>0.1552</c:v>
                </c:pt>
                <c:pt idx="3277">
                  <c:v>0.42499999999999999</c:v>
                </c:pt>
                <c:pt idx="3278">
                  <c:v>0.55059999999999998</c:v>
                </c:pt>
                <c:pt idx="3279">
                  <c:v>0.34820000000000001</c:v>
                </c:pt>
                <c:pt idx="3280">
                  <c:v>0.43580000000000002</c:v>
                </c:pt>
                <c:pt idx="3281">
                  <c:v>0.437</c:v>
                </c:pt>
                <c:pt idx="3282">
                  <c:v>0.60880000000000001</c:v>
                </c:pt>
                <c:pt idx="3283">
                  <c:v>0.50119999999999998</c:v>
                </c:pt>
                <c:pt idx="3284">
                  <c:v>0.65139999999999998</c:v>
                </c:pt>
                <c:pt idx="3285">
                  <c:v>0.17760000000000001</c:v>
                </c:pt>
                <c:pt idx="3286">
                  <c:v>0.17380000000000001</c:v>
                </c:pt>
                <c:pt idx="3287">
                  <c:v>0.84099999999999997</c:v>
                </c:pt>
                <c:pt idx="3288">
                  <c:v>0.3674</c:v>
                </c:pt>
                <c:pt idx="3289">
                  <c:v>0.4824</c:v>
                </c:pt>
                <c:pt idx="3290">
                  <c:v>0.94920000000000004</c:v>
                </c:pt>
                <c:pt idx="3291">
                  <c:v>0.51780000000000004</c:v>
                </c:pt>
                <c:pt idx="3292">
                  <c:v>0.52500000000000002</c:v>
                </c:pt>
                <c:pt idx="3293">
                  <c:v>0.88260000000000005</c:v>
                </c:pt>
                <c:pt idx="3294">
                  <c:v>0.94920000000000004</c:v>
                </c:pt>
                <c:pt idx="3295">
                  <c:v>0.2198</c:v>
                </c:pt>
                <c:pt idx="3296">
                  <c:v>0.58699999999999997</c:v>
                </c:pt>
                <c:pt idx="3297">
                  <c:v>0.74299999999999999</c:v>
                </c:pt>
                <c:pt idx="3298">
                  <c:v>0.87039999999999995</c:v>
                </c:pt>
                <c:pt idx="3299">
                  <c:v>0.81079999999999997</c:v>
                </c:pt>
                <c:pt idx="3300">
                  <c:v>0.39079999999999998</c:v>
                </c:pt>
                <c:pt idx="3301">
                  <c:v>0.94920000000000004</c:v>
                </c:pt>
                <c:pt idx="3302">
                  <c:v>0.72</c:v>
                </c:pt>
                <c:pt idx="3303">
                  <c:v>0.1464</c:v>
                </c:pt>
                <c:pt idx="3304">
                  <c:v>0.37659999999999999</c:v>
                </c:pt>
                <c:pt idx="3305">
                  <c:v>0.82940000000000003</c:v>
                </c:pt>
                <c:pt idx="3306">
                  <c:v>0.68300000000000005</c:v>
                </c:pt>
                <c:pt idx="3307">
                  <c:v>0.94920000000000004</c:v>
                </c:pt>
                <c:pt idx="3308">
                  <c:v>0.78120000000000001</c:v>
                </c:pt>
                <c:pt idx="3309">
                  <c:v>0.14399999999999999</c:v>
                </c:pt>
                <c:pt idx="3310">
                  <c:v>0.47239999999999999</c:v>
                </c:pt>
                <c:pt idx="3311">
                  <c:v>0.18459999999999999</c:v>
                </c:pt>
                <c:pt idx="3312">
                  <c:v>0.6784</c:v>
                </c:pt>
                <c:pt idx="3313">
                  <c:v>0.94099999999999995</c:v>
                </c:pt>
                <c:pt idx="3314">
                  <c:v>0.91920000000000002</c:v>
                </c:pt>
                <c:pt idx="3315">
                  <c:v>0.8468</c:v>
                </c:pt>
                <c:pt idx="3316">
                  <c:v>0.40839999999999999</c:v>
                </c:pt>
                <c:pt idx="3317">
                  <c:v>0.68300000000000005</c:v>
                </c:pt>
                <c:pt idx="3318">
                  <c:v>0.87039999999999995</c:v>
                </c:pt>
                <c:pt idx="3319">
                  <c:v>0.8538</c:v>
                </c:pt>
                <c:pt idx="3320">
                  <c:v>0.80400000000000005</c:v>
                </c:pt>
                <c:pt idx="3321">
                  <c:v>0.83399999999999996</c:v>
                </c:pt>
                <c:pt idx="3322">
                  <c:v>0.11020000000000001</c:v>
                </c:pt>
                <c:pt idx="3323">
                  <c:v>0.37580000000000002</c:v>
                </c:pt>
                <c:pt idx="3324">
                  <c:v>0.9486</c:v>
                </c:pt>
                <c:pt idx="3325">
                  <c:v>0.62360000000000004</c:v>
                </c:pt>
                <c:pt idx="3326">
                  <c:v>0.4496</c:v>
                </c:pt>
                <c:pt idx="3327">
                  <c:v>0.21879999999999999</c:v>
                </c:pt>
                <c:pt idx="3328">
                  <c:v>0.60660000000000003</c:v>
                </c:pt>
                <c:pt idx="3329">
                  <c:v>0.81079999999999997</c:v>
                </c:pt>
                <c:pt idx="3330">
                  <c:v>0.48599999999999999</c:v>
                </c:pt>
                <c:pt idx="3331">
                  <c:v>0.94779999999999998</c:v>
                </c:pt>
                <c:pt idx="3332">
                  <c:v>0.70860000000000001</c:v>
                </c:pt>
                <c:pt idx="3333">
                  <c:v>0.83840000000000003</c:v>
                </c:pt>
                <c:pt idx="3334">
                  <c:v>0.56200000000000006</c:v>
                </c:pt>
                <c:pt idx="3335">
                  <c:v>0.65139999999999998</c:v>
                </c:pt>
                <c:pt idx="3336">
                  <c:v>0.94920000000000004</c:v>
                </c:pt>
                <c:pt idx="3337">
                  <c:v>0.49399999999999999</c:v>
                </c:pt>
                <c:pt idx="3338">
                  <c:v>0.28120000000000001</c:v>
                </c:pt>
                <c:pt idx="3339">
                  <c:v>0.69740000000000002</c:v>
                </c:pt>
                <c:pt idx="3340">
                  <c:v>0.86799999999999999</c:v>
                </c:pt>
                <c:pt idx="3341">
                  <c:v>0.1946</c:v>
                </c:pt>
                <c:pt idx="3342">
                  <c:v>0.46920000000000001</c:v>
                </c:pt>
                <c:pt idx="3343">
                  <c:v>0.68300000000000005</c:v>
                </c:pt>
                <c:pt idx="3344">
                  <c:v>0.66200000000000003</c:v>
                </c:pt>
                <c:pt idx="3345">
                  <c:v>0.40739999999999998</c:v>
                </c:pt>
                <c:pt idx="3346">
                  <c:v>0.79139999999999999</c:v>
                </c:pt>
                <c:pt idx="3347">
                  <c:v>0.75700000000000001</c:v>
                </c:pt>
                <c:pt idx="3348">
                  <c:v>0.60240000000000005</c:v>
                </c:pt>
                <c:pt idx="3349">
                  <c:v>0.629</c:v>
                </c:pt>
                <c:pt idx="3350">
                  <c:v>0.13739999999999999</c:v>
                </c:pt>
                <c:pt idx="3351">
                  <c:v>0.78420000000000001</c:v>
                </c:pt>
                <c:pt idx="3352">
                  <c:v>0.20519999999999999</c:v>
                </c:pt>
                <c:pt idx="3353">
                  <c:v>0.622</c:v>
                </c:pt>
                <c:pt idx="3354">
                  <c:v>0.29520000000000002</c:v>
                </c:pt>
                <c:pt idx="3355">
                  <c:v>0.25900000000000001</c:v>
                </c:pt>
                <c:pt idx="3356">
                  <c:v>0.35539999999999999</c:v>
                </c:pt>
                <c:pt idx="3357">
                  <c:v>0.71640000000000004</c:v>
                </c:pt>
                <c:pt idx="3358">
                  <c:v>0.66139999999999999</c:v>
                </c:pt>
                <c:pt idx="3359">
                  <c:v>0.26700000000000002</c:v>
                </c:pt>
                <c:pt idx="3360">
                  <c:v>0.70199999999999996</c:v>
                </c:pt>
                <c:pt idx="3361">
                  <c:v>0.42199999999999999</c:v>
                </c:pt>
                <c:pt idx="3362">
                  <c:v>0.61380000000000001</c:v>
                </c:pt>
                <c:pt idx="3363">
                  <c:v>0.86680000000000001</c:v>
                </c:pt>
                <c:pt idx="3364">
                  <c:v>0.76939999999999997</c:v>
                </c:pt>
                <c:pt idx="3365">
                  <c:v>0.6552</c:v>
                </c:pt>
                <c:pt idx="3366">
                  <c:v>0.67559999999999998</c:v>
                </c:pt>
                <c:pt idx="3367">
                  <c:v>0.33860000000000001</c:v>
                </c:pt>
                <c:pt idx="3368">
                  <c:v>0.66559999999999997</c:v>
                </c:pt>
                <c:pt idx="3369">
                  <c:v>0.69699999999999995</c:v>
                </c:pt>
                <c:pt idx="3370">
                  <c:v>0.74060000000000004</c:v>
                </c:pt>
                <c:pt idx="3371">
                  <c:v>0.84460000000000002</c:v>
                </c:pt>
                <c:pt idx="3372">
                  <c:v>0.1588</c:v>
                </c:pt>
                <c:pt idx="3373">
                  <c:v>0.46439999999999998</c:v>
                </c:pt>
                <c:pt idx="3374">
                  <c:v>0.43659999999999999</c:v>
                </c:pt>
                <c:pt idx="3375">
                  <c:v>0.44280000000000003</c:v>
                </c:pt>
                <c:pt idx="3376">
                  <c:v>0.60240000000000005</c:v>
                </c:pt>
                <c:pt idx="3377">
                  <c:v>0.89680000000000004</c:v>
                </c:pt>
                <c:pt idx="3378">
                  <c:v>0.55120000000000002</c:v>
                </c:pt>
                <c:pt idx="3379">
                  <c:v>0.18820000000000001</c:v>
                </c:pt>
                <c:pt idx="3380">
                  <c:v>0.94920000000000004</c:v>
                </c:pt>
                <c:pt idx="3381">
                  <c:v>0.26240000000000002</c:v>
                </c:pt>
                <c:pt idx="3382">
                  <c:v>0.77639999999999998</c:v>
                </c:pt>
                <c:pt idx="3383">
                  <c:v>0.94920000000000004</c:v>
                </c:pt>
                <c:pt idx="3384">
                  <c:v>0.62139999999999995</c:v>
                </c:pt>
                <c:pt idx="3385">
                  <c:v>0.82579999999999998</c:v>
                </c:pt>
                <c:pt idx="3386">
                  <c:v>0.44519999999999998</c:v>
                </c:pt>
                <c:pt idx="3387">
                  <c:v>0.68679999999999997</c:v>
                </c:pt>
                <c:pt idx="3388">
                  <c:v>0.84299999999999997</c:v>
                </c:pt>
                <c:pt idx="3389">
                  <c:v>0.25719999999999998</c:v>
                </c:pt>
                <c:pt idx="3390">
                  <c:v>0.75380000000000003</c:v>
                </c:pt>
                <c:pt idx="3391">
                  <c:v>0.77639999999999998</c:v>
                </c:pt>
                <c:pt idx="3392">
                  <c:v>0.36859999999999998</c:v>
                </c:pt>
                <c:pt idx="3393">
                  <c:v>0.18060000000000001</c:v>
                </c:pt>
                <c:pt idx="3394">
                  <c:v>0.87039999999999995</c:v>
                </c:pt>
                <c:pt idx="3395">
                  <c:v>0.41420000000000001</c:v>
                </c:pt>
                <c:pt idx="3396">
                  <c:v>0.1308</c:v>
                </c:pt>
                <c:pt idx="3397">
                  <c:v>0.16300000000000001</c:v>
                </c:pt>
                <c:pt idx="3398">
                  <c:v>0.1532</c:v>
                </c:pt>
                <c:pt idx="3399">
                  <c:v>0.41539999999999999</c:v>
                </c:pt>
                <c:pt idx="3400">
                  <c:v>0.28860000000000002</c:v>
                </c:pt>
                <c:pt idx="3401">
                  <c:v>0.87660000000000005</c:v>
                </c:pt>
                <c:pt idx="3402">
                  <c:v>0.3846</c:v>
                </c:pt>
                <c:pt idx="3403">
                  <c:v>0.66420000000000001</c:v>
                </c:pt>
                <c:pt idx="3404">
                  <c:v>0.69120000000000004</c:v>
                </c:pt>
                <c:pt idx="3405">
                  <c:v>0.63100000000000001</c:v>
                </c:pt>
                <c:pt idx="3406">
                  <c:v>0.41360000000000002</c:v>
                </c:pt>
                <c:pt idx="3407">
                  <c:v>0.93640000000000001</c:v>
                </c:pt>
                <c:pt idx="3408">
                  <c:v>0.71379999999999999</c:v>
                </c:pt>
                <c:pt idx="3409">
                  <c:v>0.84099999999999997</c:v>
                </c:pt>
                <c:pt idx="3410">
                  <c:v>0.86680000000000001</c:v>
                </c:pt>
                <c:pt idx="3411">
                  <c:v>0.94920000000000004</c:v>
                </c:pt>
                <c:pt idx="3412">
                  <c:v>0.86439999999999995</c:v>
                </c:pt>
                <c:pt idx="3413">
                  <c:v>0.375</c:v>
                </c:pt>
                <c:pt idx="3414">
                  <c:v>0.5474</c:v>
                </c:pt>
                <c:pt idx="3415">
                  <c:v>0.94920000000000004</c:v>
                </c:pt>
                <c:pt idx="3416">
                  <c:v>0.45279999999999998</c:v>
                </c:pt>
                <c:pt idx="3417">
                  <c:v>0.21340000000000001</c:v>
                </c:pt>
                <c:pt idx="3418">
                  <c:v>0.81420000000000003</c:v>
                </c:pt>
                <c:pt idx="3419">
                  <c:v>0.73440000000000005</c:v>
                </c:pt>
                <c:pt idx="3420">
                  <c:v>0.60660000000000003</c:v>
                </c:pt>
                <c:pt idx="3421">
                  <c:v>0.93720000000000003</c:v>
                </c:pt>
                <c:pt idx="3422">
                  <c:v>0.71699999999999997</c:v>
                </c:pt>
                <c:pt idx="3423">
                  <c:v>0.93840000000000001</c:v>
                </c:pt>
                <c:pt idx="3424">
                  <c:v>0.86439999999999995</c:v>
                </c:pt>
                <c:pt idx="3425">
                  <c:v>0.28799999999999998</c:v>
                </c:pt>
                <c:pt idx="3426">
                  <c:v>0.47460000000000002</c:v>
                </c:pt>
                <c:pt idx="3427">
                  <c:v>0.24079999999999999</c:v>
                </c:pt>
                <c:pt idx="3428">
                  <c:v>0.222</c:v>
                </c:pt>
                <c:pt idx="3429">
                  <c:v>0.93940000000000001</c:v>
                </c:pt>
                <c:pt idx="3430">
                  <c:v>0.33239999999999997</c:v>
                </c:pt>
                <c:pt idx="3431">
                  <c:v>0.88580000000000003</c:v>
                </c:pt>
                <c:pt idx="3432">
                  <c:v>0.155</c:v>
                </c:pt>
                <c:pt idx="3433">
                  <c:v>0.88219999999999998</c:v>
                </c:pt>
                <c:pt idx="3434">
                  <c:v>0.84460000000000002</c:v>
                </c:pt>
                <c:pt idx="3435">
                  <c:v>0.1542</c:v>
                </c:pt>
                <c:pt idx="3436">
                  <c:v>0.76200000000000001</c:v>
                </c:pt>
                <c:pt idx="3437">
                  <c:v>0.94920000000000004</c:v>
                </c:pt>
                <c:pt idx="3438">
                  <c:v>0.123</c:v>
                </c:pt>
                <c:pt idx="3439">
                  <c:v>0.18659999999999999</c:v>
                </c:pt>
                <c:pt idx="3440">
                  <c:v>0.6552</c:v>
                </c:pt>
                <c:pt idx="3441">
                  <c:v>0.94920000000000004</c:v>
                </c:pt>
                <c:pt idx="3442">
                  <c:v>0.47160000000000002</c:v>
                </c:pt>
                <c:pt idx="3443">
                  <c:v>0.71199999999999997</c:v>
                </c:pt>
                <c:pt idx="3444">
                  <c:v>0.76200000000000001</c:v>
                </c:pt>
                <c:pt idx="3445">
                  <c:v>0.94920000000000004</c:v>
                </c:pt>
                <c:pt idx="3446">
                  <c:v>0.49659999999999999</c:v>
                </c:pt>
                <c:pt idx="3447">
                  <c:v>0.19539999999999999</c:v>
                </c:pt>
                <c:pt idx="3448">
                  <c:v>0.37959999999999999</c:v>
                </c:pt>
                <c:pt idx="3449">
                  <c:v>0.46100000000000002</c:v>
                </c:pt>
                <c:pt idx="3450">
                  <c:v>0.63880000000000003</c:v>
                </c:pt>
                <c:pt idx="3451">
                  <c:v>0.92420000000000002</c:v>
                </c:pt>
                <c:pt idx="3452">
                  <c:v>0.50619999999999998</c:v>
                </c:pt>
                <c:pt idx="3453">
                  <c:v>0.68020000000000003</c:v>
                </c:pt>
                <c:pt idx="3454">
                  <c:v>0.82940000000000003</c:v>
                </c:pt>
                <c:pt idx="3455">
                  <c:v>0.73299999999999998</c:v>
                </c:pt>
                <c:pt idx="3456">
                  <c:v>0.1772</c:v>
                </c:pt>
                <c:pt idx="3457">
                  <c:v>0.35680000000000001</c:v>
                </c:pt>
                <c:pt idx="3458">
                  <c:v>0.94920000000000004</c:v>
                </c:pt>
                <c:pt idx="3459">
                  <c:v>0.15240000000000001</c:v>
                </c:pt>
                <c:pt idx="3460">
                  <c:v>0.64680000000000004</c:v>
                </c:pt>
                <c:pt idx="3461">
                  <c:v>0.35</c:v>
                </c:pt>
                <c:pt idx="3462">
                  <c:v>0.94920000000000004</c:v>
                </c:pt>
                <c:pt idx="3463">
                  <c:v>0.22539999999999999</c:v>
                </c:pt>
                <c:pt idx="3464">
                  <c:v>0.86639999999999995</c:v>
                </c:pt>
                <c:pt idx="3465">
                  <c:v>0.1298</c:v>
                </c:pt>
                <c:pt idx="3466">
                  <c:v>0.7268</c:v>
                </c:pt>
                <c:pt idx="3467">
                  <c:v>0.24540000000000001</c:v>
                </c:pt>
                <c:pt idx="3468">
                  <c:v>0.35580000000000001</c:v>
                </c:pt>
                <c:pt idx="3469">
                  <c:v>0.47560000000000002</c:v>
                </c:pt>
                <c:pt idx="3470">
                  <c:v>0.2772</c:v>
                </c:pt>
                <c:pt idx="3471">
                  <c:v>0.84560000000000002</c:v>
                </c:pt>
                <c:pt idx="3472">
                  <c:v>0.53920000000000001</c:v>
                </c:pt>
                <c:pt idx="3473">
                  <c:v>0.47460000000000002</c:v>
                </c:pt>
                <c:pt idx="3474">
                  <c:v>0.93320000000000003</c:v>
                </c:pt>
                <c:pt idx="3475">
                  <c:v>0.4904</c:v>
                </c:pt>
                <c:pt idx="3476">
                  <c:v>0.51439999999999997</c:v>
                </c:pt>
                <c:pt idx="3477">
                  <c:v>0.52100000000000002</c:v>
                </c:pt>
                <c:pt idx="3478">
                  <c:v>0.94920000000000004</c:v>
                </c:pt>
                <c:pt idx="3479">
                  <c:v>0.2908</c:v>
                </c:pt>
                <c:pt idx="3480">
                  <c:v>0.85840000000000005</c:v>
                </c:pt>
                <c:pt idx="3481">
                  <c:v>0.51859999999999995</c:v>
                </c:pt>
                <c:pt idx="3482">
                  <c:v>0.8538</c:v>
                </c:pt>
                <c:pt idx="3483">
                  <c:v>0.92120000000000002</c:v>
                </c:pt>
                <c:pt idx="3484">
                  <c:v>0.11020000000000001</c:v>
                </c:pt>
                <c:pt idx="3485">
                  <c:v>0.41639999999999999</c:v>
                </c:pt>
                <c:pt idx="3486">
                  <c:v>0.44319999999999998</c:v>
                </c:pt>
                <c:pt idx="3487">
                  <c:v>0.32619999999999999</c:v>
                </c:pt>
                <c:pt idx="3488">
                  <c:v>0.44180000000000003</c:v>
                </c:pt>
                <c:pt idx="3489">
                  <c:v>0.66059999999999997</c:v>
                </c:pt>
                <c:pt idx="3490">
                  <c:v>0.28760000000000002</c:v>
                </c:pt>
                <c:pt idx="3491">
                  <c:v>0.90939999999999999</c:v>
                </c:pt>
                <c:pt idx="3492">
                  <c:v>0.24</c:v>
                </c:pt>
                <c:pt idx="3493">
                  <c:v>0.46500000000000002</c:v>
                </c:pt>
                <c:pt idx="3494">
                  <c:v>0.94920000000000004</c:v>
                </c:pt>
                <c:pt idx="3495">
                  <c:v>0.76200000000000001</c:v>
                </c:pt>
                <c:pt idx="3496">
                  <c:v>0.84040000000000004</c:v>
                </c:pt>
                <c:pt idx="3497">
                  <c:v>0.6946</c:v>
                </c:pt>
                <c:pt idx="3498">
                  <c:v>0.24660000000000001</c:v>
                </c:pt>
                <c:pt idx="3499">
                  <c:v>0.9466</c:v>
                </c:pt>
                <c:pt idx="3500">
                  <c:v>0.28639999999999999</c:v>
                </c:pt>
                <c:pt idx="3501">
                  <c:v>0.80779999999999996</c:v>
                </c:pt>
                <c:pt idx="3502">
                  <c:v>0.70020000000000004</c:v>
                </c:pt>
                <c:pt idx="3503">
                  <c:v>0.43059999999999998</c:v>
                </c:pt>
                <c:pt idx="3504">
                  <c:v>0.55740000000000001</c:v>
                </c:pt>
                <c:pt idx="3505">
                  <c:v>0.123</c:v>
                </c:pt>
                <c:pt idx="3506">
                  <c:v>0.24260000000000001</c:v>
                </c:pt>
                <c:pt idx="3507">
                  <c:v>0.79659999999999997</c:v>
                </c:pt>
                <c:pt idx="3508">
                  <c:v>0.69</c:v>
                </c:pt>
                <c:pt idx="3509">
                  <c:v>0.42499999999999999</c:v>
                </c:pt>
                <c:pt idx="3510">
                  <c:v>0.214</c:v>
                </c:pt>
                <c:pt idx="3511">
                  <c:v>0.21659999999999999</c:v>
                </c:pt>
                <c:pt idx="3512">
                  <c:v>0.83140000000000003</c:v>
                </c:pt>
                <c:pt idx="3513">
                  <c:v>0.84199999999999997</c:v>
                </c:pt>
                <c:pt idx="3514">
                  <c:v>0.2298</c:v>
                </c:pt>
                <c:pt idx="3515">
                  <c:v>0.69140000000000001</c:v>
                </c:pt>
                <c:pt idx="3516">
                  <c:v>0.70720000000000005</c:v>
                </c:pt>
                <c:pt idx="3517">
                  <c:v>0.82420000000000004</c:v>
                </c:pt>
                <c:pt idx="3518">
                  <c:v>0.44379999999999997</c:v>
                </c:pt>
                <c:pt idx="3519">
                  <c:v>0.92800000000000005</c:v>
                </c:pt>
                <c:pt idx="3520">
                  <c:v>0.30940000000000001</c:v>
                </c:pt>
                <c:pt idx="3521">
                  <c:v>0.83299999999999996</c:v>
                </c:pt>
                <c:pt idx="3522">
                  <c:v>0.83599999999999997</c:v>
                </c:pt>
                <c:pt idx="3523">
                  <c:v>0.4476</c:v>
                </c:pt>
                <c:pt idx="3524">
                  <c:v>0.77400000000000002</c:v>
                </c:pt>
                <c:pt idx="3525">
                  <c:v>0.94920000000000004</c:v>
                </c:pt>
                <c:pt idx="3526">
                  <c:v>0.88580000000000003</c:v>
                </c:pt>
                <c:pt idx="3527">
                  <c:v>0.14460000000000001</c:v>
                </c:pt>
                <c:pt idx="3528">
                  <c:v>0.94920000000000004</c:v>
                </c:pt>
                <c:pt idx="3529">
                  <c:v>0.21779999999999999</c:v>
                </c:pt>
                <c:pt idx="3530">
                  <c:v>0.50419999999999998</c:v>
                </c:pt>
                <c:pt idx="3531">
                  <c:v>0.8518</c:v>
                </c:pt>
                <c:pt idx="3532">
                  <c:v>0.49840000000000001</c:v>
                </c:pt>
                <c:pt idx="3533">
                  <c:v>0.93</c:v>
                </c:pt>
                <c:pt idx="3534">
                  <c:v>0.34499999999999997</c:v>
                </c:pt>
                <c:pt idx="3535">
                  <c:v>0.1704</c:v>
                </c:pt>
                <c:pt idx="3536">
                  <c:v>0.1676</c:v>
                </c:pt>
                <c:pt idx="3537">
                  <c:v>0.44379999999999997</c:v>
                </c:pt>
                <c:pt idx="3538">
                  <c:v>0.1206</c:v>
                </c:pt>
                <c:pt idx="3539">
                  <c:v>0.75919999999999999</c:v>
                </c:pt>
                <c:pt idx="3540">
                  <c:v>0.24460000000000001</c:v>
                </c:pt>
                <c:pt idx="3541">
                  <c:v>0.2472</c:v>
                </c:pt>
                <c:pt idx="3542">
                  <c:v>0.88360000000000005</c:v>
                </c:pt>
                <c:pt idx="3543">
                  <c:v>0.94920000000000004</c:v>
                </c:pt>
                <c:pt idx="3544">
                  <c:v>0.17680000000000001</c:v>
                </c:pt>
                <c:pt idx="3545">
                  <c:v>0.71619999999999995</c:v>
                </c:pt>
                <c:pt idx="3546">
                  <c:v>0.629</c:v>
                </c:pt>
                <c:pt idx="3547">
                  <c:v>0.32040000000000002</c:v>
                </c:pt>
                <c:pt idx="3548">
                  <c:v>0.32840000000000003</c:v>
                </c:pt>
                <c:pt idx="3549">
                  <c:v>0.94920000000000004</c:v>
                </c:pt>
                <c:pt idx="3550">
                  <c:v>0.53800000000000003</c:v>
                </c:pt>
                <c:pt idx="3551">
                  <c:v>0.33279999999999998</c:v>
                </c:pt>
                <c:pt idx="3552">
                  <c:v>0.78659999999999997</c:v>
                </c:pt>
                <c:pt idx="3553">
                  <c:v>0.87980000000000003</c:v>
                </c:pt>
                <c:pt idx="3554">
                  <c:v>0.69540000000000002</c:v>
                </c:pt>
                <c:pt idx="3555">
                  <c:v>0.57620000000000005</c:v>
                </c:pt>
                <c:pt idx="3556">
                  <c:v>0.7046</c:v>
                </c:pt>
                <c:pt idx="3557">
                  <c:v>0.30099999999999999</c:v>
                </c:pt>
                <c:pt idx="3558">
                  <c:v>0.30020000000000002</c:v>
                </c:pt>
                <c:pt idx="3559">
                  <c:v>0.2442</c:v>
                </c:pt>
                <c:pt idx="3560">
                  <c:v>0.71379999999999999</c:v>
                </c:pt>
                <c:pt idx="3561">
                  <c:v>0.56720000000000004</c:v>
                </c:pt>
                <c:pt idx="3562">
                  <c:v>0.71860000000000002</c:v>
                </c:pt>
                <c:pt idx="3563">
                  <c:v>0.72960000000000003</c:v>
                </c:pt>
                <c:pt idx="3564">
                  <c:v>0.31879999999999997</c:v>
                </c:pt>
                <c:pt idx="3565">
                  <c:v>0.94340000000000002</c:v>
                </c:pt>
                <c:pt idx="3566">
                  <c:v>0.70540000000000003</c:v>
                </c:pt>
                <c:pt idx="3567">
                  <c:v>0.80520000000000003</c:v>
                </c:pt>
                <c:pt idx="3568">
                  <c:v>0.85719999999999996</c:v>
                </c:pt>
                <c:pt idx="3569">
                  <c:v>0.53920000000000001</c:v>
                </c:pt>
                <c:pt idx="3570">
                  <c:v>0.9002</c:v>
                </c:pt>
                <c:pt idx="3571">
                  <c:v>0.76780000000000004</c:v>
                </c:pt>
                <c:pt idx="3572">
                  <c:v>0.53839999999999999</c:v>
                </c:pt>
                <c:pt idx="3573">
                  <c:v>0.94920000000000004</c:v>
                </c:pt>
                <c:pt idx="3574">
                  <c:v>0.78939999999999999</c:v>
                </c:pt>
                <c:pt idx="3575">
                  <c:v>0.68300000000000005</c:v>
                </c:pt>
                <c:pt idx="3576">
                  <c:v>0.42299999999999999</c:v>
                </c:pt>
                <c:pt idx="3577">
                  <c:v>0.8024</c:v>
                </c:pt>
                <c:pt idx="3578">
                  <c:v>0.21940000000000001</c:v>
                </c:pt>
                <c:pt idx="3579">
                  <c:v>0.37380000000000002</c:v>
                </c:pt>
                <c:pt idx="3580">
                  <c:v>0.34060000000000001</c:v>
                </c:pt>
                <c:pt idx="3581">
                  <c:v>0.59260000000000002</c:v>
                </c:pt>
                <c:pt idx="3582">
                  <c:v>0.22339999999999999</c:v>
                </c:pt>
                <c:pt idx="3583">
                  <c:v>0.66139999999999999</c:v>
                </c:pt>
                <c:pt idx="3584">
                  <c:v>0.248</c:v>
                </c:pt>
                <c:pt idx="3585">
                  <c:v>0.94920000000000004</c:v>
                </c:pt>
                <c:pt idx="3586">
                  <c:v>0.44019999999999998</c:v>
                </c:pt>
                <c:pt idx="3587">
                  <c:v>0.63180000000000003</c:v>
                </c:pt>
                <c:pt idx="3588">
                  <c:v>0.4642</c:v>
                </c:pt>
                <c:pt idx="3589">
                  <c:v>0.94920000000000004</c:v>
                </c:pt>
                <c:pt idx="3590">
                  <c:v>0.71860000000000002</c:v>
                </c:pt>
                <c:pt idx="3591">
                  <c:v>0.63439999999999996</c:v>
                </c:pt>
                <c:pt idx="3592">
                  <c:v>0.27579999999999999</c:v>
                </c:pt>
                <c:pt idx="3593">
                  <c:v>0.59</c:v>
                </c:pt>
                <c:pt idx="3594">
                  <c:v>0.186</c:v>
                </c:pt>
                <c:pt idx="3595">
                  <c:v>0.50680000000000003</c:v>
                </c:pt>
                <c:pt idx="3596">
                  <c:v>0.66779999999999995</c:v>
                </c:pt>
                <c:pt idx="3597">
                  <c:v>0.503</c:v>
                </c:pt>
                <c:pt idx="3598">
                  <c:v>0.70020000000000004</c:v>
                </c:pt>
                <c:pt idx="3599">
                  <c:v>0.77259999999999995</c:v>
                </c:pt>
                <c:pt idx="3600">
                  <c:v>0.61060000000000003</c:v>
                </c:pt>
                <c:pt idx="3601">
                  <c:v>0.626</c:v>
                </c:pt>
                <c:pt idx="3602">
                  <c:v>0.40739999999999998</c:v>
                </c:pt>
                <c:pt idx="3603">
                  <c:v>0.27260000000000001</c:v>
                </c:pt>
                <c:pt idx="3604">
                  <c:v>0.72060000000000002</c:v>
                </c:pt>
                <c:pt idx="3605">
                  <c:v>0.73240000000000005</c:v>
                </c:pt>
                <c:pt idx="3606">
                  <c:v>0.46679999999999999</c:v>
                </c:pt>
                <c:pt idx="3607">
                  <c:v>0.62619999999999998</c:v>
                </c:pt>
                <c:pt idx="3608">
                  <c:v>0.55120000000000002</c:v>
                </c:pt>
                <c:pt idx="3609">
                  <c:v>0.56399999999999995</c:v>
                </c:pt>
                <c:pt idx="3610">
                  <c:v>0.94920000000000004</c:v>
                </c:pt>
                <c:pt idx="3611">
                  <c:v>0.93459999999999999</c:v>
                </c:pt>
                <c:pt idx="3612">
                  <c:v>0.6482</c:v>
                </c:pt>
                <c:pt idx="3613">
                  <c:v>0.60019999999999996</c:v>
                </c:pt>
                <c:pt idx="3614">
                  <c:v>0.94920000000000004</c:v>
                </c:pt>
                <c:pt idx="3615">
                  <c:v>0.24079999999999999</c:v>
                </c:pt>
                <c:pt idx="3616">
                  <c:v>0.94920000000000004</c:v>
                </c:pt>
                <c:pt idx="3617">
                  <c:v>0.51739999999999997</c:v>
                </c:pt>
                <c:pt idx="3618">
                  <c:v>0.94920000000000004</c:v>
                </c:pt>
                <c:pt idx="3619">
                  <c:v>0.94920000000000004</c:v>
                </c:pt>
                <c:pt idx="3620">
                  <c:v>0.91059999999999997</c:v>
                </c:pt>
                <c:pt idx="3621">
                  <c:v>0.42299999999999999</c:v>
                </c:pt>
                <c:pt idx="3622">
                  <c:v>0.66659999999999997</c:v>
                </c:pt>
                <c:pt idx="3623">
                  <c:v>0.2044</c:v>
                </c:pt>
                <c:pt idx="3624">
                  <c:v>0.94920000000000004</c:v>
                </c:pt>
                <c:pt idx="3625">
                  <c:v>0.17480000000000001</c:v>
                </c:pt>
                <c:pt idx="3626">
                  <c:v>0.63600000000000001</c:v>
                </c:pt>
                <c:pt idx="3627">
                  <c:v>0.67120000000000002</c:v>
                </c:pt>
                <c:pt idx="3628">
                  <c:v>0.52600000000000002</c:v>
                </c:pt>
                <c:pt idx="3629">
                  <c:v>0.7228</c:v>
                </c:pt>
                <c:pt idx="3630">
                  <c:v>0.81040000000000001</c:v>
                </c:pt>
                <c:pt idx="3631">
                  <c:v>0.5998</c:v>
                </c:pt>
                <c:pt idx="3632">
                  <c:v>0.59799999999999998</c:v>
                </c:pt>
                <c:pt idx="3633">
                  <c:v>0.32440000000000002</c:v>
                </c:pt>
                <c:pt idx="3634">
                  <c:v>0.25040000000000001</c:v>
                </c:pt>
                <c:pt idx="3635">
                  <c:v>0.54479999999999995</c:v>
                </c:pt>
                <c:pt idx="3636">
                  <c:v>0.82</c:v>
                </c:pt>
                <c:pt idx="3637">
                  <c:v>0.94920000000000004</c:v>
                </c:pt>
                <c:pt idx="3638">
                  <c:v>0.39360000000000001</c:v>
                </c:pt>
                <c:pt idx="3639">
                  <c:v>0.94920000000000004</c:v>
                </c:pt>
                <c:pt idx="3640">
                  <c:v>0.80900000000000005</c:v>
                </c:pt>
                <c:pt idx="3641">
                  <c:v>0.77039999999999997</c:v>
                </c:pt>
                <c:pt idx="3642">
                  <c:v>0.94920000000000004</c:v>
                </c:pt>
                <c:pt idx="3643">
                  <c:v>0.36859999999999998</c:v>
                </c:pt>
                <c:pt idx="3644">
                  <c:v>0.76</c:v>
                </c:pt>
                <c:pt idx="3645">
                  <c:v>0.73899999999999999</c:v>
                </c:pt>
                <c:pt idx="3646">
                  <c:v>0.6704</c:v>
                </c:pt>
                <c:pt idx="3647">
                  <c:v>0.63680000000000003</c:v>
                </c:pt>
                <c:pt idx="3648">
                  <c:v>0.65759999999999996</c:v>
                </c:pt>
                <c:pt idx="3649">
                  <c:v>0.8518</c:v>
                </c:pt>
                <c:pt idx="3650">
                  <c:v>0.2646</c:v>
                </c:pt>
                <c:pt idx="3651">
                  <c:v>0.65400000000000003</c:v>
                </c:pt>
                <c:pt idx="3652">
                  <c:v>0.30580000000000002</c:v>
                </c:pt>
                <c:pt idx="3653">
                  <c:v>0.63360000000000005</c:v>
                </c:pt>
                <c:pt idx="3654">
                  <c:v>0.13220000000000001</c:v>
                </c:pt>
                <c:pt idx="3655">
                  <c:v>0.94920000000000004</c:v>
                </c:pt>
                <c:pt idx="3656">
                  <c:v>0.90459999999999996</c:v>
                </c:pt>
                <c:pt idx="3657">
                  <c:v>0.9224</c:v>
                </c:pt>
                <c:pt idx="3658">
                  <c:v>0.78220000000000001</c:v>
                </c:pt>
                <c:pt idx="3659">
                  <c:v>0.16719999999999999</c:v>
                </c:pt>
                <c:pt idx="3660">
                  <c:v>0.34060000000000001</c:v>
                </c:pt>
                <c:pt idx="3661">
                  <c:v>0.1144</c:v>
                </c:pt>
                <c:pt idx="3662">
                  <c:v>0.71860000000000002</c:v>
                </c:pt>
                <c:pt idx="3663">
                  <c:v>0.3508</c:v>
                </c:pt>
                <c:pt idx="3664">
                  <c:v>0.7238</c:v>
                </c:pt>
                <c:pt idx="3665">
                  <c:v>0.57220000000000004</c:v>
                </c:pt>
                <c:pt idx="3666">
                  <c:v>0.14879999999999999</c:v>
                </c:pt>
                <c:pt idx="3667">
                  <c:v>0.84840000000000004</c:v>
                </c:pt>
                <c:pt idx="3668">
                  <c:v>0.36559999999999998</c:v>
                </c:pt>
                <c:pt idx="3669">
                  <c:v>0.2404</c:v>
                </c:pt>
                <c:pt idx="3670">
                  <c:v>0.25900000000000001</c:v>
                </c:pt>
                <c:pt idx="3671">
                  <c:v>0.78220000000000001</c:v>
                </c:pt>
                <c:pt idx="3672">
                  <c:v>0.85619999999999996</c:v>
                </c:pt>
                <c:pt idx="3673">
                  <c:v>0.8508</c:v>
                </c:pt>
                <c:pt idx="3674">
                  <c:v>0.309</c:v>
                </c:pt>
                <c:pt idx="3675">
                  <c:v>0.82499999999999996</c:v>
                </c:pt>
                <c:pt idx="3676">
                  <c:v>0.94920000000000004</c:v>
                </c:pt>
                <c:pt idx="3677">
                  <c:v>0.6946</c:v>
                </c:pt>
                <c:pt idx="3678">
                  <c:v>0.3448</c:v>
                </c:pt>
                <c:pt idx="3679">
                  <c:v>0.65339999999999998</c:v>
                </c:pt>
                <c:pt idx="3680">
                  <c:v>0.87039999999999995</c:v>
                </c:pt>
                <c:pt idx="3681">
                  <c:v>0.51559999999999995</c:v>
                </c:pt>
                <c:pt idx="3682">
                  <c:v>0.44840000000000002</c:v>
                </c:pt>
                <c:pt idx="3683">
                  <c:v>0.76180000000000003</c:v>
                </c:pt>
                <c:pt idx="3684">
                  <c:v>0.81699999999999995</c:v>
                </c:pt>
                <c:pt idx="3685">
                  <c:v>0.70860000000000001</c:v>
                </c:pt>
                <c:pt idx="3686">
                  <c:v>0.8266</c:v>
                </c:pt>
                <c:pt idx="3687">
                  <c:v>0.40179999999999999</c:v>
                </c:pt>
                <c:pt idx="3688">
                  <c:v>0.94099999999999995</c:v>
                </c:pt>
                <c:pt idx="3689">
                  <c:v>0.2722</c:v>
                </c:pt>
                <c:pt idx="3690">
                  <c:v>0.81799999999999995</c:v>
                </c:pt>
                <c:pt idx="3691">
                  <c:v>0.49419999999999997</c:v>
                </c:pt>
                <c:pt idx="3692">
                  <c:v>0.43759999999999999</c:v>
                </c:pt>
                <c:pt idx="3693">
                  <c:v>0.62139999999999995</c:v>
                </c:pt>
                <c:pt idx="3694">
                  <c:v>0.34820000000000001</c:v>
                </c:pt>
                <c:pt idx="3695">
                  <c:v>0.84160000000000001</c:v>
                </c:pt>
                <c:pt idx="3696">
                  <c:v>0.63880000000000003</c:v>
                </c:pt>
                <c:pt idx="3697">
                  <c:v>0.84840000000000004</c:v>
                </c:pt>
                <c:pt idx="3698">
                  <c:v>0.7752</c:v>
                </c:pt>
                <c:pt idx="3699">
                  <c:v>0.33</c:v>
                </c:pt>
                <c:pt idx="3700">
                  <c:v>0.77400000000000002</c:v>
                </c:pt>
                <c:pt idx="3701">
                  <c:v>0.94920000000000004</c:v>
                </c:pt>
                <c:pt idx="3702">
                  <c:v>0.31840000000000002</c:v>
                </c:pt>
                <c:pt idx="3703">
                  <c:v>0.71199999999999997</c:v>
                </c:pt>
                <c:pt idx="3704">
                  <c:v>0.8518</c:v>
                </c:pt>
                <c:pt idx="3705">
                  <c:v>0.122</c:v>
                </c:pt>
                <c:pt idx="3706">
                  <c:v>0.63180000000000003</c:v>
                </c:pt>
                <c:pt idx="3707">
                  <c:v>0.63780000000000003</c:v>
                </c:pt>
                <c:pt idx="3708">
                  <c:v>0.56200000000000006</c:v>
                </c:pt>
                <c:pt idx="3709">
                  <c:v>0.64259999999999995</c:v>
                </c:pt>
                <c:pt idx="3710">
                  <c:v>0.27779999999999999</c:v>
                </c:pt>
                <c:pt idx="3711">
                  <c:v>0.4476</c:v>
                </c:pt>
                <c:pt idx="3712">
                  <c:v>0.51980000000000004</c:v>
                </c:pt>
                <c:pt idx="3713">
                  <c:v>0.1166</c:v>
                </c:pt>
                <c:pt idx="3714">
                  <c:v>0.94920000000000004</c:v>
                </c:pt>
                <c:pt idx="3715">
                  <c:v>0.30359999999999998</c:v>
                </c:pt>
                <c:pt idx="3716">
                  <c:v>0.24340000000000001</c:v>
                </c:pt>
                <c:pt idx="3717">
                  <c:v>0.94920000000000004</c:v>
                </c:pt>
                <c:pt idx="3718">
                  <c:v>0.33179999999999998</c:v>
                </c:pt>
                <c:pt idx="3719">
                  <c:v>0.70020000000000004</c:v>
                </c:pt>
                <c:pt idx="3720">
                  <c:v>0.43480000000000002</c:v>
                </c:pt>
                <c:pt idx="3721">
                  <c:v>0.80400000000000005</c:v>
                </c:pt>
                <c:pt idx="3722">
                  <c:v>0.1206</c:v>
                </c:pt>
                <c:pt idx="3723">
                  <c:v>0.53259999999999996</c:v>
                </c:pt>
                <c:pt idx="3724">
                  <c:v>0.79139999999999999</c:v>
                </c:pt>
                <c:pt idx="3725">
                  <c:v>0.16200000000000001</c:v>
                </c:pt>
                <c:pt idx="3726">
                  <c:v>0.32140000000000002</c:v>
                </c:pt>
                <c:pt idx="3727">
                  <c:v>0.48699999999999999</c:v>
                </c:pt>
                <c:pt idx="3728">
                  <c:v>0.252</c:v>
                </c:pt>
                <c:pt idx="3729">
                  <c:v>0.9002</c:v>
                </c:pt>
                <c:pt idx="3730">
                  <c:v>0.67200000000000004</c:v>
                </c:pt>
                <c:pt idx="3731">
                  <c:v>0.43480000000000002</c:v>
                </c:pt>
                <c:pt idx="3732">
                  <c:v>0.82</c:v>
                </c:pt>
                <c:pt idx="3733">
                  <c:v>0.64059999999999995</c:v>
                </c:pt>
                <c:pt idx="3734">
                  <c:v>0.20680000000000001</c:v>
                </c:pt>
                <c:pt idx="3735">
                  <c:v>0.55879999999999996</c:v>
                </c:pt>
                <c:pt idx="3736">
                  <c:v>0.5988</c:v>
                </c:pt>
                <c:pt idx="3737">
                  <c:v>0.75800000000000001</c:v>
                </c:pt>
                <c:pt idx="3738">
                  <c:v>0.51100000000000001</c:v>
                </c:pt>
                <c:pt idx="3739">
                  <c:v>0.70960000000000001</c:v>
                </c:pt>
                <c:pt idx="3740">
                  <c:v>0.8004</c:v>
                </c:pt>
                <c:pt idx="3741">
                  <c:v>0.59</c:v>
                </c:pt>
                <c:pt idx="3742">
                  <c:v>0.89639999999999997</c:v>
                </c:pt>
                <c:pt idx="3743">
                  <c:v>0.23080000000000001</c:v>
                </c:pt>
                <c:pt idx="3744">
                  <c:v>0.56200000000000006</c:v>
                </c:pt>
                <c:pt idx="3745">
                  <c:v>0.84419999999999995</c:v>
                </c:pt>
                <c:pt idx="3746">
                  <c:v>0.42499999999999999</c:v>
                </c:pt>
                <c:pt idx="3747">
                  <c:v>0.3866</c:v>
                </c:pt>
                <c:pt idx="3748">
                  <c:v>0.8004</c:v>
                </c:pt>
                <c:pt idx="3749">
                  <c:v>0.83560000000000001</c:v>
                </c:pt>
                <c:pt idx="3750">
                  <c:v>0.41639999999999999</c:v>
                </c:pt>
                <c:pt idx="3751">
                  <c:v>0.20619999999999999</c:v>
                </c:pt>
                <c:pt idx="3752">
                  <c:v>0.6552</c:v>
                </c:pt>
                <c:pt idx="3753">
                  <c:v>0.36299999999999999</c:v>
                </c:pt>
                <c:pt idx="3754">
                  <c:v>0.58499999999999996</c:v>
                </c:pt>
                <c:pt idx="3755">
                  <c:v>0.75760000000000005</c:v>
                </c:pt>
                <c:pt idx="3756">
                  <c:v>0.73340000000000005</c:v>
                </c:pt>
                <c:pt idx="3757">
                  <c:v>0.32540000000000002</c:v>
                </c:pt>
                <c:pt idx="3758">
                  <c:v>0.88219999999999998</c:v>
                </c:pt>
                <c:pt idx="3759">
                  <c:v>0.28560000000000002</c:v>
                </c:pt>
                <c:pt idx="3760">
                  <c:v>0.27279999999999999</c:v>
                </c:pt>
                <c:pt idx="3761">
                  <c:v>0.56520000000000004</c:v>
                </c:pt>
                <c:pt idx="3762">
                  <c:v>0.1152</c:v>
                </c:pt>
                <c:pt idx="3763">
                  <c:v>0.52439999999999998</c:v>
                </c:pt>
                <c:pt idx="3764">
                  <c:v>0.87039999999999995</c:v>
                </c:pt>
                <c:pt idx="3765">
                  <c:v>0.38840000000000002</c:v>
                </c:pt>
                <c:pt idx="3766">
                  <c:v>0.82</c:v>
                </c:pt>
                <c:pt idx="3767">
                  <c:v>0.40039999999999998</c:v>
                </c:pt>
                <c:pt idx="3768">
                  <c:v>0.59560000000000002</c:v>
                </c:pt>
                <c:pt idx="3769">
                  <c:v>0.34060000000000001</c:v>
                </c:pt>
                <c:pt idx="3770">
                  <c:v>0.42759999999999998</c:v>
                </c:pt>
                <c:pt idx="3771">
                  <c:v>0.89319999999999999</c:v>
                </c:pt>
                <c:pt idx="3772">
                  <c:v>0.34820000000000001</c:v>
                </c:pt>
                <c:pt idx="3773">
                  <c:v>0.50839999999999996</c:v>
                </c:pt>
                <c:pt idx="3774">
                  <c:v>0.73580000000000001</c:v>
                </c:pt>
                <c:pt idx="3775">
                  <c:v>0.77880000000000005</c:v>
                </c:pt>
                <c:pt idx="3776">
                  <c:v>0.30299999999999999</c:v>
                </c:pt>
                <c:pt idx="3777">
                  <c:v>0.48399999999999999</c:v>
                </c:pt>
                <c:pt idx="3778">
                  <c:v>0.94920000000000004</c:v>
                </c:pt>
                <c:pt idx="3779">
                  <c:v>0.25519999999999998</c:v>
                </c:pt>
                <c:pt idx="3780">
                  <c:v>0.16300000000000001</c:v>
                </c:pt>
                <c:pt idx="3781">
                  <c:v>0.57140000000000002</c:v>
                </c:pt>
                <c:pt idx="3782">
                  <c:v>0.76200000000000001</c:v>
                </c:pt>
                <c:pt idx="3783">
                  <c:v>0.80520000000000003</c:v>
                </c:pt>
                <c:pt idx="3784">
                  <c:v>0.94920000000000004</c:v>
                </c:pt>
                <c:pt idx="3785">
                  <c:v>0.49719999999999998</c:v>
                </c:pt>
                <c:pt idx="3786">
                  <c:v>0.94920000000000004</c:v>
                </c:pt>
                <c:pt idx="3787">
                  <c:v>0.746</c:v>
                </c:pt>
                <c:pt idx="3788">
                  <c:v>0.85840000000000005</c:v>
                </c:pt>
                <c:pt idx="3789">
                  <c:v>0.72740000000000005</c:v>
                </c:pt>
                <c:pt idx="3790">
                  <c:v>0.81799999999999995</c:v>
                </c:pt>
                <c:pt idx="3791">
                  <c:v>0.503</c:v>
                </c:pt>
                <c:pt idx="3792">
                  <c:v>0.30640000000000001</c:v>
                </c:pt>
                <c:pt idx="3793">
                  <c:v>0.77259999999999995</c:v>
                </c:pt>
                <c:pt idx="3794">
                  <c:v>0.5494</c:v>
                </c:pt>
                <c:pt idx="3795">
                  <c:v>0.13980000000000001</c:v>
                </c:pt>
                <c:pt idx="3796">
                  <c:v>0.86439999999999995</c:v>
                </c:pt>
                <c:pt idx="3797">
                  <c:v>0.12540000000000001</c:v>
                </c:pt>
                <c:pt idx="3798">
                  <c:v>0.26279999999999998</c:v>
                </c:pt>
                <c:pt idx="3799">
                  <c:v>0.56299999999999994</c:v>
                </c:pt>
                <c:pt idx="3800">
                  <c:v>0.316</c:v>
                </c:pt>
                <c:pt idx="3801">
                  <c:v>0.93899999999999995</c:v>
                </c:pt>
                <c:pt idx="3802">
                  <c:v>0.65880000000000005</c:v>
                </c:pt>
                <c:pt idx="3803">
                  <c:v>0.32600000000000001</c:v>
                </c:pt>
                <c:pt idx="3804">
                  <c:v>0.76139999999999997</c:v>
                </c:pt>
                <c:pt idx="3805">
                  <c:v>0.27579999999999999</c:v>
                </c:pt>
                <c:pt idx="3806">
                  <c:v>0.41959999999999997</c:v>
                </c:pt>
                <c:pt idx="3807">
                  <c:v>0.94920000000000004</c:v>
                </c:pt>
                <c:pt idx="3808">
                  <c:v>0.93620000000000003</c:v>
                </c:pt>
                <c:pt idx="3809">
                  <c:v>0.1966</c:v>
                </c:pt>
                <c:pt idx="3810">
                  <c:v>0.1288</c:v>
                </c:pt>
                <c:pt idx="3811">
                  <c:v>0.15240000000000001</c:v>
                </c:pt>
                <c:pt idx="3812">
                  <c:v>0.72160000000000002</c:v>
                </c:pt>
                <c:pt idx="3813">
                  <c:v>0.47620000000000001</c:v>
                </c:pt>
                <c:pt idx="3814">
                  <c:v>0.72419999999999995</c:v>
                </c:pt>
                <c:pt idx="3815">
                  <c:v>0.69259999999999999</c:v>
                </c:pt>
                <c:pt idx="3816">
                  <c:v>0.51559999999999995</c:v>
                </c:pt>
                <c:pt idx="3817">
                  <c:v>0.18820000000000001</c:v>
                </c:pt>
                <c:pt idx="3818">
                  <c:v>0.77600000000000002</c:v>
                </c:pt>
                <c:pt idx="3819">
                  <c:v>0.59060000000000001</c:v>
                </c:pt>
                <c:pt idx="3820">
                  <c:v>0.35</c:v>
                </c:pt>
                <c:pt idx="3821">
                  <c:v>0.3856</c:v>
                </c:pt>
                <c:pt idx="3822">
                  <c:v>0.40639999999999998</c:v>
                </c:pt>
                <c:pt idx="3823">
                  <c:v>0.24340000000000001</c:v>
                </c:pt>
                <c:pt idx="3824">
                  <c:v>0.7046</c:v>
                </c:pt>
                <c:pt idx="3825">
                  <c:v>0.1358</c:v>
                </c:pt>
                <c:pt idx="3826">
                  <c:v>0.39700000000000002</c:v>
                </c:pt>
                <c:pt idx="3827">
                  <c:v>0.32619999999999999</c:v>
                </c:pt>
                <c:pt idx="3828">
                  <c:v>0.20619999999999999</c:v>
                </c:pt>
                <c:pt idx="3829">
                  <c:v>0.75260000000000005</c:v>
                </c:pt>
                <c:pt idx="3830">
                  <c:v>0.2792</c:v>
                </c:pt>
                <c:pt idx="3831">
                  <c:v>0.224</c:v>
                </c:pt>
                <c:pt idx="3832">
                  <c:v>0.94920000000000004</c:v>
                </c:pt>
                <c:pt idx="3833">
                  <c:v>0.76639999999999997</c:v>
                </c:pt>
                <c:pt idx="3834">
                  <c:v>0.35580000000000001</c:v>
                </c:pt>
                <c:pt idx="3835">
                  <c:v>0.94920000000000004</c:v>
                </c:pt>
                <c:pt idx="3836">
                  <c:v>0.55879999999999996</c:v>
                </c:pt>
                <c:pt idx="3837">
                  <c:v>0.60240000000000005</c:v>
                </c:pt>
                <c:pt idx="3838">
                  <c:v>0.49480000000000002</c:v>
                </c:pt>
                <c:pt idx="3839">
                  <c:v>0.60240000000000005</c:v>
                </c:pt>
                <c:pt idx="3840">
                  <c:v>0.94920000000000004</c:v>
                </c:pt>
                <c:pt idx="3841">
                  <c:v>0.55500000000000005</c:v>
                </c:pt>
                <c:pt idx="3842">
                  <c:v>0.1242</c:v>
                </c:pt>
                <c:pt idx="3843">
                  <c:v>0.13980000000000001</c:v>
                </c:pt>
                <c:pt idx="3844">
                  <c:v>0.87980000000000003</c:v>
                </c:pt>
                <c:pt idx="3845">
                  <c:v>0.18179999999999999</c:v>
                </c:pt>
                <c:pt idx="3846">
                  <c:v>0.63560000000000005</c:v>
                </c:pt>
                <c:pt idx="3847">
                  <c:v>0.36120000000000002</c:v>
                </c:pt>
                <c:pt idx="3848">
                  <c:v>0.75260000000000005</c:v>
                </c:pt>
                <c:pt idx="3849">
                  <c:v>0.27500000000000002</c:v>
                </c:pt>
                <c:pt idx="3850">
                  <c:v>0.4244</c:v>
                </c:pt>
                <c:pt idx="3851">
                  <c:v>0.3286</c:v>
                </c:pt>
                <c:pt idx="3852">
                  <c:v>0.88759999999999994</c:v>
                </c:pt>
                <c:pt idx="3853">
                  <c:v>0.49299999999999999</c:v>
                </c:pt>
                <c:pt idx="3854">
                  <c:v>0.81320000000000003</c:v>
                </c:pt>
                <c:pt idx="3855">
                  <c:v>0.18060000000000001</c:v>
                </c:pt>
                <c:pt idx="3856">
                  <c:v>0.68600000000000005</c:v>
                </c:pt>
                <c:pt idx="3857">
                  <c:v>0.61219999999999997</c:v>
                </c:pt>
                <c:pt idx="3858">
                  <c:v>0.56020000000000003</c:v>
                </c:pt>
                <c:pt idx="3859">
                  <c:v>0.39479999999999998</c:v>
                </c:pt>
                <c:pt idx="3860">
                  <c:v>0.14680000000000001</c:v>
                </c:pt>
                <c:pt idx="3861">
                  <c:v>0.90280000000000005</c:v>
                </c:pt>
                <c:pt idx="3862">
                  <c:v>0.5786</c:v>
                </c:pt>
                <c:pt idx="3863">
                  <c:v>0.2026</c:v>
                </c:pt>
                <c:pt idx="3864">
                  <c:v>0.49559999999999998</c:v>
                </c:pt>
                <c:pt idx="3865">
                  <c:v>0.24279999999999999</c:v>
                </c:pt>
                <c:pt idx="3866">
                  <c:v>0.73960000000000004</c:v>
                </c:pt>
                <c:pt idx="3867">
                  <c:v>0.64339999999999997</c:v>
                </c:pt>
                <c:pt idx="3868">
                  <c:v>0.84199999999999997</c:v>
                </c:pt>
                <c:pt idx="3869">
                  <c:v>0.91920000000000002</c:v>
                </c:pt>
                <c:pt idx="3870">
                  <c:v>0.19339999999999999</c:v>
                </c:pt>
                <c:pt idx="3871">
                  <c:v>0.75260000000000005</c:v>
                </c:pt>
                <c:pt idx="3872">
                  <c:v>0.6482</c:v>
                </c:pt>
                <c:pt idx="3873">
                  <c:v>0.64339999999999997</c:v>
                </c:pt>
                <c:pt idx="3874">
                  <c:v>0.73340000000000005</c:v>
                </c:pt>
                <c:pt idx="3875">
                  <c:v>0.8024</c:v>
                </c:pt>
                <c:pt idx="3876">
                  <c:v>0.79520000000000002</c:v>
                </c:pt>
                <c:pt idx="3877">
                  <c:v>0.65300000000000002</c:v>
                </c:pt>
                <c:pt idx="3878">
                  <c:v>0.1792</c:v>
                </c:pt>
                <c:pt idx="3879">
                  <c:v>0.3528</c:v>
                </c:pt>
                <c:pt idx="3880">
                  <c:v>0.84419999999999995</c:v>
                </c:pt>
                <c:pt idx="3881">
                  <c:v>0.91359999999999997</c:v>
                </c:pt>
                <c:pt idx="3882">
                  <c:v>0.503</c:v>
                </c:pt>
                <c:pt idx="3883">
                  <c:v>0.73</c:v>
                </c:pt>
                <c:pt idx="3884">
                  <c:v>0.53539999999999999</c:v>
                </c:pt>
                <c:pt idx="3885">
                  <c:v>0.61339999999999995</c:v>
                </c:pt>
                <c:pt idx="3886">
                  <c:v>0.54700000000000004</c:v>
                </c:pt>
                <c:pt idx="3887">
                  <c:v>0.26100000000000001</c:v>
                </c:pt>
                <c:pt idx="3888">
                  <c:v>0.75019999999999998</c:v>
                </c:pt>
                <c:pt idx="3889">
                  <c:v>0.48980000000000001</c:v>
                </c:pt>
                <c:pt idx="3890">
                  <c:v>0.31059999999999999</c:v>
                </c:pt>
                <c:pt idx="3891">
                  <c:v>0.70199999999999996</c:v>
                </c:pt>
                <c:pt idx="3892">
                  <c:v>0.14199999999999999</c:v>
                </c:pt>
                <c:pt idx="3893">
                  <c:v>0.91479999999999995</c:v>
                </c:pt>
                <c:pt idx="3894">
                  <c:v>0.28999999999999998</c:v>
                </c:pt>
                <c:pt idx="3895">
                  <c:v>0.43319999999999997</c:v>
                </c:pt>
                <c:pt idx="3896">
                  <c:v>0.312</c:v>
                </c:pt>
                <c:pt idx="3897">
                  <c:v>0.44840000000000002</c:v>
                </c:pt>
                <c:pt idx="3898">
                  <c:v>0.29520000000000002</c:v>
                </c:pt>
                <c:pt idx="3899">
                  <c:v>0.628</c:v>
                </c:pt>
                <c:pt idx="3900">
                  <c:v>0.26279999999999998</c:v>
                </c:pt>
                <c:pt idx="3901">
                  <c:v>0.8518</c:v>
                </c:pt>
                <c:pt idx="3902">
                  <c:v>0.18740000000000001</c:v>
                </c:pt>
                <c:pt idx="3903">
                  <c:v>0.37359999999999999</c:v>
                </c:pt>
                <c:pt idx="3904">
                  <c:v>0.34360000000000002</c:v>
                </c:pt>
                <c:pt idx="3905">
                  <c:v>0.78720000000000001</c:v>
                </c:pt>
                <c:pt idx="3906">
                  <c:v>0.94920000000000004</c:v>
                </c:pt>
                <c:pt idx="3907">
                  <c:v>0.70320000000000005</c:v>
                </c:pt>
                <c:pt idx="3908">
                  <c:v>0.56779999999999997</c:v>
                </c:pt>
                <c:pt idx="3909">
                  <c:v>0.55740000000000001</c:v>
                </c:pt>
                <c:pt idx="3910">
                  <c:v>0.51100000000000001</c:v>
                </c:pt>
                <c:pt idx="3911">
                  <c:v>0.49299999999999999</c:v>
                </c:pt>
                <c:pt idx="3912">
                  <c:v>0.54479999999999995</c:v>
                </c:pt>
                <c:pt idx="3913">
                  <c:v>0.41060000000000002</c:v>
                </c:pt>
                <c:pt idx="3914">
                  <c:v>0.67759999999999998</c:v>
                </c:pt>
                <c:pt idx="3915">
                  <c:v>0.25719999999999998</c:v>
                </c:pt>
                <c:pt idx="3916">
                  <c:v>0.60040000000000004</c:v>
                </c:pt>
                <c:pt idx="3917">
                  <c:v>0.70660000000000001</c:v>
                </c:pt>
                <c:pt idx="3918">
                  <c:v>0.24460000000000001</c:v>
                </c:pt>
                <c:pt idx="3919">
                  <c:v>0.89419999999999999</c:v>
                </c:pt>
                <c:pt idx="3920">
                  <c:v>0.29899999999999999</c:v>
                </c:pt>
                <c:pt idx="3921">
                  <c:v>0.42720000000000002</c:v>
                </c:pt>
                <c:pt idx="3922">
                  <c:v>0.12620000000000001</c:v>
                </c:pt>
                <c:pt idx="3923">
                  <c:v>0.44800000000000001</c:v>
                </c:pt>
                <c:pt idx="3924">
                  <c:v>0.1196</c:v>
                </c:pt>
                <c:pt idx="3925">
                  <c:v>0.23860000000000001</c:v>
                </c:pt>
                <c:pt idx="3926">
                  <c:v>0.45600000000000002</c:v>
                </c:pt>
                <c:pt idx="3927">
                  <c:v>0.79039999999999999</c:v>
                </c:pt>
                <c:pt idx="3928">
                  <c:v>0.56020000000000003</c:v>
                </c:pt>
                <c:pt idx="3929">
                  <c:v>0.81079999999999997</c:v>
                </c:pt>
                <c:pt idx="3930">
                  <c:v>0.80579999999999996</c:v>
                </c:pt>
                <c:pt idx="3931">
                  <c:v>0.89319999999999999</c:v>
                </c:pt>
                <c:pt idx="3932">
                  <c:v>0.93159999999999998</c:v>
                </c:pt>
                <c:pt idx="3933">
                  <c:v>0.48780000000000001</c:v>
                </c:pt>
                <c:pt idx="3934">
                  <c:v>0.93320000000000003</c:v>
                </c:pt>
                <c:pt idx="3935">
                  <c:v>0.75560000000000005</c:v>
                </c:pt>
                <c:pt idx="3936">
                  <c:v>0.33600000000000002</c:v>
                </c:pt>
                <c:pt idx="3937">
                  <c:v>0.18940000000000001</c:v>
                </c:pt>
                <c:pt idx="3938">
                  <c:v>0.7288</c:v>
                </c:pt>
                <c:pt idx="3939">
                  <c:v>0.60240000000000005</c:v>
                </c:pt>
                <c:pt idx="3940">
                  <c:v>0.61419999999999997</c:v>
                </c:pt>
                <c:pt idx="3941">
                  <c:v>0.54079999999999995</c:v>
                </c:pt>
                <c:pt idx="3942">
                  <c:v>0.40039999999999998</c:v>
                </c:pt>
                <c:pt idx="3943">
                  <c:v>0.24340000000000001</c:v>
                </c:pt>
                <c:pt idx="3944">
                  <c:v>0.186</c:v>
                </c:pt>
                <c:pt idx="3945">
                  <c:v>0.89600000000000002</c:v>
                </c:pt>
                <c:pt idx="3946">
                  <c:v>0.61060000000000003</c:v>
                </c:pt>
                <c:pt idx="3947">
                  <c:v>0.67520000000000002</c:v>
                </c:pt>
                <c:pt idx="3948">
                  <c:v>0.44379999999999997</c:v>
                </c:pt>
                <c:pt idx="3949">
                  <c:v>0.76519999999999999</c:v>
                </c:pt>
                <c:pt idx="3950">
                  <c:v>0.25159999999999999</c:v>
                </c:pt>
                <c:pt idx="3951">
                  <c:v>0.4612</c:v>
                </c:pt>
                <c:pt idx="3952">
                  <c:v>0.46239999999999998</c:v>
                </c:pt>
                <c:pt idx="3953">
                  <c:v>0.28860000000000002</c:v>
                </c:pt>
                <c:pt idx="3954">
                  <c:v>0.34899999999999998</c:v>
                </c:pt>
                <c:pt idx="3955">
                  <c:v>0.20619999999999999</c:v>
                </c:pt>
                <c:pt idx="3956">
                  <c:v>0.64339999999999997</c:v>
                </c:pt>
                <c:pt idx="3957">
                  <c:v>0.16839999999999999</c:v>
                </c:pt>
                <c:pt idx="3958">
                  <c:v>0.36220000000000002</c:v>
                </c:pt>
                <c:pt idx="3959">
                  <c:v>0.13700000000000001</c:v>
                </c:pt>
                <c:pt idx="3960">
                  <c:v>0.49719999999999998</c:v>
                </c:pt>
                <c:pt idx="3961">
                  <c:v>0.375</c:v>
                </c:pt>
                <c:pt idx="3962">
                  <c:v>0.27979999999999999</c:v>
                </c:pt>
                <c:pt idx="3963">
                  <c:v>0.18740000000000001</c:v>
                </c:pt>
                <c:pt idx="3964">
                  <c:v>0.61480000000000001</c:v>
                </c:pt>
                <c:pt idx="3965">
                  <c:v>0.94220000000000004</c:v>
                </c:pt>
                <c:pt idx="3966">
                  <c:v>0.8236</c:v>
                </c:pt>
                <c:pt idx="3967">
                  <c:v>0.93679999999999997</c:v>
                </c:pt>
                <c:pt idx="3968">
                  <c:v>0.33960000000000001</c:v>
                </c:pt>
                <c:pt idx="3969">
                  <c:v>0.37159999999999999</c:v>
                </c:pt>
                <c:pt idx="3970">
                  <c:v>0.33239999999999997</c:v>
                </c:pt>
                <c:pt idx="3971">
                  <c:v>0.61060000000000003</c:v>
                </c:pt>
                <c:pt idx="3972">
                  <c:v>0.3458</c:v>
                </c:pt>
                <c:pt idx="3973">
                  <c:v>0.52959999999999996</c:v>
                </c:pt>
                <c:pt idx="3974">
                  <c:v>0.45400000000000001</c:v>
                </c:pt>
                <c:pt idx="3975">
                  <c:v>0.30099999999999999</c:v>
                </c:pt>
                <c:pt idx="3976">
                  <c:v>0.35420000000000001</c:v>
                </c:pt>
                <c:pt idx="3977">
                  <c:v>0.91920000000000002</c:v>
                </c:pt>
                <c:pt idx="3978">
                  <c:v>0.53720000000000001</c:v>
                </c:pt>
                <c:pt idx="3979">
                  <c:v>0.27300000000000002</c:v>
                </c:pt>
                <c:pt idx="3980">
                  <c:v>0.72740000000000005</c:v>
                </c:pt>
                <c:pt idx="3981">
                  <c:v>0.8518</c:v>
                </c:pt>
                <c:pt idx="3982">
                  <c:v>0.29520000000000002</c:v>
                </c:pt>
                <c:pt idx="3983">
                  <c:v>0.33279999999999998</c:v>
                </c:pt>
                <c:pt idx="3984">
                  <c:v>0.80779999999999996</c:v>
                </c:pt>
                <c:pt idx="3985">
                  <c:v>0.79559999999999997</c:v>
                </c:pt>
                <c:pt idx="3986">
                  <c:v>0.7782</c:v>
                </c:pt>
                <c:pt idx="3987">
                  <c:v>0.628</c:v>
                </c:pt>
                <c:pt idx="3988">
                  <c:v>0.78500000000000003</c:v>
                </c:pt>
                <c:pt idx="3989">
                  <c:v>0.11020000000000001</c:v>
                </c:pt>
                <c:pt idx="3990">
                  <c:v>0.90539999999999998</c:v>
                </c:pt>
                <c:pt idx="3991">
                  <c:v>0.158</c:v>
                </c:pt>
                <c:pt idx="3992">
                  <c:v>0.64339999999999997</c:v>
                </c:pt>
                <c:pt idx="3993">
                  <c:v>0.41899999999999998</c:v>
                </c:pt>
                <c:pt idx="3994">
                  <c:v>0.94920000000000004</c:v>
                </c:pt>
                <c:pt idx="3995">
                  <c:v>0.63260000000000005</c:v>
                </c:pt>
                <c:pt idx="3996">
                  <c:v>0.31319999999999998</c:v>
                </c:pt>
                <c:pt idx="3997">
                  <c:v>0.44180000000000003</c:v>
                </c:pt>
                <c:pt idx="3998">
                  <c:v>0.94920000000000004</c:v>
                </c:pt>
                <c:pt idx="3999">
                  <c:v>0.78420000000000001</c:v>
                </c:pt>
                <c:pt idx="4000">
                  <c:v>0.59379999999999999</c:v>
                </c:pt>
                <c:pt idx="4001">
                  <c:v>0.2492</c:v>
                </c:pt>
                <c:pt idx="4002">
                  <c:v>0.59960000000000002</c:v>
                </c:pt>
                <c:pt idx="4003">
                  <c:v>0.94920000000000004</c:v>
                </c:pt>
                <c:pt idx="4004">
                  <c:v>0.94920000000000004</c:v>
                </c:pt>
                <c:pt idx="4005">
                  <c:v>0.41</c:v>
                </c:pt>
                <c:pt idx="4006">
                  <c:v>0.94920000000000004</c:v>
                </c:pt>
                <c:pt idx="4007">
                  <c:v>7.7799999999999994E-2</c:v>
                </c:pt>
                <c:pt idx="4008">
                  <c:v>0.218</c:v>
                </c:pt>
                <c:pt idx="4009">
                  <c:v>0.4788</c:v>
                </c:pt>
                <c:pt idx="4010">
                  <c:v>0.183</c:v>
                </c:pt>
                <c:pt idx="4011">
                  <c:v>0.11</c:v>
                </c:pt>
                <c:pt idx="4012">
                  <c:v>0.94920000000000004</c:v>
                </c:pt>
                <c:pt idx="4013">
                  <c:v>0.75360000000000005</c:v>
                </c:pt>
                <c:pt idx="4014">
                  <c:v>7.4200000000000002E-2</c:v>
                </c:pt>
                <c:pt idx="4015">
                  <c:v>0.31659999999999999</c:v>
                </c:pt>
                <c:pt idx="4016">
                  <c:v>0.23960000000000001</c:v>
                </c:pt>
                <c:pt idx="4017">
                  <c:v>0.1142</c:v>
                </c:pt>
                <c:pt idx="4018">
                  <c:v>0.94920000000000004</c:v>
                </c:pt>
                <c:pt idx="4019">
                  <c:v>0.94920000000000004</c:v>
                </c:pt>
                <c:pt idx="4020">
                  <c:v>9.0200000000000002E-2</c:v>
                </c:pt>
                <c:pt idx="4021">
                  <c:v>0.1116</c:v>
                </c:pt>
                <c:pt idx="4022">
                  <c:v>0.64019999999999999</c:v>
                </c:pt>
                <c:pt idx="4023">
                  <c:v>0.73760000000000003</c:v>
                </c:pt>
                <c:pt idx="4024">
                  <c:v>0.10920000000000001</c:v>
                </c:pt>
                <c:pt idx="4025">
                  <c:v>0.36280000000000001</c:v>
                </c:pt>
                <c:pt idx="4026">
                  <c:v>0.62860000000000005</c:v>
                </c:pt>
                <c:pt idx="4027">
                  <c:v>0.83340000000000003</c:v>
                </c:pt>
                <c:pt idx="4028">
                  <c:v>0.78639999999999999</c:v>
                </c:pt>
                <c:pt idx="4029">
                  <c:v>0.94920000000000004</c:v>
                </c:pt>
                <c:pt idx="4030">
                  <c:v>0.32119999999999999</c:v>
                </c:pt>
                <c:pt idx="4031">
                  <c:v>0.73260000000000003</c:v>
                </c:pt>
                <c:pt idx="4032">
                  <c:v>0.13719999999999999</c:v>
                </c:pt>
                <c:pt idx="4033">
                  <c:v>0.4592</c:v>
                </c:pt>
                <c:pt idx="4034">
                  <c:v>0.10059999999999999</c:v>
                </c:pt>
                <c:pt idx="4035">
                  <c:v>0.43480000000000002</c:v>
                </c:pt>
                <c:pt idx="4036">
                  <c:v>7.7399999999999997E-2</c:v>
                </c:pt>
                <c:pt idx="4037">
                  <c:v>0.1026</c:v>
                </c:pt>
                <c:pt idx="4038">
                  <c:v>0.94920000000000004</c:v>
                </c:pt>
                <c:pt idx="4039">
                  <c:v>0.19040000000000001</c:v>
                </c:pt>
                <c:pt idx="4040">
                  <c:v>0.151</c:v>
                </c:pt>
                <c:pt idx="4041">
                  <c:v>0.26019999999999999</c:v>
                </c:pt>
                <c:pt idx="4042">
                  <c:v>0.10580000000000001</c:v>
                </c:pt>
                <c:pt idx="4043">
                  <c:v>0.78839999999999999</c:v>
                </c:pt>
                <c:pt idx="4044">
                  <c:v>0.20219999999999999</c:v>
                </c:pt>
                <c:pt idx="4045">
                  <c:v>0.75460000000000005</c:v>
                </c:pt>
                <c:pt idx="4046">
                  <c:v>0.31440000000000001</c:v>
                </c:pt>
                <c:pt idx="4047">
                  <c:v>0.1008</c:v>
                </c:pt>
                <c:pt idx="4048">
                  <c:v>0.1426</c:v>
                </c:pt>
                <c:pt idx="4049">
                  <c:v>0.30680000000000002</c:v>
                </c:pt>
                <c:pt idx="4050">
                  <c:v>0.94920000000000004</c:v>
                </c:pt>
                <c:pt idx="4051">
                  <c:v>0.53080000000000005</c:v>
                </c:pt>
                <c:pt idx="4052">
                  <c:v>0.94920000000000004</c:v>
                </c:pt>
                <c:pt idx="4053">
                  <c:v>0.94920000000000004</c:v>
                </c:pt>
                <c:pt idx="4054">
                  <c:v>0.41880000000000001</c:v>
                </c:pt>
                <c:pt idx="4055">
                  <c:v>8.8800000000000004E-2</c:v>
                </c:pt>
                <c:pt idx="4056">
                  <c:v>0.8216</c:v>
                </c:pt>
                <c:pt idx="4057">
                  <c:v>0.44440000000000002</c:v>
                </c:pt>
                <c:pt idx="4058">
                  <c:v>7.8600000000000003E-2</c:v>
                </c:pt>
                <c:pt idx="4059">
                  <c:v>0.4264</c:v>
                </c:pt>
                <c:pt idx="4060">
                  <c:v>0.52400000000000002</c:v>
                </c:pt>
                <c:pt idx="4061">
                  <c:v>0.47820000000000001</c:v>
                </c:pt>
                <c:pt idx="4062">
                  <c:v>0.59299999999999997</c:v>
                </c:pt>
                <c:pt idx="4063">
                  <c:v>0.78180000000000005</c:v>
                </c:pt>
                <c:pt idx="4064">
                  <c:v>0.76480000000000004</c:v>
                </c:pt>
                <c:pt idx="4065">
                  <c:v>0.88980000000000004</c:v>
                </c:pt>
                <c:pt idx="4066">
                  <c:v>0.1072</c:v>
                </c:pt>
                <c:pt idx="4067">
                  <c:v>0.94920000000000004</c:v>
                </c:pt>
                <c:pt idx="4068">
                  <c:v>8.1199999999999994E-2</c:v>
                </c:pt>
                <c:pt idx="4069">
                  <c:v>0.64780000000000004</c:v>
                </c:pt>
                <c:pt idx="4070">
                  <c:v>0.73740000000000006</c:v>
                </c:pt>
                <c:pt idx="4071">
                  <c:v>0.74680000000000002</c:v>
                </c:pt>
                <c:pt idx="4072">
                  <c:v>9.9000000000000005E-2</c:v>
                </c:pt>
                <c:pt idx="4073">
                  <c:v>0.59079999999999999</c:v>
                </c:pt>
                <c:pt idx="4074">
                  <c:v>0.25119999999999998</c:v>
                </c:pt>
                <c:pt idx="4075">
                  <c:v>0.57040000000000002</c:v>
                </c:pt>
                <c:pt idx="4076">
                  <c:v>0.75680000000000003</c:v>
                </c:pt>
                <c:pt idx="4077">
                  <c:v>0.45960000000000001</c:v>
                </c:pt>
                <c:pt idx="4078">
                  <c:v>0.1842</c:v>
                </c:pt>
                <c:pt idx="4079">
                  <c:v>0.8468</c:v>
                </c:pt>
                <c:pt idx="4080">
                  <c:v>0.28499999999999998</c:v>
                </c:pt>
                <c:pt idx="4081">
                  <c:v>0.77380000000000004</c:v>
                </c:pt>
                <c:pt idx="4082">
                  <c:v>0.8518</c:v>
                </c:pt>
                <c:pt idx="4083">
                  <c:v>0.94920000000000004</c:v>
                </c:pt>
                <c:pt idx="4084">
                  <c:v>0.15939999999999999</c:v>
                </c:pt>
                <c:pt idx="4085">
                  <c:v>0.45479999999999998</c:v>
                </c:pt>
                <c:pt idx="4086">
                  <c:v>0.43080000000000002</c:v>
                </c:pt>
                <c:pt idx="4087">
                  <c:v>0.68779999999999997</c:v>
                </c:pt>
                <c:pt idx="4088">
                  <c:v>0.85060000000000002</c:v>
                </c:pt>
                <c:pt idx="4089">
                  <c:v>0.94920000000000004</c:v>
                </c:pt>
                <c:pt idx="4090">
                  <c:v>0.11600000000000001</c:v>
                </c:pt>
                <c:pt idx="4091">
                  <c:v>8.6999999999999994E-2</c:v>
                </c:pt>
                <c:pt idx="4092">
                  <c:v>0.94920000000000004</c:v>
                </c:pt>
                <c:pt idx="4093">
                  <c:v>0.94920000000000004</c:v>
                </c:pt>
                <c:pt idx="4094">
                  <c:v>0.51259999999999994</c:v>
                </c:pt>
                <c:pt idx="4095">
                  <c:v>0.94920000000000004</c:v>
                </c:pt>
                <c:pt idx="4096">
                  <c:v>0.94920000000000004</c:v>
                </c:pt>
                <c:pt idx="4097">
                  <c:v>0.22739999999999999</c:v>
                </c:pt>
                <c:pt idx="4098">
                  <c:v>0.1522</c:v>
                </c:pt>
                <c:pt idx="4099">
                  <c:v>0.94920000000000004</c:v>
                </c:pt>
                <c:pt idx="4100">
                  <c:v>8.5800000000000001E-2</c:v>
                </c:pt>
                <c:pt idx="4101">
                  <c:v>0.94920000000000004</c:v>
                </c:pt>
                <c:pt idx="4102">
                  <c:v>0.78680000000000005</c:v>
                </c:pt>
                <c:pt idx="4103">
                  <c:v>0.94920000000000004</c:v>
                </c:pt>
                <c:pt idx="4104">
                  <c:v>0.23319999999999999</c:v>
                </c:pt>
                <c:pt idx="4105">
                  <c:v>0.46579999999999999</c:v>
                </c:pt>
                <c:pt idx="4106">
                  <c:v>0.157</c:v>
                </c:pt>
                <c:pt idx="4107">
                  <c:v>0.90800000000000003</c:v>
                </c:pt>
                <c:pt idx="4108">
                  <c:v>0.92959999999999998</c:v>
                </c:pt>
                <c:pt idx="4109">
                  <c:v>0.13300000000000001</c:v>
                </c:pt>
                <c:pt idx="4110">
                  <c:v>0.2122</c:v>
                </c:pt>
                <c:pt idx="4111">
                  <c:v>0.80640000000000001</c:v>
                </c:pt>
                <c:pt idx="4112">
                  <c:v>0.24579999999999999</c:v>
                </c:pt>
                <c:pt idx="4113">
                  <c:v>0.26979999999999998</c:v>
                </c:pt>
                <c:pt idx="4114">
                  <c:v>0.94920000000000004</c:v>
                </c:pt>
                <c:pt idx="4115">
                  <c:v>0.54559999999999997</c:v>
                </c:pt>
                <c:pt idx="4116">
                  <c:v>0.1046</c:v>
                </c:pt>
                <c:pt idx="4117">
                  <c:v>0.76900000000000002</c:v>
                </c:pt>
                <c:pt idx="4118">
                  <c:v>0.19040000000000001</c:v>
                </c:pt>
                <c:pt idx="4119">
                  <c:v>0.77800000000000002</c:v>
                </c:pt>
                <c:pt idx="4120">
                  <c:v>0.48480000000000001</c:v>
                </c:pt>
                <c:pt idx="4121">
                  <c:v>0.8014</c:v>
                </c:pt>
                <c:pt idx="4122">
                  <c:v>0.9234</c:v>
                </c:pt>
                <c:pt idx="4123">
                  <c:v>0.189</c:v>
                </c:pt>
                <c:pt idx="4124">
                  <c:v>0.15479999999999999</c:v>
                </c:pt>
                <c:pt idx="4125">
                  <c:v>9.8000000000000004E-2</c:v>
                </c:pt>
                <c:pt idx="4126">
                  <c:v>0.35260000000000002</c:v>
                </c:pt>
                <c:pt idx="4127">
                  <c:v>9.2200000000000004E-2</c:v>
                </c:pt>
                <c:pt idx="4128">
                  <c:v>0.15640000000000001</c:v>
                </c:pt>
                <c:pt idx="4129">
                  <c:v>0.3508</c:v>
                </c:pt>
                <c:pt idx="4130">
                  <c:v>8.1000000000000003E-2</c:v>
                </c:pt>
                <c:pt idx="4131">
                  <c:v>0.29780000000000001</c:v>
                </c:pt>
                <c:pt idx="4132">
                  <c:v>0.94920000000000004</c:v>
                </c:pt>
                <c:pt idx="4133">
                  <c:v>0.54579999999999995</c:v>
                </c:pt>
                <c:pt idx="4134">
                  <c:v>0.27039999999999997</c:v>
                </c:pt>
                <c:pt idx="4135">
                  <c:v>0.79979999999999996</c:v>
                </c:pt>
                <c:pt idx="4136">
                  <c:v>0.94920000000000004</c:v>
                </c:pt>
                <c:pt idx="4137">
                  <c:v>0.94920000000000004</c:v>
                </c:pt>
                <c:pt idx="4138">
                  <c:v>0.73580000000000001</c:v>
                </c:pt>
                <c:pt idx="4139">
                  <c:v>0.90939999999999999</c:v>
                </c:pt>
                <c:pt idx="4140">
                  <c:v>0.153</c:v>
                </c:pt>
                <c:pt idx="4141">
                  <c:v>0.52439999999999998</c:v>
                </c:pt>
                <c:pt idx="4142">
                  <c:v>0.18160000000000001</c:v>
                </c:pt>
                <c:pt idx="4143">
                  <c:v>0.81240000000000001</c:v>
                </c:pt>
                <c:pt idx="4144">
                  <c:v>0.35859999999999997</c:v>
                </c:pt>
                <c:pt idx="4145">
                  <c:v>0.9042</c:v>
                </c:pt>
                <c:pt idx="4146">
                  <c:v>0.6048</c:v>
                </c:pt>
                <c:pt idx="4147">
                  <c:v>0.1002</c:v>
                </c:pt>
                <c:pt idx="4148">
                  <c:v>0.1014</c:v>
                </c:pt>
                <c:pt idx="4149">
                  <c:v>0.55220000000000002</c:v>
                </c:pt>
                <c:pt idx="4150">
                  <c:v>0.94920000000000004</c:v>
                </c:pt>
                <c:pt idx="4151">
                  <c:v>0.22500000000000001</c:v>
                </c:pt>
                <c:pt idx="4152">
                  <c:v>0.33939999999999998</c:v>
                </c:pt>
                <c:pt idx="4153">
                  <c:v>0.40379999999999999</c:v>
                </c:pt>
                <c:pt idx="4154">
                  <c:v>0.2082</c:v>
                </c:pt>
                <c:pt idx="4155">
                  <c:v>7.3599999999999999E-2</c:v>
                </c:pt>
                <c:pt idx="4156">
                  <c:v>0.94920000000000004</c:v>
                </c:pt>
                <c:pt idx="4157">
                  <c:v>0.12180000000000001</c:v>
                </c:pt>
                <c:pt idx="4158">
                  <c:v>0.42399999999999999</c:v>
                </c:pt>
                <c:pt idx="4159">
                  <c:v>0.94920000000000004</c:v>
                </c:pt>
                <c:pt idx="4160">
                  <c:v>0.75460000000000005</c:v>
                </c:pt>
                <c:pt idx="4161">
                  <c:v>0.75980000000000003</c:v>
                </c:pt>
                <c:pt idx="4162">
                  <c:v>0.55700000000000005</c:v>
                </c:pt>
                <c:pt idx="4163">
                  <c:v>0.51939999999999997</c:v>
                </c:pt>
                <c:pt idx="4164">
                  <c:v>0.74939999999999996</c:v>
                </c:pt>
                <c:pt idx="4165">
                  <c:v>0.42699999999999999</c:v>
                </c:pt>
                <c:pt idx="4166">
                  <c:v>0.28460000000000002</c:v>
                </c:pt>
                <c:pt idx="4167">
                  <c:v>0.74360000000000004</c:v>
                </c:pt>
                <c:pt idx="4168">
                  <c:v>0.73699999999999999</c:v>
                </c:pt>
                <c:pt idx="4169">
                  <c:v>0.86919999999999997</c:v>
                </c:pt>
                <c:pt idx="4170">
                  <c:v>0.62280000000000002</c:v>
                </c:pt>
                <c:pt idx="4171">
                  <c:v>0.80159999999999998</c:v>
                </c:pt>
                <c:pt idx="4172">
                  <c:v>0.1444</c:v>
                </c:pt>
                <c:pt idx="4173">
                  <c:v>0.27060000000000001</c:v>
                </c:pt>
                <c:pt idx="4174">
                  <c:v>0.56979999999999997</c:v>
                </c:pt>
                <c:pt idx="4175">
                  <c:v>0.79120000000000001</c:v>
                </c:pt>
                <c:pt idx="4176">
                  <c:v>7.5600000000000001E-2</c:v>
                </c:pt>
                <c:pt idx="4177">
                  <c:v>0.94920000000000004</c:v>
                </c:pt>
                <c:pt idx="4178">
                  <c:v>0.92559999999999998</c:v>
                </c:pt>
                <c:pt idx="4179">
                  <c:v>0.1028</c:v>
                </c:pt>
                <c:pt idx="4180">
                  <c:v>0.53320000000000001</c:v>
                </c:pt>
                <c:pt idx="4181">
                  <c:v>9.9400000000000002E-2</c:v>
                </c:pt>
                <c:pt idx="4182">
                  <c:v>0.88539999999999996</c:v>
                </c:pt>
                <c:pt idx="4183">
                  <c:v>8.14E-2</c:v>
                </c:pt>
                <c:pt idx="4184">
                  <c:v>0.23300000000000001</c:v>
                </c:pt>
                <c:pt idx="4185">
                  <c:v>7.8200000000000006E-2</c:v>
                </c:pt>
                <c:pt idx="4186">
                  <c:v>0.43640000000000001</c:v>
                </c:pt>
                <c:pt idx="4187">
                  <c:v>0.94920000000000004</c:v>
                </c:pt>
                <c:pt idx="4188">
                  <c:v>0.16420000000000001</c:v>
                </c:pt>
                <c:pt idx="4189">
                  <c:v>0.747</c:v>
                </c:pt>
                <c:pt idx="4190">
                  <c:v>0.11260000000000001</c:v>
                </c:pt>
                <c:pt idx="4191">
                  <c:v>0.94920000000000004</c:v>
                </c:pt>
                <c:pt idx="4192">
                  <c:v>0.31919999999999998</c:v>
                </c:pt>
                <c:pt idx="4193">
                  <c:v>0.94920000000000004</c:v>
                </c:pt>
                <c:pt idx="4194">
                  <c:v>0.73260000000000003</c:v>
                </c:pt>
                <c:pt idx="4195">
                  <c:v>0.94920000000000004</c:v>
                </c:pt>
                <c:pt idx="4196">
                  <c:v>0.73960000000000004</c:v>
                </c:pt>
                <c:pt idx="4197">
                  <c:v>0.10639999999999999</c:v>
                </c:pt>
                <c:pt idx="4198">
                  <c:v>0.60240000000000005</c:v>
                </c:pt>
                <c:pt idx="4199">
                  <c:v>0.51200000000000001</c:v>
                </c:pt>
                <c:pt idx="4200">
                  <c:v>0.74860000000000004</c:v>
                </c:pt>
                <c:pt idx="4201">
                  <c:v>0.50939999999999996</c:v>
                </c:pt>
                <c:pt idx="4202">
                  <c:v>0.87580000000000002</c:v>
                </c:pt>
                <c:pt idx="4203">
                  <c:v>0.45240000000000002</c:v>
                </c:pt>
                <c:pt idx="4204">
                  <c:v>8.4199999999999997E-2</c:v>
                </c:pt>
                <c:pt idx="4205">
                  <c:v>0.46279999999999999</c:v>
                </c:pt>
                <c:pt idx="4206">
                  <c:v>0.45540000000000003</c:v>
                </c:pt>
                <c:pt idx="4207">
                  <c:v>0.3992</c:v>
                </c:pt>
                <c:pt idx="4208">
                  <c:v>0.78039999999999998</c:v>
                </c:pt>
                <c:pt idx="4209">
                  <c:v>0.12839999999999999</c:v>
                </c:pt>
                <c:pt idx="4210">
                  <c:v>0.77359999999999995</c:v>
                </c:pt>
                <c:pt idx="4211">
                  <c:v>0.10979999999999999</c:v>
                </c:pt>
                <c:pt idx="4212">
                  <c:v>0.1414</c:v>
                </c:pt>
                <c:pt idx="4213">
                  <c:v>9.1800000000000007E-2</c:v>
                </c:pt>
                <c:pt idx="4214">
                  <c:v>0.67679999999999996</c:v>
                </c:pt>
                <c:pt idx="4215">
                  <c:v>0.51700000000000002</c:v>
                </c:pt>
                <c:pt idx="4216">
                  <c:v>0.15079999999999999</c:v>
                </c:pt>
                <c:pt idx="4217">
                  <c:v>0.1168</c:v>
                </c:pt>
                <c:pt idx="4218">
                  <c:v>0.247</c:v>
                </c:pt>
                <c:pt idx="4219">
                  <c:v>0.1226</c:v>
                </c:pt>
                <c:pt idx="4220">
                  <c:v>0.1188</c:v>
                </c:pt>
                <c:pt idx="4221">
                  <c:v>0.1076</c:v>
                </c:pt>
                <c:pt idx="4222">
                  <c:v>0.26740000000000003</c:v>
                </c:pt>
                <c:pt idx="4223">
                  <c:v>7.9200000000000007E-2</c:v>
                </c:pt>
                <c:pt idx="4224">
                  <c:v>0.40620000000000001</c:v>
                </c:pt>
                <c:pt idx="4225">
                  <c:v>0.10340000000000001</c:v>
                </c:pt>
                <c:pt idx="4226">
                  <c:v>0.83520000000000005</c:v>
                </c:pt>
                <c:pt idx="4227">
                  <c:v>0.52100000000000002</c:v>
                </c:pt>
                <c:pt idx="4228">
                  <c:v>8.48E-2</c:v>
                </c:pt>
                <c:pt idx="4229">
                  <c:v>0.44819999999999999</c:v>
                </c:pt>
                <c:pt idx="4230">
                  <c:v>0.94920000000000004</c:v>
                </c:pt>
                <c:pt idx="4231">
                  <c:v>0.77400000000000002</c:v>
                </c:pt>
                <c:pt idx="4232">
                  <c:v>0.5806</c:v>
                </c:pt>
                <c:pt idx="4233">
                  <c:v>0.10539999999999999</c:v>
                </c:pt>
                <c:pt idx="4234">
                  <c:v>0.4824</c:v>
                </c:pt>
                <c:pt idx="4235">
                  <c:v>0.94920000000000004</c:v>
                </c:pt>
                <c:pt idx="4236">
                  <c:v>0.1004</c:v>
                </c:pt>
                <c:pt idx="4237">
                  <c:v>0.2462</c:v>
                </c:pt>
                <c:pt idx="4238">
                  <c:v>0.17180000000000001</c:v>
                </c:pt>
                <c:pt idx="4239">
                  <c:v>0.94920000000000004</c:v>
                </c:pt>
                <c:pt idx="4240">
                  <c:v>8.7800000000000003E-2</c:v>
                </c:pt>
                <c:pt idx="4241">
                  <c:v>0.74739999999999995</c:v>
                </c:pt>
                <c:pt idx="4242">
                  <c:v>0.94920000000000004</c:v>
                </c:pt>
                <c:pt idx="4243">
                  <c:v>0.45240000000000002</c:v>
                </c:pt>
                <c:pt idx="4244">
                  <c:v>0.46839999999999998</c:v>
                </c:pt>
                <c:pt idx="4245">
                  <c:v>0.12859999999999999</c:v>
                </c:pt>
                <c:pt idx="4246">
                  <c:v>0.94920000000000004</c:v>
                </c:pt>
                <c:pt idx="4247">
                  <c:v>8.2000000000000003E-2</c:v>
                </c:pt>
                <c:pt idx="4248">
                  <c:v>0.51780000000000004</c:v>
                </c:pt>
                <c:pt idx="4249">
                  <c:v>0.8024</c:v>
                </c:pt>
                <c:pt idx="4250">
                  <c:v>0.87980000000000003</c:v>
                </c:pt>
                <c:pt idx="4251">
                  <c:v>0.40360000000000001</c:v>
                </c:pt>
                <c:pt idx="4252">
                  <c:v>0.1172</c:v>
                </c:pt>
                <c:pt idx="4253">
                  <c:v>0.94920000000000004</c:v>
                </c:pt>
                <c:pt idx="4254">
                  <c:v>0.94920000000000004</c:v>
                </c:pt>
                <c:pt idx="4255">
                  <c:v>0.4158</c:v>
                </c:pt>
                <c:pt idx="4256">
                  <c:v>0.45739999999999997</c:v>
                </c:pt>
                <c:pt idx="4257">
                  <c:v>0.105</c:v>
                </c:pt>
                <c:pt idx="4258">
                  <c:v>0.11360000000000001</c:v>
                </c:pt>
                <c:pt idx="4259">
                  <c:v>0.76739999999999997</c:v>
                </c:pt>
                <c:pt idx="4260">
                  <c:v>0.15840000000000001</c:v>
                </c:pt>
                <c:pt idx="4261">
                  <c:v>0.19120000000000001</c:v>
                </c:pt>
                <c:pt idx="4262">
                  <c:v>7.8799999999999995E-2</c:v>
                </c:pt>
                <c:pt idx="4263">
                  <c:v>0.82499999999999996</c:v>
                </c:pt>
                <c:pt idx="4264">
                  <c:v>0.90280000000000005</c:v>
                </c:pt>
                <c:pt idx="4265">
                  <c:v>0.5454</c:v>
                </c:pt>
                <c:pt idx="4266">
                  <c:v>0.94920000000000004</c:v>
                </c:pt>
                <c:pt idx="4267">
                  <c:v>0.71699999999999997</c:v>
                </c:pt>
                <c:pt idx="4268">
                  <c:v>8.4599999999999995E-2</c:v>
                </c:pt>
                <c:pt idx="4269">
                  <c:v>0.1048</c:v>
                </c:pt>
                <c:pt idx="4270">
                  <c:v>0.44719999999999999</c:v>
                </c:pt>
                <c:pt idx="4271">
                  <c:v>0.66959999999999997</c:v>
                </c:pt>
                <c:pt idx="4272">
                  <c:v>0.37</c:v>
                </c:pt>
                <c:pt idx="4273">
                  <c:v>0.73580000000000001</c:v>
                </c:pt>
                <c:pt idx="4274">
                  <c:v>0.88280000000000003</c:v>
                </c:pt>
                <c:pt idx="4275">
                  <c:v>0.9446</c:v>
                </c:pt>
                <c:pt idx="4276">
                  <c:v>0.4284</c:v>
                </c:pt>
                <c:pt idx="4277">
                  <c:v>9.8799999999999999E-2</c:v>
                </c:pt>
                <c:pt idx="4278">
                  <c:v>0.34720000000000001</c:v>
                </c:pt>
                <c:pt idx="4279">
                  <c:v>0.31440000000000001</c:v>
                </c:pt>
                <c:pt idx="4280">
                  <c:v>0.16739999999999999</c:v>
                </c:pt>
                <c:pt idx="4281">
                  <c:v>0.94920000000000004</c:v>
                </c:pt>
                <c:pt idx="4282">
                  <c:v>0.94920000000000004</c:v>
                </c:pt>
                <c:pt idx="4283">
                  <c:v>0.68020000000000003</c:v>
                </c:pt>
                <c:pt idx="4284">
                  <c:v>7.5399999999999995E-2</c:v>
                </c:pt>
                <c:pt idx="4285">
                  <c:v>0.15279999999999999</c:v>
                </c:pt>
                <c:pt idx="4286">
                  <c:v>0.93</c:v>
                </c:pt>
                <c:pt idx="4287">
                  <c:v>0.10199999999999999</c:v>
                </c:pt>
                <c:pt idx="4288">
                  <c:v>0.53500000000000003</c:v>
                </c:pt>
                <c:pt idx="4289">
                  <c:v>0.67100000000000004</c:v>
                </c:pt>
                <c:pt idx="4290">
                  <c:v>0.94920000000000004</c:v>
                </c:pt>
                <c:pt idx="4291">
                  <c:v>0.46899999999999997</c:v>
                </c:pt>
                <c:pt idx="4292">
                  <c:v>0.94920000000000004</c:v>
                </c:pt>
                <c:pt idx="4293">
                  <c:v>0.14080000000000001</c:v>
                </c:pt>
                <c:pt idx="4294">
                  <c:v>0.94920000000000004</c:v>
                </c:pt>
                <c:pt idx="4295">
                  <c:v>8.2600000000000007E-2</c:v>
                </c:pt>
                <c:pt idx="4296">
                  <c:v>0.90100000000000002</c:v>
                </c:pt>
                <c:pt idx="4297">
                  <c:v>0.94920000000000004</c:v>
                </c:pt>
                <c:pt idx="4298">
                  <c:v>0.32940000000000003</c:v>
                </c:pt>
                <c:pt idx="4299">
                  <c:v>0.53959999999999997</c:v>
                </c:pt>
                <c:pt idx="4300">
                  <c:v>0.78520000000000001</c:v>
                </c:pt>
                <c:pt idx="4301">
                  <c:v>0.69340000000000002</c:v>
                </c:pt>
                <c:pt idx="4302">
                  <c:v>0.26419999999999999</c:v>
                </c:pt>
                <c:pt idx="4303">
                  <c:v>0.44259999999999999</c:v>
                </c:pt>
                <c:pt idx="4304">
                  <c:v>0.53</c:v>
                </c:pt>
                <c:pt idx="4305">
                  <c:v>0.76500000000000001</c:v>
                </c:pt>
                <c:pt idx="4306">
                  <c:v>0.48899999999999999</c:v>
                </c:pt>
                <c:pt idx="4307">
                  <c:v>0.94920000000000004</c:v>
                </c:pt>
                <c:pt idx="4308">
                  <c:v>0.54659999999999997</c:v>
                </c:pt>
                <c:pt idx="4309">
                  <c:v>0.10440000000000001</c:v>
                </c:pt>
                <c:pt idx="4310">
                  <c:v>0.81620000000000004</c:v>
                </c:pt>
                <c:pt idx="4311">
                  <c:v>0.94920000000000004</c:v>
                </c:pt>
                <c:pt idx="4312">
                  <c:v>9.4799999999999995E-2</c:v>
                </c:pt>
                <c:pt idx="4313">
                  <c:v>0.1</c:v>
                </c:pt>
                <c:pt idx="4314">
                  <c:v>0.87380000000000002</c:v>
                </c:pt>
                <c:pt idx="4315">
                  <c:v>0.33900000000000002</c:v>
                </c:pt>
                <c:pt idx="4316">
                  <c:v>9.6600000000000005E-2</c:v>
                </c:pt>
                <c:pt idx="4317">
                  <c:v>0.27500000000000002</c:v>
                </c:pt>
                <c:pt idx="4318">
                  <c:v>0.41299999999999998</c:v>
                </c:pt>
                <c:pt idx="4319">
                  <c:v>0.94920000000000004</c:v>
                </c:pt>
                <c:pt idx="4320">
                  <c:v>0.71140000000000003</c:v>
                </c:pt>
                <c:pt idx="4321">
                  <c:v>0.64539999999999997</c:v>
                </c:pt>
                <c:pt idx="4322">
                  <c:v>0.94920000000000004</c:v>
                </c:pt>
                <c:pt idx="4323">
                  <c:v>0.31440000000000001</c:v>
                </c:pt>
                <c:pt idx="4324">
                  <c:v>0.4194</c:v>
                </c:pt>
                <c:pt idx="4325">
                  <c:v>0.79759999999999998</c:v>
                </c:pt>
                <c:pt idx="4326">
                  <c:v>0.46079999999999999</c:v>
                </c:pt>
                <c:pt idx="4327">
                  <c:v>0.94920000000000004</c:v>
                </c:pt>
                <c:pt idx="4328">
                  <c:v>0.17199999999999999</c:v>
                </c:pt>
                <c:pt idx="4329">
                  <c:v>0.44640000000000002</c:v>
                </c:pt>
                <c:pt idx="4330">
                  <c:v>8.2199999999999995E-2</c:v>
                </c:pt>
                <c:pt idx="4331">
                  <c:v>0.88339999999999996</c:v>
                </c:pt>
                <c:pt idx="4332">
                  <c:v>0.61319999999999997</c:v>
                </c:pt>
                <c:pt idx="4333">
                  <c:v>0.43080000000000002</c:v>
                </c:pt>
                <c:pt idx="4334">
                  <c:v>0.77039999999999997</c:v>
                </c:pt>
                <c:pt idx="4335">
                  <c:v>0.1036</c:v>
                </c:pt>
                <c:pt idx="4336">
                  <c:v>8.9599999999999999E-2</c:v>
                </c:pt>
                <c:pt idx="4337">
                  <c:v>8.6400000000000005E-2</c:v>
                </c:pt>
                <c:pt idx="4338">
                  <c:v>0.1164</c:v>
                </c:pt>
                <c:pt idx="4339">
                  <c:v>0.17899999999999999</c:v>
                </c:pt>
                <c:pt idx="4340">
                  <c:v>0.92120000000000002</c:v>
                </c:pt>
                <c:pt idx="4341">
                  <c:v>0.16059999999999999</c:v>
                </c:pt>
                <c:pt idx="4342">
                  <c:v>0.94920000000000004</c:v>
                </c:pt>
                <c:pt idx="4343">
                  <c:v>0.25119999999999998</c:v>
                </c:pt>
                <c:pt idx="4344">
                  <c:v>0.20499999999999999</c:v>
                </c:pt>
                <c:pt idx="4345">
                  <c:v>0.88959999999999995</c:v>
                </c:pt>
                <c:pt idx="4346">
                  <c:v>0.1348</c:v>
                </c:pt>
                <c:pt idx="4347">
                  <c:v>0.43120000000000003</c:v>
                </c:pt>
                <c:pt idx="4348">
                  <c:v>0.2258</c:v>
                </c:pt>
                <c:pt idx="4349">
                  <c:v>0.2296</c:v>
                </c:pt>
                <c:pt idx="4350">
                  <c:v>9.4399999999999998E-2</c:v>
                </c:pt>
                <c:pt idx="4351">
                  <c:v>7.9000000000000001E-2</c:v>
                </c:pt>
                <c:pt idx="4352">
                  <c:v>0.94920000000000004</c:v>
                </c:pt>
                <c:pt idx="4353">
                  <c:v>0.43859999999999999</c:v>
                </c:pt>
                <c:pt idx="4354">
                  <c:v>0.28960000000000002</c:v>
                </c:pt>
                <c:pt idx="4355">
                  <c:v>0.84660000000000002</c:v>
                </c:pt>
                <c:pt idx="4356">
                  <c:v>0.81399999999999995</c:v>
                </c:pt>
                <c:pt idx="4357">
                  <c:v>0.27060000000000001</c:v>
                </c:pt>
                <c:pt idx="4358">
                  <c:v>0.1762</c:v>
                </c:pt>
                <c:pt idx="4359">
                  <c:v>0.54259999999999997</c:v>
                </c:pt>
                <c:pt idx="4360">
                  <c:v>0.78380000000000005</c:v>
                </c:pt>
                <c:pt idx="4361">
                  <c:v>0.76759999999999995</c:v>
                </c:pt>
                <c:pt idx="4362">
                  <c:v>0.109</c:v>
                </c:pt>
                <c:pt idx="4363">
                  <c:v>9.4399999999999998E-2</c:v>
                </c:pt>
                <c:pt idx="4364">
                  <c:v>0.41320000000000001</c:v>
                </c:pt>
                <c:pt idx="4365">
                  <c:v>0.94920000000000004</c:v>
                </c:pt>
                <c:pt idx="4366">
                  <c:v>0.53259999999999996</c:v>
                </c:pt>
                <c:pt idx="4367">
                  <c:v>0.22559999999999999</c:v>
                </c:pt>
                <c:pt idx="4368">
                  <c:v>9.8400000000000001E-2</c:v>
                </c:pt>
                <c:pt idx="4369">
                  <c:v>0.25879999999999997</c:v>
                </c:pt>
                <c:pt idx="4370">
                  <c:v>0.80640000000000001</c:v>
                </c:pt>
                <c:pt idx="4371">
                  <c:v>0.45979999999999999</c:v>
                </c:pt>
                <c:pt idx="4372">
                  <c:v>0.15659999999999999</c:v>
                </c:pt>
                <c:pt idx="4373">
                  <c:v>0.18920000000000001</c:v>
                </c:pt>
                <c:pt idx="4374">
                  <c:v>0.40899999999999997</c:v>
                </c:pt>
                <c:pt idx="4375">
                  <c:v>0.14380000000000001</c:v>
                </c:pt>
                <c:pt idx="4376">
                  <c:v>0.94920000000000004</c:v>
                </c:pt>
                <c:pt idx="4377">
                  <c:v>0.38919999999999999</c:v>
                </c:pt>
                <c:pt idx="4378">
                  <c:v>0.94920000000000004</c:v>
                </c:pt>
                <c:pt idx="4379">
                  <c:v>0.74119999999999997</c:v>
                </c:pt>
                <c:pt idx="4380">
                  <c:v>0.74539999999999995</c:v>
                </c:pt>
                <c:pt idx="4381">
                  <c:v>0.19520000000000001</c:v>
                </c:pt>
                <c:pt idx="4382">
                  <c:v>0.94920000000000004</c:v>
                </c:pt>
                <c:pt idx="4383">
                  <c:v>0.56520000000000004</c:v>
                </c:pt>
                <c:pt idx="4384">
                  <c:v>0.42859999999999998</c:v>
                </c:pt>
                <c:pt idx="4385">
                  <c:v>0.94920000000000004</c:v>
                </c:pt>
                <c:pt idx="4386">
                  <c:v>0.94920000000000004</c:v>
                </c:pt>
                <c:pt idx="4387">
                  <c:v>0.15579999999999999</c:v>
                </c:pt>
                <c:pt idx="4388">
                  <c:v>0.56079999999999997</c:v>
                </c:pt>
                <c:pt idx="4389">
                  <c:v>0.1608</c:v>
                </c:pt>
                <c:pt idx="4390">
                  <c:v>0.41339999999999999</c:v>
                </c:pt>
                <c:pt idx="4391">
                  <c:v>0.94920000000000004</c:v>
                </c:pt>
                <c:pt idx="4392">
                  <c:v>0.94920000000000004</c:v>
                </c:pt>
                <c:pt idx="4393">
                  <c:v>0.76939999999999997</c:v>
                </c:pt>
                <c:pt idx="4394">
                  <c:v>0.1116</c:v>
                </c:pt>
                <c:pt idx="4395">
                  <c:v>0.33700000000000002</c:v>
                </c:pt>
                <c:pt idx="4396">
                  <c:v>0.26419999999999999</c:v>
                </c:pt>
                <c:pt idx="4397">
                  <c:v>0.15920000000000001</c:v>
                </c:pt>
                <c:pt idx="4398">
                  <c:v>0.876</c:v>
                </c:pt>
                <c:pt idx="4399">
                  <c:v>0.26640000000000003</c:v>
                </c:pt>
                <c:pt idx="4400">
                  <c:v>0.79920000000000002</c:v>
                </c:pt>
                <c:pt idx="4401">
                  <c:v>0.61739999999999995</c:v>
                </c:pt>
                <c:pt idx="4402">
                  <c:v>0.1096</c:v>
                </c:pt>
                <c:pt idx="4403">
                  <c:v>0.37240000000000001</c:v>
                </c:pt>
                <c:pt idx="4404">
                  <c:v>0.94920000000000004</c:v>
                </c:pt>
                <c:pt idx="4405">
                  <c:v>0.23319999999999999</c:v>
                </c:pt>
                <c:pt idx="4406">
                  <c:v>0.108</c:v>
                </c:pt>
                <c:pt idx="4407">
                  <c:v>0.49880000000000002</c:v>
                </c:pt>
                <c:pt idx="4408">
                  <c:v>0.15840000000000001</c:v>
                </c:pt>
                <c:pt idx="4409">
                  <c:v>0.1268</c:v>
                </c:pt>
                <c:pt idx="4410">
                  <c:v>0.11020000000000001</c:v>
                </c:pt>
                <c:pt idx="4411">
                  <c:v>0.94920000000000004</c:v>
                </c:pt>
                <c:pt idx="4412">
                  <c:v>9.6799999999999997E-2</c:v>
                </c:pt>
                <c:pt idx="4413">
                  <c:v>0.89200000000000002</c:v>
                </c:pt>
                <c:pt idx="4414">
                  <c:v>0.2218</c:v>
                </c:pt>
                <c:pt idx="4415">
                  <c:v>0.79659999999999997</c:v>
                </c:pt>
                <c:pt idx="4416">
                  <c:v>0.749</c:v>
                </c:pt>
                <c:pt idx="4417">
                  <c:v>0.60499999999999998</c:v>
                </c:pt>
                <c:pt idx="4418">
                  <c:v>0.76639999999999997</c:v>
                </c:pt>
                <c:pt idx="4419">
                  <c:v>9.6799999999999997E-2</c:v>
                </c:pt>
                <c:pt idx="4420">
                  <c:v>9.1999999999999998E-2</c:v>
                </c:pt>
                <c:pt idx="4421">
                  <c:v>0.36820000000000003</c:v>
                </c:pt>
                <c:pt idx="4422">
                  <c:v>0.4204</c:v>
                </c:pt>
                <c:pt idx="4423">
                  <c:v>0.94920000000000004</c:v>
                </c:pt>
                <c:pt idx="4424">
                  <c:v>0.49619999999999997</c:v>
                </c:pt>
                <c:pt idx="4425">
                  <c:v>9.3200000000000005E-2</c:v>
                </c:pt>
                <c:pt idx="4426">
                  <c:v>0.47899999999999998</c:v>
                </c:pt>
                <c:pt idx="4427">
                  <c:v>0.70579999999999998</c:v>
                </c:pt>
                <c:pt idx="4428">
                  <c:v>0.76839999999999997</c:v>
                </c:pt>
                <c:pt idx="4429">
                  <c:v>0.54459999999999997</c:v>
                </c:pt>
                <c:pt idx="4430">
                  <c:v>0.1012</c:v>
                </c:pt>
                <c:pt idx="4431">
                  <c:v>0.1016</c:v>
                </c:pt>
                <c:pt idx="4432">
                  <c:v>0.1482</c:v>
                </c:pt>
                <c:pt idx="4433">
                  <c:v>0.113</c:v>
                </c:pt>
                <c:pt idx="4434">
                  <c:v>0.94920000000000004</c:v>
                </c:pt>
                <c:pt idx="4435">
                  <c:v>0.1888</c:v>
                </c:pt>
                <c:pt idx="4436">
                  <c:v>0.33900000000000002</c:v>
                </c:pt>
                <c:pt idx="4437">
                  <c:v>0.94920000000000004</c:v>
                </c:pt>
                <c:pt idx="4438">
                  <c:v>0.60640000000000005</c:v>
                </c:pt>
                <c:pt idx="4439">
                  <c:v>0.59760000000000002</c:v>
                </c:pt>
                <c:pt idx="4440">
                  <c:v>0.35659999999999997</c:v>
                </c:pt>
                <c:pt idx="4441">
                  <c:v>0.94920000000000004</c:v>
                </c:pt>
                <c:pt idx="4442">
                  <c:v>0.94920000000000004</c:v>
                </c:pt>
                <c:pt idx="4443">
                  <c:v>9.64E-2</c:v>
                </c:pt>
                <c:pt idx="4444">
                  <c:v>0.40260000000000001</c:v>
                </c:pt>
                <c:pt idx="4445">
                  <c:v>0.3044</c:v>
                </c:pt>
                <c:pt idx="4446">
                  <c:v>0.16639999999999999</c:v>
                </c:pt>
                <c:pt idx="4447">
                  <c:v>0.54279999999999995</c:v>
                </c:pt>
                <c:pt idx="4448">
                  <c:v>0.94920000000000004</c:v>
                </c:pt>
                <c:pt idx="4449">
                  <c:v>0.52259999999999995</c:v>
                </c:pt>
                <c:pt idx="4450">
                  <c:v>0.50260000000000005</c:v>
                </c:pt>
                <c:pt idx="4451">
                  <c:v>0.85599999999999998</c:v>
                </c:pt>
                <c:pt idx="4452">
                  <c:v>0.94920000000000004</c:v>
                </c:pt>
                <c:pt idx="4453">
                  <c:v>0.94920000000000004</c:v>
                </c:pt>
                <c:pt idx="4454">
                  <c:v>0.19320000000000001</c:v>
                </c:pt>
                <c:pt idx="4455">
                  <c:v>0.50680000000000003</c:v>
                </c:pt>
                <c:pt idx="4456">
                  <c:v>0.4178</c:v>
                </c:pt>
                <c:pt idx="4457">
                  <c:v>0.88160000000000005</c:v>
                </c:pt>
                <c:pt idx="4458">
                  <c:v>0.22520000000000001</c:v>
                </c:pt>
                <c:pt idx="4459">
                  <c:v>0.79720000000000002</c:v>
                </c:pt>
                <c:pt idx="4460">
                  <c:v>0.7298</c:v>
                </c:pt>
                <c:pt idx="4461">
                  <c:v>0.45200000000000001</c:v>
                </c:pt>
                <c:pt idx="4462">
                  <c:v>0.28939999999999999</c:v>
                </c:pt>
                <c:pt idx="4463">
                  <c:v>0.76900000000000002</c:v>
                </c:pt>
                <c:pt idx="4464">
                  <c:v>0.39860000000000001</c:v>
                </c:pt>
                <c:pt idx="4465">
                  <c:v>0.39340000000000003</c:v>
                </c:pt>
                <c:pt idx="4466">
                  <c:v>0.67200000000000004</c:v>
                </c:pt>
                <c:pt idx="4467">
                  <c:v>0.66400000000000003</c:v>
                </c:pt>
                <c:pt idx="4468">
                  <c:v>9.9599999999999994E-2</c:v>
                </c:pt>
                <c:pt idx="4469">
                  <c:v>0.42659999999999998</c:v>
                </c:pt>
                <c:pt idx="4470">
                  <c:v>0.127</c:v>
                </c:pt>
                <c:pt idx="4471">
                  <c:v>0.58440000000000003</c:v>
                </c:pt>
                <c:pt idx="4472">
                  <c:v>0.5</c:v>
                </c:pt>
                <c:pt idx="4473">
                  <c:v>0.74419999999999997</c:v>
                </c:pt>
                <c:pt idx="4474">
                  <c:v>0.88139999999999996</c:v>
                </c:pt>
                <c:pt idx="4475">
                  <c:v>0.70020000000000004</c:v>
                </c:pt>
                <c:pt idx="4476">
                  <c:v>0.15679999999999999</c:v>
                </c:pt>
                <c:pt idx="4477">
                  <c:v>0.48459999999999998</c:v>
                </c:pt>
                <c:pt idx="4478">
                  <c:v>0.94920000000000004</c:v>
                </c:pt>
                <c:pt idx="4479">
                  <c:v>0.20119999999999999</c:v>
                </c:pt>
                <c:pt idx="4480">
                  <c:v>0.21260000000000001</c:v>
                </c:pt>
                <c:pt idx="4481">
                  <c:v>0.31419999999999998</c:v>
                </c:pt>
                <c:pt idx="4482">
                  <c:v>9.4E-2</c:v>
                </c:pt>
                <c:pt idx="4483">
                  <c:v>0.17799999999999999</c:v>
                </c:pt>
                <c:pt idx="4484">
                  <c:v>0.75380000000000003</c:v>
                </c:pt>
                <c:pt idx="4485">
                  <c:v>0.78420000000000001</c:v>
                </c:pt>
                <c:pt idx="4486">
                  <c:v>8.7400000000000005E-2</c:v>
                </c:pt>
                <c:pt idx="4487">
                  <c:v>0.89019999999999999</c:v>
                </c:pt>
                <c:pt idx="4488">
                  <c:v>0.49619999999999997</c:v>
                </c:pt>
                <c:pt idx="4489">
                  <c:v>0.30740000000000001</c:v>
                </c:pt>
                <c:pt idx="4490">
                  <c:v>9.7799999999999998E-2</c:v>
                </c:pt>
                <c:pt idx="4491">
                  <c:v>0.7954</c:v>
                </c:pt>
                <c:pt idx="4492">
                  <c:v>0.94920000000000004</c:v>
                </c:pt>
                <c:pt idx="4493">
                  <c:v>0.1144</c:v>
                </c:pt>
                <c:pt idx="4494">
                  <c:v>0.92559999999999998</c:v>
                </c:pt>
                <c:pt idx="4495">
                  <c:v>0.74519999999999997</c:v>
                </c:pt>
                <c:pt idx="4496">
                  <c:v>0.10780000000000001</c:v>
                </c:pt>
                <c:pt idx="4497">
                  <c:v>0.68840000000000001</c:v>
                </c:pt>
                <c:pt idx="4498">
                  <c:v>9.4200000000000006E-2</c:v>
                </c:pt>
                <c:pt idx="4499">
                  <c:v>0.16139999999999999</c:v>
                </c:pt>
                <c:pt idx="4500">
                  <c:v>4.9399999999999999E-2</c:v>
                </c:pt>
                <c:pt idx="4501">
                  <c:v>0.10879999999999999</c:v>
                </c:pt>
                <c:pt idx="4502">
                  <c:v>5.6399999999999999E-2</c:v>
                </c:pt>
                <c:pt idx="4503">
                  <c:v>4.0000000000000001E-3</c:v>
                </c:pt>
                <c:pt idx="4504">
                  <c:v>6.9400000000000003E-2</c:v>
                </c:pt>
                <c:pt idx="4505">
                  <c:v>1.9E-2</c:v>
                </c:pt>
                <c:pt idx="4506">
                  <c:v>3.3599999999999998E-2</c:v>
                </c:pt>
                <c:pt idx="4507">
                  <c:v>4.4999999999999998E-2</c:v>
                </c:pt>
                <c:pt idx="4508">
                  <c:v>4.4400000000000002E-2</c:v>
                </c:pt>
                <c:pt idx="4509">
                  <c:v>3.3799999999999997E-2</c:v>
                </c:pt>
                <c:pt idx="4510">
                  <c:v>7.6399999999999996E-2</c:v>
                </c:pt>
                <c:pt idx="4511">
                  <c:v>1.2200000000000001E-2</c:v>
                </c:pt>
                <c:pt idx="4512">
                  <c:v>8.3199999999999996E-2</c:v>
                </c:pt>
                <c:pt idx="4513">
                  <c:v>1.4800000000000001E-2</c:v>
                </c:pt>
                <c:pt idx="4514">
                  <c:v>1.24E-2</c:v>
                </c:pt>
                <c:pt idx="4515">
                  <c:v>2.2800000000000001E-2</c:v>
                </c:pt>
                <c:pt idx="4516">
                  <c:v>6.0000000000000001E-3</c:v>
                </c:pt>
                <c:pt idx="4517">
                  <c:v>8.0799999999999997E-2</c:v>
                </c:pt>
                <c:pt idx="4518">
                  <c:v>7.3400000000000007E-2</c:v>
                </c:pt>
                <c:pt idx="4519">
                  <c:v>5.6000000000000001E-2</c:v>
                </c:pt>
                <c:pt idx="4520">
                  <c:v>4.0599999999999997E-2</c:v>
                </c:pt>
                <c:pt idx="4521">
                  <c:v>4.6399999999999997E-2</c:v>
                </c:pt>
                <c:pt idx="4522">
                  <c:v>0.1042</c:v>
                </c:pt>
                <c:pt idx="4523">
                  <c:v>7.6E-3</c:v>
                </c:pt>
                <c:pt idx="4524">
                  <c:v>6.0199999999999997E-2</c:v>
                </c:pt>
                <c:pt idx="4525">
                  <c:v>6.8400000000000002E-2</c:v>
                </c:pt>
                <c:pt idx="4526">
                  <c:v>0.1032</c:v>
                </c:pt>
                <c:pt idx="4527">
                  <c:v>3.04E-2</c:v>
                </c:pt>
                <c:pt idx="4528">
                  <c:v>8.7999999999999995E-2</c:v>
                </c:pt>
                <c:pt idx="4529">
                  <c:v>1E-3</c:v>
                </c:pt>
                <c:pt idx="4530">
                  <c:v>1.7600000000000001E-2</c:v>
                </c:pt>
                <c:pt idx="4531">
                  <c:v>6.4600000000000005E-2</c:v>
                </c:pt>
                <c:pt idx="4532">
                  <c:v>1.1599999999999999E-2</c:v>
                </c:pt>
                <c:pt idx="4533">
                  <c:v>4.0000000000000002E-4</c:v>
                </c:pt>
                <c:pt idx="4534">
                  <c:v>4.0399999999999998E-2</c:v>
                </c:pt>
                <c:pt idx="4535">
                  <c:v>4.8000000000000001E-2</c:v>
                </c:pt>
                <c:pt idx="4536">
                  <c:v>3.8600000000000002E-2</c:v>
                </c:pt>
                <c:pt idx="4537">
                  <c:v>2.9600000000000001E-2</c:v>
                </c:pt>
                <c:pt idx="4538">
                  <c:v>2.5999999999999999E-2</c:v>
                </c:pt>
                <c:pt idx="4539">
                  <c:v>6.7799999999999999E-2</c:v>
                </c:pt>
                <c:pt idx="4540">
                  <c:v>5.3199999999999997E-2</c:v>
                </c:pt>
                <c:pt idx="4541">
                  <c:v>7.8399999999999997E-2</c:v>
                </c:pt>
                <c:pt idx="4542">
                  <c:v>4.5400000000000003E-2</c:v>
                </c:pt>
                <c:pt idx="4543">
                  <c:v>7.0199999999999999E-2</c:v>
                </c:pt>
                <c:pt idx="4544">
                  <c:v>0.1138</c:v>
                </c:pt>
                <c:pt idx="4545">
                  <c:v>5.5199999999999999E-2</c:v>
                </c:pt>
                <c:pt idx="4546">
                  <c:v>7.3800000000000004E-2</c:v>
                </c:pt>
                <c:pt idx="4547">
                  <c:v>1.9599999999999999E-2</c:v>
                </c:pt>
                <c:pt idx="4548">
                  <c:v>8.8200000000000001E-2</c:v>
                </c:pt>
                <c:pt idx="4549">
                  <c:v>3.6799999999999999E-2</c:v>
                </c:pt>
                <c:pt idx="4550">
                  <c:v>2.64E-2</c:v>
                </c:pt>
                <c:pt idx="4551">
                  <c:v>9.74E-2</c:v>
                </c:pt>
                <c:pt idx="4552">
                  <c:v>5.8799999999999998E-2</c:v>
                </c:pt>
                <c:pt idx="4553">
                  <c:v>7.2999999999999995E-2</c:v>
                </c:pt>
                <c:pt idx="4554">
                  <c:v>2.0400000000000001E-2</c:v>
                </c:pt>
                <c:pt idx="4555">
                  <c:v>1.7999999999999999E-2</c:v>
                </c:pt>
                <c:pt idx="4556">
                  <c:v>1.9199999999999998E-2</c:v>
                </c:pt>
                <c:pt idx="4557">
                  <c:v>2.6599999999999999E-2</c:v>
                </c:pt>
                <c:pt idx="4558">
                  <c:v>3.44E-2</c:v>
                </c:pt>
                <c:pt idx="4559">
                  <c:v>3.4599999999999999E-2</c:v>
                </c:pt>
                <c:pt idx="4560">
                  <c:v>8.3400000000000002E-2</c:v>
                </c:pt>
                <c:pt idx="4561">
                  <c:v>0.02</c:v>
                </c:pt>
                <c:pt idx="4562">
                  <c:v>2.7E-2</c:v>
                </c:pt>
                <c:pt idx="4563">
                  <c:v>7.3200000000000001E-2</c:v>
                </c:pt>
                <c:pt idx="4564">
                  <c:v>7.4999999999999997E-2</c:v>
                </c:pt>
                <c:pt idx="4565">
                  <c:v>6.4399999999999999E-2</c:v>
                </c:pt>
                <c:pt idx="4566">
                  <c:v>8.5599999999999996E-2</c:v>
                </c:pt>
                <c:pt idx="4567">
                  <c:v>2.5999999999999999E-3</c:v>
                </c:pt>
                <c:pt idx="4568">
                  <c:v>5.0599999999999999E-2</c:v>
                </c:pt>
                <c:pt idx="4569">
                  <c:v>4.9000000000000002E-2</c:v>
                </c:pt>
                <c:pt idx="4570">
                  <c:v>0.1038</c:v>
                </c:pt>
                <c:pt idx="4571">
                  <c:v>5.4800000000000001E-2</c:v>
                </c:pt>
                <c:pt idx="4572">
                  <c:v>7.5800000000000006E-2</c:v>
                </c:pt>
                <c:pt idx="4573">
                  <c:v>1.0999999999999999E-2</c:v>
                </c:pt>
                <c:pt idx="4574">
                  <c:v>3.5200000000000002E-2</c:v>
                </c:pt>
                <c:pt idx="4575">
                  <c:v>5.1799999999999999E-2</c:v>
                </c:pt>
                <c:pt idx="4576">
                  <c:v>7.0999999999999994E-2</c:v>
                </c:pt>
                <c:pt idx="4577">
                  <c:v>3.9399999999999998E-2</c:v>
                </c:pt>
                <c:pt idx="4578">
                  <c:v>2.3999999999999998E-3</c:v>
                </c:pt>
                <c:pt idx="4579">
                  <c:v>2.24E-2</c:v>
                </c:pt>
                <c:pt idx="4580">
                  <c:v>1.8E-3</c:v>
                </c:pt>
                <c:pt idx="4581">
                  <c:v>2.3400000000000001E-2</c:v>
                </c:pt>
                <c:pt idx="4582">
                  <c:v>3.4799999999999998E-2</c:v>
                </c:pt>
                <c:pt idx="4583">
                  <c:v>2.4E-2</c:v>
                </c:pt>
                <c:pt idx="4584">
                  <c:v>0.08</c:v>
                </c:pt>
                <c:pt idx="4585">
                  <c:v>9.2999999999999999E-2</c:v>
                </c:pt>
                <c:pt idx="4586">
                  <c:v>8.1799999999999998E-2</c:v>
                </c:pt>
                <c:pt idx="4587">
                  <c:v>1.6199999999999999E-2</c:v>
                </c:pt>
                <c:pt idx="4588">
                  <c:v>8.2799999999999999E-2</c:v>
                </c:pt>
                <c:pt idx="4589">
                  <c:v>4.48E-2</c:v>
                </c:pt>
                <c:pt idx="4590">
                  <c:v>8.6E-3</c:v>
                </c:pt>
                <c:pt idx="4591">
                  <c:v>4.1799999999999997E-2</c:v>
                </c:pt>
                <c:pt idx="4592">
                  <c:v>8.8400000000000006E-2</c:v>
                </c:pt>
                <c:pt idx="4593">
                  <c:v>1.7399999999999999E-2</c:v>
                </c:pt>
                <c:pt idx="4594">
                  <c:v>1.44E-2</c:v>
                </c:pt>
                <c:pt idx="4595">
                  <c:v>2.92E-2</c:v>
                </c:pt>
                <c:pt idx="4596">
                  <c:v>5.8599999999999999E-2</c:v>
                </c:pt>
                <c:pt idx="4597">
                  <c:v>6.7599999999999993E-2</c:v>
                </c:pt>
                <c:pt idx="4598">
                  <c:v>6.1800000000000001E-2</c:v>
                </c:pt>
                <c:pt idx="4599">
                  <c:v>9.6199999999999994E-2</c:v>
                </c:pt>
                <c:pt idx="4600">
                  <c:v>3.5799999999999998E-2</c:v>
                </c:pt>
                <c:pt idx="4601">
                  <c:v>0.13159999999999999</c:v>
                </c:pt>
                <c:pt idx="4602">
                  <c:v>8.6599999999999996E-2</c:v>
                </c:pt>
                <c:pt idx="4603">
                  <c:v>8.3999999999999995E-3</c:v>
                </c:pt>
                <c:pt idx="4604">
                  <c:v>4.6600000000000003E-2</c:v>
                </c:pt>
                <c:pt idx="4605">
                  <c:v>3.2599999999999997E-2</c:v>
                </c:pt>
                <c:pt idx="4606">
                  <c:v>5.16E-2</c:v>
                </c:pt>
                <c:pt idx="4607">
                  <c:v>2.86E-2</c:v>
                </c:pt>
                <c:pt idx="4608">
                  <c:v>3.0000000000000001E-3</c:v>
                </c:pt>
                <c:pt idx="4609">
                  <c:v>3.8199999999999998E-2</c:v>
                </c:pt>
                <c:pt idx="4610">
                  <c:v>3.5999999999999997E-2</c:v>
                </c:pt>
                <c:pt idx="4611">
                  <c:v>3.78E-2</c:v>
                </c:pt>
                <c:pt idx="4612">
                  <c:v>4.02E-2</c:v>
                </c:pt>
                <c:pt idx="4613">
                  <c:v>1.4999999999999999E-2</c:v>
                </c:pt>
                <c:pt idx="4614">
                  <c:v>4.3200000000000002E-2</c:v>
                </c:pt>
                <c:pt idx="4615">
                  <c:v>4.3799999999999999E-2</c:v>
                </c:pt>
                <c:pt idx="4616">
                  <c:v>8.0399999999999999E-2</c:v>
                </c:pt>
                <c:pt idx="4617">
                  <c:v>9.5399999999999999E-2</c:v>
                </c:pt>
                <c:pt idx="4618">
                  <c:v>1.26E-2</c:v>
                </c:pt>
                <c:pt idx="4619">
                  <c:v>5.4600000000000003E-2</c:v>
                </c:pt>
                <c:pt idx="4620">
                  <c:v>3.0800000000000001E-2</c:v>
                </c:pt>
                <c:pt idx="4621">
                  <c:v>7.3999999999999996E-2</c:v>
                </c:pt>
                <c:pt idx="4622">
                  <c:v>6.9199999999999998E-2</c:v>
                </c:pt>
                <c:pt idx="4623">
                  <c:v>6.4199999999999993E-2</c:v>
                </c:pt>
                <c:pt idx="4624">
                  <c:v>2.9399999999999999E-2</c:v>
                </c:pt>
                <c:pt idx="4625">
                  <c:v>5.5800000000000002E-2</c:v>
                </c:pt>
                <c:pt idx="4626">
                  <c:v>6.5199999999999994E-2</c:v>
                </c:pt>
                <c:pt idx="4627">
                  <c:v>0.1066</c:v>
                </c:pt>
                <c:pt idx="4628">
                  <c:v>3.1800000000000002E-2</c:v>
                </c:pt>
                <c:pt idx="4629">
                  <c:v>7.5999999999999998E-2</c:v>
                </c:pt>
                <c:pt idx="4630">
                  <c:v>0.1024</c:v>
                </c:pt>
                <c:pt idx="4631">
                  <c:v>7.7999999999999996E-3</c:v>
                </c:pt>
                <c:pt idx="4632">
                  <c:v>8.9399999999999993E-2</c:v>
                </c:pt>
                <c:pt idx="4633">
                  <c:v>1.7000000000000001E-2</c:v>
                </c:pt>
                <c:pt idx="4634">
                  <c:v>9.3600000000000003E-2</c:v>
                </c:pt>
                <c:pt idx="4635">
                  <c:v>9.9199999999999997E-2</c:v>
                </c:pt>
                <c:pt idx="4636">
                  <c:v>5.1999999999999998E-3</c:v>
                </c:pt>
                <c:pt idx="4637">
                  <c:v>7.2599999999999998E-2</c:v>
                </c:pt>
                <c:pt idx="4638">
                  <c:v>4.1200000000000001E-2</c:v>
                </c:pt>
                <c:pt idx="4639">
                  <c:v>1.18E-2</c:v>
                </c:pt>
                <c:pt idx="4640">
                  <c:v>9.0399999999999994E-2</c:v>
                </c:pt>
                <c:pt idx="4641">
                  <c:v>6.6799999999999998E-2</c:v>
                </c:pt>
                <c:pt idx="4642">
                  <c:v>8.8999999999999996E-2</c:v>
                </c:pt>
                <c:pt idx="4643">
                  <c:v>2.8400000000000002E-2</c:v>
                </c:pt>
                <c:pt idx="4644">
                  <c:v>2.7199999999999998E-2</c:v>
                </c:pt>
                <c:pt idx="4645">
                  <c:v>0.26740000000000003</c:v>
                </c:pt>
                <c:pt idx="4646">
                  <c:v>8.0000000000000002E-3</c:v>
                </c:pt>
                <c:pt idx="4647">
                  <c:v>1.0800000000000001E-2</c:v>
                </c:pt>
                <c:pt idx="4648">
                  <c:v>0.1714</c:v>
                </c:pt>
                <c:pt idx="4649">
                  <c:v>1.1999999999999999E-3</c:v>
                </c:pt>
                <c:pt idx="4650">
                  <c:v>6.4799999999999996E-2</c:v>
                </c:pt>
                <c:pt idx="4651">
                  <c:v>7.6999999999999999E-2</c:v>
                </c:pt>
                <c:pt idx="4652">
                  <c:v>8.0199999999999994E-2</c:v>
                </c:pt>
                <c:pt idx="4653">
                  <c:v>1.78E-2</c:v>
                </c:pt>
                <c:pt idx="4654">
                  <c:v>0.1022</c:v>
                </c:pt>
                <c:pt idx="4655">
                  <c:v>2.3E-2</c:v>
                </c:pt>
                <c:pt idx="4656">
                  <c:v>0.1062</c:v>
                </c:pt>
                <c:pt idx="4657">
                  <c:v>1.4E-3</c:v>
                </c:pt>
                <c:pt idx="4658">
                  <c:v>6.3200000000000006E-2</c:v>
                </c:pt>
                <c:pt idx="4659">
                  <c:v>0.1056</c:v>
                </c:pt>
                <c:pt idx="4660">
                  <c:v>2.7199999999999998E-2</c:v>
                </c:pt>
                <c:pt idx="4661">
                  <c:v>2.8E-3</c:v>
                </c:pt>
                <c:pt idx="4662">
                  <c:v>9.0800000000000006E-2</c:v>
                </c:pt>
                <c:pt idx="4663">
                  <c:v>1.6000000000000001E-3</c:v>
                </c:pt>
                <c:pt idx="4664">
                  <c:v>4.7199999999999999E-2</c:v>
                </c:pt>
                <c:pt idx="4665">
                  <c:v>5.8999999999999997E-2</c:v>
                </c:pt>
                <c:pt idx="4666">
                  <c:v>0.12039999999999999</c:v>
                </c:pt>
                <c:pt idx="4667">
                  <c:v>6.1400000000000003E-2</c:v>
                </c:pt>
                <c:pt idx="4668">
                  <c:v>9.1399999999999995E-2</c:v>
                </c:pt>
                <c:pt idx="4669">
                  <c:v>5.7999999999999996E-3</c:v>
                </c:pt>
                <c:pt idx="4670">
                  <c:v>0.1134</c:v>
                </c:pt>
                <c:pt idx="4671">
                  <c:v>8.5000000000000006E-2</c:v>
                </c:pt>
                <c:pt idx="4672">
                  <c:v>9.7600000000000006E-2</c:v>
                </c:pt>
                <c:pt idx="4673">
                  <c:v>2.1999999999999999E-2</c:v>
                </c:pt>
                <c:pt idx="4674">
                  <c:v>3.7400000000000003E-2</c:v>
                </c:pt>
                <c:pt idx="4675">
                  <c:v>2.52E-2</c:v>
                </c:pt>
                <c:pt idx="4676">
                  <c:v>2.18E-2</c:v>
                </c:pt>
                <c:pt idx="4677">
                  <c:v>3.3000000000000002E-2</c:v>
                </c:pt>
                <c:pt idx="4678">
                  <c:v>5.4399999999999997E-2</c:v>
                </c:pt>
                <c:pt idx="4679">
                  <c:v>4.1599999999999998E-2</c:v>
                </c:pt>
                <c:pt idx="4680">
                  <c:v>2.3199999999999998E-2</c:v>
                </c:pt>
                <c:pt idx="4681">
                  <c:v>0.1182</c:v>
                </c:pt>
                <c:pt idx="4682">
                  <c:v>6.9800000000000001E-2</c:v>
                </c:pt>
                <c:pt idx="4683">
                  <c:v>7.7600000000000002E-2</c:v>
                </c:pt>
                <c:pt idx="4684">
                  <c:v>6.1199999999999997E-2</c:v>
                </c:pt>
                <c:pt idx="4685">
                  <c:v>6.6000000000000003E-2</c:v>
                </c:pt>
                <c:pt idx="4686">
                  <c:v>1.6400000000000001E-2</c:v>
                </c:pt>
                <c:pt idx="4687">
                  <c:v>5.0000000000000001E-3</c:v>
                </c:pt>
                <c:pt idx="4688">
                  <c:v>7.0599999999999996E-2</c:v>
                </c:pt>
                <c:pt idx="4689">
                  <c:v>1.9400000000000001E-2</c:v>
                </c:pt>
                <c:pt idx="4690">
                  <c:v>6.4000000000000003E-3</c:v>
                </c:pt>
                <c:pt idx="4691">
                  <c:v>6.5000000000000002E-2</c:v>
                </c:pt>
                <c:pt idx="4692">
                  <c:v>3.6999999999999998E-2</c:v>
                </c:pt>
                <c:pt idx="4693">
                  <c:v>4.2999999999999997E-2</c:v>
                </c:pt>
                <c:pt idx="4694">
                  <c:v>5.8400000000000001E-2</c:v>
                </c:pt>
                <c:pt idx="4695">
                  <c:v>0.15459999999999999</c:v>
                </c:pt>
                <c:pt idx="4696">
                  <c:v>0.44679999999999997</c:v>
                </c:pt>
                <c:pt idx="4697">
                  <c:v>1.6E-2</c:v>
                </c:pt>
                <c:pt idx="4698">
                  <c:v>0.1018</c:v>
                </c:pt>
                <c:pt idx="4699">
                  <c:v>7.0000000000000007E-2</c:v>
                </c:pt>
                <c:pt idx="4700">
                  <c:v>6.3399999999999998E-2</c:v>
                </c:pt>
                <c:pt idx="4701">
                  <c:v>4.5600000000000002E-2</c:v>
                </c:pt>
                <c:pt idx="4702">
                  <c:v>9.06E-2</c:v>
                </c:pt>
                <c:pt idx="4703">
                  <c:v>7.1800000000000003E-2</c:v>
                </c:pt>
                <c:pt idx="4704">
                  <c:v>4.8800000000000003E-2</c:v>
                </c:pt>
                <c:pt idx="4705">
                  <c:v>3.1399999999999997E-2</c:v>
                </c:pt>
                <c:pt idx="4706">
                  <c:v>8.5999999999999993E-2</c:v>
                </c:pt>
                <c:pt idx="4707">
                  <c:v>0.1128</c:v>
                </c:pt>
                <c:pt idx="4708">
                  <c:v>4.0800000000000003E-2</c:v>
                </c:pt>
                <c:pt idx="4709">
                  <c:v>2.5000000000000001E-2</c:v>
                </c:pt>
                <c:pt idx="4710">
                  <c:v>9.3799999999999994E-2</c:v>
                </c:pt>
                <c:pt idx="4711">
                  <c:v>8.3599999999999994E-2</c:v>
                </c:pt>
                <c:pt idx="4712">
                  <c:v>2.4400000000000002E-2</c:v>
                </c:pt>
                <c:pt idx="4713">
                  <c:v>7.6799999999999993E-2</c:v>
                </c:pt>
                <c:pt idx="4714">
                  <c:v>2.98E-2</c:v>
                </c:pt>
                <c:pt idx="4715">
                  <c:v>9.5999999999999992E-3</c:v>
                </c:pt>
                <c:pt idx="4716">
                  <c:v>6.4000000000000001E-2</c:v>
                </c:pt>
                <c:pt idx="4717">
                  <c:v>7.1400000000000005E-2</c:v>
                </c:pt>
                <c:pt idx="4718">
                  <c:v>3.5400000000000001E-2</c:v>
                </c:pt>
                <c:pt idx="4719">
                  <c:v>9.5600000000000004E-2</c:v>
                </c:pt>
                <c:pt idx="4720">
                  <c:v>8.5199999999999998E-2</c:v>
                </c:pt>
                <c:pt idx="4721">
                  <c:v>9.7999999999999997E-3</c:v>
                </c:pt>
                <c:pt idx="4722">
                  <c:v>0.20599999999999999</c:v>
                </c:pt>
                <c:pt idx="4723">
                  <c:v>0.1094</c:v>
                </c:pt>
                <c:pt idx="4724">
                  <c:v>0.12520000000000001</c:v>
                </c:pt>
                <c:pt idx="4725">
                  <c:v>9.7199999999999995E-2</c:v>
                </c:pt>
                <c:pt idx="4726">
                  <c:v>7.2800000000000004E-2</c:v>
                </c:pt>
                <c:pt idx="4727">
                  <c:v>3.8399999999999997E-2</c:v>
                </c:pt>
                <c:pt idx="4728">
                  <c:v>9.2600000000000002E-2</c:v>
                </c:pt>
                <c:pt idx="4729">
                  <c:v>2.1000000000000001E-2</c:v>
                </c:pt>
                <c:pt idx="4730">
                  <c:v>8.4400000000000003E-2</c:v>
                </c:pt>
                <c:pt idx="4731">
                  <c:v>0.13400000000000001</c:v>
                </c:pt>
                <c:pt idx="4732">
                  <c:v>1.52E-2</c:v>
                </c:pt>
                <c:pt idx="4733">
                  <c:v>0.21379999999999999</c:v>
                </c:pt>
                <c:pt idx="4734">
                  <c:v>3.6400000000000002E-2</c:v>
                </c:pt>
                <c:pt idx="4735">
                  <c:v>5.7000000000000002E-2</c:v>
                </c:pt>
                <c:pt idx="4736">
                  <c:v>2.46E-2</c:v>
                </c:pt>
                <c:pt idx="4737">
                  <c:v>8.3000000000000004E-2</c:v>
                </c:pt>
                <c:pt idx="4738">
                  <c:v>7.9600000000000004E-2</c:v>
                </c:pt>
                <c:pt idx="4739">
                  <c:v>3.32E-2</c:v>
                </c:pt>
                <c:pt idx="4740">
                  <c:v>7.4000000000000003E-3</c:v>
                </c:pt>
                <c:pt idx="4741">
                  <c:v>3.9199999999999999E-2</c:v>
                </c:pt>
                <c:pt idx="4742">
                  <c:v>5.3999999999999999E-2</c:v>
                </c:pt>
                <c:pt idx="4743">
                  <c:v>0.01</c:v>
                </c:pt>
                <c:pt idx="4744">
                  <c:v>0.14099999999999999</c:v>
                </c:pt>
                <c:pt idx="4745">
                  <c:v>6.0600000000000001E-2</c:v>
                </c:pt>
                <c:pt idx="4746">
                  <c:v>4.7999999999999996E-3</c:v>
                </c:pt>
                <c:pt idx="4747">
                  <c:v>6.54E-2</c:v>
                </c:pt>
                <c:pt idx="4748">
                  <c:v>4.9799999999999997E-2</c:v>
                </c:pt>
                <c:pt idx="4749">
                  <c:v>1.46E-2</c:v>
                </c:pt>
                <c:pt idx="4750">
                  <c:v>1.66E-2</c:v>
                </c:pt>
                <c:pt idx="4751">
                  <c:v>1.3599999999999999E-2</c:v>
                </c:pt>
                <c:pt idx="4752">
                  <c:v>5.2200000000000003E-2</c:v>
                </c:pt>
                <c:pt idx="4753">
                  <c:v>7.0400000000000004E-2</c:v>
                </c:pt>
                <c:pt idx="4754">
                  <c:v>6.1600000000000002E-2</c:v>
                </c:pt>
                <c:pt idx="4755">
                  <c:v>5.9200000000000003E-2</c:v>
                </c:pt>
                <c:pt idx="4756">
                  <c:v>6.2600000000000003E-2</c:v>
                </c:pt>
                <c:pt idx="4757">
                  <c:v>7.9799999999999996E-2</c:v>
                </c:pt>
                <c:pt idx="4758">
                  <c:v>8.6800000000000002E-2</c:v>
                </c:pt>
                <c:pt idx="4759">
                  <c:v>3.7600000000000001E-2</c:v>
                </c:pt>
                <c:pt idx="4760">
                  <c:v>6.5799999999999997E-2</c:v>
                </c:pt>
                <c:pt idx="4761">
                  <c:v>6.0400000000000002E-2</c:v>
                </c:pt>
                <c:pt idx="4762">
                  <c:v>6.3600000000000004E-2</c:v>
                </c:pt>
                <c:pt idx="4763">
                  <c:v>5.2999999999999999E-2</c:v>
                </c:pt>
                <c:pt idx="4764">
                  <c:v>2.0799999999999999E-2</c:v>
                </c:pt>
                <c:pt idx="4765">
                  <c:v>0.10100000000000001</c:v>
                </c:pt>
                <c:pt idx="4766">
                  <c:v>4.9599999999999998E-2</c:v>
                </c:pt>
                <c:pt idx="4767">
                  <c:v>1.9800000000000002E-2</c:v>
                </c:pt>
                <c:pt idx="4768">
                  <c:v>8.3799999999999999E-2</c:v>
                </c:pt>
                <c:pt idx="4769">
                  <c:v>7.1999999999999998E-3</c:v>
                </c:pt>
                <c:pt idx="4770">
                  <c:v>3.8800000000000001E-2</c:v>
                </c:pt>
                <c:pt idx="4771">
                  <c:v>3.2000000000000002E-3</c:v>
                </c:pt>
                <c:pt idx="4772">
                  <c:v>0.17319999999999999</c:v>
                </c:pt>
                <c:pt idx="4773">
                  <c:v>3.4200000000000001E-2</c:v>
                </c:pt>
                <c:pt idx="4774">
                  <c:v>2.3599999999999999E-2</c:v>
                </c:pt>
                <c:pt idx="4775">
                  <c:v>4.7600000000000003E-2</c:v>
                </c:pt>
                <c:pt idx="4776">
                  <c:v>1.06E-2</c:v>
                </c:pt>
                <c:pt idx="4777">
                  <c:v>0.32800000000000001</c:v>
                </c:pt>
                <c:pt idx="4778">
                  <c:v>5.4000000000000003E-3</c:v>
                </c:pt>
                <c:pt idx="4779">
                  <c:v>9.2399999999999996E-2</c:v>
                </c:pt>
                <c:pt idx="4780">
                  <c:v>0.05</c:v>
                </c:pt>
                <c:pt idx="4781">
                  <c:v>1.2800000000000001E-2</c:v>
                </c:pt>
                <c:pt idx="4782">
                  <c:v>9.6000000000000002E-2</c:v>
                </c:pt>
                <c:pt idx="4783">
                  <c:v>5.7200000000000001E-2</c:v>
                </c:pt>
                <c:pt idx="4784">
                  <c:v>6.2399999999999997E-2</c:v>
                </c:pt>
                <c:pt idx="4785">
                  <c:v>4.58E-2</c:v>
                </c:pt>
                <c:pt idx="4786">
                  <c:v>6.88E-2</c:v>
                </c:pt>
                <c:pt idx="4787">
                  <c:v>3.1600000000000003E-2</c:v>
                </c:pt>
                <c:pt idx="4788">
                  <c:v>6.6199999999999995E-2</c:v>
                </c:pt>
                <c:pt idx="4789">
                  <c:v>0.13500000000000001</c:v>
                </c:pt>
                <c:pt idx="4790">
                  <c:v>3.8E-3</c:v>
                </c:pt>
                <c:pt idx="4791">
                  <c:v>3.6600000000000001E-2</c:v>
                </c:pt>
                <c:pt idx="4792">
                  <c:v>3.5999999999999999E-3</c:v>
                </c:pt>
                <c:pt idx="4793">
                  <c:v>7.0000000000000001E-3</c:v>
                </c:pt>
                <c:pt idx="4794">
                  <c:v>6.2E-2</c:v>
                </c:pt>
                <c:pt idx="4795">
                  <c:v>3.9E-2</c:v>
                </c:pt>
                <c:pt idx="4796">
                  <c:v>5.3600000000000002E-2</c:v>
                </c:pt>
                <c:pt idx="4797">
                  <c:v>5.1400000000000001E-2</c:v>
                </c:pt>
                <c:pt idx="4798">
                  <c:v>8.9800000000000005E-2</c:v>
                </c:pt>
                <c:pt idx="4799">
                  <c:v>4.3400000000000001E-2</c:v>
                </c:pt>
                <c:pt idx="4800">
                  <c:v>1.72E-2</c:v>
                </c:pt>
                <c:pt idx="4801">
                  <c:v>2.1399999999999999E-2</c:v>
                </c:pt>
                <c:pt idx="4802">
                  <c:v>4.4200000000000003E-2</c:v>
                </c:pt>
                <c:pt idx="4803">
                  <c:v>4.82E-2</c:v>
                </c:pt>
                <c:pt idx="4804">
                  <c:v>6.3799999999999996E-2</c:v>
                </c:pt>
                <c:pt idx="4805">
                  <c:v>2.76E-2</c:v>
                </c:pt>
                <c:pt idx="4806">
                  <c:v>3.0200000000000001E-2</c:v>
                </c:pt>
                <c:pt idx="4807">
                  <c:v>1.84E-2</c:v>
                </c:pt>
                <c:pt idx="4808">
                  <c:v>4.24E-2</c:v>
                </c:pt>
                <c:pt idx="4809">
                  <c:v>3.56E-2</c:v>
                </c:pt>
                <c:pt idx="4810">
                  <c:v>1.2999999999999999E-2</c:v>
                </c:pt>
                <c:pt idx="4811">
                  <c:v>0.104</c:v>
                </c:pt>
                <c:pt idx="4812">
                  <c:v>7.4800000000000005E-2</c:v>
                </c:pt>
                <c:pt idx="4813">
                  <c:v>1.04E-2</c:v>
                </c:pt>
                <c:pt idx="4814">
                  <c:v>4.7800000000000002E-2</c:v>
                </c:pt>
                <c:pt idx="4815">
                  <c:v>8.7599999999999997E-2</c:v>
                </c:pt>
                <c:pt idx="4816">
                  <c:v>6.8000000000000005E-2</c:v>
                </c:pt>
                <c:pt idx="4817">
                  <c:v>2.8000000000000001E-2</c:v>
                </c:pt>
                <c:pt idx="4818">
                  <c:v>5.5999999999999999E-3</c:v>
                </c:pt>
                <c:pt idx="4819">
                  <c:v>0.1074</c:v>
                </c:pt>
                <c:pt idx="4820">
                  <c:v>7.46E-2</c:v>
                </c:pt>
                <c:pt idx="4821">
                  <c:v>5.0799999999999998E-2</c:v>
                </c:pt>
                <c:pt idx="4822">
                  <c:v>8.5400000000000004E-2</c:v>
                </c:pt>
                <c:pt idx="4823">
                  <c:v>7.1599999999999997E-2</c:v>
                </c:pt>
                <c:pt idx="4824">
                  <c:v>3.3399999999999999E-2</c:v>
                </c:pt>
                <c:pt idx="4825">
                  <c:v>2.3800000000000002E-2</c:v>
                </c:pt>
                <c:pt idx="4826">
                  <c:v>7.4399999999999994E-2</c:v>
                </c:pt>
                <c:pt idx="4827">
                  <c:v>1.54E-2</c:v>
                </c:pt>
                <c:pt idx="4828">
                  <c:v>4.5199999999999997E-2</c:v>
                </c:pt>
                <c:pt idx="4829">
                  <c:v>5.96E-2</c:v>
                </c:pt>
                <c:pt idx="4830">
                  <c:v>7.8E-2</c:v>
                </c:pt>
                <c:pt idx="4831">
                  <c:v>8.4000000000000005E-2</c:v>
                </c:pt>
                <c:pt idx="4832">
                  <c:v>4.8599999999999997E-2</c:v>
                </c:pt>
                <c:pt idx="4833">
                  <c:v>9.3399999999999997E-2</c:v>
                </c:pt>
                <c:pt idx="4834">
                  <c:v>1.14E-2</c:v>
                </c:pt>
                <c:pt idx="4835">
                  <c:v>6.6400000000000001E-2</c:v>
                </c:pt>
                <c:pt idx="4836">
                  <c:v>9.4000000000000004E-3</c:v>
                </c:pt>
                <c:pt idx="4837">
                  <c:v>8.2000000000000007E-3</c:v>
                </c:pt>
                <c:pt idx="4838">
                  <c:v>5.4800000000000001E-2</c:v>
                </c:pt>
                <c:pt idx="4839">
                  <c:v>3.9600000000000003E-2</c:v>
                </c:pt>
                <c:pt idx="4840">
                  <c:v>3.9800000000000002E-2</c:v>
                </c:pt>
                <c:pt idx="4841">
                  <c:v>6.08E-2</c:v>
                </c:pt>
                <c:pt idx="4842">
                  <c:v>0.09</c:v>
                </c:pt>
                <c:pt idx="4843">
                  <c:v>0.107</c:v>
                </c:pt>
                <c:pt idx="4844">
                  <c:v>9.1600000000000001E-2</c:v>
                </c:pt>
                <c:pt idx="4845">
                  <c:v>8.0000000000000004E-4</c:v>
                </c:pt>
                <c:pt idx="4846">
                  <c:v>4.6800000000000001E-2</c:v>
                </c:pt>
                <c:pt idx="4847">
                  <c:v>2.2000000000000001E-3</c:v>
                </c:pt>
                <c:pt idx="4848">
                  <c:v>9.5000000000000001E-2</c:v>
                </c:pt>
                <c:pt idx="4849">
                  <c:v>3.0599999999999999E-2</c:v>
                </c:pt>
                <c:pt idx="4850">
                  <c:v>2.12E-2</c:v>
                </c:pt>
                <c:pt idx="4851">
                  <c:v>3.2800000000000003E-2</c:v>
                </c:pt>
                <c:pt idx="4852">
                  <c:v>0.13139999999999999</c:v>
                </c:pt>
                <c:pt idx="4853">
                  <c:v>6.5600000000000006E-2</c:v>
                </c:pt>
                <c:pt idx="4854">
                  <c:v>1.2E-2</c:v>
                </c:pt>
                <c:pt idx="4855">
                  <c:v>0.04</c:v>
                </c:pt>
                <c:pt idx="4856">
                  <c:v>4.5999999999999999E-2</c:v>
                </c:pt>
                <c:pt idx="4857">
                  <c:v>0.10680000000000001</c:v>
                </c:pt>
                <c:pt idx="4858">
                  <c:v>3.3999999999999998E-3</c:v>
                </c:pt>
                <c:pt idx="4859">
                  <c:v>6.0999999999999999E-2</c:v>
                </c:pt>
                <c:pt idx="4860">
                  <c:v>1.4E-2</c:v>
                </c:pt>
                <c:pt idx="4861">
                  <c:v>9.2799999999999994E-2</c:v>
                </c:pt>
                <c:pt idx="4862">
                  <c:v>1.34E-2</c:v>
                </c:pt>
                <c:pt idx="4863">
                  <c:v>9.5200000000000007E-2</c:v>
                </c:pt>
                <c:pt idx="4864">
                  <c:v>0.21079999999999999</c:v>
                </c:pt>
                <c:pt idx="4865">
                  <c:v>6.3E-2</c:v>
                </c:pt>
                <c:pt idx="4866">
                  <c:v>3.7199999999999997E-2</c:v>
                </c:pt>
                <c:pt idx="4867">
                  <c:v>5.0200000000000002E-2</c:v>
                </c:pt>
                <c:pt idx="4868">
                  <c:v>9.8599999999999993E-2</c:v>
                </c:pt>
                <c:pt idx="4869">
                  <c:v>2.5600000000000001E-2</c:v>
                </c:pt>
                <c:pt idx="4870">
                  <c:v>7.5200000000000003E-2</c:v>
                </c:pt>
                <c:pt idx="4871">
                  <c:v>3.2000000000000001E-2</c:v>
                </c:pt>
                <c:pt idx="4872">
                  <c:v>2.7799999999999998E-2</c:v>
                </c:pt>
                <c:pt idx="4873">
                  <c:v>3.7999999999999999E-2</c:v>
                </c:pt>
                <c:pt idx="4874">
                  <c:v>0.12280000000000001</c:v>
                </c:pt>
                <c:pt idx="4875">
                  <c:v>5.7799999999999997E-2</c:v>
                </c:pt>
                <c:pt idx="4876">
                  <c:v>5.7599999999999998E-2</c:v>
                </c:pt>
                <c:pt idx="4877">
                  <c:v>4.36E-2</c:v>
                </c:pt>
                <c:pt idx="4878">
                  <c:v>5.0999999999999997E-2</c:v>
                </c:pt>
                <c:pt idx="4879">
                  <c:v>4.3999999999999997E-2</c:v>
                </c:pt>
                <c:pt idx="4880">
                  <c:v>4.8399999999999999E-2</c:v>
                </c:pt>
                <c:pt idx="4881">
                  <c:v>5.5599999999999997E-2</c:v>
                </c:pt>
                <c:pt idx="4882">
                  <c:v>1.12E-2</c:v>
                </c:pt>
                <c:pt idx="4883">
                  <c:v>4.5999999999999999E-3</c:v>
                </c:pt>
                <c:pt idx="4884">
                  <c:v>2.0199999999999999E-2</c:v>
                </c:pt>
                <c:pt idx="4885">
                  <c:v>8.6199999999999999E-2</c:v>
                </c:pt>
                <c:pt idx="4886">
                  <c:v>6.6600000000000006E-2</c:v>
                </c:pt>
                <c:pt idx="4887">
                  <c:v>7.1999999999999995E-2</c:v>
                </c:pt>
                <c:pt idx="4888">
                  <c:v>2.06E-2</c:v>
                </c:pt>
                <c:pt idx="4889">
                  <c:v>1.0200000000000001E-2</c:v>
                </c:pt>
                <c:pt idx="4890">
                  <c:v>1.5599999999999999E-2</c:v>
                </c:pt>
                <c:pt idx="4891">
                  <c:v>0.34699999999999998</c:v>
                </c:pt>
                <c:pt idx="4892">
                  <c:v>4.2799999999999998E-2</c:v>
                </c:pt>
                <c:pt idx="4893">
                  <c:v>5.04E-2</c:v>
                </c:pt>
                <c:pt idx="4894">
                  <c:v>7.6200000000000004E-2</c:v>
                </c:pt>
                <c:pt idx="4895">
                  <c:v>0.1052</c:v>
                </c:pt>
                <c:pt idx="4896">
                  <c:v>9.0999999999999998E-2</c:v>
                </c:pt>
                <c:pt idx="4897">
                  <c:v>2.4199999999999999E-2</c:v>
                </c:pt>
                <c:pt idx="4898">
                  <c:v>0.03</c:v>
                </c:pt>
                <c:pt idx="4899">
                  <c:v>8.9200000000000002E-2</c:v>
                </c:pt>
                <c:pt idx="4900">
                  <c:v>3.1E-2</c:v>
                </c:pt>
                <c:pt idx="4901">
                  <c:v>1.4200000000000001E-2</c:v>
                </c:pt>
                <c:pt idx="4902">
                  <c:v>6.8599999999999994E-2</c:v>
                </c:pt>
                <c:pt idx="4903">
                  <c:v>2.8799999999999999E-2</c:v>
                </c:pt>
                <c:pt idx="4904">
                  <c:v>5.28E-2</c:v>
                </c:pt>
                <c:pt idx="4905">
                  <c:v>0.106</c:v>
                </c:pt>
                <c:pt idx="4906">
                  <c:v>8.8599999999999998E-2</c:v>
                </c:pt>
                <c:pt idx="4907">
                  <c:v>1.6799999999999999E-2</c:v>
                </c:pt>
                <c:pt idx="4908">
                  <c:v>1.32E-2</c:v>
                </c:pt>
                <c:pt idx="4909">
                  <c:v>9.98E-2</c:v>
                </c:pt>
                <c:pt idx="4910">
                  <c:v>2.6800000000000001E-2</c:v>
                </c:pt>
                <c:pt idx="4911">
                  <c:v>0.1086</c:v>
                </c:pt>
                <c:pt idx="4912">
                  <c:v>8.9999999999999993E-3</c:v>
                </c:pt>
                <c:pt idx="4913">
                  <c:v>4.2599999999999999E-2</c:v>
                </c:pt>
                <c:pt idx="4914">
                  <c:v>5.6800000000000003E-2</c:v>
                </c:pt>
                <c:pt idx="4915">
                  <c:v>9.1999999999999998E-3</c:v>
                </c:pt>
                <c:pt idx="4916">
                  <c:v>5.62E-2</c:v>
                </c:pt>
                <c:pt idx="4917">
                  <c:v>6.1999999999999998E-3</c:v>
                </c:pt>
                <c:pt idx="4918">
                  <c:v>4.1000000000000002E-2</c:v>
                </c:pt>
                <c:pt idx="4919">
                  <c:v>8.1600000000000006E-2</c:v>
                </c:pt>
                <c:pt idx="4920">
                  <c:v>6.7400000000000002E-2</c:v>
                </c:pt>
                <c:pt idx="4921">
                  <c:v>9.5799999999999996E-2</c:v>
                </c:pt>
                <c:pt idx="4922">
                  <c:v>3.5000000000000003E-2</c:v>
                </c:pt>
                <c:pt idx="4923">
                  <c:v>4.9200000000000001E-2</c:v>
                </c:pt>
                <c:pt idx="4924">
                  <c:v>2.4799999999999999E-2</c:v>
                </c:pt>
                <c:pt idx="4925">
                  <c:v>2.8199999999999999E-2</c:v>
                </c:pt>
                <c:pt idx="4926">
                  <c:v>1.38E-2</c:v>
                </c:pt>
                <c:pt idx="4927">
                  <c:v>0.11799999999999999</c:v>
                </c:pt>
                <c:pt idx="4928">
                  <c:v>2.6200000000000001E-2</c:v>
                </c:pt>
                <c:pt idx="4929">
                  <c:v>5.3400000000000003E-2</c:v>
                </c:pt>
                <c:pt idx="4930">
                  <c:v>0.10299999999999999</c:v>
                </c:pt>
                <c:pt idx="4931">
                  <c:v>0.18440000000000001</c:v>
                </c:pt>
                <c:pt idx="4932">
                  <c:v>2.0000000000000001E-4</c:v>
                </c:pt>
                <c:pt idx="4933">
                  <c:v>1.8800000000000001E-2</c:v>
                </c:pt>
                <c:pt idx="4934">
                  <c:v>2.9000000000000001E-2</c:v>
                </c:pt>
                <c:pt idx="4935">
                  <c:v>6.2199999999999998E-2</c:v>
                </c:pt>
                <c:pt idx="4936">
                  <c:v>5.1200000000000002E-2</c:v>
                </c:pt>
                <c:pt idx="4937">
                  <c:v>2.5399999999999999E-2</c:v>
                </c:pt>
                <c:pt idx="4938">
                  <c:v>5.9400000000000001E-2</c:v>
                </c:pt>
                <c:pt idx="4939">
                  <c:v>2.58E-2</c:v>
                </c:pt>
                <c:pt idx="4940">
                  <c:v>4.7399999999999998E-2</c:v>
                </c:pt>
                <c:pt idx="4941">
                  <c:v>8.72E-2</c:v>
                </c:pt>
                <c:pt idx="4942">
                  <c:v>5.9999999999999995E-4</c:v>
                </c:pt>
                <c:pt idx="4943">
                  <c:v>5.8000000000000003E-2</c:v>
                </c:pt>
                <c:pt idx="4944">
                  <c:v>0.1368</c:v>
                </c:pt>
                <c:pt idx="4945">
                  <c:v>7.22E-2</c:v>
                </c:pt>
                <c:pt idx="4946">
                  <c:v>6.9000000000000006E-2</c:v>
                </c:pt>
                <c:pt idx="4947">
                  <c:v>6.8199999999999997E-2</c:v>
                </c:pt>
                <c:pt idx="4948">
                  <c:v>3.2199999999999999E-2</c:v>
                </c:pt>
                <c:pt idx="4949">
                  <c:v>1.8599999999999998E-2</c:v>
                </c:pt>
                <c:pt idx="4950">
                  <c:v>3.2399999999999998E-2</c:v>
                </c:pt>
                <c:pt idx="4951">
                  <c:v>8.8000000000000005E-3</c:v>
                </c:pt>
                <c:pt idx="4952">
                  <c:v>8.0600000000000005E-2</c:v>
                </c:pt>
                <c:pt idx="4953">
                  <c:v>2.1600000000000001E-2</c:v>
                </c:pt>
                <c:pt idx="4954">
                  <c:v>9.8199999999999996E-2</c:v>
                </c:pt>
                <c:pt idx="4955">
                  <c:v>0.1084</c:v>
                </c:pt>
                <c:pt idx="4956">
                  <c:v>7.1199999999999999E-2</c:v>
                </c:pt>
                <c:pt idx="4957">
                  <c:v>2E-3</c:v>
                </c:pt>
                <c:pt idx="4958">
                  <c:v>7.9399999999999998E-2</c:v>
                </c:pt>
                <c:pt idx="4959">
                  <c:v>4.1999999999999997E-3</c:v>
                </c:pt>
                <c:pt idx="4960">
                  <c:v>9.1200000000000003E-2</c:v>
                </c:pt>
                <c:pt idx="4961">
                  <c:v>3.4000000000000002E-2</c:v>
                </c:pt>
                <c:pt idx="4962">
                  <c:v>5.5399999999999998E-2</c:v>
                </c:pt>
                <c:pt idx="4963">
                  <c:v>5.2400000000000002E-2</c:v>
                </c:pt>
                <c:pt idx="4964">
                  <c:v>0.1082</c:v>
                </c:pt>
                <c:pt idx="4965">
                  <c:v>4.2000000000000003E-2</c:v>
                </c:pt>
                <c:pt idx="4966">
                  <c:v>4.1399999999999999E-2</c:v>
                </c:pt>
                <c:pt idx="4967">
                  <c:v>5.1999999999999998E-2</c:v>
                </c:pt>
                <c:pt idx="4968">
                  <c:v>5.6599999999999998E-2</c:v>
                </c:pt>
                <c:pt idx="4969">
                  <c:v>8.2400000000000001E-2</c:v>
                </c:pt>
                <c:pt idx="4970">
                  <c:v>6.7000000000000004E-2</c:v>
                </c:pt>
                <c:pt idx="4971">
                  <c:v>4.4600000000000001E-2</c:v>
                </c:pt>
                <c:pt idx="4972">
                  <c:v>7.0800000000000002E-2</c:v>
                </c:pt>
                <c:pt idx="4973">
                  <c:v>5.74E-2</c:v>
                </c:pt>
                <c:pt idx="4974">
                  <c:v>2.2599999999999999E-2</c:v>
                </c:pt>
                <c:pt idx="4975">
                  <c:v>4.2200000000000001E-2</c:v>
                </c:pt>
                <c:pt idx="4976">
                  <c:v>0.2316</c:v>
                </c:pt>
                <c:pt idx="4977">
                  <c:v>7.6600000000000001E-2</c:v>
                </c:pt>
                <c:pt idx="4978">
                  <c:v>4.7E-2</c:v>
                </c:pt>
                <c:pt idx="4979">
                  <c:v>6.2799999999999995E-2</c:v>
                </c:pt>
                <c:pt idx="4980">
                  <c:v>7.7200000000000005E-2</c:v>
                </c:pt>
                <c:pt idx="4981">
                  <c:v>0.06</c:v>
                </c:pt>
                <c:pt idx="4982">
                  <c:v>6.6E-3</c:v>
                </c:pt>
                <c:pt idx="4983">
                  <c:v>3.1199999999999999E-2</c:v>
                </c:pt>
                <c:pt idx="4984">
                  <c:v>6.9599999999999995E-2</c:v>
                </c:pt>
                <c:pt idx="4985">
                  <c:v>6.7199999999999996E-2</c:v>
                </c:pt>
                <c:pt idx="4986">
                  <c:v>5.4199999999999998E-2</c:v>
                </c:pt>
                <c:pt idx="4987">
                  <c:v>5.2600000000000001E-2</c:v>
                </c:pt>
                <c:pt idx="4988">
                  <c:v>3.6200000000000003E-2</c:v>
                </c:pt>
                <c:pt idx="4989">
                  <c:v>4.4000000000000003E-3</c:v>
                </c:pt>
                <c:pt idx="4990">
                  <c:v>7.2400000000000006E-2</c:v>
                </c:pt>
                <c:pt idx="4991">
                  <c:v>0.12379999999999999</c:v>
                </c:pt>
                <c:pt idx="4992">
                  <c:v>1.8200000000000001E-2</c:v>
                </c:pt>
                <c:pt idx="4993">
                  <c:v>2.2200000000000001E-2</c:v>
                </c:pt>
                <c:pt idx="4994">
                  <c:v>4.6199999999999998E-2</c:v>
                </c:pt>
                <c:pt idx="4995">
                  <c:v>5.3800000000000001E-2</c:v>
                </c:pt>
                <c:pt idx="4996">
                  <c:v>5.8200000000000002E-2</c:v>
                </c:pt>
                <c:pt idx="4997">
                  <c:v>1.5800000000000002E-2</c:v>
                </c:pt>
                <c:pt idx="4998">
                  <c:v>6.7999999999999996E-3</c:v>
                </c:pt>
                <c:pt idx="4999">
                  <c:v>5.9799999999999999E-2</c:v>
                </c:pt>
              </c:numCache>
            </c:numRef>
          </c:xVal>
          <c:yVal>
            <c:numRef>
              <c:f>'Item Master'!$S$6:$S$5005</c:f>
              <c:numCache>
                <c:formatCode>_("$"* #,##0_);_("$"* \(#,##0\);_("$"* "-"??_);_(@_)</c:formatCode>
                <c:ptCount val="5000"/>
                <c:pt idx="0">
                  <c:v>184104041</c:v>
                </c:pt>
                <c:pt idx="1">
                  <c:v>181257492</c:v>
                </c:pt>
                <c:pt idx="2">
                  <c:v>186256080</c:v>
                </c:pt>
                <c:pt idx="3">
                  <c:v>180700193</c:v>
                </c:pt>
                <c:pt idx="4">
                  <c:v>186533802</c:v>
                </c:pt>
                <c:pt idx="5">
                  <c:v>160122999</c:v>
                </c:pt>
                <c:pt idx="6">
                  <c:v>186547809</c:v>
                </c:pt>
                <c:pt idx="7">
                  <c:v>159057302</c:v>
                </c:pt>
                <c:pt idx="8">
                  <c:v>185478555</c:v>
                </c:pt>
                <c:pt idx="9">
                  <c:v>186532107</c:v>
                </c:pt>
                <c:pt idx="10">
                  <c:v>186547861</c:v>
                </c:pt>
                <c:pt idx="11">
                  <c:v>186448050</c:v>
                </c:pt>
                <c:pt idx="12">
                  <c:v>176265691</c:v>
                </c:pt>
                <c:pt idx="13">
                  <c:v>185153820</c:v>
                </c:pt>
                <c:pt idx="14">
                  <c:v>185254605</c:v>
                </c:pt>
                <c:pt idx="15">
                  <c:v>174642910</c:v>
                </c:pt>
                <c:pt idx="16">
                  <c:v>182098979</c:v>
                </c:pt>
                <c:pt idx="17">
                  <c:v>164488143</c:v>
                </c:pt>
                <c:pt idx="18">
                  <c:v>182292087</c:v>
                </c:pt>
                <c:pt idx="19">
                  <c:v>185865347</c:v>
                </c:pt>
                <c:pt idx="20">
                  <c:v>183115244</c:v>
                </c:pt>
                <c:pt idx="21">
                  <c:v>186073388</c:v>
                </c:pt>
                <c:pt idx="22">
                  <c:v>183318007</c:v>
                </c:pt>
                <c:pt idx="23">
                  <c:v>186371437</c:v>
                </c:pt>
                <c:pt idx="24">
                  <c:v>173925940</c:v>
                </c:pt>
                <c:pt idx="25">
                  <c:v>186418092</c:v>
                </c:pt>
                <c:pt idx="26">
                  <c:v>186312976</c:v>
                </c:pt>
                <c:pt idx="27">
                  <c:v>181994354</c:v>
                </c:pt>
                <c:pt idx="28">
                  <c:v>185883471</c:v>
                </c:pt>
                <c:pt idx="29">
                  <c:v>169923078</c:v>
                </c:pt>
                <c:pt idx="30">
                  <c:v>175135863</c:v>
                </c:pt>
                <c:pt idx="31">
                  <c:v>180780491</c:v>
                </c:pt>
                <c:pt idx="32">
                  <c:v>186546308</c:v>
                </c:pt>
                <c:pt idx="33">
                  <c:v>155331709</c:v>
                </c:pt>
                <c:pt idx="34">
                  <c:v>185009938</c:v>
                </c:pt>
                <c:pt idx="35">
                  <c:v>182391519</c:v>
                </c:pt>
                <c:pt idx="36">
                  <c:v>182678928</c:v>
                </c:pt>
                <c:pt idx="37">
                  <c:v>181887858</c:v>
                </c:pt>
                <c:pt idx="38">
                  <c:v>186053876</c:v>
                </c:pt>
                <c:pt idx="39">
                  <c:v>184722737</c:v>
                </c:pt>
                <c:pt idx="40">
                  <c:v>183787076</c:v>
                </c:pt>
                <c:pt idx="41">
                  <c:v>183618325</c:v>
                </c:pt>
                <c:pt idx="42">
                  <c:v>168312341</c:v>
                </c:pt>
                <c:pt idx="43">
                  <c:v>169049615</c:v>
                </c:pt>
                <c:pt idx="44">
                  <c:v>180453687</c:v>
                </c:pt>
                <c:pt idx="45">
                  <c:v>185562800</c:v>
                </c:pt>
                <c:pt idx="46">
                  <c:v>186361902</c:v>
                </c:pt>
                <c:pt idx="47">
                  <c:v>182872527</c:v>
                </c:pt>
                <c:pt idx="48">
                  <c:v>183584543</c:v>
                </c:pt>
                <c:pt idx="49">
                  <c:v>165782570</c:v>
                </c:pt>
                <c:pt idx="50">
                  <c:v>180566795</c:v>
                </c:pt>
                <c:pt idx="51">
                  <c:v>186318007</c:v>
                </c:pt>
                <c:pt idx="52">
                  <c:v>164187987</c:v>
                </c:pt>
                <c:pt idx="53">
                  <c:v>177375140</c:v>
                </c:pt>
                <c:pt idx="54">
                  <c:v>185893854</c:v>
                </c:pt>
                <c:pt idx="55">
                  <c:v>174077483</c:v>
                </c:pt>
                <c:pt idx="56">
                  <c:v>185711037</c:v>
                </c:pt>
                <c:pt idx="57">
                  <c:v>173716659</c:v>
                </c:pt>
                <c:pt idx="58">
                  <c:v>186546308</c:v>
                </c:pt>
                <c:pt idx="59">
                  <c:v>156930640</c:v>
                </c:pt>
                <c:pt idx="60">
                  <c:v>185938879</c:v>
                </c:pt>
                <c:pt idx="61">
                  <c:v>185180101</c:v>
                </c:pt>
                <c:pt idx="62">
                  <c:v>185224654</c:v>
                </c:pt>
                <c:pt idx="63">
                  <c:v>184828949</c:v>
                </c:pt>
                <c:pt idx="64">
                  <c:v>184561934</c:v>
                </c:pt>
                <c:pt idx="65">
                  <c:v>186473950</c:v>
                </c:pt>
                <c:pt idx="66">
                  <c:v>186541810</c:v>
                </c:pt>
                <c:pt idx="67">
                  <c:v>186546888</c:v>
                </c:pt>
                <c:pt idx="68">
                  <c:v>178695374</c:v>
                </c:pt>
                <c:pt idx="69">
                  <c:v>182632128</c:v>
                </c:pt>
                <c:pt idx="70">
                  <c:v>186534282</c:v>
                </c:pt>
                <c:pt idx="71">
                  <c:v>160936432</c:v>
                </c:pt>
                <c:pt idx="72">
                  <c:v>173113756</c:v>
                </c:pt>
                <c:pt idx="73">
                  <c:v>186448050</c:v>
                </c:pt>
                <c:pt idx="74">
                  <c:v>184004382</c:v>
                </c:pt>
                <c:pt idx="75">
                  <c:v>164141459</c:v>
                </c:pt>
                <c:pt idx="76">
                  <c:v>185627871</c:v>
                </c:pt>
                <c:pt idx="77">
                  <c:v>174376381</c:v>
                </c:pt>
                <c:pt idx="78">
                  <c:v>186416132</c:v>
                </c:pt>
                <c:pt idx="79">
                  <c:v>185898270</c:v>
                </c:pt>
                <c:pt idx="80">
                  <c:v>178555601</c:v>
                </c:pt>
                <c:pt idx="81">
                  <c:v>186340858</c:v>
                </c:pt>
                <c:pt idx="82">
                  <c:v>186547858</c:v>
                </c:pt>
                <c:pt idx="83">
                  <c:v>183411854</c:v>
                </c:pt>
                <c:pt idx="84">
                  <c:v>186522862</c:v>
                </c:pt>
                <c:pt idx="85">
                  <c:v>166867897</c:v>
                </c:pt>
                <c:pt idx="86">
                  <c:v>181851858</c:v>
                </c:pt>
                <c:pt idx="87">
                  <c:v>178976955</c:v>
                </c:pt>
                <c:pt idx="88">
                  <c:v>166554236</c:v>
                </c:pt>
                <c:pt idx="89">
                  <c:v>178134133</c:v>
                </c:pt>
                <c:pt idx="90">
                  <c:v>161672891</c:v>
                </c:pt>
                <c:pt idx="91">
                  <c:v>182207708</c:v>
                </c:pt>
                <c:pt idx="92">
                  <c:v>183993129</c:v>
                </c:pt>
                <c:pt idx="93">
                  <c:v>186545597</c:v>
                </c:pt>
                <c:pt idx="94">
                  <c:v>184104041</c:v>
                </c:pt>
                <c:pt idx="95">
                  <c:v>186061231</c:v>
                </c:pt>
                <c:pt idx="96">
                  <c:v>179956789</c:v>
                </c:pt>
                <c:pt idx="97">
                  <c:v>176474475</c:v>
                </c:pt>
                <c:pt idx="98">
                  <c:v>182872527</c:v>
                </c:pt>
                <c:pt idx="99">
                  <c:v>185904150</c:v>
                </c:pt>
                <c:pt idx="100">
                  <c:v>184657338</c:v>
                </c:pt>
                <c:pt idx="101">
                  <c:v>167921769</c:v>
                </c:pt>
                <c:pt idx="102">
                  <c:v>185655517</c:v>
                </c:pt>
                <c:pt idx="103">
                  <c:v>186547483</c:v>
                </c:pt>
                <c:pt idx="104">
                  <c:v>173716659</c:v>
                </c:pt>
                <c:pt idx="105">
                  <c:v>175462616</c:v>
                </c:pt>
                <c:pt idx="106">
                  <c:v>186527160</c:v>
                </c:pt>
                <c:pt idx="107">
                  <c:v>186547861</c:v>
                </c:pt>
                <c:pt idx="108">
                  <c:v>175212098</c:v>
                </c:pt>
                <c:pt idx="109">
                  <c:v>185758875</c:v>
                </c:pt>
                <c:pt idx="110">
                  <c:v>186547861</c:v>
                </c:pt>
                <c:pt idx="111">
                  <c:v>185917270</c:v>
                </c:pt>
                <c:pt idx="112">
                  <c:v>167380806</c:v>
                </c:pt>
                <c:pt idx="113">
                  <c:v>183411854</c:v>
                </c:pt>
                <c:pt idx="114">
                  <c:v>185718037</c:v>
                </c:pt>
                <c:pt idx="115">
                  <c:v>180067447</c:v>
                </c:pt>
                <c:pt idx="116">
                  <c:v>176160715</c:v>
                </c:pt>
                <c:pt idx="117">
                  <c:v>186459069</c:v>
                </c:pt>
                <c:pt idx="118">
                  <c:v>186092544</c:v>
                </c:pt>
                <c:pt idx="119">
                  <c:v>185168222</c:v>
                </c:pt>
                <c:pt idx="120">
                  <c:v>182325513</c:v>
                </c:pt>
                <c:pt idx="121">
                  <c:v>186448050</c:v>
                </c:pt>
                <c:pt idx="122">
                  <c:v>157673221</c:v>
                </c:pt>
                <c:pt idx="123">
                  <c:v>180626249</c:v>
                </c:pt>
                <c:pt idx="124">
                  <c:v>186438857</c:v>
                </c:pt>
                <c:pt idx="125">
                  <c:v>186545836</c:v>
                </c:pt>
                <c:pt idx="126">
                  <c:v>186109854</c:v>
                </c:pt>
                <c:pt idx="127">
                  <c:v>172907206</c:v>
                </c:pt>
                <c:pt idx="128">
                  <c:v>185035417</c:v>
                </c:pt>
                <c:pt idx="129">
                  <c:v>184760537</c:v>
                </c:pt>
                <c:pt idx="130">
                  <c:v>186544781</c:v>
                </c:pt>
                <c:pt idx="131">
                  <c:v>154613497</c:v>
                </c:pt>
                <c:pt idx="132">
                  <c:v>179624569</c:v>
                </c:pt>
                <c:pt idx="133">
                  <c:v>179916921</c:v>
                </c:pt>
                <c:pt idx="134">
                  <c:v>186523354</c:v>
                </c:pt>
                <c:pt idx="135">
                  <c:v>179128287</c:v>
                </c:pt>
                <c:pt idx="136">
                  <c:v>168137933</c:v>
                </c:pt>
                <c:pt idx="137">
                  <c:v>182600803</c:v>
                </c:pt>
                <c:pt idx="138">
                  <c:v>177690452</c:v>
                </c:pt>
                <c:pt idx="139">
                  <c:v>168881811</c:v>
                </c:pt>
                <c:pt idx="140">
                  <c:v>184937374</c:v>
                </c:pt>
                <c:pt idx="141">
                  <c:v>168637290</c:v>
                </c:pt>
                <c:pt idx="142">
                  <c:v>186459069</c:v>
                </c:pt>
                <c:pt idx="143">
                  <c:v>185443402</c:v>
                </c:pt>
                <c:pt idx="144">
                  <c:v>182150773</c:v>
                </c:pt>
                <c:pt idx="145">
                  <c:v>184189975</c:v>
                </c:pt>
                <c:pt idx="146">
                  <c:v>186547861</c:v>
                </c:pt>
                <c:pt idx="147">
                  <c:v>176055060</c:v>
                </c:pt>
                <c:pt idx="148">
                  <c:v>185045549</c:v>
                </c:pt>
                <c:pt idx="149">
                  <c:v>186528515</c:v>
                </c:pt>
                <c:pt idx="150">
                  <c:v>180809507</c:v>
                </c:pt>
                <c:pt idx="151">
                  <c:v>175071913</c:v>
                </c:pt>
                <c:pt idx="152">
                  <c:v>185854606</c:v>
                </c:pt>
                <c:pt idx="153">
                  <c:v>186374368</c:v>
                </c:pt>
                <c:pt idx="154">
                  <c:v>185409799</c:v>
                </c:pt>
                <c:pt idx="155">
                  <c:v>186356383</c:v>
                </c:pt>
                <c:pt idx="156">
                  <c:v>172393808</c:v>
                </c:pt>
                <c:pt idx="157">
                  <c:v>186031008</c:v>
                </c:pt>
                <c:pt idx="158">
                  <c:v>177690452</c:v>
                </c:pt>
                <c:pt idx="159">
                  <c:v>158114027</c:v>
                </c:pt>
                <c:pt idx="160">
                  <c:v>183584543</c:v>
                </c:pt>
                <c:pt idx="161">
                  <c:v>178124332</c:v>
                </c:pt>
                <c:pt idx="162">
                  <c:v>186173978</c:v>
                </c:pt>
                <c:pt idx="163">
                  <c:v>186545513</c:v>
                </c:pt>
                <c:pt idx="164">
                  <c:v>186497451</c:v>
                </c:pt>
                <c:pt idx="165">
                  <c:v>182822281</c:v>
                </c:pt>
                <c:pt idx="166">
                  <c:v>186539465</c:v>
                </c:pt>
                <c:pt idx="167">
                  <c:v>173589655</c:v>
                </c:pt>
                <c:pt idx="168">
                  <c:v>186273454</c:v>
                </c:pt>
                <c:pt idx="169">
                  <c:v>186547861</c:v>
                </c:pt>
                <c:pt idx="170">
                  <c:v>163667085</c:v>
                </c:pt>
                <c:pt idx="171">
                  <c:v>186290258</c:v>
                </c:pt>
                <c:pt idx="172">
                  <c:v>186127811</c:v>
                </c:pt>
                <c:pt idx="173">
                  <c:v>173716659</c:v>
                </c:pt>
                <c:pt idx="174">
                  <c:v>186265643</c:v>
                </c:pt>
                <c:pt idx="175">
                  <c:v>181797491</c:v>
                </c:pt>
                <c:pt idx="176">
                  <c:v>186473950</c:v>
                </c:pt>
                <c:pt idx="177">
                  <c:v>185124825</c:v>
                </c:pt>
                <c:pt idx="178">
                  <c:v>167380806</c:v>
                </c:pt>
                <c:pt idx="179">
                  <c:v>186547861</c:v>
                </c:pt>
                <c:pt idx="180">
                  <c:v>155692607</c:v>
                </c:pt>
                <c:pt idx="181">
                  <c:v>186538002</c:v>
                </c:pt>
                <c:pt idx="182">
                  <c:v>166427548</c:v>
                </c:pt>
                <c:pt idx="183">
                  <c:v>169798458</c:v>
                </c:pt>
                <c:pt idx="184">
                  <c:v>186547777</c:v>
                </c:pt>
                <c:pt idx="185">
                  <c:v>184157961</c:v>
                </c:pt>
                <c:pt idx="186">
                  <c:v>164806689</c:v>
                </c:pt>
                <c:pt idx="187">
                  <c:v>186540850</c:v>
                </c:pt>
                <c:pt idx="188">
                  <c:v>177955695</c:v>
                </c:pt>
                <c:pt idx="189">
                  <c:v>183571868</c:v>
                </c:pt>
                <c:pt idx="190">
                  <c:v>183433854</c:v>
                </c:pt>
                <c:pt idx="191">
                  <c:v>186425250</c:v>
                </c:pt>
                <c:pt idx="192">
                  <c:v>186543478</c:v>
                </c:pt>
                <c:pt idx="193">
                  <c:v>186520292</c:v>
                </c:pt>
                <c:pt idx="194">
                  <c:v>186547861</c:v>
                </c:pt>
                <c:pt idx="195">
                  <c:v>186490637</c:v>
                </c:pt>
                <c:pt idx="196">
                  <c:v>184172230</c:v>
                </c:pt>
                <c:pt idx="197">
                  <c:v>184777849</c:v>
                </c:pt>
                <c:pt idx="198">
                  <c:v>163132717</c:v>
                </c:pt>
                <c:pt idx="199">
                  <c:v>179482317</c:v>
                </c:pt>
                <c:pt idx="200">
                  <c:v>175670874</c:v>
                </c:pt>
                <c:pt idx="201">
                  <c:v>172622350</c:v>
                </c:pt>
                <c:pt idx="202">
                  <c:v>186505641</c:v>
                </c:pt>
                <c:pt idx="203">
                  <c:v>186230229</c:v>
                </c:pt>
                <c:pt idx="204">
                  <c:v>186547861</c:v>
                </c:pt>
                <c:pt idx="205">
                  <c:v>160011730</c:v>
                </c:pt>
                <c:pt idx="206">
                  <c:v>184845628</c:v>
                </c:pt>
                <c:pt idx="207">
                  <c:v>163132717</c:v>
                </c:pt>
                <c:pt idx="208">
                  <c:v>186546308</c:v>
                </c:pt>
                <c:pt idx="209">
                  <c:v>182756237</c:v>
                </c:pt>
                <c:pt idx="210">
                  <c:v>186534752</c:v>
                </c:pt>
                <c:pt idx="211">
                  <c:v>186358253</c:v>
                </c:pt>
                <c:pt idx="212">
                  <c:v>182542741</c:v>
                </c:pt>
                <c:pt idx="213">
                  <c:v>186164143</c:v>
                </c:pt>
                <c:pt idx="214">
                  <c:v>186444882</c:v>
                </c:pt>
                <c:pt idx="215">
                  <c:v>177824374</c:v>
                </c:pt>
                <c:pt idx="216">
                  <c:v>180626249</c:v>
                </c:pt>
                <c:pt idx="217">
                  <c:v>186225045</c:v>
                </c:pt>
                <c:pt idx="218">
                  <c:v>178536801</c:v>
                </c:pt>
                <c:pt idx="219">
                  <c:v>180323754</c:v>
                </c:pt>
                <c:pt idx="220">
                  <c:v>168137933</c:v>
                </c:pt>
                <c:pt idx="221">
                  <c:v>176160715</c:v>
                </c:pt>
                <c:pt idx="222">
                  <c:v>170566712</c:v>
                </c:pt>
                <c:pt idx="223">
                  <c:v>186503016</c:v>
                </c:pt>
                <c:pt idx="224">
                  <c:v>186547861</c:v>
                </c:pt>
                <c:pt idx="225">
                  <c:v>170011245</c:v>
                </c:pt>
                <c:pt idx="226">
                  <c:v>183166893</c:v>
                </c:pt>
                <c:pt idx="227">
                  <c:v>157094192</c:v>
                </c:pt>
                <c:pt idx="228">
                  <c:v>177955695</c:v>
                </c:pt>
                <c:pt idx="229">
                  <c:v>184161538</c:v>
                </c:pt>
                <c:pt idx="230">
                  <c:v>182822281</c:v>
                </c:pt>
                <c:pt idx="231">
                  <c:v>186547861</c:v>
                </c:pt>
                <c:pt idx="232">
                  <c:v>186339529</c:v>
                </c:pt>
                <c:pt idx="233">
                  <c:v>162514295</c:v>
                </c:pt>
                <c:pt idx="234">
                  <c:v>185541175</c:v>
                </c:pt>
                <c:pt idx="235">
                  <c:v>183486130</c:v>
                </c:pt>
                <c:pt idx="236">
                  <c:v>183115244</c:v>
                </c:pt>
                <c:pt idx="237">
                  <c:v>168693970</c:v>
                </c:pt>
                <c:pt idx="238">
                  <c:v>170870467</c:v>
                </c:pt>
                <c:pt idx="239">
                  <c:v>186117768</c:v>
                </c:pt>
                <c:pt idx="240">
                  <c:v>185394931</c:v>
                </c:pt>
                <c:pt idx="241">
                  <c:v>186540850</c:v>
                </c:pt>
                <c:pt idx="242">
                  <c:v>178404393</c:v>
                </c:pt>
                <c:pt idx="243">
                  <c:v>185961339</c:v>
                </c:pt>
                <c:pt idx="244">
                  <c:v>179788102</c:v>
                </c:pt>
                <c:pt idx="245">
                  <c:v>186547861</c:v>
                </c:pt>
                <c:pt idx="246">
                  <c:v>186145961</c:v>
                </c:pt>
                <c:pt idx="247">
                  <c:v>185928856</c:v>
                </c:pt>
                <c:pt idx="248">
                  <c:v>160478430</c:v>
                </c:pt>
                <c:pt idx="249">
                  <c:v>178085076</c:v>
                </c:pt>
                <c:pt idx="250">
                  <c:v>185961339</c:v>
                </c:pt>
                <c:pt idx="251">
                  <c:v>186547861</c:v>
                </c:pt>
                <c:pt idx="252">
                  <c:v>186440882</c:v>
                </c:pt>
                <c:pt idx="253">
                  <c:v>185950143</c:v>
                </c:pt>
                <c:pt idx="254">
                  <c:v>183411854</c:v>
                </c:pt>
                <c:pt idx="255">
                  <c:v>161776320</c:v>
                </c:pt>
                <c:pt idx="256">
                  <c:v>182500083</c:v>
                </c:pt>
                <c:pt idx="257">
                  <c:v>186547861</c:v>
                </c:pt>
                <c:pt idx="258">
                  <c:v>183618325</c:v>
                </c:pt>
                <c:pt idx="259">
                  <c:v>185492863</c:v>
                </c:pt>
                <c:pt idx="260">
                  <c:v>182931819</c:v>
                </c:pt>
                <c:pt idx="261">
                  <c:v>159927664</c:v>
                </c:pt>
                <c:pt idx="262">
                  <c:v>171640770</c:v>
                </c:pt>
                <c:pt idx="263">
                  <c:v>177385796</c:v>
                </c:pt>
                <c:pt idx="264">
                  <c:v>156697721</c:v>
                </c:pt>
                <c:pt idx="265">
                  <c:v>186547861</c:v>
                </c:pt>
                <c:pt idx="266">
                  <c:v>166363948</c:v>
                </c:pt>
                <c:pt idx="267">
                  <c:v>174295313</c:v>
                </c:pt>
                <c:pt idx="268">
                  <c:v>182098979</c:v>
                </c:pt>
                <c:pt idx="269">
                  <c:v>185558900</c:v>
                </c:pt>
                <c:pt idx="270">
                  <c:v>161776320</c:v>
                </c:pt>
                <c:pt idx="271">
                  <c:v>184806461</c:v>
                </c:pt>
                <c:pt idx="272">
                  <c:v>178489701</c:v>
                </c:pt>
                <c:pt idx="273">
                  <c:v>171300616</c:v>
                </c:pt>
                <c:pt idx="274">
                  <c:v>165651656</c:v>
                </c:pt>
                <c:pt idx="275">
                  <c:v>186528515</c:v>
                </c:pt>
                <c:pt idx="276">
                  <c:v>186466883</c:v>
                </c:pt>
                <c:pt idx="277">
                  <c:v>183086836</c:v>
                </c:pt>
                <c:pt idx="278">
                  <c:v>174416557</c:v>
                </c:pt>
                <c:pt idx="279">
                  <c:v>185367052</c:v>
                </c:pt>
                <c:pt idx="280">
                  <c:v>179337593</c:v>
                </c:pt>
                <c:pt idx="281">
                  <c:v>183618325</c:v>
                </c:pt>
                <c:pt idx="282">
                  <c:v>177060628</c:v>
                </c:pt>
                <c:pt idx="283">
                  <c:v>180145621</c:v>
                </c:pt>
                <c:pt idx="284">
                  <c:v>186547861</c:v>
                </c:pt>
                <c:pt idx="285">
                  <c:v>180145621</c:v>
                </c:pt>
                <c:pt idx="286">
                  <c:v>186368477</c:v>
                </c:pt>
                <c:pt idx="287">
                  <c:v>182462339</c:v>
                </c:pt>
                <c:pt idx="288">
                  <c:v>179216213</c:v>
                </c:pt>
                <c:pt idx="289">
                  <c:v>185158622</c:v>
                </c:pt>
                <c:pt idx="290">
                  <c:v>163401697</c:v>
                </c:pt>
                <c:pt idx="291">
                  <c:v>182190656</c:v>
                </c:pt>
                <c:pt idx="292">
                  <c:v>185492863</c:v>
                </c:pt>
                <c:pt idx="293">
                  <c:v>176055060</c:v>
                </c:pt>
                <c:pt idx="294">
                  <c:v>186043798</c:v>
                </c:pt>
                <c:pt idx="295">
                  <c:v>178192728</c:v>
                </c:pt>
                <c:pt idx="296">
                  <c:v>185558900</c:v>
                </c:pt>
                <c:pt idx="297">
                  <c:v>172485652</c:v>
                </c:pt>
                <c:pt idx="298">
                  <c:v>186512097</c:v>
                </c:pt>
                <c:pt idx="299">
                  <c:v>185384306</c:v>
                </c:pt>
                <c:pt idx="300">
                  <c:v>185045549</c:v>
                </c:pt>
                <c:pt idx="301">
                  <c:v>184580770</c:v>
                </c:pt>
                <c:pt idx="302">
                  <c:v>182150773</c:v>
                </c:pt>
                <c:pt idx="303">
                  <c:v>179233709</c:v>
                </c:pt>
                <c:pt idx="304">
                  <c:v>184074962</c:v>
                </c:pt>
                <c:pt idx="305">
                  <c:v>172622350</c:v>
                </c:pt>
                <c:pt idx="306">
                  <c:v>185224654</c:v>
                </c:pt>
                <c:pt idx="307">
                  <c:v>186318007</c:v>
                </c:pt>
                <c:pt idx="308">
                  <c:v>161202360</c:v>
                </c:pt>
                <c:pt idx="309">
                  <c:v>182058415</c:v>
                </c:pt>
                <c:pt idx="310">
                  <c:v>186425250</c:v>
                </c:pt>
                <c:pt idx="311">
                  <c:v>186357008</c:v>
                </c:pt>
                <c:pt idx="312">
                  <c:v>186108704</c:v>
                </c:pt>
                <c:pt idx="313">
                  <c:v>172667626</c:v>
                </c:pt>
                <c:pt idx="314">
                  <c:v>174904603</c:v>
                </c:pt>
                <c:pt idx="315">
                  <c:v>174969283</c:v>
                </c:pt>
                <c:pt idx="316">
                  <c:v>185738674</c:v>
                </c:pt>
                <c:pt idx="317">
                  <c:v>186512097</c:v>
                </c:pt>
                <c:pt idx="318">
                  <c:v>171365642</c:v>
                </c:pt>
                <c:pt idx="319">
                  <c:v>184552484</c:v>
                </c:pt>
                <c:pt idx="320">
                  <c:v>171462914</c:v>
                </c:pt>
                <c:pt idx="321">
                  <c:v>162084341</c:v>
                </c:pt>
                <c:pt idx="322">
                  <c:v>185738674</c:v>
                </c:pt>
                <c:pt idx="323">
                  <c:v>186249566</c:v>
                </c:pt>
                <c:pt idx="324">
                  <c:v>163353057</c:v>
                </c:pt>
                <c:pt idx="325">
                  <c:v>183993129</c:v>
                </c:pt>
                <c:pt idx="326">
                  <c:v>185951547</c:v>
                </c:pt>
                <c:pt idx="327">
                  <c:v>171235223</c:v>
                </c:pt>
                <c:pt idx="328">
                  <c:v>167623196</c:v>
                </c:pt>
                <c:pt idx="329">
                  <c:v>170326211</c:v>
                </c:pt>
                <c:pt idx="330">
                  <c:v>181072180</c:v>
                </c:pt>
                <c:pt idx="331">
                  <c:v>180468906</c:v>
                </c:pt>
                <c:pt idx="332">
                  <c:v>186540850</c:v>
                </c:pt>
                <c:pt idx="333">
                  <c:v>182122067</c:v>
                </c:pt>
                <c:pt idx="334">
                  <c:v>182236031</c:v>
                </c:pt>
                <c:pt idx="335">
                  <c:v>186540850</c:v>
                </c:pt>
                <c:pt idx="336">
                  <c:v>185669981</c:v>
                </c:pt>
                <c:pt idx="337">
                  <c:v>185786623</c:v>
                </c:pt>
                <c:pt idx="338">
                  <c:v>186485027</c:v>
                </c:pt>
                <c:pt idx="339">
                  <c:v>175743737</c:v>
                </c:pt>
                <c:pt idx="340">
                  <c:v>181754966</c:v>
                </c:pt>
                <c:pt idx="341">
                  <c:v>186374368</c:v>
                </c:pt>
                <c:pt idx="342">
                  <c:v>186444882</c:v>
                </c:pt>
                <c:pt idx="343">
                  <c:v>185904150</c:v>
                </c:pt>
                <c:pt idx="344">
                  <c:v>185224654</c:v>
                </c:pt>
                <c:pt idx="345">
                  <c:v>181223492</c:v>
                </c:pt>
                <c:pt idx="346">
                  <c:v>184617793</c:v>
                </c:pt>
                <c:pt idx="347">
                  <c:v>186547861</c:v>
                </c:pt>
                <c:pt idx="348">
                  <c:v>186477838</c:v>
                </c:pt>
                <c:pt idx="349">
                  <c:v>162388580</c:v>
                </c:pt>
                <c:pt idx="350">
                  <c:v>186547861</c:v>
                </c:pt>
                <c:pt idx="351">
                  <c:v>186547861</c:v>
                </c:pt>
                <c:pt idx="352">
                  <c:v>186547861</c:v>
                </c:pt>
                <c:pt idx="353">
                  <c:v>172439802</c:v>
                </c:pt>
                <c:pt idx="354">
                  <c:v>186456508</c:v>
                </c:pt>
                <c:pt idx="355">
                  <c:v>171831793</c:v>
                </c:pt>
                <c:pt idx="356">
                  <c:v>176861155</c:v>
                </c:pt>
                <c:pt idx="357">
                  <c:v>185809023</c:v>
                </c:pt>
                <c:pt idx="358">
                  <c:v>184777849</c:v>
                </c:pt>
                <c:pt idx="359">
                  <c:v>185655517</c:v>
                </c:pt>
                <c:pt idx="360">
                  <c:v>164187987</c:v>
                </c:pt>
                <c:pt idx="361">
                  <c:v>183460086</c:v>
                </c:pt>
                <c:pt idx="362">
                  <c:v>185854606</c:v>
                </c:pt>
                <c:pt idx="363">
                  <c:v>186547861</c:v>
                </c:pt>
                <c:pt idx="364">
                  <c:v>184602433</c:v>
                </c:pt>
                <c:pt idx="365">
                  <c:v>185338595</c:v>
                </c:pt>
                <c:pt idx="366">
                  <c:v>186073388</c:v>
                </c:pt>
                <c:pt idx="367">
                  <c:v>183993129</c:v>
                </c:pt>
                <c:pt idx="368">
                  <c:v>166427548</c:v>
                </c:pt>
                <c:pt idx="369">
                  <c:v>184886582</c:v>
                </c:pt>
                <c:pt idx="370">
                  <c:v>169142039</c:v>
                </c:pt>
                <c:pt idx="371">
                  <c:v>185353986</c:v>
                </c:pt>
                <c:pt idx="372">
                  <c:v>186152095</c:v>
                </c:pt>
                <c:pt idx="373">
                  <c:v>186282670</c:v>
                </c:pt>
                <c:pt idx="374">
                  <c:v>186428850</c:v>
                </c:pt>
                <c:pt idx="375">
                  <c:v>186502027</c:v>
                </c:pt>
                <c:pt idx="376">
                  <c:v>179852830</c:v>
                </c:pt>
                <c:pt idx="377">
                  <c:v>184456190</c:v>
                </c:pt>
                <c:pt idx="378">
                  <c:v>185883471</c:v>
                </c:pt>
                <c:pt idx="379">
                  <c:v>165651656</c:v>
                </c:pt>
                <c:pt idx="380">
                  <c:v>167380806</c:v>
                </c:pt>
                <c:pt idx="381">
                  <c:v>181959196</c:v>
                </c:pt>
                <c:pt idx="382">
                  <c:v>165031473</c:v>
                </c:pt>
                <c:pt idx="383">
                  <c:v>181277820</c:v>
                </c:pt>
                <c:pt idx="384">
                  <c:v>184947870</c:v>
                </c:pt>
                <c:pt idx="385">
                  <c:v>186547861</c:v>
                </c:pt>
                <c:pt idx="386">
                  <c:v>186528121</c:v>
                </c:pt>
                <c:pt idx="387">
                  <c:v>182424297</c:v>
                </c:pt>
                <c:pt idx="388">
                  <c:v>186547861</c:v>
                </c:pt>
                <c:pt idx="389">
                  <c:v>177245912</c:v>
                </c:pt>
                <c:pt idx="390">
                  <c:v>183367348</c:v>
                </c:pt>
                <c:pt idx="391">
                  <c:v>185928856</c:v>
                </c:pt>
                <c:pt idx="392">
                  <c:v>185996757</c:v>
                </c:pt>
                <c:pt idx="393">
                  <c:v>183885792</c:v>
                </c:pt>
                <c:pt idx="394">
                  <c:v>185068046</c:v>
                </c:pt>
                <c:pt idx="395">
                  <c:v>171251616</c:v>
                </c:pt>
                <c:pt idx="396">
                  <c:v>186507886</c:v>
                </c:pt>
                <c:pt idx="397">
                  <c:v>172622350</c:v>
                </c:pt>
                <c:pt idx="398">
                  <c:v>168484790</c:v>
                </c:pt>
                <c:pt idx="399">
                  <c:v>185443402</c:v>
                </c:pt>
                <c:pt idx="400">
                  <c:v>171070482</c:v>
                </c:pt>
                <c:pt idx="401">
                  <c:v>186515669</c:v>
                </c:pt>
                <c:pt idx="402">
                  <c:v>182207708</c:v>
                </c:pt>
                <c:pt idx="403">
                  <c:v>178299320</c:v>
                </c:pt>
                <c:pt idx="404">
                  <c:v>167703296</c:v>
                </c:pt>
                <c:pt idx="405">
                  <c:v>174036329</c:v>
                </c:pt>
                <c:pt idx="406">
                  <c:v>179406223</c:v>
                </c:pt>
                <c:pt idx="407">
                  <c:v>182882449</c:v>
                </c:pt>
                <c:pt idx="408">
                  <c:v>183668650</c:v>
                </c:pt>
                <c:pt idx="409">
                  <c:v>158546689</c:v>
                </c:pt>
                <c:pt idx="410">
                  <c:v>160775662</c:v>
                </c:pt>
                <c:pt idx="411">
                  <c:v>186459069</c:v>
                </c:pt>
                <c:pt idx="412">
                  <c:v>186079438</c:v>
                </c:pt>
                <c:pt idx="413">
                  <c:v>186547850</c:v>
                </c:pt>
                <c:pt idx="414">
                  <c:v>186506766</c:v>
                </c:pt>
                <c:pt idx="415">
                  <c:v>155183973</c:v>
                </c:pt>
                <c:pt idx="416">
                  <c:v>183185375</c:v>
                </c:pt>
                <c:pt idx="417">
                  <c:v>186522191</c:v>
                </c:pt>
                <c:pt idx="418">
                  <c:v>177617792</c:v>
                </c:pt>
                <c:pt idx="419">
                  <c:v>186395100</c:v>
                </c:pt>
                <c:pt idx="420">
                  <c:v>186535476</c:v>
                </c:pt>
                <c:pt idx="421">
                  <c:v>170718947</c:v>
                </c:pt>
                <c:pt idx="422">
                  <c:v>181754966</c:v>
                </c:pt>
                <c:pt idx="423">
                  <c:v>185928856</c:v>
                </c:pt>
                <c:pt idx="424">
                  <c:v>183389663</c:v>
                </c:pt>
                <c:pt idx="425">
                  <c:v>186521340</c:v>
                </c:pt>
                <c:pt idx="426">
                  <c:v>186543088</c:v>
                </c:pt>
                <c:pt idx="427">
                  <c:v>186517200</c:v>
                </c:pt>
                <c:pt idx="428">
                  <c:v>165585692</c:v>
                </c:pt>
                <c:pt idx="429">
                  <c:v>185748834</c:v>
                </c:pt>
                <c:pt idx="430">
                  <c:v>186547861</c:v>
                </c:pt>
                <c:pt idx="431">
                  <c:v>179566264</c:v>
                </c:pt>
                <c:pt idx="432">
                  <c:v>186496671</c:v>
                </c:pt>
                <c:pt idx="433">
                  <c:v>186547861</c:v>
                </c:pt>
                <c:pt idx="434">
                  <c:v>186547861</c:v>
                </c:pt>
                <c:pt idx="435">
                  <c:v>186383007</c:v>
                </c:pt>
                <c:pt idx="436">
                  <c:v>186545836</c:v>
                </c:pt>
                <c:pt idx="437">
                  <c:v>186466883</c:v>
                </c:pt>
                <c:pt idx="438">
                  <c:v>183981858</c:v>
                </c:pt>
                <c:pt idx="439">
                  <c:v>172847670</c:v>
                </c:pt>
                <c:pt idx="440">
                  <c:v>168599402</c:v>
                </c:pt>
                <c:pt idx="441">
                  <c:v>186418092</c:v>
                </c:pt>
                <c:pt idx="442">
                  <c:v>184746065</c:v>
                </c:pt>
                <c:pt idx="443">
                  <c:v>186547861</c:v>
                </c:pt>
                <c:pt idx="444">
                  <c:v>156081020</c:v>
                </c:pt>
                <c:pt idx="445">
                  <c:v>179607969</c:v>
                </c:pt>
                <c:pt idx="446">
                  <c:v>182058415</c:v>
                </c:pt>
                <c:pt idx="447">
                  <c:v>157353040</c:v>
                </c:pt>
                <c:pt idx="448">
                  <c:v>176635403</c:v>
                </c:pt>
                <c:pt idx="449">
                  <c:v>181815698</c:v>
                </c:pt>
                <c:pt idx="450">
                  <c:v>161956279</c:v>
                </c:pt>
                <c:pt idx="451">
                  <c:v>184456190</c:v>
                </c:pt>
                <c:pt idx="452">
                  <c:v>186473950</c:v>
                </c:pt>
                <c:pt idx="453">
                  <c:v>184590094</c:v>
                </c:pt>
                <c:pt idx="454">
                  <c:v>186265643</c:v>
                </c:pt>
                <c:pt idx="455">
                  <c:v>176726187</c:v>
                </c:pt>
                <c:pt idx="456">
                  <c:v>174603058</c:v>
                </c:pt>
                <c:pt idx="457">
                  <c:v>186535476</c:v>
                </c:pt>
                <c:pt idx="458">
                  <c:v>161069750</c:v>
                </c:pt>
                <c:pt idx="459">
                  <c:v>185422450</c:v>
                </c:pt>
                <c:pt idx="460">
                  <c:v>184501440</c:v>
                </c:pt>
                <c:pt idx="461">
                  <c:v>186158143</c:v>
                </c:pt>
                <c:pt idx="462">
                  <c:v>186530920</c:v>
                </c:pt>
                <c:pt idx="463">
                  <c:v>186483507</c:v>
                </c:pt>
                <c:pt idx="464">
                  <c:v>186546718</c:v>
                </c:pt>
                <c:pt idx="465">
                  <c:v>186374368</c:v>
                </c:pt>
                <c:pt idx="466">
                  <c:v>177576029</c:v>
                </c:pt>
                <c:pt idx="467">
                  <c:v>186530464</c:v>
                </c:pt>
                <c:pt idx="468">
                  <c:v>185854606</c:v>
                </c:pt>
                <c:pt idx="469">
                  <c:v>185904150</c:v>
                </c:pt>
                <c:pt idx="470">
                  <c:v>174295313</c:v>
                </c:pt>
                <c:pt idx="471">
                  <c:v>186515669</c:v>
                </c:pt>
                <c:pt idx="472">
                  <c:v>178231608</c:v>
                </c:pt>
                <c:pt idx="473">
                  <c:v>186459069</c:v>
                </c:pt>
                <c:pt idx="474">
                  <c:v>186547339</c:v>
                </c:pt>
                <c:pt idx="475">
                  <c:v>185136940</c:v>
                </c:pt>
                <c:pt idx="476">
                  <c:v>186265643</c:v>
                </c:pt>
                <c:pt idx="477">
                  <c:v>169344813</c:v>
                </c:pt>
                <c:pt idx="478">
                  <c:v>186530696</c:v>
                </c:pt>
                <c:pt idx="479">
                  <c:v>185772049</c:v>
                </c:pt>
                <c:pt idx="480">
                  <c:v>181016478</c:v>
                </c:pt>
                <c:pt idx="481">
                  <c:v>185757209</c:v>
                </c:pt>
                <c:pt idx="482">
                  <c:v>181477594</c:v>
                </c:pt>
                <c:pt idx="483">
                  <c:v>169834294</c:v>
                </c:pt>
                <c:pt idx="484">
                  <c:v>183787076</c:v>
                </c:pt>
                <c:pt idx="485">
                  <c:v>186547339</c:v>
                </c:pt>
                <c:pt idx="486">
                  <c:v>186173978</c:v>
                </c:pt>
                <c:pt idx="487">
                  <c:v>184452926</c:v>
                </c:pt>
                <c:pt idx="488">
                  <c:v>179836702</c:v>
                </c:pt>
                <c:pt idx="489">
                  <c:v>186507886</c:v>
                </c:pt>
                <c:pt idx="490">
                  <c:v>183086836</c:v>
                </c:pt>
                <c:pt idx="491">
                  <c:v>156596921</c:v>
                </c:pt>
                <c:pt idx="492">
                  <c:v>164851773</c:v>
                </c:pt>
                <c:pt idx="493">
                  <c:v>186079438</c:v>
                </c:pt>
                <c:pt idx="494">
                  <c:v>183486130</c:v>
                </c:pt>
                <c:pt idx="495">
                  <c:v>176265691</c:v>
                </c:pt>
                <c:pt idx="496">
                  <c:v>186190191</c:v>
                </c:pt>
                <c:pt idx="497">
                  <c:v>175186751</c:v>
                </c:pt>
                <c:pt idx="498">
                  <c:v>186311532</c:v>
                </c:pt>
                <c:pt idx="499">
                  <c:v>164350227</c:v>
                </c:pt>
                <c:pt idx="500">
                  <c:v>183689305</c:v>
                </c:pt>
                <c:pt idx="501">
                  <c:v>186547861</c:v>
                </c:pt>
                <c:pt idx="502">
                  <c:v>181851858</c:v>
                </c:pt>
                <c:pt idx="503">
                  <c:v>181209884</c:v>
                </c:pt>
                <c:pt idx="504">
                  <c:v>177854947</c:v>
                </c:pt>
                <c:pt idx="505">
                  <c:v>186204787</c:v>
                </c:pt>
                <c:pt idx="506">
                  <c:v>175148603</c:v>
                </c:pt>
                <c:pt idx="507">
                  <c:v>182023514</c:v>
                </c:pt>
                <c:pt idx="508">
                  <c:v>186133241</c:v>
                </c:pt>
                <c:pt idx="509">
                  <c:v>186322273</c:v>
                </c:pt>
                <c:pt idx="510">
                  <c:v>179128287</c:v>
                </c:pt>
                <c:pt idx="511">
                  <c:v>181411831</c:v>
                </c:pt>
                <c:pt idx="512">
                  <c:v>186432845</c:v>
                </c:pt>
                <c:pt idx="513">
                  <c:v>186543088</c:v>
                </c:pt>
                <c:pt idx="514">
                  <c:v>186494000</c:v>
                </c:pt>
                <c:pt idx="515">
                  <c:v>182179273</c:v>
                </c:pt>
                <c:pt idx="516">
                  <c:v>186546024</c:v>
                </c:pt>
                <c:pt idx="517">
                  <c:v>179039555</c:v>
                </c:pt>
                <c:pt idx="518">
                  <c:v>181079109</c:v>
                </c:pt>
                <c:pt idx="519">
                  <c:v>180407949</c:v>
                </c:pt>
                <c:pt idx="520">
                  <c:v>182462339</c:v>
                </c:pt>
                <c:pt idx="521">
                  <c:v>173461453</c:v>
                </c:pt>
                <c:pt idx="522">
                  <c:v>186538558</c:v>
                </c:pt>
                <c:pt idx="523">
                  <c:v>186152095</c:v>
                </c:pt>
                <c:pt idx="524">
                  <c:v>178231608</c:v>
                </c:pt>
                <c:pt idx="525">
                  <c:v>185738674</c:v>
                </c:pt>
                <c:pt idx="526">
                  <c:v>181457992</c:v>
                </c:pt>
                <c:pt idx="527">
                  <c:v>183086836</c:v>
                </c:pt>
                <c:pt idx="528">
                  <c:v>170011245</c:v>
                </c:pt>
                <c:pt idx="529">
                  <c:v>186547093</c:v>
                </c:pt>
                <c:pt idx="530">
                  <c:v>186404530</c:v>
                </c:pt>
                <c:pt idx="531">
                  <c:v>183936173</c:v>
                </c:pt>
                <c:pt idx="532">
                  <c:v>186361902</c:v>
                </c:pt>
                <c:pt idx="533">
                  <c:v>179624569</c:v>
                </c:pt>
                <c:pt idx="534">
                  <c:v>164670666</c:v>
                </c:pt>
                <c:pt idx="535">
                  <c:v>174077483</c:v>
                </c:pt>
                <c:pt idx="536">
                  <c:v>184242852</c:v>
                </c:pt>
                <c:pt idx="537">
                  <c:v>177060628</c:v>
                </c:pt>
                <c:pt idx="538">
                  <c:v>165629692</c:v>
                </c:pt>
                <c:pt idx="539">
                  <c:v>186424322</c:v>
                </c:pt>
                <c:pt idx="540">
                  <c:v>184690403</c:v>
                </c:pt>
                <c:pt idx="541">
                  <c:v>176726187</c:v>
                </c:pt>
                <c:pt idx="542">
                  <c:v>165912875</c:v>
                </c:pt>
                <c:pt idx="543">
                  <c:v>186448050</c:v>
                </c:pt>
                <c:pt idx="544">
                  <c:v>186547115</c:v>
                </c:pt>
                <c:pt idx="545">
                  <c:v>180521911</c:v>
                </c:pt>
                <c:pt idx="546">
                  <c:v>186457252</c:v>
                </c:pt>
                <c:pt idx="547">
                  <c:v>186539016</c:v>
                </c:pt>
                <c:pt idx="548">
                  <c:v>185180101</c:v>
                </c:pt>
                <c:pt idx="549">
                  <c:v>186410147</c:v>
                </c:pt>
                <c:pt idx="550">
                  <c:v>183838824</c:v>
                </c:pt>
                <c:pt idx="551">
                  <c:v>186547861</c:v>
                </c:pt>
                <c:pt idx="552">
                  <c:v>185783389</c:v>
                </c:pt>
                <c:pt idx="553">
                  <c:v>155764085</c:v>
                </c:pt>
                <c:pt idx="554">
                  <c:v>165999482</c:v>
                </c:pt>
                <c:pt idx="555">
                  <c:v>184626973</c:v>
                </c:pt>
                <c:pt idx="556">
                  <c:v>178649134</c:v>
                </c:pt>
                <c:pt idx="557">
                  <c:v>185603355</c:v>
                </c:pt>
                <c:pt idx="558">
                  <c:v>182926906</c:v>
                </c:pt>
                <c:pt idx="559">
                  <c:v>186529397</c:v>
                </c:pt>
                <c:pt idx="560">
                  <c:v>182058415</c:v>
                </c:pt>
                <c:pt idx="561">
                  <c:v>185027794</c:v>
                </c:pt>
                <c:pt idx="562">
                  <c:v>185318469</c:v>
                </c:pt>
                <c:pt idx="563">
                  <c:v>186249566</c:v>
                </c:pt>
                <c:pt idx="564">
                  <c:v>178231608</c:v>
                </c:pt>
                <c:pt idx="565">
                  <c:v>186530920</c:v>
                </c:pt>
                <c:pt idx="566">
                  <c:v>185614755</c:v>
                </c:pt>
                <c:pt idx="567">
                  <c:v>186357632</c:v>
                </c:pt>
                <c:pt idx="568">
                  <c:v>180145621</c:v>
                </c:pt>
                <c:pt idx="569">
                  <c:v>186371437</c:v>
                </c:pt>
                <c:pt idx="570">
                  <c:v>186544585</c:v>
                </c:pt>
                <c:pt idx="571">
                  <c:v>184937374</c:v>
                </c:pt>
                <c:pt idx="572">
                  <c:v>167623196</c:v>
                </c:pt>
                <c:pt idx="573">
                  <c:v>186543478</c:v>
                </c:pt>
                <c:pt idx="574">
                  <c:v>186285726</c:v>
                </c:pt>
                <c:pt idx="575">
                  <c:v>184406695</c:v>
                </c:pt>
                <c:pt idx="576">
                  <c:v>182897299</c:v>
                </c:pt>
                <c:pt idx="577">
                  <c:v>180035995</c:v>
                </c:pt>
                <c:pt idx="578">
                  <c:v>185655517</c:v>
                </c:pt>
                <c:pt idx="579">
                  <c:v>186529025</c:v>
                </c:pt>
                <c:pt idx="580">
                  <c:v>157513685</c:v>
                </c:pt>
                <c:pt idx="581">
                  <c:v>186544925</c:v>
                </c:pt>
                <c:pt idx="582">
                  <c:v>186497451</c:v>
                </c:pt>
                <c:pt idx="583">
                  <c:v>160668094</c:v>
                </c:pt>
                <c:pt idx="584">
                  <c:v>186206579</c:v>
                </c:pt>
                <c:pt idx="585">
                  <c:v>180262179</c:v>
                </c:pt>
                <c:pt idx="586">
                  <c:v>179988535</c:v>
                </c:pt>
                <c:pt idx="587">
                  <c:v>185045549</c:v>
                </c:pt>
                <c:pt idx="588">
                  <c:v>184873062</c:v>
                </c:pt>
                <c:pt idx="589">
                  <c:v>185224654</c:v>
                </c:pt>
                <c:pt idx="590">
                  <c:v>170685197</c:v>
                </c:pt>
                <c:pt idx="591">
                  <c:v>186451961</c:v>
                </c:pt>
                <c:pt idx="592">
                  <c:v>185772049</c:v>
                </c:pt>
                <c:pt idx="593">
                  <c:v>186547861</c:v>
                </c:pt>
                <c:pt idx="594">
                  <c:v>159057302</c:v>
                </c:pt>
                <c:pt idx="595">
                  <c:v>174826771</c:v>
                </c:pt>
                <c:pt idx="596">
                  <c:v>180145621</c:v>
                </c:pt>
                <c:pt idx="597">
                  <c:v>186398302</c:v>
                </c:pt>
                <c:pt idx="598">
                  <c:v>184602433</c:v>
                </c:pt>
                <c:pt idx="599">
                  <c:v>186309357</c:v>
                </c:pt>
                <c:pt idx="600">
                  <c:v>186547861</c:v>
                </c:pt>
                <c:pt idx="601">
                  <c:v>167197006</c:v>
                </c:pt>
                <c:pt idx="602">
                  <c:v>185336390</c:v>
                </c:pt>
                <c:pt idx="603">
                  <c:v>186340858</c:v>
                </c:pt>
                <c:pt idx="604">
                  <c:v>184023078</c:v>
                </c:pt>
                <c:pt idx="605">
                  <c:v>186273454</c:v>
                </c:pt>
                <c:pt idx="606">
                  <c:v>186547861</c:v>
                </c:pt>
                <c:pt idx="607">
                  <c:v>183318007</c:v>
                </c:pt>
                <c:pt idx="608">
                  <c:v>185327469</c:v>
                </c:pt>
                <c:pt idx="609">
                  <c:v>186494000</c:v>
                </c:pt>
                <c:pt idx="610">
                  <c:v>186534566</c:v>
                </c:pt>
                <c:pt idx="611">
                  <c:v>185832729</c:v>
                </c:pt>
                <c:pt idx="612">
                  <c:v>185693325</c:v>
                </c:pt>
                <c:pt idx="613">
                  <c:v>186510654</c:v>
                </c:pt>
                <c:pt idx="614">
                  <c:v>161491013</c:v>
                </c:pt>
                <c:pt idx="615">
                  <c:v>185414023</c:v>
                </c:pt>
                <c:pt idx="616">
                  <c:v>164851773</c:v>
                </c:pt>
                <c:pt idx="617">
                  <c:v>184263802</c:v>
                </c:pt>
                <c:pt idx="618">
                  <c:v>186525423</c:v>
                </c:pt>
                <c:pt idx="619">
                  <c:v>181959196</c:v>
                </c:pt>
                <c:pt idx="620">
                  <c:v>184322511</c:v>
                </c:pt>
                <c:pt idx="621">
                  <c:v>182931819</c:v>
                </c:pt>
                <c:pt idx="622">
                  <c:v>176393567</c:v>
                </c:pt>
                <c:pt idx="623">
                  <c:v>163547085</c:v>
                </c:pt>
                <c:pt idx="624">
                  <c:v>164000854</c:v>
                </c:pt>
                <c:pt idx="625">
                  <c:v>154377034</c:v>
                </c:pt>
                <c:pt idx="626">
                  <c:v>184546148</c:v>
                </c:pt>
                <c:pt idx="627">
                  <c:v>170515557</c:v>
                </c:pt>
                <c:pt idx="628">
                  <c:v>186432845</c:v>
                </c:pt>
                <c:pt idx="629">
                  <c:v>184189975</c:v>
                </c:pt>
                <c:pt idx="630">
                  <c:v>155584703</c:v>
                </c:pt>
                <c:pt idx="631">
                  <c:v>183838824</c:v>
                </c:pt>
                <c:pt idx="632">
                  <c:v>185132100</c:v>
                </c:pt>
                <c:pt idx="633">
                  <c:v>178759900</c:v>
                </c:pt>
                <c:pt idx="634">
                  <c:v>186374368</c:v>
                </c:pt>
                <c:pt idx="635">
                  <c:v>186473950</c:v>
                </c:pt>
                <c:pt idx="636">
                  <c:v>166867897</c:v>
                </c:pt>
                <c:pt idx="637">
                  <c:v>182353049</c:v>
                </c:pt>
                <c:pt idx="638">
                  <c:v>183034124</c:v>
                </c:pt>
                <c:pt idx="639">
                  <c:v>183389663</c:v>
                </c:pt>
                <c:pt idx="640">
                  <c:v>184393383</c:v>
                </c:pt>
                <c:pt idx="641">
                  <c:v>162564471</c:v>
                </c:pt>
                <c:pt idx="642">
                  <c:v>159027700</c:v>
                </c:pt>
                <c:pt idx="643">
                  <c:v>182122067</c:v>
                </c:pt>
                <c:pt idx="644">
                  <c:v>186512097</c:v>
                </c:pt>
                <c:pt idx="645">
                  <c:v>186547693</c:v>
                </c:pt>
                <c:pt idx="646">
                  <c:v>185088014</c:v>
                </c:pt>
                <c:pt idx="647">
                  <c:v>185890903</c:v>
                </c:pt>
                <c:pt idx="648">
                  <c:v>178887373</c:v>
                </c:pt>
                <c:pt idx="649">
                  <c:v>185068046</c:v>
                </c:pt>
                <c:pt idx="650">
                  <c:v>186543478</c:v>
                </c:pt>
                <c:pt idx="651">
                  <c:v>160668094</c:v>
                </c:pt>
                <c:pt idx="652">
                  <c:v>164716152</c:v>
                </c:pt>
                <c:pt idx="653">
                  <c:v>186546308</c:v>
                </c:pt>
                <c:pt idx="654">
                  <c:v>179303097</c:v>
                </c:pt>
                <c:pt idx="655">
                  <c:v>185384306</c:v>
                </c:pt>
                <c:pt idx="656">
                  <c:v>185718037</c:v>
                </c:pt>
                <c:pt idx="657">
                  <c:v>185478555</c:v>
                </c:pt>
                <c:pt idx="658">
                  <c:v>186422918</c:v>
                </c:pt>
                <c:pt idx="659">
                  <c:v>186542972</c:v>
                </c:pt>
                <c:pt idx="660">
                  <c:v>169271117</c:v>
                </c:pt>
                <c:pt idx="661">
                  <c:v>185254605</c:v>
                </c:pt>
                <c:pt idx="662">
                  <c:v>185853067</c:v>
                </c:pt>
                <c:pt idx="663">
                  <c:v>184034250</c:v>
                </c:pt>
                <c:pt idx="664">
                  <c:v>180692822</c:v>
                </c:pt>
                <c:pt idx="665">
                  <c:v>186465485</c:v>
                </c:pt>
                <c:pt idx="666">
                  <c:v>186546308</c:v>
                </c:pt>
                <c:pt idx="667">
                  <c:v>179092955</c:v>
                </c:pt>
                <c:pt idx="668">
                  <c:v>166826425</c:v>
                </c:pt>
                <c:pt idx="669">
                  <c:v>186481026</c:v>
                </c:pt>
                <c:pt idx="670">
                  <c:v>185772049</c:v>
                </c:pt>
                <c:pt idx="671">
                  <c:v>156897789</c:v>
                </c:pt>
                <c:pt idx="672">
                  <c:v>163667085</c:v>
                </c:pt>
                <c:pt idx="673">
                  <c:v>186471980</c:v>
                </c:pt>
                <c:pt idx="674">
                  <c:v>182542741</c:v>
                </c:pt>
                <c:pt idx="675">
                  <c:v>182678928</c:v>
                </c:pt>
                <c:pt idx="676">
                  <c:v>175250006</c:v>
                </c:pt>
                <c:pt idx="677">
                  <c:v>186404530</c:v>
                </c:pt>
                <c:pt idx="678">
                  <c:v>167921769</c:v>
                </c:pt>
                <c:pt idx="679">
                  <c:v>185017602</c:v>
                </c:pt>
                <c:pt idx="680">
                  <c:v>184568226</c:v>
                </c:pt>
                <c:pt idx="681">
                  <c:v>186547861</c:v>
                </c:pt>
                <c:pt idx="682">
                  <c:v>183077330</c:v>
                </c:pt>
                <c:pt idx="683">
                  <c:v>167803001</c:v>
                </c:pt>
                <c:pt idx="684">
                  <c:v>186043798</c:v>
                </c:pt>
                <c:pt idx="685">
                  <c:v>180392685</c:v>
                </c:pt>
                <c:pt idx="686">
                  <c:v>186517952</c:v>
                </c:pt>
                <c:pt idx="687">
                  <c:v>170239325</c:v>
                </c:pt>
                <c:pt idx="688">
                  <c:v>186213678</c:v>
                </c:pt>
                <c:pt idx="689">
                  <c:v>186547861</c:v>
                </c:pt>
                <c:pt idx="690">
                  <c:v>186517952</c:v>
                </c:pt>
                <c:pt idx="691">
                  <c:v>185206004</c:v>
                </c:pt>
                <c:pt idx="692">
                  <c:v>184456190</c:v>
                </c:pt>
                <c:pt idx="693">
                  <c:v>179524365</c:v>
                </c:pt>
                <c:pt idx="694">
                  <c:v>186391860</c:v>
                </c:pt>
                <c:pt idx="695">
                  <c:v>186173002</c:v>
                </c:pt>
                <c:pt idx="696">
                  <c:v>163132717</c:v>
                </c:pt>
                <c:pt idx="697">
                  <c:v>186131075</c:v>
                </c:pt>
                <c:pt idx="698">
                  <c:v>185562800</c:v>
                </c:pt>
                <c:pt idx="699">
                  <c:v>179039555</c:v>
                </c:pt>
                <c:pt idx="700">
                  <c:v>186094880</c:v>
                </c:pt>
                <c:pt idx="701">
                  <c:v>185309453</c:v>
                </c:pt>
                <c:pt idx="702">
                  <c:v>186547861</c:v>
                </c:pt>
                <c:pt idx="703">
                  <c:v>184675418</c:v>
                </c:pt>
                <c:pt idx="704">
                  <c:v>182391519</c:v>
                </c:pt>
                <c:pt idx="705">
                  <c:v>186366101</c:v>
                </c:pt>
                <c:pt idx="706">
                  <c:v>175816313</c:v>
                </c:pt>
                <c:pt idx="707">
                  <c:v>180626249</c:v>
                </c:pt>
                <c:pt idx="708">
                  <c:v>185476505</c:v>
                </c:pt>
                <c:pt idx="709">
                  <c:v>186544177</c:v>
                </c:pt>
                <c:pt idx="710">
                  <c:v>185871431</c:v>
                </c:pt>
                <c:pt idx="711">
                  <c:v>186505641</c:v>
                </c:pt>
                <c:pt idx="712">
                  <c:v>186545295</c:v>
                </c:pt>
                <c:pt idx="713">
                  <c:v>186542436</c:v>
                </c:pt>
                <c:pt idx="714">
                  <c:v>179499165</c:v>
                </c:pt>
                <c:pt idx="715">
                  <c:v>186480078</c:v>
                </c:pt>
                <c:pt idx="716">
                  <c:v>186547850</c:v>
                </c:pt>
                <c:pt idx="717">
                  <c:v>184373375</c:v>
                </c:pt>
                <c:pt idx="718">
                  <c:v>177534117</c:v>
                </c:pt>
                <c:pt idx="719">
                  <c:v>175007815</c:v>
                </c:pt>
                <c:pt idx="720">
                  <c:v>185918722</c:v>
                </c:pt>
                <c:pt idx="721">
                  <c:v>176760000</c:v>
                </c:pt>
                <c:pt idx="722">
                  <c:v>186536179</c:v>
                </c:pt>
                <c:pt idx="723">
                  <c:v>186539016</c:v>
                </c:pt>
                <c:pt idx="724">
                  <c:v>183668650</c:v>
                </c:pt>
                <c:pt idx="725">
                  <c:v>182807115</c:v>
                </c:pt>
                <c:pt idx="726">
                  <c:v>186529639</c:v>
                </c:pt>
                <c:pt idx="727">
                  <c:v>171462914</c:v>
                </c:pt>
                <c:pt idx="728">
                  <c:v>176113924</c:v>
                </c:pt>
                <c:pt idx="729">
                  <c:v>178280068</c:v>
                </c:pt>
                <c:pt idx="730">
                  <c:v>166107482</c:v>
                </c:pt>
                <c:pt idx="731">
                  <c:v>185934616</c:v>
                </c:pt>
                <c:pt idx="732">
                  <c:v>186374368</c:v>
                </c:pt>
                <c:pt idx="733">
                  <c:v>184393383</c:v>
                </c:pt>
                <c:pt idx="734">
                  <c:v>186546240</c:v>
                </c:pt>
                <c:pt idx="735">
                  <c:v>173925940</c:v>
                </c:pt>
                <c:pt idx="736">
                  <c:v>186222444</c:v>
                </c:pt>
                <c:pt idx="737">
                  <c:v>185525191</c:v>
                </c:pt>
                <c:pt idx="738">
                  <c:v>177492085</c:v>
                </c:pt>
                <c:pt idx="739">
                  <c:v>186492057</c:v>
                </c:pt>
                <c:pt idx="740">
                  <c:v>171414314</c:v>
                </c:pt>
                <c:pt idx="741">
                  <c:v>172516108</c:v>
                </c:pt>
                <c:pt idx="742">
                  <c:v>185877471</c:v>
                </c:pt>
                <c:pt idx="743">
                  <c:v>186330693</c:v>
                </c:pt>
                <c:pt idx="744">
                  <c:v>176265691</c:v>
                </c:pt>
                <c:pt idx="745">
                  <c:v>184963466</c:v>
                </c:pt>
                <c:pt idx="746">
                  <c:v>174281777</c:v>
                </c:pt>
                <c:pt idx="747">
                  <c:v>186536523</c:v>
                </c:pt>
                <c:pt idx="748">
                  <c:v>184699259</c:v>
                </c:pt>
                <c:pt idx="749">
                  <c:v>186480078</c:v>
                </c:pt>
                <c:pt idx="750">
                  <c:v>186297691</c:v>
                </c:pt>
                <c:pt idx="751">
                  <c:v>185951547</c:v>
                </c:pt>
                <c:pt idx="752">
                  <c:v>177690452</c:v>
                </c:pt>
                <c:pt idx="753">
                  <c:v>168750418</c:v>
                </c:pt>
                <c:pt idx="754">
                  <c:v>184902778</c:v>
                </c:pt>
                <c:pt idx="755">
                  <c:v>178750688</c:v>
                </c:pt>
                <c:pt idx="756">
                  <c:v>180938988</c:v>
                </c:pt>
                <c:pt idx="757">
                  <c:v>176043252</c:v>
                </c:pt>
                <c:pt idx="758">
                  <c:v>186546776</c:v>
                </c:pt>
                <c:pt idx="759">
                  <c:v>185206004</c:v>
                </c:pt>
                <c:pt idx="760">
                  <c:v>186326493</c:v>
                </c:pt>
                <c:pt idx="761">
                  <c:v>186547861</c:v>
                </c:pt>
                <c:pt idx="762">
                  <c:v>159871154</c:v>
                </c:pt>
                <c:pt idx="763">
                  <c:v>186532418</c:v>
                </c:pt>
                <c:pt idx="764">
                  <c:v>154377034</c:v>
                </c:pt>
                <c:pt idx="765">
                  <c:v>172099015</c:v>
                </c:pt>
                <c:pt idx="766">
                  <c:v>156391640</c:v>
                </c:pt>
                <c:pt idx="767">
                  <c:v>186430642</c:v>
                </c:pt>
                <c:pt idx="768">
                  <c:v>177245912</c:v>
                </c:pt>
                <c:pt idx="769">
                  <c:v>184873062</c:v>
                </c:pt>
                <c:pt idx="770">
                  <c:v>186396712</c:v>
                </c:pt>
                <c:pt idx="771">
                  <c:v>185786623</c:v>
                </c:pt>
                <c:pt idx="772">
                  <c:v>186301356</c:v>
                </c:pt>
                <c:pt idx="773">
                  <c:v>186512097</c:v>
                </c:pt>
                <c:pt idx="774">
                  <c:v>167542628</c:v>
                </c:pt>
                <c:pt idx="775">
                  <c:v>163279892</c:v>
                </c:pt>
                <c:pt idx="776">
                  <c:v>186008741</c:v>
                </c:pt>
                <c:pt idx="777">
                  <c:v>185562800</c:v>
                </c:pt>
                <c:pt idx="778">
                  <c:v>185823279</c:v>
                </c:pt>
                <c:pt idx="779">
                  <c:v>186514097</c:v>
                </c:pt>
                <c:pt idx="780">
                  <c:v>181209884</c:v>
                </c:pt>
                <c:pt idx="781">
                  <c:v>186539016</c:v>
                </c:pt>
                <c:pt idx="782">
                  <c:v>186482895</c:v>
                </c:pt>
                <c:pt idx="783">
                  <c:v>175972106</c:v>
                </c:pt>
                <c:pt idx="784">
                  <c:v>186451186</c:v>
                </c:pt>
                <c:pt idx="785">
                  <c:v>179039555</c:v>
                </c:pt>
                <c:pt idx="786">
                  <c:v>161491013</c:v>
                </c:pt>
                <c:pt idx="787">
                  <c:v>154996325</c:v>
                </c:pt>
                <c:pt idx="788">
                  <c:v>170169445</c:v>
                </c:pt>
                <c:pt idx="789">
                  <c:v>186547777</c:v>
                </c:pt>
                <c:pt idx="790">
                  <c:v>179916921</c:v>
                </c:pt>
                <c:pt idx="791">
                  <c:v>186506766</c:v>
                </c:pt>
                <c:pt idx="792">
                  <c:v>159899476</c:v>
                </c:pt>
                <c:pt idx="793">
                  <c:v>166469848</c:v>
                </c:pt>
                <c:pt idx="794">
                  <c:v>179964727</c:v>
                </c:pt>
                <c:pt idx="795">
                  <c:v>160342430</c:v>
                </c:pt>
                <c:pt idx="796">
                  <c:v>182632128</c:v>
                </c:pt>
                <c:pt idx="797">
                  <c:v>179788102</c:v>
                </c:pt>
                <c:pt idx="798">
                  <c:v>165782570</c:v>
                </c:pt>
                <c:pt idx="799">
                  <c:v>180354450</c:v>
                </c:pt>
                <c:pt idx="800">
                  <c:v>186485027</c:v>
                </c:pt>
                <c:pt idx="801">
                  <c:v>186547861</c:v>
                </c:pt>
                <c:pt idx="802">
                  <c:v>170395357</c:v>
                </c:pt>
                <c:pt idx="803">
                  <c:v>183272703</c:v>
                </c:pt>
                <c:pt idx="804">
                  <c:v>185765499</c:v>
                </c:pt>
                <c:pt idx="805">
                  <c:v>186079438</c:v>
                </c:pt>
                <c:pt idx="806">
                  <c:v>186041248</c:v>
                </c:pt>
                <c:pt idx="807">
                  <c:v>169142039</c:v>
                </c:pt>
                <c:pt idx="808">
                  <c:v>183928493</c:v>
                </c:pt>
                <c:pt idx="809">
                  <c:v>186416132</c:v>
                </c:pt>
                <c:pt idx="810">
                  <c:v>169958358</c:v>
                </c:pt>
                <c:pt idx="811">
                  <c:v>182756237</c:v>
                </c:pt>
                <c:pt idx="812">
                  <c:v>185468282</c:v>
                </c:pt>
                <c:pt idx="813">
                  <c:v>164851773</c:v>
                </c:pt>
                <c:pt idx="814">
                  <c:v>180787751</c:v>
                </c:pt>
                <c:pt idx="815">
                  <c:v>182897299</c:v>
                </c:pt>
                <c:pt idx="816">
                  <c:v>186233642</c:v>
                </c:pt>
                <c:pt idx="817">
                  <c:v>156219776</c:v>
                </c:pt>
                <c:pt idx="818">
                  <c:v>171720645</c:v>
                </c:pt>
                <c:pt idx="819">
                  <c:v>182912122</c:v>
                </c:pt>
                <c:pt idx="820">
                  <c:v>186520292</c:v>
                </c:pt>
                <c:pt idx="821">
                  <c:v>180544439</c:v>
                </c:pt>
                <c:pt idx="822">
                  <c:v>180231157</c:v>
                </c:pt>
                <c:pt idx="823">
                  <c:v>186535118</c:v>
                </c:pt>
                <c:pt idx="824">
                  <c:v>184393383</c:v>
                </c:pt>
                <c:pt idx="825">
                  <c:v>186517200</c:v>
                </c:pt>
                <c:pt idx="826">
                  <c:v>186290258</c:v>
                </c:pt>
                <c:pt idx="827">
                  <c:v>186309357</c:v>
                </c:pt>
                <c:pt idx="828">
                  <c:v>186542436</c:v>
                </c:pt>
                <c:pt idx="829">
                  <c:v>186532918</c:v>
                </c:pt>
                <c:pt idx="830">
                  <c:v>186496149</c:v>
                </c:pt>
                <c:pt idx="831">
                  <c:v>177955695</c:v>
                </c:pt>
                <c:pt idx="832">
                  <c:v>186466187</c:v>
                </c:pt>
                <c:pt idx="833">
                  <c:v>169762618</c:v>
                </c:pt>
                <c:pt idx="834">
                  <c:v>186546564</c:v>
                </c:pt>
                <c:pt idx="835">
                  <c:v>183048530</c:v>
                </c:pt>
                <c:pt idx="836">
                  <c:v>175199426</c:v>
                </c:pt>
                <c:pt idx="837">
                  <c:v>186225045</c:v>
                </c:pt>
                <c:pt idx="838">
                  <c:v>181797491</c:v>
                </c:pt>
                <c:pt idx="839">
                  <c:v>172966555</c:v>
                </c:pt>
                <c:pt idx="840">
                  <c:v>186402478</c:v>
                </c:pt>
                <c:pt idx="841">
                  <c:v>186503016</c:v>
                </c:pt>
                <c:pt idx="842">
                  <c:v>186489774</c:v>
                </c:pt>
                <c:pt idx="843">
                  <c:v>186547861</c:v>
                </c:pt>
                <c:pt idx="844">
                  <c:v>168825579</c:v>
                </c:pt>
                <c:pt idx="845">
                  <c:v>186251204</c:v>
                </c:pt>
                <c:pt idx="846">
                  <c:v>184722737</c:v>
                </c:pt>
                <c:pt idx="847">
                  <c:v>186420522</c:v>
                </c:pt>
                <c:pt idx="848">
                  <c:v>186024528</c:v>
                </c:pt>
                <c:pt idx="849">
                  <c:v>185136940</c:v>
                </c:pt>
                <c:pt idx="850">
                  <c:v>182600803</c:v>
                </c:pt>
                <c:pt idx="851">
                  <c:v>186428850</c:v>
                </c:pt>
                <c:pt idx="852">
                  <c:v>179706741</c:v>
                </c:pt>
                <c:pt idx="853">
                  <c:v>184189975</c:v>
                </c:pt>
                <c:pt idx="854">
                  <c:v>186547861</c:v>
                </c:pt>
                <c:pt idx="855">
                  <c:v>171752413</c:v>
                </c:pt>
                <c:pt idx="856">
                  <c:v>158207335</c:v>
                </c:pt>
                <c:pt idx="857">
                  <c:v>171752413</c:v>
                </c:pt>
                <c:pt idx="858">
                  <c:v>168637290</c:v>
                </c:pt>
                <c:pt idx="859">
                  <c:v>186521853</c:v>
                </c:pt>
                <c:pt idx="860">
                  <c:v>186399352</c:v>
                </c:pt>
                <c:pt idx="861">
                  <c:v>176961534</c:v>
                </c:pt>
                <c:pt idx="862">
                  <c:v>169197389</c:v>
                </c:pt>
                <c:pt idx="863">
                  <c:v>184413337</c:v>
                </c:pt>
                <c:pt idx="864">
                  <c:v>186218955</c:v>
                </c:pt>
                <c:pt idx="865">
                  <c:v>185107773</c:v>
                </c:pt>
                <c:pt idx="866">
                  <c:v>173814645</c:v>
                </c:pt>
                <c:pt idx="867">
                  <c:v>186536523</c:v>
                </c:pt>
                <c:pt idx="868">
                  <c:v>186003417</c:v>
                </c:pt>
                <c:pt idx="869">
                  <c:v>174904603</c:v>
                </c:pt>
                <c:pt idx="870">
                  <c:v>162262449</c:v>
                </c:pt>
                <c:pt idx="871">
                  <c:v>184848382</c:v>
                </c:pt>
                <c:pt idx="872">
                  <c:v>181815698</c:v>
                </c:pt>
                <c:pt idx="873">
                  <c:v>184916158</c:v>
                </c:pt>
                <c:pt idx="874">
                  <c:v>186055108</c:v>
                </c:pt>
                <c:pt idx="875">
                  <c:v>179303097</c:v>
                </c:pt>
                <c:pt idx="876">
                  <c:v>176113924</c:v>
                </c:pt>
                <c:pt idx="877">
                  <c:v>178173272</c:v>
                </c:pt>
                <c:pt idx="878">
                  <c:v>184228783</c:v>
                </c:pt>
                <c:pt idx="879">
                  <c:v>172439802</c:v>
                </c:pt>
                <c:pt idx="880">
                  <c:v>184104041</c:v>
                </c:pt>
                <c:pt idx="881">
                  <c:v>186545427</c:v>
                </c:pt>
                <c:pt idx="882">
                  <c:v>185119965</c:v>
                </c:pt>
                <c:pt idx="883">
                  <c:v>185060549</c:v>
                </c:pt>
                <c:pt idx="884">
                  <c:v>160668094</c:v>
                </c:pt>
                <c:pt idx="885">
                  <c:v>186225045</c:v>
                </c:pt>
                <c:pt idx="886">
                  <c:v>180407949</c:v>
                </c:pt>
                <c:pt idx="887">
                  <c:v>186533705</c:v>
                </c:pt>
                <c:pt idx="888">
                  <c:v>186444882</c:v>
                </c:pt>
                <c:pt idx="889">
                  <c:v>182678928</c:v>
                </c:pt>
                <c:pt idx="890">
                  <c:v>170395357</c:v>
                </c:pt>
                <c:pt idx="891">
                  <c:v>156930640</c:v>
                </c:pt>
                <c:pt idx="892">
                  <c:v>183838824</c:v>
                </c:pt>
                <c:pt idx="893">
                  <c:v>185865347</c:v>
                </c:pt>
                <c:pt idx="894">
                  <c:v>185309453</c:v>
                </c:pt>
                <c:pt idx="895">
                  <c:v>171414314</c:v>
                </c:pt>
                <c:pt idx="896">
                  <c:v>185027794</c:v>
                </c:pt>
                <c:pt idx="897">
                  <c:v>186273454</c:v>
                </c:pt>
                <c:pt idx="898">
                  <c:v>181619074</c:v>
                </c:pt>
                <c:pt idx="899">
                  <c:v>183554900</c:v>
                </c:pt>
                <c:pt idx="900">
                  <c:v>170169445</c:v>
                </c:pt>
                <c:pt idx="901">
                  <c:v>186547861</c:v>
                </c:pt>
                <c:pt idx="902">
                  <c:v>185187199</c:v>
                </c:pt>
                <c:pt idx="903">
                  <c:v>186305001</c:v>
                </c:pt>
                <c:pt idx="904">
                  <c:v>180285279</c:v>
                </c:pt>
                <c:pt idx="905">
                  <c:v>169852130</c:v>
                </c:pt>
                <c:pt idx="906">
                  <c:v>181970956</c:v>
                </c:pt>
                <c:pt idx="907">
                  <c:v>185924522</c:v>
                </c:pt>
                <c:pt idx="908">
                  <c:v>164851773</c:v>
                </c:pt>
                <c:pt idx="909">
                  <c:v>186094880</c:v>
                </c:pt>
                <c:pt idx="910">
                  <c:v>178470801</c:v>
                </c:pt>
                <c:pt idx="911">
                  <c:v>177955695</c:v>
                </c:pt>
                <c:pt idx="912">
                  <c:v>186547622</c:v>
                </c:pt>
                <c:pt idx="913">
                  <c:v>185206004</c:v>
                </c:pt>
                <c:pt idx="914">
                  <c:v>165210049</c:v>
                </c:pt>
                <c:pt idx="915">
                  <c:v>183213023</c:v>
                </c:pt>
                <c:pt idx="916">
                  <c:v>186542736</c:v>
                </c:pt>
                <c:pt idx="917">
                  <c:v>174800761</c:v>
                </c:pt>
                <c:pt idx="918">
                  <c:v>168040041</c:v>
                </c:pt>
                <c:pt idx="919">
                  <c:v>184249852</c:v>
                </c:pt>
                <c:pt idx="920">
                  <c:v>186547861</c:v>
                </c:pt>
                <c:pt idx="921">
                  <c:v>173317558</c:v>
                </c:pt>
                <c:pt idx="922">
                  <c:v>184963466</c:v>
                </c:pt>
                <c:pt idx="923">
                  <c:v>181994354</c:v>
                </c:pt>
                <c:pt idx="924">
                  <c:v>177093574</c:v>
                </c:pt>
                <c:pt idx="925">
                  <c:v>186458347</c:v>
                </c:pt>
                <c:pt idx="926">
                  <c:v>182975918</c:v>
                </c:pt>
                <c:pt idx="927">
                  <c:v>165999482</c:v>
                </c:pt>
                <c:pt idx="928">
                  <c:v>186265643</c:v>
                </c:pt>
                <c:pt idx="929">
                  <c:v>162887012</c:v>
                </c:pt>
                <c:pt idx="930">
                  <c:v>184406695</c:v>
                </c:pt>
                <c:pt idx="931">
                  <c:v>185832729</c:v>
                </c:pt>
                <c:pt idx="932">
                  <c:v>160178199</c:v>
                </c:pt>
                <c:pt idx="933">
                  <c:v>174774661</c:v>
                </c:pt>
                <c:pt idx="934">
                  <c:v>182424297</c:v>
                </c:pt>
                <c:pt idx="935">
                  <c:v>186451574</c:v>
                </c:pt>
                <c:pt idx="936">
                  <c:v>174227505</c:v>
                </c:pt>
                <c:pt idx="937">
                  <c:v>184546148</c:v>
                </c:pt>
                <c:pt idx="938">
                  <c:v>185124825</c:v>
                </c:pt>
                <c:pt idx="939">
                  <c:v>181675316</c:v>
                </c:pt>
                <c:pt idx="940">
                  <c:v>167481956</c:v>
                </c:pt>
                <c:pt idx="941">
                  <c:v>182678928</c:v>
                </c:pt>
                <c:pt idx="942">
                  <c:v>154996325</c:v>
                </c:pt>
                <c:pt idx="943">
                  <c:v>186421006</c:v>
                </c:pt>
                <c:pt idx="944">
                  <c:v>179739445</c:v>
                </c:pt>
                <c:pt idx="945">
                  <c:v>178035601</c:v>
                </c:pt>
                <c:pt idx="946">
                  <c:v>186547861</c:v>
                </c:pt>
                <c:pt idx="947">
                  <c:v>186485027</c:v>
                </c:pt>
                <c:pt idx="948">
                  <c:v>167481956</c:v>
                </c:pt>
                <c:pt idx="949">
                  <c:v>185874463</c:v>
                </c:pt>
                <c:pt idx="950">
                  <c:v>186532418</c:v>
                </c:pt>
                <c:pt idx="951">
                  <c:v>171752413</c:v>
                </c:pt>
                <c:pt idx="952">
                  <c:v>183571868</c:v>
                </c:pt>
                <c:pt idx="953">
                  <c:v>186547861</c:v>
                </c:pt>
                <c:pt idx="954">
                  <c:v>164488143</c:v>
                </c:pt>
                <c:pt idx="955">
                  <c:v>174669460</c:v>
                </c:pt>
                <c:pt idx="956">
                  <c:v>183838824</c:v>
                </c:pt>
                <c:pt idx="957">
                  <c:v>175313085</c:v>
                </c:pt>
                <c:pt idx="958">
                  <c:v>186158143</c:v>
                </c:pt>
                <c:pt idx="959">
                  <c:v>184514256</c:v>
                </c:pt>
                <c:pt idx="960">
                  <c:v>159757197</c:v>
                </c:pt>
                <c:pt idx="961">
                  <c:v>158393074</c:v>
                </c:pt>
                <c:pt idx="962">
                  <c:v>184626973</c:v>
                </c:pt>
                <c:pt idx="963">
                  <c:v>181555271</c:v>
                </c:pt>
                <c:pt idx="964">
                  <c:v>185153820</c:v>
                </c:pt>
                <c:pt idx="965">
                  <c:v>186525423</c:v>
                </c:pt>
                <c:pt idx="966">
                  <c:v>155870441</c:v>
                </c:pt>
                <c:pt idx="967">
                  <c:v>182626926</c:v>
                </c:pt>
                <c:pt idx="968">
                  <c:v>180407949</c:v>
                </c:pt>
                <c:pt idx="969">
                  <c:v>186547723</c:v>
                </c:pt>
                <c:pt idx="970">
                  <c:v>161956279</c:v>
                </c:pt>
                <c:pt idx="971">
                  <c:v>186497451</c:v>
                </c:pt>
                <c:pt idx="972">
                  <c:v>183584543</c:v>
                </c:pt>
                <c:pt idx="973">
                  <c:v>186432845</c:v>
                </c:pt>
                <c:pt idx="974">
                  <c:v>185095466</c:v>
                </c:pt>
                <c:pt idx="975">
                  <c:v>186251204</c:v>
                </c:pt>
                <c:pt idx="976">
                  <c:v>178833125</c:v>
                </c:pt>
                <c:pt idx="977">
                  <c:v>179198663</c:v>
                </c:pt>
                <c:pt idx="978">
                  <c:v>186538402</c:v>
                </c:pt>
                <c:pt idx="979">
                  <c:v>161569013</c:v>
                </c:pt>
                <c:pt idx="980">
                  <c:v>184329315</c:v>
                </c:pt>
                <c:pt idx="981">
                  <c:v>186386371</c:v>
                </c:pt>
                <c:pt idx="982">
                  <c:v>186504707</c:v>
                </c:pt>
                <c:pt idx="983">
                  <c:v>164670666</c:v>
                </c:pt>
                <c:pt idx="984">
                  <c:v>186489485</c:v>
                </c:pt>
                <c:pt idx="985">
                  <c:v>186152095</c:v>
                </c:pt>
                <c:pt idx="986">
                  <c:v>171185934</c:v>
                </c:pt>
                <c:pt idx="987">
                  <c:v>185848427</c:v>
                </c:pt>
                <c:pt idx="988">
                  <c:v>185562800</c:v>
                </c:pt>
                <c:pt idx="989">
                  <c:v>186240403</c:v>
                </c:pt>
                <c:pt idx="990">
                  <c:v>168176845</c:v>
                </c:pt>
                <c:pt idx="991">
                  <c:v>186453113</c:v>
                </c:pt>
                <c:pt idx="992">
                  <c:v>176646779</c:v>
                </c:pt>
                <c:pt idx="993">
                  <c:v>185977817</c:v>
                </c:pt>
                <c:pt idx="994">
                  <c:v>185551060</c:v>
                </c:pt>
                <c:pt idx="995">
                  <c:v>177407092</c:v>
                </c:pt>
                <c:pt idx="996">
                  <c:v>186168102</c:v>
                </c:pt>
                <c:pt idx="997">
                  <c:v>181338568</c:v>
                </c:pt>
                <c:pt idx="998">
                  <c:v>180012295</c:v>
                </c:pt>
                <c:pt idx="999">
                  <c:v>173674474</c:v>
                </c:pt>
                <c:pt idx="1000">
                  <c:v>186404530</c:v>
                </c:pt>
                <c:pt idx="1001">
                  <c:v>173898224</c:v>
                </c:pt>
                <c:pt idx="1002">
                  <c:v>160342430</c:v>
                </c:pt>
                <c:pt idx="1003">
                  <c:v>184590094</c:v>
                </c:pt>
                <c:pt idx="1004">
                  <c:v>186003417</c:v>
                </c:pt>
                <c:pt idx="1005">
                  <c:v>184963466</c:v>
                </c:pt>
                <c:pt idx="1006">
                  <c:v>185733573</c:v>
                </c:pt>
                <c:pt idx="1007">
                  <c:v>159671367</c:v>
                </c:pt>
                <c:pt idx="1008">
                  <c:v>176393567</c:v>
                </c:pt>
                <c:pt idx="1009">
                  <c:v>185196607</c:v>
                </c:pt>
                <c:pt idx="1010">
                  <c:v>174523294</c:v>
                </c:pt>
                <c:pt idx="1011">
                  <c:v>186398302</c:v>
                </c:pt>
                <c:pt idx="1012">
                  <c:v>173418358</c:v>
                </c:pt>
                <c:pt idx="1013">
                  <c:v>179163527</c:v>
                </c:pt>
                <c:pt idx="1014">
                  <c:v>186440882</c:v>
                </c:pt>
                <c:pt idx="1015">
                  <c:v>183411854</c:v>
                </c:pt>
                <c:pt idx="1016">
                  <c:v>185839021</c:v>
                </c:pt>
                <c:pt idx="1017">
                  <c:v>180354450</c:v>
                </c:pt>
                <c:pt idx="1018">
                  <c:v>186537273</c:v>
                </c:pt>
                <c:pt idx="1019">
                  <c:v>186113260</c:v>
                </c:pt>
                <c:pt idx="1020">
                  <c:v>186438441</c:v>
                </c:pt>
                <c:pt idx="1021">
                  <c:v>186543478</c:v>
                </c:pt>
                <c:pt idx="1022">
                  <c:v>176555095</c:v>
                </c:pt>
                <c:pt idx="1023">
                  <c:v>185443402</c:v>
                </c:pt>
                <c:pt idx="1024">
                  <c:v>186529025</c:v>
                </c:pt>
                <c:pt idx="1025">
                  <c:v>186540850</c:v>
                </c:pt>
                <c:pt idx="1026">
                  <c:v>166469848</c:v>
                </c:pt>
                <c:pt idx="1027">
                  <c:v>159584951</c:v>
                </c:pt>
                <c:pt idx="1028">
                  <c:v>186534566</c:v>
                </c:pt>
                <c:pt idx="1029">
                  <c:v>179039555</c:v>
                </c:pt>
                <c:pt idx="1030">
                  <c:v>184699259</c:v>
                </c:pt>
                <c:pt idx="1031">
                  <c:v>181736722</c:v>
                </c:pt>
                <c:pt idx="1032">
                  <c:v>186366101</c:v>
                </c:pt>
                <c:pt idx="1033">
                  <c:v>176703541</c:v>
                </c:pt>
                <c:pt idx="1034">
                  <c:v>184806461</c:v>
                </c:pt>
                <c:pt idx="1035">
                  <c:v>175462616</c:v>
                </c:pt>
                <c:pt idx="1036">
                  <c:v>173461453</c:v>
                </c:pt>
                <c:pt idx="1037">
                  <c:v>185648257</c:v>
                </c:pt>
                <c:pt idx="1038">
                  <c:v>186325089</c:v>
                </c:pt>
                <c:pt idx="1039">
                  <c:v>179763781</c:v>
                </c:pt>
                <c:pt idx="1040">
                  <c:v>181477594</c:v>
                </c:pt>
                <c:pt idx="1041">
                  <c:v>185158622</c:v>
                </c:pt>
                <c:pt idx="1042">
                  <c:v>186547861</c:v>
                </c:pt>
                <c:pt idx="1043">
                  <c:v>185373532</c:v>
                </c:pt>
                <c:pt idx="1044">
                  <c:v>185394931</c:v>
                </c:pt>
                <c:pt idx="1045">
                  <c:v>186541810</c:v>
                </c:pt>
                <c:pt idx="1046">
                  <c:v>156831389</c:v>
                </c:pt>
                <c:pt idx="1047">
                  <c:v>184439833</c:v>
                </c:pt>
                <c:pt idx="1048">
                  <c:v>160936432</c:v>
                </c:pt>
                <c:pt idx="1049">
                  <c:v>182756237</c:v>
                </c:pt>
                <c:pt idx="1050">
                  <c:v>169344813</c:v>
                </c:pt>
                <c:pt idx="1051">
                  <c:v>177343061</c:v>
                </c:pt>
                <c:pt idx="1052">
                  <c:v>173925940</c:v>
                </c:pt>
                <c:pt idx="1053">
                  <c:v>186544435</c:v>
                </c:pt>
                <c:pt idx="1054">
                  <c:v>181600040</c:v>
                </c:pt>
                <c:pt idx="1055">
                  <c:v>186448050</c:v>
                </c:pt>
                <c:pt idx="1056">
                  <c:v>180145621</c:v>
                </c:pt>
                <c:pt idx="1057">
                  <c:v>186391860</c:v>
                </c:pt>
                <c:pt idx="1058">
                  <c:v>158878505</c:v>
                </c:pt>
                <c:pt idx="1059">
                  <c:v>181182448</c:v>
                </c:pt>
                <c:pt idx="1060">
                  <c:v>177534117</c:v>
                </c:pt>
                <c:pt idx="1061">
                  <c:v>176994582</c:v>
                </c:pt>
                <c:pt idx="1062">
                  <c:v>178104728</c:v>
                </c:pt>
                <c:pt idx="1063">
                  <c:v>186413159</c:v>
                </c:pt>
                <c:pt idx="1064">
                  <c:v>184446392</c:v>
                </c:pt>
                <c:pt idx="1065">
                  <c:v>184356467</c:v>
                </c:pt>
                <c:pt idx="1066">
                  <c:v>186188329</c:v>
                </c:pt>
                <c:pt idx="1067">
                  <c:v>184840084</c:v>
                </c:pt>
                <c:pt idx="1068">
                  <c:v>185786623</c:v>
                </c:pt>
                <c:pt idx="1069">
                  <c:v>185102873</c:v>
                </c:pt>
                <c:pt idx="1070">
                  <c:v>186545638</c:v>
                </c:pt>
                <c:pt idx="1071">
                  <c:v>181644219</c:v>
                </c:pt>
                <c:pt idx="1072">
                  <c:v>175573402</c:v>
                </c:pt>
                <c:pt idx="1073">
                  <c:v>186529879</c:v>
                </c:pt>
                <c:pt idx="1074">
                  <c:v>167623196</c:v>
                </c:pt>
                <c:pt idx="1075">
                  <c:v>179852830</c:v>
                </c:pt>
                <c:pt idx="1076">
                  <c:v>184757647</c:v>
                </c:pt>
                <c:pt idx="1077">
                  <c:v>185088014</c:v>
                </c:pt>
                <c:pt idx="1078">
                  <c:v>177617792</c:v>
                </c:pt>
                <c:pt idx="1079">
                  <c:v>186265643</c:v>
                </c:pt>
                <c:pt idx="1080">
                  <c:v>186374368</c:v>
                </c:pt>
                <c:pt idx="1081">
                  <c:v>180744113</c:v>
                </c:pt>
                <c:pt idx="1082">
                  <c:v>183226841</c:v>
                </c:pt>
                <c:pt idx="1083">
                  <c:v>186477838</c:v>
                </c:pt>
                <c:pt idx="1084">
                  <c:v>174523294</c:v>
                </c:pt>
                <c:pt idx="1085">
                  <c:v>164716152</c:v>
                </c:pt>
                <c:pt idx="1086">
                  <c:v>184873062</c:v>
                </c:pt>
                <c:pt idx="1087">
                  <c:v>180867271</c:v>
                </c:pt>
                <c:pt idx="1088">
                  <c:v>183344963</c:v>
                </c:pt>
                <c:pt idx="1089">
                  <c:v>159323089</c:v>
                </c:pt>
                <c:pt idx="1090">
                  <c:v>173716659</c:v>
                </c:pt>
                <c:pt idx="1091">
                  <c:v>184096821</c:v>
                </c:pt>
                <c:pt idx="1092">
                  <c:v>181113669</c:v>
                </c:pt>
                <c:pt idx="1093">
                  <c:v>172667626</c:v>
                </c:pt>
                <c:pt idx="1094">
                  <c:v>186448050</c:v>
                </c:pt>
                <c:pt idx="1095">
                  <c:v>186520996</c:v>
                </c:pt>
                <c:pt idx="1096">
                  <c:v>174603058</c:v>
                </c:pt>
                <c:pt idx="1097">
                  <c:v>162161129</c:v>
                </c:pt>
                <c:pt idx="1098">
                  <c:v>182451497</c:v>
                </c:pt>
                <c:pt idx="1099">
                  <c:v>183318007</c:v>
                </c:pt>
                <c:pt idx="1100">
                  <c:v>185839021</c:v>
                </c:pt>
                <c:pt idx="1101">
                  <c:v>163523021</c:v>
                </c:pt>
                <c:pt idx="1102">
                  <c:v>182912122</c:v>
                </c:pt>
                <c:pt idx="1103">
                  <c:v>184189975</c:v>
                </c:pt>
                <c:pt idx="1104">
                  <c:v>185286773</c:v>
                </c:pt>
                <c:pt idx="1105">
                  <c:v>174969283</c:v>
                </c:pt>
                <c:pt idx="1106">
                  <c:v>179163527</c:v>
                </c:pt>
                <c:pt idx="1107">
                  <c:v>175437848</c:v>
                </c:pt>
                <c:pt idx="1108">
                  <c:v>183442642</c:v>
                </c:pt>
                <c:pt idx="1109">
                  <c:v>175487366</c:v>
                </c:pt>
                <c:pt idx="1110">
                  <c:v>184568226</c:v>
                </c:pt>
                <c:pt idx="1111">
                  <c:v>186016704</c:v>
                </c:pt>
                <c:pt idx="1112">
                  <c:v>184023078</c:v>
                </c:pt>
                <c:pt idx="1113">
                  <c:v>185786623</c:v>
                </c:pt>
                <c:pt idx="1114">
                  <c:v>184886582</c:v>
                </c:pt>
                <c:pt idx="1115">
                  <c:v>186451961</c:v>
                </c:pt>
                <c:pt idx="1116">
                  <c:v>186547861</c:v>
                </c:pt>
                <c:pt idx="1117">
                  <c:v>186462669</c:v>
                </c:pt>
                <c:pt idx="1118">
                  <c:v>186547861</c:v>
                </c:pt>
                <c:pt idx="1119">
                  <c:v>186334804</c:v>
                </c:pt>
                <c:pt idx="1120">
                  <c:v>186061231</c:v>
                </c:pt>
                <c:pt idx="1121">
                  <c:v>186386371</c:v>
                </c:pt>
                <c:pt idx="1122">
                  <c:v>181736722</c:v>
                </c:pt>
                <c:pt idx="1123">
                  <c:v>182616520</c:v>
                </c:pt>
                <c:pt idx="1124">
                  <c:v>162887012</c:v>
                </c:pt>
                <c:pt idx="1125">
                  <c:v>183838824</c:v>
                </c:pt>
                <c:pt idx="1126">
                  <c:v>185603355</c:v>
                </c:pt>
                <c:pt idx="1127">
                  <c:v>173632138</c:v>
                </c:pt>
                <c:pt idx="1128">
                  <c:v>186245417</c:v>
                </c:pt>
                <c:pt idx="1129">
                  <c:v>184228783</c:v>
                </c:pt>
                <c:pt idx="1130">
                  <c:v>186176894</c:v>
                </c:pt>
                <c:pt idx="1131">
                  <c:v>186133241</c:v>
                </c:pt>
                <c:pt idx="1132">
                  <c:v>184886582</c:v>
                </c:pt>
                <c:pt idx="1133">
                  <c:v>183742682</c:v>
                </c:pt>
                <c:pt idx="1134">
                  <c:v>186391860</c:v>
                </c:pt>
                <c:pt idx="1135">
                  <c:v>186055108</c:v>
                </c:pt>
                <c:pt idx="1136">
                  <c:v>180831182</c:v>
                </c:pt>
                <c:pt idx="1137">
                  <c:v>166950697</c:v>
                </c:pt>
                <c:pt idx="1138">
                  <c:v>167921769</c:v>
                </c:pt>
                <c:pt idx="1139">
                  <c:v>186395100</c:v>
                </c:pt>
                <c:pt idx="1140">
                  <c:v>181161868</c:v>
                </c:pt>
                <c:pt idx="1141">
                  <c:v>175313085</c:v>
                </c:pt>
                <c:pt idx="1142">
                  <c:v>179876921</c:v>
                </c:pt>
                <c:pt idx="1143">
                  <c:v>162084341</c:v>
                </c:pt>
                <c:pt idx="1144">
                  <c:v>184905466</c:v>
                </c:pt>
                <c:pt idx="1145">
                  <c:v>186437595</c:v>
                </c:pt>
                <c:pt idx="1146">
                  <c:v>186123383</c:v>
                </c:pt>
                <c:pt idx="1147">
                  <c:v>186545950</c:v>
                </c:pt>
                <c:pt idx="1148">
                  <c:v>185334165</c:v>
                </c:pt>
                <c:pt idx="1149">
                  <c:v>180035995</c:v>
                </c:pt>
                <c:pt idx="1150">
                  <c:v>184746065</c:v>
                </c:pt>
                <c:pt idx="1151">
                  <c:v>181600040</c:v>
                </c:pt>
                <c:pt idx="1152">
                  <c:v>181887858</c:v>
                </c:pt>
                <c:pt idx="1153">
                  <c:v>186500011</c:v>
                </c:pt>
                <c:pt idx="1154">
                  <c:v>183970533</c:v>
                </c:pt>
                <c:pt idx="1155">
                  <c:v>185286773</c:v>
                </c:pt>
                <c:pt idx="1156">
                  <c:v>168098945</c:v>
                </c:pt>
                <c:pt idx="1157">
                  <c:v>186117768</c:v>
                </c:pt>
                <c:pt idx="1158">
                  <c:v>166950697</c:v>
                </c:pt>
                <c:pt idx="1159">
                  <c:v>166764025</c:v>
                </c:pt>
                <c:pt idx="1160">
                  <c:v>185680781</c:v>
                </c:pt>
                <c:pt idx="1161">
                  <c:v>185112669</c:v>
                </c:pt>
                <c:pt idx="1162">
                  <c:v>182975918</c:v>
                </c:pt>
                <c:pt idx="1163">
                  <c:v>185644597</c:v>
                </c:pt>
                <c:pt idx="1164">
                  <c:v>183571868</c:v>
                </c:pt>
                <c:pt idx="1165">
                  <c:v>185043022</c:v>
                </c:pt>
                <c:pt idx="1166">
                  <c:v>169197389</c:v>
                </c:pt>
                <c:pt idx="1167">
                  <c:v>186471647</c:v>
                </c:pt>
                <c:pt idx="1168">
                  <c:v>186326493</c:v>
                </c:pt>
                <c:pt idx="1169">
                  <c:v>168235057</c:v>
                </c:pt>
                <c:pt idx="1170">
                  <c:v>162887012</c:v>
                </c:pt>
                <c:pt idx="1171">
                  <c:v>186145961</c:v>
                </c:pt>
                <c:pt idx="1172">
                  <c:v>185027794</c:v>
                </c:pt>
                <c:pt idx="1173">
                  <c:v>185309453</c:v>
                </c:pt>
                <c:pt idx="1174">
                  <c:v>184041686</c:v>
                </c:pt>
                <c:pt idx="1175">
                  <c:v>172742932</c:v>
                </c:pt>
                <c:pt idx="1176">
                  <c:v>185893854</c:v>
                </c:pt>
                <c:pt idx="1177">
                  <c:v>181079109</c:v>
                </c:pt>
                <c:pt idx="1178">
                  <c:v>164488143</c:v>
                </c:pt>
                <c:pt idx="1179">
                  <c:v>170786371</c:v>
                </c:pt>
                <c:pt idx="1180">
                  <c:v>185422450</c:v>
                </c:pt>
                <c:pt idx="1181">
                  <c:v>186024528</c:v>
                </c:pt>
                <c:pt idx="1182">
                  <c:v>177016604</c:v>
                </c:pt>
                <c:pt idx="1183">
                  <c:v>185983257</c:v>
                </c:pt>
                <c:pt idx="1184">
                  <c:v>186547594</c:v>
                </c:pt>
                <c:pt idx="1185">
                  <c:v>177905477</c:v>
                </c:pt>
                <c:pt idx="1186">
                  <c:v>183226841</c:v>
                </c:pt>
                <c:pt idx="1187">
                  <c:v>186073388</c:v>
                </c:pt>
                <c:pt idx="1188">
                  <c:v>168561254</c:v>
                </c:pt>
                <c:pt idx="1189">
                  <c:v>170360861</c:v>
                </c:pt>
                <c:pt idx="1190">
                  <c:v>186547861</c:v>
                </c:pt>
                <c:pt idx="1191">
                  <c:v>186257682</c:v>
                </c:pt>
                <c:pt idx="1192">
                  <c:v>182386031</c:v>
                </c:pt>
                <c:pt idx="1193">
                  <c:v>177690452</c:v>
                </c:pt>
                <c:pt idx="1194">
                  <c:v>184772089</c:v>
                </c:pt>
                <c:pt idx="1195">
                  <c:v>157513685</c:v>
                </c:pt>
                <c:pt idx="1196">
                  <c:v>185224654</c:v>
                </c:pt>
                <c:pt idx="1197">
                  <c:v>158114027</c:v>
                </c:pt>
                <c:pt idx="1198">
                  <c:v>163953654</c:v>
                </c:pt>
                <c:pt idx="1199">
                  <c:v>182678928</c:v>
                </c:pt>
                <c:pt idx="1200">
                  <c:v>180035995</c:v>
                </c:pt>
                <c:pt idx="1201">
                  <c:v>186514493</c:v>
                </c:pt>
                <c:pt idx="1202">
                  <c:v>185718037</c:v>
                </c:pt>
                <c:pt idx="1203">
                  <c:v>183226841</c:v>
                </c:pt>
                <c:pt idx="1204">
                  <c:v>186190191</c:v>
                </c:pt>
                <c:pt idx="1205">
                  <c:v>185854606</c:v>
                </c:pt>
                <c:pt idx="1206">
                  <c:v>185168222</c:v>
                </c:pt>
                <c:pt idx="1207">
                  <c:v>186547861</c:v>
                </c:pt>
                <c:pt idx="1208">
                  <c:v>163787020</c:v>
                </c:pt>
                <c:pt idx="1209">
                  <c:v>185627871</c:v>
                </c:pt>
                <c:pt idx="1210">
                  <c:v>186437595</c:v>
                </c:pt>
                <c:pt idx="1211">
                  <c:v>186542436</c:v>
                </c:pt>
                <c:pt idx="1212">
                  <c:v>185009938</c:v>
                </c:pt>
                <c:pt idx="1213">
                  <c:v>166826425</c:v>
                </c:pt>
                <c:pt idx="1214">
                  <c:v>186547861</c:v>
                </c:pt>
                <c:pt idx="1215">
                  <c:v>185680781</c:v>
                </c:pt>
                <c:pt idx="1216">
                  <c:v>186113260</c:v>
                </c:pt>
                <c:pt idx="1217">
                  <c:v>185809023</c:v>
                </c:pt>
                <c:pt idx="1218">
                  <c:v>185711037</c:v>
                </c:pt>
                <c:pt idx="1219">
                  <c:v>186547856</c:v>
                </c:pt>
                <c:pt idx="1220">
                  <c:v>186312976</c:v>
                </c:pt>
                <c:pt idx="1221">
                  <c:v>186547022</c:v>
                </c:pt>
                <c:pt idx="1222">
                  <c:v>186510654</c:v>
                </c:pt>
                <c:pt idx="1223">
                  <c:v>166764025</c:v>
                </c:pt>
                <c:pt idx="1224">
                  <c:v>160668094</c:v>
                </c:pt>
                <c:pt idx="1225">
                  <c:v>183970533</c:v>
                </c:pt>
                <c:pt idx="1226">
                  <c:v>186430642</c:v>
                </c:pt>
                <c:pt idx="1227">
                  <c:v>186544585</c:v>
                </c:pt>
                <c:pt idx="1228">
                  <c:v>185996757</c:v>
                </c:pt>
                <c:pt idx="1229">
                  <c:v>170011245</c:v>
                </c:pt>
                <c:pt idx="1230">
                  <c:v>185367052</c:v>
                </c:pt>
                <c:pt idx="1231">
                  <c:v>184583902</c:v>
                </c:pt>
                <c:pt idx="1232">
                  <c:v>154017534</c:v>
                </c:pt>
                <c:pt idx="1233">
                  <c:v>164350227</c:v>
                </c:pt>
                <c:pt idx="1234">
                  <c:v>185586128</c:v>
                </c:pt>
                <c:pt idx="1235">
                  <c:v>184831742</c:v>
                </c:pt>
                <c:pt idx="1236">
                  <c:v>186345449</c:v>
                </c:pt>
                <c:pt idx="1237">
                  <c:v>185969593</c:v>
                </c:pt>
                <c:pt idx="1238">
                  <c:v>177905477</c:v>
                </c:pt>
                <c:pt idx="1239">
                  <c:v>186462669</c:v>
                </c:pt>
                <c:pt idx="1240">
                  <c:v>175816313</c:v>
                </c:pt>
                <c:pt idx="1241">
                  <c:v>183143468</c:v>
                </c:pt>
                <c:pt idx="1242">
                  <c:v>183344963</c:v>
                </c:pt>
                <c:pt idx="1243">
                  <c:v>186232794</c:v>
                </c:pt>
                <c:pt idx="1244">
                  <c:v>183272703</c:v>
                </c:pt>
                <c:pt idx="1245">
                  <c:v>185254605</c:v>
                </c:pt>
                <c:pt idx="1246">
                  <c:v>174709105</c:v>
                </c:pt>
                <c:pt idx="1247">
                  <c:v>157831783</c:v>
                </c:pt>
                <c:pt idx="1248">
                  <c:v>172966555</c:v>
                </c:pt>
                <c:pt idx="1249">
                  <c:v>186517952</c:v>
                </c:pt>
                <c:pt idx="1250">
                  <c:v>186545836</c:v>
                </c:pt>
                <c:pt idx="1251">
                  <c:v>157894639</c:v>
                </c:pt>
                <c:pt idx="1252">
                  <c:v>157673221</c:v>
                </c:pt>
                <c:pt idx="1253">
                  <c:v>183152868</c:v>
                </c:pt>
                <c:pt idx="1254">
                  <c:v>186459069</c:v>
                </c:pt>
                <c:pt idx="1255">
                  <c:v>186504707</c:v>
                </c:pt>
                <c:pt idx="1256">
                  <c:v>175071913</c:v>
                </c:pt>
                <c:pt idx="1257">
                  <c:v>173040250</c:v>
                </c:pt>
                <c:pt idx="1258">
                  <c:v>186547861</c:v>
                </c:pt>
                <c:pt idx="1259">
                  <c:v>158908468</c:v>
                </c:pt>
                <c:pt idx="1260">
                  <c:v>186542736</c:v>
                </c:pt>
                <c:pt idx="1261">
                  <c:v>179916921</c:v>
                </c:pt>
                <c:pt idx="1262">
                  <c:v>184777849</c:v>
                </c:pt>
                <c:pt idx="1263">
                  <c:v>182542741</c:v>
                </c:pt>
                <c:pt idx="1264">
                  <c:v>186458347</c:v>
                </c:pt>
                <c:pt idx="1265">
                  <c:v>184322511</c:v>
                </c:pt>
                <c:pt idx="1266">
                  <c:v>185478555</c:v>
                </c:pt>
                <c:pt idx="1267">
                  <c:v>178104728</c:v>
                </c:pt>
                <c:pt idx="1268">
                  <c:v>178695374</c:v>
                </c:pt>
                <c:pt idx="1269">
                  <c:v>184536611</c:v>
                </c:pt>
                <c:pt idx="1270">
                  <c:v>184916158</c:v>
                </c:pt>
                <c:pt idx="1271">
                  <c:v>186061231</c:v>
                </c:pt>
                <c:pt idx="1272">
                  <c:v>160342430</c:v>
                </c:pt>
                <c:pt idx="1273">
                  <c:v>185892379</c:v>
                </c:pt>
                <c:pt idx="1274">
                  <c:v>175413048</c:v>
                </c:pt>
                <c:pt idx="1275">
                  <c:v>185883471</c:v>
                </c:pt>
                <c:pt idx="1276">
                  <c:v>186496671</c:v>
                </c:pt>
                <c:pt idx="1277">
                  <c:v>186539016</c:v>
                </c:pt>
                <c:pt idx="1278">
                  <c:v>185731858</c:v>
                </c:pt>
                <c:pt idx="1279">
                  <c:v>186547861</c:v>
                </c:pt>
                <c:pt idx="1280">
                  <c:v>184376723</c:v>
                </c:pt>
                <c:pt idx="1281">
                  <c:v>186418092</c:v>
                </c:pt>
                <c:pt idx="1282">
                  <c:v>174523294</c:v>
                </c:pt>
                <c:pt idx="1283">
                  <c:v>182058415</c:v>
                </c:pt>
                <c:pt idx="1284">
                  <c:v>183516338</c:v>
                </c:pt>
                <c:pt idx="1285">
                  <c:v>161491013</c:v>
                </c:pt>
                <c:pt idx="1286">
                  <c:v>170887229</c:v>
                </c:pt>
                <c:pt idx="1287">
                  <c:v>186547861</c:v>
                </c:pt>
                <c:pt idx="1288">
                  <c:v>165076237</c:v>
                </c:pt>
                <c:pt idx="1289">
                  <c:v>176669521</c:v>
                </c:pt>
                <c:pt idx="1290">
                  <c:v>186547693</c:v>
                </c:pt>
                <c:pt idx="1291">
                  <c:v>176265691</c:v>
                </c:pt>
                <c:pt idx="1292">
                  <c:v>183787076</c:v>
                </c:pt>
                <c:pt idx="1293">
                  <c:v>186517952</c:v>
                </c:pt>
                <c:pt idx="1294">
                  <c:v>172966555</c:v>
                </c:pt>
                <c:pt idx="1295">
                  <c:v>184189975</c:v>
                </c:pt>
                <c:pt idx="1296">
                  <c:v>185786623</c:v>
                </c:pt>
                <c:pt idx="1297">
                  <c:v>183656170</c:v>
                </c:pt>
                <c:pt idx="1298">
                  <c:v>180461301</c:v>
                </c:pt>
                <c:pt idx="1299">
                  <c:v>186536179</c:v>
                </c:pt>
                <c:pt idx="1300">
                  <c:v>182781729</c:v>
                </c:pt>
                <c:pt idx="1301">
                  <c:v>184305371</c:v>
                </c:pt>
                <c:pt idx="1302">
                  <c:v>185045549</c:v>
                </c:pt>
                <c:pt idx="1303">
                  <c:v>183048530</c:v>
                </c:pt>
                <c:pt idx="1304">
                  <c:v>168098945</c:v>
                </c:pt>
                <c:pt idx="1305">
                  <c:v>185637185</c:v>
                </c:pt>
                <c:pt idx="1306">
                  <c:v>160095255</c:v>
                </c:pt>
                <c:pt idx="1307">
                  <c:v>177492085</c:v>
                </c:pt>
                <c:pt idx="1308">
                  <c:v>160287998</c:v>
                </c:pt>
                <c:pt idx="1309">
                  <c:v>177935609</c:v>
                </c:pt>
                <c:pt idx="1310">
                  <c:v>166278676</c:v>
                </c:pt>
                <c:pt idx="1311">
                  <c:v>184760537</c:v>
                </c:pt>
                <c:pt idx="1312">
                  <c:v>165343282</c:v>
                </c:pt>
                <c:pt idx="1313">
                  <c:v>179876921</c:v>
                </c:pt>
                <c:pt idx="1314">
                  <c:v>178593165</c:v>
                </c:pt>
                <c:pt idx="1315">
                  <c:v>168693970</c:v>
                </c:pt>
                <c:pt idx="1316">
                  <c:v>186192975</c:v>
                </c:pt>
                <c:pt idx="1317">
                  <c:v>171120042</c:v>
                </c:pt>
                <c:pt idx="1318">
                  <c:v>167032975</c:v>
                </c:pt>
                <c:pt idx="1319">
                  <c:v>163547085</c:v>
                </c:pt>
                <c:pt idx="1320">
                  <c:v>170011245</c:v>
                </c:pt>
                <c:pt idx="1321">
                  <c:v>156150620</c:v>
                </c:pt>
                <c:pt idx="1322">
                  <c:v>168599402</c:v>
                </c:pt>
                <c:pt idx="1323">
                  <c:v>177235096</c:v>
                </c:pt>
                <c:pt idx="1324">
                  <c:v>185168222</c:v>
                </c:pt>
                <c:pt idx="1325">
                  <c:v>169105103</c:v>
                </c:pt>
                <c:pt idx="1326">
                  <c:v>186408626</c:v>
                </c:pt>
                <c:pt idx="1327">
                  <c:v>183614111</c:v>
                </c:pt>
                <c:pt idx="1328">
                  <c:v>179964727</c:v>
                </c:pt>
                <c:pt idx="1329">
                  <c:v>186432845</c:v>
                </c:pt>
                <c:pt idx="1330">
                  <c:v>186490637</c:v>
                </c:pt>
                <c:pt idx="1331">
                  <c:v>181970956</c:v>
                </c:pt>
                <c:pt idx="1332">
                  <c:v>186453873</c:v>
                </c:pt>
                <c:pt idx="1333">
                  <c:v>162589419</c:v>
                </c:pt>
                <c:pt idx="1334">
                  <c:v>186530920</c:v>
                </c:pt>
                <c:pt idx="1335">
                  <c:v>178508577</c:v>
                </c:pt>
                <c:pt idx="1336">
                  <c:v>182822281</c:v>
                </c:pt>
                <c:pt idx="1337">
                  <c:v>179788102</c:v>
                </c:pt>
                <c:pt idx="1338">
                  <c:v>183924622</c:v>
                </c:pt>
                <c:pt idx="1339">
                  <c:v>185735274</c:v>
                </c:pt>
                <c:pt idx="1340">
                  <c:v>178887373</c:v>
                </c:pt>
                <c:pt idx="1341">
                  <c:v>175548854</c:v>
                </c:pt>
                <c:pt idx="1342">
                  <c:v>186547861</c:v>
                </c:pt>
                <c:pt idx="1343">
                  <c:v>182483955</c:v>
                </c:pt>
                <c:pt idx="1344">
                  <c:v>179499165</c:v>
                </c:pt>
                <c:pt idx="1345">
                  <c:v>181851858</c:v>
                </c:pt>
                <c:pt idx="1346">
                  <c:v>186543478</c:v>
                </c:pt>
                <c:pt idx="1347">
                  <c:v>155799685</c:v>
                </c:pt>
                <c:pt idx="1348">
                  <c:v>184795087</c:v>
                </c:pt>
                <c:pt idx="1349">
                  <c:v>169049615</c:v>
                </c:pt>
                <c:pt idx="1350">
                  <c:v>158908468</c:v>
                </c:pt>
                <c:pt idx="1351">
                  <c:v>176578082</c:v>
                </c:pt>
                <c:pt idx="1352">
                  <c:v>186008741</c:v>
                </c:pt>
                <c:pt idx="1353">
                  <c:v>172052197</c:v>
                </c:pt>
                <c:pt idx="1354">
                  <c:v>186168102</c:v>
                </c:pt>
                <c:pt idx="1355">
                  <c:v>160178199</c:v>
                </c:pt>
                <c:pt idx="1356">
                  <c:v>163009892</c:v>
                </c:pt>
                <c:pt idx="1357">
                  <c:v>179145927</c:v>
                </c:pt>
                <c:pt idx="1358">
                  <c:v>170718947</c:v>
                </c:pt>
                <c:pt idx="1359">
                  <c:v>186492897</c:v>
                </c:pt>
                <c:pt idx="1360">
                  <c:v>186440882</c:v>
                </c:pt>
                <c:pt idx="1361">
                  <c:v>185286773</c:v>
                </c:pt>
                <c:pt idx="1362">
                  <c:v>185382156</c:v>
                </c:pt>
                <c:pt idx="1363">
                  <c:v>186188329</c:v>
                </c:pt>
                <c:pt idx="1364">
                  <c:v>185492863</c:v>
                </c:pt>
                <c:pt idx="1365">
                  <c:v>186145961</c:v>
                </c:pt>
                <c:pt idx="1366">
                  <c:v>186440882</c:v>
                </c:pt>
                <c:pt idx="1367">
                  <c:v>172161319</c:v>
                </c:pt>
                <c:pt idx="1368">
                  <c:v>184867590</c:v>
                </c:pt>
                <c:pt idx="1369">
                  <c:v>184443116</c:v>
                </c:pt>
                <c:pt idx="1370">
                  <c:v>178787496</c:v>
                </c:pt>
                <c:pt idx="1371">
                  <c:v>186502027</c:v>
                </c:pt>
                <c:pt idx="1372">
                  <c:v>170481357</c:v>
                </c:pt>
                <c:pt idx="1373">
                  <c:v>183962933</c:v>
                </c:pt>
                <c:pt idx="1374">
                  <c:v>186144921</c:v>
                </c:pt>
                <c:pt idx="1375">
                  <c:v>185748834</c:v>
                </c:pt>
                <c:pt idx="1376">
                  <c:v>183762934</c:v>
                </c:pt>
                <c:pt idx="1377">
                  <c:v>178260708</c:v>
                </c:pt>
                <c:pt idx="1378">
                  <c:v>184958272</c:v>
                </c:pt>
                <c:pt idx="1379">
                  <c:v>178713824</c:v>
                </c:pt>
                <c:pt idx="1380">
                  <c:v>183838824</c:v>
                </c:pt>
                <c:pt idx="1381">
                  <c:v>185492863</c:v>
                </c:pt>
                <c:pt idx="1382">
                  <c:v>174173105</c:v>
                </c:pt>
                <c:pt idx="1383">
                  <c:v>171831793</c:v>
                </c:pt>
                <c:pt idx="1384">
                  <c:v>165999482</c:v>
                </c:pt>
                <c:pt idx="1385">
                  <c:v>169636628</c:v>
                </c:pt>
                <c:pt idx="1386">
                  <c:v>186547861</c:v>
                </c:pt>
                <c:pt idx="1387">
                  <c:v>186537273</c:v>
                </c:pt>
                <c:pt idx="1388">
                  <c:v>184760537</c:v>
                </c:pt>
                <c:pt idx="1389">
                  <c:v>185347395</c:v>
                </c:pt>
                <c:pt idx="1390">
                  <c:v>170970724</c:v>
                </c:pt>
                <c:pt idx="1391">
                  <c:v>182537429</c:v>
                </c:pt>
                <c:pt idx="1392">
                  <c:v>185783389</c:v>
                </c:pt>
                <c:pt idx="1393">
                  <c:v>163547085</c:v>
                </c:pt>
                <c:pt idx="1394">
                  <c:v>163882652</c:v>
                </c:pt>
                <c:pt idx="1395">
                  <c:v>163009892</c:v>
                </c:pt>
                <c:pt idx="1396">
                  <c:v>184929454</c:v>
                </c:pt>
                <c:pt idx="1397">
                  <c:v>177534117</c:v>
                </c:pt>
                <c:pt idx="1398">
                  <c:v>186181718</c:v>
                </c:pt>
                <c:pt idx="1399">
                  <c:v>186517952</c:v>
                </c:pt>
                <c:pt idx="1400">
                  <c:v>185735274</c:v>
                </c:pt>
                <c:pt idx="1401">
                  <c:v>183584543</c:v>
                </c:pt>
                <c:pt idx="1402">
                  <c:v>185918722</c:v>
                </c:pt>
                <c:pt idx="1403">
                  <c:v>185478555</c:v>
                </c:pt>
                <c:pt idx="1404">
                  <c:v>183407444</c:v>
                </c:pt>
                <c:pt idx="1405">
                  <c:v>185660956</c:v>
                </c:pt>
                <c:pt idx="1406">
                  <c:v>172238990</c:v>
                </c:pt>
                <c:pt idx="1407">
                  <c:v>185492863</c:v>
                </c:pt>
                <c:pt idx="1408">
                  <c:v>180067447</c:v>
                </c:pt>
                <c:pt idx="1409">
                  <c:v>186055108</c:v>
                </c:pt>
                <c:pt idx="1410">
                  <c:v>186019328</c:v>
                </c:pt>
                <c:pt idx="1411">
                  <c:v>186384141</c:v>
                </c:pt>
                <c:pt idx="1412">
                  <c:v>186515669</c:v>
                </c:pt>
                <c:pt idx="1413">
                  <c:v>186496671</c:v>
                </c:pt>
                <c:pt idx="1414">
                  <c:v>186547861</c:v>
                </c:pt>
                <c:pt idx="1415">
                  <c:v>186366101</c:v>
                </c:pt>
                <c:pt idx="1416">
                  <c:v>186546776</c:v>
                </c:pt>
                <c:pt idx="1417">
                  <c:v>186158143</c:v>
                </c:pt>
                <c:pt idx="1418">
                  <c:v>171462914</c:v>
                </c:pt>
                <c:pt idx="1419">
                  <c:v>160342430</c:v>
                </c:pt>
                <c:pt idx="1420">
                  <c:v>184583902</c:v>
                </c:pt>
                <c:pt idx="1421">
                  <c:v>186361902</c:v>
                </c:pt>
                <c:pt idx="1422">
                  <c:v>175597882</c:v>
                </c:pt>
                <c:pt idx="1423">
                  <c:v>178851300</c:v>
                </c:pt>
                <c:pt idx="1424">
                  <c:v>182771537</c:v>
                </c:pt>
                <c:pt idx="1425">
                  <c:v>180700193</c:v>
                </c:pt>
                <c:pt idx="1426">
                  <c:v>186542736</c:v>
                </c:pt>
                <c:pt idx="1427">
                  <c:v>184305371</c:v>
                </c:pt>
                <c:pt idx="1428">
                  <c:v>180566795</c:v>
                </c:pt>
                <c:pt idx="1429">
                  <c:v>186525866</c:v>
                </c:pt>
                <c:pt idx="1430">
                  <c:v>183668650</c:v>
                </c:pt>
                <c:pt idx="1431">
                  <c:v>186495358</c:v>
                </c:pt>
                <c:pt idx="1432">
                  <c:v>186547861</c:v>
                </c:pt>
                <c:pt idx="1433">
                  <c:v>186547861</c:v>
                </c:pt>
                <c:pt idx="1434">
                  <c:v>184413337</c:v>
                </c:pt>
                <c:pt idx="1435">
                  <c:v>186542188</c:v>
                </c:pt>
                <c:pt idx="1436">
                  <c:v>186547861</c:v>
                </c:pt>
                <c:pt idx="1437">
                  <c:v>183213023</c:v>
                </c:pt>
                <c:pt idx="1438">
                  <c:v>186487421</c:v>
                </c:pt>
                <c:pt idx="1439">
                  <c:v>185987313</c:v>
                </c:pt>
                <c:pt idx="1440">
                  <c:v>183115244</c:v>
                </c:pt>
                <c:pt idx="1441">
                  <c:v>181754966</c:v>
                </c:pt>
                <c:pt idx="1442">
                  <c:v>176961534</c:v>
                </c:pt>
                <c:pt idx="1443">
                  <c:v>178192728</c:v>
                </c:pt>
                <c:pt idx="1444">
                  <c:v>176578082</c:v>
                </c:pt>
                <c:pt idx="1445">
                  <c:v>176113924</c:v>
                </c:pt>
                <c:pt idx="1446">
                  <c:v>158454634</c:v>
                </c:pt>
                <c:pt idx="1447">
                  <c:v>186391860</c:v>
                </c:pt>
                <c:pt idx="1448">
                  <c:v>166300051</c:v>
                </c:pt>
                <c:pt idx="1449">
                  <c:v>185158622</c:v>
                </c:pt>
                <c:pt idx="1450">
                  <c:v>184552484</c:v>
                </c:pt>
                <c:pt idx="1451">
                  <c:v>186425250</c:v>
                </c:pt>
                <c:pt idx="1452">
                  <c:v>181182448</c:v>
                </c:pt>
                <c:pt idx="1453">
                  <c:v>185680781</c:v>
                </c:pt>
                <c:pt idx="1454">
                  <c:v>186544781</c:v>
                </c:pt>
                <c:pt idx="1455">
                  <c:v>186181718</c:v>
                </c:pt>
                <c:pt idx="1456">
                  <c:v>167921769</c:v>
                </c:pt>
                <c:pt idx="1457">
                  <c:v>163009892</c:v>
                </c:pt>
                <c:pt idx="1458">
                  <c:v>186547861</c:v>
                </c:pt>
                <c:pt idx="1459">
                  <c:v>156831389</c:v>
                </c:pt>
                <c:pt idx="1460">
                  <c:v>167319856</c:v>
                </c:pt>
                <c:pt idx="1461">
                  <c:v>185772049</c:v>
                </c:pt>
                <c:pt idx="1462">
                  <c:v>186506766</c:v>
                </c:pt>
                <c:pt idx="1463">
                  <c:v>184536611</c:v>
                </c:pt>
                <c:pt idx="1464">
                  <c:v>185786623</c:v>
                </c:pt>
                <c:pt idx="1465">
                  <c:v>186282670</c:v>
                </c:pt>
                <c:pt idx="1466">
                  <c:v>184817725</c:v>
                </c:pt>
                <c:pt idx="1467">
                  <c:v>169527657</c:v>
                </c:pt>
                <c:pt idx="1468">
                  <c:v>172130215</c:v>
                </c:pt>
                <c:pt idx="1469">
                  <c:v>186031008</c:v>
                </c:pt>
                <c:pt idx="1470">
                  <c:v>181947420</c:v>
                </c:pt>
                <c:pt idx="1471">
                  <c:v>183533510</c:v>
                </c:pt>
                <c:pt idx="1472">
                  <c:v>175033465</c:v>
                </c:pt>
                <c:pt idx="1473">
                  <c:v>175033465</c:v>
                </c:pt>
                <c:pt idx="1474">
                  <c:v>181411831</c:v>
                </c:pt>
                <c:pt idx="1475">
                  <c:v>186547339</c:v>
                </c:pt>
                <c:pt idx="1476">
                  <c:v>185394931</c:v>
                </c:pt>
                <c:pt idx="1477">
                  <c:v>165651656</c:v>
                </c:pt>
                <c:pt idx="1478">
                  <c:v>167197006</c:v>
                </c:pt>
                <c:pt idx="1479">
                  <c:v>185854606</c:v>
                </c:pt>
                <c:pt idx="1480">
                  <c:v>185525191</c:v>
                </c:pt>
                <c:pt idx="1481">
                  <c:v>184456190</c:v>
                </c:pt>
                <c:pt idx="1482">
                  <c:v>177407092</c:v>
                </c:pt>
                <c:pt idx="1483">
                  <c:v>183668650</c:v>
                </c:pt>
                <c:pt idx="1484">
                  <c:v>177824374</c:v>
                </c:pt>
                <c:pt idx="1485">
                  <c:v>165912875</c:v>
                </c:pt>
                <c:pt idx="1486">
                  <c:v>186509406</c:v>
                </c:pt>
                <c:pt idx="1487">
                  <c:v>180106623</c:v>
                </c:pt>
                <c:pt idx="1488">
                  <c:v>162589419</c:v>
                </c:pt>
                <c:pt idx="1489">
                  <c:v>174416557</c:v>
                </c:pt>
                <c:pt idx="1490">
                  <c:v>186540850</c:v>
                </c:pt>
                <c:pt idx="1491">
                  <c:v>186361902</c:v>
                </c:pt>
                <c:pt idx="1492">
                  <c:v>164625098</c:v>
                </c:pt>
                <c:pt idx="1493">
                  <c:v>184751865</c:v>
                </c:pt>
                <c:pt idx="1494">
                  <c:v>176160715</c:v>
                </c:pt>
                <c:pt idx="1495">
                  <c:v>186508546</c:v>
                </c:pt>
                <c:pt idx="1496">
                  <c:v>186206579</c:v>
                </c:pt>
                <c:pt idx="1497">
                  <c:v>184722737</c:v>
                </c:pt>
                <c:pt idx="1498">
                  <c:v>175597882</c:v>
                </c:pt>
                <c:pt idx="1499">
                  <c:v>179337593</c:v>
                </c:pt>
                <c:pt idx="1500">
                  <c:v>172576864</c:v>
                </c:pt>
                <c:pt idx="1501">
                  <c:v>186547622</c:v>
                </c:pt>
                <c:pt idx="1502">
                  <c:v>185669981</c:v>
                </c:pt>
                <c:pt idx="1503">
                  <c:v>184777849</c:v>
                </c:pt>
                <c:pt idx="1504">
                  <c:v>181970956</c:v>
                </c:pt>
                <c:pt idx="1505">
                  <c:v>185635323</c:v>
                </c:pt>
                <c:pt idx="1506">
                  <c:v>186050130</c:v>
                </c:pt>
                <c:pt idx="1507">
                  <c:v>186542436</c:v>
                </c:pt>
                <c:pt idx="1508">
                  <c:v>186459069</c:v>
                </c:pt>
                <c:pt idx="1509">
                  <c:v>174852763</c:v>
                </c:pt>
                <c:pt idx="1510">
                  <c:v>183905232</c:v>
                </c:pt>
                <c:pt idx="1511">
                  <c:v>186094880</c:v>
                </c:pt>
                <c:pt idx="1512">
                  <c:v>186399352</c:v>
                </c:pt>
                <c:pt idx="1513">
                  <c:v>181079109</c:v>
                </c:pt>
                <c:pt idx="1514">
                  <c:v>185422450</c:v>
                </c:pt>
                <c:pt idx="1515">
                  <c:v>186525866</c:v>
                </c:pt>
                <c:pt idx="1516">
                  <c:v>183815040</c:v>
                </c:pt>
                <c:pt idx="1517">
                  <c:v>180722217</c:v>
                </c:pt>
                <c:pt idx="1518">
                  <c:v>186527160</c:v>
                </c:pt>
                <c:pt idx="1519">
                  <c:v>186542188</c:v>
                </c:pt>
                <c:pt idx="1520">
                  <c:v>186547861</c:v>
                </c:pt>
                <c:pt idx="1521">
                  <c:v>182990510</c:v>
                </c:pt>
                <c:pt idx="1522">
                  <c:v>186533215</c:v>
                </c:pt>
                <c:pt idx="1523">
                  <c:v>167032975</c:v>
                </c:pt>
                <c:pt idx="1524">
                  <c:v>186331386</c:v>
                </c:pt>
                <c:pt idx="1525">
                  <c:v>185603355</c:v>
                </c:pt>
                <c:pt idx="1526">
                  <c:v>186547861</c:v>
                </c:pt>
                <c:pt idx="1527">
                  <c:v>184626973</c:v>
                </c:pt>
                <c:pt idx="1528">
                  <c:v>186003417</c:v>
                </c:pt>
                <c:pt idx="1529">
                  <c:v>186547777</c:v>
                </c:pt>
                <c:pt idx="1530">
                  <c:v>184413337</c:v>
                </c:pt>
                <c:pt idx="1531">
                  <c:v>185786623</c:v>
                </c:pt>
                <c:pt idx="1532">
                  <c:v>186459069</c:v>
                </c:pt>
                <c:pt idx="1533">
                  <c:v>180809507</c:v>
                </c:pt>
                <c:pt idx="1534">
                  <c:v>185373532</c:v>
                </c:pt>
                <c:pt idx="1535">
                  <c:v>154844325</c:v>
                </c:pt>
                <c:pt idx="1536">
                  <c:v>172576864</c:v>
                </c:pt>
                <c:pt idx="1537">
                  <c:v>184514256</c:v>
                </c:pt>
                <c:pt idx="1538">
                  <c:v>179012771</c:v>
                </c:pt>
                <c:pt idx="1539">
                  <c:v>186031008</c:v>
                </c:pt>
                <c:pt idx="1540">
                  <c:v>186185513</c:v>
                </c:pt>
                <c:pt idx="1541">
                  <c:v>171414314</c:v>
                </c:pt>
                <c:pt idx="1542">
                  <c:v>186079438</c:v>
                </c:pt>
                <c:pt idx="1543">
                  <c:v>176849955</c:v>
                </c:pt>
                <c:pt idx="1544">
                  <c:v>166867897</c:v>
                </c:pt>
                <c:pt idx="1545">
                  <c:v>186391316</c:v>
                </c:pt>
                <c:pt idx="1546">
                  <c:v>185987313</c:v>
                </c:pt>
                <c:pt idx="1547">
                  <c:v>178713824</c:v>
                </c:pt>
                <c:pt idx="1548">
                  <c:v>184953072</c:v>
                </c:pt>
                <c:pt idx="1549">
                  <c:v>158908468</c:v>
                </c:pt>
                <c:pt idx="1550">
                  <c:v>182325513</c:v>
                </c:pt>
                <c:pt idx="1551">
                  <c:v>185703990</c:v>
                </c:pt>
                <c:pt idx="1552">
                  <c:v>173674474</c:v>
                </c:pt>
                <c:pt idx="1553">
                  <c:v>174335881</c:v>
                </c:pt>
                <c:pt idx="1554">
                  <c:v>185748834</c:v>
                </c:pt>
                <c:pt idx="1555">
                  <c:v>185198957</c:v>
                </c:pt>
                <c:pt idx="1556">
                  <c:v>181371952</c:v>
                </c:pt>
                <c:pt idx="1557">
                  <c:v>178385385</c:v>
                </c:pt>
                <c:pt idx="1558">
                  <c:v>180831182</c:v>
                </c:pt>
                <c:pt idx="1559">
                  <c:v>156219776</c:v>
                </c:pt>
                <c:pt idx="1560">
                  <c:v>184349691</c:v>
                </c:pt>
                <c:pt idx="1561">
                  <c:v>182946522</c:v>
                </c:pt>
                <c:pt idx="1562">
                  <c:v>169344813</c:v>
                </c:pt>
                <c:pt idx="1563">
                  <c:v>186332760</c:v>
                </c:pt>
                <c:pt idx="1564">
                  <c:v>179163527</c:v>
                </c:pt>
                <c:pt idx="1565">
                  <c:v>185254605</c:v>
                </c:pt>
                <c:pt idx="1566">
                  <c:v>184617793</c:v>
                </c:pt>
                <c:pt idx="1567">
                  <c:v>174852763</c:v>
                </c:pt>
                <c:pt idx="1568">
                  <c:v>184669418</c:v>
                </c:pt>
                <c:pt idx="1569">
                  <c:v>184281179</c:v>
                </c:pt>
                <c:pt idx="1570">
                  <c:v>154377034</c:v>
                </c:pt>
                <c:pt idx="1571">
                  <c:v>169887725</c:v>
                </c:pt>
                <c:pt idx="1572">
                  <c:v>168881811</c:v>
                </c:pt>
                <c:pt idx="1573">
                  <c:v>186536092</c:v>
                </c:pt>
                <c:pt idx="1574">
                  <c:v>186532918</c:v>
                </c:pt>
                <c:pt idx="1575">
                  <c:v>186517952</c:v>
                </c:pt>
                <c:pt idx="1576">
                  <c:v>169869950</c:v>
                </c:pt>
                <c:pt idx="1577">
                  <c:v>184760537</c:v>
                </c:pt>
                <c:pt idx="1578">
                  <c:v>177638592</c:v>
                </c:pt>
                <c:pt idx="1579">
                  <c:v>186539970</c:v>
                </c:pt>
                <c:pt idx="1580">
                  <c:v>186511689</c:v>
                </c:pt>
                <c:pt idx="1581">
                  <c:v>186533215</c:v>
                </c:pt>
                <c:pt idx="1582">
                  <c:v>168389141</c:v>
                </c:pt>
                <c:pt idx="1583">
                  <c:v>186537273</c:v>
                </c:pt>
                <c:pt idx="1584">
                  <c:v>175511990</c:v>
                </c:pt>
                <c:pt idx="1585">
                  <c:v>176703541</c:v>
                </c:pt>
                <c:pt idx="1586">
                  <c:v>186547861</c:v>
                </c:pt>
                <c:pt idx="1587">
                  <c:v>171462914</c:v>
                </c:pt>
                <c:pt idx="1588">
                  <c:v>176312335</c:v>
                </c:pt>
                <c:pt idx="1589">
                  <c:v>171462914</c:v>
                </c:pt>
                <c:pt idx="1590">
                  <c:v>186547861</c:v>
                </c:pt>
                <c:pt idx="1591">
                  <c:v>180145621</c:v>
                </c:pt>
                <c:pt idx="1592">
                  <c:v>179682141</c:v>
                </c:pt>
                <c:pt idx="1593">
                  <c:v>184501440</c:v>
                </c:pt>
                <c:pt idx="1594">
                  <c:v>186459069</c:v>
                </c:pt>
                <c:pt idx="1595">
                  <c:v>185597631</c:v>
                </c:pt>
                <c:pt idx="1596">
                  <c:v>183048530</c:v>
                </c:pt>
                <c:pt idx="1597">
                  <c:v>184140041</c:v>
                </c:pt>
                <c:pt idx="1598">
                  <c:v>186540850</c:v>
                </c:pt>
                <c:pt idx="1599">
                  <c:v>183689305</c:v>
                </c:pt>
                <c:pt idx="1600">
                  <c:v>183913006</c:v>
                </c:pt>
                <c:pt idx="1601">
                  <c:v>183009950</c:v>
                </c:pt>
                <c:pt idx="1602">
                  <c:v>158728505</c:v>
                </c:pt>
                <c:pt idx="1603">
                  <c:v>174416557</c:v>
                </c:pt>
                <c:pt idx="1604">
                  <c:v>180262179</c:v>
                </c:pt>
                <c:pt idx="1605">
                  <c:v>184339515</c:v>
                </c:pt>
                <c:pt idx="1606">
                  <c:v>171120042</c:v>
                </c:pt>
                <c:pt idx="1607">
                  <c:v>175548854</c:v>
                </c:pt>
                <c:pt idx="1608">
                  <c:v>180603977</c:v>
                </c:pt>
                <c:pt idx="1609">
                  <c:v>157353040</c:v>
                </c:pt>
                <c:pt idx="1610">
                  <c:v>177492085</c:v>
                </c:pt>
                <c:pt idx="1611">
                  <c:v>178887373</c:v>
                </c:pt>
                <c:pt idx="1612">
                  <c:v>186537273</c:v>
                </c:pt>
                <c:pt idx="1613">
                  <c:v>158362274</c:v>
                </c:pt>
                <c:pt idx="1614">
                  <c:v>158728505</c:v>
                </c:pt>
                <c:pt idx="1615">
                  <c:v>182563941</c:v>
                </c:pt>
                <c:pt idx="1616">
                  <c:v>186547861</c:v>
                </c:pt>
                <c:pt idx="1617">
                  <c:v>185730133</c:v>
                </c:pt>
                <c:pt idx="1618">
                  <c:v>184905466</c:v>
                </c:pt>
                <c:pt idx="1619">
                  <c:v>186334128</c:v>
                </c:pt>
                <c:pt idx="1620">
                  <c:v>186462669</c:v>
                </c:pt>
                <c:pt idx="1621">
                  <c:v>171989605</c:v>
                </c:pt>
                <c:pt idx="1622">
                  <c:v>165343282</c:v>
                </c:pt>
                <c:pt idx="1623">
                  <c:v>186213678</c:v>
                </c:pt>
                <c:pt idx="1624">
                  <c:v>178941127</c:v>
                </c:pt>
                <c:pt idx="1625">
                  <c:v>185758875</c:v>
                </c:pt>
                <c:pt idx="1626">
                  <c:v>166363948</c:v>
                </c:pt>
                <c:pt idx="1627">
                  <c:v>179582968</c:v>
                </c:pt>
                <c:pt idx="1628">
                  <c:v>181687700</c:v>
                </c:pt>
                <c:pt idx="1629">
                  <c:v>181754966</c:v>
                </c:pt>
                <c:pt idx="1630">
                  <c:v>185703990</c:v>
                </c:pt>
                <c:pt idx="1631">
                  <c:v>174642910</c:v>
                </c:pt>
                <c:pt idx="1632">
                  <c:v>168446540</c:v>
                </c:pt>
                <c:pt idx="1633">
                  <c:v>184249852</c:v>
                </c:pt>
                <c:pt idx="1634">
                  <c:v>177407092</c:v>
                </c:pt>
                <c:pt idx="1635">
                  <c:v>185977817</c:v>
                </c:pt>
                <c:pt idx="1636">
                  <c:v>186547693</c:v>
                </c:pt>
                <c:pt idx="1637">
                  <c:v>183185375</c:v>
                </c:pt>
                <c:pt idx="1638">
                  <c:v>186432845</c:v>
                </c:pt>
                <c:pt idx="1639">
                  <c:v>162664133</c:v>
                </c:pt>
                <c:pt idx="1640">
                  <c:v>161307723</c:v>
                </c:pt>
                <c:pt idx="1641">
                  <c:v>167803001</c:v>
                </c:pt>
                <c:pt idx="1642">
                  <c:v>176160715</c:v>
                </c:pt>
                <c:pt idx="1643">
                  <c:v>186547861</c:v>
                </c:pt>
                <c:pt idx="1644">
                  <c:v>154017534</c:v>
                </c:pt>
                <c:pt idx="1645">
                  <c:v>186410147</c:v>
                </c:pt>
                <c:pt idx="1646">
                  <c:v>185422450</c:v>
                </c:pt>
                <c:pt idx="1647">
                  <c:v>177905477</c:v>
                </c:pt>
                <c:pt idx="1648">
                  <c:v>186492057</c:v>
                </c:pt>
                <c:pt idx="1649">
                  <c:v>186136472</c:v>
                </c:pt>
                <c:pt idx="1650">
                  <c:v>186547339</c:v>
                </c:pt>
                <c:pt idx="1651">
                  <c:v>163132717</c:v>
                </c:pt>
                <c:pt idx="1652">
                  <c:v>174483342</c:v>
                </c:pt>
                <c:pt idx="1653">
                  <c:v>186540720</c:v>
                </c:pt>
                <c:pt idx="1654">
                  <c:v>183019652</c:v>
                </c:pt>
                <c:pt idx="1655">
                  <c:v>184848382</c:v>
                </c:pt>
                <c:pt idx="1656">
                  <c:v>174709105</c:v>
                </c:pt>
                <c:pt idx="1657">
                  <c:v>179259825</c:v>
                </c:pt>
                <c:pt idx="1658">
                  <c:v>178555601</c:v>
                </c:pt>
                <c:pt idx="1659">
                  <c:v>186453873</c:v>
                </c:pt>
                <c:pt idx="1660">
                  <c:v>186425250</c:v>
                </c:pt>
                <c:pt idx="1661">
                  <c:v>179607969</c:v>
                </c:pt>
                <c:pt idx="1662">
                  <c:v>184376723</c:v>
                </c:pt>
                <c:pt idx="1663">
                  <c:v>186440882</c:v>
                </c:pt>
                <c:pt idx="1664">
                  <c:v>186535476</c:v>
                </c:pt>
                <c:pt idx="1665">
                  <c:v>186295479</c:v>
                </c:pt>
                <c:pt idx="1666">
                  <c:v>184104041</c:v>
                </c:pt>
                <c:pt idx="1667">
                  <c:v>185254605</c:v>
                </c:pt>
                <c:pt idx="1668">
                  <c:v>183775022</c:v>
                </c:pt>
                <c:pt idx="1669">
                  <c:v>186199390</c:v>
                </c:pt>
                <c:pt idx="1670">
                  <c:v>186524488</c:v>
                </c:pt>
                <c:pt idx="1671">
                  <c:v>179482317</c:v>
                </c:pt>
                <c:pt idx="1672">
                  <c:v>185698665</c:v>
                </c:pt>
                <c:pt idx="1673">
                  <c:v>186138616</c:v>
                </c:pt>
                <c:pt idx="1674">
                  <c:v>176335567</c:v>
                </c:pt>
                <c:pt idx="1675">
                  <c:v>181637966</c:v>
                </c:pt>
                <c:pt idx="1676">
                  <c:v>159498251</c:v>
                </c:pt>
                <c:pt idx="1677">
                  <c:v>184172230</c:v>
                </c:pt>
                <c:pt idx="1678">
                  <c:v>178787496</c:v>
                </c:pt>
                <c:pt idx="1679">
                  <c:v>186512097</c:v>
                </c:pt>
                <c:pt idx="1680">
                  <c:v>185254605</c:v>
                </c:pt>
                <c:pt idx="1681">
                  <c:v>166363948</c:v>
                </c:pt>
                <c:pt idx="1682">
                  <c:v>186546688</c:v>
                </c:pt>
                <c:pt idx="1683">
                  <c:v>181223492</c:v>
                </c:pt>
                <c:pt idx="1684">
                  <c:v>184491810</c:v>
                </c:pt>
                <c:pt idx="1685">
                  <c:v>166150372</c:v>
                </c:pt>
                <c:pt idx="1686">
                  <c:v>186540850</c:v>
                </c:pt>
                <c:pt idx="1687">
                  <c:v>183807076</c:v>
                </c:pt>
                <c:pt idx="1688">
                  <c:v>185660956</c:v>
                </c:pt>
                <c:pt idx="1689">
                  <c:v>184722737</c:v>
                </c:pt>
                <c:pt idx="1690">
                  <c:v>154767845</c:v>
                </c:pt>
                <c:pt idx="1691">
                  <c:v>185637185</c:v>
                </c:pt>
                <c:pt idx="1692">
                  <c:v>186547594</c:v>
                </c:pt>
                <c:pt idx="1693">
                  <c:v>157353040</c:v>
                </c:pt>
                <c:pt idx="1694">
                  <c:v>178260708</c:v>
                </c:pt>
                <c:pt idx="1695">
                  <c:v>185443402</c:v>
                </c:pt>
                <c:pt idx="1696">
                  <c:v>173716659</c:v>
                </c:pt>
                <c:pt idx="1697">
                  <c:v>169905414</c:v>
                </c:pt>
                <c:pt idx="1698">
                  <c:v>186374368</c:v>
                </c:pt>
                <c:pt idx="1699">
                  <c:v>180246691</c:v>
                </c:pt>
                <c:pt idx="1700">
                  <c:v>185603355</c:v>
                </c:pt>
                <c:pt idx="1701">
                  <c:v>183877992</c:v>
                </c:pt>
                <c:pt idx="1702">
                  <c:v>185327469</c:v>
                </c:pt>
                <c:pt idx="1703">
                  <c:v>186468944</c:v>
                </c:pt>
                <c:pt idx="1704">
                  <c:v>186521340</c:v>
                </c:pt>
                <c:pt idx="1705">
                  <c:v>181994354</c:v>
                </c:pt>
                <c:pt idx="1706">
                  <c:v>184339515</c:v>
                </c:pt>
                <c:pt idx="1707">
                  <c:v>165453532</c:v>
                </c:pt>
                <c:pt idx="1708">
                  <c:v>186138616</c:v>
                </c:pt>
                <c:pt idx="1709">
                  <c:v>186016704</c:v>
                </c:pt>
                <c:pt idx="1710">
                  <c:v>177060628</c:v>
                </c:pt>
                <c:pt idx="1711">
                  <c:v>170617613</c:v>
                </c:pt>
                <c:pt idx="1712">
                  <c:v>176474475</c:v>
                </c:pt>
                <c:pt idx="1713">
                  <c:v>186305001</c:v>
                </c:pt>
                <c:pt idx="1714">
                  <c:v>186444882</c:v>
                </c:pt>
                <c:pt idx="1715">
                  <c:v>175912338</c:v>
                </c:pt>
                <c:pt idx="1716">
                  <c:v>186547861</c:v>
                </c:pt>
                <c:pt idx="1717">
                  <c:v>184527056</c:v>
                </c:pt>
                <c:pt idx="1718">
                  <c:v>176474475</c:v>
                </c:pt>
                <c:pt idx="1719">
                  <c:v>185987313</c:v>
                </c:pt>
                <c:pt idx="1720">
                  <c:v>186547861</c:v>
                </c:pt>
                <c:pt idx="1721">
                  <c:v>186547723</c:v>
                </c:pt>
                <c:pt idx="1722">
                  <c:v>170836899</c:v>
                </c:pt>
                <c:pt idx="1723">
                  <c:v>186530920</c:v>
                </c:pt>
                <c:pt idx="1724">
                  <c:v>174709105</c:v>
                </c:pt>
                <c:pt idx="1725">
                  <c:v>184905466</c:v>
                </c:pt>
                <c:pt idx="1726">
                  <c:v>181182448</c:v>
                </c:pt>
                <c:pt idx="1727">
                  <c:v>175597882</c:v>
                </c:pt>
                <c:pt idx="1728">
                  <c:v>185680781</c:v>
                </c:pt>
                <c:pt idx="1729">
                  <c:v>186547861</c:v>
                </c:pt>
                <c:pt idx="1730">
                  <c:v>179423215</c:v>
                </c:pt>
                <c:pt idx="1731">
                  <c:v>185745450</c:v>
                </c:pt>
                <c:pt idx="1732">
                  <c:v>185136940</c:v>
                </c:pt>
                <c:pt idx="1733">
                  <c:v>173259714</c:v>
                </c:pt>
                <c:pt idx="1734">
                  <c:v>186537273</c:v>
                </c:pt>
                <c:pt idx="1735">
                  <c:v>183689305</c:v>
                </c:pt>
                <c:pt idx="1736">
                  <c:v>174826771</c:v>
                </c:pt>
                <c:pt idx="1737">
                  <c:v>186509406</c:v>
                </c:pt>
                <c:pt idx="1738">
                  <c:v>186466883</c:v>
                </c:pt>
                <c:pt idx="1739">
                  <c:v>186542188</c:v>
                </c:pt>
                <c:pt idx="1740">
                  <c:v>171462914</c:v>
                </c:pt>
                <c:pt idx="1741">
                  <c:v>178787496</c:v>
                </c:pt>
                <c:pt idx="1742">
                  <c:v>173069656</c:v>
                </c:pt>
                <c:pt idx="1743">
                  <c:v>180589127</c:v>
                </c:pt>
                <c:pt idx="1744">
                  <c:v>184104041</c:v>
                </c:pt>
                <c:pt idx="1745">
                  <c:v>186545638</c:v>
                </c:pt>
                <c:pt idx="1746">
                  <c:v>178489701</c:v>
                </c:pt>
                <c:pt idx="1747">
                  <c:v>186019328</c:v>
                </c:pt>
                <c:pt idx="1748">
                  <c:v>168881811</c:v>
                </c:pt>
                <c:pt idx="1749">
                  <c:v>155584703</c:v>
                </c:pt>
                <c:pt idx="1750">
                  <c:v>182116307</c:v>
                </c:pt>
                <c:pt idx="1751">
                  <c:v>183105780</c:v>
                </c:pt>
                <c:pt idx="1752">
                  <c:v>186517952</c:v>
                </c:pt>
                <c:pt idx="1753">
                  <c:v>186545513</c:v>
                </c:pt>
                <c:pt idx="1754">
                  <c:v>176816259</c:v>
                </c:pt>
                <c:pt idx="1755">
                  <c:v>181425079</c:v>
                </c:pt>
                <c:pt idx="1756">
                  <c:v>165343282</c:v>
                </c:pt>
                <c:pt idx="1757">
                  <c:v>186547861</c:v>
                </c:pt>
                <c:pt idx="1758">
                  <c:v>176474475</c:v>
                </c:pt>
                <c:pt idx="1759">
                  <c:v>162514295</c:v>
                </c:pt>
                <c:pt idx="1760">
                  <c:v>169958358</c:v>
                </c:pt>
                <c:pt idx="1761">
                  <c:v>181754966</c:v>
                </c:pt>
                <c:pt idx="1762">
                  <c:v>184699259</c:v>
                </c:pt>
                <c:pt idx="1763">
                  <c:v>184552484</c:v>
                </c:pt>
                <c:pt idx="1764">
                  <c:v>185551060</c:v>
                </c:pt>
                <c:pt idx="1765">
                  <c:v>169418319</c:v>
                </c:pt>
                <c:pt idx="1766">
                  <c:v>186547115</c:v>
                </c:pt>
                <c:pt idx="1767">
                  <c:v>165999482</c:v>
                </c:pt>
                <c:pt idx="1768">
                  <c:v>186547861</c:v>
                </c:pt>
                <c:pt idx="1769">
                  <c:v>175287885</c:v>
                </c:pt>
                <c:pt idx="1770">
                  <c:v>186334804</c:v>
                </c:pt>
                <c:pt idx="1771">
                  <c:v>185124825</c:v>
                </c:pt>
                <c:pt idx="1772">
                  <c:v>186467915</c:v>
                </c:pt>
                <c:pt idx="1773">
                  <c:v>186497451</c:v>
                </c:pt>
                <c:pt idx="1774">
                  <c:v>186112126</c:v>
                </c:pt>
                <c:pt idx="1775">
                  <c:v>181548858</c:v>
                </c:pt>
                <c:pt idx="1776">
                  <c:v>160287998</c:v>
                </c:pt>
                <c:pt idx="1777">
                  <c:v>185217692</c:v>
                </c:pt>
                <c:pt idx="1778">
                  <c:v>178134133</c:v>
                </c:pt>
                <c:pt idx="1779">
                  <c:v>178842225</c:v>
                </c:pt>
                <c:pt idx="1780">
                  <c:v>186233642</c:v>
                </c:pt>
                <c:pt idx="1781">
                  <c:v>184514256</c:v>
                </c:pt>
                <c:pt idx="1782">
                  <c:v>186547861</c:v>
                </c:pt>
                <c:pt idx="1783">
                  <c:v>181257492</c:v>
                </c:pt>
                <c:pt idx="1784">
                  <c:v>179389223</c:v>
                </c:pt>
                <c:pt idx="1785">
                  <c:v>185519164</c:v>
                </c:pt>
                <c:pt idx="1786">
                  <c:v>184140041</c:v>
                </c:pt>
                <c:pt idx="1787">
                  <c:v>181510092</c:v>
                </c:pt>
                <c:pt idx="1788">
                  <c:v>165343282</c:v>
                </c:pt>
                <c:pt idx="1789">
                  <c:v>186521340</c:v>
                </c:pt>
                <c:pt idx="1790">
                  <c:v>184104041</c:v>
                </c:pt>
                <c:pt idx="1791">
                  <c:v>184963466</c:v>
                </c:pt>
                <c:pt idx="1792">
                  <c:v>184359851</c:v>
                </c:pt>
                <c:pt idx="1793">
                  <c:v>174969283</c:v>
                </c:pt>
                <c:pt idx="1794">
                  <c:v>186457984</c:v>
                </c:pt>
                <c:pt idx="1795">
                  <c:v>174335881</c:v>
                </c:pt>
                <c:pt idx="1796">
                  <c:v>182207708</c:v>
                </c:pt>
                <c:pt idx="1797">
                  <c:v>169636628</c:v>
                </c:pt>
                <c:pt idx="1798">
                  <c:v>183775022</c:v>
                </c:pt>
                <c:pt idx="1799">
                  <c:v>184645225</c:v>
                </c:pt>
                <c:pt idx="1800">
                  <c:v>183268159</c:v>
                </c:pt>
                <c:pt idx="1801">
                  <c:v>175936250</c:v>
                </c:pt>
                <c:pt idx="1802">
                  <c:v>180392685</c:v>
                </c:pt>
                <c:pt idx="1803">
                  <c:v>172238990</c:v>
                </c:pt>
                <c:pt idx="1804">
                  <c:v>182912122</c:v>
                </c:pt>
                <c:pt idx="1805">
                  <c:v>163858844</c:v>
                </c:pt>
                <c:pt idx="1806">
                  <c:v>183811069</c:v>
                </c:pt>
                <c:pt idx="1807">
                  <c:v>186219830</c:v>
                </c:pt>
                <c:pt idx="1808">
                  <c:v>183718117</c:v>
                </c:pt>
                <c:pt idx="1809">
                  <c:v>186087826</c:v>
                </c:pt>
                <c:pt idx="1810">
                  <c:v>185927412</c:v>
                </c:pt>
                <c:pt idx="1811">
                  <c:v>185132100</c:v>
                </c:pt>
                <c:pt idx="1812">
                  <c:v>186487421</c:v>
                </c:pt>
                <c:pt idx="1813">
                  <c:v>185060549</c:v>
                </c:pt>
                <c:pt idx="1814">
                  <c:v>184527056</c:v>
                </c:pt>
                <c:pt idx="1815">
                  <c:v>186532918</c:v>
                </c:pt>
                <c:pt idx="1816">
                  <c:v>172332082</c:v>
                </c:pt>
                <c:pt idx="1817">
                  <c:v>186547339</c:v>
                </c:pt>
                <c:pt idx="1818">
                  <c:v>167703296</c:v>
                </c:pt>
                <c:pt idx="1819">
                  <c:v>186368477</c:v>
                </c:pt>
                <c:pt idx="1820">
                  <c:v>186547809</c:v>
                </c:pt>
                <c:pt idx="1821">
                  <c:v>180758693</c:v>
                </c:pt>
                <c:pt idx="1822">
                  <c:v>179285817</c:v>
                </c:pt>
                <c:pt idx="1823">
                  <c:v>186547861</c:v>
                </c:pt>
                <c:pt idx="1824">
                  <c:v>186539538</c:v>
                </c:pt>
                <c:pt idx="1825">
                  <c:v>186539391</c:v>
                </c:pt>
                <c:pt idx="1826">
                  <c:v>180122229</c:v>
                </c:pt>
                <c:pt idx="1827">
                  <c:v>186008741</c:v>
                </c:pt>
                <c:pt idx="1828">
                  <c:v>179599666</c:v>
                </c:pt>
                <c:pt idx="1829">
                  <c:v>186540850</c:v>
                </c:pt>
                <c:pt idx="1830">
                  <c:v>181444870</c:v>
                </c:pt>
                <c:pt idx="1831">
                  <c:v>186346099</c:v>
                </c:pt>
                <c:pt idx="1832">
                  <c:v>182574513</c:v>
                </c:pt>
                <c:pt idx="1833">
                  <c:v>170481357</c:v>
                </c:pt>
                <c:pt idx="1834">
                  <c:v>185627871</c:v>
                </c:pt>
                <c:pt idx="1835">
                  <c:v>179657497</c:v>
                </c:pt>
                <c:pt idx="1836">
                  <c:v>186285726</c:v>
                </c:pt>
                <c:pt idx="1837">
                  <c:v>181391917</c:v>
                </c:pt>
                <c:pt idx="1838">
                  <c:v>161202360</c:v>
                </c:pt>
                <c:pt idx="1839">
                  <c:v>165847850</c:v>
                </c:pt>
                <c:pt idx="1840">
                  <c:v>185562800</c:v>
                </c:pt>
                <c:pt idx="1841">
                  <c:v>186024528</c:v>
                </c:pt>
                <c:pt idx="1842">
                  <c:v>169454775</c:v>
                </c:pt>
                <c:pt idx="1843">
                  <c:v>186438857</c:v>
                </c:pt>
                <c:pt idx="1844">
                  <c:v>186545295</c:v>
                </c:pt>
                <c:pt idx="1845">
                  <c:v>159498251</c:v>
                </c:pt>
                <c:pt idx="1846">
                  <c:v>178574393</c:v>
                </c:pt>
                <c:pt idx="1847">
                  <c:v>180603977</c:v>
                </c:pt>
                <c:pt idx="1848">
                  <c:v>174904603</c:v>
                </c:pt>
                <c:pt idx="1849">
                  <c:v>186547861</c:v>
                </c:pt>
                <c:pt idx="1850">
                  <c:v>157094192</c:v>
                </c:pt>
                <c:pt idx="1851">
                  <c:v>175148603</c:v>
                </c:pt>
                <c:pt idx="1852">
                  <c:v>186257682</c:v>
                </c:pt>
                <c:pt idx="1853">
                  <c:v>185420344</c:v>
                </c:pt>
                <c:pt idx="1854">
                  <c:v>183105780</c:v>
                </c:pt>
                <c:pt idx="1855">
                  <c:v>165651656</c:v>
                </c:pt>
                <c:pt idx="1856">
                  <c:v>166150372</c:v>
                </c:pt>
                <c:pt idx="1857">
                  <c:v>184056526</c:v>
                </c:pt>
                <c:pt idx="1858">
                  <c:v>172742932</c:v>
                </c:pt>
                <c:pt idx="1859">
                  <c:v>167763185</c:v>
                </c:pt>
                <c:pt idx="1860">
                  <c:v>162262449</c:v>
                </c:pt>
                <c:pt idx="1861">
                  <c:v>186487421</c:v>
                </c:pt>
                <c:pt idx="1862">
                  <c:v>184675418</c:v>
                </c:pt>
                <c:pt idx="1863">
                  <c:v>182781729</c:v>
                </c:pt>
                <c:pt idx="1864">
                  <c:v>185640897</c:v>
                </c:pt>
                <c:pt idx="1865">
                  <c:v>183885792</c:v>
                </c:pt>
                <c:pt idx="1866">
                  <c:v>186374368</c:v>
                </c:pt>
                <c:pt idx="1867">
                  <c:v>186547723</c:v>
                </c:pt>
                <c:pt idx="1868">
                  <c:v>162388580</c:v>
                </c:pt>
                <c:pt idx="1869">
                  <c:v>158207335</c:v>
                </c:pt>
                <c:pt idx="1870">
                  <c:v>184189975</c:v>
                </c:pt>
                <c:pt idx="1871">
                  <c:v>161016574</c:v>
                </c:pt>
                <c:pt idx="1872">
                  <c:v>185966843</c:v>
                </c:pt>
                <c:pt idx="1873">
                  <c:v>184626973</c:v>
                </c:pt>
                <c:pt idx="1874">
                  <c:v>186547861</c:v>
                </c:pt>
                <c:pt idx="1875">
                  <c:v>185356182</c:v>
                </c:pt>
                <c:pt idx="1876">
                  <c:v>162664133</c:v>
                </c:pt>
                <c:pt idx="1877">
                  <c:v>183499114</c:v>
                </c:pt>
                <c:pt idx="1878">
                  <c:v>186488901</c:v>
                </c:pt>
                <c:pt idx="1879">
                  <c:v>184848382</c:v>
                </c:pt>
                <c:pt idx="1880">
                  <c:v>186121143</c:v>
                </c:pt>
                <c:pt idx="1881">
                  <c:v>186547861</c:v>
                </c:pt>
                <c:pt idx="1882">
                  <c:v>185934616</c:v>
                </c:pt>
                <c:pt idx="1883">
                  <c:v>186547861</c:v>
                </c:pt>
                <c:pt idx="1884">
                  <c:v>179259825</c:v>
                </c:pt>
                <c:pt idx="1885">
                  <c:v>186168102</c:v>
                </c:pt>
                <c:pt idx="1886">
                  <c:v>186061231</c:v>
                </c:pt>
                <c:pt idx="1887">
                  <c:v>183722231</c:v>
                </c:pt>
                <c:pt idx="1888">
                  <c:v>185718037</c:v>
                </c:pt>
                <c:pt idx="1889">
                  <c:v>161776320</c:v>
                </c:pt>
                <c:pt idx="1890">
                  <c:v>182857535</c:v>
                </c:pt>
                <c:pt idx="1891">
                  <c:v>177854947</c:v>
                </c:pt>
                <c:pt idx="1892">
                  <c:v>177191776</c:v>
                </c:pt>
                <c:pt idx="1893">
                  <c:v>157094192</c:v>
                </c:pt>
                <c:pt idx="1894">
                  <c:v>186547861</c:v>
                </c:pt>
                <c:pt idx="1895">
                  <c:v>185562800</c:v>
                </c:pt>
                <c:pt idx="1896">
                  <c:v>186285726</c:v>
                </c:pt>
                <c:pt idx="1897">
                  <c:v>186374368</c:v>
                </c:pt>
                <c:pt idx="1898">
                  <c:v>186520292</c:v>
                </c:pt>
                <c:pt idx="1899">
                  <c:v>186545205</c:v>
                </c:pt>
                <c:pt idx="1900">
                  <c:v>186547861</c:v>
                </c:pt>
                <c:pt idx="1901">
                  <c:v>183936173</c:v>
                </c:pt>
                <c:pt idx="1902">
                  <c:v>178887373</c:v>
                </c:pt>
                <c:pt idx="1903">
                  <c:v>186539538</c:v>
                </c:pt>
                <c:pt idx="1904">
                  <c:v>173303118</c:v>
                </c:pt>
                <c:pt idx="1905">
                  <c:v>185603355</c:v>
                </c:pt>
                <c:pt idx="1906">
                  <c:v>185614755</c:v>
                </c:pt>
                <c:pt idx="1907">
                  <c:v>182632128</c:v>
                </c:pt>
                <c:pt idx="1908">
                  <c:v>169762618</c:v>
                </c:pt>
                <c:pt idx="1909">
                  <c:v>185435050</c:v>
                </c:pt>
                <c:pt idx="1910">
                  <c:v>186186457</c:v>
                </c:pt>
                <c:pt idx="1911">
                  <c:v>160478430</c:v>
                </c:pt>
                <c:pt idx="1912">
                  <c:v>186546564</c:v>
                </c:pt>
                <c:pt idx="1913">
                  <c:v>186514493</c:v>
                </c:pt>
                <c:pt idx="1914">
                  <c:v>185224654</c:v>
                </c:pt>
                <c:pt idx="1915">
                  <c:v>169600340</c:v>
                </c:pt>
                <c:pt idx="1916">
                  <c:v>185823279</c:v>
                </c:pt>
                <c:pt idx="1917">
                  <c:v>175511990</c:v>
                </c:pt>
                <c:pt idx="1918">
                  <c:v>185786623</c:v>
                </c:pt>
                <c:pt idx="1919">
                  <c:v>166150372</c:v>
                </c:pt>
                <c:pt idx="1920">
                  <c:v>176019596</c:v>
                </c:pt>
                <c:pt idx="1921">
                  <c:v>177935609</c:v>
                </c:pt>
                <c:pt idx="1922">
                  <c:v>185898270</c:v>
                </c:pt>
                <c:pt idx="1923">
                  <c:v>184886582</c:v>
                </c:pt>
                <c:pt idx="1924">
                  <c:v>186483507</c:v>
                </c:pt>
                <c:pt idx="1925">
                  <c:v>186031008</c:v>
                </c:pt>
                <c:pt idx="1926">
                  <c:v>186257682</c:v>
                </c:pt>
                <c:pt idx="1927">
                  <c:v>159983730</c:v>
                </c:pt>
                <c:pt idx="1928">
                  <c:v>182632128</c:v>
                </c:pt>
                <c:pt idx="1929">
                  <c:v>184189975</c:v>
                </c:pt>
                <c:pt idx="1930">
                  <c:v>173317558</c:v>
                </c:pt>
                <c:pt idx="1931">
                  <c:v>185591898</c:v>
                </c:pt>
                <c:pt idx="1932">
                  <c:v>185373532</c:v>
                </c:pt>
                <c:pt idx="1933">
                  <c:v>186361902</c:v>
                </c:pt>
                <c:pt idx="1934">
                  <c:v>180581691</c:v>
                </c:pt>
                <c:pt idx="1935">
                  <c:v>186547861</c:v>
                </c:pt>
                <c:pt idx="1936">
                  <c:v>179739445</c:v>
                </c:pt>
                <c:pt idx="1937">
                  <c:v>168040041</c:v>
                </c:pt>
                <c:pt idx="1938">
                  <c:v>184281179</c:v>
                </c:pt>
                <c:pt idx="1939">
                  <c:v>186544925</c:v>
                </c:pt>
                <c:pt idx="1940">
                  <c:v>186547861</c:v>
                </c:pt>
                <c:pt idx="1941">
                  <c:v>178347238</c:v>
                </c:pt>
                <c:pt idx="1942">
                  <c:v>182931819</c:v>
                </c:pt>
                <c:pt idx="1943">
                  <c:v>180145621</c:v>
                </c:pt>
                <c:pt idx="1944">
                  <c:v>183651994</c:v>
                </c:pt>
                <c:pt idx="1945">
                  <c:v>185904150</c:v>
                </c:pt>
                <c:pt idx="1946">
                  <c:v>159927664</c:v>
                </c:pt>
                <c:pt idx="1947">
                  <c:v>170204437</c:v>
                </c:pt>
                <c:pt idx="1948">
                  <c:v>186543478</c:v>
                </c:pt>
                <c:pt idx="1949">
                  <c:v>185934616</c:v>
                </c:pt>
                <c:pt idx="1950">
                  <c:v>182424297</c:v>
                </c:pt>
                <c:pt idx="1951">
                  <c:v>186538402</c:v>
                </c:pt>
                <c:pt idx="1952">
                  <c:v>164851773</c:v>
                </c:pt>
                <c:pt idx="1953">
                  <c:v>186540850</c:v>
                </c:pt>
                <c:pt idx="1954">
                  <c:v>182857535</c:v>
                </c:pt>
                <c:pt idx="1955">
                  <c:v>155975969</c:v>
                </c:pt>
                <c:pt idx="1956">
                  <c:v>183048530</c:v>
                </c:pt>
                <c:pt idx="1957">
                  <c:v>176939358</c:v>
                </c:pt>
                <c:pt idx="1958">
                  <c:v>183442642</c:v>
                </c:pt>
                <c:pt idx="1959">
                  <c:v>186222444</c:v>
                </c:pt>
                <c:pt idx="1960">
                  <c:v>186087826</c:v>
                </c:pt>
                <c:pt idx="1961">
                  <c:v>158051627</c:v>
                </c:pt>
                <c:pt idx="1962">
                  <c:v>186535476</c:v>
                </c:pt>
                <c:pt idx="1963">
                  <c:v>184413337</c:v>
                </c:pt>
                <c:pt idx="1964">
                  <c:v>184958272</c:v>
                </c:pt>
                <c:pt idx="1965">
                  <c:v>186213678</c:v>
                </c:pt>
                <c:pt idx="1966">
                  <c:v>182725575</c:v>
                </c:pt>
                <c:pt idx="1967">
                  <c:v>173561305</c:v>
                </c:pt>
                <c:pt idx="1968">
                  <c:v>181113669</c:v>
                </c:pt>
                <c:pt idx="1969">
                  <c:v>186196664</c:v>
                </c:pt>
                <c:pt idx="1970">
                  <c:v>154017534</c:v>
                </c:pt>
                <c:pt idx="1971">
                  <c:v>186546888</c:v>
                </c:pt>
                <c:pt idx="1972">
                  <c:v>182353049</c:v>
                </c:pt>
                <c:pt idx="1973">
                  <c:v>165585692</c:v>
                </c:pt>
                <c:pt idx="1974">
                  <c:v>184501440</c:v>
                </c:pt>
                <c:pt idx="1975">
                  <c:v>186179798</c:v>
                </c:pt>
                <c:pt idx="1976">
                  <c:v>184648263</c:v>
                </c:pt>
                <c:pt idx="1977">
                  <c:v>182353049</c:v>
                </c:pt>
                <c:pt idx="1978">
                  <c:v>174416557</c:v>
                </c:pt>
                <c:pt idx="1979">
                  <c:v>186454629</c:v>
                </c:pt>
                <c:pt idx="1980">
                  <c:v>183584543</c:v>
                </c:pt>
                <c:pt idx="1981">
                  <c:v>185060549</c:v>
                </c:pt>
                <c:pt idx="1982">
                  <c:v>170239325</c:v>
                </c:pt>
                <c:pt idx="1983">
                  <c:v>158454634</c:v>
                </c:pt>
                <c:pt idx="1984">
                  <c:v>185286773</c:v>
                </c:pt>
                <c:pt idx="1985">
                  <c:v>186047610</c:v>
                </c:pt>
                <c:pt idx="1986">
                  <c:v>184104041</c:v>
                </c:pt>
                <c:pt idx="1987">
                  <c:v>179337593</c:v>
                </c:pt>
                <c:pt idx="1988">
                  <c:v>186540253</c:v>
                </c:pt>
                <c:pt idx="1989">
                  <c:v>172877462</c:v>
                </c:pt>
                <c:pt idx="1990">
                  <c:v>186389121</c:v>
                </c:pt>
                <c:pt idx="1991">
                  <c:v>179092955</c:v>
                </c:pt>
                <c:pt idx="1992">
                  <c:v>181631674</c:v>
                </c:pt>
                <c:pt idx="1993">
                  <c:v>176474475</c:v>
                </c:pt>
                <c:pt idx="1994">
                  <c:v>173518717</c:v>
                </c:pt>
                <c:pt idx="1995">
                  <c:v>186500011</c:v>
                </c:pt>
                <c:pt idx="1996">
                  <c:v>181662903</c:v>
                </c:pt>
                <c:pt idx="1997">
                  <c:v>175936250</c:v>
                </c:pt>
                <c:pt idx="1998">
                  <c:v>186090194</c:v>
                </c:pt>
                <c:pt idx="1999">
                  <c:v>178649134</c:v>
                </c:pt>
                <c:pt idx="2000">
                  <c:v>178347238</c:v>
                </c:pt>
                <c:pt idx="2001">
                  <c:v>181438279</c:v>
                </c:pt>
                <c:pt idx="2002">
                  <c:v>186257682</c:v>
                </c:pt>
                <c:pt idx="2003">
                  <c:v>180626249</c:v>
                </c:pt>
                <c:pt idx="2004">
                  <c:v>174748501</c:v>
                </c:pt>
                <c:pt idx="2005">
                  <c:v>176160715</c:v>
                </c:pt>
                <c:pt idx="2006">
                  <c:v>186094880</c:v>
                </c:pt>
                <c:pt idx="2007">
                  <c:v>185158622</c:v>
                </c:pt>
                <c:pt idx="2008">
                  <c:v>183115244</c:v>
                </c:pt>
                <c:pt idx="2009">
                  <c:v>169527657</c:v>
                </c:pt>
                <c:pt idx="2010">
                  <c:v>170970724</c:v>
                </c:pt>
                <c:pt idx="2011">
                  <c:v>186505409</c:v>
                </c:pt>
                <c:pt idx="2012">
                  <c:v>160559928</c:v>
                </c:pt>
                <c:pt idx="2013">
                  <c:v>185515132</c:v>
                </c:pt>
                <c:pt idx="2014">
                  <c:v>186477838</c:v>
                </c:pt>
                <c:pt idx="2015">
                  <c:v>186404530</c:v>
                </c:pt>
                <c:pt idx="2016">
                  <c:v>177407092</c:v>
                </c:pt>
                <c:pt idx="2017">
                  <c:v>172052197</c:v>
                </c:pt>
                <c:pt idx="2018">
                  <c:v>186541810</c:v>
                </c:pt>
                <c:pt idx="2019">
                  <c:v>184256836</c:v>
                </c:pt>
                <c:pt idx="2020">
                  <c:v>182413407</c:v>
                </c:pt>
                <c:pt idx="2021">
                  <c:v>182275320</c:v>
                </c:pt>
                <c:pt idx="2022">
                  <c:v>167380806</c:v>
                </c:pt>
                <c:pt idx="2023">
                  <c:v>165120949</c:v>
                </c:pt>
                <c:pt idx="2024">
                  <c:v>167481956</c:v>
                </c:pt>
                <c:pt idx="2025">
                  <c:v>184937374</c:v>
                </c:pt>
                <c:pt idx="2026">
                  <c:v>180468906</c:v>
                </c:pt>
                <c:pt idx="2027">
                  <c:v>184722737</c:v>
                </c:pt>
                <c:pt idx="2028">
                  <c:v>183981858</c:v>
                </c:pt>
                <c:pt idx="2029">
                  <c:v>186500011</c:v>
                </c:pt>
                <c:pt idx="2030">
                  <c:v>183885792</c:v>
                </c:pt>
                <c:pt idx="2031">
                  <c:v>183157566</c:v>
                </c:pt>
                <c:pt idx="2032">
                  <c:v>179039555</c:v>
                </c:pt>
                <c:pt idx="2033">
                  <c:v>186503016</c:v>
                </c:pt>
                <c:pt idx="2034">
                  <c:v>186024528</c:v>
                </c:pt>
                <c:pt idx="2035">
                  <c:v>186334804</c:v>
                </c:pt>
                <c:pt idx="2036">
                  <c:v>186262482</c:v>
                </c:pt>
                <c:pt idx="2037">
                  <c:v>169527657</c:v>
                </c:pt>
                <c:pt idx="2038">
                  <c:v>186270347</c:v>
                </c:pt>
                <c:pt idx="2039">
                  <c:v>183442642</c:v>
                </c:pt>
                <c:pt idx="2040">
                  <c:v>186523354</c:v>
                </c:pt>
                <c:pt idx="2041">
                  <c:v>175375767</c:v>
                </c:pt>
                <c:pt idx="2042">
                  <c:v>182375049</c:v>
                </c:pt>
                <c:pt idx="2043">
                  <c:v>185839021</c:v>
                </c:pt>
                <c:pt idx="2044">
                  <c:v>186384141</c:v>
                </c:pt>
                <c:pt idx="2045">
                  <c:v>185786623</c:v>
                </c:pt>
                <c:pt idx="2046">
                  <c:v>174335881</c:v>
                </c:pt>
                <c:pt idx="2047">
                  <c:v>186514493</c:v>
                </c:pt>
                <c:pt idx="2048">
                  <c:v>186031008</c:v>
                </c:pt>
                <c:pt idx="2049">
                  <c:v>157894639</c:v>
                </c:pt>
                <c:pt idx="2050">
                  <c:v>162312989</c:v>
                </c:pt>
                <c:pt idx="2051">
                  <c:v>182897299</c:v>
                </c:pt>
                <c:pt idx="2052">
                  <c:v>169454775</c:v>
                </c:pt>
                <c:pt idx="2053">
                  <c:v>169271117</c:v>
                </c:pt>
                <c:pt idx="2054">
                  <c:v>161307723</c:v>
                </c:pt>
                <c:pt idx="2055">
                  <c:v>178035601</c:v>
                </c:pt>
                <c:pt idx="2056">
                  <c:v>183870184</c:v>
                </c:pt>
                <c:pt idx="2057">
                  <c:v>186094880</c:v>
                </c:pt>
                <c:pt idx="2058">
                  <c:v>186199390</c:v>
                </c:pt>
                <c:pt idx="2059">
                  <c:v>183468790</c:v>
                </c:pt>
                <c:pt idx="2060">
                  <c:v>185318469</c:v>
                </c:pt>
                <c:pt idx="2061">
                  <c:v>182023514</c:v>
                </c:pt>
                <c:pt idx="2062">
                  <c:v>186410147</c:v>
                </c:pt>
                <c:pt idx="2063">
                  <c:v>186547861</c:v>
                </c:pt>
                <c:pt idx="2064">
                  <c:v>185286773</c:v>
                </c:pt>
                <c:pt idx="2065">
                  <c:v>185286773</c:v>
                </c:pt>
                <c:pt idx="2066">
                  <c:v>186404530</c:v>
                </c:pt>
                <c:pt idx="2067">
                  <c:v>186073388</c:v>
                </c:pt>
                <c:pt idx="2068">
                  <c:v>181030428</c:v>
                </c:pt>
                <c:pt idx="2069">
                  <c:v>185519164</c:v>
                </c:pt>
                <c:pt idx="2070">
                  <c:v>182746031</c:v>
                </c:pt>
                <c:pt idx="2071">
                  <c:v>180931888</c:v>
                </c:pt>
                <c:pt idx="2072">
                  <c:v>185877471</c:v>
                </c:pt>
                <c:pt idx="2073">
                  <c:v>186543088</c:v>
                </c:pt>
                <c:pt idx="2074">
                  <c:v>171895204</c:v>
                </c:pt>
                <c:pt idx="2075">
                  <c:v>183758888</c:v>
                </c:pt>
                <c:pt idx="2076">
                  <c:v>181398564</c:v>
                </c:pt>
                <c:pt idx="2077">
                  <c:v>185422450</c:v>
                </c:pt>
                <c:pt idx="2078">
                  <c:v>163009892</c:v>
                </c:pt>
                <c:pt idx="2079">
                  <c:v>176160715</c:v>
                </c:pt>
                <c:pt idx="2080">
                  <c:v>185854606</c:v>
                </c:pt>
                <c:pt idx="2081">
                  <c:v>186509406</c:v>
                </c:pt>
                <c:pt idx="2082">
                  <c:v>181644219</c:v>
                </c:pt>
                <c:pt idx="2083">
                  <c:v>186094880</c:v>
                </c:pt>
                <c:pt idx="2084">
                  <c:v>166743217</c:v>
                </c:pt>
                <c:pt idx="2085">
                  <c:v>186547861</c:v>
                </c:pt>
                <c:pt idx="2086">
                  <c:v>163401697</c:v>
                </c:pt>
                <c:pt idx="2087">
                  <c:v>186440882</c:v>
                </c:pt>
                <c:pt idx="2088">
                  <c:v>179448605</c:v>
                </c:pt>
                <c:pt idx="2089">
                  <c:v>169454775</c:v>
                </c:pt>
                <c:pt idx="2090">
                  <c:v>185877471</c:v>
                </c:pt>
                <c:pt idx="2091">
                  <c:v>185435050</c:v>
                </c:pt>
                <c:pt idx="2092">
                  <c:v>185924522</c:v>
                </c:pt>
                <c:pt idx="2093">
                  <c:v>178404393</c:v>
                </c:pt>
                <c:pt idx="2094">
                  <c:v>181923754</c:v>
                </c:pt>
                <c:pt idx="2095">
                  <c:v>179788102</c:v>
                </c:pt>
                <c:pt idx="2096">
                  <c:v>186532418</c:v>
                </c:pt>
                <c:pt idx="2097">
                  <c:v>186547723</c:v>
                </c:pt>
                <c:pt idx="2098">
                  <c:v>180938988</c:v>
                </c:pt>
                <c:pt idx="2099">
                  <c:v>186326493</c:v>
                </c:pt>
                <c:pt idx="2100">
                  <c:v>186539538</c:v>
                </c:pt>
                <c:pt idx="2101">
                  <c:v>185384306</c:v>
                </c:pt>
                <c:pt idx="2102">
                  <c:v>180145621</c:v>
                </c:pt>
                <c:pt idx="2103">
                  <c:v>173069656</c:v>
                </c:pt>
                <c:pt idx="2104">
                  <c:v>174022609</c:v>
                </c:pt>
                <c:pt idx="2105">
                  <c:v>186540183</c:v>
                </c:pt>
                <c:pt idx="2106">
                  <c:v>186547861</c:v>
                </c:pt>
                <c:pt idx="2107">
                  <c:v>186290258</c:v>
                </c:pt>
                <c:pt idx="2108">
                  <c:v>186546024</c:v>
                </c:pt>
                <c:pt idx="2109">
                  <c:v>184886582</c:v>
                </c:pt>
                <c:pt idx="2110">
                  <c:v>175287885</c:v>
                </c:pt>
                <c:pt idx="2111">
                  <c:v>185786623</c:v>
                </c:pt>
                <c:pt idx="2112">
                  <c:v>184626973</c:v>
                </c:pt>
                <c:pt idx="2113">
                  <c:v>181425079</c:v>
                </c:pt>
                <c:pt idx="2114">
                  <c:v>171333152</c:v>
                </c:pt>
                <c:pt idx="2115">
                  <c:v>186230229</c:v>
                </c:pt>
                <c:pt idx="2116">
                  <c:v>158051627</c:v>
                </c:pt>
                <c:pt idx="2117">
                  <c:v>160559928</c:v>
                </c:pt>
                <c:pt idx="2118">
                  <c:v>169271117</c:v>
                </c:pt>
                <c:pt idx="2119">
                  <c:v>186462669</c:v>
                </c:pt>
                <c:pt idx="2120">
                  <c:v>166638472</c:v>
                </c:pt>
                <c:pt idx="2121">
                  <c:v>184997138</c:v>
                </c:pt>
                <c:pt idx="2122">
                  <c:v>184617793</c:v>
                </c:pt>
                <c:pt idx="2123">
                  <c:v>167542628</c:v>
                </c:pt>
                <c:pt idx="2124">
                  <c:v>181510092</c:v>
                </c:pt>
                <c:pt idx="2125">
                  <c:v>163547085</c:v>
                </c:pt>
                <c:pt idx="2126">
                  <c:v>168484790</c:v>
                </c:pt>
                <c:pt idx="2127">
                  <c:v>186069743</c:v>
                </c:pt>
                <c:pt idx="2128">
                  <c:v>177343061</c:v>
                </c:pt>
                <c:pt idx="2129">
                  <c:v>175597882</c:v>
                </c:pt>
                <c:pt idx="2130">
                  <c:v>177773129</c:v>
                </c:pt>
                <c:pt idx="2131">
                  <c:v>185614755</c:v>
                </c:pt>
                <c:pt idx="2132">
                  <c:v>179763781</c:v>
                </c:pt>
                <c:pt idx="2133">
                  <c:v>184456190</c:v>
                </c:pt>
                <c:pt idx="2134">
                  <c:v>183263602</c:v>
                </c:pt>
                <c:pt idx="2135">
                  <c:v>186525120</c:v>
                </c:pt>
                <c:pt idx="2136">
                  <c:v>171462914</c:v>
                </c:pt>
                <c:pt idx="2137">
                  <c:v>181718422</c:v>
                </c:pt>
                <c:pt idx="2138">
                  <c:v>177783414</c:v>
                </c:pt>
                <c:pt idx="2139">
                  <c:v>186522191</c:v>
                </c:pt>
                <c:pt idx="2140">
                  <c:v>180831182</c:v>
                </c:pt>
                <c:pt idx="2141">
                  <c:v>186334804</c:v>
                </c:pt>
                <c:pt idx="2142">
                  <c:v>181030428</c:v>
                </c:pt>
                <c:pt idx="2143">
                  <c:v>186547861</c:v>
                </c:pt>
                <c:pt idx="2144">
                  <c:v>164303987</c:v>
                </c:pt>
                <c:pt idx="2145">
                  <c:v>186438857</c:v>
                </c:pt>
                <c:pt idx="2146">
                  <c:v>167032975</c:v>
                </c:pt>
                <c:pt idx="2147">
                  <c:v>186225045</c:v>
                </c:pt>
                <c:pt idx="2148">
                  <c:v>162813140</c:v>
                </c:pt>
                <c:pt idx="2149">
                  <c:v>185597631</c:v>
                </c:pt>
                <c:pt idx="2150">
                  <c:v>169958358</c:v>
                </c:pt>
                <c:pt idx="2151">
                  <c:v>186530920</c:v>
                </c:pt>
                <c:pt idx="2152">
                  <c:v>175658722</c:v>
                </c:pt>
                <c:pt idx="2153">
                  <c:v>182946522</c:v>
                </c:pt>
                <c:pt idx="2154">
                  <c:v>186504471</c:v>
                </c:pt>
                <c:pt idx="2155">
                  <c:v>175007815</c:v>
                </c:pt>
                <c:pt idx="2156">
                  <c:v>178759900</c:v>
                </c:pt>
                <c:pt idx="2157">
                  <c:v>173925940</c:v>
                </c:pt>
                <c:pt idx="2158">
                  <c:v>186402478</c:v>
                </c:pt>
                <c:pt idx="2159">
                  <c:v>184093191</c:v>
                </c:pt>
                <c:pt idx="2160">
                  <c:v>164094803</c:v>
                </c:pt>
                <c:pt idx="2161">
                  <c:v>178328120</c:v>
                </c:pt>
                <c:pt idx="2162">
                  <c:v>186301356</c:v>
                </c:pt>
                <c:pt idx="2163">
                  <c:v>186540389</c:v>
                </c:pt>
                <c:pt idx="2164">
                  <c:v>183618325</c:v>
                </c:pt>
                <c:pt idx="2165">
                  <c:v>186545295</c:v>
                </c:pt>
                <c:pt idx="2166">
                  <c:v>168750418</c:v>
                </c:pt>
                <c:pt idx="2167">
                  <c:v>175743737</c:v>
                </c:pt>
                <c:pt idx="2168">
                  <c:v>186240403</c:v>
                </c:pt>
                <c:pt idx="2169">
                  <c:v>186168102</c:v>
                </c:pt>
                <c:pt idx="2170">
                  <c:v>178976955</c:v>
                </c:pt>
                <c:pt idx="2171">
                  <c:v>183176141</c:v>
                </c:pt>
                <c:pt idx="2172">
                  <c:v>183542086</c:v>
                </c:pt>
                <c:pt idx="2173">
                  <c:v>179389223</c:v>
                </c:pt>
                <c:pt idx="2174">
                  <c:v>186544177</c:v>
                </c:pt>
                <c:pt idx="2175">
                  <c:v>172847670</c:v>
                </c:pt>
                <c:pt idx="2176">
                  <c:v>183885792</c:v>
                </c:pt>
                <c:pt idx="2177">
                  <c:v>184104041</c:v>
                </c:pt>
                <c:pt idx="2178">
                  <c:v>178649134</c:v>
                </c:pt>
                <c:pt idx="2179">
                  <c:v>185545135</c:v>
                </c:pt>
                <c:pt idx="2180">
                  <c:v>185768799</c:v>
                </c:pt>
                <c:pt idx="2181">
                  <c:v>183838824</c:v>
                </c:pt>
                <c:pt idx="2182">
                  <c:v>184602433</c:v>
                </c:pt>
                <c:pt idx="2183">
                  <c:v>186547861</c:v>
                </c:pt>
                <c:pt idx="2184">
                  <c:v>185680781</c:v>
                </c:pt>
                <c:pt idx="2185">
                  <c:v>185254605</c:v>
                </c:pt>
                <c:pt idx="2186">
                  <c:v>158728505</c:v>
                </c:pt>
                <c:pt idx="2187">
                  <c:v>179423215</c:v>
                </c:pt>
                <c:pt idx="2188">
                  <c:v>175212098</c:v>
                </c:pt>
                <c:pt idx="2189">
                  <c:v>186538002</c:v>
                </c:pt>
                <c:pt idx="2190">
                  <c:v>186547861</c:v>
                </c:pt>
                <c:pt idx="2191">
                  <c:v>177783414</c:v>
                </c:pt>
                <c:pt idx="2192">
                  <c:v>186285726</c:v>
                </c:pt>
                <c:pt idx="2193">
                  <c:v>186540253</c:v>
                </c:pt>
                <c:pt idx="2194">
                  <c:v>164303987</c:v>
                </c:pt>
                <c:pt idx="2195">
                  <c:v>185394931</c:v>
                </c:pt>
                <c:pt idx="2196">
                  <c:v>170308883</c:v>
                </c:pt>
                <c:pt idx="2197">
                  <c:v>178299320</c:v>
                </c:pt>
                <c:pt idx="2198">
                  <c:v>179242421</c:v>
                </c:pt>
                <c:pt idx="2199">
                  <c:v>174159497</c:v>
                </c:pt>
                <c:pt idx="2200">
                  <c:v>186514493</c:v>
                </c:pt>
                <c:pt idx="2201">
                  <c:v>174227505</c:v>
                </c:pt>
                <c:pt idx="2202">
                  <c:v>171688855</c:v>
                </c:pt>
                <c:pt idx="2203">
                  <c:v>185112669</c:v>
                </c:pt>
                <c:pt idx="2204">
                  <c:v>185545135</c:v>
                </c:pt>
                <c:pt idx="2205">
                  <c:v>184413337</c:v>
                </c:pt>
                <c:pt idx="2206">
                  <c:v>186536179</c:v>
                </c:pt>
                <c:pt idx="2207">
                  <c:v>183336003</c:v>
                </c:pt>
                <c:pt idx="2208">
                  <c:v>167921769</c:v>
                </c:pt>
                <c:pt idx="2209">
                  <c:v>161776320</c:v>
                </c:pt>
                <c:pt idx="2210">
                  <c:v>186545758</c:v>
                </c:pt>
                <c:pt idx="2211">
                  <c:v>182990510</c:v>
                </c:pt>
                <c:pt idx="2212">
                  <c:v>169600340</c:v>
                </c:pt>
                <c:pt idx="2213">
                  <c:v>175876374</c:v>
                </c:pt>
                <c:pt idx="2214">
                  <c:v>186544925</c:v>
                </c:pt>
                <c:pt idx="2215">
                  <c:v>181941516</c:v>
                </c:pt>
                <c:pt idx="2216">
                  <c:v>185772049</c:v>
                </c:pt>
                <c:pt idx="2217">
                  <c:v>186542736</c:v>
                </c:pt>
                <c:pt idx="2218">
                  <c:v>177343061</c:v>
                </c:pt>
                <c:pt idx="2219">
                  <c:v>186318007</c:v>
                </c:pt>
                <c:pt idx="2220">
                  <c:v>179363450</c:v>
                </c:pt>
                <c:pt idx="2221">
                  <c:v>185865347</c:v>
                </c:pt>
                <c:pt idx="2222">
                  <c:v>183162238</c:v>
                </c:pt>
                <c:pt idx="2223">
                  <c:v>185669981</c:v>
                </c:pt>
                <c:pt idx="2224">
                  <c:v>181917802</c:v>
                </c:pt>
                <c:pt idx="2225">
                  <c:v>167623196</c:v>
                </c:pt>
                <c:pt idx="2226">
                  <c:v>183344963</c:v>
                </c:pt>
                <c:pt idx="2227">
                  <c:v>183913006</c:v>
                </c:pt>
                <c:pt idx="2228">
                  <c:v>178025679</c:v>
                </c:pt>
                <c:pt idx="2229">
                  <c:v>175071913</c:v>
                </c:pt>
                <c:pt idx="2230">
                  <c:v>186546308</c:v>
                </c:pt>
                <c:pt idx="2231">
                  <c:v>186506766</c:v>
                </c:pt>
                <c:pt idx="2232">
                  <c:v>161776320</c:v>
                </c:pt>
                <c:pt idx="2233">
                  <c:v>186422918</c:v>
                </c:pt>
                <c:pt idx="2234">
                  <c:v>160478430</c:v>
                </c:pt>
                <c:pt idx="2235">
                  <c:v>157353040</c:v>
                </c:pt>
                <c:pt idx="2236">
                  <c:v>176578082</c:v>
                </c:pt>
                <c:pt idx="2237">
                  <c:v>182807115</c:v>
                </c:pt>
                <c:pt idx="2238">
                  <c:v>186545758</c:v>
                </c:pt>
                <c:pt idx="2239">
                  <c:v>186528899</c:v>
                </c:pt>
                <c:pt idx="2240">
                  <c:v>176669521</c:v>
                </c:pt>
                <c:pt idx="2241">
                  <c:v>163401697</c:v>
                </c:pt>
                <c:pt idx="2242">
                  <c:v>186493725</c:v>
                </c:pt>
                <c:pt idx="2243">
                  <c:v>186506766</c:v>
                </c:pt>
                <c:pt idx="2244">
                  <c:v>186305001</c:v>
                </c:pt>
                <c:pt idx="2245">
                  <c:v>181223492</c:v>
                </c:pt>
                <c:pt idx="2246">
                  <c:v>186547861</c:v>
                </c:pt>
                <c:pt idx="2247">
                  <c:v>186546888</c:v>
                </c:pt>
                <c:pt idx="2248">
                  <c:v>182632128</c:v>
                </c:pt>
                <c:pt idx="2249">
                  <c:v>164187987</c:v>
                </c:pt>
                <c:pt idx="2250">
                  <c:v>185809023</c:v>
                </c:pt>
                <c:pt idx="2251">
                  <c:v>185975081</c:v>
                </c:pt>
                <c:pt idx="2252">
                  <c:v>186547861</c:v>
                </c:pt>
                <c:pt idx="2253">
                  <c:v>185187199</c:v>
                </c:pt>
                <c:pt idx="2254">
                  <c:v>158728505</c:v>
                </c:pt>
                <c:pt idx="2255">
                  <c:v>179363450</c:v>
                </c:pt>
                <c:pt idx="2256">
                  <c:v>186312976</c:v>
                </c:pt>
                <c:pt idx="2257">
                  <c:v>170395357</c:v>
                </c:pt>
                <c:pt idx="2258">
                  <c:v>164071394</c:v>
                </c:pt>
                <c:pt idx="2259">
                  <c:v>186346099</c:v>
                </c:pt>
                <c:pt idx="2260">
                  <c:v>186534752</c:v>
                </c:pt>
                <c:pt idx="2261">
                  <c:v>171218823</c:v>
                </c:pt>
                <c:pt idx="2262">
                  <c:v>186396712</c:v>
                </c:pt>
                <c:pt idx="2263">
                  <c:v>184602433</c:v>
                </c:pt>
                <c:pt idx="2264">
                  <c:v>177844822</c:v>
                </c:pt>
                <c:pt idx="2265">
                  <c:v>186480078</c:v>
                </c:pt>
                <c:pt idx="2266">
                  <c:v>178508577</c:v>
                </c:pt>
                <c:pt idx="2267">
                  <c:v>179876921</c:v>
                </c:pt>
                <c:pt idx="2268">
                  <c:v>186494000</c:v>
                </c:pt>
                <c:pt idx="2269">
                  <c:v>186483507</c:v>
                </c:pt>
                <c:pt idx="2270">
                  <c:v>185338595</c:v>
                </c:pt>
                <c:pt idx="2271">
                  <c:v>184648263</c:v>
                </c:pt>
                <c:pt idx="2272">
                  <c:v>186536523</c:v>
                </c:pt>
                <c:pt idx="2273">
                  <c:v>186253650</c:v>
                </c:pt>
                <c:pt idx="2274">
                  <c:v>181351968</c:v>
                </c:pt>
                <c:pt idx="2275">
                  <c:v>159439971</c:v>
                </c:pt>
                <c:pt idx="2276">
                  <c:v>182632128</c:v>
                </c:pt>
                <c:pt idx="2277">
                  <c:v>184004382</c:v>
                </c:pt>
                <c:pt idx="2278">
                  <c:v>186547861</c:v>
                </c:pt>
                <c:pt idx="2279">
                  <c:v>180067447</c:v>
                </c:pt>
                <c:pt idx="2280">
                  <c:v>168806794</c:v>
                </c:pt>
                <c:pt idx="2281">
                  <c:v>186470639</c:v>
                </c:pt>
                <c:pt idx="2282">
                  <c:v>186500011</c:v>
                </c:pt>
                <c:pt idx="2283">
                  <c:v>186123383</c:v>
                </c:pt>
                <c:pt idx="2284">
                  <c:v>171592386</c:v>
                </c:pt>
                <c:pt idx="2285">
                  <c:v>176055060</c:v>
                </c:pt>
                <c:pt idx="2286">
                  <c:v>180787751</c:v>
                </c:pt>
                <c:pt idx="2287">
                  <c:v>186535476</c:v>
                </c:pt>
                <c:pt idx="2288">
                  <c:v>180354450</c:v>
                </c:pt>
                <c:pt idx="2289">
                  <c:v>186547115</c:v>
                </c:pt>
                <c:pt idx="2290">
                  <c:v>185443402</c:v>
                </c:pt>
                <c:pt idx="2291">
                  <c:v>186547861</c:v>
                </c:pt>
                <c:pt idx="2292">
                  <c:v>182483955</c:v>
                </c:pt>
                <c:pt idx="2293">
                  <c:v>184349691</c:v>
                </c:pt>
                <c:pt idx="2294">
                  <c:v>173898224</c:v>
                </c:pt>
                <c:pt idx="2295">
                  <c:v>177607388</c:v>
                </c:pt>
                <c:pt idx="2296">
                  <c:v>174496670</c:v>
                </c:pt>
                <c:pt idx="2297">
                  <c:v>186041248</c:v>
                </c:pt>
                <c:pt idx="2298">
                  <c:v>164964273</c:v>
                </c:pt>
                <c:pt idx="2299">
                  <c:v>186192975</c:v>
                </c:pt>
                <c:pt idx="2300">
                  <c:v>186547861</c:v>
                </c:pt>
                <c:pt idx="2301">
                  <c:v>168863123</c:v>
                </c:pt>
                <c:pt idx="2302">
                  <c:v>182046802</c:v>
                </c:pt>
                <c:pt idx="2303">
                  <c:v>176894728</c:v>
                </c:pt>
                <c:pt idx="2304">
                  <c:v>171942454</c:v>
                </c:pt>
                <c:pt idx="2305">
                  <c:v>186525866</c:v>
                </c:pt>
                <c:pt idx="2306">
                  <c:v>185768799</c:v>
                </c:pt>
                <c:pt idx="2307">
                  <c:v>171831793</c:v>
                </c:pt>
                <c:pt idx="2308">
                  <c:v>166150372</c:v>
                </c:pt>
                <c:pt idx="2309">
                  <c:v>184172230</c:v>
                </c:pt>
                <c:pt idx="2310">
                  <c:v>186448050</c:v>
                </c:pt>
                <c:pt idx="2311">
                  <c:v>185648257</c:v>
                </c:pt>
                <c:pt idx="2312">
                  <c:v>185823279</c:v>
                </c:pt>
                <c:pt idx="2313">
                  <c:v>180285279</c:v>
                </c:pt>
                <c:pt idx="2314">
                  <c:v>179763781</c:v>
                </c:pt>
                <c:pt idx="2315">
                  <c:v>186346099</c:v>
                </c:pt>
                <c:pt idx="2316">
                  <c:v>186525866</c:v>
                </c:pt>
                <c:pt idx="2317">
                  <c:v>176917072</c:v>
                </c:pt>
                <c:pt idx="2318">
                  <c:v>186529879</c:v>
                </c:pt>
                <c:pt idx="2319">
                  <c:v>167197006</c:v>
                </c:pt>
                <c:pt idx="2320">
                  <c:v>186547861</c:v>
                </c:pt>
                <c:pt idx="2321">
                  <c:v>182424297</c:v>
                </c:pt>
                <c:pt idx="2322">
                  <c:v>185367052</c:v>
                </c:pt>
                <c:pt idx="2323">
                  <c:v>168750418</c:v>
                </c:pt>
                <c:pt idx="2324">
                  <c:v>185180101</c:v>
                </c:pt>
                <c:pt idx="2325">
                  <c:v>186512097</c:v>
                </c:pt>
                <c:pt idx="2326">
                  <c:v>176335567</c:v>
                </c:pt>
                <c:pt idx="2327">
                  <c:v>186517200</c:v>
                </c:pt>
                <c:pt idx="2328">
                  <c:v>186374368</c:v>
                </c:pt>
                <c:pt idx="2329">
                  <c:v>180145621</c:v>
                </c:pt>
                <c:pt idx="2330">
                  <c:v>182616520</c:v>
                </c:pt>
                <c:pt idx="2331">
                  <c:v>186413159</c:v>
                </c:pt>
                <c:pt idx="2332">
                  <c:v>182275320</c:v>
                </c:pt>
                <c:pt idx="2333">
                  <c:v>159381571</c:v>
                </c:pt>
                <c:pt idx="2334">
                  <c:v>184263802</c:v>
                </c:pt>
                <c:pt idx="2335">
                  <c:v>186342829</c:v>
                </c:pt>
                <c:pt idx="2336">
                  <c:v>185187199</c:v>
                </c:pt>
                <c:pt idx="2337">
                  <c:v>173504461</c:v>
                </c:pt>
                <c:pt idx="2338">
                  <c:v>186346099</c:v>
                </c:pt>
                <c:pt idx="2339">
                  <c:v>179163527</c:v>
                </c:pt>
                <c:pt idx="2340">
                  <c:v>171942454</c:v>
                </c:pt>
                <c:pt idx="2341">
                  <c:v>182946522</c:v>
                </c:pt>
                <c:pt idx="2342">
                  <c:v>182275320</c:v>
                </c:pt>
                <c:pt idx="2343">
                  <c:v>184228783</c:v>
                </c:pt>
                <c:pt idx="2344">
                  <c:v>183936173</c:v>
                </c:pt>
                <c:pt idx="2345">
                  <c:v>185562800</c:v>
                </c:pt>
                <c:pt idx="2346">
                  <c:v>186547861</c:v>
                </c:pt>
                <c:pt idx="2347">
                  <c:v>184104041</c:v>
                </c:pt>
                <c:pt idx="2348">
                  <c:v>181223492</c:v>
                </c:pt>
                <c:pt idx="2349">
                  <c:v>186547241</c:v>
                </c:pt>
                <c:pt idx="2350">
                  <c:v>185772049</c:v>
                </c:pt>
                <c:pt idx="2351">
                  <c:v>186421966</c:v>
                </c:pt>
                <c:pt idx="2352">
                  <c:v>163353057</c:v>
                </c:pt>
                <c:pt idx="2353">
                  <c:v>163667085</c:v>
                </c:pt>
                <c:pt idx="2354">
                  <c:v>186534472</c:v>
                </c:pt>
                <c:pt idx="2355">
                  <c:v>184599355</c:v>
                </c:pt>
                <c:pt idx="2356">
                  <c:v>171020664</c:v>
                </c:pt>
                <c:pt idx="2357">
                  <c:v>174376381</c:v>
                </c:pt>
                <c:pt idx="2358">
                  <c:v>184772089</c:v>
                </c:pt>
                <c:pt idx="2359">
                  <c:v>159498251</c:v>
                </c:pt>
                <c:pt idx="2360">
                  <c:v>186547836</c:v>
                </c:pt>
                <c:pt idx="2361">
                  <c:v>157094192</c:v>
                </c:pt>
                <c:pt idx="2362">
                  <c:v>186508546</c:v>
                </c:pt>
                <c:pt idx="2363">
                  <c:v>177534117</c:v>
                </c:pt>
                <c:pt idx="2364">
                  <c:v>181748890</c:v>
                </c:pt>
                <c:pt idx="2365">
                  <c:v>181257492</c:v>
                </c:pt>
                <c:pt idx="2366">
                  <c:v>162388580</c:v>
                </c:pt>
                <c:pt idx="2367">
                  <c:v>179448605</c:v>
                </c:pt>
                <c:pt idx="2368">
                  <c:v>156596921</c:v>
                </c:pt>
                <c:pt idx="2369">
                  <c:v>186069743</c:v>
                </c:pt>
                <c:pt idx="2370">
                  <c:v>171365642</c:v>
                </c:pt>
                <c:pt idx="2371">
                  <c:v>186547660</c:v>
                </c:pt>
                <c:pt idx="2372">
                  <c:v>186152095</c:v>
                </c:pt>
                <c:pt idx="2373">
                  <c:v>170011245</c:v>
                </c:pt>
                <c:pt idx="2374">
                  <c:v>186536523</c:v>
                </c:pt>
                <c:pt idx="2375">
                  <c:v>185017602</c:v>
                </c:pt>
                <c:pt idx="2376">
                  <c:v>174227505</c:v>
                </c:pt>
                <c:pt idx="2377">
                  <c:v>182023514</c:v>
                </c:pt>
                <c:pt idx="2378">
                  <c:v>184482110</c:v>
                </c:pt>
                <c:pt idx="2379">
                  <c:v>184722737</c:v>
                </c:pt>
                <c:pt idx="2380">
                  <c:v>180867271</c:v>
                </c:pt>
                <c:pt idx="2381">
                  <c:v>186540456</c:v>
                </c:pt>
                <c:pt idx="2382">
                  <c:v>184817725</c:v>
                </c:pt>
                <c:pt idx="2383">
                  <c:v>170099245</c:v>
                </c:pt>
                <c:pt idx="2384">
                  <c:v>186542436</c:v>
                </c:pt>
                <c:pt idx="2385">
                  <c:v>186532418</c:v>
                </c:pt>
                <c:pt idx="2386">
                  <c:v>183433854</c:v>
                </c:pt>
                <c:pt idx="2387">
                  <c:v>183185375</c:v>
                </c:pt>
                <c:pt idx="2388">
                  <c:v>186543478</c:v>
                </c:pt>
                <c:pt idx="2389">
                  <c:v>184675418</c:v>
                </c:pt>
                <c:pt idx="2390">
                  <c:v>186539538</c:v>
                </c:pt>
                <c:pt idx="2391">
                  <c:v>186546308</c:v>
                </c:pt>
                <c:pt idx="2392">
                  <c:v>173418358</c:v>
                </c:pt>
                <c:pt idx="2393">
                  <c:v>186537273</c:v>
                </c:pt>
                <c:pt idx="2394">
                  <c:v>186471980</c:v>
                </c:pt>
                <c:pt idx="2395">
                  <c:v>186547301</c:v>
                </c:pt>
                <c:pt idx="2396">
                  <c:v>182133569</c:v>
                </c:pt>
                <c:pt idx="2397">
                  <c:v>167360556</c:v>
                </c:pt>
                <c:pt idx="2398">
                  <c:v>168312341</c:v>
                </c:pt>
                <c:pt idx="2399">
                  <c:v>184817725</c:v>
                </c:pt>
                <c:pt idx="2400">
                  <c:v>175719474</c:v>
                </c:pt>
                <c:pt idx="2401">
                  <c:v>163667085</c:v>
                </c:pt>
                <c:pt idx="2402">
                  <c:v>186529879</c:v>
                </c:pt>
                <c:pt idx="2403">
                  <c:v>184669418</c:v>
                </c:pt>
                <c:pt idx="2404">
                  <c:v>186534936</c:v>
                </c:pt>
                <c:pt idx="2405">
                  <c:v>186540850</c:v>
                </c:pt>
                <c:pt idx="2406">
                  <c:v>183336003</c:v>
                </c:pt>
                <c:pt idx="2407">
                  <c:v>184716887</c:v>
                </c:pt>
                <c:pt idx="2408">
                  <c:v>185551060</c:v>
                </c:pt>
                <c:pt idx="2409">
                  <c:v>183344963</c:v>
                </c:pt>
                <c:pt idx="2410">
                  <c:v>175984031</c:v>
                </c:pt>
                <c:pt idx="2411">
                  <c:v>172238990</c:v>
                </c:pt>
                <c:pt idx="2412">
                  <c:v>186131075</c:v>
                </c:pt>
                <c:pt idx="2413">
                  <c:v>185823279</c:v>
                </c:pt>
                <c:pt idx="2414">
                  <c:v>186537273</c:v>
                </c:pt>
                <c:pt idx="2415">
                  <c:v>186179798</c:v>
                </c:pt>
                <c:pt idx="2416">
                  <c:v>184648263</c:v>
                </c:pt>
                <c:pt idx="2417">
                  <c:v>179624569</c:v>
                </c:pt>
                <c:pt idx="2418">
                  <c:v>186529025</c:v>
                </c:pt>
                <c:pt idx="2419">
                  <c:v>186517200</c:v>
                </c:pt>
                <c:pt idx="2420">
                  <c:v>182590307</c:v>
                </c:pt>
                <c:pt idx="2421">
                  <c:v>172409168</c:v>
                </c:pt>
                <c:pt idx="2422">
                  <c:v>186386371</c:v>
                </c:pt>
                <c:pt idx="2423">
                  <c:v>185669981</c:v>
                </c:pt>
                <c:pt idx="2424">
                  <c:v>186334804</c:v>
                </c:pt>
                <c:pt idx="2425">
                  <c:v>186547861</c:v>
                </c:pt>
                <c:pt idx="2426">
                  <c:v>186547861</c:v>
                </c:pt>
                <c:pt idx="2427">
                  <c:v>185660956</c:v>
                </c:pt>
                <c:pt idx="2428">
                  <c:v>174669460</c:v>
                </c:pt>
                <c:pt idx="2429">
                  <c:v>177895397</c:v>
                </c:pt>
                <c:pt idx="2430">
                  <c:v>183367348</c:v>
                </c:pt>
                <c:pt idx="2431">
                  <c:v>186547861</c:v>
                </c:pt>
                <c:pt idx="2432">
                  <c:v>159613831</c:v>
                </c:pt>
                <c:pt idx="2433">
                  <c:v>186352563</c:v>
                </c:pt>
                <c:pt idx="2434">
                  <c:v>184953072</c:v>
                </c:pt>
                <c:pt idx="2435">
                  <c:v>185338595</c:v>
                </c:pt>
                <c:pt idx="2436">
                  <c:v>186547339</c:v>
                </c:pt>
                <c:pt idx="2437">
                  <c:v>173884352</c:v>
                </c:pt>
                <c:pt idx="2438">
                  <c:v>186547861</c:v>
                </c:pt>
                <c:pt idx="2439">
                  <c:v>182781729</c:v>
                </c:pt>
                <c:pt idx="2440">
                  <c:v>186190191</c:v>
                </c:pt>
                <c:pt idx="2441">
                  <c:v>184848382</c:v>
                </c:pt>
                <c:pt idx="2442">
                  <c:v>186510654</c:v>
                </c:pt>
                <c:pt idx="2443">
                  <c:v>186467915</c:v>
                </c:pt>
                <c:pt idx="2444">
                  <c:v>185414023</c:v>
                </c:pt>
                <c:pt idx="2445">
                  <c:v>186547861</c:v>
                </c:pt>
                <c:pt idx="2446">
                  <c:v>155404269</c:v>
                </c:pt>
                <c:pt idx="2447">
                  <c:v>186473950</c:v>
                </c:pt>
                <c:pt idx="2448">
                  <c:v>186509406</c:v>
                </c:pt>
                <c:pt idx="2449">
                  <c:v>186253650</c:v>
                </c:pt>
                <c:pt idx="2450">
                  <c:v>186535476</c:v>
                </c:pt>
                <c:pt idx="2451">
                  <c:v>157094192</c:v>
                </c:pt>
                <c:pt idx="2452">
                  <c:v>180377400</c:v>
                </c:pt>
                <c:pt idx="2453">
                  <c:v>179012771</c:v>
                </c:pt>
                <c:pt idx="2454">
                  <c:v>186411659</c:v>
                </c:pt>
                <c:pt idx="2455">
                  <c:v>168561254</c:v>
                </c:pt>
                <c:pt idx="2456">
                  <c:v>186541810</c:v>
                </c:pt>
                <c:pt idx="2457">
                  <c:v>161465003</c:v>
                </c:pt>
                <c:pt idx="2458">
                  <c:v>186416132</c:v>
                </c:pt>
                <c:pt idx="2459">
                  <c:v>185640897</c:v>
                </c:pt>
                <c:pt idx="2460">
                  <c:v>181371952</c:v>
                </c:pt>
                <c:pt idx="2461">
                  <c:v>186368477</c:v>
                </c:pt>
                <c:pt idx="2462">
                  <c:v>186391860</c:v>
                </c:pt>
                <c:pt idx="2463">
                  <c:v>185468282</c:v>
                </c:pt>
                <c:pt idx="2464">
                  <c:v>181444870</c:v>
                </c:pt>
                <c:pt idx="2465">
                  <c:v>186536179</c:v>
                </c:pt>
                <c:pt idx="2466">
                  <c:v>183618325</c:v>
                </c:pt>
                <c:pt idx="2467">
                  <c:v>186508546</c:v>
                </c:pt>
                <c:pt idx="2468">
                  <c:v>186534936</c:v>
                </c:pt>
                <c:pt idx="2469">
                  <c:v>182247288</c:v>
                </c:pt>
                <c:pt idx="2470">
                  <c:v>166300051</c:v>
                </c:pt>
                <c:pt idx="2471">
                  <c:v>185758875</c:v>
                </c:pt>
                <c:pt idx="2472">
                  <c:v>182325513</c:v>
                </c:pt>
                <c:pt idx="2473">
                  <c:v>176939358</c:v>
                </c:pt>
                <c:pt idx="2474">
                  <c:v>175743737</c:v>
                </c:pt>
                <c:pt idx="2475">
                  <c:v>182391519</c:v>
                </c:pt>
                <c:pt idx="2476">
                  <c:v>172966555</c:v>
                </c:pt>
                <c:pt idx="2477">
                  <c:v>181797491</c:v>
                </c:pt>
                <c:pt idx="2478">
                  <c:v>186533802</c:v>
                </c:pt>
                <c:pt idx="2479">
                  <c:v>186500011</c:v>
                </c:pt>
                <c:pt idx="2480">
                  <c:v>179665725</c:v>
                </c:pt>
                <c:pt idx="2481">
                  <c:v>186368477</c:v>
                </c:pt>
                <c:pt idx="2482">
                  <c:v>185848427</c:v>
                </c:pt>
                <c:pt idx="2483">
                  <c:v>185977817</c:v>
                </c:pt>
                <c:pt idx="2484">
                  <c:v>185904150</c:v>
                </c:pt>
                <c:pt idx="2485">
                  <c:v>177648980</c:v>
                </c:pt>
                <c:pt idx="2486">
                  <c:v>176160715</c:v>
                </c:pt>
                <c:pt idx="2487">
                  <c:v>179788102</c:v>
                </c:pt>
                <c:pt idx="2488">
                  <c:v>183272703</c:v>
                </c:pt>
                <c:pt idx="2489">
                  <c:v>186245417</c:v>
                </c:pt>
                <c:pt idx="2490">
                  <c:v>182190656</c:v>
                </c:pt>
                <c:pt idx="2491">
                  <c:v>186540850</c:v>
                </c:pt>
                <c:pt idx="2492">
                  <c:v>184840084</c:v>
                </c:pt>
                <c:pt idx="2493">
                  <c:v>179524365</c:v>
                </c:pt>
                <c:pt idx="2494">
                  <c:v>181318402</c:v>
                </c:pt>
                <c:pt idx="2495">
                  <c:v>186383007</c:v>
                </c:pt>
                <c:pt idx="2496">
                  <c:v>174173105</c:v>
                </c:pt>
                <c:pt idx="2497">
                  <c:v>184041686</c:v>
                </c:pt>
                <c:pt idx="2498">
                  <c:v>171365642</c:v>
                </c:pt>
                <c:pt idx="2499">
                  <c:v>184536611</c:v>
                </c:pt>
                <c:pt idx="2500">
                  <c:v>182456924</c:v>
                </c:pt>
                <c:pt idx="2501">
                  <c:v>178192728</c:v>
                </c:pt>
                <c:pt idx="2502">
                  <c:v>179948847</c:v>
                </c:pt>
                <c:pt idx="2503">
                  <c:v>183226841</c:v>
                </c:pt>
                <c:pt idx="2504">
                  <c:v>186136472</c:v>
                </c:pt>
                <c:pt idx="2505">
                  <c:v>184997138</c:v>
                </c:pt>
                <c:pt idx="2506">
                  <c:v>186402478</c:v>
                </c:pt>
                <c:pt idx="2507">
                  <c:v>162007541</c:v>
                </c:pt>
                <c:pt idx="2508">
                  <c:v>182150773</c:v>
                </c:pt>
                <c:pt idx="2509">
                  <c:v>182516121</c:v>
                </c:pt>
                <c:pt idx="2510">
                  <c:v>184161538</c:v>
                </c:pt>
                <c:pt idx="2511">
                  <c:v>186196664</c:v>
                </c:pt>
                <c:pt idx="2512">
                  <c:v>185217692</c:v>
                </c:pt>
                <c:pt idx="2513">
                  <c:v>186245417</c:v>
                </c:pt>
                <c:pt idx="2514">
                  <c:v>169105103</c:v>
                </c:pt>
                <c:pt idx="2515">
                  <c:v>185591898</c:v>
                </c:pt>
                <c:pt idx="2516">
                  <c:v>174416557</c:v>
                </c:pt>
                <c:pt idx="2517">
                  <c:v>181833826</c:v>
                </c:pt>
                <c:pt idx="2518">
                  <c:v>185966843</c:v>
                </c:pt>
                <c:pt idx="2519">
                  <c:v>186544333</c:v>
                </c:pt>
                <c:pt idx="2520">
                  <c:v>185509063</c:v>
                </c:pt>
                <c:pt idx="2521">
                  <c:v>178639834</c:v>
                </c:pt>
                <c:pt idx="2522">
                  <c:v>177191776</c:v>
                </c:pt>
                <c:pt idx="2523">
                  <c:v>162813140</c:v>
                </c:pt>
                <c:pt idx="2524">
                  <c:v>184034250</c:v>
                </c:pt>
                <c:pt idx="2525">
                  <c:v>181851858</c:v>
                </c:pt>
                <c:pt idx="2526">
                  <c:v>169197389</c:v>
                </c:pt>
                <c:pt idx="2527">
                  <c:v>181851858</c:v>
                </c:pt>
                <c:pt idx="2528">
                  <c:v>171070482</c:v>
                </c:pt>
                <c:pt idx="2529">
                  <c:v>186523354</c:v>
                </c:pt>
                <c:pt idx="2530">
                  <c:v>166469848</c:v>
                </c:pt>
                <c:pt idx="2531">
                  <c:v>180544439</c:v>
                </c:pt>
                <c:pt idx="2532">
                  <c:v>184501440</c:v>
                </c:pt>
                <c:pt idx="2533">
                  <c:v>165847850</c:v>
                </c:pt>
                <c:pt idx="2534">
                  <c:v>179259825</c:v>
                </c:pt>
                <c:pt idx="2535">
                  <c:v>179988535</c:v>
                </c:pt>
                <c:pt idx="2536">
                  <c:v>182150773</c:v>
                </c:pt>
                <c:pt idx="2537">
                  <c:v>163498834</c:v>
                </c:pt>
                <c:pt idx="2538">
                  <c:v>186537109</c:v>
                </c:pt>
                <c:pt idx="2539">
                  <c:v>163787020</c:v>
                </c:pt>
                <c:pt idx="2540">
                  <c:v>185468282</c:v>
                </c:pt>
                <c:pt idx="2541">
                  <c:v>181161868</c:v>
                </c:pt>
                <c:pt idx="2542">
                  <c:v>185938879</c:v>
                </c:pt>
                <c:pt idx="2543">
                  <c:v>180122229</c:v>
                </c:pt>
                <c:pt idx="2544">
                  <c:v>157609685</c:v>
                </c:pt>
                <c:pt idx="2545">
                  <c:v>185987313</c:v>
                </c:pt>
                <c:pt idx="2546">
                  <c:v>173317558</c:v>
                </c:pt>
                <c:pt idx="2547">
                  <c:v>179665725</c:v>
                </c:pt>
                <c:pt idx="2548">
                  <c:v>186360696</c:v>
                </c:pt>
                <c:pt idx="2549">
                  <c:v>186031008</c:v>
                </c:pt>
                <c:pt idx="2550">
                  <c:v>185525191</c:v>
                </c:pt>
                <c:pt idx="2551">
                  <c:v>175670874</c:v>
                </c:pt>
                <c:pt idx="2552">
                  <c:v>186547861</c:v>
                </c:pt>
                <c:pt idx="2553">
                  <c:v>186547861</c:v>
                </c:pt>
                <c:pt idx="2554">
                  <c:v>170099245</c:v>
                </c:pt>
                <c:pt idx="2555">
                  <c:v>175936250</c:v>
                </c:pt>
                <c:pt idx="2556">
                  <c:v>180407949</c:v>
                </c:pt>
                <c:pt idx="2557">
                  <c:v>168484790</c:v>
                </c:pt>
                <c:pt idx="2558">
                  <c:v>178611885</c:v>
                </c:pt>
                <c:pt idx="2559">
                  <c:v>183559163</c:v>
                </c:pt>
                <c:pt idx="2560">
                  <c:v>186530464</c:v>
                </c:pt>
                <c:pt idx="2561">
                  <c:v>186366101</c:v>
                </c:pt>
                <c:pt idx="2562">
                  <c:v>186503016</c:v>
                </c:pt>
                <c:pt idx="2563">
                  <c:v>186547861</c:v>
                </c:pt>
                <c:pt idx="2564">
                  <c:v>183746738</c:v>
                </c:pt>
                <c:pt idx="2565">
                  <c:v>168273783</c:v>
                </c:pt>
                <c:pt idx="2566">
                  <c:v>186547861</c:v>
                </c:pt>
                <c:pt idx="2567">
                  <c:v>173702632</c:v>
                </c:pt>
                <c:pt idx="2568">
                  <c:v>183272703</c:v>
                </c:pt>
                <c:pt idx="2569">
                  <c:v>172363050</c:v>
                </c:pt>
                <c:pt idx="2570">
                  <c:v>186533802</c:v>
                </c:pt>
                <c:pt idx="2571">
                  <c:v>186509406</c:v>
                </c:pt>
                <c:pt idx="2572">
                  <c:v>183618325</c:v>
                </c:pt>
                <c:pt idx="2573">
                  <c:v>178536801</c:v>
                </c:pt>
                <c:pt idx="2574">
                  <c:v>177191776</c:v>
                </c:pt>
                <c:pt idx="2575">
                  <c:v>165453532</c:v>
                </c:pt>
                <c:pt idx="2576">
                  <c:v>186524488</c:v>
                </c:pt>
                <c:pt idx="2577">
                  <c:v>186532418</c:v>
                </c:pt>
                <c:pt idx="2578">
                  <c:v>177245912</c:v>
                </c:pt>
                <c:pt idx="2579">
                  <c:v>181079109</c:v>
                </c:pt>
                <c:pt idx="2580">
                  <c:v>174322361</c:v>
                </c:pt>
                <c:pt idx="2581">
                  <c:v>186547861</c:v>
                </c:pt>
                <c:pt idx="2582">
                  <c:v>186547861</c:v>
                </c:pt>
                <c:pt idx="2583">
                  <c:v>178574393</c:v>
                </c:pt>
                <c:pt idx="2584">
                  <c:v>162312989</c:v>
                </c:pt>
                <c:pt idx="2585">
                  <c:v>158393074</c:v>
                </c:pt>
                <c:pt idx="2586">
                  <c:v>186517952</c:v>
                </c:pt>
                <c:pt idx="2587">
                  <c:v>183308991</c:v>
                </c:pt>
                <c:pt idx="2588">
                  <c:v>183746738</c:v>
                </c:pt>
                <c:pt idx="2589">
                  <c:v>186511689</c:v>
                </c:pt>
                <c:pt idx="2590">
                  <c:v>186322273</c:v>
                </c:pt>
                <c:pt idx="2591">
                  <c:v>174036329</c:v>
                </c:pt>
                <c:pt idx="2592">
                  <c:v>186058783</c:v>
                </c:pt>
                <c:pt idx="2593">
                  <c:v>175313085</c:v>
                </c:pt>
                <c:pt idx="2594">
                  <c:v>174376381</c:v>
                </c:pt>
                <c:pt idx="2595">
                  <c:v>180787751</c:v>
                </c:pt>
                <c:pt idx="2596">
                  <c:v>176312335</c:v>
                </c:pt>
                <c:pt idx="2597">
                  <c:v>179216213</c:v>
                </c:pt>
                <c:pt idx="2598">
                  <c:v>159264355</c:v>
                </c:pt>
                <c:pt idx="2599">
                  <c:v>186473950</c:v>
                </c:pt>
                <c:pt idx="2600">
                  <c:v>160122999</c:v>
                </c:pt>
                <c:pt idx="2601">
                  <c:v>183905232</c:v>
                </c:pt>
                <c:pt idx="2602">
                  <c:v>186547861</c:v>
                </c:pt>
                <c:pt idx="2603">
                  <c:v>174496670</c:v>
                </c:pt>
                <c:pt idx="2604">
                  <c:v>186547861</c:v>
                </c:pt>
                <c:pt idx="2605">
                  <c:v>184140041</c:v>
                </c:pt>
                <c:pt idx="2606">
                  <c:v>186539538</c:v>
                </c:pt>
                <c:pt idx="2607">
                  <c:v>186432845</c:v>
                </c:pt>
                <c:pt idx="2608">
                  <c:v>181113669</c:v>
                </c:pt>
                <c:pt idx="2609">
                  <c:v>180285279</c:v>
                </c:pt>
                <c:pt idx="2610">
                  <c:v>173069656</c:v>
                </c:pt>
                <c:pt idx="2611">
                  <c:v>185987313</c:v>
                </c:pt>
                <c:pt idx="2612">
                  <c:v>173201440</c:v>
                </c:pt>
                <c:pt idx="2613">
                  <c:v>185384306</c:v>
                </c:pt>
                <c:pt idx="2614">
                  <c:v>160233279</c:v>
                </c:pt>
                <c:pt idx="2615">
                  <c:v>183815040</c:v>
                </c:pt>
                <c:pt idx="2616">
                  <c:v>186542972</c:v>
                </c:pt>
                <c:pt idx="2617">
                  <c:v>180867271</c:v>
                </c:pt>
                <c:pt idx="2618">
                  <c:v>181754966</c:v>
                </c:pt>
                <c:pt idx="2619">
                  <c:v>186477838</c:v>
                </c:pt>
                <c:pt idx="2620">
                  <c:v>184482110</c:v>
                </c:pt>
                <c:pt idx="2621">
                  <c:v>181161868</c:v>
                </c:pt>
                <c:pt idx="2622">
                  <c:v>186547861</c:v>
                </c:pt>
                <c:pt idx="2623">
                  <c:v>186537109</c:v>
                </c:pt>
                <c:pt idx="2624">
                  <c:v>185698665</c:v>
                </c:pt>
                <c:pt idx="2625">
                  <c:v>164094803</c:v>
                </c:pt>
                <c:pt idx="2626">
                  <c:v>186546718</c:v>
                </c:pt>
                <c:pt idx="2627">
                  <c:v>173632138</c:v>
                </c:pt>
                <c:pt idx="2628">
                  <c:v>168312341</c:v>
                </c:pt>
                <c:pt idx="2629">
                  <c:v>186094880</c:v>
                </c:pt>
                <c:pt idx="2630">
                  <c:v>186297691</c:v>
                </c:pt>
                <c:pt idx="2631">
                  <c:v>186547861</c:v>
                </c:pt>
                <c:pt idx="2632">
                  <c:v>172485652</c:v>
                </c:pt>
                <c:pt idx="2633">
                  <c:v>180323754</c:v>
                </c:pt>
                <c:pt idx="2634">
                  <c:v>186541810</c:v>
                </c:pt>
                <c:pt idx="2635">
                  <c:v>186008741</c:v>
                </c:pt>
                <c:pt idx="2636">
                  <c:v>176894728</c:v>
                </c:pt>
                <c:pt idx="2637">
                  <c:v>186546240</c:v>
                </c:pt>
                <c:pt idx="2638">
                  <c:v>179448605</c:v>
                </c:pt>
                <c:pt idx="2639">
                  <c:v>186547861</c:v>
                </c:pt>
                <c:pt idx="2640">
                  <c:v>186539538</c:v>
                </c:pt>
                <c:pt idx="2641">
                  <c:v>162007541</c:v>
                </c:pt>
                <c:pt idx="2642">
                  <c:v>183272703</c:v>
                </c:pt>
                <c:pt idx="2643">
                  <c:v>185738674</c:v>
                </c:pt>
                <c:pt idx="2644">
                  <c:v>186547241</c:v>
                </c:pt>
                <c:pt idx="2645">
                  <c:v>185224654</c:v>
                </c:pt>
                <c:pt idx="2646">
                  <c:v>179303097</c:v>
                </c:pt>
                <c:pt idx="2647">
                  <c:v>177407092</c:v>
                </c:pt>
                <c:pt idx="2648">
                  <c:v>166150372</c:v>
                </c:pt>
                <c:pt idx="2649">
                  <c:v>186311532</c:v>
                </c:pt>
                <c:pt idx="2650">
                  <c:v>186469963</c:v>
                </c:pt>
                <c:pt idx="2651">
                  <c:v>173317558</c:v>
                </c:pt>
                <c:pt idx="2652">
                  <c:v>186507886</c:v>
                </c:pt>
                <c:pt idx="2653">
                  <c:v>180938988</c:v>
                </c:pt>
                <c:pt idx="2654">
                  <c:v>162388580</c:v>
                </c:pt>
                <c:pt idx="2655">
                  <c:v>154996325</c:v>
                </c:pt>
                <c:pt idx="2656">
                  <c:v>173317558</c:v>
                </c:pt>
                <c:pt idx="2657">
                  <c:v>186211915</c:v>
                </c:pt>
                <c:pt idx="2658">
                  <c:v>183385204</c:v>
                </c:pt>
                <c:pt idx="2659">
                  <c:v>186546024</c:v>
                </c:pt>
                <c:pt idx="2660">
                  <c:v>173589655</c:v>
                </c:pt>
                <c:pt idx="2661">
                  <c:v>177016604</c:v>
                </c:pt>
                <c:pt idx="2662">
                  <c:v>182822281</c:v>
                </c:pt>
                <c:pt idx="2663">
                  <c:v>185068046</c:v>
                </c:pt>
                <c:pt idx="2664">
                  <c:v>159842754</c:v>
                </c:pt>
                <c:pt idx="2665">
                  <c:v>179582968</c:v>
                </c:pt>
                <c:pt idx="2666">
                  <c:v>186481026</c:v>
                </c:pt>
                <c:pt idx="2667">
                  <c:v>186520292</c:v>
                </c:pt>
                <c:pt idx="2668">
                  <c:v>179868902</c:v>
                </c:pt>
                <c:pt idx="2669">
                  <c:v>186301356</c:v>
                </c:pt>
                <c:pt idx="2670">
                  <c:v>173925940</c:v>
                </c:pt>
                <c:pt idx="2671">
                  <c:v>186536523</c:v>
                </c:pt>
                <c:pt idx="2672">
                  <c:v>164187987</c:v>
                </c:pt>
                <c:pt idx="2673">
                  <c:v>184281179</c:v>
                </c:pt>
                <c:pt idx="2674">
                  <c:v>164602298</c:v>
                </c:pt>
                <c:pt idx="2675">
                  <c:v>184319091</c:v>
                </c:pt>
                <c:pt idx="2676">
                  <c:v>185961339</c:v>
                </c:pt>
                <c:pt idx="2677">
                  <c:v>155870441</c:v>
                </c:pt>
                <c:pt idx="2678">
                  <c:v>182632128</c:v>
                </c:pt>
                <c:pt idx="2679">
                  <c:v>186547648</c:v>
                </c:pt>
                <c:pt idx="2680">
                  <c:v>186515669</c:v>
                </c:pt>
                <c:pt idx="2681">
                  <c:v>158728505</c:v>
                </c:pt>
                <c:pt idx="2682">
                  <c:v>186374368</c:v>
                </c:pt>
                <c:pt idx="2683">
                  <c:v>180106623</c:v>
                </c:pt>
                <c:pt idx="2684">
                  <c:v>167197006</c:v>
                </c:pt>
                <c:pt idx="2685">
                  <c:v>186522862</c:v>
                </c:pt>
                <c:pt idx="2686">
                  <c:v>186351283</c:v>
                </c:pt>
                <c:pt idx="2687">
                  <c:v>186523354</c:v>
                </c:pt>
                <c:pt idx="2688">
                  <c:v>184716887</c:v>
                </c:pt>
                <c:pt idx="2689">
                  <c:v>186515669</c:v>
                </c:pt>
                <c:pt idx="2690">
                  <c:v>169636628</c:v>
                </c:pt>
                <c:pt idx="2691">
                  <c:v>186386371</c:v>
                </c:pt>
                <c:pt idx="2692">
                  <c:v>185177726</c:v>
                </c:pt>
                <c:pt idx="2693">
                  <c:v>186432845</c:v>
                </c:pt>
                <c:pt idx="2694">
                  <c:v>165120949</c:v>
                </c:pt>
                <c:pt idx="2695">
                  <c:v>182353049</c:v>
                </c:pt>
                <c:pt idx="2696">
                  <c:v>186346099</c:v>
                </c:pt>
                <c:pt idx="2697">
                  <c:v>184376723</c:v>
                </c:pt>
                <c:pt idx="2698">
                  <c:v>185254605</c:v>
                </c:pt>
                <c:pt idx="2699">
                  <c:v>182308817</c:v>
                </c:pt>
                <c:pt idx="2700">
                  <c:v>179706741</c:v>
                </c:pt>
                <c:pt idx="2701">
                  <c:v>184602433</c:v>
                </c:pt>
                <c:pt idx="2702">
                  <c:v>168176845</c:v>
                </c:pt>
                <c:pt idx="2703">
                  <c:v>186530920</c:v>
                </c:pt>
                <c:pt idx="2704">
                  <c:v>179499165</c:v>
                </c:pt>
                <c:pt idx="2705">
                  <c:v>186547830</c:v>
                </c:pt>
                <c:pt idx="2706">
                  <c:v>179682141</c:v>
                </c:pt>
                <c:pt idx="2707">
                  <c:v>186454629</c:v>
                </c:pt>
                <c:pt idx="2708">
                  <c:v>186540850</c:v>
                </c:pt>
                <c:pt idx="2709">
                  <c:v>185562800</c:v>
                </c:pt>
                <c:pt idx="2710">
                  <c:v>184699259</c:v>
                </c:pt>
                <c:pt idx="2711">
                  <c:v>173113756</c:v>
                </c:pt>
                <c:pt idx="2712">
                  <c:v>186547861</c:v>
                </c:pt>
                <c:pt idx="2713">
                  <c:v>181994354</c:v>
                </c:pt>
                <c:pt idx="2714">
                  <c:v>165076237</c:v>
                </c:pt>
                <c:pt idx="2715">
                  <c:v>186459069</c:v>
                </c:pt>
                <c:pt idx="2716">
                  <c:v>181079109</c:v>
                </c:pt>
                <c:pt idx="2717">
                  <c:v>183978085</c:v>
                </c:pt>
                <c:pt idx="2718">
                  <c:v>183559163</c:v>
                </c:pt>
                <c:pt idx="2719">
                  <c:v>164488143</c:v>
                </c:pt>
                <c:pt idx="2720">
                  <c:v>177955695</c:v>
                </c:pt>
                <c:pt idx="2721">
                  <c:v>186540456</c:v>
                </c:pt>
                <c:pt idx="2722">
                  <c:v>186481971</c:v>
                </c:pt>
                <c:pt idx="2723">
                  <c:v>166554236</c:v>
                </c:pt>
                <c:pt idx="2724">
                  <c:v>176335567</c:v>
                </c:pt>
                <c:pt idx="2725">
                  <c:v>186547115</c:v>
                </c:pt>
                <c:pt idx="2726">
                  <c:v>185068046</c:v>
                </c:pt>
                <c:pt idx="2727">
                  <c:v>186538712</c:v>
                </c:pt>
                <c:pt idx="2728">
                  <c:v>158908468</c:v>
                </c:pt>
                <c:pt idx="2729">
                  <c:v>182882449</c:v>
                </c:pt>
                <c:pt idx="2730">
                  <c:v>186477838</c:v>
                </c:pt>
                <c:pt idx="2731">
                  <c:v>185490835</c:v>
                </c:pt>
                <c:pt idx="2732">
                  <c:v>186523354</c:v>
                </c:pt>
                <c:pt idx="2733">
                  <c:v>181612756</c:v>
                </c:pt>
                <c:pt idx="2734">
                  <c:v>186502027</c:v>
                </c:pt>
                <c:pt idx="2735">
                  <c:v>186273454</c:v>
                </c:pt>
                <c:pt idx="2736">
                  <c:v>171120042</c:v>
                </c:pt>
                <c:pt idx="2737">
                  <c:v>182990510</c:v>
                </c:pt>
                <c:pt idx="2738">
                  <c:v>185648257</c:v>
                </c:pt>
                <c:pt idx="2739">
                  <c:v>186544585</c:v>
                </c:pt>
                <c:pt idx="2740">
                  <c:v>185969593</c:v>
                </c:pt>
                <c:pt idx="2741">
                  <c:v>177137382</c:v>
                </c:pt>
                <c:pt idx="2742">
                  <c:v>185509063</c:v>
                </c:pt>
                <c:pt idx="2743">
                  <c:v>182500083</c:v>
                </c:pt>
                <c:pt idx="2744">
                  <c:v>173632138</c:v>
                </c:pt>
                <c:pt idx="2745">
                  <c:v>166150372</c:v>
                </c:pt>
                <c:pt idx="2746">
                  <c:v>185222342</c:v>
                </c:pt>
                <c:pt idx="2747">
                  <c:v>186230229</c:v>
                </c:pt>
                <c:pt idx="2748">
                  <c:v>183885792</c:v>
                </c:pt>
                <c:pt idx="2749">
                  <c:v>186168102</c:v>
                </c:pt>
                <c:pt idx="2750">
                  <c:v>173274218</c:v>
                </c:pt>
                <c:pt idx="2751">
                  <c:v>168389141</c:v>
                </c:pt>
                <c:pt idx="2752">
                  <c:v>186547836</c:v>
                </c:pt>
                <c:pt idx="2753">
                  <c:v>186492057</c:v>
                </c:pt>
                <c:pt idx="2754">
                  <c:v>186477838</c:v>
                </c:pt>
                <c:pt idx="2755">
                  <c:v>186547861</c:v>
                </c:pt>
                <c:pt idx="2756">
                  <c:v>184189975</c:v>
                </c:pt>
                <c:pt idx="2757">
                  <c:v>186547660</c:v>
                </c:pt>
                <c:pt idx="2758">
                  <c:v>177104550</c:v>
                </c:pt>
                <c:pt idx="2759">
                  <c:v>186237874</c:v>
                </c:pt>
                <c:pt idx="2760">
                  <c:v>186530920</c:v>
                </c:pt>
                <c:pt idx="2761">
                  <c:v>170566712</c:v>
                </c:pt>
                <c:pt idx="2762">
                  <c:v>183838824</c:v>
                </c:pt>
                <c:pt idx="2763">
                  <c:v>179198663</c:v>
                </c:pt>
                <c:pt idx="2764">
                  <c:v>186213678</c:v>
                </c:pt>
                <c:pt idx="2765">
                  <c:v>172817862</c:v>
                </c:pt>
                <c:pt idx="2766">
                  <c:v>176861155</c:v>
                </c:pt>
                <c:pt idx="2767">
                  <c:v>186547861</c:v>
                </c:pt>
                <c:pt idx="2768">
                  <c:v>175876374</c:v>
                </c:pt>
                <c:pt idx="2769">
                  <c:v>175148603</c:v>
                </c:pt>
                <c:pt idx="2770">
                  <c:v>186374368</c:v>
                </c:pt>
                <c:pt idx="2771">
                  <c:v>186444882</c:v>
                </c:pt>
                <c:pt idx="2772">
                  <c:v>179092955</c:v>
                </c:pt>
                <c:pt idx="2773">
                  <c:v>183787076</c:v>
                </c:pt>
                <c:pt idx="2774">
                  <c:v>179706741</c:v>
                </c:pt>
                <c:pt idx="2775">
                  <c:v>185224654</c:v>
                </c:pt>
                <c:pt idx="2776">
                  <c:v>179836702</c:v>
                </c:pt>
                <c:pt idx="2777">
                  <c:v>186547861</c:v>
                </c:pt>
                <c:pt idx="2778">
                  <c:v>186237874</c:v>
                </c:pt>
                <c:pt idx="2779">
                  <c:v>172099015</c:v>
                </c:pt>
                <c:pt idx="2780">
                  <c:v>181477594</c:v>
                </c:pt>
                <c:pt idx="2781">
                  <c:v>185603355</c:v>
                </c:pt>
                <c:pt idx="2782">
                  <c:v>155404269</c:v>
                </c:pt>
                <c:pt idx="2783">
                  <c:v>162813140</c:v>
                </c:pt>
                <c:pt idx="2784">
                  <c:v>186273454</c:v>
                </c:pt>
                <c:pt idx="2785">
                  <c:v>185422450</c:v>
                </c:pt>
                <c:pt idx="2786">
                  <c:v>185996757</c:v>
                </c:pt>
                <c:pt idx="2787">
                  <c:v>185045549</c:v>
                </c:pt>
                <c:pt idx="2788">
                  <c:v>186547858</c:v>
                </c:pt>
                <c:pt idx="2789">
                  <c:v>186530696</c:v>
                </c:pt>
                <c:pt idx="2790">
                  <c:v>186305001</c:v>
                </c:pt>
                <c:pt idx="2791">
                  <c:v>184568226</c:v>
                </c:pt>
                <c:pt idx="2792">
                  <c:v>186543088</c:v>
                </c:pt>
                <c:pt idx="2793">
                  <c:v>185224654</c:v>
                </c:pt>
                <c:pt idx="2794">
                  <c:v>179092955</c:v>
                </c:pt>
                <c:pt idx="2795">
                  <c:v>185951547</c:v>
                </c:pt>
                <c:pt idx="2796">
                  <c:v>185275305</c:v>
                </c:pt>
                <c:pt idx="2797">
                  <c:v>179039555</c:v>
                </c:pt>
                <c:pt idx="2798">
                  <c:v>167842711</c:v>
                </c:pt>
                <c:pt idx="2799">
                  <c:v>182574513</c:v>
                </c:pt>
                <c:pt idx="2800">
                  <c:v>178470801</c:v>
                </c:pt>
                <c:pt idx="2801">
                  <c:v>178163525</c:v>
                </c:pt>
                <c:pt idx="2802">
                  <c:v>186544925</c:v>
                </c:pt>
                <c:pt idx="2803">
                  <c:v>184947870</c:v>
                </c:pt>
                <c:pt idx="2804">
                  <c:v>186416132</c:v>
                </c:pt>
                <c:pt idx="2805">
                  <c:v>183722231</c:v>
                </c:pt>
                <c:pt idx="2806">
                  <c:v>185466224</c:v>
                </c:pt>
                <c:pt idx="2807">
                  <c:v>186326493</c:v>
                </c:pt>
                <c:pt idx="2808">
                  <c:v>176726187</c:v>
                </c:pt>
                <c:pt idx="2809">
                  <c:v>186432845</c:v>
                </c:pt>
                <c:pt idx="2810">
                  <c:v>186206579</c:v>
                </c:pt>
                <c:pt idx="2811">
                  <c:v>169923078</c:v>
                </c:pt>
                <c:pt idx="2812">
                  <c:v>181887858</c:v>
                </c:pt>
                <c:pt idx="2813">
                  <c:v>179524365</c:v>
                </c:pt>
                <c:pt idx="2814">
                  <c:v>186547861</c:v>
                </c:pt>
                <c:pt idx="2815">
                  <c:v>186008741</c:v>
                </c:pt>
                <c:pt idx="2816">
                  <c:v>185525191</c:v>
                </c:pt>
                <c:pt idx="2817">
                  <c:v>183822978</c:v>
                </c:pt>
                <c:pt idx="2818">
                  <c:v>156562921</c:v>
                </c:pt>
                <c:pt idx="2819">
                  <c:v>178860372</c:v>
                </c:pt>
                <c:pt idx="2820">
                  <c:v>178404393</c:v>
                </c:pt>
                <c:pt idx="2821">
                  <c:v>186248741</c:v>
                </c:pt>
                <c:pt idx="2822">
                  <c:v>186473950</c:v>
                </c:pt>
                <c:pt idx="2823">
                  <c:v>162887012</c:v>
                </c:pt>
                <c:pt idx="2824">
                  <c:v>166867897</c:v>
                </c:pt>
                <c:pt idx="2825">
                  <c:v>186371437</c:v>
                </c:pt>
                <c:pt idx="2826">
                  <c:v>185938879</c:v>
                </c:pt>
                <c:pt idx="2827">
                  <c:v>186504707</c:v>
                </c:pt>
                <c:pt idx="2828">
                  <c:v>186537273</c:v>
                </c:pt>
                <c:pt idx="2829">
                  <c:v>186547861</c:v>
                </c:pt>
                <c:pt idx="2830">
                  <c:v>182241663</c:v>
                </c:pt>
                <c:pt idx="2831">
                  <c:v>176474475</c:v>
                </c:pt>
                <c:pt idx="2832">
                  <c:v>173317558</c:v>
                </c:pt>
                <c:pt idx="2833">
                  <c:v>186465485</c:v>
                </c:pt>
                <c:pt idx="2834">
                  <c:v>186547861</c:v>
                </c:pt>
                <c:pt idx="2835">
                  <c:v>166680456</c:v>
                </c:pt>
                <c:pt idx="2836">
                  <c:v>186528121</c:v>
                </c:pt>
                <c:pt idx="2837">
                  <c:v>184997138</c:v>
                </c:pt>
                <c:pt idx="2838">
                  <c:v>184916158</c:v>
                </c:pt>
                <c:pt idx="2839">
                  <c:v>186543368</c:v>
                </c:pt>
                <c:pt idx="2840">
                  <c:v>182424297</c:v>
                </c:pt>
                <c:pt idx="2841">
                  <c:v>186127811</c:v>
                </c:pt>
                <c:pt idx="2842">
                  <c:v>185832729</c:v>
                </c:pt>
                <c:pt idx="2843">
                  <c:v>175573402</c:v>
                </c:pt>
                <c:pt idx="2844">
                  <c:v>170099245</c:v>
                </c:pt>
                <c:pt idx="2845">
                  <c:v>178442393</c:v>
                </c:pt>
                <c:pt idx="2846">
                  <c:v>186473950</c:v>
                </c:pt>
                <c:pt idx="2847">
                  <c:v>184277711</c:v>
                </c:pt>
                <c:pt idx="2848">
                  <c:v>183746738</c:v>
                </c:pt>
                <c:pt idx="2849">
                  <c:v>186524808</c:v>
                </c:pt>
                <c:pt idx="2850">
                  <c:v>185509063</c:v>
                </c:pt>
                <c:pt idx="2851">
                  <c:v>168079345</c:v>
                </c:pt>
                <c:pt idx="2852">
                  <c:v>185995413</c:v>
                </c:pt>
                <c:pt idx="2853">
                  <c:v>186273454</c:v>
                </c:pt>
                <c:pt idx="2854">
                  <c:v>186547861</c:v>
                </c:pt>
                <c:pt idx="2855">
                  <c:v>186545427</c:v>
                </c:pt>
                <c:pt idx="2856">
                  <c:v>161016574</c:v>
                </c:pt>
                <c:pt idx="2857">
                  <c:v>185928856</c:v>
                </c:pt>
                <c:pt idx="2858">
                  <c:v>184666410</c:v>
                </c:pt>
                <c:pt idx="2859">
                  <c:v>176961534</c:v>
                </c:pt>
                <c:pt idx="2860">
                  <c:v>182678928</c:v>
                </c:pt>
                <c:pt idx="2861">
                  <c:v>186495088</c:v>
                </c:pt>
                <c:pt idx="2862">
                  <c:v>174761605</c:v>
                </c:pt>
                <c:pt idx="2863">
                  <c:v>185539191</c:v>
                </c:pt>
                <c:pt idx="2864">
                  <c:v>167862511</c:v>
                </c:pt>
                <c:pt idx="2865">
                  <c:v>186544435</c:v>
                </c:pt>
                <c:pt idx="2866">
                  <c:v>171120042</c:v>
                </c:pt>
                <c:pt idx="2867">
                  <c:v>165847850</c:v>
                </c:pt>
                <c:pt idx="2868">
                  <c:v>180536939</c:v>
                </c:pt>
                <c:pt idx="2869">
                  <c:v>186547861</c:v>
                </c:pt>
                <c:pt idx="2870">
                  <c:v>179566264</c:v>
                </c:pt>
                <c:pt idx="2871">
                  <c:v>186422443</c:v>
                </c:pt>
                <c:pt idx="2872">
                  <c:v>186213678</c:v>
                </c:pt>
                <c:pt idx="2873">
                  <c:v>162664133</c:v>
                </c:pt>
                <c:pt idx="2874">
                  <c:v>177016604</c:v>
                </c:pt>
                <c:pt idx="2875">
                  <c:v>174800761</c:v>
                </c:pt>
                <c:pt idx="2876">
                  <c:v>166469848</c:v>
                </c:pt>
                <c:pt idx="2877">
                  <c:v>186547483</c:v>
                </c:pt>
                <c:pt idx="2878">
                  <c:v>185680781</c:v>
                </c:pt>
                <c:pt idx="2879">
                  <c:v>180758693</c:v>
                </c:pt>
                <c:pt idx="2880">
                  <c:v>184456190</c:v>
                </c:pt>
                <c:pt idx="2881">
                  <c:v>178976955</c:v>
                </c:pt>
                <c:pt idx="2882">
                  <c:v>183226841</c:v>
                </c:pt>
                <c:pt idx="2883">
                  <c:v>180938988</c:v>
                </c:pt>
                <c:pt idx="2884">
                  <c:v>176861155</c:v>
                </c:pt>
                <c:pt idx="2885">
                  <c:v>186538002</c:v>
                </c:pt>
                <c:pt idx="2886">
                  <c:v>186289506</c:v>
                </c:pt>
                <c:pt idx="2887">
                  <c:v>186430642</c:v>
                </c:pt>
                <c:pt idx="2888">
                  <c:v>185035417</c:v>
                </c:pt>
                <c:pt idx="2889">
                  <c:v>180809507</c:v>
                </c:pt>
                <c:pt idx="2890">
                  <c:v>178328120</c:v>
                </c:pt>
                <c:pt idx="2891">
                  <c:v>184263802</c:v>
                </c:pt>
                <c:pt idx="2892">
                  <c:v>186546024</c:v>
                </c:pt>
                <c:pt idx="2893">
                  <c:v>185711037</c:v>
                </c:pt>
                <c:pt idx="2894">
                  <c:v>178289716</c:v>
                </c:pt>
                <c:pt idx="2895">
                  <c:v>186094880</c:v>
                </c:pt>
                <c:pt idx="2896">
                  <c:v>165651656</c:v>
                </c:pt>
                <c:pt idx="2897">
                  <c:v>186529397</c:v>
                </c:pt>
                <c:pt idx="2898">
                  <c:v>177321512</c:v>
                </c:pt>
                <c:pt idx="2899">
                  <c:v>181304892</c:v>
                </c:pt>
                <c:pt idx="2900">
                  <c:v>185786623</c:v>
                </c:pt>
                <c:pt idx="2901">
                  <c:v>180145621</c:v>
                </c:pt>
                <c:pt idx="2902">
                  <c:v>186538712</c:v>
                </c:pt>
                <c:pt idx="2903">
                  <c:v>183344963</c:v>
                </c:pt>
                <c:pt idx="2904">
                  <c:v>173518717</c:v>
                </c:pt>
                <c:pt idx="2905">
                  <c:v>186399352</c:v>
                </c:pt>
                <c:pt idx="2906">
                  <c:v>183516338</c:v>
                </c:pt>
                <c:pt idx="2907">
                  <c:v>172817862</c:v>
                </c:pt>
                <c:pt idx="2908">
                  <c:v>186489774</c:v>
                </c:pt>
                <c:pt idx="2909">
                  <c:v>185136940</c:v>
                </c:pt>
                <c:pt idx="2910">
                  <c:v>184561934</c:v>
                </c:pt>
                <c:pt idx="2911">
                  <c:v>183226841</c:v>
                </c:pt>
                <c:pt idx="2912">
                  <c:v>182258520</c:v>
                </c:pt>
                <c:pt idx="2913">
                  <c:v>174603058</c:v>
                </c:pt>
                <c:pt idx="2914">
                  <c:v>186544435</c:v>
                </c:pt>
                <c:pt idx="2915">
                  <c:v>166638472</c:v>
                </c:pt>
                <c:pt idx="2916">
                  <c:v>185358360</c:v>
                </c:pt>
                <c:pt idx="2917">
                  <c:v>181503594</c:v>
                </c:pt>
                <c:pt idx="2918">
                  <c:v>186545205</c:v>
                </c:pt>
                <c:pt idx="2919">
                  <c:v>169798458</c:v>
                </c:pt>
                <c:pt idx="2920">
                  <c:v>186273454</c:v>
                </c:pt>
                <c:pt idx="2921">
                  <c:v>186547861</c:v>
                </c:pt>
                <c:pt idx="2922">
                  <c:v>171672880</c:v>
                </c:pt>
                <c:pt idx="2923">
                  <c:v>184826149</c:v>
                </c:pt>
                <c:pt idx="2924">
                  <c:v>183689305</c:v>
                </c:pt>
                <c:pt idx="2925">
                  <c:v>186547723</c:v>
                </c:pt>
                <c:pt idx="2926">
                  <c:v>186438857</c:v>
                </c:pt>
                <c:pt idx="2927">
                  <c:v>178778300</c:v>
                </c:pt>
                <c:pt idx="2928">
                  <c:v>181182448</c:v>
                </c:pt>
                <c:pt idx="2929">
                  <c:v>185698665</c:v>
                </c:pt>
                <c:pt idx="2930">
                  <c:v>186186457</c:v>
                </c:pt>
                <c:pt idx="2931">
                  <c:v>185823279</c:v>
                </c:pt>
                <c:pt idx="2932">
                  <c:v>186058783</c:v>
                </c:pt>
                <c:pt idx="2933">
                  <c:v>182746031</c:v>
                </c:pt>
                <c:pt idx="2934">
                  <c:v>182150773</c:v>
                </c:pt>
                <c:pt idx="2935">
                  <c:v>184873062</c:v>
                </c:pt>
                <c:pt idx="2936">
                  <c:v>176760000</c:v>
                </c:pt>
                <c:pt idx="2937">
                  <c:v>176055060</c:v>
                </c:pt>
                <c:pt idx="2938">
                  <c:v>186459069</c:v>
                </c:pt>
                <c:pt idx="2939">
                  <c:v>186547339</c:v>
                </c:pt>
                <c:pt idx="2940">
                  <c:v>178713824</c:v>
                </c:pt>
                <c:pt idx="2941">
                  <c:v>186547115</c:v>
                </c:pt>
                <c:pt idx="2942">
                  <c:v>175840377</c:v>
                </c:pt>
                <c:pt idx="2943">
                  <c:v>170937404</c:v>
                </c:pt>
                <c:pt idx="2944">
                  <c:v>184281179</c:v>
                </c:pt>
                <c:pt idx="2945">
                  <c:v>177104550</c:v>
                </c:pt>
                <c:pt idx="2946">
                  <c:v>178887373</c:v>
                </c:pt>
                <c:pt idx="2947">
                  <c:v>184657338</c:v>
                </c:pt>
                <c:pt idx="2948">
                  <c:v>176928226</c:v>
                </c:pt>
                <c:pt idx="2949">
                  <c:v>159757197</c:v>
                </c:pt>
                <c:pt idx="2950">
                  <c:v>184281179</c:v>
                </c:pt>
                <c:pt idx="2951">
                  <c:v>185809023</c:v>
                </c:pt>
                <c:pt idx="2952">
                  <c:v>181935603</c:v>
                </c:pt>
                <c:pt idx="2953">
                  <c:v>186222444</c:v>
                </c:pt>
                <c:pt idx="2954">
                  <c:v>178461337</c:v>
                </c:pt>
                <c:pt idx="2955">
                  <c:v>184963466</c:v>
                </c:pt>
                <c:pt idx="2956">
                  <c:v>186490637</c:v>
                </c:pt>
                <c:pt idx="2957">
                  <c:v>186469963</c:v>
                </c:pt>
                <c:pt idx="2958">
                  <c:v>182516121</c:v>
                </c:pt>
                <c:pt idx="2959">
                  <c:v>184690403</c:v>
                </c:pt>
                <c:pt idx="2960">
                  <c:v>185904150</c:v>
                </c:pt>
                <c:pt idx="2961">
                  <c:v>185360536</c:v>
                </c:pt>
                <c:pt idx="2962">
                  <c:v>186547861</c:v>
                </c:pt>
                <c:pt idx="2963">
                  <c:v>172409168</c:v>
                </c:pt>
                <c:pt idx="2964">
                  <c:v>176335567</c:v>
                </c:pt>
                <c:pt idx="2965">
                  <c:v>183494794</c:v>
                </c:pt>
                <c:pt idx="2966">
                  <c:v>157894639</c:v>
                </c:pt>
                <c:pt idx="2967">
                  <c:v>186524808</c:v>
                </c:pt>
                <c:pt idx="2968">
                  <c:v>184023078</c:v>
                </c:pt>
                <c:pt idx="2969">
                  <c:v>185823279</c:v>
                </c:pt>
                <c:pt idx="2970">
                  <c:v>172192415</c:v>
                </c:pt>
                <c:pt idx="2971">
                  <c:v>185068046</c:v>
                </c:pt>
                <c:pt idx="2972">
                  <c:v>172667626</c:v>
                </c:pt>
                <c:pt idx="2973">
                  <c:v>184140041</c:v>
                </c:pt>
                <c:pt idx="2974">
                  <c:v>186547861</c:v>
                </c:pt>
                <c:pt idx="2975">
                  <c:v>182600803</c:v>
                </c:pt>
                <c:pt idx="2976">
                  <c:v>158577145</c:v>
                </c:pt>
                <c:pt idx="2977">
                  <c:v>168235057</c:v>
                </c:pt>
                <c:pt idx="2978">
                  <c:v>180685441</c:v>
                </c:pt>
                <c:pt idx="2979">
                  <c:v>180626249</c:v>
                </c:pt>
                <c:pt idx="2980">
                  <c:v>182483955</c:v>
                </c:pt>
                <c:pt idx="2981">
                  <c:v>185095466</c:v>
                </c:pt>
                <c:pt idx="2982">
                  <c:v>186521853</c:v>
                </c:pt>
                <c:pt idx="2983">
                  <c:v>186546776</c:v>
                </c:pt>
                <c:pt idx="2984">
                  <c:v>186540720</c:v>
                </c:pt>
                <c:pt idx="2985">
                  <c:v>180924760</c:v>
                </c:pt>
                <c:pt idx="2986">
                  <c:v>164350227</c:v>
                </c:pt>
                <c:pt idx="2987">
                  <c:v>171462914</c:v>
                </c:pt>
                <c:pt idx="2988">
                  <c:v>186517011</c:v>
                </c:pt>
                <c:pt idx="2989">
                  <c:v>186547861</c:v>
                </c:pt>
                <c:pt idx="2990">
                  <c:v>182314385</c:v>
                </c:pt>
                <c:pt idx="2991">
                  <c:v>184777849</c:v>
                </c:pt>
                <c:pt idx="2992">
                  <c:v>186500011</c:v>
                </c:pt>
                <c:pt idx="2993">
                  <c:v>180910453</c:v>
                </c:pt>
                <c:pt idx="2994">
                  <c:v>186547861</c:v>
                </c:pt>
                <c:pt idx="2995">
                  <c:v>172712851</c:v>
                </c:pt>
                <c:pt idx="2996">
                  <c:v>171688855</c:v>
                </c:pt>
                <c:pt idx="2997">
                  <c:v>182247288</c:v>
                </c:pt>
                <c:pt idx="2998">
                  <c:v>172877462</c:v>
                </c:pt>
                <c:pt idx="2999">
                  <c:v>186547861</c:v>
                </c:pt>
                <c:pt idx="3000">
                  <c:v>162388580</c:v>
                </c:pt>
                <c:pt idx="3001">
                  <c:v>185286773</c:v>
                </c:pt>
                <c:pt idx="3002">
                  <c:v>186494000</c:v>
                </c:pt>
                <c:pt idx="3003">
                  <c:v>184690403</c:v>
                </c:pt>
                <c:pt idx="3004">
                  <c:v>182725575</c:v>
                </c:pt>
                <c:pt idx="3005">
                  <c:v>182632128</c:v>
                </c:pt>
                <c:pt idx="3006">
                  <c:v>172238990</c:v>
                </c:pt>
                <c:pt idx="3007">
                  <c:v>186422918</c:v>
                </c:pt>
                <c:pt idx="3008">
                  <c:v>180262179</c:v>
                </c:pt>
                <c:pt idx="3009">
                  <c:v>183254441</c:v>
                </c:pt>
                <c:pt idx="3010">
                  <c:v>157609685</c:v>
                </c:pt>
                <c:pt idx="3011">
                  <c:v>186152095</c:v>
                </c:pt>
                <c:pt idx="3012">
                  <c:v>175840377</c:v>
                </c:pt>
                <c:pt idx="3013">
                  <c:v>175375767</c:v>
                </c:pt>
                <c:pt idx="3014">
                  <c:v>180407949</c:v>
                </c:pt>
                <c:pt idx="3015">
                  <c:v>186024528</c:v>
                </c:pt>
                <c:pt idx="3016">
                  <c:v>177104550</c:v>
                </c:pt>
                <c:pt idx="3017">
                  <c:v>186547861</c:v>
                </c:pt>
                <c:pt idx="3018">
                  <c:v>184189975</c:v>
                </c:pt>
                <c:pt idx="3019">
                  <c:v>181030428</c:v>
                </c:pt>
                <c:pt idx="3020">
                  <c:v>176160715</c:v>
                </c:pt>
                <c:pt idx="3021">
                  <c:v>185918722</c:v>
                </c:pt>
                <c:pt idx="3022">
                  <c:v>172130215</c:v>
                </c:pt>
                <c:pt idx="3023">
                  <c:v>186473300</c:v>
                </c:pt>
                <c:pt idx="3024">
                  <c:v>186533215</c:v>
                </c:pt>
                <c:pt idx="3025">
                  <c:v>178869397</c:v>
                </c:pt>
                <c:pt idx="3026">
                  <c:v>186334804</c:v>
                </c:pt>
                <c:pt idx="3027">
                  <c:v>185284498</c:v>
                </c:pt>
                <c:pt idx="3028">
                  <c:v>177742202</c:v>
                </c:pt>
                <c:pt idx="3029">
                  <c:v>173040250</c:v>
                </c:pt>
                <c:pt idx="3030">
                  <c:v>181477594</c:v>
                </c:pt>
                <c:pt idx="3031">
                  <c:v>186544018</c:v>
                </c:pt>
                <c:pt idx="3032">
                  <c:v>171942454</c:v>
                </c:pt>
                <c:pt idx="3033">
                  <c:v>183115244</c:v>
                </c:pt>
                <c:pt idx="3034">
                  <c:v>184189975</c:v>
                </c:pt>
                <c:pt idx="3035">
                  <c:v>185660956</c:v>
                </c:pt>
                <c:pt idx="3036">
                  <c:v>186547861</c:v>
                </c:pt>
                <c:pt idx="3037">
                  <c:v>186547861</c:v>
                </c:pt>
                <c:pt idx="3038">
                  <c:v>184675418</c:v>
                </c:pt>
                <c:pt idx="3039">
                  <c:v>184456190</c:v>
                </c:pt>
                <c:pt idx="3040">
                  <c:v>186090194</c:v>
                </c:pt>
                <c:pt idx="3041">
                  <c:v>181555271</c:v>
                </c:pt>
                <c:pt idx="3042">
                  <c:v>186530920</c:v>
                </c:pt>
                <c:pt idx="3043">
                  <c:v>172363050</c:v>
                </c:pt>
                <c:pt idx="3044">
                  <c:v>186547777</c:v>
                </c:pt>
                <c:pt idx="3045">
                  <c:v>186547861</c:v>
                </c:pt>
                <c:pt idx="3046">
                  <c:v>186462669</c:v>
                </c:pt>
                <c:pt idx="3047">
                  <c:v>185136940</c:v>
                </c:pt>
                <c:pt idx="3048">
                  <c:v>154844325</c:v>
                </c:pt>
                <c:pt idx="3049">
                  <c:v>186533215</c:v>
                </c:pt>
                <c:pt idx="3050">
                  <c:v>186547861</c:v>
                </c:pt>
                <c:pt idx="3051">
                  <c:v>185938879</c:v>
                </c:pt>
                <c:pt idx="3052">
                  <c:v>183775022</c:v>
                </c:pt>
                <c:pt idx="3053">
                  <c:v>186547483</c:v>
                </c:pt>
                <c:pt idx="3054">
                  <c:v>182852513</c:v>
                </c:pt>
                <c:pt idx="3055">
                  <c:v>156391640</c:v>
                </c:pt>
                <c:pt idx="3056">
                  <c:v>173201440</c:v>
                </c:pt>
                <c:pt idx="3057">
                  <c:v>167197006</c:v>
                </c:pt>
                <c:pt idx="3058">
                  <c:v>183738615</c:v>
                </c:pt>
                <c:pt idx="3059">
                  <c:v>183468790</c:v>
                </c:pt>
                <c:pt idx="3060">
                  <c:v>165541660</c:v>
                </c:pt>
                <c:pt idx="3061">
                  <c:v>156081020</c:v>
                </c:pt>
                <c:pt idx="3062">
                  <c:v>178442393</c:v>
                </c:pt>
                <c:pt idx="3063">
                  <c:v>186530920</c:v>
                </c:pt>
                <c:pt idx="3064">
                  <c:v>155692607</c:v>
                </c:pt>
                <c:pt idx="3065">
                  <c:v>181002460</c:v>
                </c:pt>
                <c:pt idx="3066">
                  <c:v>186079438</c:v>
                </c:pt>
                <c:pt idx="3067">
                  <c:v>185224654</c:v>
                </c:pt>
                <c:pt idx="3068">
                  <c:v>186510654</c:v>
                </c:pt>
                <c:pt idx="3069">
                  <c:v>182292087</c:v>
                </c:pt>
                <c:pt idx="3070">
                  <c:v>185961339</c:v>
                </c:pt>
                <c:pt idx="3071">
                  <c:v>185591898</c:v>
                </c:pt>
                <c:pt idx="3072">
                  <c:v>177332292</c:v>
                </c:pt>
                <c:pt idx="3073">
                  <c:v>185718037</c:v>
                </c:pt>
                <c:pt idx="3074">
                  <c:v>184867590</c:v>
                </c:pt>
                <c:pt idx="3075">
                  <c:v>185168222</c:v>
                </c:pt>
                <c:pt idx="3076">
                  <c:v>179682141</c:v>
                </c:pt>
                <c:pt idx="3077">
                  <c:v>186322273</c:v>
                </c:pt>
                <c:pt idx="3078">
                  <c:v>186522191</c:v>
                </c:pt>
                <c:pt idx="3079">
                  <c:v>184491810</c:v>
                </c:pt>
                <c:pt idx="3080">
                  <c:v>185394931</c:v>
                </c:pt>
                <c:pt idx="3081">
                  <c:v>186523354</c:v>
                </c:pt>
                <c:pt idx="3082">
                  <c:v>186428850</c:v>
                </c:pt>
                <c:pt idx="3083">
                  <c:v>186346099</c:v>
                </c:pt>
                <c:pt idx="3084">
                  <c:v>186382432</c:v>
                </c:pt>
                <c:pt idx="3085">
                  <c:v>185951547</c:v>
                </c:pt>
                <c:pt idx="3086">
                  <c:v>173201440</c:v>
                </c:pt>
                <c:pt idx="3087">
                  <c:v>185865347</c:v>
                </c:pt>
                <c:pt idx="3088">
                  <c:v>186509406</c:v>
                </c:pt>
                <c:pt idx="3089">
                  <c:v>186546888</c:v>
                </c:pt>
                <c:pt idx="3090">
                  <c:v>186547483</c:v>
                </c:pt>
                <c:pt idx="3091">
                  <c:v>186525719</c:v>
                </c:pt>
                <c:pt idx="3092">
                  <c:v>186257682</c:v>
                </c:pt>
                <c:pt idx="3093">
                  <c:v>186505641</c:v>
                </c:pt>
                <c:pt idx="3094">
                  <c:v>186135397</c:v>
                </c:pt>
                <c:pt idx="3095">
                  <c:v>181457992</c:v>
                </c:pt>
                <c:pt idx="3096">
                  <c:v>186414647</c:v>
                </c:pt>
                <c:pt idx="3097">
                  <c:v>179285817</c:v>
                </c:pt>
                <c:pt idx="3098">
                  <c:v>185877471</c:v>
                </c:pt>
                <c:pt idx="3099">
                  <c:v>182632128</c:v>
                </c:pt>
                <c:pt idx="3100">
                  <c:v>186547861</c:v>
                </c:pt>
                <c:pt idx="3101">
                  <c:v>173842572</c:v>
                </c:pt>
                <c:pt idx="3102">
                  <c:v>186271130</c:v>
                </c:pt>
                <c:pt idx="3103">
                  <c:v>170515557</c:v>
                </c:pt>
                <c:pt idx="3104">
                  <c:v>186358253</c:v>
                </c:pt>
                <c:pt idx="3105">
                  <c:v>186467915</c:v>
                </c:pt>
                <c:pt idx="3106">
                  <c:v>186473950</c:v>
                </c:pt>
                <c:pt idx="3107">
                  <c:v>186117768</c:v>
                </c:pt>
                <c:pt idx="3108">
                  <c:v>185286773</c:v>
                </c:pt>
                <c:pt idx="3109">
                  <c:v>178611885</c:v>
                </c:pt>
                <c:pt idx="3110">
                  <c:v>159323089</c:v>
                </c:pt>
                <c:pt idx="3111">
                  <c:v>168881811</c:v>
                </c:pt>
                <c:pt idx="3112">
                  <c:v>169271117</c:v>
                </c:pt>
                <c:pt idx="3113">
                  <c:v>185622255</c:v>
                </c:pt>
                <c:pt idx="3114">
                  <c:v>172020965</c:v>
                </c:pt>
                <c:pt idx="3115">
                  <c:v>182822281</c:v>
                </c:pt>
                <c:pt idx="3116">
                  <c:v>184848382</c:v>
                </c:pt>
                <c:pt idx="3117">
                  <c:v>186547861</c:v>
                </c:pt>
                <c:pt idx="3118">
                  <c:v>185492863</c:v>
                </c:pt>
                <c:pt idx="3119">
                  <c:v>170099245</c:v>
                </c:pt>
                <c:pt idx="3120">
                  <c:v>186204787</c:v>
                </c:pt>
                <c:pt idx="3121">
                  <c:v>177245912</c:v>
                </c:pt>
                <c:pt idx="3122">
                  <c:v>185589978</c:v>
                </c:pt>
                <c:pt idx="3123">
                  <c:v>184041686</c:v>
                </c:pt>
                <c:pt idx="3124">
                  <c:v>173245180</c:v>
                </c:pt>
                <c:pt idx="3125">
                  <c:v>185035417</c:v>
                </c:pt>
                <c:pt idx="3126">
                  <c:v>176669521</c:v>
                </c:pt>
                <c:pt idx="3127">
                  <c:v>173589655</c:v>
                </c:pt>
                <c:pt idx="3128">
                  <c:v>184722737</c:v>
                </c:pt>
                <c:pt idx="3129">
                  <c:v>186342829</c:v>
                </c:pt>
                <c:pt idx="3130">
                  <c:v>186296955</c:v>
                </c:pt>
                <c:pt idx="3131">
                  <c:v>184242852</c:v>
                </c:pt>
                <c:pt idx="3132">
                  <c:v>185904150</c:v>
                </c:pt>
                <c:pt idx="3133">
                  <c:v>186432845</c:v>
                </c:pt>
                <c:pt idx="3134">
                  <c:v>186262482</c:v>
                </c:pt>
                <c:pt idx="3135">
                  <c:v>186273454</c:v>
                </c:pt>
                <c:pt idx="3136">
                  <c:v>184256836</c:v>
                </c:pt>
                <c:pt idx="3137">
                  <c:v>181365296</c:v>
                </c:pt>
                <c:pt idx="3138">
                  <c:v>180491706</c:v>
                </c:pt>
                <c:pt idx="3139">
                  <c:v>186509194</c:v>
                </c:pt>
                <c:pt idx="3140">
                  <c:v>163009892</c:v>
                </c:pt>
                <c:pt idx="3141">
                  <c:v>170239325</c:v>
                </c:pt>
                <c:pt idx="3142">
                  <c:v>186473950</c:v>
                </c:pt>
                <c:pt idx="3143">
                  <c:v>183689305</c:v>
                </c:pt>
                <c:pt idx="3144">
                  <c:v>185347395</c:v>
                </c:pt>
                <c:pt idx="3145">
                  <c:v>171640770</c:v>
                </c:pt>
                <c:pt idx="3146">
                  <c:v>186543088</c:v>
                </c:pt>
                <c:pt idx="3147">
                  <c:v>166701394</c:v>
                </c:pt>
                <c:pt idx="3148">
                  <c:v>186199390</c:v>
                </c:pt>
                <c:pt idx="3149">
                  <c:v>185893854</c:v>
                </c:pt>
                <c:pt idx="3150">
                  <c:v>185786623</c:v>
                </c:pt>
                <c:pt idx="3151">
                  <c:v>186456508</c:v>
                </c:pt>
                <c:pt idx="3152">
                  <c:v>186495358</c:v>
                </c:pt>
                <c:pt idx="3153">
                  <c:v>186525273</c:v>
                </c:pt>
                <c:pt idx="3154">
                  <c:v>178192728</c:v>
                </c:pt>
                <c:pt idx="3155">
                  <c:v>179440155</c:v>
                </c:pt>
                <c:pt idx="3156">
                  <c:v>182532105</c:v>
                </c:pt>
                <c:pt idx="3157">
                  <c:v>183689305</c:v>
                </c:pt>
                <c:pt idx="3158">
                  <c:v>176439819</c:v>
                </c:pt>
                <c:pt idx="3159">
                  <c:v>185435050</c:v>
                </c:pt>
                <c:pt idx="3160">
                  <c:v>182347545</c:v>
                </c:pt>
                <c:pt idx="3161">
                  <c:v>185839021</c:v>
                </c:pt>
                <c:pt idx="3162">
                  <c:v>186094880</c:v>
                </c:pt>
                <c:pt idx="3163">
                  <c:v>186094880</c:v>
                </c:pt>
                <c:pt idx="3164">
                  <c:v>166300051</c:v>
                </c:pt>
                <c:pt idx="3165">
                  <c:v>172020965</c:v>
                </c:pt>
                <c:pt idx="3166">
                  <c:v>184777849</c:v>
                </c:pt>
                <c:pt idx="3167">
                  <c:v>184699259</c:v>
                </c:pt>
                <c:pt idx="3168">
                  <c:v>186539970</c:v>
                </c:pt>
                <c:pt idx="3169">
                  <c:v>179988535</c:v>
                </c:pt>
                <c:pt idx="3170">
                  <c:v>185136940</c:v>
                </c:pt>
                <c:pt idx="3171">
                  <c:v>186512097</c:v>
                </c:pt>
                <c:pt idx="3172">
                  <c:v>169142039</c:v>
                </c:pt>
                <c:pt idx="3173">
                  <c:v>186547861</c:v>
                </c:pt>
                <c:pt idx="3174">
                  <c:v>171020664</c:v>
                </c:pt>
                <c:pt idx="3175">
                  <c:v>183722231</c:v>
                </c:pt>
                <c:pt idx="3176">
                  <c:v>175375767</c:v>
                </c:pt>
                <c:pt idx="3177">
                  <c:v>186547861</c:v>
                </c:pt>
                <c:pt idx="3178">
                  <c:v>179251125</c:v>
                </c:pt>
                <c:pt idx="3179">
                  <c:v>167380806</c:v>
                </c:pt>
                <c:pt idx="3180">
                  <c:v>184997138</c:v>
                </c:pt>
                <c:pt idx="3181">
                  <c:v>184074962</c:v>
                </c:pt>
                <c:pt idx="3182">
                  <c:v>186535298</c:v>
                </c:pt>
                <c:pt idx="3183">
                  <c:v>173716659</c:v>
                </c:pt>
                <c:pt idx="3184">
                  <c:v>179303097</c:v>
                </c:pt>
                <c:pt idx="3185">
                  <c:v>186547861</c:v>
                </c:pt>
                <c:pt idx="3186">
                  <c:v>186540850</c:v>
                </c:pt>
                <c:pt idx="3187">
                  <c:v>186152095</c:v>
                </c:pt>
                <c:pt idx="3188">
                  <c:v>181318402</c:v>
                </c:pt>
                <c:pt idx="3189">
                  <c:v>186425250</c:v>
                </c:pt>
                <c:pt idx="3190">
                  <c:v>166554236</c:v>
                </c:pt>
                <c:pt idx="3191">
                  <c:v>173842572</c:v>
                </c:pt>
                <c:pt idx="3192">
                  <c:v>184413337</c:v>
                </c:pt>
                <c:pt idx="3193">
                  <c:v>185515132</c:v>
                </c:pt>
                <c:pt idx="3194">
                  <c:v>186470639</c:v>
                </c:pt>
                <c:pt idx="3195">
                  <c:v>182375049</c:v>
                </c:pt>
                <c:pt idx="3196">
                  <c:v>157831783</c:v>
                </c:pt>
                <c:pt idx="3197">
                  <c:v>185525191</c:v>
                </c:pt>
                <c:pt idx="3198">
                  <c:v>178941127</c:v>
                </c:pt>
                <c:pt idx="3199">
                  <c:v>185669981</c:v>
                </c:pt>
                <c:pt idx="3200">
                  <c:v>183166893</c:v>
                </c:pt>
                <c:pt idx="3201">
                  <c:v>169690778</c:v>
                </c:pt>
                <c:pt idx="3202">
                  <c:v>185474453</c:v>
                </c:pt>
                <c:pt idx="3203">
                  <c:v>179876921</c:v>
                </c:pt>
                <c:pt idx="3204">
                  <c:v>175363261</c:v>
                </c:pt>
                <c:pt idx="3205">
                  <c:v>174173105</c:v>
                </c:pt>
                <c:pt idx="3206">
                  <c:v>186547861</c:v>
                </c:pt>
                <c:pt idx="3207">
                  <c:v>182258520</c:v>
                </c:pt>
                <c:pt idx="3208">
                  <c:v>186473950</c:v>
                </c:pt>
                <c:pt idx="3209">
                  <c:v>184376723</c:v>
                </c:pt>
                <c:pt idx="3210">
                  <c:v>155404269</c:v>
                </c:pt>
                <c:pt idx="3211">
                  <c:v>186485027</c:v>
                </c:pt>
                <c:pt idx="3212">
                  <c:v>183460086</c:v>
                </c:pt>
                <c:pt idx="3213">
                  <c:v>175912338</c:v>
                </c:pt>
                <c:pt idx="3214">
                  <c:v>162186561</c:v>
                </c:pt>
                <c:pt idx="3215">
                  <c:v>171720645</c:v>
                </c:pt>
                <c:pt idx="3216">
                  <c:v>173518717</c:v>
                </c:pt>
                <c:pt idx="3217">
                  <c:v>167583060</c:v>
                </c:pt>
                <c:pt idx="3218">
                  <c:v>185693325</c:v>
                </c:pt>
                <c:pt idx="3219">
                  <c:v>186440882</c:v>
                </c:pt>
                <c:pt idx="3220">
                  <c:v>186544177</c:v>
                </c:pt>
                <c:pt idx="3221">
                  <c:v>183507738</c:v>
                </c:pt>
                <c:pt idx="3222">
                  <c:v>185224654</c:v>
                </c:pt>
                <c:pt idx="3223">
                  <c:v>174852763</c:v>
                </c:pt>
                <c:pt idx="3224">
                  <c:v>186543368</c:v>
                </c:pt>
                <c:pt idx="3225">
                  <c:v>186510654</c:v>
                </c:pt>
                <c:pt idx="3226">
                  <c:v>156697721</c:v>
                </c:pt>
                <c:pt idx="3227">
                  <c:v>185562800</c:v>
                </c:pt>
                <c:pt idx="3228">
                  <c:v>183722231</c:v>
                </c:pt>
                <c:pt idx="3229">
                  <c:v>185748834</c:v>
                </c:pt>
                <c:pt idx="3230">
                  <c:v>186199390</c:v>
                </c:pt>
                <c:pt idx="3231">
                  <c:v>184085906</c:v>
                </c:pt>
                <c:pt idx="3232">
                  <c:v>184848382</c:v>
                </c:pt>
                <c:pt idx="3233">
                  <c:v>181994354</c:v>
                </c:pt>
                <c:pt idx="3234">
                  <c:v>180860062</c:v>
                </c:pt>
                <c:pt idx="3235">
                  <c:v>185809023</c:v>
                </c:pt>
                <c:pt idx="3236">
                  <c:v>158207335</c:v>
                </c:pt>
                <c:pt idx="3237">
                  <c:v>186440882</c:v>
                </c:pt>
                <c:pt idx="3238">
                  <c:v>186472644</c:v>
                </c:pt>
                <c:pt idx="3239">
                  <c:v>185519164</c:v>
                </c:pt>
                <c:pt idx="3240">
                  <c:v>159057302</c:v>
                </c:pt>
                <c:pt idx="3241">
                  <c:v>157094192</c:v>
                </c:pt>
                <c:pt idx="3242">
                  <c:v>183272703</c:v>
                </c:pt>
                <c:pt idx="3243">
                  <c:v>184963466</c:v>
                </c:pt>
                <c:pt idx="3244">
                  <c:v>183542086</c:v>
                </c:pt>
                <c:pt idx="3245">
                  <c:v>185443402</c:v>
                </c:pt>
                <c:pt idx="3246">
                  <c:v>175487366</c:v>
                </c:pt>
                <c:pt idx="3247">
                  <c:v>177385796</c:v>
                </c:pt>
                <c:pt idx="3248">
                  <c:v>178404393</c:v>
                </c:pt>
                <c:pt idx="3249">
                  <c:v>180059590</c:v>
                </c:pt>
                <c:pt idx="3250">
                  <c:v>184675418</c:v>
                </c:pt>
                <c:pt idx="3251">
                  <c:v>183034124</c:v>
                </c:pt>
                <c:pt idx="3252">
                  <c:v>175670874</c:v>
                </c:pt>
                <c:pt idx="3253">
                  <c:v>186462669</c:v>
                </c:pt>
                <c:pt idx="3254">
                  <c:v>171592386</c:v>
                </c:pt>
                <c:pt idx="3255">
                  <c:v>183962933</c:v>
                </c:pt>
                <c:pt idx="3256">
                  <c:v>184004382</c:v>
                </c:pt>
                <c:pt idx="3257">
                  <c:v>185983257</c:v>
                </c:pt>
                <c:pt idx="3258">
                  <c:v>186485027</c:v>
                </c:pt>
                <c:pt idx="3259">
                  <c:v>186094880</c:v>
                </c:pt>
                <c:pt idx="3260">
                  <c:v>183411854</c:v>
                </c:pt>
                <c:pt idx="3261">
                  <c:v>163906350</c:v>
                </c:pt>
                <c:pt idx="3262">
                  <c:v>184806461</c:v>
                </c:pt>
                <c:pt idx="3263">
                  <c:v>186538712</c:v>
                </c:pt>
                <c:pt idx="3264">
                  <c:v>185187199</c:v>
                </c:pt>
                <c:pt idx="3265">
                  <c:v>186525866</c:v>
                </c:pt>
                <c:pt idx="3266">
                  <c:v>186309357</c:v>
                </c:pt>
                <c:pt idx="3267">
                  <c:v>178153733</c:v>
                </c:pt>
                <c:pt idx="3268">
                  <c:v>186340858</c:v>
                </c:pt>
                <c:pt idx="3269">
                  <c:v>182796975</c:v>
                </c:pt>
                <c:pt idx="3270">
                  <c:v>182542741</c:v>
                </c:pt>
                <c:pt idx="3271">
                  <c:v>172576864</c:v>
                </c:pt>
                <c:pt idx="3272">
                  <c:v>171020664</c:v>
                </c:pt>
                <c:pt idx="3273">
                  <c:v>180468906</c:v>
                </c:pt>
                <c:pt idx="3274">
                  <c:v>184568226</c:v>
                </c:pt>
                <c:pt idx="3275">
                  <c:v>186225045</c:v>
                </c:pt>
                <c:pt idx="3276">
                  <c:v>161202360</c:v>
                </c:pt>
                <c:pt idx="3277">
                  <c:v>180938988</c:v>
                </c:pt>
                <c:pt idx="3278">
                  <c:v>184161538</c:v>
                </c:pt>
                <c:pt idx="3279">
                  <c:v>177648980</c:v>
                </c:pt>
                <c:pt idx="3280">
                  <c:v>181311652</c:v>
                </c:pt>
                <c:pt idx="3281">
                  <c:v>181351968</c:v>
                </c:pt>
                <c:pt idx="3282">
                  <c:v>185045549</c:v>
                </c:pt>
                <c:pt idx="3283">
                  <c:v>183143468</c:v>
                </c:pt>
                <c:pt idx="3284">
                  <c:v>185525191</c:v>
                </c:pt>
                <c:pt idx="3285">
                  <c:v>164000854</c:v>
                </c:pt>
                <c:pt idx="3286">
                  <c:v>163547085</c:v>
                </c:pt>
                <c:pt idx="3287">
                  <c:v>186481971</c:v>
                </c:pt>
                <c:pt idx="3288">
                  <c:v>178593165</c:v>
                </c:pt>
                <c:pt idx="3289">
                  <c:v>182678928</c:v>
                </c:pt>
                <c:pt idx="3290">
                  <c:v>186547861</c:v>
                </c:pt>
                <c:pt idx="3291">
                  <c:v>183516338</c:v>
                </c:pt>
                <c:pt idx="3292">
                  <c:v>183668650</c:v>
                </c:pt>
                <c:pt idx="3293">
                  <c:v>186527852</c:v>
                </c:pt>
                <c:pt idx="3294">
                  <c:v>186547861</c:v>
                </c:pt>
                <c:pt idx="3295">
                  <c:v>168484790</c:v>
                </c:pt>
                <c:pt idx="3296">
                  <c:v>184751865</c:v>
                </c:pt>
                <c:pt idx="3297">
                  <c:v>186192975</c:v>
                </c:pt>
                <c:pt idx="3298">
                  <c:v>186517952</c:v>
                </c:pt>
                <c:pt idx="3299">
                  <c:v>186425250</c:v>
                </c:pt>
                <c:pt idx="3300">
                  <c:v>179624569</c:v>
                </c:pt>
                <c:pt idx="3301">
                  <c:v>186547861</c:v>
                </c:pt>
                <c:pt idx="3302">
                  <c:v>186069743</c:v>
                </c:pt>
                <c:pt idx="3303">
                  <c:v>160011730</c:v>
                </c:pt>
                <c:pt idx="3304">
                  <c:v>179012771</c:v>
                </c:pt>
                <c:pt idx="3305">
                  <c:v>186462669</c:v>
                </c:pt>
                <c:pt idx="3306">
                  <c:v>185809023</c:v>
                </c:pt>
                <c:pt idx="3307">
                  <c:v>186547861</c:v>
                </c:pt>
                <c:pt idx="3308">
                  <c:v>186342829</c:v>
                </c:pt>
                <c:pt idx="3309">
                  <c:v>159671367</c:v>
                </c:pt>
                <c:pt idx="3310">
                  <c:v>182413407</c:v>
                </c:pt>
                <c:pt idx="3311">
                  <c:v>164806689</c:v>
                </c:pt>
                <c:pt idx="3312">
                  <c:v>185772049</c:v>
                </c:pt>
                <c:pt idx="3313">
                  <c:v>186547483</c:v>
                </c:pt>
                <c:pt idx="3314">
                  <c:v>186543478</c:v>
                </c:pt>
                <c:pt idx="3315">
                  <c:v>186490637</c:v>
                </c:pt>
                <c:pt idx="3316">
                  <c:v>180323754</c:v>
                </c:pt>
                <c:pt idx="3317">
                  <c:v>185809023</c:v>
                </c:pt>
                <c:pt idx="3318">
                  <c:v>186517952</c:v>
                </c:pt>
                <c:pt idx="3319">
                  <c:v>186500011</c:v>
                </c:pt>
                <c:pt idx="3320">
                  <c:v>186408626</c:v>
                </c:pt>
                <c:pt idx="3321">
                  <c:v>186470639</c:v>
                </c:pt>
                <c:pt idx="3322">
                  <c:v>154017534</c:v>
                </c:pt>
                <c:pt idx="3323">
                  <c:v>178976955</c:v>
                </c:pt>
                <c:pt idx="3324">
                  <c:v>186547858</c:v>
                </c:pt>
                <c:pt idx="3325">
                  <c:v>185224654</c:v>
                </c:pt>
                <c:pt idx="3326">
                  <c:v>181754966</c:v>
                </c:pt>
                <c:pt idx="3327">
                  <c:v>168389141</c:v>
                </c:pt>
                <c:pt idx="3328">
                  <c:v>185017602</c:v>
                </c:pt>
                <c:pt idx="3329">
                  <c:v>186425250</c:v>
                </c:pt>
                <c:pt idx="3330">
                  <c:v>182771537</c:v>
                </c:pt>
                <c:pt idx="3331">
                  <c:v>186547846</c:v>
                </c:pt>
                <c:pt idx="3332">
                  <c:v>185996757</c:v>
                </c:pt>
                <c:pt idx="3333">
                  <c:v>186477838</c:v>
                </c:pt>
                <c:pt idx="3334">
                  <c:v>184359851</c:v>
                </c:pt>
                <c:pt idx="3335">
                  <c:v>185525191</c:v>
                </c:pt>
                <c:pt idx="3336">
                  <c:v>186547861</c:v>
                </c:pt>
                <c:pt idx="3337">
                  <c:v>182971022</c:v>
                </c:pt>
                <c:pt idx="3338">
                  <c:v>173561305</c:v>
                </c:pt>
                <c:pt idx="3339">
                  <c:v>185918722</c:v>
                </c:pt>
                <c:pt idx="3340">
                  <c:v>186515669</c:v>
                </c:pt>
                <c:pt idx="3341">
                  <c:v>165912875</c:v>
                </c:pt>
                <c:pt idx="3342">
                  <c:v>182325513</c:v>
                </c:pt>
                <c:pt idx="3343">
                  <c:v>185809023</c:v>
                </c:pt>
                <c:pt idx="3344">
                  <c:v>185627871</c:v>
                </c:pt>
                <c:pt idx="3345">
                  <c:v>180285279</c:v>
                </c:pt>
                <c:pt idx="3346">
                  <c:v>186374368</c:v>
                </c:pt>
                <c:pt idx="3347">
                  <c:v>186253650</c:v>
                </c:pt>
                <c:pt idx="3348">
                  <c:v>184963466</c:v>
                </c:pt>
                <c:pt idx="3349">
                  <c:v>185286773</c:v>
                </c:pt>
                <c:pt idx="3350">
                  <c:v>158698373</c:v>
                </c:pt>
                <c:pt idx="3351">
                  <c:v>186352563</c:v>
                </c:pt>
                <c:pt idx="3352">
                  <c:v>167032975</c:v>
                </c:pt>
                <c:pt idx="3353">
                  <c:v>185206004</c:v>
                </c:pt>
                <c:pt idx="3354">
                  <c:v>174523294</c:v>
                </c:pt>
                <c:pt idx="3355">
                  <c:v>171895204</c:v>
                </c:pt>
                <c:pt idx="3356">
                  <c:v>178015695</c:v>
                </c:pt>
                <c:pt idx="3357">
                  <c:v>186047610</c:v>
                </c:pt>
                <c:pt idx="3358">
                  <c:v>185622255</c:v>
                </c:pt>
                <c:pt idx="3359">
                  <c:v>172516108</c:v>
                </c:pt>
                <c:pt idx="3360">
                  <c:v>185951547</c:v>
                </c:pt>
                <c:pt idx="3361">
                  <c:v>180831182</c:v>
                </c:pt>
                <c:pt idx="3362">
                  <c:v>185107773</c:v>
                </c:pt>
                <c:pt idx="3363">
                  <c:v>186514493</c:v>
                </c:pt>
                <c:pt idx="3364">
                  <c:v>186301356</c:v>
                </c:pt>
                <c:pt idx="3365">
                  <c:v>185562800</c:v>
                </c:pt>
                <c:pt idx="3366">
                  <c:v>185748834</c:v>
                </c:pt>
                <c:pt idx="3367">
                  <c:v>177137382</c:v>
                </c:pt>
                <c:pt idx="3368">
                  <c:v>185660956</c:v>
                </c:pt>
                <c:pt idx="3369">
                  <c:v>185915814</c:v>
                </c:pt>
                <c:pt idx="3370">
                  <c:v>186181718</c:v>
                </c:pt>
                <c:pt idx="3371">
                  <c:v>186487421</c:v>
                </c:pt>
                <c:pt idx="3372">
                  <c:v>161672891</c:v>
                </c:pt>
                <c:pt idx="3373">
                  <c:v>182190656</c:v>
                </c:pt>
                <c:pt idx="3374">
                  <c:v>181338568</c:v>
                </c:pt>
                <c:pt idx="3375">
                  <c:v>181542436</c:v>
                </c:pt>
                <c:pt idx="3376">
                  <c:v>184963466</c:v>
                </c:pt>
                <c:pt idx="3377">
                  <c:v>186535476</c:v>
                </c:pt>
                <c:pt idx="3378">
                  <c:v>184172230</c:v>
                </c:pt>
                <c:pt idx="3379">
                  <c:v>165210049</c:v>
                </c:pt>
                <c:pt idx="3380">
                  <c:v>186547861</c:v>
                </c:pt>
                <c:pt idx="3381">
                  <c:v>172161319</c:v>
                </c:pt>
                <c:pt idx="3382">
                  <c:v>186326493</c:v>
                </c:pt>
                <c:pt idx="3383">
                  <c:v>186547861</c:v>
                </c:pt>
                <c:pt idx="3384">
                  <c:v>185198957</c:v>
                </c:pt>
                <c:pt idx="3385">
                  <c:v>186456133</c:v>
                </c:pt>
                <c:pt idx="3386">
                  <c:v>181619074</c:v>
                </c:pt>
                <c:pt idx="3387">
                  <c:v>185839021</c:v>
                </c:pt>
                <c:pt idx="3388">
                  <c:v>186485027</c:v>
                </c:pt>
                <c:pt idx="3389">
                  <c:v>171752413</c:v>
                </c:pt>
                <c:pt idx="3390">
                  <c:v>186240403</c:v>
                </c:pt>
                <c:pt idx="3391">
                  <c:v>186326493</c:v>
                </c:pt>
                <c:pt idx="3392">
                  <c:v>178649134</c:v>
                </c:pt>
                <c:pt idx="3393">
                  <c:v>164350227</c:v>
                </c:pt>
                <c:pt idx="3394">
                  <c:v>186517952</c:v>
                </c:pt>
                <c:pt idx="3395">
                  <c:v>180544439</c:v>
                </c:pt>
                <c:pt idx="3396">
                  <c:v>157673221</c:v>
                </c:pt>
                <c:pt idx="3397">
                  <c:v>162211905</c:v>
                </c:pt>
                <c:pt idx="3398">
                  <c:v>160936432</c:v>
                </c:pt>
                <c:pt idx="3399">
                  <c:v>180589127</c:v>
                </c:pt>
                <c:pt idx="3400">
                  <c:v>174077483</c:v>
                </c:pt>
                <c:pt idx="3401">
                  <c:v>186523354</c:v>
                </c:pt>
                <c:pt idx="3402">
                  <c:v>179363450</c:v>
                </c:pt>
                <c:pt idx="3403">
                  <c:v>185648257</c:v>
                </c:pt>
                <c:pt idx="3404">
                  <c:v>185872951</c:v>
                </c:pt>
                <c:pt idx="3405">
                  <c:v>185309453</c:v>
                </c:pt>
                <c:pt idx="3406">
                  <c:v>180521911</c:v>
                </c:pt>
                <c:pt idx="3407">
                  <c:v>186547022</c:v>
                </c:pt>
                <c:pt idx="3408">
                  <c:v>186031008</c:v>
                </c:pt>
                <c:pt idx="3409">
                  <c:v>186481971</c:v>
                </c:pt>
                <c:pt idx="3410">
                  <c:v>186514493</c:v>
                </c:pt>
                <c:pt idx="3411">
                  <c:v>186547861</c:v>
                </c:pt>
                <c:pt idx="3412">
                  <c:v>186512097</c:v>
                </c:pt>
                <c:pt idx="3413">
                  <c:v>178941127</c:v>
                </c:pt>
                <c:pt idx="3414">
                  <c:v>184104041</c:v>
                </c:pt>
                <c:pt idx="3415">
                  <c:v>186547861</c:v>
                </c:pt>
                <c:pt idx="3416">
                  <c:v>181851858</c:v>
                </c:pt>
                <c:pt idx="3417">
                  <c:v>167862511</c:v>
                </c:pt>
                <c:pt idx="3418">
                  <c:v>186432845</c:v>
                </c:pt>
                <c:pt idx="3419">
                  <c:v>186151081</c:v>
                </c:pt>
                <c:pt idx="3420">
                  <c:v>185017602</c:v>
                </c:pt>
                <c:pt idx="3421">
                  <c:v>186547115</c:v>
                </c:pt>
                <c:pt idx="3422">
                  <c:v>186051380</c:v>
                </c:pt>
                <c:pt idx="3423">
                  <c:v>186547241</c:v>
                </c:pt>
                <c:pt idx="3424">
                  <c:v>186512097</c:v>
                </c:pt>
                <c:pt idx="3425">
                  <c:v>174036329</c:v>
                </c:pt>
                <c:pt idx="3426">
                  <c:v>182473155</c:v>
                </c:pt>
                <c:pt idx="3427">
                  <c:v>170395357</c:v>
                </c:pt>
                <c:pt idx="3428">
                  <c:v>168693970</c:v>
                </c:pt>
                <c:pt idx="3429">
                  <c:v>186547339</c:v>
                </c:pt>
                <c:pt idx="3430">
                  <c:v>176793759</c:v>
                </c:pt>
                <c:pt idx="3431">
                  <c:v>186529879</c:v>
                </c:pt>
                <c:pt idx="3432">
                  <c:v>161175960</c:v>
                </c:pt>
                <c:pt idx="3433">
                  <c:v>186527580</c:v>
                </c:pt>
                <c:pt idx="3434">
                  <c:v>186487421</c:v>
                </c:pt>
                <c:pt idx="3435">
                  <c:v>161069750</c:v>
                </c:pt>
                <c:pt idx="3436">
                  <c:v>186273454</c:v>
                </c:pt>
                <c:pt idx="3437">
                  <c:v>186547861</c:v>
                </c:pt>
                <c:pt idx="3438">
                  <c:v>156391640</c:v>
                </c:pt>
                <c:pt idx="3439">
                  <c:v>165031473</c:v>
                </c:pt>
                <c:pt idx="3440">
                  <c:v>185562800</c:v>
                </c:pt>
                <c:pt idx="3441">
                  <c:v>186547861</c:v>
                </c:pt>
                <c:pt idx="3442">
                  <c:v>182391519</c:v>
                </c:pt>
                <c:pt idx="3443">
                  <c:v>186019328</c:v>
                </c:pt>
                <c:pt idx="3444">
                  <c:v>186273454</c:v>
                </c:pt>
                <c:pt idx="3445">
                  <c:v>186547861</c:v>
                </c:pt>
                <c:pt idx="3446">
                  <c:v>183034124</c:v>
                </c:pt>
                <c:pt idx="3447">
                  <c:v>165999482</c:v>
                </c:pt>
                <c:pt idx="3448">
                  <c:v>179145927</c:v>
                </c:pt>
                <c:pt idx="3449">
                  <c:v>182093199</c:v>
                </c:pt>
                <c:pt idx="3450">
                  <c:v>185394931</c:v>
                </c:pt>
                <c:pt idx="3451">
                  <c:v>186544781</c:v>
                </c:pt>
                <c:pt idx="3452">
                  <c:v>183259039</c:v>
                </c:pt>
                <c:pt idx="3453">
                  <c:v>185786623</c:v>
                </c:pt>
                <c:pt idx="3454">
                  <c:v>186462669</c:v>
                </c:pt>
                <c:pt idx="3455">
                  <c:v>186143877</c:v>
                </c:pt>
                <c:pt idx="3456">
                  <c:v>163953654</c:v>
                </c:pt>
                <c:pt idx="3457">
                  <c:v>178085076</c:v>
                </c:pt>
                <c:pt idx="3458">
                  <c:v>186547861</c:v>
                </c:pt>
                <c:pt idx="3459">
                  <c:v>160829350</c:v>
                </c:pt>
                <c:pt idx="3460">
                  <c:v>185478555</c:v>
                </c:pt>
                <c:pt idx="3461">
                  <c:v>177742202</c:v>
                </c:pt>
                <c:pt idx="3462">
                  <c:v>186547861</c:v>
                </c:pt>
                <c:pt idx="3463">
                  <c:v>169012435</c:v>
                </c:pt>
                <c:pt idx="3464">
                  <c:v>186514097</c:v>
                </c:pt>
                <c:pt idx="3465">
                  <c:v>157513685</c:v>
                </c:pt>
                <c:pt idx="3466">
                  <c:v>186109854</c:v>
                </c:pt>
                <c:pt idx="3467">
                  <c:v>170786371</c:v>
                </c:pt>
                <c:pt idx="3468">
                  <c:v>178035601</c:v>
                </c:pt>
                <c:pt idx="3469">
                  <c:v>182500083</c:v>
                </c:pt>
                <c:pt idx="3470">
                  <c:v>173274218</c:v>
                </c:pt>
                <c:pt idx="3471">
                  <c:v>186488901</c:v>
                </c:pt>
                <c:pt idx="3472">
                  <c:v>183951473</c:v>
                </c:pt>
                <c:pt idx="3473">
                  <c:v>182473155</c:v>
                </c:pt>
                <c:pt idx="3474">
                  <c:v>186546564</c:v>
                </c:pt>
                <c:pt idx="3475">
                  <c:v>182882449</c:v>
                </c:pt>
                <c:pt idx="3476">
                  <c:v>183442642</c:v>
                </c:pt>
                <c:pt idx="3477">
                  <c:v>183584543</c:v>
                </c:pt>
                <c:pt idx="3478">
                  <c:v>186547861</c:v>
                </c:pt>
                <c:pt idx="3479">
                  <c:v>174227505</c:v>
                </c:pt>
                <c:pt idx="3480">
                  <c:v>186505641</c:v>
                </c:pt>
                <c:pt idx="3481">
                  <c:v>183533510</c:v>
                </c:pt>
                <c:pt idx="3482">
                  <c:v>186500011</c:v>
                </c:pt>
                <c:pt idx="3483">
                  <c:v>186544018</c:v>
                </c:pt>
                <c:pt idx="3484">
                  <c:v>154017534</c:v>
                </c:pt>
                <c:pt idx="3485">
                  <c:v>180626249</c:v>
                </c:pt>
                <c:pt idx="3486">
                  <c:v>181555271</c:v>
                </c:pt>
                <c:pt idx="3487">
                  <c:v>176439819</c:v>
                </c:pt>
                <c:pt idx="3488">
                  <c:v>181510092</c:v>
                </c:pt>
                <c:pt idx="3489">
                  <c:v>185614755</c:v>
                </c:pt>
                <c:pt idx="3490">
                  <c:v>174008884</c:v>
                </c:pt>
                <c:pt idx="3491">
                  <c:v>186540456</c:v>
                </c:pt>
                <c:pt idx="3492">
                  <c:v>170326211</c:v>
                </c:pt>
                <c:pt idx="3493">
                  <c:v>182207708</c:v>
                </c:pt>
                <c:pt idx="3494">
                  <c:v>186547861</c:v>
                </c:pt>
                <c:pt idx="3495">
                  <c:v>186273454</c:v>
                </c:pt>
                <c:pt idx="3496">
                  <c:v>186481026</c:v>
                </c:pt>
                <c:pt idx="3497">
                  <c:v>185898270</c:v>
                </c:pt>
                <c:pt idx="3498">
                  <c:v>170887229</c:v>
                </c:pt>
                <c:pt idx="3499">
                  <c:v>186547809</c:v>
                </c:pt>
                <c:pt idx="3500">
                  <c:v>173925940</c:v>
                </c:pt>
                <c:pt idx="3501">
                  <c:v>186418092</c:v>
                </c:pt>
                <c:pt idx="3502">
                  <c:v>185938879</c:v>
                </c:pt>
                <c:pt idx="3503">
                  <c:v>181134369</c:v>
                </c:pt>
                <c:pt idx="3504">
                  <c:v>184281179</c:v>
                </c:pt>
                <c:pt idx="3505">
                  <c:v>156391640</c:v>
                </c:pt>
                <c:pt idx="3506">
                  <c:v>170549661</c:v>
                </c:pt>
                <c:pt idx="3507">
                  <c:v>186389121</c:v>
                </c:pt>
                <c:pt idx="3508">
                  <c:v>185863822</c:v>
                </c:pt>
                <c:pt idx="3509">
                  <c:v>180938988</c:v>
                </c:pt>
                <c:pt idx="3510">
                  <c:v>167921769</c:v>
                </c:pt>
                <c:pt idx="3511">
                  <c:v>168176845</c:v>
                </c:pt>
                <c:pt idx="3512">
                  <c:v>186466187</c:v>
                </c:pt>
                <c:pt idx="3513">
                  <c:v>186483507</c:v>
                </c:pt>
                <c:pt idx="3514">
                  <c:v>169418319</c:v>
                </c:pt>
                <c:pt idx="3515">
                  <c:v>185874463</c:v>
                </c:pt>
                <c:pt idx="3516">
                  <c:v>185987313</c:v>
                </c:pt>
                <c:pt idx="3517">
                  <c:v>186453113</c:v>
                </c:pt>
                <c:pt idx="3518">
                  <c:v>181574471</c:v>
                </c:pt>
                <c:pt idx="3519">
                  <c:v>186545638</c:v>
                </c:pt>
                <c:pt idx="3520">
                  <c:v>175437848</c:v>
                </c:pt>
                <c:pt idx="3521">
                  <c:v>186468944</c:v>
                </c:pt>
                <c:pt idx="3522">
                  <c:v>186473950</c:v>
                </c:pt>
                <c:pt idx="3523">
                  <c:v>181693871</c:v>
                </c:pt>
                <c:pt idx="3524">
                  <c:v>186318007</c:v>
                </c:pt>
                <c:pt idx="3525">
                  <c:v>186547861</c:v>
                </c:pt>
                <c:pt idx="3526">
                  <c:v>186529879</c:v>
                </c:pt>
                <c:pt idx="3527">
                  <c:v>159757197</c:v>
                </c:pt>
                <c:pt idx="3528">
                  <c:v>186547861</c:v>
                </c:pt>
                <c:pt idx="3529">
                  <c:v>168293133</c:v>
                </c:pt>
                <c:pt idx="3530">
                  <c:v>183213023</c:v>
                </c:pt>
                <c:pt idx="3531">
                  <c:v>186497451</c:v>
                </c:pt>
                <c:pt idx="3532">
                  <c:v>183077330</c:v>
                </c:pt>
                <c:pt idx="3533">
                  <c:v>186546024</c:v>
                </c:pt>
                <c:pt idx="3534">
                  <c:v>177481558</c:v>
                </c:pt>
                <c:pt idx="3535">
                  <c:v>163132717</c:v>
                </c:pt>
                <c:pt idx="3536">
                  <c:v>162788340</c:v>
                </c:pt>
                <c:pt idx="3537">
                  <c:v>181574471</c:v>
                </c:pt>
                <c:pt idx="3538">
                  <c:v>155975969</c:v>
                </c:pt>
                <c:pt idx="3539">
                  <c:v>186262482</c:v>
                </c:pt>
                <c:pt idx="3540">
                  <c:v>170718947</c:v>
                </c:pt>
                <c:pt idx="3541">
                  <c:v>170937404</c:v>
                </c:pt>
                <c:pt idx="3542">
                  <c:v>186528515</c:v>
                </c:pt>
                <c:pt idx="3543">
                  <c:v>186547861</c:v>
                </c:pt>
                <c:pt idx="3544">
                  <c:v>163906350</c:v>
                </c:pt>
                <c:pt idx="3545">
                  <c:v>186046346</c:v>
                </c:pt>
                <c:pt idx="3546">
                  <c:v>185286773</c:v>
                </c:pt>
                <c:pt idx="3547">
                  <c:v>176102164</c:v>
                </c:pt>
                <c:pt idx="3548">
                  <c:v>176566590</c:v>
                </c:pt>
                <c:pt idx="3549">
                  <c:v>186547861</c:v>
                </c:pt>
                <c:pt idx="3550">
                  <c:v>183928493</c:v>
                </c:pt>
                <c:pt idx="3551">
                  <c:v>176816259</c:v>
                </c:pt>
                <c:pt idx="3552">
                  <c:v>186360088</c:v>
                </c:pt>
                <c:pt idx="3553">
                  <c:v>186525866</c:v>
                </c:pt>
                <c:pt idx="3554">
                  <c:v>185904150</c:v>
                </c:pt>
                <c:pt idx="3555">
                  <c:v>184590094</c:v>
                </c:pt>
                <c:pt idx="3556">
                  <c:v>185969593</c:v>
                </c:pt>
                <c:pt idx="3557">
                  <c:v>174904603</c:v>
                </c:pt>
                <c:pt idx="3558">
                  <c:v>174852763</c:v>
                </c:pt>
                <c:pt idx="3559">
                  <c:v>170685197</c:v>
                </c:pt>
                <c:pt idx="3560">
                  <c:v>186031008</c:v>
                </c:pt>
                <c:pt idx="3561">
                  <c:v>184446392</c:v>
                </c:pt>
                <c:pt idx="3562">
                  <c:v>186061231</c:v>
                </c:pt>
                <c:pt idx="3563">
                  <c:v>186125615</c:v>
                </c:pt>
                <c:pt idx="3564">
                  <c:v>176007747</c:v>
                </c:pt>
                <c:pt idx="3565">
                  <c:v>186547660</c:v>
                </c:pt>
                <c:pt idx="3566">
                  <c:v>185975081</c:v>
                </c:pt>
                <c:pt idx="3567">
                  <c:v>186411659</c:v>
                </c:pt>
                <c:pt idx="3568">
                  <c:v>186504231</c:v>
                </c:pt>
                <c:pt idx="3569">
                  <c:v>183951473</c:v>
                </c:pt>
                <c:pt idx="3570">
                  <c:v>186536943</c:v>
                </c:pt>
                <c:pt idx="3571">
                  <c:v>186295479</c:v>
                </c:pt>
                <c:pt idx="3572">
                  <c:v>183936173</c:v>
                </c:pt>
                <c:pt idx="3573">
                  <c:v>186547861</c:v>
                </c:pt>
                <c:pt idx="3574">
                  <c:v>186368477</c:v>
                </c:pt>
                <c:pt idx="3575">
                  <c:v>185809023</c:v>
                </c:pt>
                <c:pt idx="3576">
                  <c:v>180867271</c:v>
                </c:pt>
                <c:pt idx="3577">
                  <c:v>186404530</c:v>
                </c:pt>
                <c:pt idx="3578">
                  <c:v>168446540</c:v>
                </c:pt>
                <c:pt idx="3579">
                  <c:v>178887373</c:v>
                </c:pt>
                <c:pt idx="3580">
                  <c:v>177245912</c:v>
                </c:pt>
                <c:pt idx="3581">
                  <c:v>184831742</c:v>
                </c:pt>
                <c:pt idx="3582">
                  <c:v>168825579</c:v>
                </c:pt>
                <c:pt idx="3583">
                  <c:v>185622255</c:v>
                </c:pt>
                <c:pt idx="3584">
                  <c:v>171004024</c:v>
                </c:pt>
                <c:pt idx="3585">
                  <c:v>186547861</c:v>
                </c:pt>
                <c:pt idx="3586">
                  <c:v>181457992</c:v>
                </c:pt>
                <c:pt idx="3587">
                  <c:v>185318469</c:v>
                </c:pt>
                <c:pt idx="3588">
                  <c:v>182184969</c:v>
                </c:pt>
                <c:pt idx="3589">
                  <c:v>186547861</c:v>
                </c:pt>
                <c:pt idx="3590">
                  <c:v>186061231</c:v>
                </c:pt>
                <c:pt idx="3591">
                  <c:v>185347395</c:v>
                </c:pt>
                <c:pt idx="3592">
                  <c:v>173172256</c:v>
                </c:pt>
                <c:pt idx="3593">
                  <c:v>184795087</c:v>
                </c:pt>
                <c:pt idx="3594">
                  <c:v>164964273</c:v>
                </c:pt>
                <c:pt idx="3595">
                  <c:v>183272703</c:v>
                </c:pt>
                <c:pt idx="3596">
                  <c:v>185680781</c:v>
                </c:pt>
                <c:pt idx="3597">
                  <c:v>183185375</c:v>
                </c:pt>
                <c:pt idx="3598">
                  <c:v>185938879</c:v>
                </c:pt>
                <c:pt idx="3599">
                  <c:v>186312976</c:v>
                </c:pt>
                <c:pt idx="3600">
                  <c:v>185068046</c:v>
                </c:pt>
                <c:pt idx="3601">
                  <c:v>185252302</c:v>
                </c:pt>
                <c:pt idx="3602">
                  <c:v>180285279</c:v>
                </c:pt>
                <c:pt idx="3603">
                  <c:v>172936906</c:v>
                </c:pt>
                <c:pt idx="3604">
                  <c:v>186073388</c:v>
                </c:pt>
                <c:pt idx="3605">
                  <c:v>186140728</c:v>
                </c:pt>
                <c:pt idx="3606">
                  <c:v>182258520</c:v>
                </c:pt>
                <c:pt idx="3607">
                  <c:v>185254605</c:v>
                </c:pt>
                <c:pt idx="3608">
                  <c:v>184172230</c:v>
                </c:pt>
                <c:pt idx="3609">
                  <c:v>184393383</c:v>
                </c:pt>
                <c:pt idx="3610">
                  <c:v>186547861</c:v>
                </c:pt>
                <c:pt idx="3611">
                  <c:v>186546776</c:v>
                </c:pt>
                <c:pt idx="3612">
                  <c:v>185492863</c:v>
                </c:pt>
                <c:pt idx="3613">
                  <c:v>184934746</c:v>
                </c:pt>
                <c:pt idx="3614">
                  <c:v>186547861</c:v>
                </c:pt>
                <c:pt idx="3615">
                  <c:v>170395357</c:v>
                </c:pt>
                <c:pt idx="3616">
                  <c:v>186547861</c:v>
                </c:pt>
                <c:pt idx="3617">
                  <c:v>183507738</c:v>
                </c:pt>
                <c:pt idx="3618">
                  <c:v>186547861</c:v>
                </c:pt>
                <c:pt idx="3619">
                  <c:v>186547861</c:v>
                </c:pt>
                <c:pt idx="3620">
                  <c:v>186540850</c:v>
                </c:pt>
                <c:pt idx="3621">
                  <c:v>180867271</c:v>
                </c:pt>
                <c:pt idx="3622">
                  <c:v>185669981</c:v>
                </c:pt>
                <c:pt idx="3623">
                  <c:v>166950697</c:v>
                </c:pt>
                <c:pt idx="3624">
                  <c:v>186547861</c:v>
                </c:pt>
                <c:pt idx="3625">
                  <c:v>163667085</c:v>
                </c:pt>
                <c:pt idx="3626">
                  <c:v>185364886</c:v>
                </c:pt>
                <c:pt idx="3627">
                  <c:v>185711037</c:v>
                </c:pt>
                <c:pt idx="3628">
                  <c:v>183689305</c:v>
                </c:pt>
                <c:pt idx="3629">
                  <c:v>186086638</c:v>
                </c:pt>
                <c:pt idx="3630">
                  <c:v>186424322</c:v>
                </c:pt>
                <c:pt idx="3631">
                  <c:v>184929454</c:v>
                </c:pt>
                <c:pt idx="3632">
                  <c:v>184905466</c:v>
                </c:pt>
                <c:pt idx="3633">
                  <c:v>176335567</c:v>
                </c:pt>
                <c:pt idx="3634">
                  <c:v>171202398</c:v>
                </c:pt>
                <c:pt idx="3635">
                  <c:v>184056526</c:v>
                </c:pt>
                <c:pt idx="3636">
                  <c:v>186444882</c:v>
                </c:pt>
                <c:pt idx="3637">
                  <c:v>186547861</c:v>
                </c:pt>
                <c:pt idx="3638">
                  <c:v>179739445</c:v>
                </c:pt>
                <c:pt idx="3639">
                  <c:v>186547861</c:v>
                </c:pt>
                <c:pt idx="3640">
                  <c:v>186421006</c:v>
                </c:pt>
                <c:pt idx="3641">
                  <c:v>186305001</c:v>
                </c:pt>
                <c:pt idx="3642">
                  <c:v>186547861</c:v>
                </c:pt>
                <c:pt idx="3643">
                  <c:v>178649134</c:v>
                </c:pt>
                <c:pt idx="3644">
                  <c:v>186265643</c:v>
                </c:pt>
                <c:pt idx="3645">
                  <c:v>186173978</c:v>
                </c:pt>
                <c:pt idx="3646">
                  <c:v>185703990</c:v>
                </c:pt>
                <c:pt idx="3647">
                  <c:v>185373532</c:v>
                </c:pt>
                <c:pt idx="3648">
                  <c:v>185586128</c:v>
                </c:pt>
                <c:pt idx="3649">
                  <c:v>186497451</c:v>
                </c:pt>
                <c:pt idx="3650">
                  <c:v>172332082</c:v>
                </c:pt>
                <c:pt idx="3651">
                  <c:v>185551060</c:v>
                </c:pt>
                <c:pt idx="3652">
                  <c:v>175212098</c:v>
                </c:pt>
                <c:pt idx="3653">
                  <c:v>185338595</c:v>
                </c:pt>
                <c:pt idx="3654">
                  <c:v>157894639</c:v>
                </c:pt>
                <c:pt idx="3655">
                  <c:v>186547861</c:v>
                </c:pt>
                <c:pt idx="3656">
                  <c:v>186538712</c:v>
                </c:pt>
                <c:pt idx="3657">
                  <c:v>186544333</c:v>
                </c:pt>
                <c:pt idx="3658">
                  <c:v>186346099</c:v>
                </c:pt>
                <c:pt idx="3659">
                  <c:v>162738695</c:v>
                </c:pt>
                <c:pt idx="3660">
                  <c:v>177245912</c:v>
                </c:pt>
                <c:pt idx="3661">
                  <c:v>154844325</c:v>
                </c:pt>
                <c:pt idx="3662">
                  <c:v>186061231</c:v>
                </c:pt>
                <c:pt idx="3663">
                  <c:v>177783414</c:v>
                </c:pt>
                <c:pt idx="3664">
                  <c:v>186092544</c:v>
                </c:pt>
                <c:pt idx="3665">
                  <c:v>184527056</c:v>
                </c:pt>
                <c:pt idx="3666">
                  <c:v>160342430</c:v>
                </c:pt>
                <c:pt idx="3667">
                  <c:v>186492897</c:v>
                </c:pt>
                <c:pt idx="3668">
                  <c:v>178508577</c:v>
                </c:pt>
                <c:pt idx="3669">
                  <c:v>170360861</c:v>
                </c:pt>
                <c:pt idx="3670">
                  <c:v>171895204</c:v>
                </c:pt>
                <c:pt idx="3671">
                  <c:v>186346099</c:v>
                </c:pt>
                <c:pt idx="3672">
                  <c:v>186503016</c:v>
                </c:pt>
                <c:pt idx="3673">
                  <c:v>186496149</c:v>
                </c:pt>
                <c:pt idx="3674">
                  <c:v>175413048</c:v>
                </c:pt>
                <c:pt idx="3675">
                  <c:v>186454629</c:v>
                </c:pt>
                <c:pt idx="3676">
                  <c:v>186547861</c:v>
                </c:pt>
                <c:pt idx="3677">
                  <c:v>185898270</c:v>
                </c:pt>
                <c:pt idx="3678">
                  <c:v>177470974</c:v>
                </c:pt>
                <c:pt idx="3679">
                  <c:v>185545135</c:v>
                </c:pt>
                <c:pt idx="3680">
                  <c:v>186517952</c:v>
                </c:pt>
                <c:pt idx="3681">
                  <c:v>183468790</c:v>
                </c:pt>
                <c:pt idx="3682">
                  <c:v>181718422</c:v>
                </c:pt>
                <c:pt idx="3683">
                  <c:v>186272680</c:v>
                </c:pt>
                <c:pt idx="3684">
                  <c:v>186438857</c:v>
                </c:pt>
                <c:pt idx="3685">
                  <c:v>185996757</c:v>
                </c:pt>
                <c:pt idx="3686">
                  <c:v>186457620</c:v>
                </c:pt>
                <c:pt idx="3687">
                  <c:v>180067447</c:v>
                </c:pt>
                <c:pt idx="3688">
                  <c:v>186547483</c:v>
                </c:pt>
                <c:pt idx="3689">
                  <c:v>172907206</c:v>
                </c:pt>
                <c:pt idx="3690">
                  <c:v>186440882</c:v>
                </c:pt>
                <c:pt idx="3691">
                  <c:v>182975918</c:v>
                </c:pt>
                <c:pt idx="3692">
                  <c:v>181371952</c:v>
                </c:pt>
                <c:pt idx="3693">
                  <c:v>185198957</c:v>
                </c:pt>
                <c:pt idx="3694">
                  <c:v>177648980</c:v>
                </c:pt>
                <c:pt idx="3695">
                  <c:v>186482895</c:v>
                </c:pt>
                <c:pt idx="3696">
                  <c:v>185394931</c:v>
                </c:pt>
                <c:pt idx="3697">
                  <c:v>186492897</c:v>
                </c:pt>
                <c:pt idx="3698">
                  <c:v>186322273</c:v>
                </c:pt>
                <c:pt idx="3699">
                  <c:v>176658153</c:v>
                </c:pt>
                <c:pt idx="3700">
                  <c:v>186318007</c:v>
                </c:pt>
                <c:pt idx="3701">
                  <c:v>186547861</c:v>
                </c:pt>
                <c:pt idx="3702">
                  <c:v>175984031</c:v>
                </c:pt>
                <c:pt idx="3703">
                  <c:v>186019328</c:v>
                </c:pt>
                <c:pt idx="3704">
                  <c:v>186497451</c:v>
                </c:pt>
                <c:pt idx="3705">
                  <c:v>156219776</c:v>
                </c:pt>
                <c:pt idx="3706">
                  <c:v>185318469</c:v>
                </c:pt>
                <c:pt idx="3707">
                  <c:v>185384306</c:v>
                </c:pt>
                <c:pt idx="3708">
                  <c:v>184359851</c:v>
                </c:pt>
                <c:pt idx="3709">
                  <c:v>185435050</c:v>
                </c:pt>
                <c:pt idx="3710">
                  <c:v>173317558</c:v>
                </c:pt>
                <c:pt idx="3711">
                  <c:v>181693871</c:v>
                </c:pt>
                <c:pt idx="3712">
                  <c:v>183559163</c:v>
                </c:pt>
                <c:pt idx="3713">
                  <c:v>155258173</c:v>
                </c:pt>
                <c:pt idx="3714">
                  <c:v>186547861</c:v>
                </c:pt>
                <c:pt idx="3715">
                  <c:v>175071913</c:v>
                </c:pt>
                <c:pt idx="3716">
                  <c:v>170617613</c:v>
                </c:pt>
                <c:pt idx="3717">
                  <c:v>186547861</c:v>
                </c:pt>
                <c:pt idx="3718">
                  <c:v>176760000</c:v>
                </c:pt>
                <c:pt idx="3719">
                  <c:v>185938879</c:v>
                </c:pt>
                <c:pt idx="3720">
                  <c:v>181277820</c:v>
                </c:pt>
                <c:pt idx="3721">
                  <c:v>186408626</c:v>
                </c:pt>
                <c:pt idx="3722">
                  <c:v>155975969</c:v>
                </c:pt>
                <c:pt idx="3723">
                  <c:v>183822978</c:v>
                </c:pt>
                <c:pt idx="3724">
                  <c:v>186374368</c:v>
                </c:pt>
                <c:pt idx="3725">
                  <c:v>162084341</c:v>
                </c:pt>
                <c:pt idx="3726">
                  <c:v>176160715</c:v>
                </c:pt>
                <c:pt idx="3727">
                  <c:v>182796975</c:v>
                </c:pt>
                <c:pt idx="3728">
                  <c:v>171333152</c:v>
                </c:pt>
                <c:pt idx="3729">
                  <c:v>186536943</c:v>
                </c:pt>
                <c:pt idx="3730">
                  <c:v>185718037</c:v>
                </c:pt>
                <c:pt idx="3731">
                  <c:v>181277820</c:v>
                </c:pt>
                <c:pt idx="3732">
                  <c:v>186444882</c:v>
                </c:pt>
                <c:pt idx="3733">
                  <c:v>185414023</c:v>
                </c:pt>
                <c:pt idx="3734">
                  <c:v>167197006</c:v>
                </c:pt>
                <c:pt idx="3735">
                  <c:v>184305371</c:v>
                </c:pt>
                <c:pt idx="3736">
                  <c:v>184916158</c:v>
                </c:pt>
                <c:pt idx="3737">
                  <c:v>186257682</c:v>
                </c:pt>
                <c:pt idx="3738">
                  <c:v>183367348</c:v>
                </c:pt>
                <c:pt idx="3739">
                  <c:v>186003417</c:v>
                </c:pt>
                <c:pt idx="3740">
                  <c:v>186399352</c:v>
                </c:pt>
                <c:pt idx="3741">
                  <c:v>184795087</c:v>
                </c:pt>
                <c:pt idx="3742">
                  <c:v>186535298</c:v>
                </c:pt>
                <c:pt idx="3743">
                  <c:v>169509450</c:v>
                </c:pt>
                <c:pt idx="3744">
                  <c:v>184359851</c:v>
                </c:pt>
                <c:pt idx="3745">
                  <c:v>186486827</c:v>
                </c:pt>
                <c:pt idx="3746">
                  <c:v>180938988</c:v>
                </c:pt>
                <c:pt idx="3747">
                  <c:v>179448605</c:v>
                </c:pt>
                <c:pt idx="3748">
                  <c:v>186399352</c:v>
                </c:pt>
                <c:pt idx="3749">
                  <c:v>186473300</c:v>
                </c:pt>
                <c:pt idx="3750">
                  <c:v>180626249</c:v>
                </c:pt>
                <c:pt idx="3751">
                  <c:v>167135566</c:v>
                </c:pt>
                <c:pt idx="3752">
                  <c:v>185562800</c:v>
                </c:pt>
                <c:pt idx="3753">
                  <c:v>178385385</c:v>
                </c:pt>
                <c:pt idx="3754">
                  <c:v>184722737</c:v>
                </c:pt>
                <c:pt idx="3755">
                  <c:v>186256080</c:v>
                </c:pt>
                <c:pt idx="3756">
                  <c:v>186145961</c:v>
                </c:pt>
                <c:pt idx="3757">
                  <c:v>176393567</c:v>
                </c:pt>
                <c:pt idx="3758">
                  <c:v>186527580</c:v>
                </c:pt>
                <c:pt idx="3759">
                  <c:v>173870436</c:v>
                </c:pt>
                <c:pt idx="3760">
                  <c:v>172951754</c:v>
                </c:pt>
                <c:pt idx="3761">
                  <c:v>184413337</c:v>
                </c:pt>
                <c:pt idx="3762">
                  <c:v>154996325</c:v>
                </c:pt>
                <c:pt idx="3763">
                  <c:v>183656170</c:v>
                </c:pt>
                <c:pt idx="3764">
                  <c:v>186517952</c:v>
                </c:pt>
                <c:pt idx="3765">
                  <c:v>179524365</c:v>
                </c:pt>
                <c:pt idx="3766">
                  <c:v>186444882</c:v>
                </c:pt>
                <c:pt idx="3767">
                  <c:v>180012295</c:v>
                </c:pt>
                <c:pt idx="3768">
                  <c:v>184873062</c:v>
                </c:pt>
                <c:pt idx="3769">
                  <c:v>177245912</c:v>
                </c:pt>
                <c:pt idx="3770">
                  <c:v>181030428</c:v>
                </c:pt>
                <c:pt idx="3771">
                  <c:v>186533802</c:v>
                </c:pt>
                <c:pt idx="3772">
                  <c:v>177648980</c:v>
                </c:pt>
                <c:pt idx="3773">
                  <c:v>183308991</c:v>
                </c:pt>
                <c:pt idx="3774">
                  <c:v>186158143</c:v>
                </c:pt>
                <c:pt idx="3775">
                  <c:v>186334804</c:v>
                </c:pt>
                <c:pt idx="3776">
                  <c:v>175033465</c:v>
                </c:pt>
                <c:pt idx="3777">
                  <c:v>182720400</c:v>
                </c:pt>
                <c:pt idx="3778">
                  <c:v>186547861</c:v>
                </c:pt>
                <c:pt idx="3779">
                  <c:v>171592386</c:v>
                </c:pt>
                <c:pt idx="3780">
                  <c:v>162211905</c:v>
                </c:pt>
                <c:pt idx="3781">
                  <c:v>184514256</c:v>
                </c:pt>
                <c:pt idx="3782">
                  <c:v>186273454</c:v>
                </c:pt>
                <c:pt idx="3783">
                  <c:v>186411659</c:v>
                </c:pt>
                <c:pt idx="3784">
                  <c:v>186547861</c:v>
                </c:pt>
                <c:pt idx="3785">
                  <c:v>183048530</c:v>
                </c:pt>
                <c:pt idx="3786">
                  <c:v>186547861</c:v>
                </c:pt>
                <c:pt idx="3787">
                  <c:v>186206579</c:v>
                </c:pt>
                <c:pt idx="3788">
                  <c:v>186505641</c:v>
                </c:pt>
                <c:pt idx="3789">
                  <c:v>186113260</c:v>
                </c:pt>
                <c:pt idx="3790">
                  <c:v>186440882</c:v>
                </c:pt>
                <c:pt idx="3791">
                  <c:v>183185375</c:v>
                </c:pt>
                <c:pt idx="3792">
                  <c:v>175250006</c:v>
                </c:pt>
                <c:pt idx="3793">
                  <c:v>186312976</c:v>
                </c:pt>
                <c:pt idx="3794">
                  <c:v>184140041</c:v>
                </c:pt>
                <c:pt idx="3795">
                  <c:v>159057302</c:v>
                </c:pt>
                <c:pt idx="3796">
                  <c:v>186512097</c:v>
                </c:pt>
                <c:pt idx="3797">
                  <c:v>156798177</c:v>
                </c:pt>
                <c:pt idx="3798">
                  <c:v>172192415</c:v>
                </c:pt>
                <c:pt idx="3799">
                  <c:v>184376723</c:v>
                </c:pt>
                <c:pt idx="3800">
                  <c:v>175840377</c:v>
                </c:pt>
                <c:pt idx="3801">
                  <c:v>186547301</c:v>
                </c:pt>
                <c:pt idx="3802">
                  <c:v>185597631</c:v>
                </c:pt>
                <c:pt idx="3803">
                  <c:v>176428259</c:v>
                </c:pt>
                <c:pt idx="3804">
                  <c:v>186271130</c:v>
                </c:pt>
                <c:pt idx="3805">
                  <c:v>173172256</c:v>
                </c:pt>
                <c:pt idx="3806">
                  <c:v>180744113</c:v>
                </c:pt>
                <c:pt idx="3807">
                  <c:v>186547861</c:v>
                </c:pt>
                <c:pt idx="3808">
                  <c:v>186546996</c:v>
                </c:pt>
                <c:pt idx="3809">
                  <c:v>166128986</c:v>
                </c:pt>
                <c:pt idx="3810">
                  <c:v>157353040</c:v>
                </c:pt>
                <c:pt idx="3811">
                  <c:v>160829350</c:v>
                </c:pt>
                <c:pt idx="3812">
                  <c:v>186079438</c:v>
                </c:pt>
                <c:pt idx="3813">
                  <c:v>182516121</c:v>
                </c:pt>
                <c:pt idx="3814">
                  <c:v>186094880</c:v>
                </c:pt>
                <c:pt idx="3815">
                  <c:v>185883471</c:v>
                </c:pt>
                <c:pt idx="3816">
                  <c:v>183468790</c:v>
                </c:pt>
                <c:pt idx="3817">
                  <c:v>165210049</c:v>
                </c:pt>
                <c:pt idx="3818">
                  <c:v>186325089</c:v>
                </c:pt>
                <c:pt idx="3819">
                  <c:v>184803619</c:v>
                </c:pt>
                <c:pt idx="3820">
                  <c:v>177742202</c:v>
                </c:pt>
                <c:pt idx="3821">
                  <c:v>179406223</c:v>
                </c:pt>
                <c:pt idx="3822">
                  <c:v>180246691</c:v>
                </c:pt>
                <c:pt idx="3823">
                  <c:v>170617613</c:v>
                </c:pt>
                <c:pt idx="3824">
                  <c:v>185969593</c:v>
                </c:pt>
                <c:pt idx="3825">
                  <c:v>158454634</c:v>
                </c:pt>
                <c:pt idx="3826">
                  <c:v>179876921</c:v>
                </c:pt>
                <c:pt idx="3827">
                  <c:v>176439819</c:v>
                </c:pt>
                <c:pt idx="3828">
                  <c:v>167135566</c:v>
                </c:pt>
                <c:pt idx="3829">
                  <c:v>186235336</c:v>
                </c:pt>
                <c:pt idx="3830">
                  <c:v>173418358</c:v>
                </c:pt>
                <c:pt idx="3831">
                  <c:v>168881811</c:v>
                </c:pt>
                <c:pt idx="3832">
                  <c:v>186547861</c:v>
                </c:pt>
                <c:pt idx="3833">
                  <c:v>186290258</c:v>
                </c:pt>
                <c:pt idx="3834">
                  <c:v>178035601</c:v>
                </c:pt>
                <c:pt idx="3835">
                  <c:v>186547861</c:v>
                </c:pt>
                <c:pt idx="3836">
                  <c:v>184305371</c:v>
                </c:pt>
                <c:pt idx="3837">
                  <c:v>184963466</c:v>
                </c:pt>
                <c:pt idx="3838">
                  <c:v>182990510</c:v>
                </c:pt>
                <c:pt idx="3839">
                  <c:v>184963466</c:v>
                </c:pt>
                <c:pt idx="3840">
                  <c:v>186547861</c:v>
                </c:pt>
                <c:pt idx="3841">
                  <c:v>184239343</c:v>
                </c:pt>
                <c:pt idx="3842">
                  <c:v>156596921</c:v>
                </c:pt>
                <c:pt idx="3843">
                  <c:v>159057302</c:v>
                </c:pt>
                <c:pt idx="3844">
                  <c:v>186525866</c:v>
                </c:pt>
                <c:pt idx="3845">
                  <c:v>164488143</c:v>
                </c:pt>
                <c:pt idx="3846">
                  <c:v>185360536</c:v>
                </c:pt>
                <c:pt idx="3847">
                  <c:v>178299320</c:v>
                </c:pt>
                <c:pt idx="3848">
                  <c:v>186235336</c:v>
                </c:pt>
                <c:pt idx="3849">
                  <c:v>173113756</c:v>
                </c:pt>
                <c:pt idx="3850">
                  <c:v>180917621</c:v>
                </c:pt>
                <c:pt idx="3851">
                  <c:v>176578082</c:v>
                </c:pt>
                <c:pt idx="3852">
                  <c:v>186530920</c:v>
                </c:pt>
                <c:pt idx="3853">
                  <c:v>182946522</c:v>
                </c:pt>
                <c:pt idx="3854">
                  <c:v>186430642</c:v>
                </c:pt>
                <c:pt idx="3855">
                  <c:v>164350227</c:v>
                </c:pt>
                <c:pt idx="3856">
                  <c:v>185832729</c:v>
                </c:pt>
                <c:pt idx="3857">
                  <c:v>185088014</c:v>
                </c:pt>
                <c:pt idx="3858">
                  <c:v>184329315</c:v>
                </c:pt>
                <c:pt idx="3859">
                  <c:v>179788102</c:v>
                </c:pt>
                <c:pt idx="3860">
                  <c:v>160067458</c:v>
                </c:pt>
                <c:pt idx="3861">
                  <c:v>186538002</c:v>
                </c:pt>
                <c:pt idx="3862">
                  <c:v>184626973</c:v>
                </c:pt>
                <c:pt idx="3863">
                  <c:v>166764025</c:v>
                </c:pt>
                <c:pt idx="3864">
                  <c:v>183009950</c:v>
                </c:pt>
                <c:pt idx="3865">
                  <c:v>170566712</c:v>
                </c:pt>
                <c:pt idx="3866">
                  <c:v>186176894</c:v>
                </c:pt>
                <c:pt idx="3867">
                  <c:v>185443402</c:v>
                </c:pt>
                <c:pt idx="3868">
                  <c:v>186483507</c:v>
                </c:pt>
                <c:pt idx="3869">
                  <c:v>186543478</c:v>
                </c:pt>
                <c:pt idx="3870">
                  <c:v>165782570</c:v>
                </c:pt>
                <c:pt idx="3871">
                  <c:v>186235336</c:v>
                </c:pt>
                <c:pt idx="3872">
                  <c:v>185492863</c:v>
                </c:pt>
                <c:pt idx="3873">
                  <c:v>185443402</c:v>
                </c:pt>
                <c:pt idx="3874">
                  <c:v>186145961</c:v>
                </c:pt>
                <c:pt idx="3875">
                  <c:v>186404530</c:v>
                </c:pt>
                <c:pt idx="3876">
                  <c:v>186385261</c:v>
                </c:pt>
                <c:pt idx="3877">
                  <c:v>185541175</c:v>
                </c:pt>
                <c:pt idx="3878">
                  <c:v>164187987</c:v>
                </c:pt>
                <c:pt idx="3879">
                  <c:v>177885289</c:v>
                </c:pt>
                <c:pt idx="3880">
                  <c:v>186486827</c:v>
                </c:pt>
                <c:pt idx="3881">
                  <c:v>186541810</c:v>
                </c:pt>
                <c:pt idx="3882">
                  <c:v>183185375</c:v>
                </c:pt>
                <c:pt idx="3883">
                  <c:v>186127811</c:v>
                </c:pt>
                <c:pt idx="3884">
                  <c:v>183877992</c:v>
                </c:pt>
                <c:pt idx="3885">
                  <c:v>185102873</c:v>
                </c:pt>
                <c:pt idx="3886">
                  <c:v>184096821</c:v>
                </c:pt>
                <c:pt idx="3887">
                  <c:v>172052197</c:v>
                </c:pt>
                <c:pt idx="3888">
                  <c:v>186225045</c:v>
                </c:pt>
                <c:pt idx="3889">
                  <c:v>182867535</c:v>
                </c:pt>
                <c:pt idx="3890">
                  <c:v>175511990</c:v>
                </c:pt>
                <c:pt idx="3891">
                  <c:v>185951547</c:v>
                </c:pt>
                <c:pt idx="3892">
                  <c:v>159381571</c:v>
                </c:pt>
                <c:pt idx="3893">
                  <c:v>186542188</c:v>
                </c:pt>
                <c:pt idx="3894">
                  <c:v>174173105</c:v>
                </c:pt>
                <c:pt idx="3895">
                  <c:v>181223492</c:v>
                </c:pt>
                <c:pt idx="3896">
                  <c:v>175597882</c:v>
                </c:pt>
                <c:pt idx="3897">
                  <c:v>181718422</c:v>
                </c:pt>
                <c:pt idx="3898">
                  <c:v>174523294</c:v>
                </c:pt>
                <c:pt idx="3899">
                  <c:v>185275305</c:v>
                </c:pt>
                <c:pt idx="3900">
                  <c:v>172192415</c:v>
                </c:pt>
                <c:pt idx="3901">
                  <c:v>186497451</c:v>
                </c:pt>
                <c:pt idx="3902">
                  <c:v>165120949</c:v>
                </c:pt>
                <c:pt idx="3903">
                  <c:v>178878413</c:v>
                </c:pt>
                <c:pt idx="3904">
                  <c:v>177407092</c:v>
                </c:pt>
                <c:pt idx="3905">
                  <c:v>186361902</c:v>
                </c:pt>
                <c:pt idx="3906">
                  <c:v>186547861</c:v>
                </c:pt>
                <c:pt idx="3907">
                  <c:v>185959947</c:v>
                </c:pt>
                <c:pt idx="3908">
                  <c:v>184456190</c:v>
                </c:pt>
                <c:pt idx="3909">
                  <c:v>184281179</c:v>
                </c:pt>
                <c:pt idx="3910">
                  <c:v>183367348</c:v>
                </c:pt>
                <c:pt idx="3911">
                  <c:v>182946522</c:v>
                </c:pt>
                <c:pt idx="3912">
                  <c:v>184056526</c:v>
                </c:pt>
                <c:pt idx="3913">
                  <c:v>180407949</c:v>
                </c:pt>
                <c:pt idx="3914">
                  <c:v>185765499</c:v>
                </c:pt>
                <c:pt idx="3915">
                  <c:v>171752413</c:v>
                </c:pt>
                <c:pt idx="3916">
                  <c:v>184937374</c:v>
                </c:pt>
                <c:pt idx="3917">
                  <c:v>185983257</c:v>
                </c:pt>
                <c:pt idx="3918">
                  <c:v>170718947</c:v>
                </c:pt>
                <c:pt idx="3919">
                  <c:v>186534282</c:v>
                </c:pt>
                <c:pt idx="3920">
                  <c:v>174774661</c:v>
                </c:pt>
                <c:pt idx="3921">
                  <c:v>181016478</c:v>
                </c:pt>
                <c:pt idx="3922">
                  <c:v>156930640</c:v>
                </c:pt>
                <c:pt idx="3923">
                  <c:v>181706183</c:v>
                </c:pt>
                <c:pt idx="3924">
                  <c:v>155799685</c:v>
                </c:pt>
                <c:pt idx="3925">
                  <c:v>170204437</c:v>
                </c:pt>
                <c:pt idx="3926">
                  <c:v>181947420</c:v>
                </c:pt>
                <c:pt idx="3927">
                  <c:v>186371437</c:v>
                </c:pt>
                <c:pt idx="3928">
                  <c:v>184329315</c:v>
                </c:pt>
                <c:pt idx="3929">
                  <c:v>186425250</c:v>
                </c:pt>
                <c:pt idx="3930">
                  <c:v>186413159</c:v>
                </c:pt>
                <c:pt idx="3931">
                  <c:v>186533802</c:v>
                </c:pt>
                <c:pt idx="3932">
                  <c:v>186546308</c:v>
                </c:pt>
                <c:pt idx="3933">
                  <c:v>182817227</c:v>
                </c:pt>
                <c:pt idx="3934">
                  <c:v>186546564</c:v>
                </c:pt>
                <c:pt idx="3935">
                  <c:v>186247913</c:v>
                </c:pt>
                <c:pt idx="3936">
                  <c:v>176994582</c:v>
                </c:pt>
                <c:pt idx="3937">
                  <c:v>165343282</c:v>
                </c:pt>
                <c:pt idx="3938">
                  <c:v>186121143</c:v>
                </c:pt>
                <c:pt idx="3939">
                  <c:v>184963466</c:v>
                </c:pt>
                <c:pt idx="3940">
                  <c:v>185112669</c:v>
                </c:pt>
                <c:pt idx="3941">
                  <c:v>183981858</c:v>
                </c:pt>
                <c:pt idx="3942">
                  <c:v>180012295</c:v>
                </c:pt>
                <c:pt idx="3943">
                  <c:v>170617613</c:v>
                </c:pt>
                <c:pt idx="3944">
                  <c:v>164964273</c:v>
                </c:pt>
                <c:pt idx="3945">
                  <c:v>186535118</c:v>
                </c:pt>
                <c:pt idx="3946">
                  <c:v>185068046</c:v>
                </c:pt>
                <c:pt idx="3947">
                  <c:v>185745450</c:v>
                </c:pt>
                <c:pt idx="3948">
                  <c:v>181574471</c:v>
                </c:pt>
                <c:pt idx="3949">
                  <c:v>186285726</c:v>
                </c:pt>
                <c:pt idx="3950">
                  <c:v>171300616</c:v>
                </c:pt>
                <c:pt idx="3951">
                  <c:v>182098979</c:v>
                </c:pt>
                <c:pt idx="3952">
                  <c:v>182133569</c:v>
                </c:pt>
                <c:pt idx="3953">
                  <c:v>174077483</c:v>
                </c:pt>
                <c:pt idx="3954">
                  <c:v>177690452</c:v>
                </c:pt>
                <c:pt idx="3955">
                  <c:v>167135566</c:v>
                </c:pt>
                <c:pt idx="3956">
                  <c:v>185443402</c:v>
                </c:pt>
                <c:pt idx="3957">
                  <c:v>162887012</c:v>
                </c:pt>
                <c:pt idx="3958">
                  <c:v>178347238</c:v>
                </c:pt>
                <c:pt idx="3959">
                  <c:v>158637905</c:v>
                </c:pt>
                <c:pt idx="3960">
                  <c:v>183048530</c:v>
                </c:pt>
                <c:pt idx="3961">
                  <c:v>178941127</c:v>
                </c:pt>
                <c:pt idx="3962">
                  <c:v>173461453</c:v>
                </c:pt>
                <c:pt idx="3963">
                  <c:v>165120949</c:v>
                </c:pt>
                <c:pt idx="3964">
                  <c:v>185119965</c:v>
                </c:pt>
                <c:pt idx="3965">
                  <c:v>186547579</c:v>
                </c:pt>
                <c:pt idx="3966">
                  <c:v>186451961</c:v>
                </c:pt>
                <c:pt idx="3967">
                  <c:v>186547070</c:v>
                </c:pt>
                <c:pt idx="3968">
                  <c:v>177191776</c:v>
                </c:pt>
                <c:pt idx="3969">
                  <c:v>178787496</c:v>
                </c:pt>
                <c:pt idx="3970">
                  <c:v>176793759</c:v>
                </c:pt>
                <c:pt idx="3971">
                  <c:v>185068046</c:v>
                </c:pt>
                <c:pt idx="3972">
                  <c:v>177523621</c:v>
                </c:pt>
                <c:pt idx="3973">
                  <c:v>183762934</c:v>
                </c:pt>
                <c:pt idx="3974">
                  <c:v>181887858</c:v>
                </c:pt>
                <c:pt idx="3975">
                  <c:v>174904603</c:v>
                </c:pt>
                <c:pt idx="3976">
                  <c:v>177955695</c:v>
                </c:pt>
                <c:pt idx="3977">
                  <c:v>186543478</c:v>
                </c:pt>
                <c:pt idx="3978">
                  <c:v>183913006</c:v>
                </c:pt>
                <c:pt idx="3979">
                  <c:v>172966555</c:v>
                </c:pt>
                <c:pt idx="3980">
                  <c:v>186113260</c:v>
                </c:pt>
                <c:pt idx="3981">
                  <c:v>186497451</c:v>
                </c:pt>
                <c:pt idx="3982">
                  <c:v>174523294</c:v>
                </c:pt>
                <c:pt idx="3983">
                  <c:v>176816259</c:v>
                </c:pt>
                <c:pt idx="3984">
                  <c:v>186418092</c:v>
                </c:pt>
                <c:pt idx="3985">
                  <c:v>186386371</c:v>
                </c:pt>
                <c:pt idx="3986">
                  <c:v>186332760</c:v>
                </c:pt>
                <c:pt idx="3987">
                  <c:v>185275305</c:v>
                </c:pt>
                <c:pt idx="3988">
                  <c:v>186355119</c:v>
                </c:pt>
                <c:pt idx="3989">
                  <c:v>154017534</c:v>
                </c:pt>
                <c:pt idx="3990">
                  <c:v>186539016</c:v>
                </c:pt>
                <c:pt idx="3991">
                  <c:v>161569013</c:v>
                </c:pt>
                <c:pt idx="3992">
                  <c:v>185443402</c:v>
                </c:pt>
                <c:pt idx="3993">
                  <c:v>180722217</c:v>
                </c:pt>
                <c:pt idx="3994">
                  <c:v>186547861</c:v>
                </c:pt>
                <c:pt idx="3995">
                  <c:v>185327469</c:v>
                </c:pt>
                <c:pt idx="3996">
                  <c:v>175670874</c:v>
                </c:pt>
                <c:pt idx="3997">
                  <c:v>181510092</c:v>
                </c:pt>
                <c:pt idx="3998">
                  <c:v>186547861</c:v>
                </c:pt>
                <c:pt idx="3999">
                  <c:v>186352563</c:v>
                </c:pt>
                <c:pt idx="4000">
                  <c:v>184848382</c:v>
                </c:pt>
                <c:pt idx="4001">
                  <c:v>171103530</c:v>
                </c:pt>
                <c:pt idx="4002">
                  <c:v>184926806</c:v>
                </c:pt>
                <c:pt idx="4003">
                  <c:v>186547861</c:v>
                </c:pt>
                <c:pt idx="4004">
                  <c:v>186547861</c:v>
                </c:pt>
                <c:pt idx="4005">
                  <c:v>180385044</c:v>
                </c:pt>
                <c:pt idx="4006">
                  <c:v>186547861</c:v>
                </c:pt>
                <c:pt idx="4007">
                  <c:v>142244201</c:v>
                </c:pt>
                <c:pt idx="4008">
                  <c:v>168312341</c:v>
                </c:pt>
                <c:pt idx="4009">
                  <c:v>182585043</c:v>
                </c:pt>
                <c:pt idx="4010">
                  <c:v>164625098</c:v>
                </c:pt>
                <c:pt idx="4011">
                  <c:v>153977406</c:v>
                </c:pt>
                <c:pt idx="4012">
                  <c:v>186547861</c:v>
                </c:pt>
                <c:pt idx="4013">
                  <c:v>186239564</c:v>
                </c:pt>
                <c:pt idx="4014">
                  <c:v>140143570</c:v>
                </c:pt>
                <c:pt idx="4015">
                  <c:v>175876374</c:v>
                </c:pt>
                <c:pt idx="4016">
                  <c:v>170291549</c:v>
                </c:pt>
                <c:pt idx="4017">
                  <c:v>154806245</c:v>
                </c:pt>
                <c:pt idx="4018">
                  <c:v>186547861</c:v>
                </c:pt>
                <c:pt idx="4019">
                  <c:v>186547861</c:v>
                </c:pt>
                <c:pt idx="4020">
                  <c:v>148101941</c:v>
                </c:pt>
                <c:pt idx="4021">
                  <c:v>154297534</c:v>
                </c:pt>
                <c:pt idx="4022">
                  <c:v>185409799</c:v>
                </c:pt>
                <c:pt idx="4023">
                  <c:v>186167118</c:v>
                </c:pt>
                <c:pt idx="4024">
                  <c:v>153813315</c:v>
                </c:pt>
                <c:pt idx="4025">
                  <c:v>178375849</c:v>
                </c:pt>
                <c:pt idx="4026">
                  <c:v>185282202</c:v>
                </c:pt>
                <c:pt idx="4027">
                  <c:v>186469624</c:v>
                </c:pt>
                <c:pt idx="4028">
                  <c:v>186359477</c:v>
                </c:pt>
                <c:pt idx="4029">
                  <c:v>186547861</c:v>
                </c:pt>
                <c:pt idx="4030">
                  <c:v>176149024</c:v>
                </c:pt>
                <c:pt idx="4031">
                  <c:v>186141781</c:v>
                </c:pt>
                <c:pt idx="4032">
                  <c:v>158668229</c:v>
                </c:pt>
                <c:pt idx="4033">
                  <c:v>182040986</c:v>
                </c:pt>
                <c:pt idx="4034">
                  <c:v>151642901</c:v>
                </c:pt>
                <c:pt idx="4035">
                  <c:v>181277820</c:v>
                </c:pt>
                <c:pt idx="4036">
                  <c:v>142015975</c:v>
                </c:pt>
                <c:pt idx="4037">
                  <c:v>152211520</c:v>
                </c:pt>
                <c:pt idx="4038">
                  <c:v>186547861</c:v>
                </c:pt>
                <c:pt idx="4039">
                  <c:v>165453532</c:v>
                </c:pt>
                <c:pt idx="4040">
                  <c:v>160641150</c:v>
                </c:pt>
                <c:pt idx="4041">
                  <c:v>171989605</c:v>
                </c:pt>
                <c:pt idx="4042">
                  <c:v>153051693</c:v>
                </c:pt>
                <c:pt idx="4043">
                  <c:v>186365502</c:v>
                </c:pt>
                <c:pt idx="4044">
                  <c:v>166722319</c:v>
                </c:pt>
                <c:pt idx="4045">
                  <c:v>186243751</c:v>
                </c:pt>
                <c:pt idx="4046">
                  <c:v>175743737</c:v>
                </c:pt>
                <c:pt idx="4047">
                  <c:v>151701397</c:v>
                </c:pt>
                <c:pt idx="4048">
                  <c:v>159469131</c:v>
                </c:pt>
                <c:pt idx="4049">
                  <c:v>175275276</c:v>
                </c:pt>
                <c:pt idx="4050">
                  <c:v>186547861</c:v>
                </c:pt>
                <c:pt idx="4051">
                  <c:v>183787076</c:v>
                </c:pt>
                <c:pt idx="4052">
                  <c:v>186547861</c:v>
                </c:pt>
                <c:pt idx="4053">
                  <c:v>186547861</c:v>
                </c:pt>
                <c:pt idx="4054">
                  <c:v>180714881</c:v>
                </c:pt>
                <c:pt idx="4055">
                  <c:v>147534625</c:v>
                </c:pt>
                <c:pt idx="4056">
                  <c:v>186448050</c:v>
                </c:pt>
                <c:pt idx="4057">
                  <c:v>181593668</c:v>
                </c:pt>
                <c:pt idx="4058">
                  <c:v>142691384</c:v>
                </c:pt>
                <c:pt idx="4059">
                  <c:v>180988380</c:v>
                </c:pt>
                <c:pt idx="4060">
                  <c:v>183647809</c:v>
                </c:pt>
                <c:pt idx="4061">
                  <c:v>182569233</c:v>
                </c:pt>
                <c:pt idx="4062">
                  <c:v>184837308</c:v>
                </c:pt>
                <c:pt idx="4063">
                  <c:v>186344797</c:v>
                </c:pt>
                <c:pt idx="4064">
                  <c:v>186284200</c:v>
                </c:pt>
                <c:pt idx="4065">
                  <c:v>186532107</c:v>
                </c:pt>
                <c:pt idx="4066">
                  <c:v>153381993</c:v>
                </c:pt>
                <c:pt idx="4067">
                  <c:v>186547861</c:v>
                </c:pt>
                <c:pt idx="4068">
                  <c:v>144058878</c:v>
                </c:pt>
                <c:pt idx="4069">
                  <c:v>185488795</c:v>
                </c:pt>
                <c:pt idx="4070">
                  <c:v>186166127</c:v>
                </c:pt>
                <c:pt idx="4071">
                  <c:v>186210143</c:v>
                </c:pt>
                <c:pt idx="4072">
                  <c:v>151159989</c:v>
                </c:pt>
                <c:pt idx="4073">
                  <c:v>184806461</c:v>
                </c:pt>
                <c:pt idx="4074">
                  <c:v>171268000</c:v>
                </c:pt>
                <c:pt idx="4075">
                  <c:v>184498232</c:v>
                </c:pt>
                <c:pt idx="4076">
                  <c:v>186252836</c:v>
                </c:pt>
                <c:pt idx="4077">
                  <c:v>182052610</c:v>
                </c:pt>
                <c:pt idx="4078">
                  <c:v>164761512</c:v>
                </c:pt>
                <c:pt idx="4079">
                  <c:v>186490637</c:v>
                </c:pt>
                <c:pt idx="4080">
                  <c:v>173828613</c:v>
                </c:pt>
                <c:pt idx="4081">
                  <c:v>186317292</c:v>
                </c:pt>
                <c:pt idx="4082">
                  <c:v>186497451</c:v>
                </c:pt>
                <c:pt idx="4083">
                  <c:v>186547861</c:v>
                </c:pt>
                <c:pt idx="4084">
                  <c:v>161750570</c:v>
                </c:pt>
                <c:pt idx="4085">
                  <c:v>181911834</c:v>
                </c:pt>
                <c:pt idx="4086">
                  <c:v>181141254</c:v>
                </c:pt>
                <c:pt idx="4087">
                  <c:v>185846861</c:v>
                </c:pt>
                <c:pt idx="4088">
                  <c:v>186495886</c:v>
                </c:pt>
                <c:pt idx="4089">
                  <c:v>186547861</c:v>
                </c:pt>
                <c:pt idx="4090">
                  <c:v>155146725</c:v>
                </c:pt>
                <c:pt idx="4091">
                  <c:v>146779668</c:v>
                </c:pt>
                <c:pt idx="4092">
                  <c:v>186547861</c:v>
                </c:pt>
                <c:pt idx="4093">
                  <c:v>186547861</c:v>
                </c:pt>
                <c:pt idx="4094">
                  <c:v>183403028</c:v>
                </c:pt>
                <c:pt idx="4095">
                  <c:v>186547861</c:v>
                </c:pt>
                <c:pt idx="4096">
                  <c:v>186547861</c:v>
                </c:pt>
                <c:pt idx="4097">
                  <c:v>169197389</c:v>
                </c:pt>
                <c:pt idx="4098">
                  <c:v>160802539</c:v>
                </c:pt>
                <c:pt idx="4099">
                  <c:v>186547861</c:v>
                </c:pt>
                <c:pt idx="4100">
                  <c:v>146251483</c:v>
                </c:pt>
                <c:pt idx="4101">
                  <c:v>186547861</c:v>
                </c:pt>
                <c:pt idx="4102">
                  <c:v>186360696</c:v>
                </c:pt>
                <c:pt idx="4103">
                  <c:v>186547861</c:v>
                </c:pt>
                <c:pt idx="4104">
                  <c:v>169726762</c:v>
                </c:pt>
                <c:pt idx="4105">
                  <c:v>182230388</c:v>
                </c:pt>
                <c:pt idx="4106">
                  <c:v>161438948</c:v>
                </c:pt>
                <c:pt idx="4107">
                  <c:v>186539970</c:v>
                </c:pt>
                <c:pt idx="4108">
                  <c:v>186545950</c:v>
                </c:pt>
                <c:pt idx="4109">
                  <c:v>158020267</c:v>
                </c:pt>
                <c:pt idx="4110">
                  <c:v>167743232</c:v>
                </c:pt>
                <c:pt idx="4111">
                  <c:v>186414647</c:v>
                </c:pt>
                <c:pt idx="4112">
                  <c:v>170820067</c:v>
                </c:pt>
                <c:pt idx="4113">
                  <c:v>172727892</c:v>
                </c:pt>
                <c:pt idx="4114">
                  <c:v>186547861</c:v>
                </c:pt>
                <c:pt idx="4115">
                  <c:v>184071298</c:v>
                </c:pt>
                <c:pt idx="4116">
                  <c:v>152746599</c:v>
                </c:pt>
                <c:pt idx="4117">
                  <c:v>186299896</c:v>
                </c:pt>
                <c:pt idx="4118">
                  <c:v>165453532</c:v>
                </c:pt>
                <c:pt idx="4119">
                  <c:v>186332074</c:v>
                </c:pt>
                <c:pt idx="4120">
                  <c:v>182740927</c:v>
                </c:pt>
                <c:pt idx="4121">
                  <c:v>186401962</c:v>
                </c:pt>
                <c:pt idx="4122">
                  <c:v>186544585</c:v>
                </c:pt>
                <c:pt idx="4123">
                  <c:v>165299029</c:v>
                </c:pt>
                <c:pt idx="4124">
                  <c:v>161149446</c:v>
                </c:pt>
                <c:pt idx="4125">
                  <c:v>150846116</c:v>
                </c:pt>
                <c:pt idx="4126">
                  <c:v>177875177</c:v>
                </c:pt>
                <c:pt idx="4127">
                  <c:v>148863673</c:v>
                </c:pt>
                <c:pt idx="4128">
                  <c:v>161360321</c:v>
                </c:pt>
                <c:pt idx="4129">
                  <c:v>177783414</c:v>
                </c:pt>
                <c:pt idx="4130">
                  <c:v>143957003</c:v>
                </c:pt>
                <c:pt idx="4131">
                  <c:v>174695956</c:v>
                </c:pt>
                <c:pt idx="4132">
                  <c:v>186547861</c:v>
                </c:pt>
                <c:pt idx="4133">
                  <c:v>184074962</c:v>
                </c:pt>
                <c:pt idx="4134">
                  <c:v>172772988</c:v>
                </c:pt>
                <c:pt idx="4135">
                  <c:v>186397774</c:v>
                </c:pt>
                <c:pt idx="4136">
                  <c:v>186547861</c:v>
                </c:pt>
                <c:pt idx="4137">
                  <c:v>186547861</c:v>
                </c:pt>
                <c:pt idx="4138">
                  <c:v>186158143</c:v>
                </c:pt>
                <c:pt idx="4139">
                  <c:v>186540456</c:v>
                </c:pt>
                <c:pt idx="4140">
                  <c:v>160909702</c:v>
                </c:pt>
                <c:pt idx="4141">
                  <c:v>183656170</c:v>
                </c:pt>
                <c:pt idx="4142">
                  <c:v>164465247</c:v>
                </c:pt>
                <c:pt idx="4143">
                  <c:v>186428850</c:v>
                </c:pt>
                <c:pt idx="4144">
                  <c:v>178173272</c:v>
                </c:pt>
                <c:pt idx="4145">
                  <c:v>186538558</c:v>
                </c:pt>
                <c:pt idx="4146">
                  <c:v>184994570</c:v>
                </c:pt>
                <c:pt idx="4147">
                  <c:v>151524757</c:v>
                </c:pt>
                <c:pt idx="4148">
                  <c:v>151874342</c:v>
                </c:pt>
                <c:pt idx="4149">
                  <c:v>184189975</c:v>
                </c:pt>
                <c:pt idx="4150">
                  <c:v>186547861</c:v>
                </c:pt>
                <c:pt idx="4151">
                  <c:v>168975186</c:v>
                </c:pt>
                <c:pt idx="4152">
                  <c:v>177180922</c:v>
                </c:pt>
                <c:pt idx="4153">
                  <c:v>180145621</c:v>
                </c:pt>
                <c:pt idx="4154">
                  <c:v>167340268</c:v>
                </c:pt>
                <c:pt idx="4155">
                  <c:v>139775160</c:v>
                </c:pt>
                <c:pt idx="4156">
                  <c:v>186547861</c:v>
                </c:pt>
                <c:pt idx="4157">
                  <c:v>156185276</c:v>
                </c:pt>
                <c:pt idx="4158">
                  <c:v>180903271</c:v>
                </c:pt>
                <c:pt idx="4159">
                  <c:v>186547861</c:v>
                </c:pt>
                <c:pt idx="4160">
                  <c:v>186243751</c:v>
                </c:pt>
                <c:pt idx="4161">
                  <c:v>186264858</c:v>
                </c:pt>
                <c:pt idx="4162">
                  <c:v>184274239</c:v>
                </c:pt>
                <c:pt idx="4163">
                  <c:v>183550636</c:v>
                </c:pt>
                <c:pt idx="4164">
                  <c:v>186221576</c:v>
                </c:pt>
                <c:pt idx="4165">
                  <c:v>181009478</c:v>
                </c:pt>
                <c:pt idx="4166">
                  <c:v>173800659</c:v>
                </c:pt>
                <c:pt idx="4167">
                  <c:v>186195750</c:v>
                </c:pt>
                <c:pt idx="4168">
                  <c:v>186164143</c:v>
                </c:pt>
                <c:pt idx="4169">
                  <c:v>186516821</c:v>
                </c:pt>
                <c:pt idx="4170">
                  <c:v>185215364</c:v>
                </c:pt>
                <c:pt idx="4171">
                  <c:v>186402478</c:v>
                </c:pt>
                <c:pt idx="4172">
                  <c:v>159728589</c:v>
                </c:pt>
                <c:pt idx="4173">
                  <c:v>172788000</c:v>
                </c:pt>
                <c:pt idx="4174">
                  <c:v>184488578</c:v>
                </c:pt>
                <c:pt idx="4175">
                  <c:v>186373789</c:v>
                </c:pt>
                <c:pt idx="4176">
                  <c:v>140974241</c:v>
                </c:pt>
                <c:pt idx="4177">
                  <c:v>186547861</c:v>
                </c:pt>
                <c:pt idx="4178">
                  <c:v>186545113</c:v>
                </c:pt>
                <c:pt idx="4179">
                  <c:v>152266395</c:v>
                </c:pt>
                <c:pt idx="4180">
                  <c:v>183834882</c:v>
                </c:pt>
                <c:pt idx="4181">
                  <c:v>151283789</c:v>
                </c:pt>
                <c:pt idx="4182">
                  <c:v>186529639</c:v>
                </c:pt>
                <c:pt idx="4183">
                  <c:v>144160003</c:v>
                </c:pt>
                <c:pt idx="4184">
                  <c:v>169708778</c:v>
                </c:pt>
                <c:pt idx="4185">
                  <c:v>142469717</c:v>
                </c:pt>
                <c:pt idx="4186">
                  <c:v>181331848</c:v>
                </c:pt>
                <c:pt idx="4187">
                  <c:v>186547861</c:v>
                </c:pt>
                <c:pt idx="4188">
                  <c:v>162363389</c:v>
                </c:pt>
                <c:pt idx="4189">
                  <c:v>186211030</c:v>
                </c:pt>
                <c:pt idx="4190">
                  <c:v>154495834</c:v>
                </c:pt>
                <c:pt idx="4191">
                  <c:v>186547861</c:v>
                </c:pt>
                <c:pt idx="4192">
                  <c:v>176031426</c:v>
                </c:pt>
                <c:pt idx="4193">
                  <c:v>186547861</c:v>
                </c:pt>
                <c:pt idx="4194">
                  <c:v>186141781</c:v>
                </c:pt>
                <c:pt idx="4195">
                  <c:v>186547861</c:v>
                </c:pt>
                <c:pt idx="4196">
                  <c:v>186176894</c:v>
                </c:pt>
                <c:pt idx="4197">
                  <c:v>153195489</c:v>
                </c:pt>
                <c:pt idx="4198">
                  <c:v>184963466</c:v>
                </c:pt>
                <c:pt idx="4199">
                  <c:v>183389663</c:v>
                </c:pt>
                <c:pt idx="4200">
                  <c:v>186218078</c:v>
                </c:pt>
                <c:pt idx="4201">
                  <c:v>183331507</c:v>
                </c:pt>
                <c:pt idx="4202">
                  <c:v>186522695</c:v>
                </c:pt>
                <c:pt idx="4203">
                  <c:v>181839842</c:v>
                </c:pt>
                <c:pt idx="4204">
                  <c:v>145516641</c:v>
                </c:pt>
                <c:pt idx="4205">
                  <c:v>182145061</c:v>
                </c:pt>
                <c:pt idx="4206">
                  <c:v>181929683</c:v>
                </c:pt>
                <c:pt idx="4207">
                  <c:v>179964727</c:v>
                </c:pt>
                <c:pt idx="4208">
                  <c:v>186340195</c:v>
                </c:pt>
                <c:pt idx="4209">
                  <c:v>157288592</c:v>
                </c:pt>
                <c:pt idx="4210">
                  <c:v>186316576</c:v>
                </c:pt>
                <c:pt idx="4211">
                  <c:v>153937022</c:v>
                </c:pt>
                <c:pt idx="4212">
                  <c:v>159293839</c:v>
                </c:pt>
                <c:pt idx="4213">
                  <c:v>148714923</c:v>
                </c:pt>
                <c:pt idx="4214">
                  <c:v>185758875</c:v>
                </c:pt>
                <c:pt idx="4215">
                  <c:v>183499114</c:v>
                </c:pt>
                <c:pt idx="4216">
                  <c:v>160614078</c:v>
                </c:pt>
                <c:pt idx="4217">
                  <c:v>155294973</c:v>
                </c:pt>
                <c:pt idx="4218">
                  <c:v>170920691</c:v>
                </c:pt>
                <c:pt idx="4219">
                  <c:v>156322976</c:v>
                </c:pt>
                <c:pt idx="4220">
                  <c:v>155656703</c:v>
                </c:pt>
                <c:pt idx="4221">
                  <c:v>153470910</c:v>
                </c:pt>
                <c:pt idx="4222">
                  <c:v>172546528</c:v>
                </c:pt>
                <c:pt idx="4223">
                  <c:v>143018384</c:v>
                </c:pt>
                <c:pt idx="4224">
                  <c:v>180238931</c:v>
                </c:pt>
                <c:pt idx="4225">
                  <c:v>152429677</c:v>
                </c:pt>
                <c:pt idx="4226">
                  <c:v>186472644</c:v>
                </c:pt>
                <c:pt idx="4227">
                  <c:v>183584543</c:v>
                </c:pt>
                <c:pt idx="4228">
                  <c:v>145795950</c:v>
                </c:pt>
                <c:pt idx="4229">
                  <c:v>181712320</c:v>
                </c:pt>
                <c:pt idx="4230">
                  <c:v>186547861</c:v>
                </c:pt>
                <c:pt idx="4231">
                  <c:v>186318007</c:v>
                </c:pt>
                <c:pt idx="4232">
                  <c:v>184657338</c:v>
                </c:pt>
                <c:pt idx="4233">
                  <c:v>152953081</c:v>
                </c:pt>
                <c:pt idx="4234">
                  <c:v>182678928</c:v>
                </c:pt>
                <c:pt idx="4235">
                  <c:v>186547861</c:v>
                </c:pt>
                <c:pt idx="4236">
                  <c:v>151584213</c:v>
                </c:pt>
                <c:pt idx="4237">
                  <c:v>170853699</c:v>
                </c:pt>
                <c:pt idx="4238">
                  <c:v>163304292</c:v>
                </c:pt>
                <c:pt idx="4239">
                  <c:v>186547861</c:v>
                </c:pt>
                <c:pt idx="4240">
                  <c:v>147118598</c:v>
                </c:pt>
                <c:pt idx="4241">
                  <c:v>186212797</c:v>
                </c:pt>
                <c:pt idx="4242">
                  <c:v>186547861</c:v>
                </c:pt>
                <c:pt idx="4243">
                  <c:v>181839842</c:v>
                </c:pt>
                <c:pt idx="4244">
                  <c:v>182303241</c:v>
                </c:pt>
                <c:pt idx="4245">
                  <c:v>157320848</c:v>
                </c:pt>
                <c:pt idx="4246">
                  <c:v>186547861</c:v>
                </c:pt>
                <c:pt idx="4247">
                  <c:v>144460364</c:v>
                </c:pt>
                <c:pt idx="4248">
                  <c:v>183516338</c:v>
                </c:pt>
                <c:pt idx="4249">
                  <c:v>186404530</c:v>
                </c:pt>
                <c:pt idx="4250">
                  <c:v>186525866</c:v>
                </c:pt>
                <c:pt idx="4251">
                  <c:v>180137829</c:v>
                </c:pt>
                <c:pt idx="4252">
                  <c:v>155368109</c:v>
                </c:pt>
                <c:pt idx="4253">
                  <c:v>186547861</c:v>
                </c:pt>
                <c:pt idx="4254">
                  <c:v>186547861</c:v>
                </c:pt>
                <c:pt idx="4255">
                  <c:v>180603977</c:v>
                </c:pt>
                <c:pt idx="4256">
                  <c:v>181988506</c:v>
                </c:pt>
                <c:pt idx="4257">
                  <c:v>152850445</c:v>
                </c:pt>
                <c:pt idx="4258">
                  <c:v>154690933</c:v>
                </c:pt>
                <c:pt idx="4259">
                  <c:v>186293993</c:v>
                </c:pt>
                <c:pt idx="4260">
                  <c:v>161620997</c:v>
                </c:pt>
                <c:pt idx="4261">
                  <c:v>165541660</c:v>
                </c:pt>
                <c:pt idx="4262">
                  <c:v>142800634</c:v>
                </c:pt>
                <c:pt idx="4263">
                  <c:v>186454629</c:v>
                </c:pt>
                <c:pt idx="4264">
                  <c:v>186538002</c:v>
                </c:pt>
                <c:pt idx="4265">
                  <c:v>184067626</c:v>
                </c:pt>
                <c:pt idx="4266">
                  <c:v>186547861</c:v>
                </c:pt>
                <c:pt idx="4267">
                  <c:v>186051380</c:v>
                </c:pt>
                <c:pt idx="4268">
                  <c:v>145703075</c:v>
                </c:pt>
                <c:pt idx="4269">
                  <c:v>152798695</c:v>
                </c:pt>
                <c:pt idx="4270">
                  <c:v>181681516</c:v>
                </c:pt>
                <c:pt idx="4271">
                  <c:v>185696889</c:v>
                </c:pt>
                <c:pt idx="4272">
                  <c:v>178713824</c:v>
                </c:pt>
                <c:pt idx="4273">
                  <c:v>186158143</c:v>
                </c:pt>
                <c:pt idx="4274">
                  <c:v>186527987</c:v>
                </c:pt>
                <c:pt idx="4275">
                  <c:v>186547723</c:v>
                </c:pt>
                <c:pt idx="4276">
                  <c:v>181058292</c:v>
                </c:pt>
                <c:pt idx="4277">
                  <c:v>151097739</c:v>
                </c:pt>
                <c:pt idx="4278">
                  <c:v>177596956</c:v>
                </c:pt>
                <c:pt idx="4279">
                  <c:v>175743737</c:v>
                </c:pt>
                <c:pt idx="4280">
                  <c:v>162763527</c:v>
                </c:pt>
                <c:pt idx="4281">
                  <c:v>186547861</c:v>
                </c:pt>
                <c:pt idx="4282">
                  <c:v>186547861</c:v>
                </c:pt>
                <c:pt idx="4283">
                  <c:v>185786623</c:v>
                </c:pt>
                <c:pt idx="4284">
                  <c:v>140856991</c:v>
                </c:pt>
                <c:pt idx="4285">
                  <c:v>160882950</c:v>
                </c:pt>
                <c:pt idx="4286">
                  <c:v>186546024</c:v>
                </c:pt>
                <c:pt idx="4287">
                  <c:v>152045438</c:v>
                </c:pt>
                <c:pt idx="4288">
                  <c:v>183870184</c:v>
                </c:pt>
                <c:pt idx="4289">
                  <c:v>185709282</c:v>
                </c:pt>
                <c:pt idx="4290">
                  <c:v>186547861</c:v>
                </c:pt>
                <c:pt idx="4291">
                  <c:v>182319951</c:v>
                </c:pt>
                <c:pt idx="4292">
                  <c:v>186547861</c:v>
                </c:pt>
                <c:pt idx="4293">
                  <c:v>159205302</c:v>
                </c:pt>
                <c:pt idx="4294">
                  <c:v>186547861</c:v>
                </c:pt>
                <c:pt idx="4295">
                  <c:v>144758156</c:v>
                </c:pt>
                <c:pt idx="4296">
                  <c:v>186537273</c:v>
                </c:pt>
                <c:pt idx="4297">
                  <c:v>186547861</c:v>
                </c:pt>
                <c:pt idx="4298">
                  <c:v>176623982</c:v>
                </c:pt>
                <c:pt idx="4299">
                  <c:v>183959117</c:v>
                </c:pt>
                <c:pt idx="4300">
                  <c:v>186355756</c:v>
                </c:pt>
                <c:pt idx="4301">
                  <c:v>185889423</c:v>
                </c:pt>
                <c:pt idx="4302">
                  <c:v>172301082</c:v>
                </c:pt>
                <c:pt idx="4303">
                  <c:v>181536012</c:v>
                </c:pt>
                <c:pt idx="4304">
                  <c:v>183770998</c:v>
                </c:pt>
                <c:pt idx="4305">
                  <c:v>186284964</c:v>
                </c:pt>
                <c:pt idx="4306">
                  <c:v>182847481</c:v>
                </c:pt>
                <c:pt idx="4307">
                  <c:v>186547861</c:v>
                </c:pt>
                <c:pt idx="4308">
                  <c:v>184089551</c:v>
                </c:pt>
                <c:pt idx="4309">
                  <c:v>152693927</c:v>
                </c:pt>
                <c:pt idx="4310">
                  <c:v>186437165</c:v>
                </c:pt>
                <c:pt idx="4311">
                  <c:v>186547861</c:v>
                </c:pt>
                <c:pt idx="4312">
                  <c:v>149783473</c:v>
                </c:pt>
                <c:pt idx="4313">
                  <c:v>151464917</c:v>
                </c:pt>
                <c:pt idx="4314">
                  <c:v>186520996</c:v>
                </c:pt>
                <c:pt idx="4315">
                  <c:v>177159162</c:v>
                </c:pt>
                <c:pt idx="4316">
                  <c:v>150388544</c:v>
                </c:pt>
                <c:pt idx="4317">
                  <c:v>173113756</c:v>
                </c:pt>
                <c:pt idx="4318">
                  <c:v>180499287</c:v>
                </c:pt>
                <c:pt idx="4319">
                  <c:v>186547861</c:v>
                </c:pt>
                <c:pt idx="4320">
                  <c:v>186015381</c:v>
                </c:pt>
                <c:pt idx="4321">
                  <c:v>185464152</c:v>
                </c:pt>
                <c:pt idx="4322">
                  <c:v>186547861</c:v>
                </c:pt>
                <c:pt idx="4323">
                  <c:v>175743737</c:v>
                </c:pt>
                <c:pt idx="4324">
                  <c:v>180736817</c:v>
                </c:pt>
                <c:pt idx="4325">
                  <c:v>186391860</c:v>
                </c:pt>
                <c:pt idx="4326">
                  <c:v>182087415</c:v>
                </c:pt>
                <c:pt idx="4327">
                  <c:v>186547861</c:v>
                </c:pt>
                <c:pt idx="4328">
                  <c:v>163328676</c:v>
                </c:pt>
                <c:pt idx="4329">
                  <c:v>181656693</c:v>
                </c:pt>
                <c:pt idx="4330">
                  <c:v>144560364</c:v>
                </c:pt>
                <c:pt idx="4331">
                  <c:v>186528385</c:v>
                </c:pt>
                <c:pt idx="4332">
                  <c:v>185100416</c:v>
                </c:pt>
                <c:pt idx="4333">
                  <c:v>181141254</c:v>
                </c:pt>
                <c:pt idx="4334">
                  <c:v>186305001</c:v>
                </c:pt>
                <c:pt idx="4335">
                  <c:v>152482733</c:v>
                </c:pt>
                <c:pt idx="4336">
                  <c:v>147860178</c:v>
                </c:pt>
                <c:pt idx="4337">
                  <c:v>146517488</c:v>
                </c:pt>
                <c:pt idx="4338">
                  <c:v>155221173</c:v>
                </c:pt>
                <c:pt idx="4339">
                  <c:v>164164755</c:v>
                </c:pt>
                <c:pt idx="4340">
                  <c:v>186544018</c:v>
                </c:pt>
                <c:pt idx="4341">
                  <c:v>161904925</c:v>
                </c:pt>
                <c:pt idx="4342">
                  <c:v>186547861</c:v>
                </c:pt>
                <c:pt idx="4343">
                  <c:v>171268000</c:v>
                </c:pt>
                <c:pt idx="4344">
                  <c:v>167012428</c:v>
                </c:pt>
                <c:pt idx="4345">
                  <c:v>186532000</c:v>
                </c:pt>
                <c:pt idx="4346">
                  <c:v>158300473</c:v>
                </c:pt>
                <c:pt idx="4347">
                  <c:v>181155004</c:v>
                </c:pt>
                <c:pt idx="4348">
                  <c:v>169049615</c:v>
                </c:pt>
                <c:pt idx="4349">
                  <c:v>169400013</c:v>
                </c:pt>
                <c:pt idx="4350">
                  <c:v>149645723</c:v>
                </c:pt>
                <c:pt idx="4351">
                  <c:v>142909634</c:v>
                </c:pt>
                <c:pt idx="4352">
                  <c:v>186547861</c:v>
                </c:pt>
                <c:pt idx="4353">
                  <c:v>181405206</c:v>
                </c:pt>
                <c:pt idx="4354">
                  <c:v>174145865</c:v>
                </c:pt>
                <c:pt idx="4355">
                  <c:v>186490350</c:v>
                </c:pt>
                <c:pt idx="4356">
                  <c:v>186432406</c:v>
                </c:pt>
                <c:pt idx="4357">
                  <c:v>172788000</c:v>
                </c:pt>
                <c:pt idx="4358">
                  <c:v>163834972</c:v>
                </c:pt>
                <c:pt idx="4359">
                  <c:v>184015614</c:v>
                </c:pt>
                <c:pt idx="4360">
                  <c:v>186351283</c:v>
                </c:pt>
                <c:pt idx="4361">
                  <c:v>186294738</c:v>
                </c:pt>
                <c:pt idx="4362">
                  <c:v>153771715</c:v>
                </c:pt>
                <c:pt idx="4363">
                  <c:v>149645723</c:v>
                </c:pt>
                <c:pt idx="4364">
                  <c:v>180506847</c:v>
                </c:pt>
                <c:pt idx="4365">
                  <c:v>186547861</c:v>
                </c:pt>
                <c:pt idx="4366">
                  <c:v>183822978</c:v>
                </c:pt>
                <c:pt idx="4367">
                  <c:v>169031055</c:v>
                </c:pt>
                <c:pt idx="4368">
                  <c:v>150972596</c:v>
                </c:pt>
                <c:pt idx="4369">
                  <c:v>171879409</c:v>
                </c:pt>
                <c:pt idx="4370">
                  <c:v>186414647</c:v>
                </c:pt>
                <c:pt idx="4371">
                  <c:v>182058415</c:v>
                </c:pt>
                <c:pt idx="4372">
                  <c:v>161386619</c:v>
                </c:pt>
                <c:pt idx="4373">
                  <c:v>165321223</c:v>
                </c:pt>
                <c:pt idx="4374">
                  <c:v>180346794</c:v>
                </c:pt>
                <c:pt idx="4375">
                  <c:v>159642631</c:v>
                </c:pt>
                <c:pt idx="4376">
                  <c:v>186547861</c:v>
                </c:pt>
                <c:pt idx="4377">
                  <c:v>179557889</c:v>
                </c:pt>
                <c:pt idx="4378">
                  <c:v>186547861</c:v>
                </c:pt>
                <c:pt idx="4379">
                  <c:v>186184568</c:v>
                </c:pt>
                <c:pt idx="4380">
                  <c:v>186203889</c:v>
                </c:pt>
                <c:pt idx="4381">
                  <c:v>165977855</c:v>
                </c:pt>
                <c:pt idx="4382">
                  <c:v>186547861</c:v>
                </c:pt>
                <c:pt idx="4383">
                  <c:v>184413337</c:v>
                </c:pt>
                <c:pt idx="4384">
                  <c:v>181065244</c:v>
                </c:pt>
                <c:pt idx="4385">
                  <c:v>186547861</c:v>
                </c:pt>
                <c:pt idx="4386">
                  <c:v>186547861</c:v>
                </c:pt>
                <c:pt idx="4387">
                  <c:v>161281419</c:v>
                </c:pt>
                <c:pt idx="4388">
                  <c:v>184339515</c:v>
                </c:pt>
                <c:pt idx="4389">
                  <c:v>161930629</c:v>
                </c:pt>
                <c:pt idx="4390">
                  <c:v>180514391</c:v>
                </c:pt>
                <c:pt idx="4391">
                  <c:v>186547861</c:v>
                </c:pt>
                <c:pt idx="4392">
                  <c:v>186547861</c:v>
                </c:pt>
                <c:pt idx="4393">
                  <c:v>186301356</c:v>
                </c:pt>
                <c:pt idx="4394">
                  <c:v>154297534</c:v>
                </c:pt>
                <c:pt idx="4395">
                  <c:v>177049628</c:v>
                </c:pt>
                <c:pt idx="4396">
                  <c:v>172301082</c:v>
                </c:pt>
                <c:pt idx="4397">
                  <c:v>161724731</c:v>
                </c:pt>
                <c:pt idx="4398">
                  <c:v>186522862</c:v>
                </c:pt>
                <c:pt idx="4399">
                  <c:v>172470402</c:v>
                </c:pt>
                <c:pt idx="4400">
                  <c:v>186396178</c:v>
                </c:pt>
                <c:pt idx="4401">
                  <c:v>185151412</c:v>
                </c:pt>
                <c:pt idx="4402">
                  <c:v>153896382</c:v>
                </c:pt>
                <c:pt idx="4403">
                  <c:v>178824000</c:v>
                </c:pt>
                <c:pt idx="4404">
                  <c:v>186547861</c:v>
                </c:pt>
                <c:pt idx="4405">
                  <c:v>169726762</c:v>
                </c:pt>
                <c:pt idx="4406">
                  <c:v>153558439</c:v>
                </c:pt>
                <c:pt idx="4407">
                  <c:v>183086836</c:v>
                </c:pt>
                <c:pt idx="4408">
                  <c:v>161620997</c:v>
                </c:pt>
                <c:pt idx="4409">
                  <c:v>157029040</c:v>
                </c:pt>
                <c:pt idx="4410">
                  <c:v>154017534</c:v>
                </c:pt>
                <c:pt idx="4411">
                  <c:v>186547861</c:v>
                </c:pt>
                <c:pt idx="4412">
                  <c:v>150454794</c:v>
                </c:pt>
                <c:pt idx="4413">
                  <c:v>186533215</c:v>
                </c:pt>
                <c:pt idx="4414">
                  <c:v>168675090</c:v>
                </c:pt>
                <c:pt idx="4415">
                  <c:v>186389121</c:v>
                </c:pt>
                <c:pt idx="4416">
                  <c:v>186219830</c:v>
                </c:pt>
                <c:pt idx="4417">
                  <c:v>184997138</c:v>
                </c:pt>
                <c:pt idx="4418">
                  <c:v>186290258</c:v>
                </c:pt>
                <c:pt idx="4419">
                  <c:v>150454794</c:v>
                </c:pt>
                <c:pt idx="4420">
                  <c:v>148789673</c:v>
                </c:pt>
                <c:pt idx="4421">
                  <c:v>178630519</c:v>
                </c:pt>
                <c:pt idx="4422">
                  <c:v>180773227</c:v>
                </c:pt>
                <c:pt idx="4423">
                  <c:v>186547861</c:v>
                </c:pt>
                <c:pt idx="4424">
                  <c:v>183024492</c:v>
                </c:pt>
                <c:pt idx="4425">
                  <c:v>149225494</c:v>
                </c:pt>
                <c:pt idx="4426">
                  <c:v>182590307</c:v>
                </c:pt>
                <c:pt idx="4427">
                  <c:v>185977817</c:v>
                </c:pt>
                <c:pt idx="4428">
                  <c:v>186297691</c:v>
                </c:pt>
                <c:pt idx="4429">
                  <c:v>184052822</c:v>
                </c:pt>
                <c:pt idx="4430">
                  <c:v>151816870</c:v>
                </c:pt>
                <c:pt idx="4431">
                  <c:v>151931686</c:v>
                </c:pt>
                <c:pt idx="4432">
                  <c:v>160260734</c:v>
                </c:pt>
                <c:pt idx="4433">
                  <c:v>154574521</c:v>
                </c:pt>
                <c:pt idx="4434">
                  <c:v>186547861</c:v>
                </c:pt>
                <c:pt idx="4435">
                  <c:v>165276808</c:v>
                </c:pt>
                <c:pt idx="4436">
                  <c:v>177159162</c:v>
                </c:pt>
                <c:pt idx="4437">
                  <c:v>186547861</c:v>
                </c:pt>
                <c:pt idx="4438">
                  <c:v>185015050</c:v>
                </c:pt>
                <c:pt idx="4439">
                  <c:v>184900082</c:v>
                </c:pt>
                <c:pt idx="4440">
                  <c:v>178075201</c:v>
                </c:pt>
                <c:pt idx="4441">
                  <c:v>186547861</c:v>
                </c:pt>
                <c:pt idx="4442">
                  <c:v>186547861</c:v>
                </c:pt>
                <c:pt idx="4443">
                  <c:v>150321919</c:v>
                </c:pt>
                <c:pt idx="4444">
                  <c:v>180098807</c:v>
                </c:pt>
                <c:pt idx="4445">
                  <c:v>175123113</c:v>
                </c:pt>
                <c:pt idx="4446">
                  <c:v>162639237</c:v>
                </c:pt>
                <c:pt idx="4447">
                  <c:v>184019350</c:v>
                </c:pt>
                <c:pt idx="4448">
                  <c:v>186547861</c:v>
                </c:pt>
                <c:pt idx="4449">
                  <c:v>183618325</c:v>
                </c:pt>
                <c:pt idx="4450">
                  <c:v>183176141</c:v>
                </c:pt>
                <c:pt idx="4451">
                  <c:v>186502771</c:v>
                </c:pt>
                <c:pt idx="4452">
                  <c:v>186547861</c:v>
                </c:pt>
                <c:pt idx="4453">
                  <c:v>186547861</c:v>
                </c:pt>
                <c:pt idx="4454">
                  <c:v>165760781</c:v>
                </c:pt>
                <c:pt idx="4455">
                  <c:v>183272703</c:v>
                </c:pt>
                <c:pt idx="4456">
                  <c:v>180678049</c:v>
                </c:pt>
                <c:pt idx="4457">
                  <c:v>186527160</c:v>
                </c:pt>
                <c:pt idx="4458">
                  <c:v>168993811</c:v>
                </c:pt>
                <c:pt idx="4459">
                  <c:v>186390768</c:v>
                </c:pt>
                <c:pt idx="4460">
                  <c:v>186126715</c:v>
                </c:pt>
                <c:pt idx="4461">
                  <c:v>181827794</c:v>
                </c:pt>
                <c:pt idx="4462">
                  <c:v>174132203</c:v>
                </c:pt>
                <c:pt idx="4463">
                  <c:v>186299896</c:v>
                </c:pt>
                <c:pt idx="4464">
                  <c:v>179940879</c:v>
                </c:pt>
                <c:pt idx="4465">
                  <c:v>179731317</c:v>
                </c:pt>
                <c:pt idx="4466">
                  <c:v>185718037</c:v>
                </c:pt>
                <c:pt idx="4467">
                  <c:v>185646433</c:v>
                </c:pt>
                <c:pt idx="4468">
                  <c:v>151344589</c:v>
                </c:pt>
                <c:pt idx="4469">
                  <c:v>180995428</c:v>
                </c:pt>
                <c:pt idx="4470">
                  <c:v>157061744</c:v>
                </c:pt>
                <c:pt idx="4471">
                  <c:v>184713959</c:v>
                </c:pt>
                <c:pt idx="4472">
                  <c:v>183115244</c:v>
                </c:pt>
                <c:pt idx="4473">
                  <c:v>186198488</c:v>
                </c:pt>
                <c:pt idx="4474">
                  <c:v>186527018</c:v>
                </c:pt>
                <c:pt idx="4475">
                  <c:v>185938879</c:v>
                </c:pt>
                <c:pt idx="4476">
                  <c:v>161412836</c:v>
                </c:pt>
                <c:pt idx="4477">
                  <c:v>182735815</c:v>
                </c:pt>
                <c:pt idx="4478">
                  <c:v>186547861</c:v>
                </c:pt>
                <c:pt idx="4479">
                  <c:v>166617416</c:v>
                </c:pt>
                <c:pt idx="4480">
                  <c:v>167783126</c:v>
                </c:pt>
                <c:pt idx="4481">
                  <c:v>175731612</c:v>
                </c:pt>
                <c:pt idx="4482">
                  <c:v>149507223</c:v>
                </c:pt>
                <c:pt idx="4483">
                  <c:v>164047958</c:v>
                </c:pt>
                <c:pt idx="4484">
                  <c:v>186240403</c:v>
                </c:pt>
                <c:pt idx="4485">
                  <c:v>186352563</c:v>
                </c:pt>
                <c:pt idx="4486">
                  <c:v>146950766</c:v>
                </c:pt>
                <c:pt idx="4487">
                  <c:v>186532315</c:v>
                </c:pt>
                <c:pt idx="4488">
                  <c:v>183024492</c:v>
                </c:pt>
                <c:pt idx="4489">
                  <c:v>175313085</c:v>
                </c:pt>
                <c:pt idx="4490">
                  <c:v>150782628</c:v>
                </c:pt>
                <c:pt idx="4491">
                  <c:v>186385819</c:v>
                </c:pt>
                <c:pt idx="4492">
                  <c:v>186547861</c:v>
                </c:pt>
                <c:pt idx="4493">
                  <c:v>154844325</c:v>
                </c:pt>
                <c:pt idx="4494">
                  <c:v>186545113</c:v>
                </c:pt>
                <c:pt idx="4495">
                  <c:v>186202990</c:v>
                </c:pt>
                <c:pt idx="4496">
                  <c:v>153514814</c:v>
                </c:pt>
                <c:pt idx="4497">
                  <c:v>185851523</c:v>
                </c:pt>
                <c:pt idx="4498">
                  <c:v>149576598</c:v>
                </c:pt>
                <c:pt idx="4499">
                  <c:v>162007541</c:v>
                </c:pt>
                <c:pt idx="4500">
                  <c:v>117937795</c:v>
                </c:pt>
                <c:pt idx="4501">
                  <c:v>153729655</c:v>
                </c:pt>
                <c:pt idx="4502">
                  <c:v>125985286</c:v>
                </c:pt>
                <c:pt idx="4503">
                  <c:v>16520379</c:v>
                </c:pt>
                <c:pt idx="4504">
                  <c:v>137054824</c:v>
                </c:pt>
                <c:pt idx="4505">
                  <c:v>63639644</c:v>
                </c:pt>
                <c:pt idx="4506">
                  <c:v>94553417</c:v>
                </c:pt>
                <c:pt idx="4507">
                  <c:v>112186168</c:v>
                </c:pt>
                <c:pt idx="4508">
                  <c:v>111364455</c:v>
                </c:pt>
                <c:pt idx="4509">
                  <c:v>94901485</c:v>
                </c:pt>
                <c:pt idx="4510">
                  <c:v>141439685</c:v>
                </c:pt>
                <c:pt idx="4511">
                  <c:v>44804922</c:v>
                </c:pt>
                <c:pt idx="4512">
                  <c:v>145045652</c:v>
                </c:pt>
                <c:pt idx="4513">
                  <c:v>52431762</c:v>
                </c:pt>
                <c:pt idx="4514">
                  <c:v>45419874</c:v>
                </c:pt>
                <c:pt idx="4515">
                  <c:v>72794563</c:v>
                </c:pt>
                <c:pt idx="4516">
                  <c:v>24163141</c:v>
                </c:pt>
                <c:pt idx="4517">
                  <c:v>143854589</c:v>
                </c:pt>
                <c:pt idx="4518">
                  <c:v>139651282</c:v>
                </c:pt>
                <c:pt idx="4519">
                  <c:v>125565863</c:v>
                </c:pt>
                <c:pt idx="4520">
                  <c:v>105838569</c:v>
                </c:pt>
                <c:pt idx="4521">
                  <c:v>114078082</c:v>
                </c:pt>
                <c:pt idx="4522">
                  <c:v>152641237</c:v>
                </c:pt>
                <c:pt idx="4523">
                  <c:v>29931602</c:v>
                </c:pt>
                <c:pt idx="4524">
                  <c:v>129721479</c:v>
                </c:pt>
                <c:pt idx="4525">
                  <c:v>136346123</c:v>
                </c:pt>
                <c:pt idx="4526">
                  <c:v>152375485</c:v>
                </c:pt>
                <c:pt idx="4527">
                  <c:v>88722254</c:v>
                </c:pt>
                <c:pt idx="4528">
                  <c:v>147202348</c:v>
                </c:pt>
                <c:pt idx="4529">
                  <c:v>3793794</c:v>
                </c:pt>
                <c:pt idx="4530">
                  <c:v>60037463</c:v>
                </c:pt>
                <c:pt idx="4531">
                  <c:v>133471899</c:v>
                </c:pt>
                <c:pt idx="4532">
                  <c:v>42947491</c:v>
                </c:pt>
                <c:pt idx="4533">
                  <c:v>959409</c:v>
                </c:pt>
                <c:pt idx="4534">
                  <c:v>105536988</c:v>
                </c:pt>
                <c:pt idx="4535">
                  <c:v>116164522</c:v>
                </c:pt>
                <c:pt idx="4536">
                  <c:v>102778847</c:v>
                </c:pt>
                <c:pt idx="4537">
                  <c:v>87191104</c:v>
                </c:pt>
                <c:pt idx="4538">
                  <c:v>79902479</c:v>
                </c:pt>
                <c:pt idx="4539">
                  <c:v>135910283</c:v>
                </c:pt>
                <c:pt idx="4540">
                  <c:v>122451884</c:v>
                </c:pt>
                <c:pt idx="4541">
                  <c:v>142581092</c:v>
                </c:pt>
                <c:pt idx="4542">
                  <c:v>112730593</c:v>
                </c:pt>
                <c:pt idx="4543">
                  <c:v>137598274</c:v>
                </c:pt>
                <c:pt idx="4544">
                  <c:v>154729433</c:v>
                </c:pt>
                <c:pt idx="4545">
                  <c:v>124703707</c:v>
                </c:pt>
                <c:pt idx="4546">
                  <c:v>139898285</c:v>
                </c:pt>
                <c:pt idx="4547">
                  <c:v>65155137</c:v>
                </c:pt>
                <c:pt idx="4548">
                  <c:v>147285886</c:v>
                </c:pt>
                <c:pt idx="4549">
                  <c:v>99904574</c:v>
                </c:pt>
                <c:pt idx="4550">
                  <c:v>80744074</c:v>
                </c:pt>
                <c:pt idx="4551">
                  <c:v>150653044</c:v>
                </c:pt>
                <c:pt idx="4552">
                  <c:v>128397455</c:v>
                </c:pt>
                <c:pt idx="4553">
                  <c:v>139402953</c:v>
                </c:pt>
                <c:pt idx="4554">
                  <c:v>67129906</c:v>
                </c:pt>
                <c:pt idx="4555">
                  <c:v>61078675</c:v>
                </c:pt>
                <c:pt idx="4556">
                  <c:v>64145534</c:v>
                </c:pt>
                <c:pt idx="4557">
                  <c:v>81161058</c:v>
                </c:pt>
                <c:pt idx="4558">
                  <c:v>95925349</c:v>
                </c:pt>
                <c:pt idx="4559">
                  <c:v>96264528</c:v>
                </c:pt>
                <c:pt idx="4560">
                  <c:v>145140761</c:v>
                </c:pt>
                <c:pt idx="4561">
                  <c:v>66146722</c:v>
                </c:pt>
                <c:pt idx="4562">
                  <c:v>81992385</c:v>
                </c:pt>
                <c:pt idx="4563">
                  <c:v>139527174</c:v>
                </c:pt>
                <c:pt idx="4564">
                  <c:v>140621877</c:v>
                </c:pt>
                <c:pt idx="4565">
                  <c:v>133312745</c:v>
                </c:pt>
                <c:pt idx="4566">
                  <c:v>146161757</c:v>
                </c:pt>
                <c:pt idx="4567">
                  <c:v>10809408</c:v>
                </c:pt>
                <c:pt idx="4568">
                  <c:v>119409509</c:v>
                </c:pt>
                <c:pt idx="4569">
                  <c:v>117437194</c:v>
                </c:pt>
                <c:pt idx="4570">
                  <c:v>152535733</c:v>
                </c:pt>
                <c:pt idx="4571">
                  <c:v>124257919</c:v>
                </c:pt>
                <c:pt idx="4572">
                  <c:v>141091241</c:v>
                </c:pt>
                <c:pt idx="4573">
                  <c:v>41081500</c:v>
                </c:pt>
                <c:pt idx="4574">
                  <c:v>97274430</c:v>
                </c:pt>
                <c:pt idx="4575">
                  <c:v>120840451</c:v>
                </c:pt>
                <c:pt idx="4576">
                  <c:v>138126190</c:v>
                </c:pt>
                <c:pt idx="4577">
                  <c:v>104015278</c:v>
                </c:pt>
                <c:pt idx="4578">
                  <c:v>9960027</c:v>
                </c:pt>
                <c:pt idx="4579">
                  <c:v>71873089</c:v>
                </c:pt>
                <c:pt idx="4580">
                  <c:v>7371106</c:v>
                </c:pt>
                <c:pt idx="4581">
                  <c:v>74164868</c:v>
                </c:pt>
                <c:pt idx="4582">
                  <c:v>96603282</c:v>
                </c:pt>
                <c:pt idx="4583">
                  <c:v>75519273</c:v>
                </c:pt>
                <c:pt idx="4584">
                  <c:v>143442078</c:v>
                </c:pt>
                <c:pt idx="4585">
                  <c:v>149154412</c:v>
                </c:pt>
                <c:pt idx="4586">
                  <c:v>144360332</c:v>
                </c:pt>
                <c:pt idx="4587">
                  <c:v>56313619</c:v>
                </c:pt>
                <c:pt idx="4588">
                  <c:v>144854531</c:v>
                </c:pt>
                <c:pt idx="4589">
                  <c:v>111913051</c:v>
                </c:pt>
                <c:pt idx="4590">
                  <c:v>33358134</c:v>
                </c:pt>
                <c:pt idx="4591">
                  <c:v>107623862</c:v>
                </c:pt>
                <c:pt idx="4592">
                  <c:v>147369027</c:v>
                </c:pt>
                <c:pt idx="4593">
                  <c:v>59514743</c:v>
                </c:pt>
                <c:pt idx="4594">
                  <c:v>51293418</c:v>
                </c:pt>
                <c:pt idx="4595">
                  <c:v>86416988</c:v>
                </c:pt>
                <c:pt idx="4596">
                  <c:v>128203100</c:v>
                </c:pt>
                <c:pt idx="4597">
                  <c:v>135764026</c:v>
                </c:pt>
                <c:pt idx="4598">
                  <c:v>131146246</c:v>
                </c:pt>
                <c:pt idx="4599">
                  <c:v>150255215</c:v>
                </c:pt>
                <c:pt idx="4600">
                  <c:v>98271573</c:v>
                </c:pt>
                <c:pt idx="4601">
                  <c:v>157800157</c:v>
                </c:pt>
                <c:pt idx="4602">
                  <c:v>146605488</c:v>
                </c:pt>
                <c:pt idx="4603">
                  <c:v>32689106</c:v>
                </c:pt>
                <c:pt idx="4604">
                  <c:v>114345929</c:v>
                </c:pt>
                <c:pt idx="4605">
                  <c:v>92783378</c:v>
                </c:pt>
                <c:pt idx="4606">
                  <c:v>120606931</c:v>
                </c:pt>
                <c:pt idx="4607">
                  <c:v>85249220</c:v>
                </c:pt>
                <c:pt idx="4608">
                  <c:v>12484974</c:v>
                </c:pt>
                <c:pt idx="4609">
                  <c:v>102145627</c:v>
                </c:pt>
                <c:pt idx="4610">
                  <c:v>98601577</c:v>
                </c:pt>
                <c:pt idx="4611">
                  <c:v>101510265</c:v>
                </c:pt>
                <c:pt idx="4612">
                  <c:v>105235324</c:v>
                </c:pt>
                <c:pt idx="4613">
                  <c:v>52998228</c:v>
                </c:pt>
                <c:pt idx="4614">
                  <c:v>109672426</c:v>
                </c:pt>
                <c:pt idx="4615">
                  <c:v>110532295</c:v>
                </c:pt>
                <c:pt idx="4616">
                  <c:v>143649462</c:v>
                </c:pt>
                <c:pt idx="4617">
                  <c:v>149987201</c:v>
                </c:pt>
                <c:pt idx="4618">
                  <c:v>46029090</c:v>
                </c:pt>
                <c:pt idx="4619">
                  <c:v>124034969</c:v>
                </c:pt>
                <c:pt idx="4620">
                  <c:v>89474282</c:v>
                </c:pt>
                <c:pt idx="4621">
                  <c:v>140021210</c:v>
                </c:pt>
                <c:pt idx="4622">
                  <c:v>136914205</c:v>
                </c:pt>
                <c:pt idx="4623">
                  <c:v>133152200</c:v>
                </c:pt>
                <c:pt idx="4624">
                  <c:v>86804428</c:v>
                </c:pt>
                <c:pt idx="4625">
                  <c:v>125353343</c:v>
                </c:pt>
                <c:pt idx="4626">
                  <c:v>133942952</c:v>
                </c:pt>
                <c:pt idx="4627">
                  <c:v>153242849</c:v>
                </c:pt>
                <c:pt idx="4628">
                  <c:v>91329901</c:v>
                </c:pt>
                <c:pt idx="4629">
                  <c:v>141207539</c:v>
                </c:pt>
                <c:pt idx="4630">
                  <c:v>152156304</c:v>
                </c:pt>
                <c:pt idx="4631">
                  <c:v>30631518</c:v>
                </c:pt>
                <c:pt idx="4632">
                  <c:v>147779244</c:v>
                </c:pt>
                <c:pt idx="4633">
                  <c:v>58461017</c:v>
                </c:pt>
                <c:pt idx="4634">
                  <c:v>149367342</c:v>
                </c:pt>
                <c:pt idx="4635">
                  <c:v>151221989</c:v>
                </c:pt>
                <c:pt idx="4636">
                  <c:v>21158214</c:v>
                </c:pt>
                <c:pt idx="4637">
                  <c:v>139152245</c:v>
                </c:pt>
                <c:pt idx="4638">
                  <c:v>106733887</c:v>
                </c:pt>
                <c:pt idx="4639">
                  <c:v>43567121</c:v>
                </c:pt>
                <c:pt idx="4640">
                  <c:v>148181941</c:v>
                </c:pt>
                <c:pt idx="4641">
                  <c:v>135170812</c:v>
                </c:pt>
                <c:pt idx="4642">
                  <c:v>147616875</c:v>
                </c:pt>
                <c:pt idx="4643">
                  <c:v>84857714</c:v>
                </c:pt>
                <c:pt idx="4644">
                  <c:v>82406209</c:v>
                </c:pt>
                <c:pt idx="4645">
                  <c:v>172546528</c:v>
                </c:pt>
                <c:pt idx="4646">
                  <c:v>31327038</c:v>
                </c:pt>
                <c:pt idx="4647">
                  <c:v>40458300</c:v>
                </c:pt>
                <c:pt idx="4648">
                  <c:v>163255457</c:v>
                </c:pt>
                <c:pt idx="4649">
                  <c:v>4702304</c:v>
                </c:pt>
                <c:pt idx="4650">
                  <c:v>133629409</c:v>
                </c:pt>
                <c:pt idx="4651">
                  <c:v>141786705</c:v>
                </c:pt>
                <c:pt idx="4652">
                  <c:v>143545878</c:v>
                </c:pt>
                <c:pt idx="4653">
                  <c:v>60559175</c:v>
                </c:pt>
                <c:pt idx="4654">
                  <c:v>152101054</c:v>
                </c:pt>
                <c:pt idx="4655">
                  <c:v>73252646</c:v>
                </c:pt>
                <c:pt idx="4656">
                  <c:v>153148113</c:v>
                </c:pt>
                <c:pt idx="4657">
                  <c:v>5609882</c:v>
                </c:pt>
                <c:pt idx="4658">
                  <c:v>132334576</c:v>
                </c:pt>
                <c:pt idx="4659">
                  <c:v>153002581</c:v>
                </c:pt>
                <c:pt idx="4660">
                  <c:v>82406209</c:v>
                </c:pt>
                <c:pt idx="4661">
                  <c:v>11655168</c:v>
                </c:pt>
                <c:pt idx="4662">
                  <c:v>148337349</c:v>
                </c:pt>
                <c:pt idx="4663">
                  <c:v>6498208</c:v>
                </c:pt>
                <c:pt idx="4664">
                  <c:v>115135814</c:v>
                </c:pt>
                <c:pt idx="4665">
                  <c:v>128590403</c:v>
                </c:pt>
                <c:pt idx="4666">
                  <c:v>155940841</c:v>
                </c:pt>
                <c:pt idx="4667">
                  <c:v>130795315</c:v>
                </c:pt>
                <c:pt idx="4668">
                  <c:v>148564899</c:v>
                </c:pt>
                <c:pt idx="4669">
                  <c:v>23422816</c:v>
                </c:pt>
                <c:pt idx="4670">
                  <c:v>154652297</c:v>
                </c:pt>
                <c:pt idx="4671">
                  <c:v>145888450</c:v>
                </c:pt>
                <c:pt idx="4672">
                  <c:v>150718879</c:v>
                </c:pt>
                <c:pt idx="4673">
                  <c:v>70943842</c:v>
                </c:pt>
                <c:pt idx="4674">
                  <c:v>100871995</c:v>
                </c:pt>
                <c:pt idx="4675">
                  <c:v>78171261</c:v>
                </c:pt>
                <c:pt idx="4676">
                  <c:v>70477215</c:v>
                </c:pt>
                <c:pt idx="4677">
                  <c:v>93501063</c:v>
                </c:pt>
                <c:pt idx="4678">
                  <c:v>123810009</c:v>
                </c:pt>
                <c:pt idx="4679">
                  <c:v>107328007</c:v>
                </c:pt>
                <c:pt idx="4680">
                  <c:v>73709648</c:v>
                </c:pt>
                <c:pt idx="4681">
                  <c:v>155548638</c:v>
                </c:pt>
                <c:pt idx="4682">
                  <c:v>137327744</c:v>
                </c:pt>
                <c:pt idx="4683">
                  <c:v>142130225</c:v>
                </c:pt>
                <c:pt idx="4684">
                  <c:v>130619258</c:v>
                </c:pt>
                <c:pt idx="4685">
                  <c:v>134561488</c:v>
                </c:pt>
                <c:pt idx="4686">
                  <c:v>56856059</c:v>
                </c:pt>
                <c:pt idx="4687">
                  <c:v>20397030</c:v>
                </c:pt>
                <c:pt idx="4688">
                  <c:v>137863291</c:v>
                </c:pt>
                <c:pt idx="4689">
                  <c:v>64650710</c:v>
                </c:pt>
                <c:pt idx="4690">
                  <c:v>25637769</c:v>
                </c:pt>
                <c:pt idx="4691">
                  <c:v>133786865</c:v>
                </c:pt>
                <c:pt idx="4692">
                  <c:v>100228296</c:v>
                </c:pt>
                <c:pt idx="4693">
                  <c:v>109381726</c:v>
                </c:pt>
                <c:pt idx="4694">
                  <c:v>128008521</c:v>
                </c:pt>
                <c:pt idx="4695">
                  <c:v>161122886</c:v>
                </c:pt>
                <c:pt idx="4696">
                  <c:v>181669111</c:v>
                </c:pt>
                <c:pt idx="4697">
                  <c:v>55767997</c:v>
                </c:pt>
                <c:pt idx="4698">
                  <c:v>151988582</c:v>
                </c:pt>
                <c:pt idx="4699">
                  <c:v>137463090</c:v>
                </c:pt>
                <c:pt idx="4700">
                  <c:v>132500376</c:v>
                </c:pt>
                <c:pt idx="4701">
                  <c:v>113001097</c:v>
                </c:pt>
                <c:pt idx="4702">
                  <c:v>148260525</c:v>
                </c:pt>
                <c:pt idx="4703">
                  <c:v>138644834</c:v>
                </c:pt>
                <c:pt idx="4704">
                  <c:v>117185198</c:v>
                </c:pt>
                <c:pt idx="4705">
                  <c:v>90595663</c:v>
                </c:pt>
                <c:pt idx="4706">
                  <c:v>146341108</c:v>
                </c:pt>
                <c:pt idx="4707">
                  <c:v>154535209</c:v>
                </c:pt>
                <c:pt idx="4708">
                  <c:v>106138099</c:v>
                </c:pt>
                <c:pt idx="4709">
                  <c:v>77735886</c:v>
                </c:pt>
                <c:pt idx="4710">
                  <c:v>149437692</c:v>
                </c:pt>
                <c:pt idx="4711">
                  <c:v>145235585</c:v>
                </c:pt>
                <c:pt idx="4712">
                  <c:v>76416929</c:v>
                </c:pt>
                <c:pt idx="4713">
                  <c:v>141671265</c:v>
                </c:pt>
                <c:pt idx="4714">
                  <c:v>87575080</c:v>
                </c:pt>
                <c:pt idx="4715">
                  <c:v>36638229</c:v>
                </c:pt>
                <c:pt idx="4716">
                  <c:v>132991200</c:v>
                </c:pt>
                <c:pt idx="4717">
                  <c:v>138386834</c:v>
                </c:pt>
                <c:pt idx="4718">
                  <c:v>97607826</c:v>
                </c:pt>
                <c:pt idx="4719">
                  <c:v>150054461</c:v>
                </c:pt>
                <c:pt idx="4720">
                  <c:v>145980173</c:v>
                </c:pt>
                <c:pt idx="4721">
                  <c:v>37279669</c:v>
                </c:pt>
                <c:pt idx="4722">
                  <c:v>167115051</c:v>
                </c:pt>
                <c:pt idx="4723">
                  <c:v>153854851</c:v>
                </c:pt>
                <c:pt idx="4724">
                  <c:v>156764867</c:v>
                </c:pt>
                <c:pt idx="4725">
                  <c:v>150587044</c:v>
                </c:pt>
                <c:pt idx="4726">
                  <c:v>139277641</c:v>
                </c:pt>
                <c:pt idx="4727">
                  <c:v>102462383</c:v>
                </c:pt>
                <c:pt idx="4728">
                  <c:v>149011058</c:v>
                </c:pt>
                <c:pt idx="4729">
                  <c:v>68582913</c:v>
                </c:pt>
                <c:pt idx="4730">
                  <c:v>145609891</c:v>
                </c:pt>
                <c:pt idx="4731">
                  <c:v>158176235</c:v>
                </c:pt>
                <c:pt idx="4732">
                  <c:v>53562209</c:v>
                </c:pt>
                <c:pt idx="4733">
                  <c:v>167902039</c:v>
                </c:pt>
                <c:pt idx="4734">
                  <c:v>99255890</c:v>
                </c:pt>
                <c:pt idx="4735">
                  <c:v>126605643</c:v>
                </c:pt>
                <c:pt idx="4736">
                  <c:v>76859129</c:v>
                </c:pt>
                <c:pt idx="4737">
                  <c:v>144950120</c:v>
                </c:pt>
                <c:pt idx="4738">
                  <c:v>143234048</c:v>
                </c:pt>
                <c:pt idx="4739">
                  <c:v>93856451</c:v>
                </c:pt>
                <c:pt idx="4740">
                  <c:v>29229704</c:v>
                </c:pt>
                <c:pt idx="4741">
                  <c:v>103708279</c:v>
                </c:pt>
                <c:pt idx="4742">
                  <c:v>123358441</c:v>
                </c:pt>
                <c:pt idx="4743">
                  <c:v>37920569</c:v>
                </c:pt>
                <c:pt idx="4744">
                  <c:v>159234870</c:v>
                </c:pt>
                <c:pt idx="4745">
                  <c:v>130084755</c:v>
                </c:pt>
                <c:pt idx="4746">
                  <c:v>19632826</c:v>
                </c:pt>
                <c:pt idx="4747">
                  <c:v>134098791</c:v>
                </c:pt>
                <c:pt idx="4748">
                  <c:v>118434593</c:v>
                </c:pt>
                <c:pt idx="4749">
                  <c:v>51863064</c:v>
                </c:pt>
                <c:pt idx="4750">
                  <c:v>57398129</c:v>
                </c:pt>
                <c:pt idx="4751">
                  <c:v>48991426</c:v>
                </c:pt>
                <c:pt idx="4752">
                  <c:v>121306501</c:v>
                </c:pt>
                <c:pt idx="4753">
                  <c:v>137730986</c:v>
                </c:pt>
                <c:pt idx="4754">
                  <c:v>130970851</c:v>
                </c:pt>
                <c:pt idx="4755">
                  <c:v>128782979</c:v>
                </c:pt>
                <c:pt idx="4756">
                  <c:v>131834749</c:v>
                </c:pt>
                <c:pt idx="4757">
                  <c:v>143338188</c:v>
                </c:pt>
                <c:pt idx="4758">
                  <c:v>146692980</c:v>
                </c:pt>
                <c:pt idx="4759">
                  <c:v>101191783</c:v>
                </c:pt>
                <c:pt idx="4760">
                  <c:v>134408182</c:v>
                </c:pt>
                <c:pt idx="4761">
                  <c:v>129904863</c:v>
                </c:pt>
                <c:pt idx="4762">
                  <c:v>132665513</c:v>
                </c:pt>
                <c:pt idx="4763">
                  <c:v>122223985</c:v>
                </c:pt>
                <c:pt idx="4764">
                  <c:v>68102389</c:v>
                </c:pt>
                <c:pt idx="4765">
                  <c:v>151759189</c:v>
                </c:pt>
                <c:pt idx="4766">
                  <c:v>118186765</c:v>
                </c:pt>
                <c:pt idx="4767">
                  <c:v>65652420</c:v>
                </c:pt>
                <c:pt idx="4768">
                  <c:v>145329945</c:v>
                </c:pt>
                <c:pt idx="4769">
                  <c:v>28525640</c:v>
                </c:pt>
                <c:pt idx="4770">
                  <c:v>103090739</c:v>
                </c:pt>
                <c:pt idx="4771">
                  <c:v>13313511</c:v>
                </c:pt>
                <c:pt idx="4772">
                  <c:v>163474597</c:v>
                </c:pt>
                <c:pt idx="4773">
                  <c:v>95585509</c:v>
                </c:pt>
                <c:pt idx="4774">
                  <c:v>74617748</c:v>
                </c:pt>
                <c:pt idx="4775">
                  <c:v>115651480</c:v>
                </c:pt>
                <c:pt idx="4776">
                  <c:v>39830178</c:v>
                </c:pt>
                <c:pt idx="4777">
                  <c:v>176543595</c:v>
                </c:pt>
                <c:pt idx="4778">
                  <c:v>21915978</c:v>
                </c:pt>
                <c:pt idx="4779">
                  <c:v>148937548</c:v>
                </c:pt>
                <c:pt idx="4780">
                  <c:v>118681725</c:v>
                </c:pt>
                <c:pt idx="4781">
                  <c:v>46637660</c:v>
                </c:pt>
                <c:pt idx="4782">
                  <c:v>150188390</c:v>
                </c:pt>
                <c:pt idx="4783">
                  <c:v>126811787</c:v>
                </c:pt>
                <c:pt idx="4784">
                  <c:v>131667199</c:v>
                </c:pt>
                <c:pt idx="4785">
                  <c:v>113271073</c:v>
                </c:pt>
                <c:pt idx="4786">
                  <c:v>136631741</c:v>
                </c:pt>
                <c:pt idx="4787">
                  <c:v>90964501</c:v>
                </c:pt>
                <c:pt idx="4788">
                  <c:v>134714221</c:v>
                </c:pt>
                <c:pt idx="4789">
                  <c:v>158331385</c:v>
                </c:pt>
                <c:pt idx="4790">
                  <c:v>15729243</c:v>
                </c:pt>
                <c:pt idx="4791">
                  <c:v>99580754</c:v>
                </c:pt>
                <c:pt idx="4792">
                  <c:v>14927712</c:v>
                </c:pt>
                <c:pt idx="4793">
                  <c:v>27814100</c:v>
                </c:pt>
                <c:pt idx="4794">
                  <c:v>131321521</c:v>
                </c:pt>
                <c:pt idx="4795">
                  <c:v>103399529</c:v>
                </c:pt>
                <c:pt idx="4796">
                  <c:v>122905866</c:v>
                </c:pt>
                <c:pt idx="4797">
                  <c:v>120370239</c:v>
                </c:pt>
                <c:pt idx="4798">
                  <c:v>147941053</c:v>
                </c:pt>
                <c:pt idx="4799">
                  <c:v>109961596</c:v>
                </c:pt>
                <c:pt idx="4800">
                  <c:v>58990457</c:v>
                </c:pt>
                <c:pt idx="4801">
                  <c:v>69539183</c:v>
                </c:pt>
                <c:pt idx="4802">
                  <c:v>111088685</c:v>
                </c:pt>
                <c:pt idx="4803">
                  <c:v>116420818</c:v>
                </c:pt>
                <c:pt idx="4804">
                  <c:v>132829563</c:v>
                </c:pt>
                <c:pt idx="4805">
                  <c:v>83230977</c:v>
                </c:pt>
                <c:pt idx="4806">
                  <c:v>88340158</c:v>
                </c:pt>
                <c:pt idx="4807">
                  <c:v>62110032</c:v>
                </c:pt>
                <c:pt idx="4808">
                  <c:v>108505173</c:v>
                </c:pt>
                <c:pt idx="4809">
                  <c:v>97940498</c:v>
                </c:pt>
                <c:pt idx="4810">
                  <c:v>47235530</c:v>
                </c:pt>
                <c:pt idx="4811">
                  <c:v>152588533</c:v>
                </c:pt>
                <c:pt idx="4812">
                  <c:v>140504050</c:v>
                </c:pt>
                <c:pt idx="4813">
                  <c:v>39198254</c:v>
                </c:pt>
                <c:pt idx="4814">
                  <c:v>115908022</c:v>
                </c:pt>
                <c:pt idx="4815">
                  <c:v>147034766</c:v>
                </c:pt>
                <c:pt idx="4816">
                  <c:v>136056095</c:v>
                </c:pt>
                <c:pt idx="4817">
                  <c:v>84050584</c:v>
                </c:pt>
                <c:pt idx="4818">
                  <c:v>22673154</c:v>
                </c:pt>
                <c:pt idx="4819">
                  <c:v>153426473</c:v>
                </c:pt>
                <c:pt idx="4820">
                  <c:v>140385610</c:v>
                </c:pt>
                <c:pt idx="4821">
                  <c:v>119650535</c:v>
                </c:pt>
                <c:pt idx="4822">
                  <c:v>146071621</c:v>
                </c:pt>
                <c:pt idx="4823">
                  <c:v>138515914</c:v>
                </c:pt>
                <c:pt idx="4824">
                  <c:v>94204985</c:v>
                </c:pt>
                <c:pt idx="4825">
                  <c:v>75069277</c:v>
                </c:pt>
                <c:pt idx="4826">
                  <c:v>140264820</c:v>
                </c:pt>
                <c:pt idx="4827">
                  <c:v>54118625</c:v>
                </c:pt>
                <c:pt idx="4828">
                  <c:v>112459183</c:v>
                </c:pt>
                <c:pt idx="4829">
                  <c:v>129163389</c:v>
                </c:pt>
                <c:pt idx="4830">
                  <c:v>142357826</c:v>
                </c:pt>
                <c:pt idx="4831">
                  <c:v>145423325</c:v>
                </c:pt>
                <c:pt idx="4832">
                  <c:v>116932036</c:v>
                </c:pt>
                <c:pt idx="4833">
                  <c:v>149296494</c:v>
                </c:pt>
                <c:pt idx="4834">
                  <c:v>42325786</c:v>
                </c:pt>
                <c:pt idx="4835">
                  <c:v>134866823</c:v>
                </c:pt>
                <c:pt idx="4836">
                  <c:v>35987553</c:v>
                </c:pt>
                <c:pt idx="4837">
                  <c:v>32019254</c:v>
                </c:pt>
                <c:pt idx="4838">
                  <c:v>124257919</c:v>
                </c:pt>
                <c:pt idx="4839">
                  <c:v>104322214</c:v>
                </c:pt>
                <c:pt idx="4840">
                  <c:v>104627008</c:v>
                </c:pt>
                <c:pt idx="4841">
                  <c:v>130264144</c:v>
                </c:pt>
                <c:pt idx="4842">
                  <c:v>148021903</c:v>
                </c:pt>
                <c:pt idx="4843">
                  <c:v>153335931</c:v>
                </c:pt>
                <c:pt idx="4844">
                  <c:v>148640043</c:v>
                </c:pt>
                <c:pt idx="4845">
                  <c:v>2851494</c:v>
                </c:pt>
                <c:pt idx="4846">
                  <c:v>114611264</c:v>
                </c:pt>
                <c:pt idx="4847">
                  <c:v>9102349</c:v>
                </c:pt>
                <c:pt idx="4848">
                  <c:v>149851973</c:v>
                </c:pt>
                <c:pt idx="4849">
                  <c:v>89098470</c:v>
                </c:pt>
                <c:pt idx="4850">
                  <c:v>69062660</c:v>
                </c:pt>
                <c:pt idx="4851">
                  <c:v>93144638</c:v>
                </c:pt>
                <c:pt idx="4852">
                  <c:v>157768477</c:v>
                </c:pt>
                <c:pt idx="4853">
                  <c:v>134254310</c:v>
                </c:pt>
                <c:pt idx="4854">
                  <c:v>44186426</c:v>
                </c:pt>
                <c:pt idx="4855">
                  <c:v>104931648</c:v>
                </c:pt>
                <c:pt idx="4856">
                  <c:v>113540441</c:v>
                </c:pt>
                <c:pt idx="4857">
                  <c:v>153289731</c:v>
                </c:pt>
                <c:pt idx="4858">
                  <c:v>14125437</c:v>
                </c:pt>
                <c:pt idx="4859">
                  <c:v>130442554</c:v>
                </c:pt>
                <c:pt idx="4860">
                  <c:v>50144698</c:v>
                </c:pt>
                <c:pt idx="4861">
                  <c:v>149083152</c:v>
                </c:pt>
                <c:pt idx="4862">
                  <c:v>48409306</c:v>
                </c:pt>
                <c:pt idx="4863">
                  <c:v>149919833</c:v>
                </c:pt>
                <c:pt idx="4864">
                  <c:v>167603148</c:v>
                </c:pt>
                <c:pt idx="4865">
                  <c:v>132168520</c:v>
                </c:pt>
                <c:pt idx="4866">
                  <c:v>100551376</c:v>
                </c:pt>
                <c:pt idx="4867">
                  <c:v>118925381</c:v>
                </c:pt>
                <c:pt idx="4868">
                  <c:v>151035252</c:v>
                </c:pt>
                <c:pt idx="4869">
                  <c:v>79039969</c:v>
                </c:pt>
                <c:pt idx="4870">
                  <c:v>140739445</c:v>
                </c:pt>
                <c:pt idx="4871">
                  <c:v>91694875</c:v>
                </c:pt>
                <c:pt idx="4872">
                  <c:v>83641780</c:v>
                </c:pt>
                <c:pt idx="4873">
                  <c:v>101827985</c:v>
                </c:pt>
                <c:pt idx="4874">
                  <c:v>156357344</c:v>
                </c:pt>
                <c:pt idx="4875">
                  <c:v>127418491</c:v>
                </c:pt>
                <c:pt idx="4876">
                  <c:v>127218475</c:v>
                </c:pt>
                <c:pt idx="4877">
                  <c:v>110249947</c:v>
                </c:pt>
                <c:pt idx="4878">
                  <c:v>119891463</c:v>
                </c:pt>
                <c:pt idx="4879">
                  <c:v>110810677</c:v>
                </c:pt>
                <c:pt idx="4880">
                  <c:v>116676778</c:v>
                </c:pt>
                <c:pt idx="4881">
                  <c:v>125140691</c:v>
                </c:pt>
                <c:pt idx="4882">
                  <c:v>41703788</c:v>
                </c:pt>
                <c:pt idx="4883">
                  <c:v>18858971</c:v>
                </c:pt>
                <c:pt idx="4884">
                  <c:v>66639850</c:v>
                </c:pt>
                <c:pt idx="4885">
                  <c:v>146429348</c:v>
                </c:pt>
                <c:pt idx="4886">
                  <c:v>135019073</c:v>
                </c:pt>
                <c:pt idx="4887">
                  <c:v>138772808</c:v>
                </c:pt>
                <c:pt idx="4888">
                  <c:v>67616206</c:v>
                </c:pt>
                <c:pt idx="4889">
                  <c:v>38560739</c:v>
                </c:pt>
                <c:pt idx="4890">
                  <c:v>54674357</c:v>
                </c:pt>
                <c:pt idx="4891">
                  <c:v>177586498</c:v>
                </c:pt>
                <c:pt idx="4892">
                  <c:v>109089853</c:v>
                </c:pt>
                <c:pt idx="4893">
                  <c:v>119168437</c:v>
                </c:pt>
                <c:pt idx="4894">
                  <c:v>141323669</c:v>
                </c:pt>
                <c:pt idx="4895">
                  <c:v>152901901</c:v>
                </c:pt>
                <c:pt idx="4896">
                  <c:v>148414151</c:v>
                </c:pt>
                <c:pt idx="4897">
                  <c:v>75968129</c:v>
                </c:pt>
                <c:pt idx="4898">
                  <c:v>87957952</c:v>
                </c:pt>
                <c:pt idx="4899">
                  <c:v>147698307</c:v>
                </c:pt>
                <c:pt idx="4900">
                  <c:v>89849706</c:v>
                </c:pt>
                <c:pt idx="4901">
                  <c:v>50720986</c:v>
                </c:pt>
                <c:pt idx="4902">
                  <c:v>136489013</c:v>
                </c:pt>
                <c:pt idx="4903">
                  <c:v>85638948</c:v>
                </c:pt>
                <c:pt idx="4904">
                  <c:v>121995460</c:v>
                </c:pt>
                <c:pt idx="4905">
                  <c:v>153100568</c:v>
                </c:pt>
                <c:pt idx="4906">
                  <c:v>147451835</c:v>
                </c:pt>
                <c:pt idx="4907">
                  <c:v>57930969</c:v>
                </c:pt>
                <c:pt idx="4908">
                  <c:v>47825930</c:v>
                </c:pt>
                <c:pt idx="4909">
                  <c:v>151404941</c:v>
                </c:pt>
                <c:pt idx="4910">
                  <c:v>81577875</c:v>
                </c:pt>
                <c:pt idx="4911">
                  <c:v>153687415</c:v>
                </c:pt>
                <c:pt idx="4912">
                  <c:v>34683251</c:v>
                </c:pt>
                <c:pt idx="4913">
                  <c:v>108797607</c:v>
                </c:pt>
                <c:pt idx="4914">
                  <c:v>126399390</c:v>
                </c:pt>
                <c:pt idx="4915">
                  <c:v>35336057</c:v>
                </c:pt>
                <c:pt idx="4916">
                  <c:v>125777123</c:v>
                </c:pt>
                <c:pt idx="4917">
                  <c:v>24902013</c:v>
                </c:pt>
                <c:pt idx="4918">
                  <c:v>106436292</c:v>
                </c:pt>
                <c:pt idx="4919">
                  <c:v>144260253</c:v>
                </c:pt>
                <c:pt idx="4920">
                  <c:v>135617594</c:v>
                </c:pt>
                <c:pt idx="4921">
                  <c:v>150121557</c:v>
                </c:pt>
                <c:pt idx="4922">
                  <c:v>96940350</c:v>
                </c:pt>
                <c:pt idx="4923">
                  <c:v>117687594</c:v>
                </c:pt>
                <c:pt idx="4924">
                  <c:v>77300349</c:v>
                </c:pt>
                <c:pt idx="4925">
                  <c:v>84454234</c:v>
                </c:pt>
                <c:pt idx="4926">
                  <c:v>49568326</c:v>
                </c:pt>
                <c:pt idx="4927">
                  <c:v>155512569</c:v>
                </c:pt>
                <c:pt idx="4928">
                  <c:v>80323786</c:v>
                </c:pt>
                <c:pt idx="4929">
                  <c:v>122679044</c:v>
                </c:pt>
                <c:pt idx="4930">
                  <c:v>152321145</c:v>
                </c:pt>
                <c:pt idx="4931">
                  <c:v>164784104</c:v>
                </c:pt>
                <c:pt idx="4932">
                  <c:v>0</c:v>
                </c:pt>
                <c:pt idx="4933">
                  <c:v>63133149</c:v>
                </c:pt>
                <c:pt idx="4934">
                  <c:v>86028468</c:v>
                </c:pt>
                <c:pt idx="4935">
                  <c:v>131496703</c:v>
                </c:pt>
                <c:pt idx="4936">
                  <c:v>120131385</c:v>
                </c:pt>
                <c:pt idx="4937">
                  <c:v>78605989</c:v>
                </c:pt>
                <c:pt idx="4938">
                  <c:v>128973539</c:v>
                </c:pt>
                <c:pt idx="4939">
                  <c:v>79472639</c:v>
                </c:pt>
                <c:pt idx="4940">
                  <c:v>115394813</c:v>
                </c:pt>
                <c:pt idx="4941">
                  <c:v>146866043</c:v>
                </c:pt>
                <c:pt idx="4942">
                  <c:v>1907794</c:v>
                </c:pt>
                <c:pt idx="4943">
                  <c:v>127618071</c:v>
                </c:pt>
                <c:pt idx="4944">
                  <c:v>158607545</c:v>
                </c:pt>
                <c:pt idx="4945">
                  <c:v>138899922</c:v>
                </c:pt>
                <c:pt idx="4946">
                  <c:v>136773145</c:v>
                </c:pt>
                <c:pt idx="4947">
                  <c:v>136201139</c:v>
                </c:pt>
                <c:pt idx="4948">
                  <c:v>92059525</c:v>
                </c:pt>
                <c:pt idx="4949">
                  <c:v>62625421</c:v>
                </c:pt>
                <c:pt idx="4950">
                  <c:v>92421795</c:v>
                </c:pt>
                <c:pt idx="4951">
                  <c:v>34021519</c:v>
                </c:pt>
                <c:pt idx="4952">
                  <c:v>143752157</c:v>
                </c:pt>
                <c:pt idx="4953">
                  <c:v>70010225</c:v>
                </c:pt>
                <c:pt idx="4954">
                  <c:v>150909491</c:v>
                </c:pt>
                <c:pt idx="4955">
                  <c:v>153644785</c:v>
                </c:pt>
                <c:pt idx="4956">
                  <c:v>138257320</c:v>
                </c:pt>
                <c:pt idx="4957">
                  <c:v>8238574</c:v>
                </c:pt>
                <c:pt idx="4958">
                  <c:v>143126384</c:v>
                </c:pt>
                <c:pt idx="4959">
                  <c:v>17304779</c:v>
                </c:pt>
                <c:pt idx="4960">
                  <c:v>148489731</c:v>
                </c:pt>
                <c:pt idx="4961">
                  <c:v>95244307</c:v>
                </c:pt>
                <c:pt idx="4962">
                  <c:v>124923251</c:v>
                </c:pt>
                <c:pt idx="4963">
                  <c:v>121537072</c:v>
                </c:pt>
                <c:pt idx="4964">
                  <c:v>153601959</c:v>
                </c:pt>
                <c:pt idx="4965">
                  <c:v>107919159</c:v>
                </c:pt>
                <c:pt idx="4966">
                  <c:v>107031217</c:v>
                </c:pt>
                <c:pt idx="4967">
                  <c:v>121073785</c:v>
                </c:pt>
                <c:pt idx="4968">
                  <c:v>126192458</c:v>
                </c:pt>
                <c:pt idx="4969">
                  <c:v>144659739</c:v>
                </c:pt>
                <c:pt idx="4970">
                  <c:v>135321121</c:v>
                </c:pt>
                <c:pt idx="4971">
                  <c:v>111639499</c:v>
                </c:pt>
                <c:pt idx="4972">
                  <c:v>137994942</c:v>
                </c:pt>
                <c:pt idx="4973">
                  <c:v>127016267</c:v>
                </c:pt>
                <c:pt idx="4974">
                  <c:v>72335023</c:v>
                </c:pt>
                <c:pt idx="4975">
                  <c:v>108212719</c:v>
                </c:pt>
                <c:pt idx="4976">
                  <c:v>169582185</c:v>
                </c:pt>
                <c:pt idx="4977">
                  <c:v>141555677</c:v>
                </c:pt>
                <c:pt idx="4978">
                  <c:v>114874784</c:v>
                </c:pt>
                <c:pt idx="4979">
                  <c:v>132001852</c:v>
                </c:pt>
                <c:pt idx="4980">
                  <c:v>141901455</c:v>
                </c:pt>
                <c:pt idx="4981">
                  <c:v>129536931</c:v>
                </c:pt>
                <c:pt idx="4982">
                  <c:v>26372769</c:v>
                </c:pt>
                <c:pt idx="4983">
                  <c:v>90225083</c:v>
                </c:pt>
                <c:pt idx="4984">
                  <c:v>137191400</c:v>
                </c:pt>
                <c:pt idx="4985">
                  <c:v>135470401</c:v>
                </c:pt>
                <c:pt idx="4986">
                  <c:v>123584293</c:v>
                </c:pt>
                <c:pt idx="4987">
                  <c:v>121766587</c:v>
                </c:pt>
                <c:pt idx="4988">
                  <c:v>98929366</c:v>
                </c:pt>
                <c:pt idx="4989">
                  <c:v>18082829</c:v>
                </c:pt>
                <c:pt idx="4990">
                  <c:v>139026785</c:v>
                </c:pt>
                <c:pt idx="4991">
                  <c:v>156528820</c:v>
                </c:pt>
                <c:pt idx="4992">
                  <c:v>61594580</c:v>
                </c:pt>
                <c:pt idx="4993">
                  <c:v>71410282</c:v>
                </c:pt>
                <c:pt idx="4994">
                  <c:v>113809357</c:v>
                </c:pt>
                <c:pt idx="4995">
                  <c:v>123132166</c:v>
                </c:pt>
                <c:pt idx="4996">
                  <c:v>127813871</c:v>
                </c:pt>
                <c:pt idx="4997">
                  <c:v>55221941</c:v>
                </c:pt>
                <c:pt idx="4998">
                  <c:v>27097657</c:v>
                </c:pt>
                <c:pt idx="4999">
                  <c:v>129351603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77-4651-B25F-1CDF288DC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983375"/>
        <c:axId val="887808719"/>
      </c:scatterChart>
      <c:valAx>
        <c:axId val="104998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Item Percent Rank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08719"/>
        <c:crosses val="autoZero"/>
        <c:crossBetween val="midCat"/>
      </c:valAx>
      <c:valAx>
        <c:axId val="88780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Cumulative Consumption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983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8</xdr:row>
      <xdr:rowOff>200024</xdr:rowOff>
    </xdr:from>
    <xdr:to>
      <xdr:col>27</xdr:col>
      <xdr:colOff>9524</xdr:colOff>
      <xdr:row>27</xdr:row>
      <xdr:rowOff>185736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4BDAFA-FFBB-1914-A16E-D126AB498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olamon" refreshedDate="44988.331104050929" createdVersion="8" refreshedVersion="8" minRefreshableVersion="3" recordCount="5000" xr:uid="{30764AA0-3631-41BF-A9EA-F360A59E4056}">
  <cacheSource type="worksheet">
    <worksheetSource ref="B5:P5005" sheet="Item Master"/>
  </cacheSource>
  <cacheFields count="15">
    <cacheField name="Item Class" numFmtId="0">
      <sharedItems count="3">
        <s v="Production Item"/>
        <s v="Service Item"/>
        <s v="Retail Item"/>
      </sharedItems>
    </cacheField>
    <cacheField name="Related Instrument/Accessory" numFmtId="0">
      <sharedItems count="28">
        <s v="Grand Piano"/>
        <s v="Upright Piano"/>
        <s v="Electric Keyboard"/>
        <s v="Violin"/>
        <s v="Viola"/>
        <s v="Cello"/>
        <s v="Bass"/>
        <s v="Acoustic Guitar"/>
        <s v="Electric Guitar"/>
        <s v="Clarinet"/>
        <s v="Saxophone"/>
        <s v="Flute"/>
        <s v="Piccolo"/>
        <s v="Oboe"/>
        <s v="Bassoon"/>
        <s v="French Horn"/>
        <s v="Trumpet"/>
        <s v="Trombone"/>
        <s v="Tuba"/>
        <s v="Snare Drum"/>
        <s v="Timpani"/>
        <s v="Bass Drum"/>
        <s v="Cymbal"/>
        <s v="Theremin"/>
        <s v="Synthesizer"/>
        <s v="Software"/>
        <s v="Instructional Material"/>
        <s v="Musical Accessories"/>
      </sharedItems>
    </cacheField>
    <cacheField name="Instrument Family" numFmtId="0">
      <sharedItems count="6">
        <s v="Pianos"/>
        <s v="Strings"/>
        <s v="Woodwinds"/>
        <s v="Brass"/>
        <s v="Percussion"/>
        <s v="Other"/>
      </sharedItems>
    </cacheField>
    <cacheField name="Class Prefix" numFmtId="0">
      <sharedItems containsSemiMixedTypes="0" containsString="0" containsNumber="1" containsInteger="1" minValue="1" maxValue="3"/>
    </cacheField>
    <cacheField name="Instrument Infix" numFmtId="0">
      <sharedItems containsSemiMixedTypes="0" containsString="0" containsNumber="1" containsInteger="1" minValue="10" maxValue="64"/>
    </cacheField>
    <cacheField name="Model Infix" numFmtId="0">
      <sharedItems/>
    </cacheField>
    <cacheField name="Item Suffix" numFmtId="0">
      <sharedItems/>
    </cacheField>
    <cacheField name="Item Number" numFmtId="0">
      <sharedItems/>
    </cacheField>
    <cacheField name="Item Description" numFmtId="0">
      <sharedItems/>
    </cacheField>
    <cacheField name="Unique" numFmtId="0">
      <sharedItems/>
    </cacheField>
    <cacheField name="Inventory" numFmtId="37">
      <sharedItems containsSemiMixedTypes="0" containsString="0" containsNumber="1" containsInteger="1" minValue="0" maxValue="9994"/>
    </cacheField>
    <cacheField name="Standard Cost" numFmtId="5">
      <sharedItems containsSemiMixedTypes="0" containsString="0" containsNumber="1" containsInteger="1" minValue="1" maxValue="1000000"/>
    </cacheField>
    <cacheField name="Annual Consumption" numFmtId="37">
      <sharedItems containsSemiMixedTypes="0" containsString="0" containsNumber="1" containsInteger="1" minValue="0" maxValue="27000"/>
    </cacheField>
    <cacheField name="Inventory Value" numFmtId="44">
      <sharedItems containsSemiMixedTypes="0" containsString="0" containsNumber="1" containsInteger="1" minValue="0" maxValue="42496000"/>
    </cacheField>
    <cacheField name="Consumption Value" numFmtId="44">
      <sharedItems containsSemiMixedTypes="0" containsString="0" containsNumber="1" containsInteger="1" minValue="0" maxValue="94119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n v="1"/>
    <n v="10"/>
    <s v="00"/>
    <s v="000"/>
    <s v="11000-000"/>
    <s v="Grand piano production item #000"/>
    <s v="UNIQUE"/>
    <n v="1"/>
    <n v="4"/>
    <n v="19"/>
    <n v="4"/>
    <n v="76"/>
  </r>
  <r>
    <x v="0"/>
    <x v="0"/>
    <x v="0"/>
    <n v="1"/>
    <n v="10"/>
    <s v="00"/>
    <s v="001"/>
    <s v="11000-001"/>
    <s v="Grand piano production item #001"/>
    <s v="UNIQUE"/>
    <n v="758"/>
    <n v="125"/>
    <n v="19"/>
    <n v="94750"/>
    <n v="2375"/>
  </r>
  <r>
    <x v="0"/>
    <x v="0"/>
    <x v="0"/>
    <n v="1"/>
    <n v="10"/>
    <s v="00"/>
    <s v="002"/>
    <s v="11000-002"/>
    <s v="Grand piano production item #002"/>
    <s v="UNIQUE"/>
    <n v="0"/>
    <n v="216"/>
    <n v="324"/>
    <n v="0"/>
    <n v="69984"/>
  </r>
  <r>
    <x v="0"/>
    <x v="0"/>
    <x v="0"/>
    <n v="1"/>
    <n v="10"/>
    <s v="00"/>
    <s v="003"/>
    <s v="11000-003"/>
    <s v="Grand piano production item #003"/>
    <s v="UNIQUE"/>
    <n v="7989"/>
    <n v="10"/>
    <n v="19"/>
    <n v="79890"/>
    <n v="190"/>
  </r>
  <r>
    <x v="0"/>
    <x v="0"/>
    <x v="0"/>
    <n v="1"/>
    <n v="10"/>
    <s v="00"/>
    <s v="004"/>
    <s v="11000-004"/>
    <s v="Grand piano production item #004"/>
    <s v="UNIQUE"/>
    <n v="7759"/>
    <n v="25"/>
    <n v="15625"/>
    <n v="193975"/>
    <n v="390625"/>
  </r>
  <r>
    <x v="0"/>
    <x v="0"/>
    <x v="0"/>
    <n v="1"/>
    <n v="10"/>
    <s v="00"/>
    <s v="005"/>
    <s v="11000-005"/>
    <s v="Grand piano production item #005"/>
    <s v="UNIQUE"/>
    <n v="0"/>
    <n v="27"/>
    <n v="22"/>
    <n v="0"/>
    <n v="594"/>
  </r>
  <r>
    <x v="0"/>
    <x v="0"/>
    <x v="0"/>
    <n v="1"/>
    <n v="10"/>
    <s v="00"/>
    <s v="006"/>
    <s v="11000-006"/>
    <s v="Grand piano production item #006"/>
    <s v="UNIQUE"/>
    <n v="0"/>
    <n v="81"/>
    <n v="125"/>
    <n v="0"/>
    <n v="10125"/>
  </r>
  <r>
    <x v="0"/>
    <x v="0"/>
    <x v="0"/>
    <n v="1"/>
    <n v="10"/>
    <s v="00"/>
    <s v="007"/>
    <s v="11000-007"/>
    <s v="Grand piano production item #007"/>
    <s v="UNIQUE"/>
    <n v="0"/>
    <n v="1"/>
    <n v="21952"/>
    <n v="0"/>
    <n v="21952"/>
  </r>
  <r>
    <x v="0"/>
    <x v="0"/>
    <x v="0"/>
    <n v="1"/>
    <n v="10"/>
    <s v="00"/>
    <s v="008"/>
    <s v="11000-008"/>
    <s v="Grand piano production item #008"/>
    <s v="UNIQUE"/>
    <n v="1"/>
    <n v="4"/>
    <n v="1728"/>
    <n v="4"/>
    <n v="6912"/>
  </r>
  <r>
    <x v="0"/>
    <x v="0"/>
    <x v="0"/>
    <n v="1"/>
    <n v="10"/>
    <s v="00"/>
    <s v="009"/>
    <s v="11000-009"/>
    <s v="Grand piano production item #009"/>
    <s v="UNIQUE"/>
    <n v="2"/>
    <n v="27"/>
    <n v="17576"/>
    <n v="54"/>
    <n v="474552"/>
  </r>
  <r>
    <x v="0"/>
    <x v="0"/>
    <x v="0"/>
    <n v="1"/>
    <n v="10"/>
    <s v="00"/>
    <s v="010"/>
    <s v="11000-010"/>
    <s v="Grand piano production item #010"/>
    <s v="UNIQUE"/>
    <n v="0"/>
    <n v="216"/>
    <n v="5832"/>
    <n v="0"/>
    <n v="1259712"/>
  </r>
  <r>
    <x v="0"/>
    <x v="0"/>
    <x v="0"/>
    <n v="1"/>
    <n v="10"/>
    <s v="00"/>
    <s v="011"/>
    <s v="11000-011"/>
    <s v="Grand piano production item #011"/>
    <s v="UNIQUE"/>
    <n v="6800"/>
    <n v="10"/>
    <n v="17576"/>
    <n v="68000"/>
    <n v="175760"/>
  </r>
  <r>
    <x v="0"/>
    <x v="0"/>
    <x v="0"/>
    <n v="1"/>
    <n v="10"/>
    <s v="00"/>
    <s v="012"/>
    <s v="11000-012"/>
    <s v="Grand piano production item #012"/>
    <s v="UNIQUE"/>
    <n v="0"/>
    <n v="125"/>
    <n v="100"/>
    <n v="0"/>
    <n v="12500"/>
  </r>
  <r>
    <x v="0"/>
    <x v="0"/>
    <x v="0"/>
    <n v="1"/>
    <n v="10"/>
    <s v="00"/>
    <s v="013"/>
    <s v="11000-013"/>
    <s v="Grand piano production item #013"/>
    <s v="UNIQUE"/>
    <n v="0"/>
    <n v="49"/>
    <n v="21"/>
    <n v="0"/>
    <n v="1029"/>
  </r>
  <r>
    <x v="0"/>
    <x v="0"/>
    <x v="0"/>
    <n v="1"/>
    <n v="10"/>
    <s v="00"/>
    <s v="014"/>
    <s v="11000-014"/>
    <s v="Grand piano production item #014"/>
    <s v="UNIQUE"/>
    <n v="874"/>
    <n v="8"/>
    <n v="28"/>
    <n v="6992"/>
    <n v="224"/>
  </r>
  <r>
    <x v="0"/>
    <x v="0"/>
    <x v="0"/>
    <n v="1"/>
    <n v="10"/>
    <s v="00"/>
    <s v="015"/>
    <s v="11000-015"/>
    <s v="Grand piano production item #015"/>
    <s v="UNIQUE"/>
    <n v="0"/>
    <n v="1"/>
    <n v="13"/>
    <n v="0"/>
    <n v="13"/>
  </r>
  <r>
    <x v="0"/>
    <x v="0"/>
    <x v="0"/>
    <n v="1"/>
    <n v="10"/>
    <s v="00"/>
    <s v="016"/>
    <s v="11000-016"/>
    <s v="Grand piano production item #016"/>
    <s v="UNIQUE"/>
    <n v="0"/>
    <n v="3"/>
    <n v="36"/>
    <n v="0"/>
    <n v="108"/>
  </r>
  <r>
    <x v="0"/>
    <x v="0"/>
    <x v="0"/>
    <n v="1"/>
    <n v="10"/>
    <s v="00"/>
    <s v="017"/>
    <s v="11000-017"/>
    <s v="Grand piano production item #017"/>
    <s v="UNIQUE"/>
    <n v="0"/>
    <n v="16"/>
    <n v="400"/>
    <n v="0"/>
    <n v="6400"/>
  </r>
  <r>
    <x v="0"/>
    <x v="0"/>
    <x v="0"/>
    <n v="1"/>
    <n v="10"/>
    <s v="00"/>
    <s v="018"/>
    <s v="11000-018"/>
    <s v="Grand piano production item #018"/>
    <s v="UNIQUE"/>
    <n v="0"/>
    <n v="10"/>
    <n v="676"/>
    <n v="0"/>
    <n v="6760"/>
  </r>
  <r>
    <x v="0"/>
    <x v="0"/>
    <x v="0"/>
    <n v="1"/>
    <n v="10"/>
    <s v="00"/>
    <s v="019"/>
    <s v="11000-019"/>
    <s v="Grand piano production item #019"/>
    <s v="UNIQUE"/>
    <n v="72"/>
    <n v="7"/>
    <n v="100"/>
    <n v="504"/>
    <n v="700"/>
  </r>
  <r>
    <x v="0"/>
    <x v="0"/>
    <x v="0"/>
    <n v="1"/>
    <n v="10"/>
    <s v="00"/>
    <s v="020"/>
    <s v="11000-020"/>
    <s v="Grand piano production item #020"/>
    <s v="UNIQUE"/>
    <n v="7"/>
    <n v="7"/>
    <n v="144"/>
    <n v="49"/>
    <n v="1008"/>
  </r>
  <r>
    <x v="0"/>
    <x v="0"/>
    <x v="0"/>
    <n v="1"/>
    <n v="10"/>
    <s v="00"/>
    <s v="021"/>
    <s v="11000-021"/>
    <s v="Grand piano production item #021"/>
    <s v="UNIQUE"/>
    <n v="1"/>
    <n v="25"/>
    <n v="24"/>
    <n v="25"/>
    <n v="600"/>
  </r>
  <r>
    <x v="0"/>
    <x v="0"/>
    <x v="0"/>
    <n v="1"/>
    <n v="10"/>
    <s v="00"/>
    <s v="022"/>
    <s v="11000-022"/>
    <s v="Grand piano production item #022"/>
    <s v="UNIQUE"/>
    <n v="667"/>
    <n v="1"/>
    <n v="8"/>
    <n v="667"/>
    <n v="8"/>
  </r>
  <r>
    <x v="0"/>
    <x v="0"/>
    <x v="0"/>
    <n v="1"/>
    <n v="10"/>
    <s v="00"/>
    <s v="023"/>
    <s v="11000-023"/>
    <s v="Grand piano production item #023"/>
    <s v="UNIQUE"/>
    <n v="1"/>
    <n v="36"/>
    <n v="512"/>
    <n v="36"/>
    <n v="18432"/>
  </r>
  <r>
    <x v="0"/>
    <x v="0"/>
    <x v="0"/>
    <n v="1"/>
    <n v="10"/>
    <s v="00"/>
    <s v="024"/>
    <s v="11000-024"/>
    <s v="Grand piano production item #024"/>
    <s v="UNIQUE"/>
    <n v="69"/>
    <n v="3"/>
    <n v="10648"/>
    <n v="207"/>
    <n v="31944"/>
  </r>
  <r>
    <x v="0"/>
    <x v="0"/>
    <x v="0"/>
    <n v="1"/>
    <n v="10"/>
    <s v="00"/>
    <s v="025"/>
    <s v="11000-025"/>
    <s v="Grand piano production item #025"/>
    <s v="UNIQUE"/>
    <n v="0"/>
    <n v="4"/>
    <n v="216"/>
    <n v="0"/>
    <n v="864"/>
  </r>
  <r>
    <x v="0"/>
    <x v="0"/>
    <x v="0"/>
    <n v="1"/>
    <n v="10"/>
    <s v="00"/>
    <s v="026"/>
    <s v="11000-026"/>
    <s v="Grand piano production item #026"/>
    <s v="UNIQUE"/>
    <n v="0"/>
    <n v="64"/>
    <n v="21952"/>
    <n v="0"/>
    <n v="1404928"/>
  </r>
  <r>
    <x v="0"/>
    <x v="0"/>
    <x v="0"/>
    <n v="1"/>
    <n v="10"/>
    <s v="00"/>
    <s v="027"/>
    <s v="11000-027"/>
    <s v="Grand piano production item #027"/>
    <s v="UNIQUE"/>
    <n v="0"/>
    <n v="25"/>
    <n v="36"/>
    <n v="0"/>
    <n v="900"/>
  </r>
  <r>
    <x v="0"/>
    <x v="0"/>
    <x v="0"/>
    <n v="1"/>
    <n v="10"/>
    <s v="00"/>
    <s v="028"/>
    <s v="11000-028"/>
    <s v="Grand piano production item #028"/>
    <s v="UNIQUE"/>
    <n v="0"/>
    <n v="25"/>
    <n v="225"/>
    <n v="0"/>
    <n v="5625"/>
  </r>
  <r>
    <x v="0"/>
    <x v="0"/>
    <x v="0"/>
    <n v="1"/>
    <n v="10"/>
    <s v="00"/>
    <s v="029"/>
    <s v="11000-029"/>
    <s v="Grand piano production item #029"/>
    <s v="UNIQUE"/>
    <n v="0"/>
    <n v="81"/>
    <n v="1"/>
    <n v="0"/>
    <n v="81"/>
  </r>
  <r>
    <x v="0"/>
    <x v="0"/>
    <x v="0"/>
    <n v="1"/>
    <n v="10"/>
    <s v="00"/>
    <s v="030"/>
    <s v="11000-030"/>
    <s v="Grand piano production item #030"/>
    <s v="UNIQUE"/>
    <n v="65"/>
    <n v="64"/>
    <n v="29"/>
    <n v="4160"/>
    <n v="1856"/>
  </r>
  <r>
    <x v="0"/>
    <x v="0"/>
    <x v="0"/>
    <n v="1"/>
    <n v="10"/>
    <s v="00"/>
    <s v="031"/>
    <s v="11000-031"/>
    <s v="Grand piano production item #031"/>
    <s v="UNIQUE"/>
    <n v="0"/>
    <n v="36"/>
    <n v="2"/>
    <n v="0"/>
    <n v="72"/>
  </r>
  <r>
    <x v="0"/>
    <x v="0"/>
    <x v="0"/>
    <n v="1"/>
    <n v="10"/>
    <s v="00"/>
    <s v="032"/>
    <s v="11000-032"/>
    <s v="Grand piano production item #032"/>
    <s v="UNIQUE"/>
    <n v="0"/>
    <n v="4"/>
    <n v="169"/>
    <n v="0"/>
    <n v="676"/>
  </r>
  <r>
    <x v="0"/>
    <x v="0"/>
    <x v="0"/>
    <n v="1"/>
    <n v="10"/>
    <s v="00"/>
    <s v="033"/>
    <s v="11000-033"/>
    <s v="Grand piano production item #033"/>
    <s v="UNIQUE"/>
    <n v="0"/>
    <n v="3"/>
    <n v="20"/>
    <n v="0"/>
    <n v="60"/>
  </r>
  <r>
    <x v="0"/>
    <x v="0"/>
    <x v="0"/>
    <n v="1"/>
    <n v="10"/>
    <s v="00"/>
    <s v="034"/>
    <s v="11000-034"/>
    <s v="Grand piano production item #034"/>
    <s v="UNIQUE"/>
    <n v="0"/>
    <n v="4"/>
    <n v="64"/>
    <n v="0"/>
    <n v="256"/>
  </r>
  <r>
    <x v="0"/>
    <x v="0"/>
    <x v="0"/>
    <n v="1"/>
    <n v="10"/>
    <s v="00"/>
    <s v="035"/>
    <s v="11000-035"/>
    <s v="Grand piano production item #035"/>
    <s v="UNIQUE"/>
    <n v="922"/>
    <n v="81"/>
    <n v="21952"/>
    <n v="74682"/>
    <n v="1778112"/>
  </r>
  <r>
    <x v="0"/>
    <x v="0"/>
    <x v="0"/>
    <n v="1"/>
    <n v="10"/>
    <s v="00"/>
    <s v="036"/>
    <s v="11000-036"/>
    <s v="Grand piano production item #036"/>
    <s v="UNIQUE"/>
    <n v="0"/>
    <n v="2"/>
    <n v="125"/>
    <n v="0"/>
    <n v="250"/>
  </r>
  <r>
    <x v="0"/>
    <x v="0"/>
    <x v="0"/>
    <n v="1"/>
    <n v="10"/>
    <s v="00"/>
    <s v="037"/>
    <s v="11000-037"/>
    <s v="Grand piano production item #037"/>
    <s v="UNIQUE"/>
    <n v="817"/>
    <n v="9"/>
    <n v="4"/>
    <n v="7353"/>
    <n v="36"/>
  </r>
  <r>
    <x v="0"/>
    <x v="0"/>
    <x v="0"/>
    <n v="1"/>
    <n v="10"/>
    <s v="00"/>
    <s v="038"/>
    <s v="11000-038"/>
    <s v="Grand piano production item #038"/>
    <s v="UNIQUE"/>
    <n v="0"/>
    <n v="7"/>
    <n v="225"/>
    <n v="0"/>
    <n v="1575"/>
  </r>
  <r>
    <x v="0"/>
    <x v="0"/>
    <x v="0"/>
    <n v="1"/>
    <n v="10"/>
    <s v="00"/>
    <s v="039"/>
    <s v="11000-039"/>
    <s v="Grand piano production item #039"/>
    <s v="UNIQUE"/>
    <n v="995"/>
    <n v="8"/>
    <n v="12167"/>
    <n v="7960"/>
    <n v="97336"/>
  </r>
  <r>
    <x v="0"/>
    <x v="0"/>
    <x v="0"/>
    <n v="1"/>
    <n v="10"/>
    <s v="00"/>
    <s v="040"/>
    <s v="11000-040"/>
    <s v="Grand piano production item #040"/>
    <s v="UNIQUE"/>
    <n v="36"/>
    <n v="16"/>
    <n v="361"/>
    <n v="576"/>
    <n v="5776"/>
  </r>
  <r>
    <x v="0"/>
    <x v="0"/>
    <x v="0"/>
    <n v="1"/>
    <n v="10"/>
    <s v="00"/>
    <s v="041"/>
    <s v="11000-041"/>
    <s v="Grand piano production item #041"/>
    <s v="UNIQUE"/>
    <n v="0"/>
    <n v="100"/>
    <n v="2744"/>
    <n v="0"/>
    <n v="274400"/>
  </r>
  <r>
    <x v="0"/>
    <x v="0"/>
    <x v="0"/>
    <n v="1"/>
    <n v="10"/>
    <s v="00"/>
    <s v="042"/>
    <s v="11000-042"/>
    <s v="Grand piano production item #042"/>
    <s v="UNIQUE"/>
    <n v="235"/>
    <n v="81"/>
    <n v="19"/>
    <n v="19035"/>
    <n v="1539"/>
  </r>
  <r>
    <x v="0"/>
    <x v="0"/>
    <x v="0"/>
    <n v="1"/>
    <n v="10"/>
    <s v="00"/>
    <s v="043"/>
    <s v="11000-043"/>
    <s v="Grand piano production item #043"/>
    <s v="UNIQUE"/>
    <n v="519"/>
    <n v="100"/>
    <n v="9261"/>
    <n v="51900"/>
    <n v="926100"/>
  </r>
  <r>
    <x v="0"/>
    <x v="0"/>
    <x v="0"/>
    <n v="1"/>
    <n v="10"/>
    <s v="00"/>
    <s v="044"/>
    <s v="11000-044"/>
    <s v="Grand piano production item #044"/>
    <s v="UNIQUE"/>
    <n v="0"/>
    <n v="100"/>
    <n v="576"/>
    <n v="0"/>
    <n v="57600"/>
  </r>
  <r>
    <x v="0"/>
    <x v="0"/>
    <x v="0"/>
    <n v="1"/>
    <n v="10"/>
    <s v="00"/>
    <s v="045"/>
    <s v="11000-045"/>
    <s v="Grand piano production item #045"/>
    <s v="UNIQUE"/>
    <n v="0"/>
    <n v="49"/>
    <n v="25"/>
    <n v="0"/>
    <n v="1225"/>
  </r>
  <r>
    <x v="0"/>
    <x v="0"/>
    <x v="0"/>
    <n v="1"/>
    <n v="10"/>
    <s v="00"/>
    <s v="046"/>
    <s v="11000-046"/>
    <s v="Grand piano production item #046"/>
    <s v="UNIQUE"/>
    <n v="0"/>
    <n v="343"/>
    <n v="343"/>
    <n v="0"/>
    <n v="117649"/>
  </r>
  <r>
    <x v="0"/>
    <x v="0"/>
    <x v="0"/>
    <n v="1"/>
    <n v="10"/>
    <s v="00"/>
    <s v="047"/>
    <s v="11000-047"/>
    <s v="Grand piano production item #047"/>
    <s v="UNIQUE"/>
    <n v="869"/>
    <n v="125"/>
    <n v="1331"/>
    <n v="108625"/>
    <n v="166375"/>
  </r>
  <r>
    <x v="0"/>
    <x v="0"/>
    <x v="0"/>
    <n v="1"/>
    <n v="10"/>
    <s v="00"/>
    <s v="048"/>
    <s v="11000-048"/>
    <s v="Grand piano production item #048"/>
    <s v="UNIQUE"/>
    <n v="1777"/>
    <n v="1"/>
    <n v="16"/>
    <n v="1777"/>
    <n v="16"/>
  </r>
  <r>
    <x v="0"/>
    <x v="0"/>
    <x v="0"/>
    <n v="1"/>
    <n v="10"/>
    <s v="00"/>
    <s v="049"/>
    <s v="11000-049"/>
    <s v="Grand piano production item #049"/>
    <s v="UNIQUE"/>
    <n v="0"/>
    <n v="512"/>
    <n v="1"/>
    <n v="0"/>
    <n v="512"/>
  </r>
  <r>
    <x v="0"/>
    <x v="0"/>
    <x v="0"/>
    <n v="1"/>
    <n v="10"/>
    <s v="00"/>
    <s v="050"/>
    <s v="11000-050"/>
    <s v="Grand piano production item #050"/>
    <s v="UNIQUE"/>
    <n v="0"/>
    <n v="4"/>
    <n v="15"/>
    <n v="0"/>
    <n v="60"/>
  </r>
  <r>
    <x v="0"/>
    <x v="0"/>
    <x v="0"/>
    <n v="1"/>
    <n v="10"/>
    <s v="00"/>
    <s v="051"/>
    <s v="11000-051"/>
    <s v="Grand piano production item #051"/>
    <s v="UNIQUE"/>
    <n v="0"/>
    <n v="5"/>
    <n v="4913"/>
    <n v="0"/>
    <n v="24565"/>
  </r>
  <r>
    <x v="0"/>
    <x v="0"/>
    <x v="0"/>
    <n v="1"/>
    <n v="10"/>
    <s v="00"/>
    <s v="052"/>
    <s v="11000-052"/>
    <s v="Grand piano production item #052"/>
    <s v="UNIQUE"/>
    <n v="5"/>
    <n v="9"/>
    <n v="10648"/>
    <n v="45"/>
    <n v="95832"/>
  </r>
  <r>
    <x v="0"/>
    <x v="0"/>
    <x v="0"/>
    <n v="1"/>
    <n v="10"/>
    <s v="00"/>
    <s v="053"/>
    <s v="11000-053"/>
    <s v="Grand piano production item #053"/>
    <s v="UNIQUE"/>
    <n v="5"/>
    <n v="8"/>
    <n v="5832"/>
    <n v="40"/>
    <n v="46656"/>
  </r>
  <r>
    <x v="0"/>
    <x v="0"/>
    <x v="0"/>
    <n v="1"/>
    <n v="10"/>
    <s v="00"/>
    <s v="054"/>
    <s v="11000-054"/>
    <s v="Grand piano production item #054"/>
    <s v="UNIQUE"/>
    <n v="0"/>
    <n v="49"/>
    <n v="27"/>
    <n v="0"/>
    <n v="1323"/>
  </r>
  <r>
    <x v="0"/>
    <x v="0"/>
    <x v="0"/>
    <n v="1"/>
    <n v="10"/>
    <s v="00"/>
    <s v="055"/>
    <s v="11000-055"/>
    <s v="Grand piano production item #055"/>
    <s v="UNIQUE"/>
    <n v="0"/>
    <n v="64"/>
    <n v="18"/>
    <n v="0"/>
    <n v="1152"/>
  </r>
  <r>
    <x v="0"/>
    <x v="0"/>
    <x v="0"/>
    <n v="1"/>
    <n v="10"/>
    <s v="00"/>
    <s v="056"/>
    <s v="11000-056"/>
    <s v="Grand piano production item #056"/>
    <s v="UNIQUE"/>
    <n v="0"/>
    <n v="9"/>
    <n v="484"/>
    <n v="0"/>
    <n v="4356"/>
  </r>
  <r>
    <x v="0"/>
    <x v="0"/>
    <x v="0"/>
    <n v="1"/>
    <n v="10"/>
    <s v="00"/>
    <s v="057"/>
    <s v="11000-057"/>
    <s v="Grand piano production item #057"/>
    <s v="UNIQUE"/>
    <n v="0"/>
    <n v="5"/>
    <n v="4096"/>
    <n v="0"/>
    <n v="20480"/>
  </r>
  <r>
    <x v="0"/>
    <x v="0"/>
    <x v="0"/>
    <n v="1"/>
    <n v="10"/>
    <s v="00"/>
    <s v="058"/>
    <s v="11000-058"/>
    <s v="Grand piano production item #058"/>
    <s v="UNIQUE"/>
    <n v="0"/>
    <n v="81"/>
    <n v="9"/>
    <n v="0"/>
    <n v="729"/>
  </r>
  <r>
    <x v="0"/>
    <x v="0"/>
    <x v="0"/>
    <n v="1"/>
    <n v="10"/>
    <s v="00"/>
    <s v="059"/>
    <s v="11000-059"/>
    <s v="Grand piano production item #059"/>
    <s v="UNIQUE"/>
    <n v="7322"/>
    <n v="81"/>
    <n v="25"/>
    <n v="593082"/>
    <n v="2025"/>
  </r>
  <r>
    <x v="0"/>
    <x v="0"/>
    <x v="0"/>
    <n v="1"/>
    <n v="10"/>
    <s v="00"/>
    <s v="060"/>
    <s v="11000-060"/>
    <s v="Grand piano production item #060"/>
    <s v="UNIQUE"/>
    <n v="0"/>
    <n v="2"/>
    <n v="7"/>
    <n v="0"/>
    <n v="14"/>
  </r>
  <r>
    <x v="0"/>
    <x v="0"/>
    <x v="0"/>
    <n v="1"/>
    <n v="10"/>
    <s v="00"/>
    <s v="061"/>
    <s v="11000-061"/>
    <s v="Grand piano production item #061"/>
    <s v="UNIQUE"/>
    <n v="0"/>
    <n v="343"/>
    <n v="2"/>
    <n v="0"/>
    <n v="686"/>
  </r>
  <r>
    <x v="0"/>
    <x v="0"/>
    <x v="0"/>
    <n v="1"/>
    <n v="10"/>
    <s v="00"/>
    <s v="062"/>
    <s v="11000-062"/>
    <s v="Grand piano production item #062"/>
    <s v="UNIQUE"/>
    <n v="0"/>
    <n v="5"/>
    <n v="20"/>
    <n v="0"/>
    <n v="100"/>
  </r>
  <r>
    <x v="0"/>
    <x v="0"/>
    <x v="0"/>
    <n v="1"/>
    <n v="10"/>
    <s v="00"/>
    <s v="063"/>
    <s v="11000-063"/>
    <s v="Grand piano production item #063"/>
    <s v="UNIQUE"/>
    <n v="88"/>
    <n v="64"/>
    <n v="2"/>
    <n v="5632"/>
    <n v="128"/>
  </r>
  <r>
    <x v="0"/>
    <x v="0"/>
    <x v="0"/>
    <n v="1"/>
    <n v="10"/>
    <s v="00"/>
    <s v="064"/>
    <s v="11000-064"/>
    <s v="Grand piano production item #064"/>
    <s v="UNIQUE"/>
    <n v="57"/>
    <n v="1000"/>
    <n v="100"/>
    <n v="57000"/>
    <n v="100000"/>
  </r>
  <r>
    <x v="0"/>
    <x v="0"/>
    <x v="0"/>
    <n v="1"/>
    <n v="10"/>
    <s v="00"/>
    <s v="065"/>
    <s v="11000-065"/>
    <s v="Grand piano production item #065"/>
    <s v="UNIQUE"/>
    <n v="0"/>
    <n v="1000"/>
    <n v="400"/>
    <n v="0"/>
    <n v="400000"/>
  </r>
  <r>
    <x v="0"/>
    <x v="0"/>
    <x v="0"/>
    <n v="1"/>
    <n v="10"/>
    <s v="00"/>
    <s v="066"/>
    <s v="11000-066"/>
    <s v="Grand piano production item #066"/>
    <s v="UNIQUE"/>
    <n v="0"/>
    <n v="9"/>
    <n v="3"/>
    <n v="0"/>
    <n v="27"/>
  </r>
  <r>
    <x v="0"/>
    <x v="0"/>
    <x v="0"/>
    <n v="1"/>
    <n v="10"/>
    <s v="00"/>
    <s v="067"/>
    <s v="11000-067"/>
    <s v="Grand piano production item #067"/>
    <s v="UNIQUE"/>
    <n v="0"/>
    <n v="1"/>
    <n v="4"/>
    <n v="0"/>
    <n v="4"/>
  </r>
  <r>
    <x v="0"/>
    <x v="0"/>
    <x v="0"/>
    <n v="1"/>
    <n v="10"/>
    <s v="00"/>
    <s v="068"/>
    <s v="11000-068"/>
    <s v="Grand piano production item #068"/>
    <s v="UNIQUE"/>
    <n v="87"/>
    <n v="9"/>
    <n v="4913"/>
    <n v="783"/>
    <n v="44217"/>
  </r>
  <r>
    <x v="0"/>
    <x v="0"/>
    <x v="0"/>
    <n v="1"/>
    <n v="10"/>
    <s v="00"/>
    <s v="069"/>
    <s v="11000-069"/>
    <s v="Grand piano production item #069"/>
    <s v="UNIQUE"/>
    <n v="0"/>
    <n v="4"/>
    <n v="8"/>
    <n v="0"/>
    <n v="32"/>
  </r>
  <r>
    <x v="0"/>
    <x v="0"/>
    <x v="0"/>
    <n v="1"/>
    <n v="10"/>
    <s v="00"/>
    <s v="070"/>
    <s v="11000-070"/>
    <s v="Grand piano production item #070"/>
    <s v="UNIQUE"/>
    <n v="0"/>
    <n v="36"/>
    <n v="0"/>
    <n v="0"/>
    <n v="0"/>
  </r>
  <r>
    <x v="0"/>
    <x v="0"/>
    <x v="0"/>
    <n v="1"/>
    <n v="10"/>
    <s v="00"/>
    <s v="071"/>
    <s v="11000-071"/>
    <s v="Grand piano production item #071"/>
    <s v="UNIQUE"/>
    <n v="0"/>
    <n v="25"/>
    <n v="6"/>
    <n v="0"/>
    <n v="150"/>
  </r>
  <r>
    <x v="0"/>
    <x v="0"/>
    <x v="0"/>
    <n v="1"/>
    <n v="10"/>
    <s v="00"/>
    <s v="072"/>
    <s v="11000-072"/>
    <s v="Grand piano production item #072"/>
    <s v="UNIQUE"/>
    <n v="26"/>
    <n v="25"/>
    <n v="324"/>
    <n v="650"/>
    <n v="8100"/>
  </r>
  <r>
    <x v="0"/>
    <x v="0"/>
    <x v="0"/>
    <n v="1"/>
    <n v="10"/>
    <s v="00"/>
    <s v="073"/>
    <s v="11000-073"/>
    <s v="Grand piano production item #073"/>
    <s v="UNIQUE"/>
    <n v="3136"/>
    <n v="125"/>
    <n v="169"/>
    <n v="392000"/>
    <n v="21125"/>
  </r>
  <r>
    <x v="0"/>
    <x v="0"/>
    <x v="0"/>
    <n v="1"/>
    <n v="10"/>
    <s v="00"/>
    <s v="074"/>
    <s v="11000-074"/>
    <s v="Grand piano production item #074"/>
    <s v="UNIQUE"/>
    <n v="0"/>
    <n v="125"/>
    <n v="17576"/>
    <n v="0"/>
    <n v="2197000"/>
  </r>
  <r>
    <x v="0"/>
    <x v="0"/>
    <x v="0"/>
    <n v="1"/>
    <n v="10"/>
    <s v="00"/>
    <s v="075"/>
    <s v="11000-075"/>
    <s v="Grand piano production item #075"/>
    <s v="UNIQUE"/>
    <n v="0"/>
    <n v="3"/>
    <n v="27000"/>
    <n v="0"/>
    <n v="81000"/>
  </r>
  <r>
    <x v="0"/>
    <x v="0"/>
    <x v="0"/>
    <n v="1"/>
    <n v="10"/>
    <s v="00"/>
    <s v="076"/>
    <s v="11000-076"/>
    <s v="Grand piano production item #076"/>
    <s v="UNIQUE"/>
    <n v="0"/>
    <n v="1"/>
    <n v="484"/>
    <n v="0"/>
    <n v="484"/>
  </r>
  <r>
    <x v="0"/>
    <x v="0"/>
    <x v="0"/>
    <n v="1"/>
    <n v="10"/>
    <s v="00"/>
    <s v="077"/>
    <s v="11000-077"/>
    <s v="Grand piano production item #077"/>
    <s v="UNIQUE"/>
    <n v="2"/>
    <n v="8"/>
    <n v="19683"/>
    <n v="16"/>
    <n v="157464"/>
  </r>
  <r>
    <x v="0"/>
    <x v="0"/>
    <x v="0"/>
    <n v="1"/>
    <n v="10"/>
    <s v="00"/>
    <s v="078"/>
    <s v="11000-078"/>
    <s v="Grand piano production item #078"/>
    <s v="UNIQUE"/>
    <n v="8"/>
    <n v="27"/>
    <n v="5"/>
    <n v="216"/>
    <n v="135"/>
  </r>
  <r>
    <x v="0"/>
    <x v="0"/>
    <x v="0"/>
    <n v="1"/>
    <n v="10"/>
    <s v="00"/>
    <s v="079"/>
    <s v="11000-079"/>
    <s v="Grand piano production item #079"/>
    <s v="UNIQUE"/>
    <n v="30"/>
    <n v="6"/>
    <n v="1"/>
    <n v="180"/>
    <n v="6"/>
  </r>
  <r>
    <x v="0"/>
    <x v="0"/>
    <x v="0"/>
    <n v="1"/>
    <n v="10"/>
    <s v="00"/>
    <s v="080"/>
    <s v="11000-080"/>
    <s v="Grand piano production item #080"/>
    <s v="UNIQUE"/>
    <n v="4"/>
    <n v="8"/>
    <n v="841"/>
    <n v="32"/>
    <n v="6728"/>
  </r>
  <r>
    <x v="0"/>
    <x v="0"/>
    <x v="0"/>
    <n v="1"/>
    <n v="10"/>
    <s v="00"/>
    <s v="081"/>
    <s v="11000-081"/>
    <s v="Grand piano production item #081"/>
    <s v="UNIQUE"/>
    <n v="1399"/>
    <n v="125"/>
    <n v="13"/>
    <n v="174875"/>
    <n v="1625"/>
  </r>
  <r>
    <x v="0"/>
    <x v="0"/>
    <x v="0"/>
    <n v="1"/>
    <n v="10"/>
    <s v="00"/>
    <s v="082"/>
    <s v="11000-082"/>
    <s v="Grand piano production item #082"/>
    <s v="UNIQUE"/>
    <n v="0"/>
    <n v="6"/>
    <n v="27"/>
    <n v="0"/>
    <n v="162"/>
  </r>
  <r>
    <x v="0"/>
    <x v="0"/>
    <x v="0"/>
    <n v="1"/>
    <n v="10"/>
    <s v="00"/>
    <s v="083"/>
    <s v="11000-083"/>
    <s v="Grand piano production item #083"/>
    <s v="UNIQUE"/>
    <n v="785"/>
    <n v="4"/>
    <n v="12"/>
    <n v="3140"/>
    <n v="48"/>
  </r>
  <r>
    <x v="0"/>
    <x v="0"/>
    <x v="0"/>
    <n v="1"/>
    <n v="10"/>
    <s v="00"/>
    <s v="084"/>
    <s v="11000-084"/>
    <s v="Grand piano production item #084"/>
    <s v="UNIQUE"/>
    <n v="65"/>
    <n v="1000"/>
    <n v="19"/>
    <n v="65000"/>
    <n v="19000"/>
  </r>
  <r>
    <x v="0"/>
    <x v="0"/>
    <x v="0"/>
    <n v="1"/>
    <n v="10"/>
    <s v="00"/>
    <s v="085"/>
    <s v="11000-085"/>
    <s v="Grand piano production item #085"/>
    <s v="UNIQUE"/>
    <n v="0"/>
    <n v="8"/>
    <n v="64"/>
    <n v="0"/>
    <n v="512"/>
  </r>
  <r>
    <x v="0"/>
    <x v="0"/>
    <x v="0"/>
    <n v="1"/>
    <n v="10"/>
    <s v="00"/>
    <s v="086"/>
    <s v="11000-086"/>
    <s v="Grand piano production item #086"/>
    <s v="UNIQUE"/>
    <n v="3906"/>
    <n v="1"/>
    <n v="729"/>
    <n v="3906"/>
    <n v="729"/>
  </r>
  <r>
    <x v="0"/>
    <x v="0"/>
    <x v="0"/>
    <n v="1"/>
    <n v="10"/>
    <s v="00"/>
    <s v="087"/>
    <s v="11000-087"/>
    <s v="Grand piano production item #087"/>
    <s v="UNIQUE"/>
    <n v="0"/>
    <n v="512"/>
    <n v="3"/>
    <n v="0"/>
    <n v="1536"/>
  </r>
  <r>
    <x v="0"/>
    <x v="0"/>
    <x v="0"/>
    <n v="1"/>
    <n v="10"/>
    <s v="00"/>
    <s v="088"/>
    <s v="11000-088"/>
    <s v="Grand piano production item #088"/>
    <s v="UNIQUE"/>
    <n v="0"/>
    <n v="36"/>
    <n v="3"/>
    <n v="0"/>
    <n v="108"/>
  </r>
  <r>
    <x v="0"/>
    <x v="0"/>
    <x v="0"/>
    <n v="1"/>
    <n v="10"/>
    <s v="00"/>
    <s v="089"/>
    <s v="11000-089"/>
    <s v="Grand piano production item #089"/>
    <s v="UNIQUE"/>
    <n v="0"/>
    <n v="10"/>
    <n v="900"/>
    <n v="0"/>
    <n v="9000"/>
  </r>
  <r>
    <x v="0"/>
    <x v="0"/>
    <x v="0"/>
    <n v="1"/>
    <n v="10"/>
    <s v="00"/>
    <s v="090"/>
    <s v="11000-090"/>
    <s v="Grand piano production item #090"/>
    <s v="UNIQUE"/>
    <n v="722"/>
    <n v="10"/>
    <n v="100"/>
    <n v="7220"/>
    <n v="1000"/>
  </r>
  <r>
    <x v="0"/>
    <x v="0"/>
    <x v="0"/>
    <n v="1"/>
    <n v="10"/>
    <s v="00"/>
    <s v="091"/>
    <s v="11000-091"/>
    <s v="Grand piano production item #091"/>
    <s v="UNIQUE"/>
    <n v="0"/>
    <n v="49"/>
    <n v="225"/>
    <n v="0"/>
    <n v="11025"/>
  </r>
  <r>
    <x v="0"/>
    <x v="0"/>
    <x v="0"/>
    <n v="1"/>
    <n v="10"/>
    <s v="00"/>
    <s v="092"/>
    <s v="11000-092"/>
    <s v="Grand piano production item #092"/>
    <s v="UNIQUE"/>
    <n v="688"/>
    <n v="729"/>
    <n v="15"/>
    <n v="501552"/>
    <n v="10935"/>
  </r>
  <r>
    <x v="0"/>
    <x v="0"/>
    <x v="0"/>
    <n v="1"/>
    <n v="10"/>
    <s v="00"/>
    <s v="093"/>
    <s v="11000-093"/>
    <s v="Grand piano production item #093"/>
    <s v="UNIQUE"/>
    <n v="0"/>
    <n v="8"/>
    <n v="1"/>
    <n v="0"/>
    <n v="8"/>
  </r>
  <r>
    <x v="0"/>
    <x v="0"/>
    <x v="0"/>
    <n v="1"/>
    <n v="10"/>
    <s v="00"/>
    <s v="094"/>
    <s v="11000-094"/>
    <s v="Grand piano production item #094"/>
    <s v="UNIQUE"/>
    <n v="0"/>
    <n v="1"/>
    <n v="13"/>
    <n v="0"/>
    <n v="13"/>
  </r>
  <r>
    <x v="0"/>
    <x v="0"/>
    <x v="0"/>
    <n v="1"/>
    <n v="10"/>
    <s v="00"/>
    <s v="095"/>
    <s v="11000-095"/>
    <s v="Grand piano production item #095"/>
    <s v="UNIQUE"/>
    <n v="0"/>
    <n v="1000"/>
    <n v="1"/>
    <n v="0"/>
    <n v="1000"/>
  </r>
  <r>
    <x v="0"/>
    <x v="0"/>
    <x v="0"/>
    <n v="1"/>
    <n v="10"/>
    <s v="00"/>
    <s v="096"/>
    <s v="11000-096"/>
    <s v="Grand piano production item #096"/>
    <s v="UNIQUE"/>
    <n v="0"/>
    <n v="10"/>
    <n v="27"/>
    <n v="0"/>
    <n v="270"/>
  </r>
  <r>
    <x v="0"/>
    <x v="0"/>
    <x v="0"/>
    <n v="1"/>
    <n v="10"/>
    <s v="00"/>
    <s v="097"/>
    <s v="11000-097"/>
    <s v="Grand piano production item #097"/>
    <s v="UNIQUE"/>
    <n v="60"/>
    <n v="4"/>
    <n v="13824"/>
    <n v="240"/>
    <n v="55296"/>
  </r>
  <r>
    <x v="0"/>
    <x v="0"/>
    <x v="0"/>
    <n v="1"/>
    <n v="10"/>
    <s v="00"/>
    <s v="098"/>
    <s v="11000-098"/>
    <s v="Grand piano production item #098"/>
    <s v="UNIQUE"/>
    <n v="1"/>
    <n v="512"/>
    <n v="12"/>
    <n v="512"/>
    <n v="6144"/>
  </r>
  <r>
    <x v="0"/>
    <x v="0"/>
    <x v="0"/>
    <n v="1"/>
    <n v="10"/>
    <s v="00"/>
    <s v="099"/>
    <s v="11000-099"/>
    <s v="Grand piano production item #099"/>
    <s v="UNIQUE"/>
    <n v="0"/>
    <n v="64"/>
    <n v="9"/>
    <n v="0"/>
    <n v="576"/>
  </r>
  <r>
    <x v="0"/>
    <x v="0"/>
    <x v="0"/>
    <n v="1"/>
    <n v="10"/>
    <s v="00"/>
    <s v="100"/>
    <s v="11000-100"/>
    <s v="Grand piano production item #100"/>
    <s v="UNIQUE"/>
    <n v="195"/>
    <n v="10"/>
    <n v="27"/>
    <n v="1950"/>
    <n v="270"/>
  </r>
  <r>
    <x v="0"/>
    <x v="0"/>
    <x v="0"/>
    <n v="1"/>
    <n v="10"/>
    <s v="00"/>
    <s v="101"/>
    <s v="11000-101"/>
    <s v="Grand piano production item #101"/>
    <s v="UNIQUE"/>
    <n v="0"/>
    <n v="343"/>
    <n v="27000"/>
    <n v="0"/>
    <n v="9261000"/>
  </r>
  <r>
    <x v="0"/>
    <x v="0"/>
    <x v="0"/>
    <n v="1"/>
    <n v="10"/>
    <s v="00"/>
    <s v="102"/>
    <s v="11000-102"/>
    <s v="Grand piano production item #102"/>
    <s v="UNIQUE"/>
    <n v="9"/>
    <n v="2"/>
    <n v="1"/>
    <n v="18"/>
    <n v="2"/>
  </r>
  <r>
    <x v="0"/>
    <x v="0"/>
    <x v="0"/>
    <n v="1"/>
    <n v="10"/>
    <s v="00"/>
    <s v="103"/>
    <s v="11000-103"/>
    <s v="Grand piano production item #103"/>
    <s v="UNIQUE"/>
    <n v="0"/>
    <n v="1000"/>
    <n v="25"/>
    <n v="0"/>
    <n v="25000"/>
  </r>
  <r>
    <x v="0"/>
    <x v="0"/>
    <x v="0"/>
    <n v="1"/>
    <n v="10"/>
    <s v="00"/>
    <s v="104"/>
    <s v="11000-104"/>
    <s v="Grand piano production item #104"/>
    <s v="UNIQUE"/>
    <n v="49"/>
    <n v="1"/>
    <n v="36"/>
    <n v="49"/>
    <n v="36"/>
  </r>
  <r>
    <x v="0"/>
    <x v="0"/>
    <x v="0"/>
    <n v="1"/>
    <n v="10"/>
    <s v="00"/>
    <s v="105"/>
    <s v="11000-105"/>
    <s v="Grand piano production item #105"/>
    <s v="UNIQUE"/>
    <n v="0"/>
    <n v="10"/>
    <n v="144"/>
    <n v="0"/>
    <n v="1440"/>
  </r>
  <r>
    <x v="0"/>
    <x v="0"/>
    <x v="0"/>
    <n v="1"/>
    <n v="10"/>
    <s v="00"/>
    <s v="106"/>
    <s v="11000-106"/>
    <s v="Grand piano production item #106"/>
    <s v="UNIQUE"/>
    <n v="0"/>
    <n v="9"/>
    <n v="13824"/>
    <n v="0"/>
    <n v="124416"/>
  </r>
  <r>
    <x v="0"/>
    <x v="0"/>
    <x v="0"/>
    <n v="1"/>
    <n v="10"/>
    <s v="00"/>
    <s v="107"/>
    <s v="11000-107"/>
    <s v="Grand piano production item #107"/>
    <s v="UNIQUE"/>
    <n v="7055"/>
    <n v="9"/>
    <n v="576"/>
    <n v="63495"/>
    <n v="5184"/>
  </r>
  <r>
    <x v="0"/>
    <x v="0"/>
    <x v="0"/>
    <n v="1"/>
    <n v="10"/>
    <s v="00"/>
    <s v="108"/>
    <s v="11000-108"/>
    <s v="Grand piano production item #108"/>
    <s v="UNIQUE"/>
    <n v="9509"/>
    <n v="25"/>
    <n v="529"/>
    <n v="237725"/>
    <n v="13225"/>
  </r>
  <r>
    <x v="0"/>
    <x v="0"/>
    <x v="0"/>
    <n v="1"/>
    <n v="10"/>
    <s v="00"/>
    <s v="109"/>
    <s v="11000-109"/>
    <s v="Grand piano production item #109"/>
    <s v="UNIQUE"/>
    <n v="0"/>
    <n v="27"/>
    <n v="0"/>
    <n v="0"/>
    <n v="0"/>
  </r>
  <r>
    <x v="0"/>
    <x v="0"/>
    <x v="0"/>
    <n v="1"/>
    <n v="10"/>
    <s v="00"/>
    <s v="110"/>
    <s v="11000-110"/>
    <s v="Grand piano production item #110"/>
    <s v="UNIQUE"/>
    <n v="5207"/>
    <n v="4"/>
    <n v="27"/>
    <n v="20828"/>
    <n v="108"/>
  </r>
  <r>
    <x v="0"/>
    <x v="0"/>
    <x v="0"/>
    <n v="1"/>
    <n v="10"/>
    <s v="00"/>
    <s v="111"/>
    <s v="11000-111"/>
    <s v="Grand piano production item #111"/>
    <s v="UNIQUE"/>
    <n v="0"/>
    <n v="8"/>
    <n v="7"/>
    <n v="0"/>
    <n v="56"/>
  </r>
  <r>
    <x v="0"/>
    <x v="0"/>
    <x v="0"/>
    <n v="1"/>
    <n v="10"/>
    <s v="00"/>
    <s v="112"/>
    <s v="11000-112"/>
    <s v="Grand piano production item #112"/>
    <s v="UNIQUE"/>
    <n v="0"/>
    <n v="25"/>
    <n v="1"/>
    <n v="0"/>
    <n v="25"/>
  </r>
  <r>
    <x v="0"/>
    <x v="0"/>
    <x v="0"/>
    <n v="1"/>
    <n v="10"/>
    <s v="00"/>
    <s v="113"/>
    <s v="11000-113"/>
    <s v="Grand piano production item #113"/>
    <s v="UNIQUE"/>
    <n v="7"/>
    <n v="2"/>
    <n v="5832"/>
    <n v="14"/>
    <n v="11664"/>
  </r>
  <r>
    <x v="0"/>
    <x v="0"/>
    <x v="0"/>
    <n v="1"/>
    <n v="10"/>
    <s v="00"/>
    <s v="114"/>
    <s v="11000-114"/>
    <s v="Grand piano production item #114"/>
    <s v="UNIQUE"/>
    <n v="1"/>
    <n v="1"/>
    <n v="25"/>
    <n v="1"/>
    <n v="25"/>
  </r>
  <r>
    <x v="0"/>
    <x v="0"/>
    <x v="0"/>
    <n v="1"/>
    <n v="10"/>
    <s v="00"/>
    <s v="115"/>
    <s v="11000-115"/>
    <s v="Grand piano production item #115"/>
    <s v="UNIQUE"/>
    <n v="61"/>
    <n v="8"/>
    <n v="1"/>
    <n v="488"/>
    <n v="8"/>
  </r>
  <r>
    <x v="0"/>
    <x v="0"/>
    <x v="0"/>
    <n v="1"/>
    <n v="10"/>
    <s v="00"/>
    <s v="116"/>
    <s v="11000-116"/>
    <s v="Grand piano production item #116"/>
    <s v="UNIQUE"/>
    <n v="0"/>
    <n v="125"/>
    <n v="24"/>
    <n v="0"/>
    <n v="3000"/>
  </r>
  <r>
    <x v="0"/>
    <x v="0"/>
    <x v="0"/>
    <n v="1"/>
    <n v="10"/>
    <s v="00"/>
    <s v="117"/>
    <s v="11000-117"/>
    <s v="Grand piano production item #117"/>
    <s v="UNIQUE"/>
    <n v="33"/>
    <n v="6"/>
    <n v="0"/>
    <n v="198"/>
    <n v="0"/>
  </r>
  <r>
    <x v="0"/>
    <x v="0"/>
    <x v="0"/>
    <n v="1"/>
    <n v="10"/>
    <s v="00"/>
    <s v="118"/>
    <s v="11000-118"/>
    <s v="Grand piano production item #118"/>
    <s v="UNIQUE"/>
    <n v="4"/>
    <n v="1000"/>
    <n v="361"/>
    <n v="4000"/>
    <n v="361000"/>
  </r>
  <r>
    <x v="0"/>
    <x v="0"/>
    <x v="0"/>
    <n v="1"/>
    <n v="10"/>
    <s v="00"/>
    <s v="119"/>
    <s v="11000-119"/>
    <s v="Grand piano production item #119"/>
    <s v="UNIQUE"/>
    <n v="0"/>
    <n v="512"/>
    <n v="4096"/>
    <n v="0"/>
    <n v="2097152"/>
  </r>
  <r>
    <x v="0"/>
    <x v="0"/>
    <x v="0"/>
    <n v="1"/>
    <n v="10"/>
    <s v="00"/>
    <s v="120"/>
    <s v="11000-120"/>
    <s v="Grand piano production item #120"/>
    <s v="UNIQUE"/>
    <n v="9553"/>
    <n v="4"/>
    <n v="20"/>
    <n v="38212"/>
    <n v="80"/>
  </r>
  <r>
    <x v="0"/>
    <x v="0"/>
    <x v="0"/>
    <n v="1"/>
    <n v="10"/>
    <s v="00"/>
    <s v="121"/>
    <s v="11000-121"/>
    <s v="Grand piano production item #121"/>
    <s v="UNIQUE"/>
    <n v="0"/>
    <n v="729"/>
    <n v="1728"/>
    <n v="0"/>
    <n v="1259712"/>
  </r>
  <r>
    <x v="0"/>
    <x v="0"/>
    <x v="0"/>
    <n v="1"/>
    <n v="10"/>
    <s v="00"/>
    <s v="122"/>
    <s v="11000-122"/>
    <s v="Grand piano production item #122"/>
    <s v="UNIQUE"/>
    <n v="0"/>
    <n v="6"/>
    <n v="3"/>
    <n v="0"/>
    <n v="18"/>
  </r>
  <r>
    <x v="0"/>
    <x v="0"/>
    <x v="0"/>
    <n v="1"/>
    <n v="10"/>
    <s v="00"/>
    <s v="123"/>
    <s v="11000-123"/>
    <s v="Grand piano production item #123"/>
    <s v="UNIQUE"/>
    <n v="189"/>
    <n v="343"/>
    <n v="625"/>
    <n v="64827"/>
    <n v="214375"/>
  </r>
  <r>
    <x v="0"/>
    <x v="0"/>
    <x v="0"/>
    <n v="1"/>
    <n v="10"/>
    <s v="00"/>
    <s v="124"/>
    <s v="11000-124"/>
    <s v="Grand piano production item #124"/>
    <s v="UNIQUE"/>
    <n v="0"/>
    <n v="64"/>
    <n v="30"/>
    <n v="0"/>
    <n v="1920"/>
  </r>
  <r>
    <x v="0"/>
    <x v="0"/>
    <x v="0"/>
    <n v="1"/>
    <n v="10"/>
    <s v="00"/>
    <s v="125"/>
    <s v="11000-125"/>
    <s v="Grand piano production item #125"/>
    <s v="UNIQUE"/>
    <n v="0"/>
    <n v="10"/>
    <n v="6"/>
    <n v="0"/>
    <n v="60"/>
  </r>
  <r>
    <x v="0"/>
    <x v="0"/>
    <x v="0"/>
    <n v="1"/>
    <n v="10"/>
    <s v="00"/>
    <s v="126"/>
    <s v="11000-126"/>
    <s v="Grand piano production item #126"/>
    <s v="UNIQUE"/>
    <n v="0"/>
    <n v="125"/>
    <n v="361"/>
    <n v="0"/>
    <n v="45125"/>
  </r>
  <r>
    <x v="0"/>
    <x v="0"/>
    <x v="0"/>
    <n v="1"/>
    <n v="10"/>
    <s v="00"/>
    <s v="127"/>
    <s v="11000-127"/>
    <s v="Grand piano production item #127"/>
    <s v="UNIQUE"/>
    <n v="6"/>
    <n v="4"/>
    <n v="4913"/>
    <n v="24"/>
    <n v="19652"/>
  </r>
  <r>
    <x v="0"/>
    <x v="0"/>
    <x v="0"/>
    <n v="1"/>
    <n v="10"/>
    <s v="00"/>
    <s v="128"/>
    <s v="11000-128"/>
    <s v="Grand piano production item #128"/>
    <s v="UNIQUE"/>
    <n v="0"/>
    <n v="81"/>
    <n v="10"/>
    <n v="0"/>
    <n v="810"/>
  </r>
  <r>
    <x v="0"/>
    <x v="0"/>
    <x v="0"/>
    <n v="1"/>
    <n v="10"/>
    <s v="00"/>
    <s v="129"/>
    <s v="11000-129"/>
    <s v="Grand piano production item #129"/>
    <s v="UNIQUE"/>
    <n v="0"/>
    <n v="1"/>
    <n v="5832"/>
    <n v="0"/>
    <n v="5832"/>
  </r>
  <r>
    <x v="0"/>
    <x v="0"/>
    <x v="0"/>
    <n v="1"/>
    <n v="10"/>
    <s v="00"/>
    <s v="130"/>
    <s v="11000-130"/>
    <s v="Grand piano production item #130"/>
    <s v="UNIQUE"/>
    <n v="0"/>
    <n v="1000"/>
    <n v="13824"/>
    <n v="0"/>
    <n v="13824000"/>
  </r>
  <r>
    <x v="0"/>
    <x v="0"/>
    <x v="0"/>
    <n v="1"/>
    <n v="10"/>
    <s v="00"/>
    <s v="131"/>
    <s v="11000-131"/>
    <s v="Grand piano production item #131"/>
    <s v="UNIQUE"/>
    <n v="9849"/>
    <n v="216"/>
    <n v="4096"/>
    <n v="2127384"/>
    <n v="884736"/>
  </r>
  <r>
    <x v="0"/>
    <x v="0"/>
    <x v="0"/>
    <n v="1"/>
    <n v="10"/>
    <s v="00"/>
    <s v="132"/>
    <s v="11000-132"/>
    <s v="Grand piano production item #132"/>
    <s v="UNIQUE"/>
    <n v="1"/>
    <n v="4"/>
    <n v="729"/>
    <n v="4"/>
    <n v="2916"/>
  </r>
  <r>
    <x v="0"/>
    <x v="0"/>
    <x v="0"/>
    <n v="1"/>
    <n v="10"/>
    <s v="00"/>
    <s v="133"/>
    <s v="11000-133"/>
    <s v="Grand piano production item #133"/>
    <s v="UNIQUE"/>
    <n v="0"/>
    <n v="27"/>
    <n v="10648"/>
    <n v="0"/>
    <n v="287496"/>
  </r>
  <r>
    <x v="0"/>
    <x v="0"/>
    <x v="0"/>
    <n v="1"/>
    <n v="10"/>
    <s v="00"/>
    <s v="134"/>
    <s v="11000-134"/>
    <s v="Grand piano production item #134"/>
    <s v="UNIQUE"/>
    <n v="0"/>
    <n v="1"/>
    <n v="441"/>
    <n v="0"/>
    <n v="441"/>
  </r>
  <r>
    <x v="0"/>
    <x v="0"/>
    <x v="0"/>
    <n v="1"/>
    <n v="10"/>
    <s v="00"/>
    <s v="135"/>
    <s v="11000-135"/>
    <s v="Grand piano production item #135"/>
    <s v="UNIQUE"/>
    <n v="0"/>
    <n v="9"/>
    <n v="121"/>
    <n v="0"/>
    <n v="1089"/>
  </r>
  <r>
    <x v="0"/>
    <x v="0"/>
    <x v="0"/>
    <n v="1"/>
    <n v="10"/>
    <s v="00"/>
    <s v="136"/>
    <s v="11000-136"/>
    <s v="Grand piano production item #136"/>
    <s v="UNIQUE"/>
    <n v="0"/>
    <n v="6"/>
    <n v="676"/>
    <n v="0"/>
    <n v="4056"/>
  </r>
  <r>
    <x v="0"/>
    <x v="0"/>
    <x v="0"/>
    <n v="1"/>
    <n v="10"/>
    <s v="00"/>
    <s v="137"/>
    <s v="11000-137"/>
    <s v="Grand piano production item #137"/>
    <s v="UNIQUE"/>
    <n v="8"/>
    <n v="100"/>
    <n v="1000"/>
    <n v="800"/>
    <n v="100000"/>
  </r>
  <r>
    <x v="0"/>
    <x v="0"/>
    <x v="0"/>
    <n v="1"/>
    <n v="10"/>
    <s v="00"/>
    <s v="138"/>
    <s v="11000-138"/>
    <s v="Grand piano production item #138"/>
    <s v="UNIQUE"/>
    <n v="0"/>
    <n v="7"/>
    <n v="289"/>
    <n v="0"/>
    <n v="2023"/>
  </r>
  <r>
    <x v="0"/>
    <x v="0"/>
    <x v="0"/>
    <n v="1"/>
    <n v="10"/>
    <s v="00"/>
    <s v="139"/>
    <s v="11000-139"/>
    <s v="Grand piano production item #139"/>
    <s v="UNIQUE"/>
    <n v="0"/>
    <n v="25"/>
    <n v="12"/>
    <n v="0"/>
    <n v="300"/>
  </r>
  <r>
    <x v="0"/>
    <x v="0"/>
    <x v="0"/>
    <n v="1"/>
    <n v="10"/>
    <s v="00"/>
    <s v="140"/>
    <s v="11000-140"/>
    <s v="Grand piano production item #140"/>
    <s v="UNIQUE"/>
    <n v="0"/>
    <n v="9"/>
    <n v="25"/>
    <n v="0"/>
    <n v="225"/>
  </r>
  <r>
    <x v="0"/>
    <x v="0"/>
    <x v="0"/>
    <n v="1"/>
    <n v="10"/>
    <s v="00"/>
    <s v="141"/>
    <s v="11000-141"/>
    <s v="Grand piano production item #141"/>
    <s v="UNIQUE"/>
    <n v="5050"/>
    <n v="729"/>
    <n v="28"/>
    <n v="3681450"/>
    <n v="20412"/>
  </r>
  <r>
    <x v="0"/>
    <x v="0"/>
    <x v="0"/>
    <n v="1"/>
    <n v="10"/>
    <s v="00"/>
    <s v="142"/>
    <s v="11000-142"/>
    <s v="Grand piano production item #142"/>
    <s v="UNIQUE"/>
    <n v="0"/>
    <n v="343"/>
    <n v="1"/>
    <n v="0"/>
    <n v="343"/>
  </r>
  <r>
    <x v="0"/>
    <x v="0"/>
    <x v="0"/>
    <n v="1"/>
    <n v="10"/>
    <s v="00"/>
    <s v="143"/>
    <s v="11000-143"/>
    <s v="Grand piano production item #143"/>
    <s v="UNIQUE"/>
    <n v="1"/>
    <n v="81"/>
    <n v="9261"/>
    <n v="81"/>
    <n v="750141"/>
  </r>
  <r>
    <x v="0"/>
    <x v="0"/>
    <x v="0"/>
    <n v="1"/>
    <n v="10"/>
    <s v="00"/>
    <s v="144"/>
    <s v="11000-144"/>
    <s v="Grand piano production item #144"/>
    <s v="UNIQUE"/>
    <n v="747"/>
    <n v="4"/>
    <n v="30"/>
    <n v="2988"/>
    <n v="120"/>
  </r>
  <r>
    <x v="0"/>
    <x v="0"/>
    <x v="0"/>
    <n v="1"/>
    <n v="10"/>
    <s v="00"/>
    <s v="145"/>
    <s v="11000-145"/>
    <s v="Grand piano production item #145"/>
    <s v="UNIQUE"/>
    <n v="79"/>
    <n v="49"/>
    <n v="2"/>
    <n v="3871"/>
    <n v="98"/>
  </r>
  <r>
    <x v="0"/>
    <x v="0"/>
    <x v="0"/>
    <n v="1"/>
    <n v="10"/>
    <s v="00"/>
    <s v="146"/>
    <s v="11000-146"/>
    <s v="Grand piano production item #146"/>
    <s v="UNIQUE"/>
    <n v="0"/>
    <n v="1"/>
    <n v="25"/>
    <n v="0"/>
    <n v="25"/>
  </r>
  <r>
    <x v="0"/>
    <x v="0"/>
    <x v="0"/>
    <n v="1"/>
    <n v="10"/>
    <s v="00"/>
    <s v="147"/>
    <s v="11000-147"/>
    <s v="Grand piano production item #147"/>
    <s v="UNIQUE"/>
    <n v="822"/>
    <n v="4"/>
    <n v="25"/>
    <n v="3288"/>
    <n v="100"/>
  </r>
  <r>
    <x v="0"/>
    <x v="0"/>
    <x v="0"/>
    <n v="1"/>
    <n v="10"/>
    <s v="00"/>
    <s v="148"/>
    <s v="11000-148"/>
    <s v="Grand piano production item #148"/>
    <s v="UNIQUE"/>
    <n v="0"/>
    <n v="2"/>
    <n v="19683"/>
    <n v="0"/>
    <n v="39366"/>
  </r>
  <r>
    <x v="0"/>
    <x v="0"/>
    <x v="0"/>
    <n v="1"/>
    <n v="10"/>
    <s v="00"/>
    <s v="149"/>
    <s v="11000-149"/>
    <s v="Grand piano production item #149"/>
    <s v="UNIQUE"/>
    <n v="1"/>
    <n v="343"/>
    <n v="729"/>
    <n v="343"/>
    <n v="250047"/>
  </r>
  <r>
    <x v="0"/>
    <x v="0"/>
    <x v="0"/>
    <n v="1"/>
    <n v="10"/>
    <s v="00"/>
    <s v="150"/>
    <s v="11000-150"/>
    <s v="Grand piano production item #150"/>
    <s v="UNIQUE"/>
    <n v="0"/>
    <n v="16"/>
    <n v="16"/>
    <n v="0"/>
    <n v="256"/>
  </r>
  <r>
    <x v="0"/>
    <x v="0"/>
    <x v="0"/>
    <n v="1"/>
    <n v="10"/>
    <s v="00"/>
    <s v="151"/>
    <s v="11000-151"/>
    <s v="Grand piano production item #151"/>
    <s v="UNIQUE"/>
    <n v="0"/>
    <n v="7"/>
    <n v="15"/>
    <n v="0"/>
    <n v="105"/>
  </r>
  <r>
    <x v="0"/>
    <x v="0"/>
    <x v="0"/>
    <n v="1"/>
    <n v="10"/>
    <s v="00"/>
    <s v="152"/>
    <s v="11000-152"/>
    <s v="Grand piano production item #152"/>
    <s v="UNIQUE"/>
    <n v="61"/>
    <n v="8"/>
    <n v="676"/>
    <n v="488"/>
    <n v="5408"/>
  </r>
  <r>
    <x v="0"/>
    <x v="0"/>
    <x v="0"/>
    <n v="1"/>
    <n v="10"/>
    <s v="00"/>
    <s v="153"/>
    <s v="11000-153"/>
    <s v="Grand piano production item #153"/>
    <s v="UNIQUE"/>
    <n v="993"/>
    <n v="7"/>
    <n v="0"/>
    <n v="6951"/>
    <n v="0"/>
  </r>
  <r>
    <x v="0"/>
    <x v="0"/>
    <x v="0"/>
    <n v="1"/>
    <n v="10"/>
    <s v="00"/>
    <s v="154"/>
    <s v="11000-154"/>
    <s v="Grand piano production item #154"/>
    <s v="UNIQUE"/>
    <n v="10"/>
    <n v="729"/>
    <n v="512"/>
    <n v="7290"/>
    <n v="373248"/>
  </r>
  <r>
    <x v="0"/>
    <x v="0"/>
    <x v="0"/>
    <n v="1"/>
    <n v="10"/>
    <s v="00"/>
    <s v="155"/>
    <s v="11000-155"/>
    <s v="Grand piano production item #155"/>
    <s v="UNIQUE"/>
    <n v="0"/>
    <n v="27"/>
    <n v="125"/>
    <n v="0"/>
    <n v="3375"/>
  </r>
  <r>
    <x v="0"/>
    <x v="0"/>
    <x v="0"/>
    <n v="1"/>
    <n v="10"/>
    <s v="00"/>
    <s v="156"/>
    <s v="11000-156"/>
    <s v="Grand piano production item #156"/>
    <s v="UNIQUE"/>
    <n v="0"/>
    <n v="2"/>
    <n v="324"/>
    <n v="0"/>
    <n v="648"/>
  </r>
  <r>
    <x v="0"/>
    <x v="0"/>
    <x v="0"/>
    <n v="1"/>
    <n v="10"/>
    <s v="00"/>
    <s v="157"/>
    <s v="11000-157"/>
    <s v="Grand piano production item #157"/>
    <s v="UNIQUE"/>
    <n v="0"/>
    <n v="7"/>
    <n v="64"/>
    <n v="0"/>
    <n v="448"/>
  </r>
  <r>
    <x v="0"/>
    <x v="0"/>
    <x v="0"/>
    <n v="1"/>
    <n v="10"/>
    <s v="00"/>
    <s v="158"/>
    <s v="11000-158"/>
    <s v="Grand piano production item #158"/>
    <s v="UNIQUE"/>
    <n v="7976"/>
    <n v="100"/>
    <n v="100"/>
    <n v="797600"/>
    <n v="10000"/>
  </r>
  <r>
    <x v="0"/>
    <x v="0"/>
    <x v="0"/>
    <n v="1"/>
    <n v="10"/>
    <s v="00"/>
    <s v="159"/>
    <s v="11000-159"/>
    <s v="Grand piano production item #159"/>
    <s v="UNIQUE"/>
    <n v="5793"/>
    <n v="64"/>
    <n v="343"/>
    <n v="370752"/>
    <n v="21952"/>
  </r>
  <r>
    <x v="0"/>
    <x v="0"/>
    <x v="0"/>
    <n v="1"/>
    <n v="10"/>
    <s v="00"/>
    <s v="160"/>
    <s v="11000-160"/>
    <s v="Grand piano production item #160"/>
    <s v="UNIQUE"/>
    <n v="9"/>
    <n v="4"/>
    <n v="512"/>
    <n v="36"/>
    <n v="2048"/>
  </r>
  <r>
    <x v="0"/>
    <x v="0"/>
    <x v="0"/>
    <n v="1"/>
    <n v="10"/>
    <s v="00"/>
    <s v="161"/>
    <s v="11000-161"/>
    <s v="Grand piano production item #161"/>
    <s v="UNIQUE"/>
    <n v="0"/>
    <n v="16"/>
    <n v="3"/>
    <n v="0"/>
    <n v="48"/>
  </r>
  <r>
    <x v="0"/>
    <x v="0"/>
    <x v="0"/>
    <n v="1"/>
    <n v="10"/>
    <s v="00"/>
    <s v="162"/>
    <s v="11000-162"/>
    <s v="Grand piano production item #162"/>
    <s v="UNIQUE"/>
    <n v="0"/>
    <n v="36"/>
    <n v="6859"/>
    <n v="0"/>
    <n v="246924"/>
  </r>
  <r>
    <x v="0"/>
    <x v="0"/>
    <x v="0"/>
    <n v="1"/>
    <n v="10"/>
    <s v="00"/>
    <s v="163"/>
    <s v="11000-163"/>
    <s v="Grand piano production item #163"/>
    <s v="UNIQUE"/>
    <n v="0"/>
    <n v="3"/>
    <n v="625"/>
    <n v="0"/>
    <n v="1875"/>
  </r>
  <r>
    <x v="0"/>
    <x v="0"/>
    <x v="0"/>
    <n v="1"/>
    <n v="10"/>
    <s v="00"/>
    <s v="164"/>
    <s v="11000-164"/>
    <s v="Grand piano production item #164"/>
    <s v="UNIQUE"/>
    <n v="1359"/>
    <n v="16"/>
    <n v="28"/>
    <n v="21744"/>
    <n v="448"/>
  </r>
  <r>
    <x v="0"/>
    <x v="0"/>
    <x v="0"/>
    <n v="1"/>
    <n v="10"/>
    <s v="00"/>
    <s v="165"/>
    <s v="11000-165"/>
    <s v="Grand piano production item #165"/>
    <s v="UNIQUE"/>
    <n v="0"/>
    <n v="64"/>
    <n v="0"/>
    <n v="0"/>
    <n v="0"/>
  </r>
  <r>
    <x v="0"/>
    <x v="0"/>
    <x v="0"/>
    <n v="1"/>
    <n v="10"/>
    <s v="00"/>
    <s v="166"/>
    <s v="11000-166"/>
    <s v="Grand piano production item #166"/>
    <s v="UNIQUE"/>
    <n v="0"/>
    <n v="1"/>
    <n v="27"/>
    <n v="0"/>
    <n v="27"/>
  </r>
  <r>
    <x v="0"/>
    <x v="0"/>
    <x v="0"/>
    <n v="1"/>
    <n v="10"/>
    <s v="00"/>
    <s v="167"/>
    <s v="11000-167"/>
    <s v="Grand piano production item #167"/>
    <s v="UNIQUE"/>
    <n v="81"/>
    <n v="6"/>
    <n v="6859"/>
    <n v="486"/>
    <n v="41154"/>
  </r>
  <r>
    <x v="0"/>
    <x v="0"/>
    <x v="0"/>
    <n v="1"/>
    <n v="10"/>
    <s v="00"/>
    <s v="168"/>
    <s v="11000-168"/>
    <s v="Grand piano production item #168"/>
    <s v="UNIQUE"/>
    <n v="1"/>
    <n v="81"/>
    <n v="1"/>
    <n v="81"/>
    <n v="81"/>
  </r>
  <r>
    <x v="0"/>
    <x v="0"/>
    <x v="0"/>
    <n v="1"/>
    <n v="10"/>
    <s v="00"/>
    <s v="169"/>
    <s v="11000-169"/>
    <s v="Grand piano production item #169"/>
    <s v="UNIQUE"/>
    <n v="4"/>
    <n v="36"/>
    <n v="19"/>
    <n v="144"/>
    <n v="684"/>
  </r>
  <r>
    <x v="0"/>
    <x v="0"/>
    <x v="0"/>
    <n v="1"/>
    <n v="10"/>
    <s v="00"/>
    <s v="170"/>
    <s v="11000-170"/>
    <s v="Grand piano production item #170"/>
    <s v="UNIQUE"/>
    <n v="60"/>
    <n v="16"/>
    <n v="1"/>
    <n v="960"/>
    <n v="16"/>
  </r>
  <r>
    <x v="0"/>
    <x v="0"/>
    <x v="0"/>
    <n v="1"/>
    <n v="10"/>
    <s v="00"/>
    <s v="171"/>
    <s v="11000-171"/>
    <s v="Grand piano production item #171"/>
    <s v="UNIQUE"/>
    <n v="0"/>
    <n v="1000"/>
    <n v="25"/>
    <n v="0"/>
    <n v="25000"/>
  </r>
  <r>
    <x v="0"/>
    <x v="0"/>
    <x v="0"/>
    <n v="1"/>
    <n v="10"/>
    <s v="00"/>
    <s v="172"/>
    <s v="11000-172"/>
    <s v="Grand piano production item #172"/>
    <s v="UNIQUE"/>
    <n v="5548"/>
    <n v="4"/>
    <n v="529"/>
    <n v="22192"/>
    <n v="2116"/>
  </r>
  <r>
    <x v="0"/>
    <x v="0"/>
    <x v="0"/>
    <n v="1"/>
    <n v="10"/>
    <s v="00"/>
    <s v="173"/>
    <s v="11000-173"/>
    <s v="Grand piano production item #173"/>
    <s v="UNIQUE"/>
    <n v="0"/>
    <n v="1"/>
    <n v="29"/>
    <n v="0"/>
    <n v="29"/>
  </r>
  <r>
    <x v="0"/>
    <x v="0"/>
    <x v="0"/>
    <n v="1"/>
    <n v="10"/>
    <s v="00"/>
    <s v="174"/>
    <s v="11000-174"/>
    <s v="Grand piano production item #174"/>
    <s v="UNIQUE"/>
    <n v="0"/>
    <n v="9"/>
    <n v="2"/>
    <n v="0"/>
    <n v="18"/>
  </r>
  <r>
    <x v="0"/>
    <x v="0"/>
    <x v="0"/>
    <n v="1"/>
    <n v="10"/>
    <s v="00"/>
    <s v="175"/>
    <s v="11000-175"/>
    <s v="Grand piano production item #175"/>
    <s v="UNIQUE"/>
    <n v="62"/>
    <n v="4"/>
    <n v="30"/>
    <n v="248"/>
    <n v="120"/>
  </r>
  <r>
    <x v="0"/>
    <x v="0"/>
    <x v="0"/>
    <n v="1"/>
    <n v="10"/>
    <s v="00"/>
    <s v="176"/>
    <s v="11000-176"/>
    <s v="Grand piano production item #176"/>
    <s v="UNIQUE"/>
    <n v="2"/>
    <n v="6"/>
    <n v="121"/>
    <n v="12"/>
    <n v="726"/>
  </r>
  <r>
    <x v="0"/>
    <x v="0"/>
    <x v="0"/>
    <n v="1"/>
    <n v="10"/>
    <s v="00"/>
    <s v="177"/>
    <s v="11000-177"/>
    <s v="Grand piano production item #177"/>
    <s v="UNIQUE"/>
    <n v="2"/>
    <n v="216"/>
    <n v="64"/>
    <n v="432"/>
    <n v="13824"/>
  </r>
  <r>
    <x v="0"/>
    <x v="0"/>
    <x v="0"/>
    <n v="1"/>
    <n v="10"/>
    <s v="00"/>
    <s v="178"/>
    <s v="11000-178"/>
    <s v="Grand piano production item #178"/>
    <s v="UNIQUE"/>
    <n v="0"/>
    <n v="49"/>
    <n v="256"/>
    <n v="0"/>
    <n v="12544"/>
  </r>
  <r>
    <x v="0"/>
    <x v="0"/>
    <x v="0"/>
    <n v="1"/>
    <n v="10"/>
    <s v="00"/>
    <s v="179"/>
    <s v="11000-179"/>
    <s v="Grand piano production item #179"/>
    <s v="UNIQUE"/>
    <n v="0"/>
    <n v="7"/>
    <n v="20"/>
    <n v="0"/>
    <n v="140"/>
  </r>
  <r>
    <x v="0"/>
    <x v="0"/>
    <x v="0"/>
    <n v="1"/>
    <n v="10"/>
    <s v="00"/>
    <s v="180"/>
    <s v="11000-180"/>
    <s v="Grand piano production item #180"/>
    <s v="UNIQUE"/>
    <n v="0"/>
    <n v="27"/>
    <n v="3"/>
    <n v="0"/>
    <n v="81"/>
  </r>
  <r>
    <x v="0"/>
    <x v="0"/>
    <x v="0"/>
    <n v="1"/>
    <n v="10"/>
    <s v="00"/>
    <s v="181"/>
    <s v="11000-181"/>
    <s v="Grand piano production item #181"/>
    <s v="UNIQUE"/>
    <n v="0"/>
    <n v="10"/>
    <n v="24389"/>
    <n v="0"/>
    <n v="243890"/>
  </r>
  <r>
    <x v="0"/>
    <x v="0"/>
    <x v="0"/>
    <n v="1"/>
    <n v="10"/>
    <s v="00"/>
    <s v="182"/>
    <s v="11000-182"/>
    <s v="Grand piano production item #182"/>
    <s v="UNIQUE"/>
    <n v="46"/>
    <n v="1"/>
    <n v="20"/>
    <n v="46"/>
    <n v="20"/>
  </r>
  <r>
    <x v="0"/>
    <x v="0"/>
    <x v="0"/>
    <n v="1"/>
    <n v="10"/>
    <s v="00"/>
    <s v="183"/>
    <s v="11000-183"/>
    <s v="Grand piano production item #183"/>
    <s v="UNIQUE"/>
    <n v="7562"/>
    <n v="216"/>
    <n v="81"/>
    <n v="1633392"/>
    <n v="17496"/>
  </r>
  <r>
    <x v="0"/>
    <x v="0"/>
    <x v="0"/>
    <n v="1"/>
    <n v="10"/>
    <s v="00"/>
    <s v="184"/>
    <s v="11000-184"/>
    <s v="Grand piano production item #184"/>
    <s v="UNIQUE"/>
    <n v="0"/>
    <n v="1"/>
    <n v="30"/>
    <n v="0"/>
    <n v="30"/>
  </r>
  <r>
    <x v="0"/>
    <x v="0"/>
    <x v="0"/>
    <n v="1"/>
    <n v="10"/>
    <s v="00"/>
    <s v="185"/>
    <s v="11000-185"/>
    <s v="Grand piano production item #185"/>
    <s v="UNIQUE"/>
    <n v="51"/>
    <n v="1"/>
    <n v="29"/>
    <n v="51"/>
    <n v="29"/>
  </r>
  <r>
    <x v="0"/>
    <x v="0"/>
    <x v="0"/>
    <n v="1"/>
    <n v="10"/>
    <s v="00"/>
    <s v="186"/>
    <s v="11000-186"/>
    <s v="Grand piano production item #186"/>
    <s v="UNIQUE"/>
    <n v="0"/>
    <n v="3"/>
    <n v="20"/>
    <n v="0"/>
    <n v="60"/>
  </r>
  <r>
    <x v="0"/>
    <x v="0"/>
    <x v="0"/>
    <n v="1"/>
    <n v="10"/>
    <s v="00"/>
    <s v="187"/>
    <s v="11000-187"/>
    <s v="Grand piano production item #187"/>
    <s v="UNIQUE"/>
    <n v="5"/>
    <n v="2"/>
    <n v="4"/>
    <n v="10"/>
    <n v="8"/>
  </r>
  <r>
    <x v="0"/>
    <x v="0"/>
    <x v="0"/>
    <n v="1"/>
    <n v="10"/>
    <s v="00"/>
    <s v="188"/>
    <s v="11000-188"/>
    <s v="Grand piano production item #188"/>
    <s v="UNIQUE"/>
    <n v="0"/>
    <n v="9"/>
    <n v="8"/>
    <n v="0"/>
    <n v="72"/>
  </r>
  <r>
    <x v="0"/>
    <x v="0"/>
    <x v="0"/>
    <n v="1"/>
    <n v="10"/>
    <s v="00"/>
    <s v="189"/>
    <s v="11000-189"/>
    <s v="Grand piano production item #189"/>
    <s v="UNIQUE"/>
    <n v="0"/>
    <n v="216"/>
    <n v="900"/>
    <n v="0"/>
    <n v="194400"/>
  </r>
  <r>
    <x v="0"/>
    <x v="0"/>
    <x v="0"/>
    <n v="1"/>
    <n v="10"/>
    <s v="00"/>
    <s v="190"/>
    <s v="11000-190"/>
    <s v="Grand piano production item #190"/>
    <s v="UNIQUE"/>
    <n v="0"/>
    <n v="49"/>
    <n v="1331"/>
    <n v="0"/>
    <n v="65219"/>
  </r>
  <r>
    <x v="0"/>
    <x v="0"/>
    <x v="0"/>
    <n v="1"/>
    <n v="10"/>
    <s v="00"/>
    <s v="191"/>
    <s v="11000-191"/>
    <s v="Grand piano production item #191"/>
    <s v="UNIQUE"/>
    <n v="822"/>
    <n v="125"/>
    <n v="9"/>
    <n v="102750"/>
    <n v="1125"/>
  </r>
  <r>
    <x v="0"/>
    <x v="0"/>
    <x v="0"/>
    <n v="1"/>
    <n v="10"/>
    <s v="00"/>
    <s v="192"/>
    <s v="11000-192"/>
    <s v="Grand piano production item #192"/>
    <s v="UNIQUE"/>
    <n v="6322"/>
    <n v="8"/>
    <n v="20"/>
    <n v="50576"/>
    <n v="160"/>
  </r>
  <r>
    <x v="0"/>
    <x v="0"/>
    <x v="0"/>
    <n v="1"/>
    <n v="10"/>
    <s v="00"/>
    <s v="193"/>
    <s v="11000-193"/>
    <s v="Grand piano production item #193"/>
    <s v="UNIQUE"/>
    <n v="0"/>
    <n v="1"/>
    <n v="15"/>
    <n v="0"/>
    <n v="15"/>
  </r>
  <r>
    <x v="0"/>
    <x v="0"/>
    <x v="0"/>
    <n v="1"/>
    <n v="10"/>
    <s v="00"/>
    <s v="194"/>
    <s v="11000-194"/>
    <s v="Grand piano production item #194"/>
    <s v="UNIQUE"/>
    <n v="0"/>
    <n v="49"/>
    <n v="289"/>
    <n v="0"/>
    <n v="14161"/>
  </r>
  <r>
    <x v="0"/>
    <x v="0"/>
    <x v="0"/>
    <n v="1"/>
    <n v="10"/>
    <s v="00"/>
    <s v="195"/>
    <s v="11000-195"/>
    <s v="Grand piano production item #195"/>
    <s v="UNIQUE"/>
    <n v="19"/>
    <n v="216"/>
    <n v="16"/>
    <n v="4104"/>
    <n v="3456"/>
  </r>
  <r>
    <x v="0"/>
    <x v="0"/>
    <x v="0"/>
    <n v="1"/>
    <n v="10"/>
    <s v="00"/>
    <s v="196"/>
    <s v="11000-196"/>
    <s v="Grand piano production item #196"/>
    <s v="UNIQUE"/>
    <n v="862"/>
    <n v="7"/>
    <n v="729"/>
    <n v="6034"/>
    <n v="5103"/>
  </r>
  <r>
    <x v="0"/>
    <x v="0"/>
    <x v="0"/>
    <n v="1"/>
    <n v="10"/>
    <s v="00"/>
    <s v="197"/>
    <s v="11000-197"/>
    <s v="Grand piano production item #197"/>
    <s v="UNIQUE"/>
    <n v="0"/>
    <n v="36"/>
    <n v="841"/>
    <n v="0"/>
    <n v="30276"/>
  </r>
  <r>
    <x v="0"/>
    <x v="0"/>
    <x v="0"/>
    <n v="1"/>
    <n v="10"/>
    <s v="00"/>
    <s v="198"/>
    <s v="11000-198"/>
    <s v="Grand piano production item #198"/>
    <s v="UNIQUE"/>
    <n v="1"/>
    <n v="100"/>
    <n v="64"/>
    <n v="100"/>
    <n v="6400"/>
  </r>
  <r>
    <x v="0"/>
    <x v="0"/>
    <x v="0"/>
    <n v="1"/>
    <n v="10"/>
    <s v="00"/>
    <s v="199"/>
    <s v="11000-199"/>
    <s v="Grand piano production item #199"/>
    <s v="UNIQUE"/>
    <n v="0"/>
    <n v="1"/>
    <n v="64"/>
    <n v="0"/>
    <n v="64"/>
  </r>
  <r>
    <x v="0"/>
    <x v="0"/>
    <x v="0"/>
    <n v="1"/>
    <n v="10"/>
    <s v="00"/>
    <s v="200"/>
    <s v="11000-200"/>
    <s v="Grand piano production item #200"/>
    <s v="UNIQUE"/>
    <n v="479"/>
    <n v="3"/>
    <n v="19683"/>
    <n v="1437"/>
    <n v="59049"/>
  </r>
  <r>
    <x v="0"/>
    <x v="0"/>
    <x v="0"/>
    <n v="1"/>
    <n v="10"/>
    <s v="00"/>
    <s v="201"/>
    <s v="11000-201"/>
    <s v="Grand piano production item #201"/>
    <s v="UNIQUE"/>
    <n v="0"/>
    <n v="1000"/>
    <n v="4"/>
    <n v="0"/>
    <n v="4000"/>
  </r>
  <r>
    <x v="0"/>
    <x v="0"/>
    <x v="0"/>
    <n v="1"/>
    <n v="10"/>
    <s v="00"/>
    <s v="202"/>
    <s v="11000-202"/>
    <s v="Grand piano production item #202"/>
    <s v="UNIQUE"/>
    <n v="0"/>
    <n v="49"/>
    <n v="625"/>
    <n v="0"/>
    <n v="30625"/>
  </r>
  <r>
    <x v="0"/>
    <x v="0"/>
    <x v="0"/>
    <n v="1"/>
    <n v="10"/>
    <s v="00"/>
    <s v="203"/>
    <s v="11000-203"/>
    <s v="Grand piano production item #203"/>
    <s v="UNIQUE"/>
    <n v="1"/>
    <n v="27"/>
    <n v="28"/>
    <n v="27"/>
    <n v="756"/>
  </r>
  <r>
    <x v="0"/>
    <x v="0"/>
    <x v="0"/>
    <n v="1"/>
    <n v="10"/>
    <s v="00"/>
    <s v="204"/>
    <s v="11000-204"/>
    <s v="Grand piano production item #204"/>
    <s v="UNIQUE"/>
    <n v="0"/>
    <n v="125"/>
    <n v="256"/>
    <n v="0"/>
    <n v="32000"/>
  </r>
  <r>
    <x v="0"/>
    <x v="0"/>
    <x v="0"/>
    <n v="1"/>
    <n v="10"/>
    <s v="00"/>
    <s v="205"/>
    <s v="11000-205"/>
    <s v="Grand piano production item #205"/>
    <s v="UNIQUE"/>
    <n v="0"/>
    <n v="4"/>
    <n v="343"/>
    <n v="0"/>
    <n v="1372"/>
  </r>
  <r>
    <x v="0"/>
    <x v="0"/>
    <x v="0"/>
    <n v="1"/>
    <n v="10"/>
    <s v="00"/>
    <s v="206"/>
    <s v="11000-206"/>
    <s v="Grand piano production item #206"/>
    <s v="UNIQUE"/>
    <n v="9198"/>
    <n v="4"/>
    <n v="1"/>
    <n v="36792"/>
    <n v="4"/>
  </r>
  <r>
    <x v="0"/>
    <x v="0"/>
    <x v="0"/>
    <n v="1"/>
    <n v="10"/>
    <s v="00"/>
    <s v="207"/>
    <s v="11000-207"/>
    <s v="Grand piano production item #207"/>
    <s v="UNIQUE"/>
    <n v="0"/>
    <n v="1"/>
    <n v="81"/>
    <n v="0"/>
    <n v="81"/>
  </r>
  <r>
    <x v="0"/>
    <x v="0"/>
    <x v="0"/>
    <n v="1"/>
    <n v="10"/>
    <s v="00"/>
    <s v="208"/>
    <s v="11000-208"/>
    <s v="Grand piano production item #208"/>
    <s v="UNIQUE"/>
    <n v="0"/>
    <n v="16"/>
    <n v="15"/>
    <n v="0"/>
    <n v="240"/>
  </r>
  <r>
    <x v="0"/>
    <x v="0"/>
    <x v="0"/>
    <n v="1"/>
    <n v="10"/>
    <s v="00"/>
    <s v="209"/>
    <s v="11000-209"/>
    <s v="Grand piano production item #209"/>
    <s v="UNIQUE"/>
    <n v="0"/>
    <n v="9"/>
    <n v="6859"/>
    <n v="0"/>
    <n v="61731"/>
  </r>
  <r>
    <x v="0"/>
    <x v="0"/>
    <x v="0"/>
    <n v="1"/>
    <n v="10"/>
    <s v="00"/>
    <s v="210"/>
    <s v="11000-210"/>
    <s v="Grand piano production item #210"/>
    <s v="UNIQUE"/>
    <n v="56"/>
    <n v="6"/>
    <n v="900"/>
    <n v="336"/>
    <n v="5400"/>
  </r>
  <r>
    <x v="0"/>
    <x v="0"/>
    <x v="0"/>
    <n v="1"/>
    <n v="10"/>
    <s v="00"/>
    <s v="211"/>
    <s v="11000-211"/>
    <s v="Grand piano production item #211"/>
    <s v="UNIQUE"/>
    <n v="0"/>
    <n v="16"/>
    <n v="23"/>
    <n v="0"/>
    <n v="368"/>
  </r>
  <r>
    <x v="0"/>
    <x v="0"/>
    <x v="0"/>
    <n v="1"/>
    <n v="10"/>
    <s v="00"/>
    <s v="212"/>
    <s v="11000-212"/>
    <s v="Grand piano production item #212"/>
    <s v="UNIQUE"/>
    <n v="68"/>
    <n v="8"/>
    <n v="225"/>
    <n v="544"/>
    <n v="1800"/>
  </r>
  <r>
    <x v="0"/>
    <x v="0"/>
    <x v="0"/>
    <n v="1"/>
    <n v="10"/>
    <s v="00"/>
    <s v="213"/>
    <s v="11000-213"/>
    <s v="Grand piano production item #213"/>
    <s v="UNIQUE"/>
    <n v="0"/>
    <n v="2"/>
    <n v="24"/>
    <n v="0"/>
    <n v="48"/>
  </r>
  <r>
    <x v="0"/>
    <x v="0"/>
    <x v="0"/>
    <n v="1"/>
    <n v="10"/>
    <s v="00"/>
    <s v="214"/>
    <s v="11000-214"/>
    <s v="Grand piano production item #214"/>
    <s v="UNIQUE"/>
    <n v="5359"/>
    <n v="512"/>
    <n v="17"/>
    <n v="2743808"/>
    <n v="8704"/>
  </r>
  <r>
    <x v="0"/>
    <x v="0"/>
    <x v="0"/>
    <n v="1"/>
    <n v="10"/>
    <s v="00"/>
    <s v="215"/>
    <s v="11000-215"/>
    <s v="Grand piano production item #215"/>
    <s v="UNIQUE"/>
    <n v="0"/>
    <n v="125"/>
    <n v="14"/>
    <n v="0"/>
    <n v="1750"/>
  </r>
  <r>
    <x v="0"/>
    <x v="0"/>
    <x v="0"/>
    <n v="1"/>
    <n v="10"/>
    <s v="00"/>
    <s v="216"/>
    <s v="11000-216"/>
    <s v="Grand piano production item #216"/>
    <s v="UNIQUE"/>
    <n v="198"/>
    <n v="81"/>
    <n v="15"/>
    <n v="16038"/>
    <n v="1215"/>
  </r>
  <r>
    <x v="0"/>
    <x v="0"/>
    <x v="0"/>
    <n v="1"/>
    <n v="10"/>
    <s v="00"/>
    <s v="217"/>
    <s v="11000-217"/>
    <s v="Grand piano production item #217"/>
    <s v="UNIQUE"/>
    <n v="0"/>
    <n v="3"/>
    <n v="1728"/>
    <n v="0"/>
    <n v="5184"/>
  </r>
  <r>
    <x v="0"/>
    <x v="0"/>
    <x v="0"/>
    <n v="1"/>
    <n v="10"/>
    <s v="00"/>
    <s v="218"/>
    <s v="11000-218"/>
    <s v="Grand piano production item #218"/>
    <s v="UNIQUE"/>
    <n v="0"/>
    <n v="729"/>
    <n v="8"/>
    <n v="0"/>
    <n v="5832"/>
  </r>
  <r>
    <x v="0"/>
    <x v="0"/>
    <x v="0"/>
    <n v="1"/>
    <n v="10"/>
    <s v="00"/>
    <s v="219"/>
    <s v="11000-219"/>
    <s v="Grand piano production item #219"/>
    <s v="UNIQUE"/>
    <n v="0"/>
    <n v="4"/>
    <n v="4"/>
    <n v="0"/>
    <n v="16"/>
  </r>
  <r>
    <x v="0"/>
    <x v="0"/>
    <x v="0"/>
    <n v="1"/>
    <n v="10"/>
    <s v="00"/>
    <s v="220"/>
    <s v="11000-220"/>
    <s v="Grand piano production item #220"/>
    <s v="UNIQUE"/>
    <n v="0"/>
    <n v="8"/>
    <n v="10"/>
    <n v="0"/>
    <n v="80"/>
  </r>
  <r>
    <x v="0"/>
    <x v="0"/>
    <x v="0"/>
    <n v="1"/>
    <n v="10"/>
    <s v="00"/>
    <s v="221"/>
    <s v="11000-221"/>
    <s v="Grand piano production item #221"/>
    <s v="UNIQUE"/>
    <n v="0"/>
    <n v="9"/>
    <n v="11"/>
    <n v="0"/>
    <n v="99"/>
  </r>
  <r>
    <x v="0"/>
    <x v="0"/>
    <x v="0"/>
    <n v="1"/>
    <n v="10"/>
    <s v="00"/>
    <s v="222"/>
    <s v="11000-222"/>
    <s v="Grand piano production item #222"/>
    <s v="UNIQUE"/>
    <n v="4"/>
    <n v="729"/>
    <n v="2744"/>
    <n v="2916"/>
    <n v="2000376"/>
  </r>
  <r>
    <x v="0"/>
    <x v="0"/>
    <x v="0"/>
    <n v="1"/>
    <n v="10"/>
    <s v="00"/>
    <s v="223"/>
    <s v="11000-223"/>
    <s v="Grand piano production item #223"/>
    <s v="UNIQUE"/>
    <n v="0"/>
    <n v="1"/>
    <n v="216"/>
    <n v="0"/>
    <n v="216"/>
  </r>
  <r>
    <x v="0"/>
    <x v="0"/>
    <x v="0"/>
    <n v="1"/>
    <n v="10"/>
    <s v="00"/>
    <s v="224"/>
    <s v="11000-224"/>
    <s v="Grand piano production item #224"/>
    <s v="UNIQUE"/>
    <n v="5135"/>
    <n v="16"/>
    <n v="676"/>
    <n v="82160"/>
    <n v="10816"/>
  </r>
  <r>
    <x v="0"/>
    <x v="0"/>
    <x v="0"/>
    <n v="1"/>
    <n v="10"/>
    <s v="00"/>
    <s v="225"/>
    <s v="11000-225"/>
    <s v="Grand piano production item #225"/>
    <s v="UNIQUE"/>
    <n v="0"/>
    <n v="729"/>
    <n v="289"/>
    <n v="0"/>
    <n v="210681"/>
  </r>
  <r>
    <x v="0"/>
    <x v="0"/>
    <x v="0"/>
    <n v="1"/>
    <n v="10"/>
    <s v="00"/>
    <s v="226"/>
    <s v="11000-226"/>
    <s v="Grand piano production item #226"/>
    <s v="UNIQUE"/>
    <n v="0"/>
    <n v="10"/>
    <n v="10648"/>
    <n v="0"/>
    <n v="106480"/>
  </r>
  <r>
    <x v="0"/>
    <x v="0"/>
    <x v="0"/>
    <n v="1"/>
    <n v="10"/>
    <s v="00"/>
    <s v="227"/>
    <s v="11000-227"/>
    <s v="Grand piano production item #227"/>
    <s v="UNIQUE"/>
    <n v="1"/>
    <n v="4"/>
    <n v="784"/>
    <n v="4"/>
    <n v="3136"/>
  </r>
  <r>
    <x v="0"/>
    <x v="0"/>
    <x v="0"/>
    <n v="1"/>
    <n v="10"/>
    <s v="00"/>
    <s v="228"/>
    <s v="11000-228"/>
    <s v="Grand piano production item #228"/>
    <s v="UNIQUE"/>
    <n v="0"/>
    <n v="1"/>
    <n v="23"/>
    <n v="0"/>
    <n v="23"/>
  </r>
  <r>
    <x v="0"/>
    <x v="0"/>
    <x v="0"/>
    <n v="1"/>
    <n v="10"/>
    <s v="00"/>
    <s v="229"/>
    <s v="11000-229"/>
    <s v="Grand piano production item #229"/>
    <s v="UNIQUE"/>
    <n v="0"/>
    <n v="100"/>
    <n v="441"/>
    <n v="0"/>
    <n v="44100"/>
  </r>
  <r>
    <x v="0"/>
    <x v="0"/>
    <x v="0"/>
    <n v="1"/>
    <n v="10"/>
    <s v="00"/>
    <s v="230"/>
    <s v="11000-230"/>
    <s v="Grand piano production item #230"/>
    <s v="UNIQUE"/>
    <n v="1"/>
    <n v="8"/>
    <n v="3375"/>
    <n v="8"/>
    <n v="27000"/>
  </r>
  <r>
    <x v="0"/>
    <x v="0"/>
    <x v="0"/>
    <n v="1"/>
    <n v="10"/>
    <s v="00"/>
    <s v="231"/>
    <s v="11000-231"/>
    <s v="Grand piano production item #231"/>
    <s v="UNIQUE"/>
    <n v="6"/>
    <n v="512"/>
    <n v="1"/>
    <n v="3072"/>
    <n v="512"/>
  </r>
  <r>
    <x v="0"/>
    <x v="0"/>
    <x v="0"/>
    <n v="1"/>
    <n v="10"/>
    <s v="00"/>
    <s v="232"/>
    <s v="11000-232"/>
    <s v="Grand piano production item #232"/>
    <s v="UNIQUE"/>
    <n v="37"/>
    <n v="100"/>
    <n v="9261"/>
    <n v="3700"/>
    <n v="926100"/>
  </r>
  <r>
    <x v="0"/>
    <x v="0"/>
    <x v="0"/>
    <n v="1"/>
    <n v="10"/>
    <s v="00"/>
    <s v="233"/>
    <s v="11000-233"/>
    <s v="Grand piano production item #233"/>
    <s v="UNIQUE"/>
    <n v="1"/>
    <n v="6"/>
    <n v="0"/>
    <n v="6"/>
    <n v="0"/>
  </r>
  <r>
    <x v="0"/>
    <x v="0"/>
    <x v="0"/>
    <n v="1"/>
    <n v="10"/>
    <s v="00"/>
    <s v="234"/>
    <s v="11000-234"/>
    <s v="Grand piano production item #234"/>
    <s v="UNIQUE"/>
    <n v="94"/>
    <n v="81"/>
    <n v="20"/>
    <n v="7614"/>
    <n v="1620"/>
  </r>
  <r>
    <x v="0"/>
    <x v="0"/>
    <x v="0"/>
    <n v="1"/>
    <n v="10"/>
    <s v="00"/>
    <s v="235"/>
    <s v="11000-235"/>
    <s v="Grand piano production item #235"/>
    <s v="UNIQUE"/>
    <n v="0"/>
    <n v="8"/>
    <n v="6859"/>
    <n v="0"/>
    <n v="54872"/>
  </r>
  <r>
    <x v="0"/>
    <x v="0"/>
    <x v="0"/>
    <n v="1"/>
    <n v="10"/>
    <s v="00"/>
    <s v="236"/>
    <s v="11000-236"/>
    <s v="Grand piano production item #236"/>
    <s v="UNIQUE"/>
    <n v="0"/>
    <n v="216"/>
    <n v="0"/>
    <n v="0"/>
    <n v="0"/>
  </r>
  <r>
    <x v="0"/>
    <x v="0"/>
    <x v="0"/>
    <n v="1"/>
    <n v="10"/>
    <s v="00"/>
    <s v="237"/>
    <s v="11000-237"/>
    <s v="Grand piano production item #237"/>
    <s v="UNIQUE"/>
    <n v="5"/>
    <n v="4"/>
    <n v="4"/>
    <n v="20"/>
    <n v="16"/>
  </r>
  <r>
    <x v="0"/>
    <x v="0"/>
    <x v="0"/>
    <n v="1"/>
    <n v="10"/>
    <s v="00"/>
    <s v="238"/>
    <s v="11000-238"/>
    <s v="Grand piano production item #238"/>
    <s v="UNIQUE"/>
    <n v="0"/>
    <n v="9"/>
    <n v="144"/>
    <n v="0"/>
    <n v="1296"/>
  </r>
  <r>
    <x v="0"/>
    <x v="0"/>
    <x v="0"/>
    <n v="1"/>
    <n v="10"/>
    <s v="00"/>
    <s v="239"/>
    <s v="11000-239"/>
    <s v="Grand piano production item #239"/>
    <s v="UNIQUE"/>
    <n v="0"/>
    <n v="36"/>
    <n v="5832"/>
    <n v="0"/>
    <n v="209952"/>
  </r>
  <r>
    <x v="0"/>
    <x v="0"/>
    <x v="0"/>
    <n v="1"/>
    <n v="10"/>
    <s v="00"/>
    <s v="240"/>
    <s v="11000-240"/>
    <s v="Grand piano production item #240"/>
    <s v="UNIQUE"/>
    <n v="0"/>
    <n v="125"/>
    <n v="3"/>
    <n v="0"/>
    <n v="375"/>
  </r>
  <r>
    <x v="0"/>
    <x v="0"/>
    <x v="0"/>
    <n v="1"/>
    <n v="10"/>
    <s v="00"/>
    <s v="241"/>
    <s v="11000-241"/>
    <s v="Grand piano production item #241"/>
    <s v="UNIQUE"/>
    <n v="0"/>
    <n v="3"/>
    <n v="676"/>
    <n v="0"/>
    <n v="2028"/>
  </r>
  <r>
    <x v="0"/>
    <x v="0"/>
    <x v="0"/>
    <n v="1"/>
    <n v="10"/>
    <s v="00"/>
    <s v="242"/>
    <s v="11000-242"/>
    <s v="Grand piano production item #242"/>
    <s v="UNIQUE"/>
    <n v="0"/>
    <n v="8"/>
    <n v="1331"/>
    <n v="0"/>
    <n v="10648"/>
  </r>
  <r>
    <x v="0"/>
    <x v="0"/>
    <x v="0"/>
    <n v="1"/>
    <n v="10"/>
    <s v="00"/>
    <s v="243"/>
    <s v="11000-243"/>
    <s v="Grand piano production item #243"/>
    <s v="UNIQUE"/>
    <n v="8"/>
    <n v="81"/>
    <n v="8"/>
    <n v="648"/>
    <n v="648"/>
  </r>
  <r>
    <x v="0"/>
    <x v="0"/>
    <x v="0"/>
    <n v="1"/>
    <n v="10"/>
    <s v="00"/>
    <s v="244"/>
    <s v="11000-244"/>
    <s v="Grand piano production item #244"/>
    <s v="UNIQUE"/>
    <n v="9"/>
    <n v="7"/>
    <n v="27"/>
    <n v="63"/>
    <n v="189"/>
  </r>
  <r>
    <x v="0"/>
    <x v="0"/>
    <x v="0"/>
    <n v="1"/>
    <n v="10"/>
    <s v="00"/>
    <s v="245"/>
    <s v="11000-245"/>
    <s v="Grand piano production item #245"/>
    <s v="UNIQUE"/>
    <n v="0"/>
    <n v="81"/>
    <n v="121"/>
    <n v="0"/>
    <n v="9801"/>
  </r>
  <r>
    <x v="0"/>
    <x v="0"/>
    <x v="0"/>
    <n v="1"/>
    <n v="10"/>
    <s v="00"/>
    <s v="246"/>
    <s v="11000-246"/>
    <s v="Grand piano production item #246"/>
    <s v="UNIQUE"/>
    <n v="0"/>
    <n v="100"/>
    <n v="4096"/>
    <n v="0"/>
    <n v="409600"/>
  </r>
  <r>
    <x v="0"/>
    <x v="0"/>
    <x v="0"/>
    <n v="1"/>
    <n v="10"/>
    <s v="00"/>
    <s v="247"/>
    <s v="11000-247"/>
    <s v="Grand piano production item #247"/>
    <s v="UNIQUE"/>
    <n v="0"/>
    <n v="216"/>
    <n v="24389"/>
    <n v="0"/>
    <n v="5268024"/>
  </r>
  <r>
    <x v="0"/>
    <x v="0"/>
    <x v="0"/>
    <n v="1"/>
    <n v="10"/>
    <s v="00"/>
    <s v="248"/>
    <s v="11000-248"/>
    <s v="Grand piano production item #248"/>
    <s v="UNIQUE"/>
    <n v="0"/>
    <n v="6"/>
    <n v="529"/>
    <n v="0"/>
    <n v="3174"/>
  </r>
  <r>
    <x v="0"/>
    <x v="0"/>
    <x v="0"/>
    <n v="1"/>
    <n v="10"/>
    <s v="00"/>
    <s v="249"/>
    <s v="11000-249"/>
    <s v="Grand piano production item #249"/>
    <s v="UNIQUE"/>
    <n v="0"/>
    <n v="125"/>
    <n v="24"/>
    <n v="0"/>
    <n v="3000"/>
  </r>
  <r>
    <x v="0"/>
    <x v="0"/>
    <x v="0"/>
    <n v="1"/>
    <n v="10"/>
    <s v="00"/>
    <s v="250"/>
    <s v="11000-250"/>
    <s v="Grand piano production item #250"/>
    <s v="UNIQUE"/>
    <n v="8241"/>
    <n v="1"/>
    <n v="512"/>
    <n v="8241"/>
    <n v="512"/>
  </r>
  <r>
    <x v="0"/>
    <x v="0"/>
    <x v="0"/>
    <n v="1"/>
    <n v="10"/>
    <s v="00"/>
    <s v="251"/>
    <s v="11000-251"/>
    <s v="Grand piano production item #251"/>
    <s v="UNIQUE"/>
    <n v="0"/>
    <n v="64"/>
    <n v="196"/>
    <n v="0"/>
    <n v="12544"/>
  </r>
  <r>
    <x v="0"/>
    <x v="0"/>
    <x v="0"/>
    <n v="1"/>
    <n v="10"/>
    <s v="00"/>
    <s v="252"/>
    <s v="11000-252"/>
    <s v="Grand piano production item #252"/>
    <s v="UNIQUE"/>
    <n v="0"/>
    <n v="2"/>
    <n v="256"/>
    <n v="0"/>
    <n v="512"/>
  </r>
  <r>
    <x v="0"/>
    <x v="0"/>
    <x v="0"/>
    <n v="1"/>
    <n v="10"/>
    <s v="00"/>
    <s v="253"/>
    <s v="11000-253"/>
    <s v="Grand piano production item #253"/>
    <s v="UNIQUE"/>
    <n v="6"/>
    <n v="216"/>
    <n v="676"/>
    <n v="1296"/>
    <n v="146016"/>
  </r>
  <r>
    <x v="0"/>
    <x v="0"/>
    <x v="0"/>
    <n v="1"/>
    <n v="10"/>
    <s v="00"/>
    <s v="254"/>
    <s v="11000-254"/>
    <s v="Grand piano production item #254"/>
    <s v="UNIQUE"/>
    <n v="76"/>
    <n v="1"/>
    <n v="15"/>
    <n v="76"/>
    <n v="15"/>
  </r>
  <r>
    <x v="0"/>
    <x v="0"/>
    <x v="0"/>
    <n v="1"/>
    <n v="10"/>
    <s v="00"/>
    <s v="255"/>
    <s v="11000-255"/>
    <s v="Grand piano production item #255"/>
    <s v="UNIQUE"/>
    <n v="0"/>
    <n v="64"/>
    <n v="9261"/>
    <n v="0"/>
    <n v="592704"/>
  </r>
  <r>
    <x v="0"/>
    <x v="0"/>
    <x v="0"/>
    <n v="1"/>
    <n v="10"/>
    <s v="00"/>
    <s v="256"/>
    <s v="11000-256"/>
    <s v="Grand piano production item #256"/>
    <s v="UNIQUE"/>
    <n v="0"/>
    <n v="64"/>
    <n v="9"/>
    <n v="0"/>
    <n v="576"/>
  </r>
  <r>
    <x v="0"/>
    <x v="0"/>
    <x v="0"/>
    <n v="1"/>
    <n v="10"/>
    <s v="00"/>
    <s v="257"/>
    <s v="11000-257"/>
    <s v="Grand piano production item #257"/>
    <s v="UNIQUE"/>
    <n v="95"/>
    <n v="1"/>
    <n v="18"/>
    <n v="95"/>
    <n v="18"/>
  </r>
  <r>
    <x v="0"/>
    <x v="0"/>
    <x v="0"/>
    <n v="1"/>
    <n v="10"/>
    <s v="00"/>
    <s v="258"/>
    <s v="11000-258"/>
    <s v="Grand piano production item #258"/>
    <s v="UNIQUE"/>
    <n v="0"/>
    <n v="27"/>
    <n v="121"/>
    <n v="0"/>
    <n v="3267"/>
  </r>
  <r>
    <x v="0"/>
    <x v="0"/>
    <x v="0"/>
    <n v="1"/>
    <n v="10"/>
    <s v="00"/>
    <s v="259"/>
    <s v="11000-259"/>
    <s v="Grand piano production item #259"/>
    <s v="UNIQUE"/>
    <n v="0"/>
    <n v="1000"/>
    <n v="18"/>
    <n v="0"/>
    <n v="18000"/>
  </r>
  <r>
    <x v="0"/>
    <x v="0"/>
    <x v="0"/>
    <n v="1"/>
    <n v="10"/>
    <s v="00"/>
    <s v="260"/>
    <s v="11000-260"/>
    <s v="Grand piano production item #260"/>
    <s v="UNIQUE"/>
    <n v="0"/>
    <n v="64"/>
    <n v="20"/>
    <n v="0"/>
    <n v="1280"/>
  </r>
  <r>
    <x v="0"/>
    <x v="0"/>
    <x v="0"/>
    <n v="1"/>
    <n v="10"/>
    <s v="00"/>
    <s v="261"/>
    <s v="11000-261"/>
    <s v="Grand piano production item #261"/>
    <s v="UNIQUE"/>
    <n v="4303"/>
    <n v="729"/>
    <n v="81"/>
    <n v="3136887"/>
    <n v="59049"/>
  </r>
  <r>
    <x v="0"/>
    <x v="0"/>
    <x v="0"/>
    <n v="1"/>
    <n v="10"/>
    <s v="00"/>
    <s v="262"/>
    <s v="11000-262"/>
    <s v="Grand piano production item #262"/>
    <s v="UNIQUE"/>
    <n v="0"/>
    <n v="64"/>
    <n v="1000"/>
    <n v="0"/>
    <n v="64000"/>
  </r>
  <r>
    <x v="0"/>
    <x v="0"/>
    <x v="0"/>
    <n v="1"/>
    <n v="10"/>
    <s v="00"/>
    <s v="263"/>
    <s v="11000-263"/>
    <s v="Grand piano production item #263"/>
    <s v="UNIQUE"/>
    <n v="4"/>
    <n v="343"/>
    <n v="1"/>
    <n v="1372"/>
    <n v="343"/>
  </r>
  <r>
    <x v="0"/>
    <x v="0"/>
    <x v="0"/>
    <n v="1"/>
    <n v="10"/>
    <s v="00"/>
    <s v="264"/>
    <s v="11000-264"/>
    <s v="Grand piano production item #264"/>
    <s v="UNIQUE"/>
    <n v="0"/>
    <n v="125"/>
    <n v="6859"/>
    <n v="0"/>
    <n v="857375"/>
  </r>
  <r>
    <x v="0"/>
    <x v="0"/>
    <x v="0"/>
    <n v="1"/>
    <n v="10"/>
    <s v="00"/>
    <s v="265"/>
    <s v="11000-265"/>
    <s v="Grand piano production item #265"/>
    <s v="UNIQUE"/>
    <n v="4"/>
    <n v="1000"/>
    <n v="1728"/>
    <n v="4000"/>
    <n v="1728000"/>
  </r>
  <r>
    <x v="0"/>
    <x v="0"/>
    <x v="0"/>
    <n v="1"/>
    <n v="10"/>
    <s v="00"/>
    <s v="266"/>
    <s v="11000-266"/>
    <s v="Grand piano production item #266"/>
    <s v="UNIQUE"/>
    <n v="0"/>
    <n v="49"/>
    <n v="196"/>
    <n v="0"/>
    <n v="9604"/>
  </r>
  <r>
    <x v="0"/>
    <x v="0"/>
    <x v="0"/>
    <n v="1"/>
    <n v="10"/>
    <s v="00"/>
    <s v="267"/>
    <s v="11000-267"/>
    <s v="Grand piano production item #267"/>
    <s v="UNIQUE"/>
    <n v="0"/>
    <n v="729"/>
    <n v="400"/>
    <n v="0"/>
    <n v="291600"/>
  </r>
  <r>
    <x v="0"/>
    <x v="0"/>
    <x v="0"/>
    <n v="1"/>
    <n v="10"/>
    <s v="00"/>
    <s v="268"/>
    <s v="11000-268"/>
    <s v="Grand piano production item #268"/>
    <s v="UNIQUE"/>
    <n v="0"/>
    <n v="1"/>
    <n v="19"/>
    <n v="0"/>
    <n v="19"/>
  </r>
  <r>
    <x v="0"/>
    <x v="0"/>
    <x v="0"/>
    <n v="1"/>
    <n v="10"/>
    <s v="00"/>
    <s v="269"/>
    <s v="11000-269"/>
    <s v="Grand piano production item #269"/>
    <s v="UNIQUE"/>
    <n v="0"/>
    <n v="9"/>
    <n v="125"/>
    <n v="0"/>
    <n v="1125"/>
  </r>
  <r>
    <x v="0"/>
    <x v="0"/>
    <x v="0"/>
    <n v="1"/>
    <n v="10"/>
    <s v="00"/>
    <s v="270"/>
    <s v="11000-270"/>
    <s v="Grand piano production item #270"/>
    <s v="UNIQUE"/>
    <n v="0"/>
    <n v="4"/>
    <n v="15"/>
    <n v="0"/>
    <n v="60"/>
  </r>
  <r>
    <x v="0"/>
    <x v="0"/>
    <x v="0"/>
    <n v="1"/>
    <n v="10"/>
    <s v="00"/>
    <s v="271"/>
    <s v="11000-271"/>
    <s v="Grand piano production item #271"/>
    <s v="UNIQUE"/>
    <n v="0"/>
    <n v="729"/>
    <n v="576"/>
    <n v="0"/>
    <n v="419904"/>
  </r>
  <r>
    <x v="0"/>
    <x v="0"/>
    <x v="0"/>
    <n v="1"/>
    <n v="10"/>
    <s v="00"/>
    <s v="272"/>
    <s v="11000-272"/>
    <s v="Grand piano production item #272"/>
    <s v="UNIQUE"/>
    <n v="0"/>
    <n v="64"/>
    <n v="8"/>
    <n v="0"/>
    <n v="512"/>
  </r>
  <r>
    <x v="0"/>
    <x v="0"/>
    <x v="0"/>
    <n v="1"/>
    <n v="10"/>
    <s v="00"/>
    <s v="273"/>
    <s v="11000-273"/>
    <s v="Grand piano production item #273"/>
    <s v="UNIQUE"/>
    <n v="0"/>
    <n v="8"/>
    <n v="1"/>
    <n v="0"/>
    <n v="8"/>
  </r>
  <r>
    <x v="0"/>
    <x v="0"/>
    <x v="0"/>
    <n v="1"/>
    <n v="10"/>
    <s v="00"/>
    <s v="274"/>
    <s v="11000-274"/>
    <s v="Grand piano production item #274"/>
    <s v="UNIQUE"/>
    <n v="0"/>
    <n v="9"/>
    <n v="21"/>
    <n v="0"/>
    <n v="189"/>
  </r>
  <r>
    <x v="0"/>
    <x v="0"/>
    <x v="0"/>
    <n v="1"/>
    <n v="10"/>
    <s v="00"/>
    <s v="275"/>
    <s v="11000-275"/>
    <s v="Grand piano production item #275"/>
    <s v="UNIQUE"/>
    <n v="410"/>
    <n v="100"/>
    <n v="25"/>
    <n v="41000"/>
    <n v="2500"/>
  </r>
  <r>
    <x v="0"/>
    <x v="0"/>
    <x v="0"/>
    <n v="1"/>
    <n v="10"/>
    <s v="00"/>
    <s v="276"/>
    <s v="11000-276"/>
    <s v="Grand piano production item #276"/>
    <s v="UNIQUE"/>
    <n v="0"/>
    <n v="125"/>
    <n v="29"/>
    <n v="0"/>
    <n v="3625"/>
  </r>
  <r>
    <x v="0"/>
    <x v="0"/>
    <x v="0"/>
    <n v="1"/>
    <n v="10"/>
    <s v="00"/>
    <s v="277"/>
    <s v="11000-277"/>
    <s v="Grand piano production item #277"/>
    <s v="UNIQUE"/>
    <n v="0"/>
    <n v="125"/>
    <n v="529"/>
    <n v="0"/>
    <n v="66125"/>
  </r>
  <r>
    <x v="0"/>
    <x v="0"/>
    <x v="0"/>
    <n v="1"/>
    <n v="10"/>
    <s v="00"/>
    <s v="278"/>
    <s v="11000-278"/>
    <s v="Grand piano production item #278"/>
    <s v="UNIQUE"/>
    <n v="6"/>
    <n v="64"/>
    <n v="4096"/>
    <n v="384"/>
    <n v="262144"/>
  </r>
  <r>
    <x v="0"/>
    <x v="0"/>
    <x v="0"/>
    <n v="1"/>
    <n v="10"/>
    <s v="00"/>
    <s v="279"/>
    <s v="11000-279"/>
    <s v="Grand piano production item #279"/>
    <s v="UNIQUE"/>
    <n v="5"/>
    <n v="1000"/>
    <n v="100"/>
    <n v="5000"/>
    <n v="100000"/>
  </r>
  <r>
    <x v="0"/>
    <x v="0"/>
    <x v="0"/>
    <n v="1"/>
    <n v="10"/>
    <s v="00"/>
    <s v="280"/>
    <s v="11000-280"/>
    <s v="Grand piano production item #280"/>
    <s v="UNIQUE"/>
    <n v="0"/>
    <n v="8"/>
    <n v="196"/>
    <n v="0"/>
    <n v="1568"/>
  </r>
  <r>
    <x v="0"/>
    <x v="0"/>
    <x v="0"/>
    <n v="1"/>
    <n v="10"/>
    <s v="00"/>
    <s v="281"/>
    <s v="11000-281"/>
    <s v="Grand piano production item #281"/>
    <s v="UNIQUE"/>
    <n v="0"/>
    <n v="1"/>
    <n v="21952"/>
    <n v="0"/>
    <n v="21952"/>
  </r>
  <r>
    <x v="0"/>
    <x v="0"/>
    <x v="0"/>
    <n v="1"/>
    <n v="10"/>
    <s v="00"/>
    <s v="282"/>
    <s v="11000-282"/>
    <s v="Grand piano production item #282"/>
    <s v="UNIQUE"/>
    <n v="0"/>
    <n v="9"/>
    <n v="18"/>
    <n v="0"/>
    <n v="162"/>
  </r>
  <r>
    <x v="0"/>
    <x v="0"/>
    <x v="0"/>
    <n v="1"/>
    <n v="10"/>
    <s v="00"/>
    <s v="283"/>
    <s v="11000-283"/>
    <s v="Grand piano production item #283"/>
    <s v="UNIQUE"/>
    <n v="0"/>
    <n v="8"/>
    <n v="4"/>
    <n v="0"/>
    <n v="32"/>
  </r>
  <r>
    <x v="0"/>
    <x v="0"/>
    <x v="0"/>
    <n v="1"/>
    <n v="10"/>
    <s v="00"/>
    <s v="284"/>
    <s v="11000-284"/>
    <s v="Grand piano production item #284"/>
    <s v="UNIQUE"/>
    <n v="0"/>
    <n v="8"/>
    <n v="64"/>
    <n v="0"/>
    <n v="512"/>
  </r>
  <r>
    <x v="0"/>
    <x v="0"/>
    <x v="0"/>
    <n v="1"/>
    <n v="10"/>
    <s v="00"/>
    <s v="285"/>
    <s v="11000-285"/>
    <s v="Grand piano production item #285"/>
    <s v="UNIQUE"/>
    <n v="0"/>
    <n v="81"/>
    <n v="2197"/>
    <n v="0"/>
    <n v="177957"/>
  </r>
  <r>
    <x v="0"/>
    <x v="0"/>
    <x v="0"/>
    <n v="1"/>
    <n v="10"/>
    <s v="00"/>
    <s v="286"/>
    <s v="11000-286"/>
    <s v="Grand piano production item #286"/>
    <s v="UNIQUE"/>
    <n v="0"/>
    <n v="216"/>
    <n v="900"/>
    <n v="0"/>
    <n v="194400"/>
  </r>
  <r>
    <x v="0"/>
    <x v="0"/>
    <x v="0"/>
    <n v="1"/>
    <n v="10"/>
    <s v="00"/>
    <s v="287"/>
    <s v="11000-287"/>
    <s v="Grand piano production item #287"/>
    <s v="UNIQUE"/>
    <n v="0"/>
    <n v="36"/>
    <n v="27000"/>
    <n v="0"/>
    <n v="972000"/>
  </r>
  <r>
    <x v="0"/>
    <x v="0"/>
    <x v="0"/>
    <n v="1"/>
    <n v="10"/>
    <s v="00"/>
    <s v="288"/>
    <s v="11000-288"/>
    <s v="Grand piano production item #288"/>
    <s v="UNIQUE"/>
    <n v="0"/>
    <n v="4"/>
    <n v="29"/>
    <n v="0"/>
    <n v="116"/>
  </r>
  <r>
    <x v="0"/>
    <x v="0"/>
    <x v="0"/>
    <n v="1"/>
    <n v="10"/>
    <s v="00"/>
    <s v="289"/>
    <s v="11000-289"/>
    <s v="Grand piano production item #289"/>
    <s v="UNIQUE"/>
    <n v="5"/>
    <n v="3"/>
    <n v="16"/>
    <n v="15"/>
    <n v="48"/>
  </r>
  <r>
    <x v="0"/>
    <x v="0"/>
    <x v="0"/>
    <n v="1"/>
    <n v="10"/>
    <s v="00"/>
    <s v="290"/>
    <s v="11000-290"/>
    <s v="Grand piano production item #290"/>
    <s v="UNIQUE"/>
    <n v="0"/>
    <n v="36"/>
    <n v="2197"/>
    <n v="0"/>
    <n v="79092"/>
  </r>
  <r>
    <x v="0"/>
    <x v="0"/>
    <x v="0"/>
    <n v="1"/>
    <n v="10"/>
    <s v="00"/>
    <s v="291"/>
    <s v="11000-291"/>
    <s v="Grand piano production item #291"/>
    <s v="UNIQUE"/>
    <n v="157"/>
    <n v="8"/>
    <n v="2"/>
    <n v="1256"/>
    <n v="16"/>
  </r>
  <r>
    <x v="0"/>
    <x v="0"/>
    <x v="0"/>
    <n v="1"/>
    <n v="10"/>
    <s v="00"/>
    <s v="292"/>
    <s v="11000-292"/>
    <s v="Grand piano production item #292"/>
    <s v="UNIQUE"/>
    <n v="0"/>
    <n v="8"/>
    <n v="17576"/>
    <n v="0"/>
    <n v="140608"/>
  </r>
  <r>
    <x v="0"/>
    <x v="0"/>
    <x v="0"/>
    <n v="1"/>
    <n v="10"/>
    <s v="00"/>
    <s v="293"/>
    <s v="11000-293"/>
    <s v="Grand piano production item #293"/>
    <s v="UNIQUE"/>
    <n v="0"/>
    <n v="1000"/>
    <n v="256"/>
    <n v="0"/>
    <n v="256000"/>
  </r>
  <r>
    <x v="0"/>
    <x v="0"/>
    <x v="0"/>
    <n v="1"/>
    <n v="10"/>
    <s v="00"/>
    <s v="294"/>
    <s v="11000-294"/>
    <s v="Grand piano production item #294"/>
    <s v="UNIQUE"/>
    <n v="0"/>
    <n v="6"/>
    <n v="9"/>
    <n v="0"/>
    <n v="54"/>
  </r>
  <r>
    <x v="0"/>
    <x v="0"/>
    <x v="0"/>
    <n v="1"/>
    <n v="10"/>
    <s v="00"/>
    <s v="295"/>
    <s v="11000-295"/>
    <s v="Grand piano production item #295"/>
    <s v="UNIQUE"/>
    <n v="0"/>
    <n v="10"/>
    <n v="12"/>
    <n v="0"/>
    <n v="120"/>
  </r>
  <r>
    <x v="0"/>
    <x v="0"/>
    <x v="0"/>
    <n v="1"/>
    <n v="10"/>
    <s v="00"/>
    <s v="296"/>
    <s v="11000-296"/>
    <s v="Grand piano production item #296"/>
    <s v="UNIQUE"/>
    <n v="9081"/>
    <n v="1000"/>
    <n v="11"/>
    <n v="9081000"/>
    <n v="11000"/>
  </r>
  <r>
    <x v="0"/>
    <x v="0"/>
    <x v="0"/>
    <n v="1"/>
    <n v="10"/>
    <s v="00"/>
    <s v="297"/>
    <s v="11000-297"/>
    <s v="Grand piano production item #297"/>
    <s v="UNIQUE"/>
    <n v="0"/>
    <n v="125"/>
    <n v="13"/>
    <n v="0"/>
    <n v="1625"/>
  </r>
  <r>
    <x v="0"/>
    <x v="0"/>
    <x v="0"/>
    <n v="1"/>
    <n v="10"/>
    <s v="00"/>
    <s v="298"/>
    <s v="11000-298"/>
    <s v="Grand piano production item #298"/>
    <s v="UNIQUE"/>
    <n v="6"/>
    <n v="100"/>
    <n v="17576"/>
    <n v="600"/>
    <n v="1757600"/>
  </r>
  <r>
    <x v="0"/>
    <x v="0"/>
    <x v="0"/>
    <n v="1"/>
    <n v="10"/>
    <s v="00"/>
    <s v="299"/>
    <s v="11000-299"/>
    <s v="Grand piano production item #299"/>
    <s v="UNIQUE"/>
    <n v="69"/>
    <n v="25"/>
    <n v="0"/>
    <n v="1725"/>
    <n v="0"/>
  </r>
  <r>
    <x v="0"/>
    <x v="0"/>
    <x v="0"/>
    <n v="1"/>
    <n v="10"/>
    <s v="00"/>
    <s v="300"/>
    <s v="11000-300"/>
    <s v="Grand piano production item #300"/>
    <s v="UNIQUE"/>
    <n v="0"/>
    <n v="64"/>
    <n v="11"/>
    <n v="0"/>
    <n v="704"/>
  </r>
  <r>
    <x v="0"/>
    <x v="0"/>
    <x v="0"/>
    <n v="1"/>
    <n v="10"/>
    <s v="00"/>
    <s v="301"/>
    <s v="11000-301"/>
    <s v="Grand piano production item #301"/>
    <s v="UNIQUE"/>
    <n v="66"/>
    <n v="729"/>
    <n v="3"/>
    <n v="48114"/>
    <n v="2187"/>
  </r>
  <r>
    <x v="0"/>
    <x v="0"/>
    <x v="0"/>
    <n v="1"/>
    <n v="10"/>
    <s v="00"/>
    <s v="302"/>
    <s v="11000-302"/>
    <s v="Grand piano production item #302"/>
    <s v="UNIQUE"/>
    <n v="0"/>
    <n v="36"/>
    <n v="9261"/>
    <n v="0"/>
    <n v="333396"/>
  </r>
  <r>
    <x v="0"/>
    <x v="0"/>
    <x v="0"/>
    <n v="1"/>
    <n v="10"/>
    <s v="00"/>
    <s v="303"/>
    <s v="11000-303"/>
    <s v="Grand piano production item #303"/>
    <s v="UNIQUE"/>
    <n v="0"/>
    <n v="729"/>
    <n v="289"/>
    <n v="0"/>
    <n v="210681"/>
  </r>
  <r>
    <x v="0"/>
    <x v="0"/>
    <x v="0"/>
    <n v="1"/>
    <n v="10"/>
    <s v="00"/>
    <s v="304"/>
    <s v="11000-304"/>
    <s v="Grand piano production item #304"/>
    <s v="UNIQUE"/>
    <n v="0"/>
    <n v="8"/>
    <n v="0"/>
    <n v="0"/>
    <n v="0"/>
  </r>
  <r>
    <x v="0"/>
    <x v="0"/>
    <x v="0"/>
    <n v="1"/>
    <n v="10"/>
    <s v="00"/>
    <s v="305"/>
    <s v="11000-305"/>
    <s v="Grand piano production item #305"/>
    <s v="UNIQUE"/>
    <n v="0"/>
    <n v="8"/>
    <n v="10"/>
    <n v="0"/>
    <n v="80"/>
  </r>
  <r>
    <x v="0"/>
    <x v="0"/>
    <x v="0"/>
    <n v="1"/>
    <n v="10"/>
    <s v="00"/>
    <s v="306"/>
    <s v="11000-306"/>
    <s v="Grand piano production item #306"/>
    <s v="UNIQUE"/>
    <n v="0"/>
    <n v="7"/>
    <n v="17576"/>
    <n v="0"/>
    <n v="123032"/>
  </r>
  <r>
    <x v="0"/>
    <x v="0"/>
    <x v="0"/>
    <n v="1"/>
    <n v="10"/>
    <s v="00"/>
    <s v="307"/>
    <s v="11000-307"/>
    <s v="Grand piano production item #307"/>
    <s v="UNIQUE"/>
    <n v="88"/>
    <n v="4"/>
    <n v="8000"/>
    <n v="352"/>
    <n v="32000"/>
  </r>
  <r>
    <x v="0"/>
    <x v="0"/>
    <x v="0"/>
    <n v="1"/>
    <n v="10"/>
    <s v="00"/>
    <s v="308"/>
    <s v="11000-308"/>
    <s v="Grand piano production item #308"/>
    <s v="UNIQUE"/>
    <n v="883"/>
    <n v="729"/>
    <n v="23"/>
    <n v="643707"/>
    <n v="16767"/>
  </r>
  <r>
    <x v="0"/>
    <x v="0"/>
    <x v="0"/>
    <n v="1"/>
    <n v="10"/>
    <s v="00"/>
    <s v="309"/>
    <s v="11000-309"/>
    <s v="Grand piano production item #309"/>
    <s v="UNIQUE"/>
    <n v="0"/>
    <n v="6"/>
    <n v="10648"/>
    <n v="0"/>
    <n v="63888"/>
  </r>
  <r>
    <x v="0"/>
    <x v="0"/>
    <x v="0"/>
    <n v="1"/>
    <n v="10"/>
    <s v="00"/>
    <s v="310"/>
    <s v="11000-310"/>
    <s v="Grand piano production item #310"/>
    <s v="UNIQUE"/>
    <n v="94"/>
    <n v="25"/>
    <n v="841"/>
    <n v="2350"/>
    <n v="21025"/>
  </r>
  <r>
    <x v="0"/>
    <x v="0"/>
    <x v="0"/>
    <n v="1"/>
    <n v="10"/>
    <s v="00"/>
    <s v="311"/>
    <s v="11000-311"/>
    <s v="Grand piano production item #311"/>
    <s v="UNIQUE"/>
    <n v="0"/>
    <n v="4"/>
    <n v="8000"/>
    <n v="0"/>
    <n v="32000"/>
  </r>
  <r>
    <x v="0"/>
    <x v="0"/>
    <x v="0"/>
    <n v="1"/>
    <n v="10"/>
    <s v="00"/>
    <s v="312"/>
    <s v="11000-312"/>
    <s v="Grand piano production item #312"/>
    <s v="UNIQUE"/>
    <n v="0"/>
    <n v="81"/>
    <n v="144"/>
    <n v="0"/>
    <n v="11664"/>
  </r>
  <r>
    <x v="0"/>
    <x v="0"/>
    <x v="0"/>
    <n v="1"/>
    <n v="10"/>
    <s v="00"/>
    <s v="313"/>
    <s v="11000-313"/>
    <s v="Grand piano production item #313"/>
    <s v="UNIQUE"/>
    <n v="461"/>
    <n v="8"/>
    <n v="24"/>
    <n v="3688"/>
    <n v="192"/>
  </r>
  <r>
    <x v="0"/>
    <x v="0"/>
    <x v="0"/>
    <n v="1"/>
    <n v="10"/>
    <s v="00"/>
    <s v="314"/>
    <s v="11000-314"/>
    <s v="Grand piano production item #314"/>
    <s v="UNIQUE"/>
    <n v="8"/>
    <n v="2"/>
    <n v="8000"/>
    <n v="16"/>
    <n v="16000"/>
  </r>
  <r>
    <x v="0"/>
    <x v="0"/>
    <x v="0"/>
    <n v="1"/>
    <n v="10"/>
    <s v="00"/>
    <s v="315"/>
    <s v="11000-315"/>
    <s v="Grand piano production item #315"/>
    <s v="UNIQUE"/>
    <n v="0"/>
    <n v="25"/>
    <n v="17576"/>
    <n v="0"/>
    <n v="439400"/>
  </r>
  <r>
    <x v="0"/>
    <x v="0"/>
    <x v="0"/>
    <n v="1"/>
    <n v="10"/>
    <s v="00"/>
    <s v="316"/>
    <s v="11000-316"/>
    <s v="Grand piano production item #316"/>
    <s v="UNIQUE"/>
    <n v="0"/>
    <n v="64"/>
    <n v="22"/>
    <n v="0"/>
    <n v="1408"/>
  </r>
  <r>
    <x v="0"/>
    <x v="0"/>
    <x v="0"/>
    <n v="1"/>
    <n v="10"/>
    <s v="00"/>
    <s v="317"/>
    <s v="11000-317"/>
    <s v="Grand piano production item #317"/>
    <s v="UNIQUE"/>
    <n v="0"/>
    <n v="100"/>
    <n v="18"/>
    <n v="0"/>
    <n v="1800"/>
  </r>
  <r>
    <x v="0"/>
    <x v="0"/>
    <x v="0"/>
    <n v="1"/>
    <n v="10"/>
    <s v="00"/>
    <s v="318"/>
    <s v="11000-318"/>
    <s v="Grand piano production item #318"/>
    <s v="UNIQUE"/>
    <n v="0"/>
    <n v="49"/>
    <n v="18"/>
    <n v="0"/>
    <n v="882"/>
  </r>
  <r>
    <x v="0"/>
    <x v="0"/>
    <x v="0"/>
    <n v="1"/>
    <n v="10"/>
    <s v="00"/>
    <s v="319"/>
    <s v="11000-319"/>
    <s v="Grand piano production item #319"/>
    <s v="UNIQUE"/>
    <n v="3620"/>
    <n v="1"/>
    <n v="17576"/>
    <n v="3620"/>
    <n v="17576"/>
  </r>
  <r>
    <x v="0"/>
    <x v="0"/>
    <x v="0"/>
    <n v="1"/>
    <n v="10"/>
    <s v="00"/>
    <s v="320"/>
    <s v="11000-320"/>
    <s v="Grand piano production item #320"/>
    <s v="UNIQUE"/>
    <n v="1884"/>
    <n v="64"/>
    <n v="289"/>
    <n v="120576"/>
    <n v="18496"/>
  </r>
  <r>
    <x v="0"/>
    <x v="0"/>
    <x v="0"/>
    <n v="1"/>
    <n v="10"/>
    <s v="00"/>
    <s v="321"/>
    <s v="11000-321"/>
    <s v="Grand piano production item #321"/>
    <s v="UNIQUE"/>
    <n v="1"/>
    <n v="4"/>
    <n v="21"/>
    <n v="4"/>
    <n v="84"/>
  </r>
  <r>
    <x v="0"/>
    <x v="0"/>
    <x v="0"/>
    <n v="1"/>
    <n v="10"/>
    <s v="00"/>
    <s v="322"/>
    <s v="11000-322"/>
    <s v="Grand piano production item #322"/>
    <s v="UNIQUE"/>
    <n v="0"/>
    <n v="5"/>
    <n v="625"/>
    <n v="0"/>
    <n v="3125"/>
  </r>
  <r>
    <x v="0"/>
    <x v="0"/>
    <x v="0"/>
    <n v="1"/>
    <n v="10"/>
    <s v="00"/>
    <s v="323"/>
    <s v="11000-323"/>
    <s v="Grand piano production item #323"/>
    <s v="UNIQUE"/>
    <n v="791"/>
    <n v="36"/>
    <n v="256"/>
    <n v="28476"/>
    <n v="9216"/>
  </r>
  <r>
    <x v="0"/>
    <x v="0"/>
    <x v="0"/>
    <n v="1"/>
    <n v="10"/>
    <s v="00"/>
    <s v="324"/>
    <s v="11000-324"/>
    <s v="Grand piano production item #324"/>
    <s v="UNIQUE"/>
    <n v="0"/>
    <n v="4"/>
    <n v="100"/>
    <n v="0"/>
    <n v="400"/>
  </r>
  <r>
    <x v="0"/>
    <x v="0"/>
    <x v="0"/>
    <n v="1"/>
    <n v="10"/>
    <s v="00"/>
    <s v="325"/>
    <s v="11000-325"/>
    <s v="Grand piano production item #325"/>
    <s v="UNIQUE"/>
    <n v="49"/>
    <n v="64"/>
    <n v="361"/>
    <n v="3136"/>
    <n v="23104"/>
  </r>
  <r>
    <x v="0"/>
    <x v="0"/>
    <x v="0"/>
    <n v="1"/>
    <n v="10"/>
    <s v="00"/>
    <s v="326"/>
    <s v="11000-326"/>
    <s v="Grand piano production item #326"/>
    <s v="UNIQUE"/>
    <n v="68"/>
    <n v="1"/>
    <n v="729"/>
    <n v="68"/>
    <n v="729"/>
  </r>
  <r>
    <x v="0"/>
    <x v="0"/>
    <x v="0"/>
    <n v="1"/>
    <n v="10"/>
    <s v="00"/>
    <s v="327"/>
    <s v="11000-327"/>
    <s v="Grand piano production item #327"/>
    <s v="UNIQUE"/>
    <n v="1069"/>
    <n v="512"/>
    <n v="529"/>
    <n v="547328"/>
    <n v="270848"/>
  </r>
  <r>
    <x v="0"/>
    <x v="0"/>
    <x v="0"/>
    <n v="1"/>
    <n v="10"/>
    <s v="00"/>
    <s v="328"/>
    <s v="11000-328"/>
    <s v="Grand piano production item #328"/>
    <s v="UNIQUE"/>
    <n v="0"/>
    <n v="5"/>
    <n v="20"/>
    <n v="0"/>
    <n v="100"/>
  </r>
  <r>
    <x v="0"/>
    <x v="0"/>
    <x v="0"/>
    <n v="1"/>
    <n v="10"/>
    <s v="00"/>
    <s v="329"/>
    <s v="11000-329"/>
    <s v="Grand piano production item #329"/>
    <s v="UNIQUE"/>
    <n v="422"/>
    <n v="512"/>
    <n v="0"/>
    <n v="216064"/>
    <n v="0"/>
  </r>
  <r>
    <x v="0"/>
    <x v="0"/>
    <x v="0"/>
    <n v="1"/>
    <n v="10"/>
    <s v="00"/>
    <s v="330"/>
    <s v="11000-330"/>
    <s v="Grand piano production item #330"/>
    <s v="UNIQUE"/>
    <n v="0"/>
    <n v="100"/>
    <n v="21"/>
    <n v="0"/>
    <n v="2100"/>
  </r>
  <r>
    <x v="0"/>
    <x v="0"/>
    <x v="0"/>
    <n v="1"/>
    <n v="10"/>
    <s v="00"/>
    <s v="331"/>
    <s v="11000-331"/>
    <s v="Grand piano production item #331"/>
    <s v="UNIQUE"/>
    <n v="31"/>
    <n v="125"/>
    <n v="18"/>
    <n v="3875"/>
    <n v="2250"/>
  </r>
  <r>
    <x v="0"/>
    <x v="0"/>
    <x v="0"/>
    <n v="1"/>
    <n v="10"/>
    <s v="00"/>
    <s v="332"/>
    <s v="11000-332"/>
    <s v="Grand piano production item #332"/>
    <s v="UNIQUE"/>
    <n v="545"/>
    <n v="1"/>
    <n v="169"/>
    <n v="545"/>
    <n v="169"/>
  </r>
  <r>
    <x v="0"/>
    <x v="0"/>
    <x v="0"/>
    <n v="1"/>
    <n v="10"/>
    <s v="00"/>
    <s v="333"/>
    <s v="11000-333"/>
    <s v="Grand piano production item #333"/>
    <s v="UNIQUE"/>
    <n v="0"/>
    <n v="8"/>
    <n v="23"/>
    <n v="0"/>
    <n v="184"/>
  </r>
  <r>
    <x v="0"/>
    <x v="0"/>
    <x v="0"/>
    <n v="1"/>
    <n v="10"/>
    <s v="00"/>
    <s v="334"/>
    <s v="11000-334"/>
    <s v="Grand piano production item #334"/>
    <s v="UNIQUE"/>
    <n v="0"/>
    <n v="9"/>
    <n v="8000"/>
    <n v="0"/>
    <n v="72000"/>
  </r>
  <r>
    <x v="0"/>
    <x v="0"/>
    <x v="0"/>
    <n v="1"/>
    <n v="10"/>
    <s v="00"/>
    <s v="335"/>
    <s v="11000-335"/>
    <s v="Grand piano production item #335"/>
    <s v="UNIQUE"/>
    <n v="0"/>
    <n v="64"/>
    <n v="12"/>
    <n v="0"/>
    <n v="768"/>
  </r>
  <r>
    <x v="0"/>
    <x v="0"/>
    <x v="0"/>
    <n v="1"/>
    <n v="10"/>
    <s v="00"/>
    <s v="336"/>
    <s v="11000-336"/>
    <s v="Grand piano production item #336"/>
    <s v="UNIQUE"/>
    <n v="83"/>
    <n v="8"/>
    <n v="0"/>
    <n v="664"/>
    <n v="0"/>
  </r>
  <r>
    <x v="0"/>
    <x v="0"/>
    <x v="0"/>
    <n v="1"/>
    <n v="10"/>
    <s v="00"/>
    <s v="337"/>
    <s v="11000-337"/>
    <s v="Grand piano production item #337"/>
    <s v="UNIQUE"/>
    <n v="0"/>
    <n v="64"/>
    <n v="100"/>
    <n v="0"/>
    <n v="6400"/>
  </r>
  <r>
    <x v="0"/>
    <x v="0"/>
    <x v="0"/>
    <n v="1"/>
    <n v="10"/>
    <s v="00"/>
    <s v="338"/>
    <s v="11000-338"/>
    <s v="Grand piano production item #338"/>
    <s v="UNIQUE"/>
    <n v="8"/>
    <n v="64"/>
    <n v="8"/>
    <n v="512"/>
    <n v="512"/>
  </r>
  <r>
    <x v="0"/>
    <x v="0"/>
    <x v="0"/>
    <n v="1"/>
    <n v="10"/>
    <s v="00"/>
    <s v="339"/>
    <s v="11000-339"/>
    <s v="Grand piano production item #339"/>
    <s v="UNIQUE"/>
    <n v="4019"/>
    <n v="64"/>
    <n v="15"/>
    <n v="257216"/>
    <n v="960"/>
  </r>
  <r>
    <x v="0"/>
    <x v="0"/>
    <x v="0"/>
    <n v="1"/>
    <n v="10"/>
    <s v="00"/>
    <s v="340"/>
    <s v="11000-340"/>
    <s v="Grand piano production item #340"/>
    <s v="UNIQUE"/>
    <n v="0"/>
    <n v="49"/>
    <n v="25"/>
    <n v="0"/>
    <n v="1225"/>
  </r>
  <r>
    <x v="0"/>
    <x v="0"/>
    <x v="0"/>
    <n v="1"/>
    <n v="10"/>
    <s v="00"/>
    <s v="341"/>
    <s v="11000-341"/>
    <s v="Grand piano production item #341"/>
    <s v="UNIQUE"/>
    <n v="1"/>
    <n v="4"/>
    <n v="441"/>
    <n v="4"/>
    <n v="1764"/>
  </r>
  <r>
    <x v="0"/>
    <x v="0"/>
    <x v="0"/>
    <n v="1"/>
    <n v="10"/>
    <s v="00"/>
    <s v="342"/>
    <s v="11000-342"/>
    <s v="Grand piano production item #342"/>
    <s v="UNIQUE"/>
    <n v="0"/>
    <n v="27"/>
    <n v="25"/>
    <n v="0"/>
    <n v="675"/>
  </r>
  <r>
    <x v="0"/>
    <x v="0"/>
    <x v="0"/>
    <n v="1"/>
    <n v="10"/>
    <s v="00"/>
    <s v="343"/>
    <s v="11000-343"/>
    <s v="Grand piano production item #343"/>
    <s v="UNIQUE"/>
    <n v="52"/>
    <n v="7"/>
    <n v="196"/>
    <n v="364"/>
    <n v="1372"/>
  </r>
  <r>
    <x v="0"/>
    <x v="0"/>
    <x v="0"/>
    <n v="1"/>
    <n v="10"/>
    <s v="00"/>
    <s v="344"/>
    <s v="11000-344"/>
    <s v="Grand piano production item #344"/>
    <s v="UNIQUE"/>
    <n v="22"/>
    <n v="216"/>
    <n v="484"/>
    <n v="4752"/>
    <n v="104544"/>
  </r>
  <r>
    <x v="0"/>
    <x v="0"/>
    <x v="0"/>
    <n v="1"/>
    <n v="10"/>
    <s v="00"/>
    <s v="345"/>
    <s v="11000-345"/>
    <s v="Grand piano production item #345"/>
    <s v="UNIQUE"/>
    <n v="4"/>
    <n v="4"/>
    <n v="144"/>
    <n v="16"/>
    <n v="576"/>
  </r>
  <r>
    <x v="0"/>
    <x v="0"/>
    <x v="0"/>
    <n v="1"/>
    <n v="10"/>
    <s v="00"/>
    <s v="346"/>
    <s v="11000-346"/>
    <s v="Grand piano production item #346"/>
    <s v="UNIQUE"/>
    <n v="0"/>
    <n v="36"/>
    <n v="64"/>
    <n v="0"/>
    <n v="2304"/>
  </r>
  <r>
    <x v="0"/>
    <x v="0"/>
    <x v="0"/>
    <n v="1"/>
    <n v="10"/>
    <s v="00"/>
    <s v="347"/>
    <s v="11000-347"/>
    <s v="Grand piano production item #347"/>
    <s v="UNIQUE"/>
    <n v="0"/>
    <n v="1"/>
    <n v="100"/>
    <n v="0"/>
    <n v="100"/>
  </r>
  <r>
    <x v="0"/>
    <x v="0"/>
    <x v="0"/>
    <n v="1"/>
    <n v="10"/>
    <s v="00"/>
    <s v="348"/>
    <s v="11000-348"/>
    <s v="Grand piano production item #348"/>
    <s v="UNIQUE"/>
    <n v="770"/>
    <n v="81"/>
    <n v="10"/>
    <n v="62370"/>
    <n v="810"/>
  </r>
  <r>
    <x v="0"/>
    <x v="0"/>
    <x v="0"/>
    <n v="1"/>
    <n v="10"/>
    <s v="00"/>
    <s v="349"/>
    <s v="11000-349"/>
    <s v="Grand piano production item #349"/>
    <s v="UNIQUE"/>
    <n v="0"/>
    <n v="2"/>
    <n v="18"/>
    <n v="0"/>
    <n v="36"/>
  </r>
  <r>
    <x v="0"/>
    <x v="0"/>
    <x v="0"/>
    <n v="1"/>
    <n v="10"/>
    <s v="00"/>
    <s v="350"/>
    <s v="11000-350"/>
    <s v="Grand piano production item #350"/>
    <s v="UNIQUE"/>
    <n v="0"/>
    <n v="216"/>
    <n v="29"/>
    <n v="0"/>
    <n v="6264"/>
  </r>
  <r>
    <x v="0"/>
    <x v="0"/>
    <x v="0"/>
    <n v="1"/>
    <n v="10"/>
    <s v="00"/>
    <s v="351"/>
    <s v="11000-351"/>
    <s v="Grand piano production item #351"/>
    <s v="UNIQUE"/>
    <n v="0"/>
    <n v="49"/>
    <n v="17576"/>
    <n v="0"/>
    <n v="861224"/>
  </r>
  <r>
    <x v="0"/>
    <x v="0"/>
    <x v="0"/>
    <n v="1"/>
    <n v="10"/>
    <s v="00"/>
    <s v="352"/>
    <s v="11000-352"/>
    <s v="Grand piano production item #352"/>
    <s v="UNIQUE"/>
    <n v="704"/>
    <n v="49"/>
    <n v="49"/>
    <n v="34496"/>
    <n v="2401"/>
  </r>
  <r>
    <x v="0"/>
    <x v="0"/>
    <x v="0"/>
    <n v="1"/>
    <n v="10"/>
    <s v="00"/>
    <s v="353"/>
    <s v="11000-353"/>
    <s v="Grand piano production item #353"/>
    <s v="UNIQUE"/>
    <n v="872"/>
    <n v="9"/>
    <n v="676"/>
    <n v="7848"/>
    <n v="6084"/>
  </r>
  <r>
    <x v="0"/>
    <x v="0"/>
    <x v="0"/>
    <n v="1"/>
    <n v="10"/>
    <s v="00"/>
    <s v="354"/>
    <s v="11000-354"/>
    <s v="Grand piano production item #354"/>
    <s v="UNIQUE"/>
    <n v="0"/>
    <n v="5"/>
    <n v="125"/>
    <n v="0"/>
    <n v="625"/>
  </r>
  <r>
    <x v="0"/>
    <x v="0"/>
    <x v="0"/>
    <n v="1"/>
    <n v="10"/>
    <s v="00"/>
    <s v="355"/>
    <s v="11000-355"/>
    <s v="Grand piano production item #355"/>
    <s v="UNIQUE"/>
    <n v="12"/>
    <n v="49"/>
    <n v="4"/>
    <n v="588"/>
    <n v="196"/>
  </r>
  <r>
    <x v="0"/>
    <x v="0"/>
    <x v="0"/>
    <n v="1"/>
    <n v="10"/>
    <s v="00"/>
    <s v="356"/>
    <s v="11000-356"/>
    <s v="Grand piano production item #356"/>
    <s v="UNIQUE"/>
    <n v="0"/>
    <n v="343"/>
    <n v="8"/>
    <n v="0"/>
    <n v="2744"/>
  </r>
  <r>
    <x v="0"/>
    <x v="0"/>
    <x v="0"/>
    <n v="1"/>
    <n v="10"/>
    <s v="00"/>
    <s v="357"/>
    <s v="11000-357"/>
    <s v="Grand piano production item #357"/>
    <s v="UNIQUE"/>
    <n v="6"/>
    <n v="2"/>
    <n v="15"/>
    <n v="12"/>
    <n v="30"/>
  </r>
  <r>
    <x v="0"/>
    <x v="0"/>
    <x v="0"/>
    <n v="1"/>
    <n v="10"/>
    <s v="00"/>
    <s v="358"/>
    <s v="11000-358"/>
    <s v="Grand piano production item #358"/>
    <s v="UNIQUE"/>
    <n v="0"/>
    <n v="7"/>
    <n v="15"/>
    <n v="0"/>
    <n v="105"/>
  </r>
  <r>
    <x v="0"/>
    <x v="0"/>
    <x v="0"/>
    <n v="1"/>
    <n v="10"/>
    <s v="00"/>
    <s v="359"/>
    <s v="11000-359"/>
    <s v="Grand piano production item #359"/>
    <s v="UNIQUE"/>
    <n v="2951"/>
    <n v="8"/>
    <n v="19"/>
    <n v="23608"/>
    <n v="152"/>
  </r>
  <r>
    <x v="0"/>
    <x v="0"/>
    <x v="0"/>
    <n v="1"/>
    <n v="10"/>
    <s v="00"/>
    <s v="360"/>
    <s v="11000-360"/>
    <s v="Grand piano production item #360"/>
    <s v="UNIQUE"/>
    <n v="0"/>
    <n v="16"/>
    <n v="28"/>
    <n v="0"/>
    <n v="448"/>
  </r>
  <r>
    <x v="0"/>
    <x v="0"/>
    <x v="0"/>
    <n v="1"/>
    <n v="10"/>
    <s v="00"/>
    <s v="361"/>
    <s v="11000-361"/>
    <s v="Grand piano production item #361"/>
    <s v="UNIQUE"/>
    <n v="1"/>
    <n v="64"/>
    <n v="441"/>
    <n v="64"/>
    <n v="28224"/>
  </r>
  <r>
    <x v="0"/>
    <x v="0"/>
    <x v="0"/>
    <n v="1"/>
    <n v="10"/>
    <s v="00"/>
    <s v="362"/>
    <s v="11000-362"/>
    <s v="Grand piano production item #362"/>
    <s v="UNIQUE"/>
    <n v="10"/>
    <n v="64"/>
    <n v="0"/>
    <n v="640"/>
    <n v="0"/>
  </r>
  <r>
    <x v="0"/>
    <x v="0"/>
    <x v="0"/>
    <n v="1"/>
    <n v="10"/>
    <s v="00"/>
    <s v="363"/>
    <s v="11000-363"/>
    <s v="Grand piano production item #363"/>
    <s v="UNIQUE"/>
    <n v="507"/>
    <n v="27"/>
    <n v="8000"/>
    <n v="13689"/>
    <n v="216000"/>
  </r>
  <r>
    <x v="0"/>
    <x v="0"/>
    <x v="0"/>
    <n v="1"/>
    <n v="10"/>
    <s v="00"/>
    <s v="364"/>
    <s v="11000-364"/>
    <s v="Grand piano production item #364"/>
    <s v="UNIQUE"/>
    <n v="2"/>
    <n v="64"/>
    <n v="10648"/>
    <n v="128"/>
    <n v="681472"/>
  </r>
  <r>
    <x v="0"/>
    <x v="0"/>
    <x v="0"/>
    <n v="1"/>
    <n v="10"/>
    <s v="00"/>
    <s v="365"/>
    <s v="11000-365"/>
    <s v="Grand piano production item #365"/>
    <s v="UNIQUE"/>
    <n v="0"/>
    <n v="125"/>
    <n v="25"/>
    <n v="0"/>
    <n v="3125"/>
  </r>
  <r>
    <x v="0"/>
    <x v="0"/>
    <x v="0"/>
    <n v="1"/>
    <n v="10"/>
    <s v="00"/>
    <s v="366"/>
    <s v="11000-366"/>
    <s v="Grand piano production item #366"/>
    <s v="UNIQUE"/>
    <n v="0"/>
    <n v="729"/>
    <n v="14"/>
    <n v="0"/>
    <n v="10206"/>
  </r>
  <r>
    <x v="0"/>
    <x v="0"/>
    <x v="0"/>
    <n v="1"/>
    <n v="10"/>
    <s v="00"/>
    <s v="367"/>
    <s v="11000-367"/>
    <s v="Grand piano production item #367"/>
    <s v="UNIQUE"/>
    <n v="85"/>
    <n v="16"/>
    <n v="729"/>
    <n v="1360"/>
    <n v="11664"/>
  </r>
  <r>
    <x v="0"/>
    <x v="0"/>
    <x v="0"/>
    <n v="1"/>
    <n v="10"/>
    <s v="00"/>
    <s v="368"/>
    <s v="11000-368"/>
    <s v="Grand piano production item #368"/>
    <s v="UNIQUE"/>
    <n v="0"/>
    <n v="3"/>
    <n v="17"/>
    <n v="0"/>
    <n v="51"/>
  </r>
  <r>
    <x v="0"/>
    <x v="0"/>
    <x v="0"/>
    <n v="1"/>
    <n v="10"/>
    <s v="00"/>
    <s v="369"/>
    <s v="11000-369"/>
    <s v="Grand piano production item #369"/>
    <s v="UNIQUE"/>
    <n v="0"/>
    <n v="10"/>
    <n v="256"/>
    <n v="0"/>
    <n v="2560"/>
  </r>
  <r>
    <x v="0"/>
    <x v="0"/>
    <x v="0"/>
    <n v="1"/>
    <n v="10"/>
    <s v="00"/>
    <s v="370"/>
    <s v="11000-370"/>
    <s v="Grand piano production item #370"/>
    <s v="UNIQUE"/>
    <n v="0"/>
    <n v="1000"/>
    <n v="441"/>
    <n v="0"/>
    <n v="441000"/>
  </r>
  <r>
    <x v="0"/>
    <x v="0"/>
    <x v="0"/>
    <n v="1"/>
    <n v="10"/>
    <s v="00"/>
    <s v="371"/>
    <s v="11000-371"/>
    <s v="Grand piano production item #371"/>
    <s v="UNIQUE"/>
    <n v="89"/>
    <n v="49"/>
    <n v="9261"/>
    <n v="4361"/>
    <n v="453789"/>
  </r>
  <r>
    <x v="0"/>
    <x v="0"/>
    <x v="0"/>
    <n v="1"/>
    <n v="10"/>
    <s v="00"/>
    <s v="372"/>
    <s v="11000-372"/>
    <s v="Grand piano production item #372"/>
    <s v="UNIQUE"/>
    <n v="563"/>
    <n v="64"/>
    <n v="441"/>
    <n v="36032"/>
    <n v="28224"/>
  </r>
  <r>
    <x v="0"/>
    <x v="0"/>
    <x v="0"/>
    <n v="1"/>
    <n v="10"/>
    <s v="00"/>
    <s v="373"/>
    <s v="11000-373"/>
    <s v="Grand piano production item #373"/>
    <s v="UNIQUE"/>
    <n v="0"/>
    <n v="3"/>
    <n v="49"/>
    <n v="0"/>
    <n v="147"/>
  </r>
  <r>
    <x v="0"/>
    <x v="0"/>
    <x v="0"/>
    <n v="1"/>
    <n v="10"/>
    <s v="00"/>
    <s v="374"/>
    <s v="11000-374"/>
    <s v="Grand piano production item #374"/>
    <s v="UNIQUE"/>
    <n v="505"/>
    <n v="100"/>
    <n v="225"/>
    <n v="50500"/>
    <n v="22500"/>
  </r>
  <r>
    <x v="0"/>
    <x v="0"/>
    <x v="0"/>
    <n v="1"/>
    <n v="10"/>
    <s v="00"/>
    <s v="375"/>
    <s v="11000-375"/>
    <s v="Grand piano production item #375"/>
    <s v="UNIQUE"/>
    <n v="0"/>
    <n v="1"/>
    <n v="10648"/>
    <n v="0"/>
    <n v="10648"/>
  </r>
  <r>
    <x v="0"/>
    <x v="0"/>
    <x v="0"/>
    <n v="1"/>
    <n v="10"/>
    <s v="00"/>
    <s v="376"/>
    <s v="11000-376"/>
    <s v="Grand piano production item #376"/>
    <s v="UNIQUE"/>
    <n v="56"/>
    <n v="125"/>
    <n v="512"/>
    <n v="7000"/>
    <n v="64000"/>
  </r>
  <r>
    <x v="0"/>
    <x v="0"/>
    <x v="0"/>
    <n v="1"/>
    <n v="10"/>
    <s v="00"/>
    <s v="377"/>
    <s v="11000-377"/>
    <s v="Grand piano production item #377"/>
    <s v="UNIQUE"/>
    <n v="7"/>
    <n v="81"/>
    <n v="24"/>
    <n v="567"/>
    <n v="1944"/>
  </r>
  <r>
    <x v="0"/>
    <x v="0"/>
    <x v="0"/>
    <n v="1"/>
    <n v="10"/>
    <s v="00"/>
    <s v="378"/>
    <s v="11000-378"/>
    <s v="Grand piano production item #378"/>
    <s v="UNIQUE"/>
    <n v="3213"/>
    <n v="5"/>
    <n v="27000"/>
    <n v="16065"/>
    <n v="135000"/>
  </r>
  <r>
    <x v="0"/>
    <x v="0"/>
    <x v="0"/>
    <n v="1"/>
    <n v="10"/>
    <s v="00"/>
    <s v="379"/>
    <s v="11000-379"/>
    <s v="Grand piano production item #379"/>
    <s v="UNIQUE"/>
    <n v="1"/>
    <n v="343"/>
    <n v="81"/>
    <n v="343"/>
    <n v="27783"/>
  </r>
  <r>
    <x v="0"/>
    <x v="0"/>
    <x v="0"/>
    <n v="1"/>
    <n v="10"/>
    <s v="00"/>
    <s v="380"/>
    <s v="11000-380"/>
    <s v="Grand piano production item #380"/>
    <s v="UNIQUE"/>
    <n v="0"/>
    <n v="10"/>
    <n v="5832"/>
    <n v="0"/>
    <n v="58320"/>
  </r>
  <r>
    <x v="0"/>
    <x v="0"/>
    <x v="0"/>
    <n v="1"/>
    <n v="10"/>
    <s v="00"/>
    <s v="381"/>
    <s v="11000-381"/>
    <s v="Grand piano production item #381"/>
    <s v="UNIQUE"/>
    <n v="0"/>
    <n v="729"/>
    <n v="0"/>
    <n v="0"/>
    <n v="0"/>
  </r>
  <r>
    <x v="0"/>
    <x v="0"/>
    <x v="0"/>
    <n v="1"/>
    <n v="10"/>
    <s v="00"/>
    <s v="382"/>
    <s v="11000-382"/>
    <s v="Grand piano production item #382"/>
    <s v="UNIQUE"/>
    <n v="0"/>
    <n v="81"/>
    <n v="729"/>
    <n v="0"/>
    <n v="59049"/>
  </r>
  <r>
    <x v="0"/>
    <x v="0"/>
    <x v="0"/>
    <n v="1"/>
    <n v="10"/>
    <s v="00"/>
    <s v="383"/>
    <s v="11000-383"/>
    <s v="Grand piano production item #383"/>
    <s v="UNIQUE"/>
    <n v="893"/>
    <n v="4"/>
    <n v="16"/>
    <n v="3572"/>
    <n v="64"/>
  </r>
  <r>
    <x v="0"/>
    <x v="0"/>
    <x v="0"/>
    <n v="1"/>
    <n v="10"/>
    <s v="00"/>
    <s v="384"/>
    <s v="11000-384"/>
    <s v="Grand piano production item #384"/>
    <s v="UNIQUE"/>
    <n v="0"/>
    <n v="49"/>
    <n v="64"/>
    <n v="0"/>
    <n v="3136"/>
  </r>
  <r>
    <x v="0"/>
    <x v="0"/>
    <x v="0"/>
    <n v="1"/>
    <n v="10"/>
    <s v="00"/>
    <s v="385"/>
    <s v="11000-385"/>
    <s v="Grand piano production item #385"/>
    <s v="UNIQUE"/>
    <n v="179"/>
    <n v="25"/>
    <n v="12167"/>
    <n v="4475"/>
    <n v="304175"/>
  </r>
  <r>
    <x v="0"/>
    <x v="0"/>
    <x v="0"/>
    <n v="1"/>
    <n v="10"/>
    <s v="00"/>
    <s v="386"/>
    <s v="11000-386"/>
    <s v="Grand piano production item #386"/>
    <s v="UNIQUE"/>
    <n v="1"/>
    <n v="64"/>
    <n v="484"/>
    <n v="64"/>
    <n v="30976"/>
  </r>
  <r>
    <x v="0"/>
    <x v="0"/>
    <x v="0"/>
    <n v="1"/>
    <n v="10"/>
    <s v="00"/>
    <s v="387"/>
    <s v="11000-387"/>
    <s v="Grand piano production item #387"/>
    <s v="UNIQUE"/>
    <n v="940"/>
    <n v="3"/>
    <n v="17576"/>
    <n v="2820"/>
    <n v="52728"/>
  </r>
  <r>
    <x v="0"/>
    <x v="0"/>
    <x v="0"/>
    <n v="1"/>
    <n v="10"/>
    <s v="00"/>
    <s v="388"/>
    <s v="11000-388"/>
    <s v="Grand piano production item #388"/>
    <s v="UNIQUE"/>
    <n v="0"/>
    <n v="64"/>
    <n v="324"/>
    <n v="0"/>
    <n v="20736"/>
  </r>
  <r>
    <x v="0"/>
    <x v="0"/>
    <x v="0"/>
    <n v="1"/>
    <n v="10"/>
    <s v="00"/>
    <s v="389"/>
    <s v="11000-389"/>
    <s v="Grand piano production item #389"/>
    <s v="UNIQUE"/>
    <n v="0"/>
    <n v="16"/>
    <n v="1"/>
    <n v="0"/>
    <n v="16"/>
  </r>
  <r>
    <x v="0"/>
    <x v="0"/>
    <x v="0"/>
    <n v="1"/>
    <n v="10"/>
    <s v="00"/>
    <s v="390"/>
    <s v="11000-390"/>
    <s v="Grand piano production item #390"/>
    <s v="UNIQUE"/>
    <n v="0"/>
    <n v="729"/>
    <n v="64"/>
    <n v="0"/>
    <n v="46656"/>
  </r>
  <r>
    <x v="0"/>
    <x v="0"/>
    <x v="0"/>
    <n v="1"/>
    <n v="10"/>
    <s v="00"/>
    <s v="391"/>
    <s v="11000-391"/>
    <s v="Grand piano production item #391"/>
    <s v="UNIQUE"/>
    <n v="9570"/>
    <n v="10"/>
    <n v="5"/>
    <n v="95700"/>
    <n v="50"/>
  </r>
  <r>
    <x v="0"/>
    <x v="0"/>
    <x v="0"/>
    <n v="1"/>
    <n v="10"/>
    <s v="00"/>
    <s v="392"/>
    <s v="11000-392"/>
    <s v="Grand piano production item #392"/>
    <s v="UNIQUE"/>
    <n v="6406"/>
    <n v="27"/>
    <n v="784"/>
    <n v="172962"/>
    <n v="21168"/>
  </r>
  <r>
    <x v="0"/>
    <x v="0"/>
    <x v="0"/>
    <n v="1"/>
    <n v="10"/>
    <s v="00"/>
    <s v="393"/>
    <s v="11000-393"/>
    <s v="Grand piano production item #393"/>
    <s v="UNIQUE"/>
    <n v="0"/>
    <n v="64"/>
    <n v="0"/>
    <n v="0"/>
    <n v="0"/>
  </r>
  <r>
    <x v="0"/>
    <x v="0"/>
    <x v="0"/>
    <n v="1"/>
    <n v="10"/>
    <s v="00"/>
    <s v="394"/>
    <s v="11000-394"/>
    <s v="Grand piano production item #394"/>
    <s v="UNIQUE"/>
    <n v="73"/>
    <n v="8"/>
    <n v="2744"/>
    <n v="584"/>
    <n v="21952"/>
  </r>
  <r>
    <x v="0"/>
    <x v="0"/>
    <x v="0"/>
    <n v="1"/>
    <n v="10"/>
    <s v="00"/>
    <s v="395"/>
    <s v="11000-395"/>
    <s v="Grand piano production item #395"/>
    <s v="UNIQUE"/>
    <n v="578"/>
    <n v="100"/>
    <n v="2197"/>
    <n v="57800"/>
    <n v="219700"/>
  </r>
  <r>
    <x v="0"/>
    <x v="0"/>
    <x v="0"/>
    <n v="1"/>
    <n v="10"/>
    <s v="00"/>
    <s v="396"/>
    <s v="11000-396"/>
    <s v="Grand piano production item #396"/>
    <s v="UNIQUE"/>
    <n v="0"/>
    <n v="2"/>
    <n v="64"/>
    <n v="0"/>
    <n v="128"/>
  </r>
  <r>
    <x v="0"/>
    <x v="0"/>
    <x v="0"/>
    <n v="1"/>
    <n v="10"/>
    <s v="00"/>
    <s v="397"/>
    <s v="11000-397"/>
    <s v="Grand piano production item #397"/>
    <s v="UNIQUE"/>
    <n v="7"/>
    <n v="4"/>
    <n v="29"/>
    <n v="28"/>
    <n v="116"/>
  </r>
  <r>
    <x v="0"/>
    <x v="0"/>
    <x v="0"/>
    <n v="1"/>
    <n v="10"/>
    <s v="00"/>
    <s v="398"/>
    <s v="11000-398"/>
    <s v="Grand piano production item #398"/>
    <s v="UNIQUE"/>
    <n v="908"/>
    <n v="5"/>
    <n v="64"/>
    <n v="4540"/>
    <n v="320"/>
  </r>
  <r>
    <x v="0"/>
    <x v="0"/>
    <x v="0"/>
    <n v="1"/>
    <n v="10"/>
    <s v="00"/>
    <s v="399"/>
    <s v="11000-399"/>
    <s v="Grand piano production item #399"/>
    <s v="UNIQUE"/>
    <n v="749"/>
    <n v="512"/>
    <n v="343"/>
    <n v="383488"/>
    <n v="175616"/>
  </r>
  <r>
    <x v="0"/>
    <x v="0"/>
    <x v="0"/>
    <n v="1"/>
    <n v="10"/>
    <s v="00"/>
    <s v="400"/>
    <s v="11000-400"/>
    <s v="Grand piano production item #400"/>
    <s v="UNIQUE"/>
    <n v="9"/>
    <n v="49"/>
    <n v="8"/>
    <n v="441"/>
    <n v="392"/>
  </r>
  <r>
    <x v="0"/>
    <x v="0"/>
    <x v="0"/>
    <n v="1"/>
    <n v="10"/>
    <s v="00"/>
    <s v="401"/>
    <s v="11000-401"/>
    <s v="Grand piano production item #401"/>
    <s v="UNIQUE"/>
    <n v="1"/>
    <n v="49"/>
    <n v="5"/>
    <n v="49"/>
    <n v="245"/>
  </r>
  <r>
    <x v="0"/>
    <x v="0"/>
    <x v="0"/>
    <n v="1"/>
    <n v="10"/>
    <s v="00"/>
    <s v="402"/>
    <s v="11000-402"/>
    <s v="Grand piano production item #402"/>
    <s v="UNIQUE"/>
    <n v="0"/>
    <n v="16"/>
    <n v="25"/>
    <n v="0"/>
    <n v="400"/>
  </r>
  <r>
    <x v="0"/>
    <x v="0"/>
    <x v="0"/>
    <n v="1"/>
    <n v="10"/>
    <s v="00"/>
    <s v="403"/>
    <s v="11000-403"/>
    <s v="Grand piano production item #403"/>
    <s v="UNIQUE"/>
    <n v="6"/>
    <n v="81"/>
    <n v="676"/>
    <n v="486"/>
    <n v="54756"/>
  </r>
  <r>
    <x v="0"/>
    <x v="0"/>
    <x v="0"/>
    <n v="1"/>
    <n v="10"/>
    <s v="00"/>
    <s v="404"/>
    <s v="11000-404"/>
    <s v="Grand piano production item #404"/>
    <s v="UNIQUE"/>
    <n v="8691"/>
    <n v="343"/>
    <n v="8"/>
    <n v="2981013"/>
    <n v="2744"/>
  </r>
  <r>
    <x v="0"/>
    <x v="0"/>
    <x v="0"/>
    <n v="1"/>
    <n v="10"/>
    <s v="00"/>
    <s v="405"/>
    <s v="11000-405"/>
    <s v="Grand piano production item #405"/>
    <s v="UNIQUE"/>
    <n v="175"/>
    <n v="25"/>
    <n v="169"/>
    <n v="4375"/>
    <n v="4225"/>
  </r>
  <r>
    <x v="0"/>
    <x v="0"/>
    <x v="0"/>
    <n v="1"/>
    <n v="10"/>
    <s v="00"/>
    <s v="406"/>
    <s v="11000-406"/>
    <s v="Grand piano production item #406"/>
    <s v="UNIQUE"/>
    <n v="0"/>
    <n v="6"/>
    <n v="3"/>
    <n v="0"/>
    <n v="18"/>
  </r>
  <r>
    <x v="0"/>
    <x v="0"/>
    <x v="0"/>
    <n v="1"/>
    <n v="10"/>
    <s v="00"/>
    <s v="407"/>
    <s v="11000-407"/>
    <s v="Grand piano production item #407"/>
    <s v="UNIQUE"/>
    <n v="0"/>
    <n v="6"/>
    <n v="23"/>
    <n v="0"/>
    <n v="138"/>
  </r>
  <r>
    <x v="0"/>
    <x v="0"/>
    <x v="0"/>
    <n v="1"/>
    <n v="10"/>
    <s v="00"/>
    <s v="408"/>
    <s v="11000-408"/>
    <s v="Grand piano production item #408"/>
    <s v="UNIQUE"/>
    <n v="5270"/>
    <n v="6"/>
    <n v="4096"/>
    <n v="31620"/>
    <n v="24576"/>
  </r>
  <r>
    <x v="0"/>
    <x v="0"/>
    <x v="0"/>
    <n v="1"/>
    <n v="10"/>
    <s v="00"/>
    <s v="409"/>
    <s v="11000-409"/>
    <s v="Grand piano production item #409"/>
    <s v="UNIQUE"/>
    <n v="8"/>
    <n v="9"/>
    <n v="0"/>
    <n v="72"/>
    <n v="0"/>
  </r>
  <r>
    <x v="0"/>
    <x v="0"/>
    <x v="0"/>
    <n v="1"/>
    <n v="10"/>
    <s v="00"/>
    <s v="410"/>
    <s v="11000-410"/>
    <s v="Grand piano production item #410"/>
    <s v="UNIQUE"/>
    <n v="9665"/>
    <n v="343"/>
    <n v="4"/>
    <n v="3315095"/>
    <n v="1372"/>
  </r>
  <r>
    <x v="0"/>
    <x v="0"/>
    <x v="0"/>
    <n v="1"/>
    <n v="10"/>
    <s v="00"/>
    <s v="411"/>
    <s v="11000-411"/>
    <s v="Grand piano production item #411"/>
    <s v="UNIQUE"/>
    <n v="0"/>
    <n v="512"/>
    <n v="2197"/>
    <n v="0"/>
    <n v="1124864"/>
  </r>
  <r>
    <x v="0"/>
    <x v="0"/>
    <x v="0"/>
    <n v="1"/>
    <n v="10"/>
    <s v="00"/>
    <s v="412"/>
    <s v="11000-412"/>
    <s v="Grand piano production item #412"/>
    <s v="UNIQUE"/>
    <n v="706"/>
    <n v="36"/>
    <n v="26"/>
    <n v="25416"/>
    <n v="936"/>
  </r>
  <r>
    <x v="0"/>
    <x v="0"/>
    <x v="0"/>
    <n v="1"/>
    <n v="10"/>
    <s v="00"/>
    <s v="413"/>
    <s v="11000-413"/>
    <s v="Grand piano production item #413"/>
    <s v="UNIQUE"/>
    <n v="67"/>
    <n v="100"/>
    <n v="529"/>
    <n v="6700"/>
    <n v="52900"/>
  </r>
  <r>
    <x v="0"/>
    <x v="0"/>
    <x v="0"/>
    <n v="1"/>
    <n v="10"/>
    <s v="00"/>
    <s v="414"/>
    <s v="11000-414"/>
    <s v="Grand piano production item #414"/>
    <s v="UNIQUE"/>
    <n v="5525"/>
    <n v="8"/>
    <n v="1"/>
    <n v="44200"/>
    <n v="8"/>
  </r>
  <r>
    <x v="0"/>
    <x v="0"/>
    <x v="0"/>
    <n v="1"/>
    <n v="10"/>
    <s v="00"/>
    <s v="415"/>
    <s v="11000-415"/>
    <s v="Grand piano production item #415"/>
    <s v="UNIQUE"/>
    <n v="0"/>
    <n v="81"/>
    <n v="441"/>
    <n v="0"/>
    <n v="35721"/>
  </r>
  <r>
    <x v="0"/>
    <x v="0"/>
    <x v="0"/>
    <n v="1"/>
    <n v="10"/>
    <s v="00"/>
    <s v="416"/>
    <s v="11000-416"/>
    <s v="Grand piano production item #416"/>
    <s v="UNIQUE"/>
    <n v="0"/>
    <n v="729"/>
    <n v="900"/>
    <n v="0"/>
    <n v="656100"/>
  </r>
  <r>
    <x v="0"/>
    <x v="0"/>
    <x v="0"/>
    <n v="1"/>
    <n v="10"/>
    <s v="00"/>
    <s v="417"/>
    <s v="11000-417"/>
    <s v="Grand piano production item #417"/>
    <s v="UNIQUE"/>
    <n v="6"/>
    <n v="9"/>
    <n v="4913"/>
    <n v="54"/>
    <n v="44217"/>
  </r>
  <r>
    <x v="0"/>
    <x v="0"/>
    <x v="0"/>
    <n v="1"/>
    <n v="10"/>
    <s v="00"/>
    <s v="418"/>
    <s v="11000-418"/>
    <s v="Grand piano production item #418"/>
    <s v="UNIQUE"/>
    <n v="49"/>
    <n v="25"/>
    <n v="25"/>
    <n v="1225"/>
    <n v="625"/>
  </r>
  <r>
    <x v="0"/>
    <x v="0"/>
    <x v="0"/>
    <n v="1"/>
    <n v="10"/>
    <s v="00"/>
    <s v="419"/>
    <s v="11000-419"/>
    <s v="Grand piano production item #419"/>
    <s v="UNIQUE"/>
    <n v="562"/>
    <n v="25"/>
    <n v="2197"/>
    <n v="14050"/>
    <n v="54925"/>
  </r>
  <r>
    <x v="0"/>
    <x v="0"/>
    <x v="0"/>
    <n v="1"/>
    <n v="10"/>
    <s v="00"/>
    <s v="420"/>
    <s v="11000-420"/>
    <s v="Grand piano production item #420"/>
    <s v="UNIQUE"/>
    <n v="0"/>
    <n v="8"/>
    <n v="2197"/>
    <n v="0"/>
    <n v="17576"/>
  </r>
  <r>
    <x v="0"/>
    <x v="0"/>
    <x v="0"/>
    <n v="1"/>
    <n v="10"/>
    <s v="00"/>
    <s v="421"/>
    <s v="11000-421"/>
    <s v="Grand piano production item #421"/>
    <s v="UNIQUE"/>
    <n v="0"/>
    <n v="216"/>
    <n v="6859"/>
    <n v="0"/>
    <n v="1481544"/>
  </r>
  <r>
    <x v="0"/>
    <x v="0"/>
    <x v="0"/>
    <n v="1"/>
    <n v="10"/>
    <s v="00"/>
    <s v="422"/>
    <s v="11000-422"/>
    <s v="Grand piano production item #422"/>
    <s v="UNIQUE"/>
    <n v="0"/>
    <n v="1000"/>
    <n v="6859"/>
    <n v="0"/>
    <n v="6859000"/>
  </r>
  <r>
    <x v="0"/>
    <x v="0"/>
    <x v="0"/>
    <n v="1"/>
    <n v="10"/>
    <s v="00"/>
    <s v="423"/>
    <s v="11000-423"/>
    <s v="Grand piano production item #423"/>
    <s v="UNIQUE"/>
    <n v="0"/>
    <n v="1"/>
    <n v="16"/>
    <n v="0"/>
    <n v="16"/>
  </r>
  <r>
    <x v="0"/>
    <x v="0"/>
    <x v="0"/>
    <n v="1"/>
    <n v="10"/>
    <s v="00"/>
    <s v="424"/>
    <s v="11000-424"/>
    <s v="Grand piano production item #424"/>
    <s v="UNIQUE"/>
    <n v="77"/>
    <n v="6"/>
    <n v="225"/>
    <n v="462"/>
    <n v="1350"/>
  </r>
  <r>
    <x v="0"/>
    <x v="0"/>
    <x v="0"/>
    <n v="1"/>
    <n v="10"/>
    <s v="00"/>
    <s v="425"/>
    <s v="11000-425"/>
    <s v="Grand piano production item #425"/>
    <s v="UNIQUE"/>
    <n v="7"/>
    <n v="10"/>
    <n v="22"/>
    <n v="70"/>
    <n v="220"/>
  </r>
  <r>
    <x v="0"/>
    <x v="0"/>
    <x v="0"/>
    <n v="1"/>
    <n v="10"/>
    <s v="00"/>
    <s v="426"/>
    <s v="11000-426"/>
    <s v="Grand piano production item #426"/>
    <s v="UNIQUE"/>
    <n v="0"/>
    <n v="8"/>
    <n v="13"/>
    <n v="0"/>
    <n v="104"/>
  </r>
  <r>
    <x v="0"/>
    <x v="0"/>
    <x v="0"/>
    <n v="1"/>
    <n v="10"/>
    <s v="00"/>
    <s v="427"/>
    <s v="11000-427"/>
    <s v="Grand piano production item #427"/>
    <s v="UNIQUE"/>
    <n v="0"/>
    <n v="1"/>
    <n v="24"/>
    <n v="0"/>
    <n v="24"/>
  </r>
  <r>
    <x v="0"/>
    <x v="0"/>
    <x v="0"/>
    <n v="1"/>
    <n v="10"/>
    <s v="00"/>
    <s v="428"/>
    <s v="11000-428"/>
    <s v="Grand piano production item #428"/>
    <s v="UNIQUE"/>
    <n v="0"/>
    <n v="1"/>
    <n v="125"/>
    <n v="0"/>
    <n v="125"/>
  </r>
  <r>
    <x v="0"/>
    <x v="0"/>
    <x v="0"/>
    <n v="1"/>
    <n v="10"/>
    <s v="00"/>
    <s v="429"/>
    <s v="11000-429"/>
    <s v="Grand piano production item #429"/>
    <s v="UNIQUE"/>
    <n v="0"/>
    <n v="8"/>
    <n v="7"/>
    <n v="0"/>
    <n v="56"/>
  </r>
  <r>
    <x v="0"/>
    <x v="0"/>
    <x v="0"/>
    <n v="1"/>
    <n v="10"/>
    <s v="00"/>
    <s v="430"/>
    <s v="11000-430"/>
    <s v="Grand piano production item #430"/>
    <s v="UNIQUE"/>
    <n v="0"/>
    <n v="729"/>
    <n v="19"/>
    <n v="0"/>
    <n v="13851"/>
  </r>
  <r>
    <x v="0"/>
    <x v="0"/>
    <x v="0"/>
    <n v="1"/>
    <n v="10"/>
    <s v="00"/>
    <s v="431"/>
    <s v="11000-431"/>
    <s v="Grand piano production item #431"/>
    <s v="UNIQUE"/>
    <n v="0"/>
    <n v="2"/>
    <n v="121"/>
    <n v="0"/>
    <n v="242"/>
  </r>
  <r>
    <x v="0"/>
    <x v="0"/>
    <x v="0"/>
    <n v="1"/>
    <n v="10"/>
    <s v="00"/>
    <s v="432"/>
    <s v="11000-432"/>
    <s v="Grand piano production item #432"/>
    <s v="UNIQUE"/>
    <n v="0"/>
    <n v="27"/>
    <n v="19683"/>
    <n v="0"/>
    <n v="531441"/>
  </r>
  <r>
    <x v="0"/>
    <x v="0"/>
    <x v="0"/>
    <n v="1"/>
    <n v="10"/>
    <s v="00"/>
    <s v="433"/>
    <s v="11000-433"/>
    <s v="Grand piano production item #433"/>
    <s v="UNIQUE"/>
    <n v="4"/>
    <n v="64"/>
    <n v="729"/>
    <n v="256"/>
    <n v="46656"/>
  </r>
  <r>
    <x v="0"/>
    <x v="0"/>
    <x v="0"/>
    <n v="1"/>
    <n v="10"/>
    <s v="00"/>
    <s v="434"/>
    <s v="11000-434"/>
    <s v="Grand piano production item #434"/>
    <s v="UNIQUE"/>
    <n v="0"/>
    <n v="4"/>
    <n v="361"/>
    <n v="0"/>
    <n v="1444"/>
  </r>
  <r>
    <x v="0"/>
    <x v="0"/>
    <x v="0"/>
    <n v="1"/>
    <n v="10"/>
    <s v="00"/>
    <s v="435"/>
    <s v="11000-435"/>
    <s v="Grand piano production item #435"/>
    <s v="UNIQUE"/>
    <n v="10"/>
    <n v="1"/>
    <n v="28"/>
    <n v="10"/>
    <n v="28"/>
  </r>
  <r>
    <x v="0"/>
    <x v="0"/>
    <x v="0"/>
    <n v="1"/>
    <n v="10"/>
    <s v="00"/>
    <s v="436"/>
    <s v="11000-436"/>
    <s v="Grand piano production item #436"/>
    <s v="UNIQUE"/>
    <n v="167"/>
    <n v="100"/>
    <n v="0"/>
    <n v="16700"/>
    <n v="0"/>
  </r>
  <r>
    <x v="0"/>
    <x v="0"/>
    <x v="0"/>
    <n v="1"/>
    <n v="10"/>
    <s v="00"/>
    <s v="437"/>
    <s v="11000-437"/>
    <s v="Grand piano production item #437"/>
    <s v="UNIQUE"/>
    <n v="9945"/>
    <n v="4"/>
    <n v="8"/>
    <n v="39780"/>
    <n v="32"/>
  </r>
  <r>
    <x v="0"/>
    <x v="0"/>
    <x v="0"/>
    <n v="1"/>
    <n v="10"/>
    <s v="00"/>
    <s v="438"/>
    <s v="11000-438"/>
    <s v="Grand piano production item #438"/>
    <s v="UNIQUE"/>
    <n v="87"/>
    <n v="25"/>
    <n v="16"/>
    <n v="2175"/>
    <n v="400"/>
  </r>
  <r>
    <x v="0"/>
    <x v="0"/>
    <x v="0"/>
    <n v="1"/>
    <n v="10"/>
    <s v="00"/>
    <s v="439"/>
    <s v="11000-439"/>
    <s v="Grand piano production item #439"/>
    <s v="UNIQUE"/>
    <n v="855"/>
    <n v="27"/>
    <n v="20"/>
    <n v="23085"/>
    <n v="540"/>
  </r>
  <r>
    <x v="0"/>
    <x v="0"/>
    <x v="0"/>
    <n v="1"/>
    <n v="10"/>
    <s v="00"/>
    <s v="440"/>
    <s v="11000-440"/>
    <s v="Grand piano production item #440"/>
    <s v="UNIQUE"/>
    <n v="0"/>
    <n v="125"/>
    <n v="12167"/>
    <n v="0"/>
    <n v="1520875"/>
  </r>
  <r>
    <x v="0"/>
    <x v="0"/>
    <x v="0"/>
    <n v="1"/>
    <n v="10"/>
    <s v="00"/>
    <s v="441"/>
    <s v="11000-441"/>
    <s v="Grand piano production item #441"/>
    <s v="UNIQUE"/>
    <n v="4"/>
    <n v="10"/>
    <n v="8000"/>
    <n v="40"/>
    <n v="80000"/>
  </r>
  <r>
    <x v="0"/>
    <x v="0"/>
    <x v="0"/>
    <n v="1"/>
    <n v="10"/>
    <s v="00"/>
    <s v="442"/>
    <s v="11000-442"/>
    <s v="Grand piano production item #442"/>
    <s v="UNIQUE"/>
    <n v="0"/>
    <n v="729"/>
    <n v="15625"/>
    <n v="0"/>
    <n v="11390625"/>
  </r>
  <r>
    <x v="0"/>
    <x v="0"/>
    <x v="0"/>
    <n v="1"/>
    <n v="10"/>
    <s v="00"/>
    <s v="443"/>
    <s v="11000-443"/>
    <s v="Grand piano production item #443"/>
    <s v="UNIQUE"/>
    <n v="0"/>
    <n v="81"/>
    <n v="121"/>
    <n v="0"/>
    <n v="9801"/>
  </r>
  <r>
    <x v="0"/>
    <x v="0"/>
    <x v="0"/>
    <n v="1"/>
    <n v="10"/>
    <s v="00"/>
    <s v="444"/>
    <s v="11000-444"/>
    <s v="Grand piano production item #444"/>
    <s v="UNIQUE"/>
    <n v="0"/>
    <n v="125"/>
    <n v="9"/>
    <n v="0"/>
    <n v="1125"/>
  </r>
  <r>
    <x v="0"/>
    <x v="0"/>
    <x v="0"/>
    <n v="1"/>
    <n v="10"/>
    <s v="00"/>
    <s v="445"/>
    <s v="11000-445"/>
    <s v="Grand piano production item #445"/>
    <s v="UNIQUE"/>
    <n v="0"/>
    <n v="8"/>
    <n v="1331"/>
    <n v="0"/>
    <n v="10648"/>
  </r>
  <r>
    <x v="0"/>
    <x v="0"/>
    <x v="0"/>
    <n v="1"/>
    <n v="10"/>
    <s v="00"/>
    <s v="446"/>
    <s v="11000-446"/>
    <s v="Grand piano production item #446"/>
    <s v="UNIQUE"/>
    <n v="1"/>
    <n v="6"/>
    <n v="729"/>
    <n v="6"/>
    <n v="4374"/>
  </r>
  <r>
    <x v="0"/>
    <x v="0"/>
    <x v="0"/>
    <n v="1"/>
    <n v="10"/>
    <s v="00"/>
    <s v="447"/>
    <s v="11000-447"/>
    <s v="Grand piano production item #447"/>
    <s v="UNIQUE"/>
    <n v="0"/>
    <n v="1000"/>
    <n v="23"/>
    <n v="0"/>
    <n v="23000"/>
  </r>
  <r>
    <x v="0"/>
    <x v="0"/>
    <x v="0"/>
    <n v="1"/>
    <n v="10"/>
    <s v="00"/>
    <s v="448"/>
    <s v="11000-448"/>
    <s v="Grand piano production item #448"/>
    <s v="UNIQUE"/>
    <n v="8160"/>
    <n v="64"/>
    <n v="1"/>
    <n v="522240"/>
    <n v="64"/>
  </r>
  <r>
    <x v="0"/>
    <x v="0"/>
    <x v="0"/>
    <n v="1"/>
    <n v="10"/>
    <s v="00"/>
    <s v="449"/>
    <s v="11000-449"/>
    <s v="Grand piano production item #449"/>
    <s v="UNIQUE"/>
    <n v="46"/>
    <n v="27"/>
    <n v="49"/>
    <n v="1242"/>
    <n v="1323"/>
  </r>
  <r>
    <x v="0"/>
    <x v="0"/>
    <x v="0"/>
    <n v="1"/>
    <n v="10"/>
    <s v="00"/>
    <s v="450"/>
    <s v="11000-450"/>
    <s v="Grand piano production item #450"/>
    <s v="UNIQUE"/>
    <n v="0"/>
    <n v="64"/>
    <n v="18"/>
    <n v="0"/>
    <n v="1152"/>
  </r>
  <r>
    <x v="0"/>
    <x v="0"/>
    <x v="0"/>
    <n v="1"/>
    <n v="10"/>
    <s v="00"/>
    <s v="451"/>
    <s v="11000-451"/>
    <s v="Grand piano production item #451"/>
    <s v="UNIQUE"/>
    <n v="5108"/>
    <n v="512"/>
    <n v="400"/>
    <n v="2615296"/>
    <n v="204800"/>
  </r>
  <r>
    <x v="0"/>
    <x v="0"/>
    <x v="0"/>
    <n v="1"/>
    <n v="10"/>
    <s v="00"/>
    <s v="452"/>
    <s v="11000-452"/>
    <s v="Grand piano production item #452"/>
    <s v="UNIQUE"/>
    <n v="0"/>
    <n v="10"/>
    <n v="169"/>
    <n v="0"/>
    <n v="1690"/>
  </r>
  <r>
    <x v="0"/>
    <x v="0"/>
    <x v="0"/>
    <n v="1"/>
    <n v="10"/>
    <s v="00"/>
    <s v="453"/>
    <s v="11000-453"/>
    <s v="Grand piano production item #453"/>
    <s v="UNIQUE"/>
    <n v="3903"/>
    <n v="81"/>
    <n v="16"/>
    <n v="316143"/>
    <n v="1296"/>
  </r>
  <r>
    <x v="0"/>
    <x v="0"/>
    <x v="0"/>
    <n v="1"/>
    <n v="10"/>
    <s v="00"/>
    <s v="454"/>
    <s v="11000-454"/>
    <s v="Grand piano production item #454"/>
    <s v="UNIQUE"/>
    <n v="0"/>
    <n v="512"/>
    <n v="0"/>
    <n v="0"/>
    <n v="0"/>
  </r>
  <r>
    <x v="0"/>
    <x v="0"/>
    <x v="0"/>
    <n v="1"/>
    <n v="10"/>
    <s v="00"/>
    <s v="455"/>
    <s v="11000-455"/>
    <s v="Grand piano production item #455"/>
    <s v="UNIQUE"/>
    <n v="7208"/>
    <n v="6"/>
    <n v="225"/>
    <n v="43248"/>
    <n v="1350"/>
  </r>
  <r>
    <x v="0"/>
    <x v="0"/>
    <x v="0"/>
    <n v="1"/>
    <n v="10"/>
    <s v="00"/>
    <s v="456"/>
    <s v="11000-456"/>
    <s v="Grand piano production item #456"/>
    <s v="UNIQUE"/>
    <n v="0"/>
    <n v="10"/>
    <n v="7"/>
    <n v="0"/>
    <n v="70"/>
  </r>
  <r>
    <x v="0"/>
    <x v="0"/>
    <x v="0"/>
    <n v="1"/>
    <n v="10"/>
    <s v="00"/>
    <s v="457"/>
    <s v="11000-457"/>
    <s v="Grand piano production item #457"/>
    <s v="UNIQUE"/>
    <n v="8543"/>
    <n v="36"/>
    <n v="4913"/>
    <n v="307548"/>
    <n v="176868"/>
  </r>
  <r>
    <x v="0"/>
    <x v="0"/>
    <x v="0"/>
    <n v="1"/>
    <n v="10"/>
    <s v="00"/>
    <s v="458"/>
    <s v="11000-458"/>
    <s v="Grand piano production item #458"/>
    <s v="UNIQUE"/>
    <n v="0"/>
    <n v="5"/>
    <n v="6859"/>
    <n v="0"/>
    <n v="34295"/>
  </r>
  <r>
    <x v="0"/>
    <x v="0"/>
    <x v="0"/>
    <n v="1"/>
    <n v="10"/>
    <s v="00"/>
    <s v="459"/>
    <s v="11000-459"/>
    <s v="Grand piano production item #459"/>
    <s v="UNIQUE"/>
    <n v="0"/>
    <n v="2"/>
    <n v="2197"/>
    <n v="0"/>
    <n v="4394"/>
  </r>
  <r>
    <x v="0"/>
    <x v="0"/>
    <x v="0"/>
    <n v="1"/>
    <n v="10"/>
    <s v="00"/>
    <s v="460"/>
    <s v="11000-460"/>
    <s v="Grand piano production item #460"/>
    <s v="UNIQUE"/>
    <n v="0"/>
    <n v="2"/>
    <n v="3"/>
    <n v="0"/>
    <n v="6"/>
  </r>
  <r>
    <x v="0"/>
    <x v="0"/>
    <x v="0"/>
    <n v="1"/>
    <n v="10"/>
    <s v="00"/>
    <s v="461"/>
    <s v="11000-461"/>
    <s v="Grand piano production item #461"/>
    <s v="UNIQUE"/>
    <n v="1356"/>
    <n v="9"/>
    <n v="512"/>
    <n v="12204"/>
    <n v="4608"/>
  </r>
  <r>
    <x v="0"/>
    <x v="0"/>
    <x v="0"/>
    <n v="1"/>
    <n v="10"/>
    <s v="00"/>
    <s v="462"/>
    <s v="11000-462"/>
    <s v="Grand piano production item #462"/>
    <s v="UNIQUE"/>
    <n v="0"/>
    <n v="16"/>
    <n v="12167"/>
    <n v="0"/>
    <n v="194672"/>
  </r>
  <r>
    <x v="0"/>
    <x v="0"/>
    <x v="0"/>
    <n v="1"/>
    <n v="10"/>
    <s v="00"/>
    <s v="463"/>
    <s v="11000-463"/>
    <s v="Grand piano production item #463"/>
    <s v="UNIQUE"/>
    <n v="0"/>
    <n v="8"/>
    <n v="529"/>
    <n v="0"/>
    <n v="4232"/>
  </r>
  <r>
    <x v="0"/>
    <x v="0"/>
    <x v="0"/>
    <n v="1"/>
    <n v="10"/>
    <s v="00"/>
    <s v="464"/>
    <s v="11000-464"/>
    <s v="Grand piano production item #464"/>
    <s v="UNIQUE"/>
    <n v="0"/>
    <n v="7"/>
    <n v="28"/>
    <n v="0"/>
    <n v="196"/>
  </r>
  <r>
    <x v="0"/>
    <x v="0"/>
    <x v="0"/>
    <n v="1"/>
    <n v="10"/>
    <s v="00"/>
    <s v="465"/>
    <s v="11000-465"/>
    <s v="Grand piano production item #465"/>
    <s v="UNIQUE"/>
    <n v="63"/>
    <n v="16"/>
    <n v="27"/>
    <n v="1008"/>
    <n v="432"/>
  </r>
  <r>
    <x v="0"/>
    <x v="0"/>
    <x v="0"/>
    <n v="1"/>
    <n v="10"/>
    <s v="00"/>
    <s v="466"/>
    <s v="11000-466"/>
    <s v="Grand piano production item #466"/>
    <s v="UNIQUE"/>
    <n v="16"/>
    <n v="81"/>
    <n v="4913"/>
    <n v="1296"/>
    <n v="397953"/>
  </r>
  <r>
    <x v="0"/>
    <x v="0"/>
    <x v="0"/>
    <n v="1"/>
    <n v="10"/>
    <s v="00"/>
    <s v="467"/>
    <s v="11000-467"/>
    <s v="Grand piano production item #467"/>
    <s v="UNIQUE"/>
    <n v="0"/>
    <n v="81"/>
    <n v="15"/>
    <n v="0"/>
    <n v="1215"/>
  </r>
  <r>
    <x v="0"/>
    <x v="0"/>
    <x v="0"/>
    <n v="1"/>
    <n v="10"/>
    <s v="00"/>
    <s v="468"/>
    <s v="11000-468"/>
    <s v="Grand piano production item #468"/>
    <s v="UNIQUE"/>
    <n v="669"/>
    <n v="8"/>
    <n v="3"/>
    <n v="5352"/>
    <n v="24"/>
  </r>
  <r>
    <x v="0"/>
    <x v="0"/>
    <x v="0"/>
    <n v="1"/>
    <n v="10"/>
    <s v="00"/>
    <s v="469"/>
    <s v="11000-469"/>
    <s v="Grand piano production item #469"/>
    <s v="UNIQUE"/>
    <n v="21"/>
    <n v="1"/>
    <n v="17"/>
    <n v="21"/>
    <n v="17"/>
  </r>
  <r>
    <x v="0"/>
    <x v="0"/>
    <x v="0"/>
    <n v="1"/>
    <n v="10"/>
    <s v="00"/>
    <s v="470"/>
    <s v="11000-470"/>
    <s v="Grand piano production item #470"/>
    <s v="UNIQUE"/>
    <n v="0"/>
    <n v="64"/>
    <n v="15"/>
    <n v="0"/>
    <n v="960"/>
  </r>
  <r>
    <x v="0"/>
    <x v="0"/>
    <x v="0"/>
    <n v="1"/>
    <n v="10"/>
    <s v="00"/>
    <s v="471"/>
    <s v="11000-471"/>
    <s v="Grand piano production item #471"/>
    <s v="UNIQUE"/>
    <n v="5363"/>
    <n v="9"/>
    <n v="121"/>
    <n v="48267"/>
    <n v="1089"/>
  </r>
  <r>
    <x v="0"/>
    <x v="0"/>
    <x v="0"/>
    <n v="1"/>
    <n v="10"/>
    <s v="00"/>
    <s v="472"/>
    <s v="11000-472"/>
    <s v="Grand piano production item #472"/>
    <s v="UNIQUE"/>
    <n v="0"/>
    <n v="512"/>
    <n v="9261"/>
    <n v="0"/>
    <n v="4741632"/>
  </r>
  <r>
    <x v="0"/>
    <x v="0"/>
    <x v="0"/>
    <n v="1"/>
    <n v="10"/>
    <s v="00"/>
    <s v="473"/>
    <s v="11000-473"/>
    <s v="Grand piano production item #473"/>
    <s v="UNIQUE"/>
    <n v="0"/>
    <n v="6"/>
    <n v="27"/>
    <n v="0"/>
    <n v="162"/>
  </r>
  <r>
    <x v="0"/>
    <x v="0"/>
    <x v="0"/>
    <n v="1"/>
    <n v="10"/>
    <s v="00"/>
    <s v="474"/>
    <s v="11000-474"/>
    <s v="Grand piano production item #474"/>
    <s v="UNIQUE"/>
    <n v="0"/>
    <n v="512"/>
    <n v="784"/>
    <n v="0"/>
    <n v="401408"/>
  </r>
  <r>
    <x v="0"/>
    <x v="0"/>
    <x v="0"/>
    <n v="1"/>
    <n v="10"/>
    <s v="00"/>
    <s v="475"/>
    <s v="11000-475"/>
    <s v="Grand piano production item #475"/>
    <s v="UNIQUE"/>
    <n v="8288"/>
    <n v="512"/>
    <n v="24"/>
    <n v="4243456"/>
    <n v="12288"/>
  </r>
  <r>
    <x v="0"/>
    <x v="0"/>
    <x v="0"/>
    <n v="1"/>
    <n v="10"/>
    <s v="00"/>
    <s v="476"/>
    <s v="11000-476"/>
    <s v="Grand piano production item #476"/>
    <s v="UNIQUE"/>
    <n v="77"/>
    <n v="8"/>
    <n v="64"/>
    <n v="616"/>
    <n v="512"/>
  </r>
  <r>
    <x v="0"/>
    <x v="0"/>
    <x v="0"/>
    <n v="1"/>
    <n v="10"/>
    <s v="00"/>
    <s v="477"/>
    <s v="11000-477"/>
    <s v="Grand piano production item #477"/>
    <s v="UNIQUE"/>
    <n v="0"/>
    <n v="1000"/>
    <n v="4913"/>
    <n v="0"/>
    <n v="4913000"/>
  </r>
  <r>
    <x v="0"/>
    <x v="0"/>
    <x v="0"/>
    <n v="1"/>
    <n v="10"/>
    <s v="00"/>
    <s v="478"/>
    <s v="11000-478"/>
    <s v="Grand piano production item #478"/>
    <s v="UNIQUE"/>
    <n v="3"/>
    <n v="25"/>
    <n v="484"/>
    <n v="75"/>
    <n v="12100"/>
  </r>
  <r>
    <x v="0"/>
    <x v="0"/>
    <x v="0"/>
    <n v="1"/>
    <n v="10"/>
    <s v="00"/>
    <s v="479"/>
    <s v="11000-479"/>
    <s v="Grand piano production item #479"/>
    <s v="UNIQUE"/>
    <n v="0"/>
    <n v="81"/>
    <n v="216"/>
    <n v="0"/>
    <n v="17496"/>
  </r>
  <r>
    <x v="0"/>
    <x v="0"/>
    <x v="0"/>
    <n v="1"/>
    <n v="10"/>
    <s v="00"/>
    <s v="480"/>
    <s v="11000-480"/>
    <s v="Grand piano production item #480"/>
    <s v="UNIQUE"/>
    <n v="0"/>
    <n v="343"/>
    <n v="13"/>
    <n v="0"/>
    <n v="4459"/>
  </r>
  <r>
    <x v="0"/>
    <x v="0"/>
    <x v="0"/>
    <n v="1"/>
    <n v="10"/>
    <s v="00"/>
    <s v="481"/>
    <s v="11000-481"/>
    <s v="Grand piano production item #481"/>
    <s v="UNIQUE"/>
    <n v="0"/>
    <n v="1000"/>
    <n v="30"/>
    <n v="0"/>
    <n v="30000"/>
  </r>
  <r>
    <x v="0"/>
    <x v="0"/>
    <x v="0"/>
    <n v="1"/>
    <n v="10"/>
    <s v="00"/>
    <s v="482"/>
    <s v="11000-482"/>
    <s v="Grand piano production item #482"/>
    <s v="UNIQUE"/>
    <n v="0"/>
    <n v="5"/>
    <n v="100"/>
    <n v="0"/>
    <n v="500"/>
  </r>
  <r>
    <x v="0"/>
    <x v="0"/>
    <x v="0"/>
    <n v="1"/>
    <n v="10"/>
    <s v="00"/>
    <s v="483"/>
    <s v="11000-483"/>
    <s v="Grand piano production item #483"/>
    <s v="UNIQUE"/>
    <n v="0"/>
    <n v="1"/>
    <n v="8"/>
    <n v="0"/>
    <n v="8"/>
  </r>
  <r>
    <x v="0"/>
    <x v="0"/>
    <x v="0"/>
    <n v="1"/>
    <n v="10"/>
    <s v="00"/>
    <s v="484"/>
    <s v="11000-484"/>
    <s v="Grand piano production item #484"/>
    <s v="UNIQUE"/>
    <n v="6"/>
    <n v="4"/>
    <n v="12167"/>
    <n v="24"/>
    <n v="48668"/>
  </r>
  <r>
    <x v="0"/>
    <x v="0"/>
    <x v="0"/>
    <n v="1"/>
    <n v="10"/>
    <s v="00"/>
    <s v="485"/>
    <s v="11000-485"/>
    <s v="Grand piano production item #485"/>
    <s v="UNIQUE"/>
    <n v="0"/>
    <n v="1"/>
    <n v="144"/>
    <n v="0"/>
    <n v="144"/>
  </r>
  <r>
    <x v="0"/>
    <x v="0"/>
    <x v="0"/>
    <n v="1"/>
    <n v="10"/>
    <s v="00"/>
    <s v="486"/>
    <s v="11000-486"/>
    <s v="Grand piano production item #486"/>
    <s v="UNIQUE"/>
    <n v="0"/>
    <n v="2"/>
    <n v="19"/>
    <n v="0"/>
    <n v="38"/>
  </r>
  <r>
    <x v="0"/>
    <x v="0"/>
    <x v="0"/>
    <n v="1"/>
    <n v="10"/>
    <s v="00"/>
    <s v="487"/>
    <s v="11000-487"/>
    <s v="Grand piano production item #487"/>
    <s v="UNIQUE"/>
    <n v="0"/>
    <n v="343"/>
    <n v="13"/>
    <n v="0"/>
    <n v="4459"/>
  </r>
  <r>
    <x v="0"/>
    <x v="0"/>
    <x v="0"/>
    <n v="1"/>
    <n v="10"/>
    <s v="00"/>
    <s v="488"/>
    <s v="11000-488"/>
    <s v="Grand piano production item #488"/>
    <s v="UNIQUE"/>
    <n v="0"/>
    <n v="9"/>
    <n v="3375"/>
    <n v="0"/>
    <n v="30375"/>
  </r>
  <r>
    <x v="0"/>
    <x v="0"/>
    <x v="0"/>
    <n v="1"/>
    <n v="10"/>
    <s v="00"/>
    <s v="489"/>
    <s v="11000-489"/>
    <s v="Grand piano production item #489"/>
    <s v="UNIQUE"/>
    <n v="1"/>
    <n v="1000"/>
    <n v="100"/>
    <n v="1000"/>
    <n v="100000"/>
  </r>
  <r>
    <x v="0"/>
    <x v="0"/>
    <x v="0"/>
    <n v="1"/>
    <n v="10"/>
    <s v="00"/>
    <s v="490"/>
    <s v="11000-490"/>
    <s v="Grand piano production item #490"/>
    <s v="UNIQUE"/>
    <n v="0"/>
    <n v="729"/>
    <n v="64"/>
    <n v="0"/>
    <n v="46656"/>
  </r>
  <r>
    <x v="0"/>
    <x v="0"/>
    <x v="0"/>
    <n v="1"/>
    <n v="10"/>
    <s v="00"/>
    <s v="491"/>
    <s v="11000-491"/>
    <s v="Grand piano production item #491"/>
    <s v="UNIQUE"/>
    <n v="0"/>
    <n v="2"/>
    <n v="1"/>
    <n v="0"/>
    <n v="2"/>
  </r>
  <r>
    <x v="0"/>
    <x v="0"/>
    <x v="0"/>
    <n v="1"/>
    <n v="10"/>
    <s v="00"/>
    <s v="492"/>
    <s v="11000-492"/>
    <s v="Grand piano production item #492"/>
    <s v="UNIQUE"/>
    <n v="0"/>
    <n v="9"/>
    <n v="2744"/>
    <n v="0"/>
    <n v="24696"/>
  </r>
  <r>
    <x v="0"/>
    <x v="0"/>
    <x v="0"/>
    <n v="1"/>
    <n v="10"/>
    <s v="00"/>
    <s v="493"/>
    <s v="11000-493"/>
    <s v="Grand piano production item #493"/>
    <s v="UNIQUE"/>
    <n v="7"/>
    <n v="1"/>
    <n v="361"/>
    <n v="7"/>
    <n v="361"/>
  </r>
  <r>
    <x v="0"/>
    <x v="0"/>
    <x v="0"/>
    <n v="1"/>
    <n v="10"/>
    <s v="00"/>
    <s v="494"/>
    <s v="11000-494"/>
    <s v="Grand piano production item #494"/>
    <s v="UNIQUE"/>
    <n v="0"/>
    <n v="64"/>
    <n v="841"/>
    <n v="0"/>
    <n v="53824"/>
  </r>
  <r>
    <x v="0"/>
    <x v="0"/>
    <x v="0"/>
    <n v="1"/>
    <n v="10"/>
    <s v="00"/>
    <s v="495"/>
    <s v="11000-495"/>
    <s v="Grand piano production item #495"/>
    <s v="UNIQUE"/>
    <n v="16"/>
    <n v="64"/>
    <n v="16"/>
    <n v="1024"/>
    <n v="1024"/>
  </r>
  <r>
    <x v="0"/>
    <x v="0"/>
    <x v="0"/>
    <n v="1"/>
    <n v="10"/>
    <s v="00"/>
    <s v="496"/>
    <s v="11000-496"/>
    <s v="Grand piano production item #496"/>
    <s v="UNIQUE"/>
    <n v="0"/>
    <n v="1"/>
    <n v="1000"/>
    <n v="0"/>
    <n v="1000"/>
  </r>
  <r>
    <x v="0"/>
    <x v="0"/>
    <x v="0"/>
    <n v="1"/>
    <n v="10"/>
    <s v="00"/>
    <s v="497"/>
    <s v="11000-497"/>
    <s v="Grand piano production item #497"/>
    <s v="UNIQUE"/>
    <n v="0"/>
    <n v="100"/>
    <n v="15625"/>
    <n v="0"/>
    <n v="1562500"/>
  </r>
  <r>
    <x v="0"/>
    <x v="0"/>
    <x v="0"/>
    <n v="1"/>
    <n v="10"/>
    <s v="00"/>
    <s v="498"/>
    <s v="11000-498"/>
    <s v="Grand piano production item #498"/>
    <s v="UNIQUE"/>
    <n v="0"/>
    <n v="343"/>
    <n v="16"/>
    <n v="0"/>
    <n v="5488"/>
  </r>
  <r>
    <x v="0"/>
    <x v="0"/>
    <x v="0"/>
    <n v="1"/>
    <n v="10"/>
    <s v="00"/>
    <s v="499"/>
    <s v="11000-499"/>
    <s v="Grand piano production item #499"/>
    <s v="UNIQUE"/>
    <n v="44"/>
    <n v="8"/>
    <n v="13"/>
    <n v="352"/>
    <n v="104"/>
  </r>
  <r>
    <x v="0"/>
    <x v="0"/>
    <x v="0"/>
    <n v="1"/>
    <n v="10"/>
    <s v="00"/>
    <s v="500"/>
    <s v="11000-500"/>
    <s v="Grand piano production item #500"/>
    <s v="UNIQUE"/>
    <n v="1"/>
    <n v="4"/>
    <n v="676"/>
    <n v="4"/>
    <n v="2704"/>
  </r>
  <r>
    <x v="0"/>
    <x v="0"/>
    <x v="0"/>
    <n v="1"/>
    <n v="10"/>
    <s v="00"/>
    <s v="501"/>
    <s v="11000-501"/>
    <s v="Grand piano production item #501"/>
    <s v="UNIQUE"/>
    <n v="1877"/>
    <n v="343"/>
    <n v="8"/>
    <n v="643811"/>
    <n v="2744"/>
  </r>
  <r>
    <x v="0"/>
    <x v="0"/>
    <x v="0"/>
    <n v="1"/>
    <n v="10"/>
    <s v="00"/>
    <s v="502"/>
    <s v="11000-502"/>
    <s v="Grand piano production item #502"/>
    <s v="UNIQUE"/>
    <n v="0"/>
    <n v="36"/>
    <n v="29"/>
    <n v="0"/>
    <n v="1044"/>
  </r>
  <r>
    <x v="0"/>
    <x v="0"/>
    <x v="0"/>
    <n v="1"/>
    <n v="10"/>
    <s v="00"/>
    <s v="503"/>
    <s v="11000-503"/>
    <s v="Grand piano production item #503"/>
    <s v="UNIQUE"/>
    <n v="0"/>
    <n v="125"/>
    <n v="27"/>
    <n v="0"/>
    <n v="3375"/>
  </r>
  <r>
    <x v="0"/>
    <x v="0"/>
    <x v="0"/>
    <n v="1"/>
    <n v="10"/>
    <s v="00"/>
    <s v="504"/>
    <s v="11000-504"/>
    <s v="Grand piano production item #504"/>
    <s v="UNIQUE"/>
    <n v="67"/>
    <n v="8"/>
    <n v="18"/>
    <n v="536"/>
    <n v="144"/>
  </r>
  <r>
    <x v="0"/>
    <x v="0"/>
    <x v="0"/>
    <n v="1"/>
    <n v="10"/>
    <s v="00"/>
    <s v="505"/>
    <s v="11000-505"/>
    <s v="Grand piano production item #505"/>
    <s v="UNIQUE"/>
    <n v="215"/>
    <n v="1"/>
    <n v="14"/>
    <n v="215"/>
    <n v="14"/>
  </r>
  <r>
    <x v="0"/>
    <x v="0"/>
    <x v="0"/>
    <n v="1"/>
    <n v="10"/>
    <s v="00"/>
    <s v="506"/>
    <s v="11000-506"/>
    <s v="Grand piano production item #506"/>
    <s v="UNIQUE"/>
    <n v="4"/>
    <n v="3"/>
    <n v="28"/>
    <n v="12"/>
    <n v="84"/>
  </r>
  <r>
    <x v="0"/>
    <x v="0"/>
    <x v="0"/>
    <n v="1"/>
    <n v="10"/>
    <s v="00"/>
    <s v="507"/>
    <s v="11000-507"/>
    <s v="Grand piano production item #507"/>
    <s v="UNIQUE"/>
    <n v="89"/>
    <n v="1"/>
    <n v="8"/>
    <n v="89"/>
    <n v="8"/>
  </r>
  <r>
    <x v="0"/>
    <x v="0"/>
    <x v="0"/>
    <n v="1"/>
    <n v="10"/>
    <s v="00"/>
    <s v="508"/>
    <s v="11000-508"/>
    <s v="Grand piano production item #508"/>
    <s v="UNIQUE"/>
    <n v="1"/>
    <n v="216"/>
    <n v="900"/>
    <n v="216"/>
    <n v="194400"/>
  </r>
  <r>
    <x v="0"/>
    <x v="0"/>
    <x v="0"/>
    <n v="1"/>
    <n v="10"/>
    <s v="00"/>
    <s v="509"/>
    <s v="11000-509"/>
    <s v="Grand piano production item #509"/>
    <s v="UNIQUE"/>
    <n v="70"/>
    <n v="3"/>
    <n v="24"/>
    <n v="210"/>
    <n v="72"/>
  </r>
  <r>
    <x v="0"/>
    <x v="0"/>
    <x v="0"/>
    <n v="1"/>
    <n v="10"/>
    <s v="00"/>
    <s v="510"/>
    <s v="11000-510"/>
    <s v="Grand piano production item #510"/>
    <s v="UNIQUE"/>
    <n v="0"/>
    <n v="25"/>
    <n v="21"/>
    <n v="0"/>
    <n v="525"/>
  </r>
  <r>
    <x v="0"/>
    <x v="0"/>
    <x v="0"/>
    <n v="1"/>
    <n v="10"/>
    <s v="00"/>
    <s v="511"/>
    <s v="11000-511"/>
    <s v="Grand piano production item #511"/>
    <s v="UNIQUE"/>
    <n v="46"/>
    <n v="36"/>
    <n v="361"/>
    <n v="1656"/>
    <n v="12996"/>
  </r>
  <r>
    <x v="0"/>
    <x v="0"/>
    <x v="0"/>
    <n v="1"/>
    <n v="10"/>
    <s v="00"/>
    <s v="512"/>
    <s v="11000-512"/>
    <s v="Grand piano production item #512"/>
    <s v="UNIQUE"/>
    <n v="683"/>
    <n v="6"/>
    <n v="17576"/>
    <n v="4098"/>
    <n v="105456"/>
  </r>
  <r>
    <x v="0"/>
    <x v="0"/>
    <x v="0"/>
    <n v="1"/>
    <n v="10"/>
    <s v="00"/>
    <s v="513"/>
    <s v="11000-513"/>
    <s v="Grand piano production item #513"/>
    <s v="UNIQUE"/>
    <n v="0"/>
    <n v="100"/>
    <n v="0"/>
    <n v="0"/>
    <n v="0"/>
  </r>
  <r>
    <x v="0"/>
    <x v="0"/>
    <x v="0"/>
    <n v="1"/>
    <n v="10"/>
    <s v="00"/>
    <s v="514"/>
    <s v="11000-514"/>
    <s v="Grand piano production item #514"/>
    <s v="UNIQUE"/>
    <n v="8212"/>
    <n v="8"/>
    <n v="13"/>
    <n v="65696"/>
    <n v="104"/>
  </r>
  <r>
    <x v="0"/>
    <x v="0"/>
    <x v="0"/>
    <n v="1"/>
    <n v="10"/>
    <s v="00"/>
    <s v="515"/>
    <s v="11000-515"/>
    <s v="Grand piano production item #515"/>
    <s v="UNIQUE"/>
    <n v="8571"/>
    <n v="10"/>
    <n v="400"/>
    <n v="85710"/>
    <n v="4000"/>
  </r>
  <r>
    <x v="0"/>
    <x v="0"/>
    <x v="0"/>
    <n v="1"/>
    <n v="10"/>
    <s v="00"/>
    <s v="516"/>
    <s v="11000-516"/>
    <s v="Grand piano production item #516"/>
    <s v="UNIQUE"/>
    <n v="3489"/>
    <n v="100"/>
    <n v="26"/>
    <n v="348900"/>
    <n v="2600"/>
  </r>
  <r>
    <x v="0"/>
    <x v="0"/>
    <x v="0"/>
    <n v="1"/>
    <n v="10"/>
    <s v="00"/>
    <s v="517"/>
    <s v="11000-517"/>
    <s v="Grand piano production item #517"/>
    <s v="UNIQUE"/>
    <n v="0"/>
    <n v="9"/>
    <n v="676"/>
    <n v="0"/>
    <n v="6084"/>
  </r>
  <r>
    <x v="0"/>
    <x v="0"/>
    <x v="0"/>
    <n v="1"/>
    <n v="10"/>
    <s v="00"/>
    <s v="518"/>
    <s v="11000-518"/>
    <s v="Grand piano production item #518"/>
    <s v="UNIQUE"/>
    <n v="0"/>
    <n v="16"/>
    <n v="17576"/>
    <n v="0"/>
    <n v="281216"/>
  </r>
  <r>
    <x v="0"/>
    <x v="0"/>
    <x v="0"/>
    <n v="1"/>
    <n v="10"/>
    <s v="00"/>
    <s v="519"/>
    <s v="11000-519"/>
    <s v="Grand piano production item #519"/>
    <s v="UNIQUE"/>
    <n v="3228"/>
    <n v="343"/>
    <n v="21"/>
    <n v="1107204"/>
    <n v="7203"/>
  </r>
  <r>
    <x v="0"/>
    <x v="0"/>
    <x v="0"/>
    <n v="1"/>
    <n v="10"/>
    <s v="00"/>
    <s v="520"/>
    <s v="11000-520"/>
    <s v="Grand piano production item #520"/>
    <s v="UNIQUE"/>
    <n v="0"/>
    <n v="1"/>
    <n v="25"/>
    <n v="0"/>
    <n v="25"/>
  </r>
  <r>
    <x v="0"/>
    <x v="0"/>
    <x v="0"/>
    <n v="1"/>
    <n v="10"/>
    <s v="00"/>
    <s v="521"/>
    <s v="11000-521"/>
    <s v="Grand piano production item #521"/>
    <s v="UNIQUE"/>
    <n v="79"/>
    <n v="4"/>
    <n v="18"/>
    <n v="316"/>
    <n v="72"/>
  </r>
  <r>
    <x v="0"/>
    <x v="0"/>
    <x v="0"/>
    <n v="1"/>
    <n v="10"/>
    <s v="00"/>
    <s v="522"/>
    <s v="11000-522"/>
    <s v="Grand piano production item #522"/>
    <s v="UNIQUE"/>
    <n v="0"/>
    <n v="5"/>
    <n v="9261"/>
    <n v="0"/>
    <n v="46305"/>
  </r>
  <r>
    <x v="0"/>
    <x v="0"/>
    <x v="0"/>
    <n v="1"/>
    <n v="10"/>
    <s v="00"/>
    <s v="523"/>
    <s v="11000-523"/>
    <s v="Grand piano production item #523"/>
    <s v="UNIQUE"/>
    <n v="57"/>
    <n v="64"/>
    <n v="20"/>
    <n v="3648"/>
    <n v="1280"/>
  </r>
  <r>
    <x v="0"/>
    <x v="0"/>
    <x v="0"/>
    <n v="1"/>
    <n v="10"/>
    <s v="00"/>
    <s v="524"/>
    <s v="11000-524"/>
    <s v="Grand piano production item #524"/>
    <s v="UNIQUE"/>
    <n v="0"/>
    <n v="100"/>
    <n v="512"/>
    <n v="0"/>
    <n v="51200"/>
  </r>
  <r>
    <x v="0"/>
    <x v="0"/>
    <x v="0"/>
    <n v="1"/>
    <n v="10"/>
    <s v="00"/>
    <s v="525"/>
    <s v="11000-525"/>
    <s v="Grand piano production item #525"/>
    <s v="UNIQUE"/>
    <n v="0"/>
    <n v="27"/>
    <n v="900"/>
    <n v="0"/>
    <n v="24300"/>
  </r>
  <r>
    <x v="0"/>
    <x v="0"/>
    <x v="0"/>
    <n v="1"/>
    <n v="10"/>
    <s v="00"/>
    <s v="526"/>
    <s v="11000-526"/>
    <s v="Grand piano production item #526"/>
    <s v="UNIQUE"/>
    <n v="0"/>
    <n v="1"/>
    <n v="2"/>
    <n v="0"/>
    <n v="2"/>
  </r>
  <r>
    <x v="0"/>
    <x v="0"/>
    <x v="0"/>
    <n v="1"/>
    <n v="10"/>
    <s v="00"/>
    <s v="527"/>
    <s v="11000-527"/>
    <s v="Grand piano production item #527"/>
    <s v="UNIQUE"/>
    <n v="7295"/>
    <n v="1"/>
    <n v="8"/>
    <n v="7295"/>
    <n v="8"/>
  </r>
  <r>
    <x v="0"/>
    <x v="0"/>
    <x v="0"/>
    <n v="1"/>
    <n v="10"/>
    <s v="00"/>
    <s v="528"/>
    <s v="11000-528"/>
    <s v="Grand piano production item #528"/>
    <s v="UNIQUE"/>
    <n v="4480"/>
    <n v="1"/>
    <n v="4"/>
    <n v="4480"/>
    <n v="4"/>
  </r>
  <r>
    <x v="0"/>
    <x v="0"/>
    <x v="0"/>
    <n v="1"/>
    <n v="10"/>
    <s v="00"/>
    <s v="529"/>
    <s v="11000-529"/>
    <s v="Grand piano production item #529"/>
    <s v="UNIQUE"/>
    <n v="0"/>
    <n v="5"/>
    <n v="5832"/>
    <n v="0"/>
    <n v="29160"/>
  </r>
  <r>
    <x v="0"/>
    <x v="0"/>
    <x v="0"/>
    <n v="1"/>
    <n v="10"/>
    <s v="00"/>
    <s v="530"/>
    <s v="11000-530"/>
    <s v="Grand piano production item #530"/>
    <s v="UNIQUE"/>
    <n v="401"/>
    <n v="125"/>
    <n v="729"/>
    <n v="50125"/>
    <n v="91125"/>
  </r>
  <r>
    <x v="0"/>
    <x v="0"/>
    <x v="0"/>
    <n v="1"/>
    <n v="10"/>
    <s v="00"/>
    <s v="531"/>
    <s v="11000-531"/>
    <s v="Grand piano production item #531"/>
    <s v="UNIQUE"/>
    <n v="1"/>
    <n v="729"/>
    <n v="4096"/>
    <n v="729"/>
    <n v="2985984"/>
  </r>
  <r>
    <x v="0"/>
    <x v="0"/>
    <x v="0"/>
    <n v="1"/>
    <n v="10"/>
    <s v="00"/>
    <s v="532"/>
    <s v="11000-532"/>
    <s v="Grand piano production item #532"/>
    <s v="UNIQUE"/>
    <n v="0"/>
    <n v="343"/>
    <n v="484"/>
    <n v="0"/>
    <n v="166012"/>
  </r>
  <r>
    <x v="0"/>
    <x v="0"/>
    <x v="0"/>
    <n v="1"/>
    <n v="10"/>
    <s v="00"/>
    <s v="533"/>
    <s v="11000-533"/>
    <s v="Grand piano production item #533"/>
    <s v="UNIQUE"/>
    <n v="0"/>
    <n v="100"/>
    <n v="9"/>
    <n v="0"/>
    <n v="900"/>
  </r>
  <r>
    <x v="0"/>
    <x v="0"/>
    <x v="0"/>
    <n v="1"/>
    <n v="10"/>
    <s v="00"/>
    <s v="534"/>
    <s v="11000-534"/>
    <s v="Grand piano production item #534"/>
    <s v="UNIQUE"/>
    <n v="0"/>
    <n v="64"/>
    <n v="20"/>
    <n v="0"/>
    <n v="1280"/>
  </r>
  <r>
    <x v="0"/>
    <x v="0"/>
    <x v="0"/>
    <n v="1"/>
    <n v="10"/>
    <s v="00"/>
    <s v="535"/>
    <s v="11000-535"/>
    <s v="Grand piano production item #535"/>
    <s v="UNIQUE"/>
    <n v="3"/>
    <n v="100"/>
    <n v="484"/>
    <n v="300"/>
    <n v="48400"/>
  </r>
  <r>
    <x v="0"/>
    <x v="0"/>
    <x v="0"/>
    <n v="1"/>
    <n v="10"/>
    <s v="00"/>
    <s v="536"/>
    <s v="11000-536"/>
    <s v="Grand piano production item #536"/>
    <s v="UNIQUE"/>
    <n v="0"/>
    <n v="27"/>
    <n v="5"/>
    <n v="0"/>
    <n v="135"/>
  </r>
  <r>
    <x v="0"/>
    <x v="0"/>
    <x v="0"/>
    <n v="1"/>
    <n v="10"/>
    <s v="00"/>
    <s v="537"/>
    <s v="11000-537"/>
    <s v="Grand piano production item #537"/>
    <s v="UNIQUE"/>
    <n v="8"/>
    <n v="512"/>
    <n v="400"/>
    <n v="4096"/>
    <n v="204800"/>
  </r>
  <r>
    <x v="0"/>
    <x v="0"/>
    <x v="0"/>
    <n v="1"/>
    <n v="10"/>
    <s v="00"/>
    <s v="538"/>
    <s v="11000-538"/>
    <s v="Grand piano production item #538"/>
    <s v="UNIQUE"/>
    <n v="0"/>
    <n v="16"/>
    <n v="484"/>
    <n v="0"/>
    <n v="7744"/>
  </r>
  <r>
    <x v="0"/>
    <x v="0"/>
    <x v="0"/>
    <n v="1"/>
    <n v="10"/>
    <s v="00"/>
    <s v="539"/>
    <s v="11000-539"/>
    <s v="Grand piano production item #539"/>
    <s v="UNIQUE"/>
    <n v="0"/>
    <n v="7"/>
    <n v="19683"/>
    <n v="0"/>
    <n v="137781"/>
  </r>
  <r>
    <x v="0"/>
    <x v="0"/>
    <x v="0"/>
    <n v="1"/>
    <n v="10"/>
    <s v="00"/>
    <s v="540"/>
    <s v="11000-540"/>
    <s v="Grand piano production item #540"/>
    <s v="UNIQUE"/>
    <n v="0"/>
    <n v="81"/>
    <n v="784"/>
    <n v="0"/>
    <n v="63504"/>
  </r>
  <r>
    <x v="0"/>
    <x v="0"/>
    <x v="0"/>
    <n v="1"/>
    <n v="10"/>
    <s v="00"/>
    <s v="541"/>
    <s v="11000-541"/>
    <s v="Grand piano production item #541"/>
    <s v="UNIQUE"/>
    <n v="6"/>
    <n v="343"/>
    <n v="29"/>
    <n v="2058"/>
    <n v="9947"/>
  </r>
  <r>
    <x v="0"/>
    <x v="0"/>
    <x v="0"/>
    <n v="1"/>
    <n v="10"/>
    <s v="00"/>
    <s v="542"/>
    <s v="11000-542"/>
    <s v="Grand piano production item #542"/>
    <s v="UNIQUE"/>
    <n v="7359"/>
    <n v="1"/>
    <n v="27"/>
    <n v="7359"/>
    <n v="27"/>
  </r>
  <r>
    <x v="0"/>
    <x v="0"/>
    <x v="0"/>
    <n v="1"/>
    <n v="10"/>
    <s v="00"/>
    <s v="543"/>
    <s v="11000-543"/>
    <s v="Grand piano production item #543"/>
    <s v="UNIQUE"/>
    <n v="687"/>
    <n v="216"/>
    <n v="24"/>
    <n v="148392"/>
    <n v="5184"/>
  </r>
  <r>
    <x v="0"/>
    <x v="0"/>
    <x v="0"/>
    <n v="1"/>
    <n v="10"/>
    <s v="00"/>
    <s v="544"/>
    <s v="11000-544"/>
    <s v="Grand piano production item #544"/>
    <s v="UNIQUE"/>
    <n v="1"/>
    <n v="81"/>
    <n v="5"/>
    <n v="81"/>
    <n v="405"/>
  </r>
  <r>
    <x v="0"/>
    <x v="0"/>
    <x v="0"/>
    <n v="1"/>
    <n v="10"/>
    <s v="00"/>
    <s v="545"/>
    <s v="11000-545"/>
    <s v="Grand piano production item #545"/>
    <s v="UNIQUE"/>
    <n v="7250"/>
    <n v="729"/>
    <n v="169"/>
    <n v="5285250"/>
    <n v="123201"/>
  </r>
  <r>
    <x v="0"/>
    <x v="0"/>
    <x v="0"/>
    <n v="1"/>
    <n v="10"/>
    <s v="00"/>
    <s v="546"/>
    <s v="11000-546"/>
    <s v="Grand piano production item #546"/>
    <s v="UNIQUE"/>
    <n v="0"/>
    <n v="27"/>
    <n v="216"/>
    <n v="0"/>
    <n v="5832"/>
  </r>
  <r>
    <x v="0"/>
    <x v="0"/>
    <x v="0"/>
    <n v="1"/>
    <n v="10"/>
    <s v="00"/>
    <s v="547"/>
    <s v="11000-547"/>
    <s v="Grand piano production item #547"/>
    <s v="UNIQUE"/>
    <n v="69"/>
    <n v="10"/>
    <n v="0"/>
    <n v="690"/>
    <n v="0"/>
  </r>
  <r>
    <x v="0"/>
    <x v="0"/>
    <x v="0"/>
    <n v="1"/>
    <n v="10"/>
    <s v="00"/>
    <s v="548"/>
    <s v="11000-548"/>
    <s v="Grand piano production item #548"/>
    <s v="UNIQUE"/>
    <n v="6038"/>
    <n v="1"/>
    <n v="169"/>
    <n v="6038"/>
    <n v="169"/>
  </r>
  <r>
    <x v="0"/>
    <x v="0"/>
    <x v="0"/>
    <n v="1"/>
    <n v="10"/>
    <s v="00"/>
    <s v="549"/>
    <s v="11000-549"/>
    <s v="Grand piano production item #549"/>
    <s v="UNIQUE"/>
    <n v="738"/>
    <n v="512"/>
    <n v="256"/>
    <n v="377856"/>
    <n v="131072"/>
  </r>
  <r>
    <x v="0"/>
    <x v="1"/>
    <x v="0"/>
    <n v="1"/>
    <n v="11"/>
    <s v="00"/>
    <s v="000"/>
    <s v="11100-000"/>
    <s v="Upright piano production item #000"/>
    <s v="UNIQUE"/>
    <n v="0"/>
    <n v="1000"/>
    <n v="484"/>
    <n v="0"/>
    <n v="484000"/>
  </r>
  <r>
    <x v="0"/>
    <x v="1"/>
    <x v="0"/>
    <n v="1"/>
    <n v="11"/>
    <s v="00"/>
    <s v="001"/>
    <s v="11100-001"/>
    <s v="Upright piano production item #001"/>
    <s v="UNIQUE"/>
    <n v="727"/>
    <n v="81"/>
    <n v="25"/>
    <n v="58887"/>
    <n v="2025"/>
  </r>
  <r>
    <x v="0"/>
    <x v="1"/>
    <x v="0"/>
    <n v="1"/>
    <n v="11"/>
    <s v="00"/>
    <s v="002"/>
    <s v="11100-002"/>
    <s v="Upright piano production item #002"/>
    <s v="UNIQUE"/>
    <n v="0"/>
    <n v="8"/>
    <n v="1"/>
    <n v="0"/>
    <n v="8"/>
  </r>
  <r>
    <x v="0"/>
    <x v="1"/>
    <x v="0"/>
    <n v="1"/>
    <n v="11"/>
    <s v="00"/>
    <s v="003"/>
    <s v="11100-003"/>
    <s v="Upright piano production item #003"/>
    <s v="UNIQUE"/>
    <n v="7"/>
    <n v="81"/>
    <n v="16"/>
    <n v="567"/>
    <n v="1296"/>
  </r>
  <r>
    <x v="0"/>
    <x v="1"/>
    <x v="0"/>
    <n v="1"/>
    <n v="11"/>
    <s v="00"/>
    <s v="004"/>
    <s v="11100-004"/>
    <s v="Upright piano production item #004"/>
    <s v="UNIQUE"/>
    <n v="0"/>
    <n v="9"/>
    <n v="2744"/>
    <n v="0"/>
    <n v="24696"/>
  </r>
  <r>
    <x v="0"/>
    <x v="1"/>
    <x v="0"/>
    <n v="1"/>
    <n v="11"/>
    <s v="00"/>
    <s v="005"/>
    <s v="11100-005"/>
    <s v="Upright piano production item #005"/>
    <s v="UNIQUE"/>
    <n v="0"/>
    <n v="64"/>
    <n v="16"/>
    <n v="0"/>
    <n v="1024"/>
  </r>
  <r>
    <x v="0"/>
    <x v="1"/>
    <x v="0"/>
    <n v="1"/>
    <n v="11"/>
    <s v="00"/>
    <s v="006"/>
    <s v="11100-006"/>
    <s v="Upright piano production item #006"/>
    <s v="UNIQUE"/>
    <n v="0"/>
    <n v="8"/>
    <n v="17"/>
    <n v="0"/>
    <n v="136"/>
  </r>
  <r>
    <x v="0"/>
    <x v="1"/>
    <x v="0"/>
    <n v="1"/>
    <n v="11"/>
    <s v="00"/>
    <s v="007"/>
    <s v="11100-007"/>
    <s v="Upright piano production item #007"/>
    <s v="UNIQUE"/>
    <n v="0"/>
    <n v="7"/>
    <n v="16"/>
    <n v="0"/>
    <n v="112"/>
  </r>
  <r>
    <x v="0"/>
    <x v="1"/>
    <x v="0"/>
    <n v="1"/>
    <n v="11"/>
    <s v="00"/>
    <s v="008"/>
    <s v="11100-008"/>
    <s v="Upright piano production item #008"/>
    <s v="UNIQUE"/>
    <n v="577"/>
    <n v="125"/>
    <n v="729"/>
    <n v="72125"/>
    <n v="91125"/>
  </r>
  <r>
    <x v="0"/>
    <x v="1"/>
    <x v="0"/>
    <n v="1"/>
    <n v="11"/>
    <s v="00"/>
    <s v="009"/>
    <s v="11100-009"/>
    <s v="Upright piano production item #009"/>
    <s v="UNIQUE"/>
    <n v="0"/>
    <n v="729"/>
    <n v="6859"/>
    <n v="0"/>
    <n v="5000211"/>
  </r>
  <r>
    <x v="0"/>
    <x v="1"/>
    <x v="0"/>
    <n v="1"/>
    <n v="11"/>
    <s v="00"/>
    <s v="010"/>
    <s v="11100-010"/>
    <s v="Upright piano production item #010"/>
    <s v="UNIQUE"/>
    <n v="0"/>
    <n v="1"/>
    <n v="17"/>
    <n v="0"/>
    <n v="17"/>
  </r>
  <r>
    <x v="0"/>
    <x v="1"/>
    <x v="0"/>
    <n v="1"/>
    <n v="11"/>
    <s v="00"/>
    <s v="011"/>
    <s v="11100-011"/>
    <s v="Upright piano production item #011"/>
    <s v="UNIQUE"/>
    <n v="957"/>
    <n v="7"/>
    <n v="19683"/>
    <n v="6699"/>
    <n v="137781"/>
  </r>
  <r>
    <x v="0"/>
    <x v="1"/>
    <x v="0"/>
    <n v="1"/>
    <n v="11"/>
    <s v="00"/>
    <s v="012"/>
    <s v="11100-012"/>
    <s v="Upright piano production item #012"/>
    <s v="UNIQUE"/>
    <n v="1"/>
    <n v="6"/>
    <n v="3375"/>
    <n v="6"/>
    <n v="20250"/>
  </r>
  <r>
    <x v="0"/>
    <x v="1"/>
    <x v="0"/>
    <n v="1"/>
    <n v="11"/>
    <s v="00"/>
    <s v="013"/>
    <s v="11100-013"/>
    <s v="Upright piano production item #013"/>
    <s v="UNIQUE"/>
    <n v="0"/>
    <n v="81"/>
    <n v="21952"/>
    <n v="0"/>
    <n v="1778112"/>
  </r>
  <r>
    <x v="0"/>
    <x v="1"/>
    <x v="0"/>
    <n v="1"/>
    <n v="11"/>
    <s v="00"/>
    <s v="014"/>
    <s v="11100-014"/>
    <s v="Upright piano production item #014"/>
    <s v="UNIQUE"/>
    <n v="0"/>
    <n v="512"/>
    <n v="20"/>
    <n v="0"/>
    <n v="10240"/>
  </r>
  <r>
    <x v="0"/>
    <x v="1"/>
    <x v="0"/>
    <n v="1"/>
    <n v="11"/>
    <s v="00"/>
    <s v="015"/>
    <s v="11100-015"/>
    <s v="Upright piano production item #015"/>
    <s v="UNIQUE"/>
    <n v="0"/>
    <n v="64"/>
    <n v="11"/>
    <n v="0"/>
    <n v="704"/>
  </r>
  <r>
    <x v="0"/>
    <x v="1"/>
    <x v="0"/>
    <n v="1"/>
    <n v="11"/>
    <s v="00"/>
    <s v="016"/>
    <s v="11100-016"/>
    <s v="Upright piano production item #016"/>
    <s v="UNIQUE"/>
    <n v="0"/>
    <n v="10"/>
    <n v="18"/>
    <n v="0"/>
    <n v="180"/>
  </r>
  <r>
    <x v="0"/>
    <x v="1"/>
    <x v="0"/>
    <n v="1"/>
    <n v="11"/>
    <s v="00"/>
    <s v="017"/>
    <s v="11100-017"/>
    <s v="Upright piano production item #017"/>
    <s v="UNIQUE"/>
    <n v="0"/>
    <n v="64"/>
    <n v="289"/>
    <n v="0"/>
    <n v="18496"/>
  </r>
  <r>
    <x v="0"/>
    <x v="1"/>
    <x v="0"/>
    <n v="1"/>
    <n v="11"/>
    <s v="00"/>
    <s v="018"/>
    <s v="11100-018"/>
    <s v="Upright piano production item #018"/>
    <s v="UNIQUE"/>
    <n v="0"/>
    <n v="2"/>
    <n v="2197"/>
    <n v="0"/>
    <n v="4394"/>
  </r>
  <r>
    <x v="0"/>
    <x v="1"/>
    <x v="0"/>
    <n v="1"/>
    <n v="11"/>
    <s v="00"/>
    <s v="019"/>
    <s v="11100-019"/>
    <s v="Upright piano production item #019"/>
    <s v="UNIQUE"/>
    <n v="20"/>
    <n v="25"/>
    <n v="16"/>
    <n v="500"/>
    <n v="400"/>
  </r>
  <r>
    <x v="0"/>
    <x v="1"/>
    <x v="0"/>
    <n v="1"/>
    <n v="11"/>
    <s v="00"/>
    <s v="020"/>
    <s v="11100-020"/>
    <s v="Upright piano production item #020"/>
    <s v="UNIQUE"/>
    <n v="0"/>
    <n v="49"/>
    <n v="4"/>
    <n v="0"/>
    <n v="196"/>
  </r>
  <r>
    <x v="0"/>
    <x v="1"/>
    <x v="0"/>
    <n v="1"/>
    <n v="11"/>
    <s v="00"/>
    <s v="021"/>
    <s v="11100-021"/>
    <s v="Upright piano production item #021"/>
    <s v="UNIQUE"/>
    <n v="0"/>
    <n v="9"/>
    <n v="17576"/>
    <n v="0"/>
    <n v="158184"/>
  </r>
  <r>
    <x v="0"/>
    <x v="1"/>
    <x v="0"/>
    <n v="1"/>
    <n v="11"/>
    <s v="00"/>
    <s v="022"/>
    <s v="11100-022"/>
    <s v="Upright piano production item #022"/>
    <s v="UNIQUE"/>
    <n v="0"/>
    <n v="216"/>
    <n v="121"/>
    <n v="0"/>
    <n v="26136"/>
  </r>
  <r>
    <x v="0"/>
    <x v="1"/>
    <x v="0"/>
    <n v="1"/>
    <n v="11"/>
    <s v="00"/>
    <s v="023"/>
    <s v="11100-023"/>
    <s v="Upright piano production item #023"/>
    <s v="UNIQUE"/>
    <n v="709"/>
    <n v="49"/>
    <n v="144"/>
    <n v="34741"/>
    <n v="7056"/>
  </r>
  <r>
    <x v="0"/>
    <x v="1"/>
    <x v="0"/>
    <n v="1"/>
    <n v="11"/>
    <s v="00"/>
    <s v="024"/>
    <s v="11100-024"/>
    <s v="Upright piano production item #024"/>
    <s v="UNIQUE"/>
    <n v="0"/>
    <n v="27"/>
    <n v="2"/>
    <n v="0"/>
    <n v="54"/>
  </r>
  <r>
    <x v="0"/>
    <x v="1"/>
    <x v="0"/>
    <n v="1"/>
    <n v="11"/>
    <s v="00"/>
    <s v="025"/>
    <s v="11100-025"/>
    <s v="Upright piano production item #025"/>
    <s v="UNIQUE"/>
    <n v="0"/>
    <n v="27"/>
    <n v="36"/>
    <n v="0"/>
    <n v="972"/>
  </r>
  <r>
    <x v="0"/>
    <x v="1"/>
    <x v="0"/>
    <n v="1"/>
    <n v="11"/>
    <s v="00"/>
    <s v="026"/>
    <s v="11100-026"/>
    <s v="Upright piano production item #026"/>
    <s v="UNIQUE"/>
    <n v="0"/>
    <n v="343"/>
    <n v="1000"/>
    <n v="0"/>
    <n v="343000"/>
  </r>
  <r>
    <x v="0"/>
    <x v="1"/>
    <x v="0"/>
    <n v="1"/>
    <n v="11"/>
    <s v="00"/>
    <s v="027"/>
    <s v="11100-027"/>
    <s v="Upright piano production item #027"/>
    <s v="UNIQUE"/>
    <n v="2424"/>
    <n v="729"/>
    <n v="216"/>
    <n v="1767096"/>
    <n v="157464"/>
  </r>
  <r>
    <x v="0"/>
    <x v="1"/>
    <x v="0"/>
    <n v="1"/>
    <n v="11"/>
    <s v="00"/>
    <s v="028"/>
    <s v="11100-028"/>
    <s v="Upright piano production item #028"/>
    <s v="UNIQUE"/>
    <n v="0"/>
    <n v="64"/>
    <n v="729"/>
    <n v="0"/>
    <n v="46656"/>
  </r>
  <r>
    <x v="0"/>
    <x v="1"/>
    <x v="0"/>
    <n v="1"/>
    <n v="11"/>
    <s v="00"/>
    <s v="029"/>
    <s v="11100-029"/>
    <s v="Upright piano production item #029"/>
    <s v="UNIQUE"/>
    <n v="2"/>
    <n v="9"/>
    <n v="9261"/>
    <n v="18"/>
    <n v="83349"/>
  </r>
  <r>
    <x v="0"/>
    <x v="1"/>
    <x v="0"/>
    <n v="1"/>
    <n v="11"/>
    <s v="00"/>
    <s v="030"/>
    <s v="11100-030"/>
    <s v="Upright piano production item #030"/>
    <s v="UNIQUE"/>
    <n v="0"/>
    <n v="729"/>
    <n v="11"/>
    <n v="0"/>
    <n v="8019"/>
  </r>
  <r>
    <x v="0"/>
    <x v="1"/>
    <x v="0"/>
    <n v="1"/>
    <n v="11"/>
    <s v="00"/>
    <s v="031"/>
    <s v="11100-031"/>
    <s v="Upright piano production item #031"/>
    <s v="UNIQUE"/>
    <n v="7414"/>
    <n v="1"/>
    <n v="24"/>
    <n v="7414"/>
    <n v="24"/>
  </r>
  <r>
    <x v="0"/>
    <x v="1"/>
    <x v="0"/>
    <n v="1"/>
    <n v="11"/>
    <s v="00"/>
    <s v="032"/>
    <s v="11100-032"/>
    <s v="Upright piano production item #032"/>
    <s v="UNIQUE"/>
    <n v="0"/>
    <n v="8"/>
    <n v="2197"/>
    <n v="0"/>
    <n v="17576"/>
  </r>
  <r>
    <x v="0"/>
    <x v="1"/>
    <x v="0"/>
    <n v="1"/>
    <n v="11"/>
    <s v="00"/>
    <s v="033"/>
    <s v="11100-033"/>
    <s v="Upright piano production item #033"/>
    <s v="UNIQUE"/>
    <n v="7866"/>
    <n v="6"/>
    <n v="2"/>
    <n v="47196"/>
    <n v="12"/>
  </r>
  <r>
    <x v="0"/>
    <x v="1"/>
    <x v="0"/>
    <n v="1"/>
    <n v="11"/>
    <s v="00"/>
    <s v="034"/>
    <s v="11100-034"/>
    <s v="Upright piano production item #034"/>
    <s v="UNIQUE"/>
    <n v="85"/>
    <n v="512"/>
    <n v="16"/>
    <n v="43520"/>
    <n v="8192"/>
  </r>
  <r>
    <x v="0"/>
    <x v="1"/>
    <x v="0"/>
    <n v="1"/>
    <n v="11"/>
    <s v="00"/>
    <s v="035"/>
    <s v="11100-035"/>
    <s v="Upright piano production item #035"/>
    <s v="UNIQUE"/>
    <n v="62"/>
    <n v="10"/>
    <n v="19"/>
    <n v="620"/>
    <n v="190"/>
  </r>
  <r>
    <x v="0"/>
    <x v="1"/>
    <x v="0"/>
    <n v="1"/>
    <n v="11"/>
    <s v="00"/>
    <s v="036"/>
    <s v="11100-036"/>
    <s v="Upright piano production item #036"/>
    <s v="UNIQUE"/>
    <n v="1"/>
    <n v="10"/>
    <n v="14"/>
    <n v="10"/>
    <n v="140"/>
  </r>
  <r>
    <x v="0"/>
    <x v="1"/>
    <x v="0"/>
    <n v="1"/>
    <n v="11"/>
    <s v="00"/>
    <s v="037"/>
    <s v="11100-037"/>
    <s v="Upright piano production item #037"/>
    <s v="UNIQUE"/>
    <n v="8"/>
    <n v="216"/>
    <n v="900"/>
    <n v="1728"/>
    <n v="194400"/>
  </r>
  <r>
    <x v="0"/>
    <x v="1"/>
    <x v="0"/>
    <n v="1"/>
    <n v="11"/>
    <s v="00"/>
    <s v="038"/>
    <s v="11100-038"/>
    <s v="Upright piano production item #038"/>
    <s v="UNIQUE"/>
    <n v="0"/>
    <n v="9"/>
    <n v="1728"/>
    <n v="0"/>
    <n v="15552"/>
  </r>
  <r>
    <x v="0"/>
    <x v="1"/>
    <x v="0"/>
    <n v="1"/>
    <n v="11"/>
    <s v="00"/>
    <s v="039"/>
    <s v="11100-039"/>
    <s v="Upright piano production item #039"/>
    <s v="UNIQUE"/>
    <n v="0"/>
    <n v="343"/>
    <n v="11"/>
    <n v="0"/>
    <n v="3773"/>
  </r>
  <r>
    <x v="0"/>
    <x v="1"/>
    <x v="0"/>
    <n v="1"/>
    <n v="11"/>
    <s v="00"/>
    <s v="040"/>
    <s v="11100-040"/>
    <s v="Upright piano production item #040"/>
    <s v="UNIQUE"/>
    <n v="62"/>
    <n v="8"/>
    <n v="900"/>
    <n v="496"/>
    <n v="7200"/>
  </r>
  <r>
    <x v="0"/>
    <x v="1"/>
    <x v="0"/>
    <n v="1"/>
    <n v="11"/>
    <s v="00"/>
    <s v="041"/>
    <s v="11100-041"/>
    <s v="Upright piano production item #041"/>
    <s v="UNIQUE"/>
    <n v="0"/>
    <n v="3"/>
    <n v="0"/>
    <n v="0"/>
    <n v="0"/>
  </r>
  <r>
    <x v="0"/>
    <x v="1"/>
    <x v="0"/>
    <n v="1"/>
    <n v="11"/>
    <s v="00"/>
    <s v="042"/>
    <s v="11100-042"/>
    <s v="Upright piano production item #042"/>
    <s v="UNIQUE"/>
    <n v="1"/>
    <n v="36"/>
    <n v="13824"/>
    <n v="36"/>
    <n v="497664"/>
  </r>
  <r>
    <x v="0"/>
    <x v="1"/>
    <x v="0"/>
    <n v="1"/>
    <n v="11"/>
    <s v="00"/>
    <s v="043"/>
    <s v="11100-043"/>
    <s v="Upright piano production item #043"/>
    <s v="UNIQUE"/>
    <n v="0"/>
    <n v="49"/>
    <n v="125"/>
    <n v="0"/>
    <n v="6125"/>
  </r>
  <r>
    <x v="0"/>
    <x v="1"/>
    <x v="0"/>
    <n v="1"/>
    <n v="11"/>
    <s v="00"/>
    <s v="044"/>
    <s v="11100-044"/>
    <s v="Upright piano production item #044"/>
    <s v="UNIQUE"/>
    <n v="1579"/>
    <n v="36"/>
    <n v="6859"/>
    <n v="56844"/>
    <n v="246924"/>
  </r>
  <r>
    <x v="0"/>
    <x v="1"/>
    <x v="0"/>
    <n v="1"/>
    <n v="11"/>
    <s v="00"/>
    <s v="045"/>
    <s v="11100-045"/>
    <s v="Upright piano production item #045"/>
    <s v="UNIQUE"/>
    <n v="0"/>
    <n v="1"/>
    <n v="784"/>
    <n v="0"/>
    <n v="784"/>
  </r>
  <r>
    <x v="0"/>
    <x v="1"/>
    <x v="0"/>
    <n v="1"/>
    <n v="11"/>
    <s v="00"/>
    <s v="046"/>
    <s v="11100-046"/>
    <s v="Upright piano production item #046"/>
    <s v="UNIQUE"/>
    <n v="0"/>
    <n v="1"/>
    <n v="27"/>
    <n v="0"/>
    <n v="27"/>
  </r>
  <r>
    <x v="0"/>
    <x v="1"/>
    <x v="0"/>
    <n v="1"/>
    <n v="11"/>
    <s v="00"/>
    <s v="047"/>
    <s v="11100-047"/>
    <s v="Upright piano production item #047"/>
    <s v="UNIQUE"/>
    <n v="35"/>
    <n v="8"/>
    <n v="8000"/>
    <n v="280"/>
    <n v="64000"/>
  </r>
  <r>
    <x v="0"/>
    <x v="1"/>
    <x v="0"/>
    <n v="1"/>
    <n v="11"/>
    <s v="00"/>
    <s v="048"/>
    <s v="11100-048"/>
    <s v="Upright piano production item #048"/>
    <s v="UNIQUE"/>
    <n v="0"/>
    <n v="7"/>
    <n v="13"/>
    <n v="0"/>
    <n v="91"/>
  </r>
  <r>
    <x v="0"/>
    <x v="1"/>
    <x v="0"/>
    <n v="1"/>
    <n v="11"/>
    <s v="00"/>
    <s v="049"/>
    <s v="11100-049"/>
    <s v="Upright piano production item #049"/>
    <s v="UNIQUE"/>
    <n v="1"/>
    <n v="3"/>
    <n v="2744"/>
    <n v="3"/>
    <n v="8232"/>
  </r>
  <r>
    <x v="0"/>
    <x v="1"/>
    <x v="0"/>
    <n v="1"/>
    <n v="11"/>
    <s v="00"/>
    <s v="050"/>
    <s v="11100-050"/>
    <s v="Upright piano production item #050"/>
    <s v="UNIQUE"/>
    <n v="0"/>
    <n v="5"/>
    <n v="12167"/>
    <n v="0"/>
    <n v="60835"/>
  </r>
  <r>
    <x v="0"/>
    <x v="1"/>
    <x v="0"/>
    <n v="1"/>
    <n v="11"/>
    <s v="00"/>
    <s v="051"/>
    <s v="11100-051"/>
    <s v="Upright piano production item #051"/>
    <s v="UNIQUE"/>
    <n v="0"/>
    <n v="9"/>
    <n v="841"/>
    <n v="0"/>
    <n v="7569"/>
  </r>
  <r>
    <x v="0"/>
    <x v="1"/>
    <x v="0"/>
    <n v="1"/>
    <n v="11"/>
    <s v="00"/>
    <s v="052"/>
    <s v="11100-052"/>
    <s v="Upright piano production item #052"/>
    <s v="UNIQUE"/>
    <n v="0"/>
    <n v="729"/>
    <n v="144"/>
    <n v="0"/>
    <n v="104976"/>
  </r>
  <r>
    <x v="0"/>
    <x v="1"/>
    <x v="0"/>
    <n v="1"/>
    <n v="11"/>
    <s v="00"/>
    <s v="053"/>
    <s v="11100-053"/>
    <s v="Upright piano production item #053"/>
    <s v="UNIQUE"/>
    <n v="0"/>
    <n v="64"/>
    <n v="1"/>
    <n v="0"/>
    <n v="64"/>
  </r>
  <r>
    <x v="0"/>
    <x v="1"/>
    <x v="0"/>
    <n v="1"/>
    <n v="11"/>
    <s v="00"/>
    <s v="054"/>
    <s v="11100-054"/>
    <s v="Upright piano production item #054"/>
    <s v="UNIQUE"/>
    <n v="973"/>
    <n v="64"/>
    <n v="576"/>
    <n v="62272"/>
    <n v="36864"/>
  </r>
  <r>
    <x v="0"/>
    <x v="1"/>
    <x v="0"/>
    <n v="1"/>
    <n v="11"/>
    <s v="00"/>
    <s v="055"/>
    <s v="11100-055"/>
    <s v="Upright piano production item #055"/>
    <s v="UNIQUE"/>
    <n v="0"/>
    <n v="216"/>
    <n v="441"/>
    <n v="0"/>
    <n v="95256"/>
  </r>
  <r>
    <x v="0"/>
    <x v="1"/>
    <x v="0"/>
    <n v="1"/>
    <n v="11"/>
    <s v="00"/>
    <s v="056"/>
    <s v="11100-056"/>
    <s v="Upright piano production item #056"/>
    <s v="UNIQUE"/>
    <n v="0"/>
    <n v="3"/>
    <n v="17576"/>
    <n v="0"/>
    <n v="52728"/>
  </r>
  <r>
    <x v="0"/>
    <x v="1"/>
    <x v="0"/>
    <n v="1"/>
    <n v="11"/>
    <s v="00"/>
    <s v="057"/>
    <s v="11100-057"/>
    <s v="Upright piano production item #057"/>
    <s v="UNIQUE"/>
    <n v="918"/>
    <n v="1"/>
    <n v="576"/>
    <n v="918"/>
    <n v="576"/>
  </r>
  <r>
    <x v="0"/>
    <x v="1"/>
    <x v="0"/>
    <n v="1"/>
    <n v="11"/>
    <s v="00"/>
    <s v="058"/>
    <s v="11100-058"/>
    <s v="Upright piano production item #058"/>
    <s v="UNIQUE"/>
    <n v="0"/>
    <n v="49"/>
    <n v="729"/>
    <n v="0"/>
    <n v="35721"/>
  </r>
  <r>
    <x v="0"/>
    <x v="1"/>
    <x v="0"/>
    <n v="1"/>
    <n v="11"/>
    <s v="00"/>
    <s v="059"/>
    <s v="11100-059"/>
    <s v="Upright piano production item #059"/>
    <s v="UNIQUE"/>
    <n v="0"/>
    <n v="100"/>
    <n v="5"/>
    <n v="0"/>
    <n v="500"/>
  </r>
  <r>
    <x v="0"/>
    <x v="1"/>
    <x v="0"/>
    <n v="1"/>
    <n v="11"/>
    <s v="00"/>
    <s v="060"/>
    <s v="11100-060"/>
    <s v="Upright piano production item #060"/>
    <s v="UNIQUE"/>
    <n v="2207"/>
    <n v="1"/>
    <n v="196"/>
    <n v="2207"/>
    <n v="196"/>
  </r>
  <r>
    <x v="0"/>
    <x v="1"/>
    <x v="0"/>
    <n v="1"/>
    <n v="11"/>
    <s v="00"/>
    <s v="061"/>
    <s v="11100-061"/>
    <s v="Upright piano production item #061"/>
    <s v="UNIQUE"/>
    <n v="0"/>
    <n v="64"/>
    <n v="841"/>
    <n v="0"/>
    <n v="53824"/>
  </r>
  <r>
    <x v="0"/>
    <x v="1"/>
    <x v="0"/>
    <n v="1"/>
    <n v="11"/>
    <s v="00"/>
    <s v="062"/>
    <s v="11100-062"/>
    <s v="Upright piano production item #062"/>
    <s v="UNIQUE"/>
    <n v="0"/>
    <n v="4"/>
    <n v="1"/>
    <n v="0"/>
    <n v="4"/>
  </r>
  <r>
    <x v="0"/>
    <x v="1"/>
    <x v="0"/>
    <n v="1"/>
    <n v="11"/>
    <s v="00"/>
    <s v="063"/>
    <s v="11100-063"/>
    <s v="Upright piano production item #063"/>
    <s v="UNIQUE"/>
    <n v="0"/>
    <n v="5"/>
    <n v="25"/>
    <n v="0"/>
    <n v="125"/>
  </r>
  <r>
    <x v="0"/>
    <x v="1"/>
    <x v="0"/>
    <n v="1"/>
    <n v="11"/>
    <s v="00"/>
    <s v="064"/>
    <s v="11100-064"/>
    <s v="Upright piano production item #064"/>
    <s v="UNIQUE"/>
    <n v="0"/>
    <n v="2"/>
    <n v="144"/>
    <n v="0"/>
    <n v="288"/>
  </r>
  <r>
    <x v="0"/>
    <x v="1"/>
    <x v="0"/>
    <n v="1"/>
    <n v="11"/>
    <s v="00"/>
    <s v="065"/>
    <s v="11100-065"/>
    <s v="Upright piano production item #065"/>
    <s v="UNIQUE"/>
    <n v="649"/>
    <n v="216"/>
    <n v="81"/>
    <n v="140184"/>
    <n v="17496"/>
  </r>
  <r>
    <x v="0"/>
    <x v="1"/>
    <x v="0"/>
    <n v="1"/>
    <n v="11"/>
    <s v="00"/>
    <s v="066"/>
    <s v="11100-066"/>
    <s v="Upright piano production item #066"/>
    <s v="UNIQUE"/>
    <n v="0"/>
    <n v="25"/>
    <n v="22"/>
    <n v="0"/>
    <n v="550"/>
  </r>
  <r>
    <x v="0"/>
    <x v="1"/>
    <x v="0"/>
    <n v="1"/>
    <n v="11"/>
    <s v="00"/>
    <s v="067"/>
    <s v="11100-067"/>
    <s v="Upright piano production item #067"/>
    <s v="UNIQUE"/>
    <n v="0"/>
    <n v="36"/>
    <n v="27000"/>
    <n v="0"/>
    <n v="972000"/>
  </r>
  <r>
    <x v="0"/>
    <x v="1"/>
    <x v="0"/>
    <n v="1"/>
    <n v="11"/>
    <s v="00"/>
    <s v="068"/>
    <s v="11100-068"/>
    <s v="Upright piano production item #068"/>
    <s v="UNIQUE"/>
    <n v="83"/>
    <n v="8"/>
    <n v="24389"/>
    <n v="664"/>
    <n v="195112"/>
  </r>
  <r>
    <x v="0"/>
    <x v="1"/>
    <x v="0"/>
    <n v="1"/>
    <n v="11"/>
    <s v="00"/>
    <s v="069"/>
    <s v="11100-069"/>
    <s v="Upright piano production item #069"/>
    <s v="UNIQUE"/>
    <n v="19"/>
    <n v="343"/>
    <n v="23"/>
    <n v="6517"/>
    <n v="7889"/>
  </r>
  <r>
    <x v="0"/>
    <x v="1"/>
    <x v="0"/>
    <n v="1"/>
    <n v="11"/>
    <s v="00"/>
    <s v="070"/>
    <s v="11100-070"/>
    <s v="Upright piano production item #070"/>
    <s v="UNIQUE"/>
    <n v="0"/>
    <n v="27"/>
    <n v="8"/>
    <n v="0"/>
    <n v="216"/>
  </r>
  <r>
    <x v="0"/>
    <x v="1"/>
    <x v="0"/>
    <n v="1"/>
    <n v="11"/>
    <s v="00"/>
    <s v="071"/>
    <s v="11100-071"/>
    <s v="Upright piano production item #071"/>
    <s v="UNIQUE"/>
    <n v="9"/>
    <n v="1000"/>
    <n v="0"/>
    <n v="9000"/>
    <n v="0"/>
  </r>
  <r>
    <x v="0"/>
    <x v="1"/>
    <x v="0"/>
    <n v="1"/>
    <n v="11"/>
    <s v="00"/>
    <s v="072"/>
    <s v="11100-072"/>
    <s v="Upright piano production item #072"/>
    <s v="UNIQUE"/>
    <n v="0"/>
    <n v="2"/>
    <n v="27"/>
    <n v="0"/>
    <n v="54"/>
  </r>
  <r>
    <x v="0"/>
    <x v="1"/>
    <x v="0"/>
    <n v="1"/>
    <n v="11"/>
    <s v="00"/>
    <s v="073"/>
    <s v="11100-073"/>
    <s v="Upright piano production item #073"/>
    <s v="UNIQUE"/>
    <n v="935"/>
    <n v="216"/>
    <n v="8"/>
    <n v="201960"/>
    <n v="1728"/>
  </r>
  <r>
    <x v="0"/>
    <x v="1"/>
    <x v="0"/>
    <n v="1"/>
    <n v="11"/>
    <s v="00"/>
    <s v="074"/>
    <s v="11100-074"/>
    <s v="Upright piano production item #074"/>
    <s v="UNIQUE"/>
    <n v="1"/>
    <n v="6"/>
    <n v="13"/>
    <n v="6"/>
    <n v="78"/>
  </r>
  <r>
    <x v="0"/>
    <x v="1"/>
    <x v="0"/>
    <n v="1"/>
    <n v="11"/>
    <s v="00"/>
    <s v="075"/>
    <s v="11100-075"/>
    <s v="Upright piano production item #075"/>
    <s v="UNIQUE"/>
    <n v="9"/>
    <n v="3"/>
    <n v="169"/>
    <n v="27"/>
    <n v="507"/>
  </r>
  <r>
    <x v="0"/>
    <x v="1"/>
    <x v="0"/>
    <n v="1"/>
    <n v="11"/>
    <s v="00"/>
    <s v="076"/>
    <s v="11100-076"/>
    <s v="Upright piano production item #076"/>
    <s v="UNIQUE"/>
    <n v="4000"/>
    <n v="81"/>
    <n v="20"/>
    <n v="324000"/>
    <n v="1620"/>
  </r>
  <r>
    <x v="0"/>
    <x v="1"/>
    <x v="0"/>
    <n v="1"/>
    <n v="11"/>
    <s v="00"/>
    <s v="077"/>
    <s v="11100-077"/>
    <s v="Upright piano production item #077"/>
    <s v="UNIQUE"/>
    <n v="0"/>
    <n v="8"/>
    <n v="26"/>
    <n v="0"/>
    <n v="208"/>
  </r>
  <r>
    <x v="0"/>
    <x v="1"/>
    <x v="0"/>
    <n v="1"/>
    <n v="11"/>
    <s v="00"/>
    <s v="078"/>
    <s v="11100-078"/>
    <s v="Upright piano production item #078"/>
    <s v="UNIQUE"/>
    <n v="0"/>
    <n v="8"/>
    <n v="2197"/>
    <n v="0"/>
    <n v="17576"/>
  </r>
  <r>
    <x v="0"/>
    <x v="1"/>
    <x v="0"/>
    <n v="1"/>
    <n v="11"/>
    <s v="00"/>
    <s v="079"/>
    <s v="11100-079"/>
    <s v="Upright piano production item #079"/>
    <s v="UNIQUE"/>
    <n v="0"/>
    <n v="3"/>
    <n v="27000"/>
    <n v="0"/>
    <n v="81000"/>
  </r>
  <r>
    <x v="0"/>
    <x v="1"/>
    <x v="0"/>
    <n v="1"/>
    <n v="11"/>
    <s v="00"/>
    <s v="080"/>
    <s v="11100-080"/>
    <s v="Upright piano production item #080"/>
    <s v="UNIQUE"/>
    <n v="366"/>
    <n v="64"/>
    <n v="441"/>
    <n v="23424"/>
    <n v="28224"/>
  </r>
  <r>
    <x v="0"/>
    <x v="1"/>
    <x v="0"/>
    <n v="1"/>
    <n v="11"/>
    <s v="00"/>
    <s v="081"/>
    <s v="11100-081"/>
    <s v="Upright piano production item #081"/>
    <s v="UNIQUE"/>
    <n v="0"/>
    <n v="1"/>
    <n v="324"/>
    <n v="0"/>
    <n v="324"/>
  </r>
  <r>
    <x v="0"/>
    <x v="1"/>
    <x v="0"/>
    <n v="1"/>
    <n v="11"/>
    <s v="00"/>
    <s v="082"/>
    <s v="11100-082"/>
    <s v="Upright piano production item #082"/>
    <s v="UNIQUE"/>
    <n v="5686"/>
    <n v="100"/>
    <n v="24"/>
    <n v="568600"/>
    <n v="2400"/>
  </r>
  <r>
    <x v="0"/>
    <x v="1"/>
    <x v="0"/>
    <n v="1"/>
    <n v="11"/>
    <s v="00"/>
    <s v="083"/>
    <s v="11100-083"/>
    <s v="Upright piano production item #083"/>
    <s v="UNIQUE"/>
    <n v="511"/>
    <n v="1"/>
    <n v="4"/>
    <n v="511"/>
    <n v="4"/>
  </r>
  <r>
    <x v="0"/>
    <x v="1"/>
    <x v="0"/>
    <n v="1"/>
    <n v="11"/>
    <s v="00"/>
    <s v="084"/>
    <s v="11100-084"/>
    <s v="Upright piano production item #084"/>
    <s v="UNIQUE"/>
    <n v="1"/>
    <n v="3"/>
    <n v="3375"/>
    <n v="3"/>
    <n v="10125"/>
  </r>
  <r>
    <x v="0"/>
    <x v="1"/>
    <x v="0"/>
    <n v="1"/>
    <n v="11"/>
    <s v="00"/>
    <s v="085"/>
    <s v="11100-085"/>
    <s v="Upright piano production item #085"/>
    <s v="UNIQUE"/>
    <n v="89"/>
    <n v="64"/>
    <n v="16"/>
    <n v="5696"/>
    <n v="1024"/>
  </r>
  <r>
    <x v="0"/>
    <x v="1"/>
    <x v="0"/>
    <n v="1"/>
    <n v="11"/>
    <s v="00"/>
    <s v="086"/>
    <s v="11100-086"/>
    <s v="Upright piano production item #086"/>
    <s v="UNIQUE"/>
    <n v="3563"/>
    <n v="1000"/>
    <n v="19683"/>
    <n v="3563000"/>
    <n v="19683000"/>
  </r>
  <r>
    <x v="0"/>
    <x v="1"/>
    <x v="0"/>
    <n v="1"/>
    <n v="11"/>
    <s v="00"/>
    <s v="087"/>
    <s v="11100-087"/>
    <s v="Upright piano production item #087"/>
    <s v="UNIQUE"/>
    <n v="683"/>
    <n v="729"/>
    <n v="9"/>
    <n v="497907"/>
    <n v="6561"/>
  </r>
  <r>
    <x v="0"/>
    <x v="1"/>
    <x v="0"/>
    <n v="1"/>
    <n v="11"/>
    <s v="00"/>
    <s v="088"/>
    <s v="11100-088"/>
    <s v="Upright piano production item #088"/>
    <s v="UNIQUE"/>
    <n v="0"/>
    <n v="4"/>
    <n v="1331"/>
    <n v="0"/>
    <n v="5324"/>
  </r>
  <r>
    <x v="0"/>
    <x v="1"/>
    <x v="0"/>
    <n v="1"/>
    <n v="11"/>
    <s v="00"/>
    <s v="089"/>
    <s v="11100-089"/>
    <s v="Upright piano production item #089"/>
    <s v="UNIQUE"/>
    <n v="48"/>
    <n v="2"/>
    <n v="6859"/>
    <n v="96"/>
    <n v="13718"/>
  </r>
  <r>
    <x v="0"/>
    <x v="1"/>
    <x v="0"/>
    <n v="1"/>
    <n v="11"/>
    <s v="00"/>
    <s v="090"/>
    <s v="11100-090"/>
    <s v="Upright piano production item #090"/>
    <s v="UNIQUE"/>
    <n v="0"/>
    <n v="5"/>
    <n v="2197"/>
    <n v="0"/>
    <n v="10985"/>
  </r>
  <r>
    <x v="0"/>
    <x v="1"/>
    <x v="0"/>
    <n v="1"/>
    <n v="11"/>
    <s v="00"/>
    <s v="091"/>
    <s v="11100-091"/>
    <s v="Upright piano production item #091"/>
    <s v="UNIQUE"/>
    <n v="51"/>
    <n v="216"/>
    <n v="576"/>
    <n v="11016"/>
    <n v="124416"/>
  </r>
  <r>
    <x v="0"/>
    <x v="1"/>
    <x v="0"/>
    <n v="1"/>
    <n v="11"/>
    <s v="00"/>
    <s v="092"/>
    <s v="11100-092"/>
    <s v="Upright piano production item #092"/>
    <s v="UNIQUE"/>
    <n v="0"/>
    <n v="36"/>
    <n v="24"/>
    <n v="0"/>
    <n v="864"/>
  </r>
  <r>
    <x v="0"/>
    <x v="1"/>
    <x v="0"/>
    <n v="1"/>
    <n v="11"/>
    <s v="00"/>
    <s v="093"/>
    <s v="11100-093"/>
    <s v="Upright piano production item #093"/>
    <s v="UNIQUE"/>
    <n v="0"/>
    <n v="64"/>
    <n v="512"/>
    <n v="0"/>
    <n v="32768"/>
  </r>
  <r>
    <x v="0"/>
    <x v="1"/>
    <x v="0"/>
    <n v="1"/>
    <n v="11"/>
    <s v="00"/>
    <s v="094"/>
    <s v="11100-094"/>
    <s v="Upright piano production item #094"/>
    <s v="UNIQUE"/>
    <n v="0"/>
    <n v="729"/>
    <n v="13824"/>
    <n v="0"/>
    <n v="10077696"/>
  </r>
  <r>
    <x v="0"/>
    <x v="1"/>
    <x v="0"/>
    <n v="1"/>
    <n v="11"/>
    <s v="00"/>
    <s v="095"/>
    <s v="11100-095"/>
    <s v="Upright piano production item #095"/>
    <s v="UNIQUE"/>
    <n v="0"/>
    <n v="49"/>
    <n v="23"/>
    <n v="0"/>
    <n v="1127"/>
  </r>
  <r>
    <x v="0"/>
    <x v="1"/>
    <x v="0"/>
    <n v="1"/>
    <n v="11"/>
    <s v="00"/>
    <s v="096"/>
    <s v="11100-096"/>
    <s v="Upright piano production item #096"/>
    <s v="UNIQUE"/>
    <n v="0"/>
    <n v="7"/>
    <n v="16"/>
    <n v="0"/>
    <n v="112"/>
  </r>
  <r>
    <x v="0"/>
    <x v="1"/>
    <x v="0"/>
    <n v="1"/>
    <n v="11"/>
    <s v="00"/>
    <s v="097"/>
    <s v="11100-097"/>
    <s v="Upright piano production item #097"/>
    <s v="UNIQUE"/>
    <n v="0"/>
    <n v="3"/>
    <n v="0"/>
    <n v="0"/>
    <n v="0"/>
  </r>
  <r>
    <x v="0"/>
    <x v="1"/>
    <x v="0"/>
    <n v="1"/>
    <n v="11"/>
    <s v="00"/>
    <s v="098"/>
    <s v="11100-098"/>
    <s v="Upright piano production item #098"/>
    <s v="UNIQUE"/>
    <n v="0"/>
    <n v="1"/>
    <n v="20"/>
    <n v="0"/>
    <n v="20"/>
  </r>
  <r>
    <x v="0"/>
    <x v="1"/>
    <x v="0"/>
    <n v="1"/>
    <n v="11"/>
    <s v="00"/>
    <s v="099"/>
    <s v="11100-099"/>
    <s v="Upright piano production item #099"/>
    <s v="UNIQUE"/>
    <n v="3"/>
    <n v="729"/>
    <n v="324"/>
    <n v="2187"/>
    <n v="236196"/>
  </r>
  <r>
    <x v="0"/>
    <x v="1"/>
    <x v="0"/>
    <n v="1"/>
    <n v="11"/>
    <s v="00"/>
    <s v="100"/>
    <s v="11100-100"/>
    <s v="Upright piano production item #100"/>
    <s v="UNIQUE"/>
    <n v="1"/>
    <n v="729"/>
    <n v="21952"/>
    <n v="729"/>
    <n v="16003008"/>
  </r>
  <r>
    <x v="0"/>
    <x v="1"/>
    <x v="0"/>
    <n v="1"/>
    <n v="11"/>
    <s v="00"/>
    <s v="101"/>
    <s v="11100-101"/>
    <s v="Upright piano production item #101"/>
    <s v="UNIQUE"/>
    <n v="3"/>
    <n v="27"/>
    <n v="21952"/>
    <n v="81"/>
    <n v="592704"/>
  </r>
  <r>
    <x v="0"/>
    <x v="1"/>
    <x v="0"/>
    <n v="1"/>
    <n v="11"/>
    <s v="00"/>
    <s v="102"/>
    <s v="11100-102"/>
    <s v="Upright piano production item #102"/>
    <s v="UNIQUE"/>
    <n v="0"/>
    <n v="81"/>
    <n v="400"/>
    <n v="0"/>
    <n v="32400"/>
  </r>
  <r>
    <x v="0"/>
    <x v="1"/>
    <x v="0"/>
    <n v="1"/>
    <n v="11"/>
    <s v="00"/>
    <s v="103"/>
    <s v="11100-103"/>
    <s v="Upright piano production item #103"/>
    <s v="UNIQUE"/>
    <n v="69"/>
    <n v="512"/>
    <n v="12"/>
    <n v="35328"/>
    <n v="6144"/>
  </r>
  <r>
    <x v="0"/>
    <x v="1"/>
    <x v="0"/>
    <n v="1"/>
    <n v="11"/>
    <s v="00"/>
    <s v="104"/>
    <s v="11100-104"/>
    <s v="Upright piano production item #104"/>
    <s v="UNIQUE"/>
    <n v="0"/>
    <n v="9"/>
    <n v="18"/>
    <n v="0"/>
    <n v="162"/>
  </r>
  <r>
    <x v="0"/>
    <x v="1"/>
    <x v="0"/>
    <n v="1"/>
    <n v="11"/>
    <s v="00"/>
    <s v="105"/>
    <s v="11100-105"/>
    <s v="Upright piano production item #105"/>
    <s v="UNIQUE"/>
    <n v="0"/>
    <n v="7"/>
    <n v="5832"/>
    <n v="0"/>
    <n v="40824"/>
  </r>
  <r>
    <x v="0"/>
    <x v="1"/>
    <x v="0"/>
    <n v="1"/>
    <n v="11"/>
    <s v="00"/>
    <s v="106"/>
    <s v="11100-106"/>
    <s v="Upright piano production item #106"/>
    <s v="UNIQUE"/>
    <n v="0"/>
    <n v="64"/>
    <n v="8"/>
    <n v="0"/>
    <n v="512"/>
  </r>
  <r>
    <x v="0"/>
    <x v="1"/>
    <x v="0"/>
    <n v="1"/>
    <n v="11"/>
    <s v="00"/>
    <s v="107"/>
    <s v="11100-107"/>
    <s v="Upright piano production item #107"/>
    <s v="UNIQUE"/>
    <n v="0"/>
    <n v="64"/>
    <n v="784"/>
    <n v="0"/>
    <n v="50176"/>
  </r>
  <r>
    <x v="0"/>
    <x v="1"/>
    <x v="0"/>
    <n v="1"/>
    <n v="11"/>
    <s v="00"/>
    <s v="108"/>
    <s v="11100-108"/>
    <s v="Upright piano production item #108"/>
    <s v="UNIQUE"/>
    <n v="701"/>
    <n v="729"/>
    <n v="16"/>
    <n v="511029"/>
    <n v="11664"/>
  </r>
  <r>
    <x v="0"/>
    <x v="1"/>
    <x v="0"/>
    <n v="1"/>
    <n v="11"/>
    <s v="00"/>
    <s v="109"/>
    <s v="11100-109"/>
    <s v="Upright piano production item #109"/>
    <s v="UNIQUE"/>
    <n v="0"/>
    <n v="10"/>
    <n v="6859"/>
    <n v="0"/>
    <n v="68590"/>
  </r>
  <r>
    <x v="0"/>
    <x v="1"/>
    <x v="0"/>
    <n v="1"/>
    <n v="11"/>
    <s v="00"/>
    <s v="110"/>
    <s v="11100-110"/>
    <s v="Upright piano production item #110"/>
    <s v="UNIQUE"/>
    <n v="0"/>
    <n v="729"/>
    <n v="3"/>
    <n v="0"/>
    <n v="2187"/>
  </r>
  <r>
    <x v="0"/>
    <x v="1"/>
    <x v="0"/>
    <n v="1"/>
    <n v="11"/>
    <s v="00"/>
    <s v="111"/>
    <s v="11100-111"/>
    <s v="Upright piano production item #111"/>
    <s v="UNIQUE"/>
    <n v="0"/>
    <n v="64"/>
    <n v="6859"/>
    <n v="0"/>
    <n v="438976"/>
  </r>
  <r>
    <x v="0"/>
    <x v="1"/>
    <x v="0"/>
    <n v="1"/>
    <n v="11"/>
    <s v="00"/>
    <s v="112"/>
    <s v="11100-112"/>
    <s v="Upright piano production item #112"/>
    <s v="UNIQUE"/>
    <n v="0"/>
    <n v="49"/>
    <n v="24"/>
    <n v="0"/>
    <n v="1176"/>
  </r>
  <r>
    <x v="0"/>
    <x v="1"/>
    <x v="0"/>
    <n v="1"/>
    <n v="11"/>
    <s v="00"/>
    <s v="113"/>
    <s v="11100-113"/>
    <s v="Upright piano production item #113"/>
    <s v="UNIQUE"/>
    <n v="10"/>
    <n v="216"/>
    <n v="2744"/>
    <n v="2160"/>
    <n v="592704"/>
  </r>
  <r>
    <x v="0"/>
    <x v="1"/>
    <x v="0"/>
    <n v="1"/>
    <n v="11"/>
    <s v="00"/>
    <s v="114"/>
    <s v="11100-114"/>
    <s v="Upright piano production item #114"/>
    <s v="UNIQUE"/>
    <n v="0"/>
    <n v="343"/>
    <n v="28"/>
    <n v="0"/>
    <n v="9604"/>
  </r>
  <r>
    <x v="0"/>
    <x v="1"/>
    <x v="0"/>
    <n v="1"/>
    <n v="11"/>
    <s v="00"/>
    <s v="115"/>
    <s v="11100-115"/>
    <s v="Upright piano production item #115"/>
    <s v="UNIQUE"/>
    <n v="0"/>
    <n v="4"/>
    <n v="729"/>
    <n v="0"/>
    <n v="2916"/>
  </r>
  <r>
    <x v="0"/>
    <x v="1"/>
    <x v="0"/>
    <n v="1"/>
    <n v="11"/>
    <s v="00"/>
    <s v="116"/>
    <s v="11100-116"/>
    <s v="Upright piano production item #116"/>
    <s v="UNIQUE"/>
    <n v="0"/>
    <n v="1"/>
    <n v="25"/>
    <n v="0"/>
    <n v="25"/>
  </r>
  <r>
    <x v="0"/>
    <x v="1"/>
    <x v="0"/>
    <n v="1"/>
    <n v="11"/>
    <s v="00"/>
    <s v="117"/>
    <s v="11100-117"/>
    <s v="Upright piano production item #117"/>
    <s v="UNIQUE"/>
    <n v="0"/>
    <n v="64"/>
    <n v="26"/>
    <n v="0"/>
    <n v="1664"/>
  </r>
  <r>
    <x v="0"/>
    <x v="1"/>
    <x v="0"/>
    <n v="1"/>
    <n v="11"/>
    <s v="00"/>
    <s v="118"/>
    <s v="11100-118"/>
    <s v="Upright piano production item #118"/>
    <s v="UNIQUE"/>
    <n v="0"/>
    <n v="5"/>
    <n v="64"/>
    <n v="0"/>
    <n v="320"/>
  </r>
  <r>
    <x v="0"/>
    <x v="1"/>
    <x v="0"/>
    <n v="1"/>
    <n v="11"/>
    <s v="00"/>
    <s v="119"/>
    <s v="11100-119"/>
    <s v="Upright piano production item #119"/>
    <s v="UNIQUE"/>
    <n v="0"/>
    <n v="4"/>
    <n v="361"/>
    <n v="0"/>
    <n v="1444"/>
  </r>
  <r>
    <x v="0"/>
    <x v="1"/>
    <x v="0"/>
    <n v="1"/>
    <n v="11"/>
    <s v="00"/>
    <s v="120"/>
    <s v="11100-120"/>
    <s v="Upright piano production item #120"/>
    <s v="UNIQUE"/>
    <n v="3608"/>
    <n v="49"/>
    <n v="64"/>
    <n v="176792"/>
    <n v="3136"/>
  </r>
  <r>
    <x v="0"/>
    <x v="1"/>
    <x v="0"/>
    <n v="1"/>
    <n v="11"/>
    <s v="00"/>
    <s v="121"/>
    <s v="11100-121"/>
    <s v="Upright piano production item #121"/>
    <s v="UNIQUE"/>
    <n v="496"/>
    <n v="1000"/>
    <n v="512"/>
    <n v="496000"/>
    <n v="512000"/>
  </r>
  <r>
    <x v="0"/>
    <x v="1"/>
    <x v="0"/>
    <n v="1"/>
    <n v="11"/>
    <s v="00"/>
    <s v="122"/>
    <s v="11100-122"/>
    <s v="Upright piano production item #122"/>
    <s v="UNIQUE"/>
    <n v="4670"/>
    <n v="81"/>
    <n v="6"/>
    <n v="378270"/>
    <n v="486"/>
  </r>
  <r>
    <x v="0"/>
    <x v="1"/>
    <x v="0"/>
    <n v="1"/>
    <n v="11"/>
    <s v="00"/>
    <s v="123"/>
    <s v="11100-123"/>
    <s v="Upright piano production item #123"/>
    <s v="UNIQUE"/>
    <n v="1"/>
    <n v="1000"/>
    <n v="29"/>
    <n v="1000"/>
    <n v="29000"/>
  </r>
  <r>
    <x v="0"/>
    <x v="1"/>
    <x v="0"/>
    <n v="1"/>
    <n v="11"/>
    <s v="00"/>
    <s v="124"/>
    <s v="11100-124"/>
    <s v="Upright piano production item #124"/>
    <s v="UNIQUE"/>
    <n v="0"/>
    <n v="343"/>
    <n v="512"/>
    <n v="0"/>
    <n v="175616"/>
  </r>
  <r>
    <x v="0"/>
    <x v="1"/>
    <x v="0"/>
    <n v="1"/>
    <n v="11"/>
    <s v="00"/>
    <s v="125"/>
    <s v="11100-125"/>
    <s v="Upright piano production item #125"/>
    <s v="UNIQUE"/>
    <n v="0"/>
    <n v="2"/>
    <n v="26"/>
    <n v="0"/>
    <n v="52"/>
  </r>
  <r>
    <x v="0"/>
    <x v="1"/>
    <x v="0"/>
    <n v="1"/>
    <n v="11"/>
    <s v="00"/>
    <s v="126"/>
    <s v="11100-126"/>
    <s v="Upright piano production item #126"/>
    <s v="UNIQUE"/>
    <n v="0"/>
    <n v="343"/>
    <n v="289"/>
    <n v="0"/>
    <n v="99127"/>
  </r>
  <r>
    <x v="0"/>
    <x v="1"/>
    <x v="0"/>
    <n v="1"/>
    <n v="11"/>
    <s v="00"/>
    <s v="127"/>
    <s v="11100-127"/>
    <s v="Upright piano production item #127"/>
    <s v="UNIQUE"/>
    <n v="1"/>
    <n v="2"/>
    <n v="17576"/>
    <n v="2"/>
    <n v="35152"/>
  </r>
  <r>
    <x v="0"/>
    <x v="1"/>
    <x v="0"/>
    <n v="1"/>
    <n v="11"/>
    <s v="00"/>
    <s v="128"/>
    <s v="11100-128"/>
    <s v="Upright piano production item #128"/>
    <s v="UNIQUE"/>
    <n v="4"/>
    <n v="9"/>
    <n v="27000"/>
    <n v="36"/>
    <n v="243000"/>
  </r>
  <r>
    <x v="0"/>
    <x v="1"/>
    <x v="0"/>
    <n v="1"/>
    <n v="11"/>
    <s v="00"/>
    <s v="129"/>
    <s v="11100-129"/>
    <s v="Upright piano production item #129"/>
    <s v="UNIQUE"/>
    <n v="0"/>
    <n v="1"/>
    <n v="1331"/>
    <n v="0"/>
    <n v="1331"/>
  </r>
  <r>
    <x v="0"/>
    <x v="1"/>
    <x v="0"/>
    <n v="1"/>
    <n v="11"/>
    <s v="00"/>
    <s v="130"/>
    <s v="11100-130"/>
    <s v="Upright piano production item #130"/>
    <s v="UNIQUE"/>
    <n v="0"/>
    <n v="81"/>
    <n v="12"/>
    <n v="0"/>
    <n v="972"/>
  </r>
  <r>
    <x v="0"/>
    <x v="1"/>
    <x v="0"/>
    <n v="1"/>
    <n v="11"/>
    <s v="00"/>
    <s v="131"/>
    <s v="11100-131"/>
    <s v="Upright piano production item #131"/>
    <s v="UNIQUE"/>
    <n v="797"/>
    <n v="1000"/>
    <n v="841"/>
    <n v="797000"/>
    <n v="841000"/>
  </r>
  <r>
    <x v="0"/>
    <x v="1"/>
    <x v="0"/>
    <n v="1"/>
    <n v="11"/>
    <s v="00"/>
    <s v="132"/>
    <s v="11100-132"/>
    <s v="Upright piano production item #132"/>
    <s v="UNIQUE"/>
    <n v="39"/>
    <n v="10"/>
    <n v="0"/>
    <n v="390"/>
    <n v="0"/>
  </r>
  <r>
    <x v="0"/>
    <x v="1"/>
    <x v="0"/>
    <n v="1"/>
    <n v="11"/>
    <s v="00"/>
    <s v="133"/>
    <s v="11100-133"/>
    <s v="Upright piano production item #133"/>
    <s v="UNIQUE"/>
    <n v="0"/>
    <n v="64"/>
    <n v="0"/>
    <n v="0"/>
    <n v="0"/>
  </r>
  <r>
    <x v="0"/>
    <x v="1"/>
    <x v="0"/>
    <n v="1"/>
    <n v="11"/>
    <s v="00"/>
    <s v="134"/>
    <s v="11100-134"/>
    <s v="Upright piano production item #134"/>
    <s v="UNIQUE"/>
    <n v="417"/>
    <n v="100"/>
    <n v="9"/>
    <n v="41700"/>
    <n v="900"/>
  </r>
  <r>
    <x v="0"/>
    <x v="1"/>
    <x v="0"/>
    <n v="1"/>
    <n v="11"/>
    <s v="00"/>
    <s v="135"/>
    <s v="11100-135"/>
    <s v="Upright piano production item #135"/>
    <s v="UNIQUE"/>
    <n v="0"/>
    <n v="216"/>
    <n v="13"/>
    <n v="0"/>
    <n v="2808"/>
  </r>
  <r>
    <x v="0"/>
    <x v="1"/>
    <x v="0"/>
    <n v="1"/>
    <n v="11"/>
    <s v="00"/>
    <s v="136"/>
    <s v="11100-136"/>
    <s v="Upright piano production item #136"/>
    <s v="UNIQUE"/>
    <n v="2"/>
    <n v="27"/>
    <n v="29"/>
    <n v="54"/>
    <n v="783"/>
  </r>
  <r>
    <x v="0"/>
    <x v="1"/>
    <x v="0"/>
    <n v="1"/>
    <n v="11"/>
    <s v="00"/>
    <s v="137"/>
    <s v="11100-137"/>
    <s v="Upright piano production item #137"/>
    <s v="UNIQUE"/>
    <n v="0"/>
    <n v="3"/>
    <n v="729"/>
    <n v="0"/>
    <n v="2187"/>
  </r>
  <r>
    <x v="0"/>
    <x v="1"/>
    <x v="0"/>
    <n v="1"/>
    <n v="11"/>
    <s v="00"/>
    <s v="138"/>
    <s v="11100-138"/>
    <s v="Upright piano production item #138"/>
    <s v="UNIQUE"/>
    <n v="0"/>
    <n v="343"/>
    <n v="196"/>
    <n v="0"/>
    <n v="67228"/>
  </r>
  <r>
    <x v="0"/>
    <x v="1"/>
    <x v="0"/>
    <n v="1"/>
    <n v="11"/>
    <s v="00"/>
    <s v="139"/>
    <s v="11100-139"/>
    <s v="Upright piano production item #139"/>
    <s v="UNIQUE"/>
    <n v="18"/>
    <n v="125"/>
    <n v="0"/>
    <n v="2250"/>
    <n v="0"/>
  </r>
  <r>
    <x v="0"/>
    <x v="1"/>
    <x v="0"/>
    <n v="1"/>
    <n v="11"/>
    <s v="00"/>
    <s v="140"/>
    <s v="11100-140"/>
    <s v="Upright piano production item #140"/>
    <s v="UNIQUE"/>
    <n v="0"/>
    <n v="7"/>
    <n v="27000"/>
    <n v="0"/>
    <n v="189000"/>
  </r>
  <r>
    <x v="0"/>
    <x v="1"/>
    <x v="0"/>
    <n v="1"/>
    <n v="11"/>
    <s v="00"/>
    <s v="141"/>
    <s v="11100-141"/>
    <s v="Upright piano production item #141"/>
    <s v="UNIQUE"/>
    <n v="0"/>
    <n v="729"/>
    <n v="6859"/>
    <n v="0"/>
    <n v="5000211"/>
  </r>
  <r>
    <x v="0"/>
    <x v="1"/>
    <x v="0"/>
    <n v="1"/>
    <n v="11"/>
    <s v="00"/>
    <s v="142"/>
    <s v="11100-142"/>
    <s v="Upright piano production item #142"/>
    <s v="UNIQUE"/>
    <n v="1135"/>
    <n v="81"/>
    <n v="23"/>
    <n v="91935"/>
    <n v="1863"/>
  </r>
  <r>
    <x v="0"/>
    <x v="1"/>
    <x v="0"/>
    <n v="1"/>
    <n v="11"/>
    <s v="00"/>
    <s v="143"/>
    <s v="11100-143"/>
    <s v="Upright piano production item #143"/>
    <s v="UNIQUE"/>
    <n v="5011"/>
    <n v="8"/>
    <n v="2744"/>
    <n v="40088"/>
    <n v="21952"/>
  </r>
  <r>
    <x v="0"/>
    <x v="1"/>
    <x v="0"/>
    <n v="1"/>
    <n v="11"/>
    <s v="00"/>
    <s v="144"/>
    <s v="11100-144"/>
    <s v="Upright piano production item #144"/>
    <s v="UNIQUE"/>
    <n v="6"/>
    <n v="8"/>
    <n v="27"/>
    <n v="48"/>
    <n v="216"/>
  </r>
  <r>
    <x v="0"/>
    <x v="1"/>
    <x v="0"/>
    <n v="1"/>
    <n v="11"/>
    <s v="00"/>
    <s v="145"/>
    <s v="11100-145"/>
    <s v="Upright piano production item #145"/>
    <s v="UNIQUE"/>
    <n v="0"/>
    <n v="1000"/>
    <n v="25"/>
    <n v="0"/>
    <n v="25000"/>
  </r>
  <r>
    <x v="0"/>
    <x v="1"/>
    <x v="0"/>
    <n v="1"/>
    <n v="11"/>
    <s v="00"/>
    <s v="146"/>
    <s v="11100-146"/>
    <s v="Upright piano production item #146"/>
    <s v="UNIQUE"/>
    <n v="5"/>
    <n v="16"/>
    <n v="512"/>
    <n v="80"/>
    <n v="8192"/>
  </r>
  <r>
    <x v="0"/>
    <x v="1"/>
    <x v="0"/>
    <n v="1"/>
    <n v="11"/>
    <s v="00"/>
    <s v="147"/>
    <s v="11100-147"/>
    <s v="Upright piano production item #147"/>
    <s v="UNIQUE"/>
    <n v="9"/>
    <n v="125"/>
    <n v="8"/>
    <n v="1125"/>
    <n v="1000"/>
  </r>
  <r>
    <x v="0"/>
    <x v="1"/>
    <x v="0"/>
    <n v="1"/>
    <n v="11"/>
    <s v="00"/>
    <s v="148"/>
    <s v="11100-148"/>
    <s v="Upright piano production item #148"/>
    <s v="UNIQUE"/>
    <n v="1"/>
    <n v="125"/>
    <n v="18"/>
    <n v="125"/>
    <n v="2250"/>
  </r>
  <r>
    <x v="0"/>
    <x v="1"/>
    <x v="0"/>
    <n v="1"/>
    <n v="11"/>
    <s v="00"/>
    <s v="149"/>
    <s v="11100-149"/>
    <s v="Upright piano production item #149"/>
    <s v="UNIQUE"/>
    <n v="0"/>
    <n v="25"/>
    <n v="13824"/>
    <n v="0"/>
    <n v="345600"/>
  </r>
  <r>
    <x v="0"/>
    <x v="1"/>
    <x v="0"/>
    <n v="1"/>
    <n v="11"/>
    <s v="00"/>
    <s v="150"/>
    <s v="11100-150"/>
    <s v="Upright piano production item #150"/>
    <s v="UNIQUE"/>
    <n v="1"/>
    <n v="10"/>
    <n v="24389"/>
    <n v="10"/>
    <n v="243890"/>
  </r>
  <r>
    <x v="0"/>
    <x v="1"/>
    <x v="0"/>
    <n v="1"/>
    <n v="11"/>
    <s v="00"/>
    <s v="151"/>
    <s v="11100-151"/>
    <s v="Upright piano production item #151"/>
    <s v="UNIQUE"/>
    <n v="0"/>
    <n v="216"/>
    <n v="196"/>
    <n v="0"/>
    <n v="42336"/>
  </r>
  <r>
    <x v="0"/>
    <x v="1"/>
    <x v="0"/>
    <n v="1"/>
    <n v="11"/>
    <s v="00"/>
    <s v="152"/>
    <s v="11100-152"/>
    <s v="Upright piano production item #152"/>
    <s v="UNIQUE"/>
    <n v="0"/>
    <n v="16"/>
    <n v="8"/>
    <n v="0"/>
    <n v="128"/>
  </r>
  <r>
    <x v="0"/>
    <x v="1"/>
    <x v="0"/>
    <n v="1"/>
    <n v="11"/>
    <s v="00"/>
    <s v="153"/>
    <s v="11100-153"/>
    <s v="Upright piano production item #153"/>
    <s v="UNIQUE"/>
    <n v="0"/>
    <n v="9"/>
    <n v="22"/>
    <n v="0"/>
    <n v="198"/>
  </r>
  <r>
    <x v="0"/>
    <x v="1"/>
    <x v="0"/>
    <n v="1"/>
    <n v="11"/>
    <s v="00"/>
    <s v="154"/>
    <s v="11100-154"/>
    <s v="Upright piano production item #154"/>
    <s v="UNIQUE"/>
    <n v="5705"/>
    <n v="8"/>
    <n v="4096"/>
    <n v="45640"/>
    <n v="32768"/>
  </r>
  <r>
    <x v="0"/>
    <x v="1"/>
    <x v="0"/>
    <n v="1"/>
    <n v="11"/>
    <s v="00"/>
    <s v="155"/>
    <s v="11100-155"/>
    <s v="Upright piano production item #155"/>
    <s v="UNIQUE"/>
    <n v="411"/>
    <n v="1"/>
    <n v="18"/>
    <n v="411"/>
    <n v="18"/>
  </r>
  <r>
    <x v="0"/>
    <x v="1"/>
    <x v="0"/>
    <n v="1"/>
    <n v="11"/>
    <s v="00"/>
    <s v="156"/>
    <s v="11100-156"/>
    <s v="Upright piano production item #156"/>
    <s v="UNIQUE"/>
    <n v="0"/>
    <n v="1"/>
    <n v="121"/>
    <n v="0"/>
    <n v="121"/>
  </r>
  <r>
    <x v="0"/>
    <x v="1"/>
    <x v="0"/>
    <n v="1"/>
    <n v="11"/>
    <s v="00"/>
    <s v="157"/>
    <s v="11100-157"/>
    <s v="Upright piano production item #157"/>
    <s v="UNIQUE"/>
    <n v="0"/>
    <n v="512"/>
    <n v="25"/>
    <n v="0"/>
    <n v="12800"/>
  </r>
  <r>
    <x v="0"/>
    <x v="1"/>
    <x v="0"/>
    <n v="1"/>
    <n v="11"/>
    <s v="00"/>
    <s v="158"/>
    <s v="11100-158"/>
    <s v="Upright piano production item #158"/>
    <s v="UNIQUE"/>
    <n v="0"/>
    <n v="3"/>
    <n v="2197"/>
    <n v="0"/>
    <n v="6591"/>
  </r>
  <r>
    <x v="0"/>
    <x v="1"/>
    <x v="0"/>
    <n v="1"/>
    <n v="11"/>
    <s v="00"/>
    <s v="159"/>
    <s v="11100-159"/>
    <s v="Upright piano production item #159"/>
    <s v="UNIQUE"/>
    <n v="0"/>
    <n v="216"/>
    <n v="9"/>
    <n v="0"/>
    <n v="1944"/>
  </r>
  <r>
    <x v="0"/>
    <x v="1"/>
    <x v="0"/>
    <n v="1"/>
    <n v="11"/>
    <s v="00"/>
    <s v="160"/>
    <s v="11100-160"/>
    <s v="Upright piano production item #160"/>
    <s v="UNIQUE"/>
    <n v="0"/>
    <n v="3"/>
    <n v="4913"/>
    <n v="0"/>
    <n v="14739"/>
  </r>
  <r>
    <x v="0"/>
    <x v="1"/>
    <x v="0"/>
    <n v="1"/>
    <n v="11"/>
    <s v="00"/>
    <s v="161"/>
    <s v="11100-161"/>
    <s v="Upright piano production item #161"/>
    <s v="UNIQUE"/>
    <n v="0"/>
    <n v="729"/>
    <n v="121"/>
    <n v="0"/>
    <n v="88209"/>
  </r>
  <r>
    <x v="0"/>
    <x v="1"/>
    <x v="0"/>
    <n v="1"/>
    <n v="11"/>
    <s v="00"/>
    <s v="162"/>
    <s v="11100-162"/>
    <s v="Upright piano production item #162"/>
    <s v="UNIQUE"/>
    <n v="0"/>
    <n v="125"/>
    <n v="23"/>
    <n v="0"/>
    <n v="2875"/>
  </r>
  <r>
    <x v="0"/>
    <x v="1"/>
    <x v="0"/>
    <n v="1"/>
    <n v="11"/>
    <s v="00"/>
    <s v="163"/>
    <s v="11100-163"/>
    <s v="Upright piano production item #163"/>
    <s v="UNIQUE"/>
    <n v="0"/>
    <n v="49"/>
    <n v="900"/>
    <n v="0"/>
    <n v="44100"/>
  </r>
  <r>
    <x v="0"/>
    <x v="1"/>
    <x v="0"/>
    <n v="1"/>
    <n v="11"/>
    <s v="00"/>
    <s v="164"/>
    <s v="11100-164"/>
    <s v="Upright piano production item #164"/>
    <s v="UNIQUE"/>
    <n v="6"/>
    <n v="4"/>
    <n v="196"/>
    <n v="24"/>
    <n v="784"/>
  </r>
  <r>
    <x v="0"/>
    <x v="1"/>
    <x v="0"/>
    <n v="1"/>
    <n v="11"/>
    <s v="00"/>
    <s v="165"/>
    <s v="11100-165"/>
    <s v="Upright piano production item #165"/>
    <s v="UNIQUE"/>
    <n v="480"/>
    <n v="4"/>
    <n v="17576"/>
    <n v="1920"/>
    <n v="70304"/>
  </r>
  <r>
    <x v="0"/>
    <x v="1"/>
    <x v="0"/>
    <n v="1"/>
    <n v="11"/>
    <s v="00"/>
    <s v="166"/>
    <s v="11100-166"/>
    <s v="Upright piano production item #166"/>
    <s v="UNIQUE"/>
    <n v="40"/>
    <n v="1"/>
    <n v="64"/>
    <n v="40"/>
    <n v="64"/>
  </r>
  <r>
    <x v="0"/>
    <x v="1"/>
    <x v="0"/>
    <n v="1"/>
    <n v="11"/>
    <s v="00"/>
    <s v="167"/>
    <s v="11100-167"/>
    <s v="Upright piano production item #167"/>
    <s v="UNIQUE"/>
    <n v="0"/>
    <n v="6"/>
    <n v="676"/>
    <n v="0"/>
    <n v="4056"/>
  </r>
  <r>
    <x v="0"/>
    <x v="1"/>
    <x v="0"/>
    <n v="1"/>
    <n v="11"/>
    <s v="00"/>
    <s v="168"/>
    <s v="11100-168"/>
    <s v="Upright piano production item #168"/>
    <s v="UNIQUE"/>
    <n v="0"/>
    <n v="25"/>
    <n v="17576"/>
    <n v="0"/>
    <n v="439400"/>
  </r>
  <r>
    <x v="0"/>
    <x v="1"/>
    <x v="0"/>
    <n v="1"/>
    <n v="11"/>
    <s v="00"/>
    <s v="169"/>
    <s v="11100-169"/>
    <s v="Upright piano production item #169"/>
    <s v="UNIQUE"/>
    <n v="0"/>
    <n v="81"/>
    <n v="27000"/>
    <n v="0"/>
    <n v="2187000"/>
  </r>
  <r>
    <x v="0"/>
    <x v="1"/>
    <x v="0"/>
    <n v="1"/>
    <n v="11"/>
    <s v="00"/>
    <s v="170"/>
    <s v="11100-170"/>
    <s v="Upright piano production item #170"/>
    <s v="UNIQUE"/>
    <n v="66"/>
    <n v="2"/>
    <n v="4"/>
    <n v="132"/>
    <n v="8"/>
  </r>
  <r>
    <x v="0"/>
    <x v="1"/>
    <x v="0"/>
    <n v="1"/>
    <n v="11"/>
    <s v="00"/>
    <s v="171"/>
    <s v="11100-171"/>
    <s v="Upright piano production item #171"/>
    <s v="UNIQUE"/>
    <n v="0"/>
    <n v="1"/>
    <n v="11"/>
    <n v="0"/>
    <n v="11"/>
  </r>
  <r>
    <x v="0"/>
    <x v="1"/>
    <x v="0"/>
    <n v="1"/>
    <n v="11"/>
    <s v="00"/>
    <s v="172"/>
    <s v="11100-172"/>
    <s v="Upright piano production item #172"/>
    <s v="UNIQUE"/>
    <n v="8275"/>
    <n v="1"/>
    <n v="24389"/>
    <n v="8275"/>
    <n v="24389"/>
  </r>
  <r>
    <x v="0"/>
    <x v="1"/>
    <x v="0"/>
    <n v="1"/>
    <n v="11"/>
    <s v="00"/>
    <s v="173"/>
    <s v="11100-173"/>
    <s v="Upright piano production item #173"/>
    <s v="UNIQUE"/>
    <n v="10"/>
    <n v="3"/>
    <n v="49"/>
    <n v="30"/>
    <n v="147"/>
  </r>
  <r>
    <x v="0"/>
    <x v="1"/>
    <x v="0"/>
    <n v="1"/>
    <n v="11"/>
    <s v="00"/>
    <s v="174"/>
    <s v="11100-174"/>
    <s v="Upright piano production item #174"/>
    <s v="UNIQUE"/>
    <n v="0"/>
    <n v="512"/>
    <n v="28"/>
    <n v="0"/>
    <n v="14336"/>
  </r>
  <r>
    <x v="0"/>
    <x v="1"/>
    <x v="0"/>
    <n v="1"/>
    <n v="11"/>
    <s v="00"/>
    <s v="175"/>
    <s v="11100-175"/>
    <s v="Upright piano production item #175"/>
    <s v="UNIQUE"/>
    <n v="0"/>
    <n v="5"/>
    <n v="576"/>
    <n v="0"/>
    <n v="2880"/>
  </r>
  <r>
    <x v="0"/>
    <x v="1"/>
    <x v="0"/>
    <n v="1"/>
    <n v="11"/>
    <s v="00"/>
    <s v="176"/>
    <s v="11100-176"/>
    <s v="Upright piano production item #176"/>
    <s v="UNIQUE"/>
    <n v="0"/>
    <n v="9"/>
    <n v="8"/>
    <n v="0"/>
    <n v="72"/>
  </r>
  <r>
    <x v="0"/>
    <x v="1"/>
    <x v="0"/>
    <n v="1"/>
    <n v="11"/>
    <s v="00"/>
    <s v="177"/>
    <s v="11100-177"/>
    <s v="Upright piano production item #177"/>
    <s v="UNIQUE"/>
    <n v="0"/>
    <n v="1"/>
    <n v="2"/>
    <n v="0"/>
    <n v="2"/>
  </r>
  <r>
    <x v="0"/>
    <x v="1"/>
    <x v="0"/>
    <n v="1"/>
    <n v="11"/>
    <s v="00"/>
    <s v="178"/>
    <s v="11100-178"/>
    <s v="Upright piano production item #178"/>
    <s v="UNIQUE"/>
    <n v="568"/>
    <n v="8"/>
    <n v="729"/>
    <n v="4544"/>
    <n v="5832"/>
  </r>
  <r>
    <x v="0"/>
    <x v="1"/>
    <x v="0"/>
    <n v="1"/>
    <n v="11"/>
    <s v="00"/>
    <s v="179"/>
    <s v="11100-179"/>
    <s v="Upright piano production item #179"/>
    <s v="UNIQUE"/>
    <n v="0"/>
    <n v="1"/>
    <n v="21952"/>
    <n v="0"/>
    <n v="21952"/>
  </r>
  <r>
    <x v="0"/>
    <x v="1"/>
    <x v="0"/>
    <n v="1"/>
    <n v="11"/>
    <s v="00"/>
    <s v="180"/>
    <s v="11100-180"/>
    <s v="Upright piano production item #180"/>
    <s v="UNIQUE"/>
    <n v="0"/>
    <n v="5"/>
    <n v="2744"/>
    <n v="0"/>
    <n v="13720"/>
  </r>
  <r>
    <x v="0"/>
    <x v="1"/>
    <x v="0"/>
    <n v="1"/>
    <n v="11"/>
    <s v="00"/>
    <s v="181"/>
    <s v="11100-181"/>
    <s v="Upright piano production item #181"/>
    <s v="UNIQUE"/>
    <n v="770"/>
    <n v="9"/>
    <n v="13"/>
    <n v="6930"/>
    <n v="117"/>
  </r>
  <r>
    <x v="0"/>
    <x v="1"/>
    <x v="0"/>
    <n v="1"/>
    <n v="11"/>
    <s v="00"/>
    <s v="182"/>
    <s v="11100-182"/>
    <s v="Upright piano production item #182"/>
    <s v="UNIQUE"/>
    <n v="0"/>
    <n v="64"/>
    <n v="784"/>
    <n v="0"/>
    <n v="50176"/>
  </r>
  <r>
    <x v="0"/>
    <x v="1"/>
    <x v="0"/>
    <n v="1"/>
    <n v="11"/>
    <s v="00"/>
    <s v="183"/>
    <s v="11100-183"/>
    <s v="Upright piano production item #183"/>
    <s v="UNIQUE"/>
    <n v="0"/>
    <n v="9"/>
    <n v="8"/>
    <n v="0"/>
    <n v="72"/>
  </r>
  <r>
    <x v="0"/>
    <x v="1"/>
    <x v="0"/>
    <n v="1"/>
    <n v="11"/>
    <s v="00"/>
    <s v="184"/>
    <s v="11100-184"/>
    <s v="Upright piano production item #184"/>
    <s v="UNIQUE"/>
    <n v="0"/>
    <n v="27"/>
    <n v="25"/>
    <n v="0"/>
    <n v="675"/>
  </r>
  <r>
    <x v="0"/>
    <x v="1"/>
    <x v="0"/>
    <n v="1"/>
    <n v="11"/>
    <s v="00"/>
    <s v="185"/>
    <s v="11100-185"/>
    <s v="Upright piano production item #185"/>
    <s v="UNIQUE"/>
    <n v="0"/>
    <n v="2"/>
    <n v="400"/>
    <n v="0"/>
    <n v="800"/>
  </r>
  <r>
    <x v="0"/>
    <x v="1"/>
    <x v="0"/>
    <n v="1"/>
    <n v="11"/>
    <s v="00"/>
    <s v="186"/>
    <s v="11100-186"/>
    <s v="Upright piano production item #186"/>
    <s v="UNIQUE"/>
    <n v="0"/>
    <n v="1000"/>
    <n v="1331"/>
    <n v="0"/>
    <n v="1331000"/>
  </r>
  <r>
    <x v="0"/>
    <x v="1"/>
    <x v="0"/>
    <n v="1"/>
    <n v="11"/>
    <s v="00"/>
    <s v="187"/>
    <s v="11100-187"/>
    <s v="Upright piano production item #187"/>
    <s v="UNIQUE"/>
    <n v="1"/>
    <n v="512"/>
    <n v="21952"/>
    <n v="512"/>
    <n v="11239424"/>
  </r>
  <r>
    <x v="0"/>
    <x v="1"/>
    <x v="0"/>
    <n v="1"/>
    <n v="11"/>
    <s v="00"/>
    <s v="188"/>
    <s v="11100-188"/>
    <s v="Upright piano production item #188"/>
    <s v="UNIQUE"/>
    <n v="0"/>
    <n v="36"/>
    <n v="27"/>
    <n v="0"/>
    <n v="972"/>
  </r>
  <r>
    <x v="0"/>
    <x v="1"/>
    <x v="0"/>
    <n v="1"/>
    <n v="11"/>
    <s v="00"/>
    <s v="189"/>
    <s v="11100-189"/>
    <s v="Upright piano production item #189"/>
    <s v="UNIQUE"/>
    <n v="0"/>
    <n v="1"/>
    <n v="24"/>
    <n v="0"/>
    <n v="24"/>
  </r>
  <r>
    <x v="0"/>
    <x v="1"/>
    <x v="0"/>
    <n v="1"/>
    <n v="11"/>
    <s v="00"/>
    <s v="190"/>
    <s v="11100-190"/>
    <s v="Upright piano production item #190"/>
    <s v="UNIQUE"/>
    <n v="1469"/>
    <n v="512"/>
    <n v="9261"/>
    <n v="752128"/>
    <n v="4741632"/>
  </r>
  <r>
    <x v="0"/>
    <x v="1"/>
    <x v="0"/>
    <n v="1"/>
    <n v="11"/>
    <s v="00"/>
    <s v="191"/>
    <s v="11100-191"/>
    <s v="Upright piano production item #191"/>
    <s v="UNIQUE"/>
    <n v="0"/>
    <n v="9"/>
    <n v="100"/>
    <n v="0"/>
    <n v="900"/>
  </r>
  <r>
    <x v="0"/>
    <x v="1"/>
    <x v="0"/>
    <n v="1"/>
    <n v="11"/>
    <s v="00"/>
    <s v="192"/>
    <s v="11100-192"/>
    <s v="Upright piano production item #192"/>
    <s v="UNIQUE"/>
    <n v="0"/>
    <n v="729"/>
    <n v="256"/>
    <n v="0"/>
    <n v="186624"/>
  </r>
  <r>
    <x v="0"/>
    <x v="1"/>
    <x v="0"/>
    <n v="1"/>
    <n v="11"/>
    <s v="00"/>
    <s v="193"/>
    <s v="11100-193"/>
    <s v="Upright piano production item #193"/>
    <s v="UNIQUE"/>
    <n v="0"/>
    <n v="3"/>
    <n v="729"/>
    <n v="0"/>
    <n v="2187"/>
  </r>
  <r>
    <x v="0"/>
    <x v="1"/>
    <x v="0"/>
    <n v="1"/>
    <n v="11"/>
    <s v="00"/>
    <s v="194"/>
    <s v="11100-194"/>
    <s v="Upright piano production item #194"/>
    <s v="UNIQUE"/>
    <n v="0"/>
    <n v="49"/>
    <n v="0"/>
    <n v="0"/>
    <n v="0"/>
  </r>
  <r>
    <x v="0"/>
    <x v="1"/>
    <x v="0"/>
    <n v="1"/>
    <n v="11"/>
    <s v="00"/>
    <s v="195"/>
    <s v="11100-195"/>
    <s v="Upright piano production item #195"/>
    <s v="UNIQUE"/>
    <n v="0"/>
    <n v="5"/>
    <n v="343"/>
    <n v="0"/>
    <n v="1715"/>
  </r>
  <r>
    <x v="0"/>
    <x v="1"/>
    <x v="0"/>
    <n v="1"/>
    <n v="11"/>
    <s v="00"/>
    <s v="196"/>
    <s v="11100-196"/>
    <s v="Upright piano production item #196"/>
    <s v="UNIQUE"/>
    <n v="4"/>
    <n v="216"/>
    <n v="125"/>
    <n v="864"/>
    <n v="27000"/>
  </r>
  <r>
    <x v="0"/>
    <x v="1"/>
    <x v="0"/>
    <n v="1"/>
    <n v="11"/>
    <s v="00"/>
    <s v="197"/>
    <s v="11100-197"/>
    <s v="Upright piano production item #197"/>
    <s v="UNIQUE"/>
    <n v="5586"/>
    <n v="512"/>
    <n v="361"/>
    <n v="2860032"/>
    <n v="184832"/>
  </r>
  <r>
    <x v="0"/>
    <x v="1"/>
    <x v="0"/>
    <n v="1"/>
    <n v="11"/>
    <s v="00"/>
    <s v="198"/>
    <s v="11100-198"/>
    <s v="Upright piano production item #198"/>
    <s v="UNIQUE"/>
    <n v="3"/>
    <n v="16"/>
    <n v="2197"/>
    <n v="48"/>
    <n v="35152"/>
  </r>
  <r>
    <x v="0"/>
    <x v="1"/>
    <x v="0"/>
    <n v="1"/>
    <n v="11"/>
    <s v="00"/>
    <s v="199"/>
    <s v="11100-199"/>
    <s v="Upright piano production item #199"/>
    <s v="UNIQUE"/>
    <n v="0"/>
    <n v="5"/>
    <n v="28"/>
    <n v="0"/>
    <n v="140"/>
  </r>
  <r>
    <x v="0"/>
    <x v="2"/>
    <x v="0"/>
    <n v="1"/>
    <n v="12"/>
    <s v="00"/>
    <s v="000"/>
    <s v="11200-000"/>
    <s v="Electric keyboard production item #000"/>
    <s v="UNIQUE"/>
    <n v="61"/>
    <n v="1000"/>
    <n v="1331"/>
    <n v="61000"/>
    <n v="1331000"/>
  </r>
  <r>
    <x v="0"/>
    <x v="2"/>
    <x v="0"/>
    <n v="1"/>
    <n v="12"/>
    <s v="00"/>
    <s v="001"/>
    <s v="11200-001"/>
    <s v="Electric keyboard production item #001"/>
    <s v="UNIQUE"/>
    <n v="0"/>
    <n v="1"/>
    <n v="256"/>
    <n v="0"/>
    <n v="256"/>
  </r>
  <r>
    <x v="0"/>
    <x v="2"/>
    <x v="0"/>
    <n v="1"/>
    <n v="12"/>
    <s v="00"/>
    <s v="002"/>
    <s v="11200-002"/>
    <s v="Electric keyboard production item #002"/>
    <s v="UNIQUE"/>
    <n v="0"/>
    <n v="27"/>
    <n v="343"/>
    <n v="0"/>
    <n v="9261"/>
  </r>
  <r>
    <x v="0"/>
    <x v="2"/>
    <x v="0"/>
    <n v="1"/>
    <n v="12"/>
    <s v="00"/>
    <s v="003"/>
    <s v="11200-003"/>
    <s v="Electric keyboard production item #003"/>
    <s v="UNIQUE"/>
    <n v="0"/>
    <n v="343"/>
    <n v="12167"/>
    <n v="0"/>
    <n v="4173281"/>
  </r>
  <r>
    <x v="0"/>
    <x v="2"/>
    <x v="0"/>
    <n v="1"/>
    <n v="12"/>
    <s v="00"/>
    <s v="004"/>
    <s v="11200-004"/>
    <s v="Electric keyboard production item #004"/>
    <s v="UNIQUE"/>
    <n v="6605"/>
    <n v="10"/>
    <n v="24389"/>
    <n v="66050"/>
    <n v="243890"/>
  </r>
  <r>
    <x v="0"/>
    <x v="2"/>
    <x v="0"/>
    <n v="1"/>
    <n v="12"/>
    <s v="00"/>
    <s v="005"/>
    <s v="11200-005"/>
    <s v="Electric keyboard production item #005"/>
    <s v="UNIQUE"/>
    <n v="0"/>
    <n v="1"/>
    <n v="484"/>
    <n v="0"/>
    <n v="484"/>
  </r>
  <r>
    <x v="0"/>
    <x v="2"/>
    <x v="0"/>
    <n v="1"/>
    <n v="12"/>
    <s v="00"/>
    <s v="006"/>
    <s v="11200-006"/>
    <s v="Electric keyboard production item #006"/>
    <s v="UNIQUE"/>
    <n v="6"/>
    <n v="4"/>
    <n v="6859"/>
    <n v="24"/>
    <n v="27436"/>
  </r>
  <r>
    <x v="0"/>
    <x v="2"/>
    <x v="0"/>
    <n v="1"/>
    <n v="12"/>
    <s v="00"/>
    <s v="007"/>
    <s v="11200-007"/>
    <s v="Electric keyboard production item #007"/>
    <s v="UNIQUE"/>
    <n v="0"/>
    <n v="8"/>
    <n v="324"/>
    <n v="0"/>
    <n v="2592"/>
  </r>
  <r>
    <x v="0"/>
    <x v="2"/>
    <x v="0"/>
    <n v="1"/>
    <n v="12"/>
    <s v="00"/>
    <s v="008"/>
    <s v="11200-008"/>
    <s v="Electric keyboard production item #008"/>
    <s v="UNIQUE"/>
    <n v="4341"/>
    <n v="512"/>
    <n v="16"/>
    <n v="2222592"/>
    <n v="8192"/>
  </r>
  <r>
    <x v="0"/>
    <x v="2"/>
    <x v="0"/>
    <n v="1"/>
    <n v="12"/>
    <s v="00"/>
    <s v="009"/>
    <s v="11200-009"/>
    <s v="Electric keyboard production item #009"/>
    <s v="UNIQUE"/>
    <n v="439"/>
    <n v="16"/>
    <n v="2197"/>
    <n v="7024"/>
    <n v="35152"/>
  </r>
  <r>
    <x v="0"/>
    <x v="2"/>
    <x v="0"/>
    <n v="1"/>
    <n v="12"/>
    <s v="00"/>
    <s v="010"/>
    <s v="11200-010"/>
    <s v="Electric keyboard production item #010"/>
    <s v="UNIQUE"/>
    <n v="0"/>
    <n v="64"/>
    <n v="676"/>
    <n v="0"/>
    <n v="43264"/>
  </r>
  <r>
    <x v="0"/>
    <x v="2"/>
    <x v="0"/>
    <n v="1"/>
    <n v="12"/>
    <s v="00"/>
    <s v="011"/>
    <s v="11200-011"/>
    <s v="Electric keyboard production item #011"/>
    <s v="UNIQUE"/>
    <n v="0"/>
    <n v="27"/>
    <n v="289"/>
    <n v="0"/>
    <n v="7803"/>
  </r>
  <r>
    <x v="0"/>
    <x v="2"/>
    <x v="0"/>
    <n v="1"/>
    <n v="12"/>
    <s v="00"/>
    <s v="012"/>
    <s v="11200-012"/>
    <s v="Electric keyboard production item #012"/>
    <s v="UNIQUE"/>
    <n v="7704"/>
    <n v="64"/>
    <n v="3375"/>
    <n v="493056"/>
    <n v="216000"/>
  </r>
  <r>
    <x v="0"/>
    <x v="2"/>
    <x v="0"/>
    <n v="1"/>
    <n v="12"/>
    <s v="00"/>
    <s v="013"/>
    <s v="11200-013"/>
    <s v="Electric keyboard production item #013"/>
    <s v="UNIQUE"/>
    <n v="0"/>
    <n v="1"/>
    <n v="121"/>
    <n v="0"/>
    <n v="121"/>
  </r>
  <r>
    <x v="0"/>
    <x v="2"/>
    <x v="0"/>
    <n v="1"/>
    <n v="12"/>
    <s v="00"/>
    <s v="014"/>
    <s v="11200-014"/>
    <s v="Electric keyboard production item #014"/>
    <s v="UNIQUE"/>
    <n v="417"/>
    <n v="4"/>
    <n v="49"/>
    <n v="1668"/>
    <n v="196"/>
  </r>
  <r>
    <x v="0"/>
    <x v="2"/>
    <x v="0"/>
    <n v="1"/>
    <n v="12"/>
    <s v="00"/>
    <s v="015"/>
    <s v="11200-015"/>
    <s v="Electric keyboard production item #015"/>
    <s v="UNIQUE"/>
    <n v="824"/>
    <n v="4"/>
    <n v="16"/>
    <n v="3296"/>
    <n v="64"/>
  </r>
  <r>
    <x v="0"/>
    <x v="2"/>
    <x v="0"/>
    <n v="1"/>
    <n v="12"/>
    <s v="00"/>
    <s v="016"/>
    <s v="11200-016"/>
    <s v="Electric keyboard production item #016"/>
    <s v="UNIQUE"/>
    <n v="0"/>
    <n v="343"/>
    <n v="8"/>
    <n v="0"/>
    <n v="2744"/>
  </r>
  <r>
    <x v="0"/>
    <x v="2"/>
    <x v="0"/>
    <n v="1"/>
    <n v="12"/>
    <s v="00"/>
    <s v="017"/>
    <s v="11200-017"/>
    <s v="Electric keyboard production item #017"/>
    <s v="UNIQUE"/>
    <n v="0"/>
    <n v="3"/>
    <n v="196"/>
    <n v="0"/>
    <n v="588"/>
  </r>
  <r>
    <x v="0"/>
    <x v="2"/>
    <x v="0"/>
    <n v="1"/>
    <n v="12"/>
    <s v="00"/>
    <s v="018"/>
    <s v="11200-018"/>
    <s v="Electric keyboard production item #018"/>
    <s v="UNIQUE"/>
    <n v="0"/>
    <n v="16"/>
    <n v="17"/>
    <n v="0"/>
    <n v="272"/>
  </r>
  <r>
    <x v="0"/>
    <x v="2"/>
    <x v="0"/>
    <n v="1"/>
    <n v="12"/>
    <s v="00"/>
    <s v="019"/>
    <s v="11200-019"/>
    <s v="Electric keyboard production item #019"/>
    <s v="UNIQUE"/>
    <n v="0"/>
    <n v="7"/>
    <n v="13824"/>
    <n v="0"/>
    <n v="96768"/>
  </r>
  <r>
    <x v="0"/>
    <x v="2"/>
    <x v="0"/>
    <n v="1"/>
    <n v="12"/>
    <s v="00"/>
    <s v="020"/>
    <s v="11200-020"/>
    <s v="Electric keyboard production item #020"/>
    <s v="UNIQUE"/>
    <n v="442"/>
    <n v="100"/>
    <n v="841"/>
    <n v="44200"/>
    <n v="84100"/>
  </r>
  <r>
    <x v="0"/>
    <x v="2"/>
    <x v="0"/>
    <n v="1"/>
    <n v="12"/>
    <s v="00"/>
    <s v="021"/>
    <s v="11200-021"/>
    <s v="Electric keyboard production item #021"/>
    <s v="UNIQUE"/>
    <n v="0"/>
    <n v="4"/>
    <n v="529"/>
    <n v="0"/>
    <n v="2116"/>
  </r>
  <r>
    <x v="0"/>
    <x v="2"/>
    <x v="0"/>
    <n v="1"/>
    <n v="12"/>
    <s v="00"/>
    <s v="022"/>
    <s v="11200-022"/>
    <s v="Electric keyboard production item #022"/>
    <s v="UNIQUE"/>
    <n v="0"/>
    <n v="1"/>
    <n v="17"/>
    <n v="0"/>
    <n v="17"/>
  </r>
  <r>
    <x v="0"/>
    <x v="2"/>
    <x v="0"/>
    <n v="1"/>
    <n v="12"/>
    <s v="00"/>
    <s v="023"/>
    <s v="11200-023"/>
    <s v="Electric keyboard production item #023"/>
    <s v="UNIQUE"/>
    <n v="0"/>
    <n v="1"/>
    <n v="14"/>
    <n v="0"/>
    <n v="14"/>
  </r>
  <r>
    <x v="0"/>
    <x v="2"/>
    <x v="0"/>
    <n v="1"/>
    <n v="12"/>
    <s v="00"/>
    <s v="024"/>
    <s v="11200-024"/>
    <s v="Electric keyboard production item #024"/>
    <s v="UNIQUE"/>
    <n v="0"/>
    <n v="1"/>
    <n v="625"/>
    <n v="0"/>
    <n v="625"/>
  </r>
  <r>
    <x v="0"/>
    <x v="2"/>
    <x v="0"/>
    <n v="1"/>
    <n v="12"/>
    <s v="00"/>
    <s v="025"/>
    <s v="11200-025"/>
    <s v="Electric keyboard production item #025"/>
    <s v="UNIQUE"/>
    <n v="0"/>
    <n v="6"/>
    <n v="12"/>
    <n v="0"/>
    <n v="72"/>
  </r>
  <r>
    <x v="0"/>
    <x v="2"/>
    <x v="0"/>
    <n v="1"/>
    <n v="12"/>
    <s v="00"/>
    <s v="026"/>
    <s v="11200-026"/>
    <s v="Electric keyboard production item #026"/>
    <s v="UNIQUE"/>
    <n v="0"/>
    <n v="4"/>
    <n v="841"/>
    <n v="0"/>
    <n v="3364"/>
  </r>
  <r>
    <x v="0"/>
    <x v="2"/>
    <x v="0"/>
    <n v="1"/>
    <n v="12"/>
    <s v="00"/>
    <s v="027"/>
    <s v="11200-027"/>
    <s v="Electric keyboard production item #027"/>
    <s v="UNIQUE"/>
    <n v="0"/>
    <n v="1"/>
    <n v="4"/>
    <n v="0"/>
    <n v="4"/>
  </r>
  <r>
    <x v="0"/>
    <x v="2"/>
    <x v="0"/>
    <n v="1"/>
    <n v="12"/>
    <s v="00"/>
    <s v="028"/>
    <s v="11200-028"/>
    <s v="Electric keyboard production item #028"/>
    <s v="UNIQUE"/>
    <n v="5984"/>
    <n v="10"/>
    <n v="24389"/>
    <n v="59840"/>
    <n v="243890"/>
  </r>
  <r>
    <x v="0"/>
    <x v="2"/>
    <x v="0"/>
    <n v="1"/>
    <n v="12"/>
    <s v="00"/>
    <s v="029"/>
    <s v="11200-029"/>
    <s v="Electric keyboard production item #029"/>
    <s v="UNIQUE"/>
    <n v="0"/>
    <n v="6"/>
    <n v="15"/>
    <n v="0"/>
    <n v="90"/>
  </r>
  <r>
    <x v="0"/>
    <x v="2"/>
    <x v="0"/>
    <n v="1"/>
    <n v="12"/>
    <s v="00"/>
    <s v="030"/>
    <s v="11200-030"/>
    <s v="Electric keyboard production item #030"/>
    <s v="UNIQUE"/>
    <n v="7"/>
    <n v="2"/>
    <n v="1"/>
    <n v="14"/>
    <n v="2"/>
  </r>
  <r>
    <x v="0"/>
    <x v="2"/>
    <x v="0"/>
    <n v="1"/>
    <n v="12"/>
    <s v="00"/>
    <s v="031"/>
    <s v="11200-031"/>
    <s v="Electric keyboard production item #031"/>
    <s v="UNIQUE"/>
    <n v="5"/>
    <n v="2"/>
    <n v="3"/>
    <n v="10"/>
    <n v="6"/>
  </r>
  <r>
    <x v="0"/>
    <x v="2"/>
    <x v="0"/>
    <n v="1"/>
    <n v="12"/>
    <s v="00"/>
    <s v="032"/>
    <s v="11200-032"/>
    <s v="Electric keyboard production item #032"/>
    <s v="UNIQUE"/>
    <n v="0"/>
    <n v="36"/>
    <n v="1"/>
    <n v="0"/>
    <n v="36"/>
  </r>
  <r>
    <x v="0"/>
    <x v="2"/>
    <x v="0"/>
    <n v="1"/>
    <n v="12"/>
    <s v="00"/>
    <s v="033"/>
    <s v="11200-033"/>
    <s v="Electric keyboard production item #033"/>
    <s v="UNIQUE"/>
    <n v="8972"/>
    <n v="1"/>
    <n v="1"/>
    <n v="8972"/>
    <n v="1"/>
  </r>
  <r>
    <x v="0"/>
    <x v="2"/>
    <x v="0"/>
    <n v="1"/>
    <n v="12"/>
    <s v="00"/>
    <s v="034"/>
    <s v="11200-034"/>
    <s v="Electric keyboard production item #034"/>
    <s v="UNIQUE"/>
    <n v="7"/>
    <n v="81"/>
    <n v="1"/>
    <n v="567"/>
    <n v="81"/>
  </r>
  <r>
    <x v="0"/>
    <x v="2"/>
    <x v="0"/>
    <n v="1"/>
    <n v="12"/>
    <s v="00"/>
    <s v="035"/>
    <s v="11200-035"/>
    <s v="Electric keyboard production item #035"/>
    <s v="UNIQUE"/>
    <n v="0"/>
    <n v="7"/>
    <n v="676"/>
    <n v="0"/>
    <n v="4732"/>
  </r>
  <r>
    <x v="0"/>
    <x v="2"/>
    <x v="0"/>
    <n v="1"/>
    <n v="12"/>
    <s v="00"/>
    <s v="036"/>
    <s v="11200-036"/>
    <s v="Electric keyboard production item #036"/>
    <s v="UNIQUE"/>
    <n v="30"/>
    <n v="49"/>
    <n v="529"/>
    <n v="1470"/>
    <n v="25921"/>
  </r>
  <r>
    <x v="0"/>
    <x v="2"/>
    <x v="0"/>
    <n v="1"/>
    <n v="12"/>
    <s v="00"/>
    <s v="037"/>
    <s v="11200-037"/>
    <s v="Electric keyboard production item #037"/>
    <s v="UNIQUE"/>
    <n v="853"/>
    <n v="512"/>
    <n v="2"/>
    <n v="436736"/>
    <n v="1024"/>
  </r>
  <r>
    <x v="0"/>
    <x v="2"/>
    <x v="0"/>
    <n v="1"/>
    <n v="12"/>
    <s v="00"/>
    <s v="038"/>
    <s v="11200-038"/>
    <s v="Electric keyboard production item #038"/>
    <s v="UNIQUE"/>
    <n v="743"/>
    <n v="1"/>
    <n v="81"/>
    <n v="743"/>
    <n v="81"/>
  </r>
  <r>
    <x v="0"/>
    <x v="2"/>
    <x v="0"/>
    <n v="1"/>
    <n v="12"/>
    <s v="00"/>
    <s v="039"/>
    <s v="11200-039"/>
    <s v="Electric keyboard production item #039"/>
    <s v="UNIQUE"/>
    <n v="0"/>
    <n v="81"/>
    <n v="26"/>
    <n v="0"/>
    <n v="2106"/>
  </r>
  <r>
    <x v="0"/>
    <x v="2"/>
    <x v="0"/>
    <n v="1"/>
    <n v="12"/>
    <s v="00"/>
    <s v="040"/>
    <s v="11200-040"/>
    <s v="Electric keyboard production item #040"/>
    <s v="UNIQUE"/>
    <n v="0"/>
    <n v="9"/>
    <n v="196"/>
    <n v="0"/>
    <n v="1764"/>
  </r>
  <r>
    <x v="0"/>
    <x v="2"/>
    <x v="0"/>
    <n v="1"/>
    <n v="12"/>
    <s v="00"/>
    <s v="041"/>
    <s v="11200-041"/>
    <s v="Electric keyboard production item #041"/>
    <s v="UNIQUE"/>
    <n v="0"/>
    <n v="9"/>
    <n v="512"/>
    <n v="0"/>
    <n v="4608"/>
  </r>
  <r>
    <x v="0"/>
    <x v="2"/>
    <x v="0"/>
    <n v="1"/>
    <n v="12"/>
    <s v="00"/>
    <s v="042"/>
    <s v="11200-042"/>
    <s v="Electric keyboard production item #042"/>
    <s v="UNIQUE"/>
    <n v="1275"/>
    <n v="25"/>
    <n v="4913"/>
    <n v="31875"/>
    <n v="122825"/>
  </r>
  <r>
    <x v="0"/>
    <x v="2"/>
    <x v="0"/>
    <n v="1"/>
    <n v="12"/>
    <s v="00"/>
    <s v="043"/>
    <s v="11200-043"/>
    <s v="Electric keyboard production item #043"/>
    <s v="UNIQUE"/>
    <n v="0"/>
    <n v="36"/>
    <n v="343"/>
    <n v="0"/>
    <n v="12348"/>
  </r>
  <r>
    <x v="0"/>
    <x v="2"/>
    <x v="0"/>
    <n v="1"/>
    <n v="12"/>
    <s v="00"/>
    <s v="044"/>
    <s v="11200-044"/>
    <s v="Electric keyboard production item #044"/>
    <s v="UNIQUE"/>
    <n v="2126"/>
    <n v="7"/>
    <n v="12167"/>
    <n v="14882"/>
    <n v="85169"/>
  </r>
  <r>
    <x v="0"/>
    <x v="2"/>
    <x v="0"/>
    <n v="1"/>
    <n v="12"/>
    <s v="00"/>
    <s v="045"/>
    <s v="11200-045"/>
    <s v="Electric keyboard production item #045"/>
    <s v="UNIQUE"/>
    <n v="0"/>
    <n v="16"/>
    <n v="7"/>
    <n v="0"/>
    <n v="112"/>
  </r>
  <r>
    <x v="0"/>
    <x v="2"/>
    <x v="0"/>
    <n v="1"/>
    <n v="12"/>
    <s v="00"/>
    <s v="046"/>
    <s v="11200-046"/>
    <s v="Electric keyboard production item #046"/>
    <s v="UNIQUE"/>
    <n v="302"/>
    <n v="729"/>
    <n v="21"/>
    <n v="220158"/>
    <n v="15309"/>
  </r>
  <r>
    <x v="0"/>
    <x v="2"/>
    <x v="0"/>
    <n v="1"/>
    <n v="12"/>
    <s v="00"/>
    <s v="047"/>
    <s v="11200-047"/>
    <s v="Electric keyboard production item #047"/>
    <s v="UNIQUE"/>
    <n v="1"/>
    <n v="100"/>
    <n v="27"/>
    <n v="100"/>
    <n v="2700"/>
  </r>
  <r>
    <x v="0"/>
    <x v="2"/>
    <x v="0"/>
    <n v="1"/>
    <n v="12"/>
    <s v="00"/>
    <s v="048"/>
    <s v="11200-048"/>
    <s v="Electric keyboard production item #048"/>
    <s v="UNIQUE"/>
    <n v="0"/>
    <n v="10"/>
    <n v="7"/>
    <n v="0"/>
    <n v="70"/>
  </r>
  <r>
    <x v="0"/>
    <x v="2"/>
    <x v="0"/>
    <n v="1"/>
    <n v="12"/>
    <s v="00"/>
    <s v="049"/>
    <s v="11200-049"/>
    <s v="Electric keyboard production item #049"/>
    <s v="UNIQUE"/>
    <n v="1"/>
    <n v="729"/>
    <n v="1000"/>
    <n v="729"/>
    <n v="729000"/>
  </r>
  <r>
    <x v="0"/>
    <x v="2"/>
    <x v="0"/>
    <n v="1"/>
    <n v="12"/>
    <s v="00"/>
    <s v="050"/>
    <s v="11200-050"/>
    <s v="Electric keyboard production item #050"/>
    <s v="UNIQUE"/>
    <n v="0"/>
    <n v="27"/>
    <n v="9"/>
    <n v="0"/>
    <n v="243"/>
  </r>
  <r>
    <x v="0"/>
    <x v="2"/>
    <x v="0"/>
    <n v="1"/>
    <n v="12"/>
    <s v="00"/>
    <s v="051"/>
    <s v="11200-051"/>
    <s v="Electric keyboard production item #051"/>
    <s v="UNIQUE"/>
    <n v="0"/>
    <n v="64"/>
    <n v="484"/>
    <n v="0"/>
    <n v="30976"/>
  </r>
  <r>
    <x v="0"/>
    <x v="2"/>
    <x v="0"/>
    <n v="1"/>
    <n v="12"/>
    <s v="00"/>
    <s v="052"/>
    <s v="11200-052"/>
    <s v="Electric keyboard production item #052"/>
    <s v="UNIQUE"/>
    <n v="0"/>
    <n v="8"/>
    <n v="729"/>
    <n v="0"/>
    <n v="5832"/>
  </r>
  <r>
    <x v="0"/>
    <x v="2"/>
    <x v="0"/>
    <n v="1"/>
    <n v="12"/>
    <s v="00"/>
    <s v="053"/>
    <s v="11200-053"/>
    <s v="Electric keyboard production item #053"/>
    <s v="UNIQUE"/>
    <n v="14"/>
    <n v="512"/>
    <n v="25"/>
    <n v="7168"/>
    <n v="12800"/>
  </r>
  <r>
    <x v="0"/>
    <x v="2"/>
    <x v="0"/>
    <n v="1"/>
    <n v="12"/>
    <s v="00"/>
    <s v="054"/>
    <s v="11200-054"/>
    <s v="Electric keyboard production item #054"/>
    <s v="UNIQUE"/>
    <n v="0"/>
    <n v="7"/>
    <n v="2197"/>
    <n v="0"/>
    <n v="15379"/>
  </r>
  <r>
    <x v="0"/>
    <x v="2"/>
    <x v="0"/>
    <n v="1"/>
    <n v="12"/>
    <s v="00"/>
    <s v="055"/>
    <s v="11200-055"/>
    <s v="Electric keyboard production item #055"/>
    <s v="UNIQUE"/>
    <n v="0"/>
    <n v="64"/>
    <n v="2744"/>
    <n v="0"/>
    <n v="175616"/>
  </r>
  <r>
    <x v="0"/>
    <x v="2"/>
    <x v="0"/>
    <n v="1"/>
    <n v="12"/>
    <s v="00"/>
    <s v="056"/>
    <s v="11200-056"/>
    <s v="Electric keyboard production item #056"/>
    <s v="UNIQUE"/>
    <n v="0"/>
    <n v="25"/>
    <n v="36"/>
    <n v="0"/>
    <n v="900"/>
  </r>
  <r>
    <x v="0"/>
    <x v="2"/>
    <x v="0"/>
    <n v="1"/>
    <n v="12"/>
    <s v="00"/>
    <s v="057"/>
    <s v="11200-057"/>
    <s v="Electric keyboard production item #057"/>
    <s v="UNIQUE"/>
    <n v="0"/>
    <n v="27"/>
    <n v="20"/>
    <n v="0"/>
    <n v="540"/>
  </r>
  <r>
    <x v="0"/>
    <x v="2"/>
    <x v="0"/>
    <n v="1"/>
    <n v="12"/>
    <s v="00"/>
    <s v="058"/>
    <s v="11200-058"/>
    <s v="Electric keyboard production item #058"/>
    <s v="UNIQUE"/>
    <n v="0"/>
    <n v="512"/>
    <n v="1728"/>
    <n v="0"/>
    <n v="884736"/>
  </r>
  <r>
    <x v="0"/>
    <x v="2"/>
    <x v="0"/>
    <n v="1"/>
    <n v="12"/>
    <s v="00"/>
    <s v="059"/>
    <s v="11200-059"/>
    <s v="Electric keyboard production item #059"/>
    <s v="UNIQUE"/>
    <n v="6082"/>
    <n v="64"/>
    <n v="36"/>
    <n v="389248"/>
    <n v="2304"/>
  </r>
  <r>
    <x v="0"/>
    <x v="2"/>
    <x v="0"/>
    <n v="1"/>
    <n v="12"/>
    <s v="00"/>
    <s v="060"/>
    <s v="11200-060"/>
    <s v="Electric keyboard production item #060"/>
    <s v="UNIQUE"/>
    <n v="190"/>
    <n v="64"/>
    <n v="529"/>
    <n v="12160"/>
    <n v="33856"/>
  </r>
  <r>
    <x v="0"/>
    <x v="2"/>
    <x v="0"/>
    <n v="1"/>
    <n v="12"/>
    <s v="00"/>
    <s v="061"/>
    <s v="11200-061"/>
    <s v="Electric keyboard production item #061"/>
    <s v="UNIQUE"/>
    <n v="0"/>
    <n v="216"/>
    <n v="27"/>
    <n v="0"/>
    <n v="5832"/>
  </r>
  <r>
    <x v="0"/>
    <x v="2"/>
    <x v="0"/>
    <n v="1"/>
    <n v="12"/>
    <s v="00"/>
    <s v="062"/>
    <s v="11200-062"/>
    <s v="Electric keyboard production item #062"/>
    <s v="UNIQUE"/>
    <n v="631"/>
    <n v="512"/>
    <n v="5"/>
    <n v="323072"/>
    <n v="2560"/>
  </r>
  <r>
    <x v="0"/>
    <x v="2"/>
    <x v="0"/>
    <n v="1"/>
    <n v="12"/>
    <s v="00"/>
    <s v="063"/>
    <s v="11200-063"/>
    <s v="Electric keyboard production item #063"/>
    <s v="UNIQUE"/>
    <n v="0"/>
    <n v="36"/>
    <n v="343"/>
    <n v="0"/>
    <n v="12348"/>
  </r>
  <r>
    <x v="0"/>
    <x v="2"/>
    <x v="0"/>
    <n v="1"/>
    <n v="12"/>
    <s v="00"/>
    <s v="064"/>
    <s v="11200-064"/>
    <s v="Electric keyboard production item #064"/>
    <s v="UNIQUE"/>
    <n v="0"/>
    <n v="36"/>
    <n v="36"/>
    <n v="0"/>
    <n v="1296"/>
  </r>
  <r>
    <x v="0"/>
    <x v="2"/>
    <x v="0"/>
    <n v="1"/>
    <n v="12"/>
    <s v="00"/>
    <s v="065"/>
    <s v="11200-065"/>
    <s v="Electric keyboard production item #065"/>
    <s v="UNIQUE"/>
    <n v="0"/>
    <n v="25"/>
    <n v="100"/>
    <n v="0"/>
    <n v="2500"/>
  </r>
  <r>
    <x v="0"/>
    <x v="2"/>
    <x v="0"/>
    <n v="1"/>
    <n v="12"/>
    <s v="00"/>
    <s v="066"/>
    <s v="11200-066"/>
    <s v="Electric keyboard production item #066"/>
    <s v="UNIQUE"/>
    <n v="387"/>
    <n v="5"/>
    <n v="125"/>
    <n v="1935"/>
    <n v="625"/>
  </r>
  <r>
    <x v="0"/>
    <x v="2"/>
    <x v="0"/>
    <n v="1"/>
    <n v="12"/>
    <s v="00"/>
    <s v="067"/>
    <s v="11200-067"/>
    <s v="Electric keyboard production item #067"/>
    <s v="UNIQUE"/>
    <n v="628"/>
    <n v="1"/>
    <n v="729"/>
    <n v="628"/>
    <n v="729"/>
  </r>
  <r>
    <x v="0"/>
    <x v="2"/>
    <x v="0"/>
    <n v="1"/>
    <n v="12"/>
    <s v="00"/>
    <s v="068"/>
    <s v="11200-068"/>
    <s v="Electric keyboard production item #068"/>
    <s v="UNIQUE"/>
    <n v="1"/>
    <n v="10"/>
    <n v="484"/>
    <n v="10"/>
    <n v="4840"/>
  </r>
  <r>
    <x v="0"/>
    <x v="2"/>
    <x v="0"/>
    <n v="1"/>
    <n v="12"/>
    <s v="00"/>
    <s v="069"/>
    <s v="11200-069"/>
    <s v="Electric keyboard production item #069"/>
    <s v="UNIQUE"/>
    <n v="9686"/>
    <n v="81"/>
    <n v="25"/>
    <n v="784566"/>
    <n v="2025"/>
  </r>
  <r>
    <x v="0"/>
    <x v="2"/>
    <x v="0"/>
    <n v="1"/>
    <n v="12"/>
    <s v="00"/>
    <s v="070"/>
    <s v="11200-070"/>
    <s v="Electric keyboard production item #070"/>
    <s v="UNIQUE"/>
    <n v="0"/>
    <n v="100"/>
    <n v="19683"/>
    <n v="0"/>
    <n v="1968300"/>
  </r>
  <r>
    <x v="0"/>
    <x v="2"/>
    <x v="0"/>
    <n v="1"/>
    <n v="12"/>
    <s v="00"/>
    <s v="071"/>
    <s v="11200-071"/>
    <s v="Electric keyboard production item #071"/>
    <s v="UNIQUE"/>
    <n v="0"/>
    <n v="9"/>
    <n v="144"/>
    <n v="0"/>
    <n v="1296"/>
  </r>
  <r>
    <x v="0"/>
    <x v="2"/>
    <x v="0"/>
    <n v="1"/>
    <n v="12"/>
    <s v="00"/>
    <s v="072"/>
    <s v="11200-072"/>
    <s v="Electric keyboard production item #072"/>
    <s v="UNIQUE"/>
    <n v="3102"/>
    <n v="36"/>
    <n v="81"/>
    <n v="111672"/>
    <n v="2916"/>
  </r>
  <r>
    <x v="0"/>
    <x v="2"/>
    <x v="0"/>
    <n v="1"/>
    <n v="12"/>
    <s v="00"/>
    <s v="073"/>
    <s v="11200-073"/>
    <s v="Electric keyboard production item #073"/>
    <s v="UNIQUE"/>
    <n v="1"/>
    <n v="49"/>
    <n v="25"/>
    <n v="49"/>
    <n v="1225"/>
  </r>
  <r>
    <x v="0"/>
    <x v="2"/>
    <x v="0"/>
    <n v="1"/>
    <n v="12"/>
    <s v="00"/>
    <s v="074"/>
    <s v="11200-074"/>
    <s v="Electric keyboard production item #074"/>
    <s v="UNIQUE"/>
    <n v="1"/>
    <n v="9"/>
    <n v="22"/>
    <n v="9"/>
    <n v="198"/>
  </r>
  <r>
    <x v="0"/>
    <x v="2"/>
    <x v="0"/>
    <n v="1"/>
    <n v="12"/>
    <s v="00"/>
    <s v="075"/>
    <s v="11200-075"/>
    <s v="Electric keyboard production item #075"/>
    <s v="UNIQUE"/>
    <n v="8540"/>
    <n v="16"/>
    <n v="343"/>
    <n v="136640"/>
    <n v="5488"/>
  </r>
  <r>
    <x v="0"/>
    <x v="2"/>
    <x v="0"/>
    <n v="1"/>
    <n v="12"/>
    <s v="00"/>
    <s v="076"/>
    <s v="11200-076"/>
    <s v="Electric keyboard production item #076"/>
    <s v="UNIQUE"/>
    <n v="0"/>
    <n v="3"/>
    <n v="24389"/>
    <n v="0"/>
    <n v="73167"/>
  </r>
  <r>
    <x v="0"/>
    <x v="2"/>
    <x v="0"/>
    <n v="1"/>
    <n v="12"/>
    <s v="00"/>
    <s v="077"/>
    <s v="11200-077"/>
    <s v="Electric keyboard production item #077"/>
    <s v="UNIQUE"/>
    <n v="0"/>
    <n v="512"/>
    <n v="25"/>
    <n v="0"/>
    <n v="12800"/>
  </r>
  <r>
    <x v="0"/>
    <x v="2"/>
    <x v="0"/>
    <n v="1"/>
    <n v="12"/>
    <s v="00"/>
    <s v="078"/>
    <s v="11200-078"/>
    <s v="Electric keyboard production item #078"/>
    <s v="UNIQUE"/>
    <n v="8612"/>
    <n v="16"/>
    <n v="13"/>
    <n v="137792"/>
    <n v="208"/>
  </r>
  <r>
    <x v="0"/>
    <x v="2"/>
    <x v="0"/>
    <n v="1"/>
    <n v="12"/>
    <s v="00"/>
    <s v="079"/>
    <s v="11200-079"/>
    <s v="Electric keyboard production item #079"/>
    <s v="UNIQUE"/>
    <n v="0"/>
    <n v="1000"/>
    <n v="841"/>
    <n v="0"/>
    <n v="841000"/>
  </r>
  <r>
    <x v="0"/>
    <x v="2"/>
    <x v="0"/>
    <n v="1"/>
    <n v="12"/>
    <s v="00"/>
    <s v="080"/>
    <s v="11200-080"/>
    <s v="Electric keyboard production item #080"/>
    <s v="UNIQUE"/>
    <n v="0"/>
    <n v="49"/>
    <n v="125"/>
    <n v="0"/>
    <n v="6125"/>
  </r>
  <r>
    <x v="0"/>
    <x v="2"/>
    <x v="0"/>
    <n v="1"/>
    <n v="12"/>
    <s v="00"/>
    <s v="081"/>
    <s v="11200-081"/>
    <s v="Electric keyboard production item #081"/>
    <s v="UNIQUE"/>
    <n v="1"/>
    <n v="729"/>
    <n v="28"/>
    <n v="729"/>
    <n v="20412"/>
  </r>
  <r>
    <x v="0"/>
    <x v="2"/>
    <x v="0"/>
    <n v="1"/>
    <n v="12"/>
    <s v="00"/>
    <s v="082"/>
    <s v="11200-082"/>
    <s v="Electric keyboard production item #082"/>
    <s v="UNIQUE"/>
    <n v="0"/>
    <n v="4"/>
    <n v="676"/>
    <n v="0"/>
    <n v="2704"/>
  </r>
  <r>
    <x v="0"/>
    <x v="2"/>
    <x v="0"/>
    <n v="1"/>
    <n v="12"/>
    <s v="00"/>
    <s v="083"/>
    <s v="11200-083"/>
    <s v="Electric keyboard production item #083"/>
    <s v="UNIQUE"/>
    <n v="0"/>
    <n v="49"/>
    <n v="30"/>
    <n v="0"/>
    <n v="1470"/>
  </r>
  <r>
    <x v="0"/>
    <x v="2"/>
    <x v="0"/>
    <n v="1"/>
    <n v="12"/>
    <s v="00"/>
    <s v="084"/>
    <s v="11200-084"/>
    <s v="Electric keyboard production item #084"/>
    <s v="UNIQUE"/>
    <n v="93"/>
    <n v="125"/>
    <n v="11"/>
    <n v="11625"/>
    <n v="1375"/>
  </r>
  <r>
    <x v="0"/>
    <x v="2"/>
    <x v="0"/>
    <n v="1"/>
    <n v="12"/>
    <s v="00"/>
    <s v="085"/>
    <s v="11200-085"/>
    <s v="Electric keyboard production item #085"/>
    <s v="UNIQUE"/>
    <n v="1581"/>
    <n v="8"/>
    <n v="4"/>
    <n v="12648"/>
    <n v="32"/>
  </r>
  <r>
    <x v="0"/>
    <x v="2"/>
    <x v="0"/>
    <n v="1"/>
    <n v="12"/>
    <s v="00"/>
    <s v="086"/>
    <s v="11200-086"/>
    <s v="Electric keyboard production item #086"/>
    <s v="UNIQUE"/>
    <n v="2"/>
    <n v="5"/>
    <n v="4"/>
    <n v="10"/>
    <n v="20"/>
  </r>
  <r>
    <x v="0"/>
    <x v="2"/>
    <x v="0"/>
    <n v="1"/>
    <n v="12"/>
    <s v="00"/>
    <s v="087"/>
    <s v="11200-087"/>
    <s v="Electric keyboard production item #087"/>
    <s v="UNIQUE"/>
    <n v="0"/>
    <n v="5"/>
    <n v="676"/>
    <n v="0"/>
    <n v="3380"/>
  </r>
  <r>
    <x v="0"/>
    <x v="2"/>
    <x v="0"/>
    <n v="1"/>
    <n v="12"/>
    <s v="00"/>
    <s v="088"/>
    <s v="11200-088"/>
    <s v="Electric keyboard production item #088"/>
    <s v="UNIQUE"/>
    <n v="1"/>
    <n v="64"/>
    <n v="289"/>
    <n v="64"/>
    <n v="18496"/>
  </r>
  <r>
    <x v="0"/>
    <x v="2"/>
    <x v="0"/>
    <n v="1"/>
    <n v="12"/>
    <s v="00"/>
    <s v="089"/>
    <s v="11200-089"/>
    <s v="Electric keyboard production item #089"/>
    <s v="UNIQUE"/>
    <n v="1"/>
    <n v="100"/>
    <n v="841"/>
    <n v="100"/>
    <n v="84100"/>
  </r>
  <r>
    <x v="0"/>
    <x v="2"/>
    <x v="0"/>
    <n v="1"/>
    <n v="12"/>
    <s v="00"/>
    <s v="090"/>
    <s v="11200-090"/>
    <s v="Electric keyboard production item #090"/>
    <s v="UNIQUE"/>
    <n v="7"/>
    <n v="343"/>
    <n v="2"/>
    <n v="2401"/>
    <n v="686"/>
  </r>
  <r>
    <x v="0"/>
    <x v="2"/>
    <x v="0"/>
    <n v="1"/>
    <n v="12"/>
    <s v="00"/>
    <s v="091"/>
    <s v="11200-091"/>
    <s v="Electric keyboard production item #091"/>
    <s v="UNIQUE"/>
    <n v="0"/>
    <n v="7"/>
    <n v="0"/>
    <n v="0"/>
    <n v="0"/>
  </r>
  <r>
    <x v="0"/>
    <x v="2"/>
    <x v="0"/>
    <n v="1"/>
    <n v="12"/>
    <s v="00"/>
    <s v="092"/>
    <s v="11200-092"/>
    <s v="Electric keyboard production item #092"/>
    <s v="UNIQUE"/>
    <n v="0"/>
    <n v="9"/>
    <n v="17576"/>
    <n v="0"/>
    <n v="158184"/>
  </r>
  <r>
    <x v="0"/>
    <x v="2"/>
    <x v="0"/>
    <n v="1"/>
    <n v="12"/>
    <s v="00"/>
    <s v="093"/>
    <s v="11200-093"/>
    <s v="Electric keyboard production item #093"/>
    <s v="UNIQUE"/>
    <n v="7191"/>
    <n v="9"/>
    <n v="26"/>
    <n v="64719"/>
    <n v="234"/>
  </r>
  <r>
    <x v="0"/>
    <x v="2"/>
    <x v="0"/>
    <n v="1"/>
    <n v="12"/>
    <s v="00"/>
    <s v="094"/>
    <s v="11200-094"/>
    <s v="Electric keyboard production item #094"/>
    <s v="UNIQUE"/>
    <n v="0"/>
    <n v="10"/>
    <n v="9261"/>
    <n v="0"/>
    <n v="92610"/>
  </r>
  <r>
    <x v="0"/>
    <x v="2"/>
    <x v="0"/>
    <n v="1"/>
    <n v="12"/>
    <s v="00"/>
    <s v="095"/>
    <s v="11200-095"/>
    <s v="Electric keyboard production item #095"/>
    <s v="UNIQUE"/>
    <n v="0"/>
    <n v="27"/>
    <n v="225"/>
    <n v="0"/>
    <n v="6075"/>
  </r>
  <r>
    <x v="0"/>
    <x v="2"/>
    <x v="0"/>
    <n v="1"/>
    <n v="12"/>
    <s v="00"/>
    <s v="096"/>
    <s v="11200-096"/>
    <s v="Electric keyboard production item #096"/>
    <s v="UNIQUE"/>
    <n v="0"/>
    <n v="49"/>
    <n v="21"/>
    <n v="0"/>
    <n v="1029"/>
  </r>
  <r>
    <x v="0"/>
    <x v="2"/>
    <x v="0"/>
    <n v="1"/>
    <n v="12"/>
    <s v="00"/>
    <s v="097"/>
    <s v="11200-097"/>
    <s v="Electric keyboard production item #097"/>
    <s v="UNIQUE"/>
    <n v="3"/>
    <n v="1"/>
    <n v="4"/>
    <n v="3"/>
    <n v="4"/>
  </r>
  <r>
    <x v="0"/>
    <x v="2"/>
    <x v="0"/>
    <n v="1"/>
    <n v="12"/>
    <s v="00"/>
    <s v="098"/>
    <s v="11200-098"/>
    <s v="Electric keyboard production item #098"/>
    <s v="UNIQUE"/>
    <n v="0"/>
    <n v="10"/>
    <n v="529"/>
    <n v="0"/>
    <n v="5290"/>
  </r>
  <r>
    <x v="0"/>
    <x v="2"/>
    <x v="0"/>
    <n v="1"/>
    <n v="12"/>
    <s v="00"/>
    <s v="099"/>
    <s v="11200-099"/>
    <s v="Electric keyboard production item #099"/>
    <s v="UNIQUE"/>
    <n v="801"/>
    <n v="9"/>
    <n v="1"/>
    <n v="7209"/>
    <n v="9"/>
  </r>
  <r>
    <x v="0"/>
    <x v="2"/>
    <x v="0"/>
    <n v="1"/>
    <n v="12"/>
    <s v="00"/>
    <s v="100"/>
    <s v="11200-100"/>
    <s v="Electric keyboard production item #100"/>
    <s v="UNIQUE"/>
    <n v="18"/>
    <n v="3"/>
    <n v="2"/>
    <n v="54"/>
    <n v="6"/>
  </r>
  <r>
    <x v="0"/>
    <x v="2"/>
    <x v="0"/>
    <n v="1"/>
    <n v="12"/>
    <s v="00"/>
    <s v="101"/>
    <s v="11200-101"/>
    <s v="Electric keyboard production item #101"/>
    <s v="UNIQUE"/>
    <n v="0"/>
    <n v="81"/>
    <n v="29"/>
    <n v="0"/>
    <n v="2349"/>
  </r>
  <r>
    <x v="0"/>
    <x v="2"/>
    <x v="0"/>
    <n v="1"/>
    <n v="12"/>
    <s v="00"/>
    <s v="102"/>
    <s v="11200-102"/>
    <s v="Electric keyboard production item #102"/>
    <s v="UNIQUE"/>
    <n v="0"/>
    <n v="125"/>
    <n v="4913"/>
    <n v="0"/>
    <n v="614125"/>
  </r>
  <r>
    <x v="0"/>
    <x v="2"/>
    <x v="0"/>
    <n v="1"/>
    <n v="12"/>
    <s v="00"/>
    <s v="103"/>
    <s v="11200-103"/>
    <s v="Electric keyboard production item #103"/>
    <s v="UNIQUE"/>
    <n v="66"/>
    <n v="7"/>
    <n v="16"/>
    <n v="462"/>
    <n v="112"/>
  </r>
  <r>
    <x v="0"/>
    <x v="2"/>
    <x v="0"/>
    <n v="1"/>
    <n v="12"/>
    <s v="00"/>
    <s v="104"/>
    <s v="11200-104"/>
    <s v="Electric keyboard production item #104"/>
    <s v="UNIQUE"/>
    <n v="2"/>
    <n v="5"/>
    <n v="4"/>
    <n v="10"/>
    <n v="20"/>
  </r>
  <r>
    <x v="0"/>
    <x v="2"/>
    <x v="0"/>
    <n v="1"/>
    <n v="12"/>
    <s v="00"/>
    <s v="105"/>
    <s v="11200-105"/>
    <s v="Electric keyboard production item #105"/>
    <s v="UNIQUE"/>
    <n v="0"/>
    <n v="36"/>
    <n v="144"/>
    <n v="0"/>
    <n v="5184"/>
  </r>
  <r>
    <x v="0"/>
    <x v="2"/>
    <x v="0"/>
    <n v="1"/>
    <n v="12"/>
    <s v="00"/>
    <s v="106"/>
    <s v="11200-106"/>
    <s v="Electric keyboard production item #106"/>
    <s v="UNIQUE"/>
    <n v="7027"/>
    <n v="4"/>
    <n v="1000"/>
    <n v="28108"/>
    <n v="4000"/>
  </r>
  <r>
    <x v="0"/>
    <x v="2"/>
    <x v="0"/>
    <n v="1"/>
    <n v="12"/>
    <s v="00"/>
    <s v="107"/>
    <s v="11200-107"/>
    <s v="Electric keyboard production item #107"/>
    <s v="UNIQUE"/>
    <n v="128"/>
    <n v="343"/>
    <n v="100"/>
    <n v="43904"/>
    <n v="34300"/>
  </r>
  <r>
    <x v="0"/>
    <x v="2"/>
    <x v="0"/>
    <n v="1"/>
    <n v="12"/>
    <s v="00"/>
    <s v="108"/>
    <s v="11200-108"/>
    <s v="Electric keyboard production item #108"/>
    <s v="UNIQUE"/>
    <n v="650"/>
    <n v="9"/>
    <n v="256"/>
    <n v="5850"/>
    <n v="2304"/>
  </r>
  <r>
    <x v="0"/>
    <x v="2"/>
    <x v="0"/>
    <n v="1"/>
    <n v="12"/>
    <s v="00"/>
    <s v="109"/>
    <s v="11200-109"/>
    <s v="Electric keyboard production item #109"/>
    <s v="UNIQUE"/>
    <n v="0"/>
    <n v="100"/>
    <n v="25"/>
    <n v="0"/>
    <n v="2500"/>
  </r>
  <r>
    <x v="0"/>
    <x v="2"/>
    <x v="0"/>
    <n v="1"/>
    <n v="12"/>
    <s v="00"/>
    <s v="110"/>
    <s v="11200-110"/>
    <s v="Electric keyboard production item #110"/>
    <s v="UNIQUE"/>
    <n v="0"/>
    <n v="9"/>
    <n v="256"/>
    <n v="0"/>
    <n v="2304"/>
  </r>
  <r>
    <x v="0"/>
    <x v="2"/>
    <x v="0"/>
    <n v="1"/>
    <n v="12"/>
    <s v="00"/>
    <s v="111"/>
    <s v="11200-111"/>
    <s v="Electric keyboard production item #111"/>
    <s v="UNIQUE"/>
    <n v="6"/>
    <n v="27"/>
    <n v="512"/>
    <n v="162"/>
    <n v="13824"/>
  </r>
  <r>
    <x v="0"/>
    <x v="2"/>
    <x v="0"/>
    <n v="1"/>
    <n v="12"/>
    <s v="00"/>
    <s v="112"/>
    <s v="11200-112"/>
    <s v="Electric keyboard production item #112"/>
    <s v="UNIQUE"/>
    <n v="1"/>
    <n v="216"/>
    <n v="289"/>
    <n v="216"/>
    <n v="62424"/>
  </r>
  <r>
    <x v="0"/>
    <x v="2"/>
    <x v="0"/>
    <n v="1"/>
    <n v="12"/>
    <s v="00"/>
    <s v="113"/>
    <s v="11200-113"/>
    <s v="Electric keyboard production item #113"/>
    <s v="UNIQUE"/>
    <n v="0"/>
    <n v="10"/>
    <n v="5"/>
    <n v="0"/>
    <n v="50"/>
  </r>
  <r>
    <x v="0"/>
    <x v="2"/>
    <x v="0"/>
    <n v="1"/>
    <n v="12"/>
    <s v="00"/>
    <s v="114"/>
    <s v="11200-114"/>
    <s v="Electric keyboard production item #114"/>
    <s v="UNIQUE"/>
    <n v="0"/>
    <n v="36"/>
    <n v="25"/>
    <n v="0"/>
    <n v="900"/>
  </r>
  <r>
    <x v="0"/>
    <x v="2"/>
    <x v="0"/>
    <n v="1"/>
    <n v="12"/>
    <s v="00"/>
    <s v="115"/>
    <s v="11200-115"/>
    <s v="Electric keyboard production item #115"/>
    <s v="UNIQUE"/>
    <n v="0"/>
    <n v="1"/>
    <n v="12"/>
    <n v="0"/>
    <n v="12"/>
  </r>
  <r>
    <x v="0"/>
    <x v="2"/>
    <x v="0"/>
    <n v="1"/>
    <n v="12"/>
    <s v="00"/>
    <s v="116"/>
    <s v="11200-116"/>
    <s v="Electric keyboard production item #116"/>
    <s v="UNIQUE"/>
    <n v="0"/>
    <n v="1"/>
    <n v="23"/>
    <n v="0"/>
    <n v="23"/>
  </r>
  <r>
    <x v="0"/>
    <x v="2"/>
    <x v="0"/>
    <n v="1"/>
    <n v="12"/>
    <s v="00"/>
    <s v="117"/>
    <s v="11200-117"/>
    <s v="Electric keyboard production item #117"/>
    <s v="UNIQUE"/>
    <n v="7560"/>
    <n v="343"/>
    <n v="16"/>
    <n v="2593080"/>
    <n v="5488"/>
  </r>
  <r>
    <x v="0"/>
    <x v="2"/>
    <x v="0"/>
    <n v="1"/>
    <n v="12"/>
    <s v="00"/>
    <s v="118"/>
    <s v="11200-118"/>
    <s v="Electric keyboard production item #118"/>
    <s v="UNIQUE"/>
    <n v="0"/>
    <n v="25"/>
    <n v="64"/>
    <n v="0"/>
    <n v="1600"/>
  </r>
  <r>
    <x v="0"/>
    <x v="2"/>
    <x v="0"/>
    <n v="1"/>
    <n v="12"/>
    <s v="00"/>
    <s v="119"/>
    <s v="11200-119"/>
    <s v="Electric keyboard production item #119"/>
    <s v="UNIQUE"/>
    <n v="0"/>
    <n v="5"/>
    <n v="81"/>
    <n v="0"/>
    <n v="405"/>
  </r>
  <r>
    <x v="0"/>
    <x v="2"/>
    <x v="0"/>
    <n v="1"/>
    <n v="12"/>
    <s v="00"/>
    <s v="120"/>
    <s v="11200-120"/>
    <s v="Electric keyboard production item #120"/>
    <s v="UNIQUE"/>
    <n v="4"/>
    <n v="25"/>
    <n v="900"/>
    <n v="100"/>
    <n v="22500"/>
  </r>
  <r>
    <x v="0"/>
    <x v="2"/>
    <x v="0"/>
    <n v="1"/>
    <n v="12"/>
    <s v="00"/>
    <s v="121"/>
    <s v="11200-121"/>
    <s v="Electric keyboard production item #121"/>
    <s v="UNIQUE"/>
    <n v="170"/>
    <n v="343"/>
    <n v="27"/>
    <n v="58310"/>
    <n v="9261"/>
  </r>
  <r>
    <x v="0"/>
    <x v="2"/>
    <x v="0"/>
    <n v="1"/>
    <n v="12"/>
    <s v="00"/>
    <s v="122"/>
    <s v="11200-122"/>
    <s v="Electric keyboard production item #122"/>
    <s v="UNIQUE"/>
    <n v="733"/>
    <n v="49"/>
    <n v="25"/>
    <n v="35917"/>
    <n v="1225"/>
  </r>
  <r>
    <x v="0"/>
    <x v="2"/>
    <x v="0"/>
    <n v="1"/>
    <n v="12"/>
    <s v="00"/>
    <s v="123"/>
    <s v="11200-123"/>
    <s v="Electric keyboard production item #123"/>
    <s v="UNIQUE"/>
    <n v="0"/>
    <n v="2"/>
    <n v="8"/>
    <n v="0"/>
    <n v="16"/>
  </r>
  <r>
    <x v="0"/>
    <x v="2"/>
    <x v="0"/>
    <n v="1"/>
    <n v="12"/>
    <s v="00"/>
    <s v="124"/>
    <s v="11200-124"/>
    <s v="Electric keyboard production item #124"/>
    <s v="UNIQUE"/>
    <n v="0"/>
    <n v="8"/>
    <n v="27"/>
    <n v="0"/>
    <n v="216"/>
  </r>
  <r>
    <x v="0"/>
    <x v="2"/>
    <x v="0"/>
    <n v="1"/>
    <n v="12"/>
    <s v="00"/>
    <s v="125"/>
    <s v="11200-125"/>
    <s v="Electric keyboard production item #125"/>
    <s v="UNIQUE"/>
    <n v="0"/>
    <n v="27"/>
    <n v="289"/>
    <n v="0"/>
    <n v="7803"/>
  </r>
  <r>
    <x v="0"/>
    <x v="2"/>
    <x v="0"/>
    <n v="1"/>
    <n v="12"/>
    <s v="00"/>
    <s v="126"/>
    <s v="11200-126"/>
    <s v="Electric keyboard production item #126"/>
    <s v="UNIQUE"/>
    <n v="91"/>
    <n v="6"/>
    <n v="729"/>
    <n v="546"/>
    <n v="4374"/>
  </r>
  <r>
    <x v="0"/>
    <x v="2"/>
    <x v="0"/>
    <n v="1"/>
    <n v="12"/>
    <s v="00"/>
    <s v="127"/>
    <s v="11200-127"/>
    <s v="Electric keyboard production item #127"/>
    <s v="UNIQUE"/>
    <n v="0"/>
    <n v="729"/>
    <n v="400"/>
    <n v="0"/>
    <n v="291600"/>
  </r>
  <r>
    <x v="0"/>
    <x v="2"/>
    <x v="0"/>
    <n v="1"/>
    <n v="12"/>
    <s v="00"/>
    <s v="128"/>
    <s v="11200-128"/>
    <s v="Electric keyboard production item #128"/>
    <s v="UNIQUE"/>
    <n v="0"/>
    <n v="1"/>
    <n v="17576"/>
    <n v="0"/>
    <n v="17576"/>
  </r>
  <r>
    <x v="0"/>
    <x v="2"/>
    <x v="0"/>
    <n v="1"/>
    <n v="12"/>
    <s v="00"/>
    <s v="129"/>
    <s v="11200-129"/>
    <s v="Electric keyboard production item #129"/>
    <s v="UNIQUE"/>
    <n v="0"/>
    <n v="125"/>
    <n v="16"/>
    <n v="0"/>
    <n v="2000"/>
  </r>
  <r>
    <x v="0"/>
    <x v="2"/>
    <x v="0"/>
    <n v="1"/>
    <n v="12"/>
    <s v="00"/>
    <s v="130"/>
    <s v="11200-130"/>
    <s v="Electric keyboard production item #130"/>
    <s v="UNIQUE"/>
    <n v="0"/>
    <n v="7"/>
    <n v="256"/>
    <n v="0"/>
    <n v="1792"/>
  </r>
  <r>
    <x v="0"/>
    <x v="2"/>
    <x v="0"/>
    <n v="1"/>
    <n v="12"/>
    <s v="00"/>
    <s v="131"/>
    <s v="11200-131"/>
    <s v="Electric keyboard production item #131"/>
    <s v="UNIQUE"/>
    <n v="0"/>
    <n v="7"/>
    <n v="900"/>
    <n v="0"/>
    <n v="6300"/>
  </r>
  <r>
    <x v="0"/>
    <x v="2"/>
    <x v="0"/>
    <n v="1"/>
    <n v="12"/>
    <s v="00"/>
    <s v="132"/>
    <s v="11200-132"/>
    <s v="Electric keyboard production item #132"/>
    <s v="UNIQUE"/>
    <n v="0"/>
    <n v="125"/>
    <n v="2197"/>
    <n v="0"/>
    <n v="274625"/>
  </r>
  <r>
    <x v="0"/>
    <x v="2"/>
    <x v="0"/>
    <n v="1"/>
    <n v="12"/>
    <s v="00"/>
    <s v="133"/>
    <s v="11200-133"/>
    <s v="Electric keyboard production item #133"/>
    <s v="UNIQUE"/>
    <n v="0"/>
    <n v="27"/>
    <n v="10"/>
    <n v="0"/>
    <n v="270"/>
  </r>
  <r>
    <x v="0"/>
    <x v="2"/>
    <x v="0"/>
    <n v="1"/>
    <n v="12"/>
    <s v="00"/>
    <s v="134"/>
    <s v="11200-134"/>
    <s v="Electric keyboard production item #134"/>
    <s v="UNIQUE"/>
    <n v="720"/>
    <n v="9"/>
    <n v="729"/>
    <n v="6480"/>
    <n v="6561"/>
  </r>
  <r>
    <x v="0"/>
    <x v="2"/>
    <x v="0"/>
    <n v="1"/>
    <n v="12"/>
    <s v="00"/>
    <s v="135"/>
    <s v="11200-135"/>
    <s v="Electric keyboard production item #135"/>
    <s v="UNIQUE"/>
    <n v="0"/>
    <n v="729"/>
    <n v="256"/>
    <n v="0"/>
    <n v="186624"/>
  </r>
  <r>
    <x v="0"/>
    <x v="2"/>
    <x v="0"/>
    <n v="1"/>
    <n v="12"/>
    <s v="00"/>
    <s v="136"/>
    <s v="11200-136"/>
    <s v="Electric keyboard production item #136"/>
    <s v="UNIQUE"/>
    <n v="626"/>
    <n v="10"/>
    <n v="8"/>
    <n v="6260"/>
    <n v="80"/>
  </r>
  <r>
    <x v="0"/>
    <x v="2"/>
    <x v="0"/>
    <n v="1"/>
    <n v="12"/>
    <s v="00"/>
    <s v="137"/>
    <s v="11200-137"/>
    <s v="Electric keyboard production item #137"/>
    <s v="UNIQUE"/>
    <n v="0"/>
    <n v="4"/>
    <n v="1"/>
    <n v="0"/>
    <n v="4"/>
  </r>
  <r>
    <x v="0"/>
    <x v="2"/>
    <x v="0"/>
    <n v="1"/>
    <n v="12"/>
    <s v="00"/>
    <s v="138"/>
    <s v="11200-138"/>
    <s v="Electric keyboard production item #138"/>
    <s v="UNIQUE"/>
    <n v="0"/>
    <n v="343"/>
    <n v="16"/>
    <n v="0"/>
    <n v="5488"/>
  </r>
  <r>
    <x v="0"/>
    <x v="2"/>
    <x v="0"/>
    <n v="1"/>
    <n v="12"/>
    <s v="00"/>
    <s v="139"/>
    <s v="11200-139"/>
    <s v="Electric keyboard production item #139"/>
    <s v="UNIQUE"/>
    <n v="9"/>
    <n v="3"/>
    <n v="8"/>
    <n v="27"/>
    <n v="24"/>
  </r>
  <r>
    <x v="0"/>
    <x v="2"/>
    <x v="0"/>
    <n v="1"/>
    <n v="12"/>
    <s v="00"/>
    <s v="140"/>
    <s v="11200-140"/>
    <s v="Electric keyboard production item #140"/>
    <s v="UNIQUE"/>
    <n v="7879"/>
    <n v="216"/>
    <n v="484"/>
    <n v="1701864"/>
    <n v="104544"/>
  </r>
  <r>
    <x v="0"/>
    <x v="2"/>
    <x v="0"/>
    <n v="1"/>
    <n v="12"/>
    <s v="00"/>
    <s v="141"/>
    <s v="11200-141"/>
    <s v="Electric keyboard production item #141"/>
    <s v="UNIQUE"/>
    <n v="0"/>
    <n v="125"/>
    <n v="24389"/>
    <n v="0"/>
    <n v="3048625"/>
  </r>
  <r>
    <x v="0"/>
    <x v="2"/>
    <x v="0"/>
    <n v="1"/>
    <n v="12"/>
    <s v="00"/>
    <s v="142"/>
    <s v="11200-142"/>
    <s v="Electric keyboard production item #142"/>
    <s v="UNIQUE"/>
    <n v="8886"/>
    <n v="2"/>
    <n v="729"/>
    <n v="17772"/>
    <n v="1458"/>
  </r>
  <r>
    <x v="0"/>
    <x v="2"/>
    <x v="0"/>
    <n v="1"/>
    <n v="12"/>
    <s v="00"/>
    <s v="143"/>
    <s v="11200-143"/>
    <s v="Electric keyboard production item #143"/>
    <s v="UNIQUE"/>
    <n v="7005"/>
    <n v="4"/>
    <n v="64"/>
    <n v="28020"/>
    <n v="256"/>
  </r>
  <r>
    <x v="0"/>
    <x v="2"/>
    <x v="0"/>
    <n v="1"/>
    <n v="12"/>
    <s v="00"/>
    <s v="144"/>
    <s v="11200-144"/>
    <s v="Electric keyboard production item #144"/>
    <s v="UNIQUE"/>
    <n v="0"/>
    <n v="343"/>
    <n v="1331"/>
    <n v="0"/>
    <n v="456533"/>
  </r>
  <r>
    <x v="0"/>
    <x v="2"/>
    <x v="0"/>
    <n v="1"/>
    <n v="12"/>
    <s v="00"/>
    <s v="145"/>
    <s v="11200-145"/>
    <s v="Electric keyboard production item #145"/>
    <s v="UNIQUE"/>
    <n v="0"/>
    <n v="9"/>
    <n v="529"/>
    <n v="0"/>
    <n v="4761"/>
  </r>
  <r>
    <x v="0"/>
    <x v="2"/>
    <x v="0"/>
    <n v="1"/>
    <n v="12"/>
    <s v="00"/>
    <s v="146"/>
    <s v="11200-146"/>
    <s v="Electric keyboard production item #146"/>
    <s v="UNIQUE"/>
    <n v="55"/>
    <n v="8"/>
    <n v="81"/>
    <n v="440"/>
    <n v="648"/>
  </r>
  <r>
    <x v="0"/>
    <x v="2"/>
    <x v="0"/>
    <n v="1"/>
    <n v="12"/>
    <s v="00"/>
    <s v="147"/>
    <s v="11200-147"/>
    <s v="Electric keyboard production item #147"/>
    <s v="UNIQUE"/>
    <n v="0"/>
    <n v="125"/>
    <n v="0"/>
    <n v="0"/>
    <n v="0"/>
  </r>
  <r>
    <x v="0"/>
    <x v="2"/>
    <x v="0"/>
    <n v="1"/>
    <n v="12"/>
    <s v="00"/>
    <s v="148"/>
    <s v="11200-148"/>
    <s v="Electric keyboard production item #148"/>
    <s v="UNIQUE"/>
    <n v="1377"/>
    <n v="25"/>
    <n v="15"/>
    <n v="34425"/>
    <n v="375"/>
  </r>
  <r>
    <x v="0"/>
    <x v="2"/>
    <x v="0"/>
    <n v="1"/>
    <n v="12"/>
    <s v="00"/>
    <s v="149"/>
    <s v="11200-149"/>
    <s v="Electric keyboard production item #149"/>
    <s v="UNIQUE"/>
    <n v="0"/>
    <n v="8"/>
    <n v="576"/>
    <n v="0"/>
    <n v="4608"/>
  </r>
  <r>
    <x v="0"/>
    <x v="2"/>
    <x v="0"/>
    <n v="1"/>
    <n v="12"/>
    <s v="00"/>
    <s v="150"/>
    <s v="11200-150"/>
    <s v="Electric keyboard production item #150"/>
    <s v="UNIQUE"/>
    <n v="0"/>
    <n v="81"/>
    <n v="1331"/>
    <n v="0"/>
    <n v="107811"/>
  </r>
  <r>
    <x v="0"/>
    <x v="2"/>
    <x v="0"/>
    <n v="1"/>
    <n v="12"/>
    <s v="00"/>
    <s v="151"/>
    <s v="11200-151"/>
    <s v="Electric keyboard production item #151"/>
    <s v="UNIQUE"/>
    <n v="0"/>
    <n v="1"/>
    <n v="29"/>
    <n v="0"/>
    <n v="29"/>
  </r>
  <r>
    <x v="0"/>
    <x v="2"/>
    <x v="0"/>
    <n v="1"/>
    <n v="12"/>
    <s v="00"/>
    <s v="152"/>
    <s v="11200-152"/>
    <s v="Electric keyboard production item #152"/>
    <s v="UNIQUE"/>
    <n v="0"/>
    <n v="10"/>
    <n v="900"/>
    <n v="0"/>
    <n v="9000"/>
  </r>
  <r>
    <x v="0"/>
    <x v="2"/>
    <x v="0"/>
    <n v="1"/>
    <n v="12"/>
    <s v="00"/>
    <s v="153"/>
    <s v="11200-153"/>
    <s v="Electric keyboard production item #153"/>
    <s v="UNIQUE"/>
    <n v="0"/>
    <n v="6"/>
    <n v="125"/>
    <n v="0"/>
    <n v="750"/>
  </r>
  <r>
    <x v="0"/>
    <x v="2"/>
    <x v="0"/>
    <n v="1"/>
    <n v="12"/>
    <s v="00"/>
    <s v="154"/>
    <s v="11200-154"/>
    <s v="Electric keyboard production item #154"/>
    <s v="UNIQUE"/>
    <n v="9"/>
    <n v="27"/>
    <n v="21952"/>
    <n v="243"/>
    <n v="592704"/>
  </r>
  <r>
    <x v="0"/>
    <x v="2"/>
    <x v="0"/>
    <n v="1"/>
    <n v="12"/>
    <s v="00"/>
    <s v="155"/>
    <s v="11200-155"/>
    <s v="Electric keyboard production item #155"/>
    <s v="UNIQUE"/>
    <n v="0"/>
    <n v="7"/>
    <n v="2744"/>
    <n v="0"/>
    <n v="19208"/>
  </r>
  <r>
    <x v="0"/>
    <x v="2"/>
    <x v="0"/>
    <n v="1"/>
    <n v="12"/>
    <s v="00"/>
    <s v="156"/>
    <s v="11200-156"/>
    <s v="Electric keyboard production item #156"/>
    <s v="UNIQUE"/>
    <n v="0"/>
    <n v="8"/>
    <n v="2"/>
    <n v="0"/>
    <n v="16"/>
  </r>
  <r>
    <x v="0"/>
    <x v="2"/>
    <x v="0"/>
    <n v="1"/>
    <n v="12"/>
    <s v="00"/>
    <s v="157"/>
    <s v="11200-157"/>
    <s v="Electric keyboard production item #157"/>
    <s v="UNIQUE"/>
    <n v="0"/>
    <n v="1"/>
    <n v="6859"/>
    <n v="0"/>
    <n v="6859"/>
  </r>
  <r>
    <x v="0"/>
    <x v="2"/>
    <x v="0"/>
    <n v="1"/>
    <n v="12"/>
    <s v="00"/>
    <s v="158"/>
    <s v="11200-158"/>
    <s v="Electric keyboard production item #158"/>
    <s v="UNIQUE"/>
    <n v="4"/>
    <n v="64"/>
    <n v="3"/>
    <n v="256"/>
    <n v="192"/>
  </r>
  <r>
    <x v="0"/>
    <x v="2"/>
    <x v="0"/>
    <n v="1"/>
    <n v="12"/>
    <s v="00"/>
    <s v="159"/>
    <s v="11200-159"/>
    <s v="Electric keyboard production item #159"/>
    <s v="UNIQUE"/>
    <n v="214"/>
    <n v="4"/>
    <n v="4096"/>
    <n v="856"/>
    <n v="16384"/>
  </r>
  <r>
    <x v="0"/>
    <x v="2"/>
    <x v="0"/>
    <n v="1"/>
    <n v="12"/>
    <s v="00"/>
    <s v="160"/>
    <s v="11200-160"/>
    <s v="Electric keyboard production item #160"/>
    <s v="UNIQUE"/>
    <n v="0"/>
    <n v="9"/>
    <n v="4913"/>
    <n v="0"/>
    <n v="44217"/>
  </r>
  <r>
    <x v="0"/>
    <x v="2"/>
    <x v="0"/>
    <n v="1"/>
    <n v="12"/>
    <s v="00"/>
    <s v="161"/>
    <s v="11200-161"/>
    <s v="Electric keyboard production item #161"/>
    <s v="UNIQUE"/>
    <n v="3"/>
    <n v="36"/>
    <n v="2"/>
    <n v="108"/>
    <n v="72"/>
  </r>
  <r>
    <x v="0"/>
    <x v="2"/>
    <x v="0"/>
    <n v="1"/>
    <n v="12"/>
    <s v="00"/>
    <s v="162"/>
    <s v="11200-162"/>
    <s v="Electric keyboard production item #162"/>
    <s v="UNIQUE"/>
    <n v="0"/>
    <n v="49"/>
    <n v="19"/>
    <n v="0"/>
    <n v="931"/>
  </r>
  <r>
    <x v="0"/>
    <x v="2"/>
    <x v="0"/>
    <n v="1"/>
    <n v="12"/>
    <s v="00"/>
    <s v="163"/>
    <s v="11200-163"/>
    <s v="Electric keyboard production item #163"/>
    <s v="UNIQUE"/>
    <n v="491"/>
    <n v="8"/>
    <n v="25"/>
    <n v="3928"/>
    <n v="200"/>
  </r>
  <r>
    <x v="0"/>
    <x v="2"/>
    <x v="0"/>
    <n v="1"/>
    <n v="12"/>
    <s v="00"/>
    <s v="164"/>
    <s v="11200-164"/>
    <s v="Electric keyboard production item #164"/>
    <s v="UNIQUE"/>
    <n v="0"/>
    <n v="3"/>
    <n v="0"/>
    <n v="0"/>
    <n v="0"/>
  </r>
  <r>
    <x v="0"/>
    <x v="2"/>
    <x v="0"/>
    <n v="1"/>
    <n v="12"/>
    <s v="00"/>
    <s v="165"/>
    <s v="11200-165"/>
    <s v="Electric keyboard production item #165"/>
    <s v="UNIQUE"/>
    <n v="1"/>
    <n v="9"/>
    <n v="21"/>
    <n v="9"/>
    <n v="189"/>
  </r>
  <r>
    <x v="0"/>
    <x v="2"/>
    <x v="0"/>
    <n v="1"/>
    <n v="12"/>
    <s v="00"/>
    <s v="166"/>
    <s v="11200-166"/>
    <s v="Electric keyboard production item #166"/>
    <s v="UNIQUE"/>
    <n v="0"/>
    <n v="36"/>
    <n v="27"/>
    <n v="0"/>
    <n v="972"/>
  </r>
  <r>
    <x v="0"/>
    <x v="2"/>
    <x v="0"/>
    <n v="1"/>
    <n v="12"/>
    <s v="00"/>
    <s v="167"/>
    <s v="11200-167"/>
    <s v="Electric keyboard production item #167"/>
    <s v="UNIQUE"/>
    <n v="0"/>
    <n v="8"/>
    <n v="81"/>
    <n v="0"/>
    <n v="648"/>
  </r>
  <r>
    <x v="0"/>
    <x v="2"/>
    <x v="0"/>
    <n v="1"/>
    <n v="12"/>
    <s v="00"/>
    <s v="168"/>
    <s v="11200-168"/>
    <s v="Electric keyboard production item #168"/>
    <s v="UNIQUE"/>
    <n v="0"/>
    <n v="8"/>
    <n v="729"/>
    <n v="0"/>
    <n v="5832"/>
  </r>
  <r>
    <x v="0"/>
    <x v="2"/>
    <x v="0"/>
    <n v="1"/>
    <n v="12"/>
    <s v="00"/>
    <s v="169"/>
    <s v="11200-169"/>
    <s v="Electric keyboard production item #169"/>
    <s v="UNIQUE"/>
    <n v="0"/>
    <n v="36"/>
    <n v="9"/>
    <n v="0"/>
    <n v="324"/>
  </r>
  <r>
    <x v="0"/>
    <x v="2"/>
    <x v="0"/>
    <n v="1"/>
    <n v="12"/>
    <s v="00"/>
    <s v="170"/>
    <s v="11200-170"/>
    <s v="Electric keyboard production item #170"/>
    <s v="UNIQUE"/>
    <n v="3"/>
    <n v="2"/>
    <n v="27"/>
    <n v="6"/>
    <n v="54"/>
  </r>
  <r>
    <x v="0"/>
    <x v="2"/>
    <x v="0"/>
    <n v="1"/>
    <n v="12"/>
    <s v="00"/>
    <s v="171"/>
    <s v="11200-171"/>
    <s v="Electric keyboard production item #171"/>
    <s v="UNIQUE"/>
    <n v="5"/>
    <n v="1000"/>
    <n v="4913"/>
    <n v="5000"/>
    <n v="4913000"/>
  </r>
  <r>
    <x v="0"/>
    <x v="2"/>
    <x v="0"/>
    <n v="1"/>
    <n v="12"/>
    <s v="00"/>
    <s v="172"/>
    <s v="11200-172"/>
    <s v="Electric keyboard production item #172"/>
    <s v="UNIQUE"/>
    <n v="0"/>
    <n v="8"/>
    <n v="0"/>
    <n v="0"/>
    <n v="0"/>
  </r>
  <r>
    <x v="0"/>
    <x v="2"/>
    <x v="0"/>
    <n v="1"/>
    <n v="12"/>
    <s v="00"/>
    <s v="173"/>
    <s v="11200-173"/>
    <s v="Electric keyboard production item #173"/>
    <s v="UNIQUE"/>
    <n v="5"/>
    <n v="27"/>
    <n v="441"/>
    <n v="135"/>
    <n v="11907"/>
  </r>
  <r>
    <x v="0"/>
    <x v="2"/>
    <x v="0"/>
    <n v="1"/>
    <n v="12"/>
    <s v="00"/>
    <s v="174"/>
    <s v="11200-174"/>
    <s v="Electric keyboard production item #174"/>
    <s v="UNIQUE"/>
    <n v="2260"/>
    <n v="100"/>
    <n v="343"/>
    <n v="226000"/>
    <n v="34300"/>
  </r>
  <r>
    <x v="0"/>
    <x v="2"/>
    <x v="0"/>
    <n v="1"/>
    <n v="12"/>
    <s v="00"/>
    <s v="175"/>
    <s v="11200-175"/>
    <s v="Electric keyboard production item #175"/>
    <s v="UNIQUE"/>
    <n v="0"/>
    <n v="3"/>
    <n v="27000"/>
    <n v="0"/>
    <n v="81000"/>
  </r>
  <r>
    <x v="0"/>
    <x v="2"/>
    <x v="0"/>
    <n v="1"/>
    <n v="12"/>
    <s v="00"/>
    <s v="176"/>
    <s v="11200-176"/>
    <s v="Electric keyboard production item #176"/>
    <s v="UNIQUE"/>
    <n v="0"/>
    <n v="49"/>
    <n v="25"/>
    <n v="0"/>
    <n v="1225"/>
  </r>
  <r>
    <x v="0"/>
    <x v="2"/>
    <x v="0"/>
    <n v="1"/>
    <n v="12"/>
    <s v="00"/>
    <s v="177"/>
    <s v="11200-177"/>
    <s v="Electric keyboard production item #177"/>
    <s v="UNIQUE"/>
    <n v="0"/>
    <n v="100"/>
    <n v="4913"/>
    <n v="0"/>
    <n v="491300"/>
  </r>
  <r>
    <x v="0"/>
    <x v="2"/>
    <x v="0"/>
    <n v="1"/>
    <n v="12"/>
    <s v="00"/>
    <s v="178"/>
    <s v="11200-178"/>
    <s v="Electric keyboard production item #178"/>
    <s v="UNIQUE"/>
    <n v="0"/>
    <n v="729"/>
    <n v="4096"/>
    <n v="0"/>
    <n v="2985984"/>
  </r>
  <r>
    <x v="0"/>
    <x v="2"/>
    <x v="0"/>
    <n v="1"/>
    <n v="12"/>
    <s v="00"/>
    <s v="179"/>
    <s v="11200-179"/>
    <s v="Electric keyboard production item #179"/>
    <s v="UNIQUE"/>
    <n v="0"/>
    <n v="125"/>
    <n v="30"/>
    <n v="0"/>
    <n v="3750"/>
  </r>
  <r>
    <x v="0"/>
    <x v="2"/>
    <x v="0"/>
    <n v="1"/>
    <n v="12"/>
    <s v="00"/>
    <s v="180"/>
    <s v="11200-180"/>
    <s v="Electric keyboard production item #180"/>
    <s v="UNIQUE"/>
    <n v="0"/>
    <n v="1"/>
    <n v="576"/>
    <n v="0"/>
    <n v="576"/>
  </r>
  <r>
    <x v="0"/>
    <x v="2"/>
    <x v="0"/>
    <n v="1"/>
    <n v="12"/>
    <s v="00"/>
    <s v="181"/>
    <s v="11200-181"/>
    <s v="Electric keyboard production item #181"/>
    <s v="UNIQUE"/>
    <n v="0"/>
    <n v="343"/>
    <n v="10"/>
    <n v="0"/>
    <n v="3430"/>
  </r>
  <r>
    <x v="0"/>
    <x v="2"/>
    <x v="0"/>
    <n v="1"/>
    <n v="12"/>
    <s v="00"/>
    <s v="182"/>
    <s v="11200-182"/>
    <s v="Electric keyboard production item #182"/>
    <s v="UNIQUE"/>
    <n v="0"/>
    <n v="8"/>
    <n v="26"/>
    <n v="0"/>
    <n v="208"/>
  </r>
  <r>
    <x v="0"/>
    <x v="2"/>
    <x v="0"/>
    <n v="1"/>
    <n v="12"/>
    <s v="00"/>
    <s v="183"/>
    <s v="11200-183"/>
    <s v="Electric keyboard production item #183"/>
    <s v="UNIQUE"/>
    <n v="53"/>
    <n v="8"/>
    <n v="125"/>
    <n v="424"/>
    <n v="1000"/>
  </r>
  <r>
    <x v="0"/>
    <x v="2"/>
    <x v="0"/>
    <n v="1"/>
    <n v="12"/>
    <s v="00"/>
    <s v="184"/>
    <s v="11200-184"/>
    <s v="Electric keyboard production item #184"/>
    <s v="UNIQUE"/>
    <n v="0"/>
    <n v="16"/>
    <n v="3"/>
    <n v="0"/>
    <n v="48"/>
  </r>
  <r>
    <x v="0"/>
    <x v="2"/>
    <x v="0"/>
    <n v="1"/>
    <n v="12"/>
    <s v="00"/>
    <s v="185"/>
    <s v="11200-185"/>
    <s v="Electric keyboard production item #185"/>
    <s v="UNIQUE"/>
    <n v="0"/>
    <n v="25"/>
    <n v="25"/>
    <n v="0"/>
    <n v="625"/>
  </r>
  <r>
    <x v="0"/>
    <x v="2"/>
    <x v="0"/>
    <n v="1"/>
    <n v="12"/>
    <s v="00"/>
    <s v="186"/>
    <s v="11200-186"/>
    <s v="Electric keyboard production item #186"/>
    <s v="UNIQUE"/>
    <n v="96"/>
    <n v="9"/>
    <n v="125"/>
    <n v="864"/>
    <n v="1125"/>
  </r>
  <r>
    <x v="0"/>
    <x v="2"/>
    <x v="0"/>
    <n v="1"/>
    <n v="12"/>
    <s v="00"/>
    <s v="187"/>
    <s v="11200-187"/>
    <s v="Electric keyboard production item #187"/>
    <s v="UNIQUE"/>
    <n v="671"/>
    <n v="6"/>
    <n v="4913"/>
    <n v="4026"/>
    <n v="29478"/>
  </r>
  <r>
    <x v="0"/>
    <x v="2"/>
    <x v="0"/>
    <n v="1"/>
    <n v="12"/>
    <s v="00"/>
    <s v="188"/>
    <s v="11200-188"/>
    <s v="Electric keyboard production item #188"/>
    <s v="UNIQUE"/>
    <n v="0"/>
    <n v="729"/>
    <n v="625"/>
    <n v="0"/>
    <n v="455625"/>
  </r>
  <r>
    <x v="0"/>
    <x v="2"/>
    <x v="0"/>
    <n v="1"/>
    <n v="12"/>
    <s v="00"/>
    <s v="189"/>
    <s v="11200-189"/>
    <s v="Electric keyboard production item #189"/>
    <s v="UNIQUE"/>
    <n v="0"/>
    <n v="9"/>
    <n v="343"/>
    <n v="0"/>
    <n v="3087"/>
  </r>
  <r>
    <x v="0"/>
    <x v="2"/>
    <x v="0"/>
    <n v="1"/>
    <n v="12"/>
    <s v="00"/>
    <s v="190"/>
    <s v="11200-190"/>
    <s v="Electric keyboard production item #190"/>
    <s v="UNIQUE"/>
    <n v="5085"/>
    <n v="27"/>
    <n v="529"/>
    <n v="137295"/>
    <n v="14283"/>
  </r>
  <r>
    <x v="0"/>
    <x v="2"/>
    <x v="0"/>
    <n v="1"/>
    <n v="12"/>
    <s v="00"/>
    <s v="191"/>
    <s v="11200-191"/>
    <s v="Electric keyboard production item #191"/>
    <s v="UNIQUE"/>
    <n v="1"/>
    <n v="16"/>
    <n v="729"/>
    <n v="16"/>
    <n v="11664"/>
  </r>
  <r>
    <x v="0"/>
    <x v="2"/>
    <x v="0"/>
    <n v="1"/>
    <n v="12"/>
    <s v="00"/>
    <s v="192"/>
    <s v="11200-192"/>
    <s v="Electric keyboard production item #192"/>
    <s v="UNIQUE"/>
    <n v="0"/>
    <n v="1000"/>
    <n v="15"/>
    <n v="0"/>
    <n v="15000"/>
  </r>
  <r>
    <x v="0"/>
    <x v="2"/>
    <x v="0"/>
    <n v="1"/>
    <n v="12"/>
    <s v="00"/>
    <s v="193"/>
    <s v="11200-193"/>
    <s v="Electric keyboard production item #193"/>
    <s v="UNIQUE"/>
    <n v="8"/>
    <n v="49"/>
    <n v="6"/>
    <n v="392"/>
    <n v="294"/>
  </r>
  <r>
    <x v="0"/>
    <x v="2"/>
    <x v="0"/>
    <n v="1"/>
    <n v="12"/>
    <s v="00"/>
    <s v="194"/>
    <s v="11200-194"/>
    <s v="Electric keyboard production item #194"/>
    <s v="UNIQUE"/>
    <n v="71"/>
    <n v="10"/>
    <n v="26"/>
    <n v="710"/>
    <n v="260"/>
  </r>
  <r>
    <x v="0"/>
    <x v="2"/>
    <x v="0"/>
    <n v="1"/>
    <n v="12"/>
    <s v="00"/>
    <s v="195"/>
    <s v="11200-195"/>
    <s v="Electric keyboard production item #195"/>
    <s v="UNIQUE"/>
    <n v="0"/>
    <n v="27"/>
    <n v="25"/>
    <n v="0"/>
    <n v="675"/>
  </r>
  <r>
    <x v="0"/>
    <x v="2"/>
    <x v="0"/>
    <n v="1"/>
    <n v="12"/>
    <s v="00"/>
    <s v="196"/>
    <s v="11200-196"/>
    <s v="Electric keyboard production item #196"/>
    <s v="UNIQUE"/>
    <n v="91"/>
    <n v="4"/>
    <n v="1"/>
    <n v="364"/>
    <n v="4"/>
  </r>
  <r>
    <x v="0"/>
    <x v="2"/>
    <x v="0"/>
    <n v="1"/>
    <n v="12"/>
    <s v="00"/>
    <s v="197"/>
    <s v="11200-197"/>
    <s v="Electric keyboard production item #197"/>
    <s v="UNIQUE"/>
    <n v="12"/>
    <n v="36"/>
    <n v="225"/>
    <n v="432"/>
    <n v="8100"/>
  </r>
  <r>
    <x v="0"/>
    <x v="2"/>
    <x v="0"/>
    <n v="1"/>
    <n v="12"/>
    <s v="00"/>
    <s v="198"/>
    <s v="11200-198"/>
    <s v="Electric keyboard production item #198"/>
    <s v="UNIQUE"/>
    <n v="0"/>
    <n v="8"/>
    <n v="20"/>
    <n v="0"/>
    <n v="160"/>
  </r>
  <r>
    <x v="0"/>
    <x v="2"/>
    <x v="0"/>
    <n v="1"/>
    <n v="12"/>
    <s v="00"/>
    <s v="199"/>
    <s v="11200-199"/>
    <s v="Electric keyboard production item #199"/>
    <s v="UNIQUE"/>
    <n v="0"/>
    <n v="10"/>
    <n v="24"/>
    <n v="0"/>
    <n v="240"/>
  </r>
  <r>
    <x v="0"/>
    <x v="3"/>
    <x v="1"/>
    <n v="1"/>
    <n v="20"/>
    <s v="00"/>
    <s v="000"/>
    <s v="12000-000"/>
    <s v="Violin production item #000"/>
    <s v="UNIQUE"/>
    <n v="0"/>
    <n v="216"/>
    <n v="12"/>
    <n v="0"/>
    <n v="2592"/>
  </r>
  <r>
    <x v="0"/>
    <x v="3"/>
    <x v="1"/>
    <n v="1"/>
    <n v="20"/>
    <s v="00"/>
    <s v="001"/>
    <s v="12000-001"/>
    <s v="Violin production item #001"/>
    <s v="UNIQUE"/>
    <n v="0"/>
    <n v="3"/>
    <n v="23"/>
    <n v="0"/>
    <n v="69"/>
  </r>
  <r>
    <x v="0"/>
    <x v="3"/>
    <x v="1"/>
    <n v="1"/>
    <n v="20"/>
    <s v="00"/>
    <s v="002"/>
    <s v="12000-002"/>
    <s v="Violin production item #002"/>
    <s v="UNIQUE"/>
    <n v="0"/>
    <n v="49"/>
    <n v="19683"/>
    <n v="0"/>
    <n v="964467"/>
  </r>
  <r>
    <x v="0"/>
    <x v="3"/>
    <x v="1"/>
    <n v="1"/>
    <n v="20"/>
    <s v="00"/>
    <s v="003"/>
    <s v="12000-003"/>
    <s v="Violin production item #003"/>
    <s v="UNIQUE"/>
    <n v="0"/>
    <n v="10"/>
    <n v="289"/>
    <n v="0"/>
    <n v="2890"/>
  </r>
  <r>
    <x v="0"/>
    <x v="3"/>
    <x v="1"/>
    <n v="1"/>
    <n v="20"/>
    <s v="00"/>
    <s v="004"/>
    <s v="12000-004"/>
    <s v="Violin production item #004"/>
    <s v="UNIQUE"/>
    <n v="0"/>
    <n v="100"/>
    <n v="23"/>
    <n v="0"/>
    <n v="2300"/>
  </r>
  <r>
    <x v="0"/>
    <x v="3"/>
    <x v="1"/>
    <n v="1"/>
    <n v="20"/>
    <s v="00"/>
    <s v="005"/>
    <s v="12000-005"/>
    <s v="Violin production item #005"/>
    <s v="UNIQUE"/>
    <n v="0"/>
    <n v="2"/>
    <n v="49"/>
    <n v="0"/>
    <n v="98"/>
  </r>
  <r>
    <x v="0"/>
    <x v="3"/>
    <x v="1"/>
    <n v="1"/>
    <n v="20"/>
    <s v="00"/>
    <s v="006"/>
    <s v="12000-006"/>
    <s v="Violin production item #006"/>
    <s v="UNIQUE"/>
    <n v="0"/>
    <n v="1"/>
    <n v="1"/>
    <n v="0"/>
    <n v="1"/>
  </r>
  <r>
    <x v="0"/>
    <x v="3"/>
    <x v="1"/>
    <n v="1"/>
    <n v="20"/>
    <s v="00"/>
    <s v="007"/>
    <s v="12000-007"/>
    <s v="Violin production item #007"/>
    <s v="UNIQUE"/>
    <n v="0"/>
    <n v="9"/>
    <n v="529"/>
    <n v="0"/>
    <n v="4761"/>
  </r>
  <r>
    <x v="0"/>
    <x v="3"/>
    <x v="1"/>
    <n v="1"/>
    <n v="20"/>
    <s v="00"/>
    <s v="008"/>
    <s v="12000-008"/>
    <s v="Violin production item #008"/>
    <s v="UNIQUE"/>
    <n v="0"/>
    <n v="9"/>
    <n v="484"/>
    <n v="0"/>
    <n v="4356"/>
  </r>
  <r>
    <x v="0"/>
    <x v="3"/>
    <x v="1"/>
    <n v="1"/>
    <n v="20"/>
    <s v="00"/>
    <s v="009"/>
    <s v="12000-009"/>
    <s v="Violin production item #009"/>
    <s v="UNIQUE"/>
    <n v="6165"/>
    <n v="64"/>
    <n v="16"/>
    <n v="394560"/>
    <n v="1024"/>
  </r>
  <r>
    <x v="0"/>
    <x v="3"/>
    <x v="1"/>
    <n v="1"/>
    <n v="20"/>
    <s v="00"/>
    <s v="010"/>
    <s v="12000-010"/>
    <s v="Violin production item #010"/>
    <s v="UNIQUE"/>
    <n v="0"/>
    <n v="3"/>
    <n v="256"/>
    <n v="0"/>
    <n v="768"/>
  </r>
  <r>
    <x v="0"/>
    <x v="3"/>
    <x v="1"/>
    <n v="1"/>
    <n v="20"/>
    <s v="00"/>
    <s v="011"/>
    <s v="12000-011"/>
    <s v="Violin production item #011"/>
    <s v="UNIQUE"/>
    <n v="0"/>
    <n v="100"/>
    <n v="625"/>
    <n v="0"/>
    <n v="62500"/>
  </r>
  <r>
    <x v="0"/>
    <x v="3"/>
    <x v="1"/>
    <n v="1"/>
    <n v="20"/>
    <s v="00"/>
    <s v="012"/>
    <s v="12000-012"/>
    <s v="Violin production item #012"/>
    <s v="UNIQUE"/>
    <n v="0"/>
    <n v="25"/>
    <n v="17"/>
    <n v="0"/>
    <n v="425"/>
  </r>
  <r>
    <x v="0"/>
    <x v="3"/>
    <x v="1"/>
    <n v="1"/>
    <n v="20"/>
    <s v="00"/>
    <s v="013"/>
    <s v="12000-013"/>
    <s v="Violin production item #013"/>
    <s v="UNIQUE"/>
    <n v="0"/>
    <n v="8"/>
    <n v="26"/>
    <n v="0"/>
    <n v="208"/>
  </r>
  <r>
    <x v="0"/>
    <x v="3"/>
    <x v="1"/>
    <n v="1"/>
    <n v="20"/>
    <s v="00"/>
    <s v="014"/>
    <s v="12000-014"/>
    <s v="Violin production item #014"/>
    <s v="UNIQUE"/>
    <n v="7199"/>
    <n v="125"/>
    <n v="81"/>
    <n v="899875"/>
    <n v="10125"/>
  </r>
  <r>
    <x v="0"/>
    <x v="3"/>
    <x v="1"/>
    <n v="1"/>
    <n v="20"/>
    <s v="00"/>
    <s v="015"/>
    <s v="12000-015"/>
    <s v="Violin production item #015"/>
    <s v="UNIQUE"/>
    <n v="0"/>
    <n v="9"/>
    <n v="20"/>
    <n v="0"/>
    <n v="180"/>
  </r>
  <r>
    <x v="0"/>
    <x v="3"/>
    <x v="1"/>
    <n v="1"/>
    <n v="20"/>
    <s v="00"/>
    <s v="016"/>
    <s v="12000-016"/>
    <s v="Violin production item #016"/>
    <s v="UNIQUE"/>
    <n v="28"/>
    <n v="27"/>
    <n v="24389"/>
    <n v="756"/>
    <n v="658503"/>
  </r>
  <r>
    <x v="0"/>
    <x v="3"/>
    <x v="1"/>
    <n v="1"/>
    <n v="20"/>
    <s v="00"/>
    <s v="017"/>
    <s v="12000-017"/>
    <s v="Violin production item #017"/>
    <s v="UNIQUE"/>
    <n v="0"/>
    <n v="81"/>
    <n v="144"/>
    <n v="0"/>
    <n v="11664"/>
  </r>
  <r>
    <x v="0"/>
    <x v="3"/>
    <x v="1"/>
    <n v="1"/>
    <n v="20"/>
    <s v="00"/>
    <s v="018"/>
    <s v="12000-018"/>
    <s v="Violin production item #018"/>
    <s v="UNIQUE"/>
    <n v="124"/>
    <n v="4"/>
    <n v="17576"/>
    <n v="496"/>
    <n v="70304"/>
  </r>
  <r>
    <x v="0"/>
    <x v="3"/>
    <x v="1"/>
    <n v="1"/>
    <n v="20"/>
    <s v="00"/>
    <s v="019"/>
    <s v="12000-019"/>
    <s v="Violin production item #019"/>
    <s v="UNIQUE"/>
    <n v="0"/>
    <n v="9"/>
    <n v="441"/>
    <n v="0"/>
    <n v="3969"/>
  </r>
  <r>
    <x v="0"/>
    <x v="3"/>
    <x v="1"/>
    <n v="1"/>
    <n v="20"/>
    <s v="00"/>
    <s v="020"/>
    <s v="12000-020"/>
    <s v="Violin production item #020"/>
    <s v="UNIQUE"/>
    <n v="1"/>
    <n v="27"/>
    <n v="400"/>
    <n v="27"/>
    <n v="10800"/>
  </r>
  <r>
    <x v="0"/>
    <x v="3"/>
    <x v="1"/>
    <n v="1"/>
    <n v="20"/>
    <s v="00"/>
    <s v="021"/>
    <s v="12000-021"/>
    <s v="Violin production item #021"/>
    <s v="UNIQUE"/>
    <n v="0"/>
    <n v="1000"/>
    <n v="216"/>
    <n v="0"/>
    <n v="216000"/>
  </r>
  <r>
    <x v="0"/>
    <x v="3"/>
    <x v="1"/>
    <n v="1"/>
    <n v="20"/>
    <s v="00"/>
    <s v="022"/>
    <s v="12000-022"/>
    <s v="Violin production item #022"/>
    <s v="UNIQUE"/>
    <n v="8"/>
    <n v="64"/>
    <n v="6859"/>
    <n v="512"/>
    <n v="438976"/>
  </r>
  <r>
    <x v="0"/>
    <x v="3"/>
    <x v="1"/>
    <n v="1"/>
    <n v="20"/>
    <s v="00"/>
    <s v="023"/>
    <s v="12000-023"/>
    <s v="Violin production item #023"/>
    <s v="UNIQUE"/>
    <n v="0"/>
    <n v="8"/>
    <n v="1"/>
    <n v="0"/>
    <n v="8"/>
  </r>
  <r>
    <x v="0"/>
    <x v="3"/>
    <x v="1"/>
    <n v="1"/>
    <n v="20"/>
    <s v="00"/>
    <s v="024"/>
    <s v="12000-024"/>
    <s v="Violin production item #024"/>
    <s v="UNIQUE"/>
    <n v="0"/>
    <n v="36"/>
    <n v="169"/>
    <n v="0"/>
    <n v="6084"/>
  </r>
  <r>
    <x v="0"/>
    <x v="3"/>
    <x v="1"/>
    <n v="1"/>
    <n v="20"/>
    <s v="00"/>
    <s v="025"/>
    <s v="12000-025"/>
    <s v="Violin production item #025"/>
    <s v="UNIQUE"/>
    <n v="0"/>
    <n v="3"/>
    <n v="529"/>
    <n v="0"/>
    <n v="1587"/>
  </r>
  <r>
    <x v="0"/>
    <x v="3"/>
    <x v="1"/>
    <n v="1"/>
    <n v="20"/>
    <s v="00"/>
    <s v="026"/>
    <s v="12000-026"/>
    <s v="Violin production item #026"/>
    <s v="UNIQUE"/>
    <n v="0"/>
    <n v="343"/>
    <n v="361"/>
    <n v="0"/>
    <n v="123823"/>
  </r>
  <r>
    <x v="0"/>
    <x v="3"/>
    <x v="1"/>
    <n v="1"/>
    <n v="20"/>
    <s v="00"/>
    <s v="027"/>
    <s v="12000-027"/>
    <s v="Violin production item #027"/>
    <s v="UNIQUE"/>
    <n v="0"/>
    <n v="36"/>
    <n v="21"/>
    <n v="0"/>
    <n v="756"/>
  </r>
  <r>
    <x v="0"/>
    <x v="3"/>
    <x v="1"/>
    <n v="1"/>
    <n v="20"/>
    <s v="00"/>
    <s v="028"/>
    <s v="12000-028"/>
    <s v="Violin production item #028"/>
    <s v="UNIQUE"/>
    <n v="0"/>
    <n v="27"/>
    <n v="14"/>
    <n v="0"/>
    <n v="378"/>
  </r>
  <r>
    <x v="0"/>
    <x v="3"/>
    <x v="1"/>
    <n v="1"/>
    <n v="20"/>
    <s v="00"/>
    <s v="029"/>
    <s v="12000-029"/>
    <s v="Violin production item #029"/>
    <s v="UNIQUE"/>
    <n v="0"/>
    <n v="1000"/>
    <n v="20"/>
    <n v="0"/>
    <n v="20000"/>
  </r>
  <r>
    <x v="0"/>
    <x v="3"/>
    <x v="1"/>
    <n v="1"/>
    <n v="20"/>
    <s v="00"/>
    <s v="030"/>
    <s v="12000-030"/>
    <s v="Violin production item #030"/>
    <s v="UNIQUE"/>
    <n v="0"/>
    <n v="8"/>
    <n v="64"/>
    <n v="0"/>
    <n v="512"/>
  </r>
  <r>
    <x v="0"/>
    <x v="3"/>
    <x v="1"/>
    <n v="1"/>
    <n v="20"/>
    <s v="00"/>
    <s v="031"/>
    <s v="12000-031"/>
    <s v="Violin production item #031"/>
    <s v="UNIQUE"/>
    <n v="41"/>
    <n v="9"/>
    <n v="0"/>
    <n v="369"/>
    <n v="0"/>
  </r>
  <r>
    <x v="0"/>
    <x v="3"/>
    <x v="1"/>
    <n v="1"/>
    <n v="20"/>
    <s v="00"/>
    <s v="032"/>
    <s v="12000-032"/>
    <s v="Violin production item #032"/>
    <s v="UNIQUE"/>
    <n v="3768"/>
    <n v="6"/>
    <n v="49"/>
    <n v="22608"/>
    <n v="294"/>
  </r>
  <r>
    <x v="0"/>
    <x v="3"/>
    <x v="1"/>
    <n v="1"/>
    <n v="20"/>
    <s v="00"/>
    <s v="033"/>
    <s v="12000-033"/>
    <s v="Violin production item #033"/>
    <s v="UNIQUE"/>
    <n v="0"/>
    <n v="512"/>
    <n v="625"/>
    <n v="0"/>
    <n v="320000"/>
  </r>
  <r>
    <x v="0"/>
    <x v="3"/>
    <x v="1"/>
    <n v="1"/>
    <n v="20"/>
    <s v="00"/>
    <s v="034"/>
    <s v="12000-034"/>
    <s v="Violin production item #034"/>
    <s v="UNIQUE"/>
    <n v="0"/>
    <n v="1000"/>
    <n v="12167"/>
    <n v="0"/>
    <n v="12167000"/>
  </r>
  <r>
    <x v="0"/>
    <x v="3"/>
    <x v="1"/>
    <n v="1"/>
    <n v="20"/>
    <s v="00"/>
    <s v="035"/>
    <s v="12000-035"/>
    <s v="Violin production item #035"/>
    <s v="UNIQUE"/>
    <n v="472"/>
    <n v="1"/>
    <n v="49"/>
    <n v="472"/>
    <n v="49"/>
  </r>
  <r>
    <x v="0"/>
    <x v="3"/>
    <x v="1"/>
    <n v="1"/>
    <n v="20"/>
    <s v="00"/>
    <s v="036"/>
    <s v="12000-036"/>
    <s v="Violin production item #036"/>
    <s v="UNIQUE"/>
    <n v="2"/>
    <n v="2"/>
    <n v="784"/>
    <n v="4"/>
    <n v="1568"/>
  </r>
  <r>
    <x v="0"/>
    <x v="3"/>
    <x v="1"/>
    <n v="1"/>
    <n v="20"/>
    <s v="00"/>
    <s v="037"/>
    <s v="12000-037"/>
    <s v="Violin production item #037"/>
    <s v="UNIQUE"/>
    <n v="79"/>
    <n v="125"/>
    <n v="400"/>
    <n v="9875"/>
    <n v="50000"/>
  </r>
  <r>
    <x v="0"/>
    <x v="3"/>
    <x v="1"/>
    <n v="1"/>
    <n v="20"/>
    <s v="00"/>
    <s v="038"/>
    <s v="12000-038"/>
    <s v="Violin production item #038"/>
    <s v="UNIQUE"/>
    <n v="0"/>
    <n v="1"/>
    <n v="27"/>
    <n v="0"/>
    <n v="27"/>
  </r>
  <r>
    <x v="0"/>
    <x v="3"/>
    <x v="1"/>
    <n v="1"/>
    <n v="20"/>
    <s v="00"/>
    <s v="039"/>
    <s v="12000-039"/>
    <s v="Violin production item #039"/>
    <s v="UNIQUE"/>
    <n v="179"/>
    <n v="2"/>
    <n v="10"/>
    <n v="358"/>
    <n v="20"/>
  </r>
  <r>
    <x v="0"/>
    <x v="3"/>
    <x v="1"/>
    <n v="1"/>
    <n v="20"/>
    <s v="00"/>
    <s v="040"/>
    <s v="12000-040"/>
    <s v="Violin production item #040"/>
    <s v="UNIQUE"/>
    <n v="0"/>
    <n v="5"/>
    <n v="22"/>
    <n v="0"/>
    <n v="110"/>
  </r>
  <r>
    <x v="0"/>
    <x v="3"/>
    <x v="1"/>
    <n v="1"/>
    <n v="20"/>
    <s v="00"/>
    <s v="041"/>
    <s v="12000-041"/>
    <s v="Violin production item #041"/>
    <s v="UNIQUE"/>
    <n v="0"/>
    <n v="36"/>
    <n v="24389"/>
    <n v="0"/>
    <n v="878004"/>
  </r>
  <r>
    <x v="0"/>
    <x v="3"/>
    <x v="1"/>
    <n v="1"/>
    <n v="20"/>
    <s v="00"/>
    <s v="042"/>
    <s v="12000-042"/>
    <s v="Violin production item #042"/>
    <s v="UNIQUE"/>
    <n v="0"/>
    <n v="512"/>
    <n v="2197"/>
    <n v="0"/>
    <n v="1124864"/>
  </r>
  <r>
    <x v="0"/>
    <x v="3"/>
    <x v="1"/>
    <n v="1"/>
    <n v="20"/>
    <s v="00"/>
    <s v="043"/>
    <s v="12000-043"/>
    <s v="Violin production item #043"/>
    <s v="UNIQUE"/>
    <n v="3"/>
    <n v="1"/>
    <n v="0"/>
    <n v="3"/>
    <n v="0"/>
  </r>
  <r>
    <x v="0"/>
    <x v="3"/>
    <x v="1"/>
    <n v="1"/>
    <n v="20"/>
    <s v="00"/>
    <s v="044"/>
    <s v="12000-044"/>
    <s v="Violin production item #044"/>
    <s v="UNIQUE"/>
    <n v="0"/>
    <n v="64"/>
    <n v="529"/>
    <n v="0"/>
    <n v="33856"/>
  </r>
  <r>
    <x v="0"/>
    <x v="3"/>
    <x v="1"/>
    <n v="1"/>
    <n v="20"/>
    <s v="00"/>
    <s v="045"/>
    <s v="12000-045"/>
    <s v="Violin production item #045"/>
    <s v="UNIQUE"/>
    <n v="0"/>
    <n v="25"/>
    <n v="36"/>
    <n v="0"/>
    <n v="900"/>
  </r>
  <r>
    <x v="0"/>
    <x v="3"/>
    <x v="1"/>
    <n v="1"/>
    <n v="20"/>
    <s v="00"/>
    <s v="046"/>
    <s v="12000-046"/>
    <s v="Violin production item #046"/>
    <s v="UNIQUE"/>
    <n v="0"/>
    <n v="16"/>
    <n v="9"/>
    <n v="0"/>
    <n v="144"/>
  </r>
  <r>
    <x v="0"/>
    <x v="3"/>
    <x v="1"/>
    <n v="1"/>
    <n v="20"/>
    <s v="00"/>
    <s v="047"/>
    <s v="12000-047"/>
    <s v="Violin production item #047"/>
    <s v="UNIQUE"/>
    <n v="0"/>
    <n v="100"/>
    <n v="100"/>
    <n v="0"/>
    <n v="10000"/>
  </r>
  <r>
    <x v="0"/>
    <x v="3"/>
    <x v="1"/>
    <n v="1"/>
    <n v="20"/>
    <s v="00"/>
    <s v="048"/>
    <s v="12000-048"/>
    <s v="Violin production item #048"/>
    <s v="UNIQUE"/>
    <n v="0"/>
    <n v="3"/>
    <n v="2197"/>
    <n v="0"/>
    <n v="6591"/>
  </r>
  <r>
    <x v="0"/>
    <x v="3"/>
    <x v="1"/>
    <n v="1"/>
    <n v="20"/>
    <s v="00"/>
    <s v="049"/>
    <s v="12000-049"/>
    <s v="Violin production item #049"/>
    <s v="UNIQUE"/>
    <n v="0"/>
    <n v="216"/>
    <n v="529"/>
    <n v="0"/>
    <n v="114264"/>
  </r>
  <r>
    <x v="0"/>
    <x v="3"/>
    <x v="1"/>
    <n v="1"/>
    <n v="20"/>
    <s v="00"/>
    <s v="050"/>
    <s v="12000-050"/>
    <s v="Violin production item #050"/>
    <s v="UNIQUE"/>
    <n v="43"/>
    <n v="216"/>
    <n v="17"/>
    <n v="9288"/>
    <n v="3672"/>
  </r>
  <r>
    <x v="0"/>
    <x v="3"/>
    <x v="1"/>
    <n v="1"/>
    <n v="20"/>
    <s v="00"/>
    <s v="051"/>
    <s v="12000-051"/>
    <s v="Violin production item #051"/>
    <s v="UNIQUE"/>
    <n v="0"/>
    <n v="512"/>
    <n v="1"/>
    <n v="0"/>
    <n v="512"/>
  </r>
  <r>
    <x v="0"/>
    <x v="3"/>
    <x v="1"/>
    <n v="1"/>
    <n v="20"/>
    <s v="00"/>
    <s v="052"/>
    <s v="12000-052"/>
    <s v="Violin production item #052"/>
    <s v="UNIQUE"/>
    <n v="424"/>
    <n v="10"/>
    <n v="484"/>
    <n v="4240"/>
    <n v="4840"/>
  </r>
  <r>
    <x v="0"/>
    <x v="3"/>
    <x v="1"/>
    <n v="1"/>
    <n v="20"/>
    <s v="00"/>
    <s v="053"/>
    <s v="12000-053"/>
    <s v="Violin production item #053"/>
    <s v="UNIQUE"/>
    <n v="0"/>
    <n v="2"/>
    <n v="7"/>
    <n v="0"/>
    <n v="14"/>
  </r>
  <r>
    <x v="0"/>
    <x v="3"/>
    <x v="1"/>
    <n v="1"/>
    <n v="20"/>
    <s v="00"/>
    <s v="054"/>
    <s v="12000-054"/>
    <s v="Violin production item #054"/>
    <s v="UNIQUE"/>
    <n v="64"/>
    <n v="1"/>
    <n v="17576"/>
    <n v="64"/>
    <n v="17576"/>
  </r>
  <r>
    <x v="0"/>
    <x v="3"/>
    <x v="1"/>
    <n v="1"/>
    <n v="20"/>
    <s v="00"/>
    <s v="055"/>
    <s v="12000-055"/>
    <s v="Violin production item #055"/>
    <s v="UNIQUE"/>
    <n v="0"/>
    <n v="10"/>
    <n v="529"/>
    <n v="0"/>
    <n v="5290"/>
  </r>
  <r>
    <x v="0"/>
    <x v="3"/>
    <x v="1"/>
    <n v="1"/>
    <n v="20"/>
    <s v="00"/>
    <s v="056"/>
    <s v="12000-056"/>
    <s v="Violin production item #056"/>
    <s v="UNIQUE"/>
    <n v="1"/>
    <n v="6"/>
    <n v="36"/>
    <n v="6"/>
    <n v="216"/>
  </r>
  <r>
    <x v="0"/>
    <x v="3"/>
    <x v="1"/>
    <n v="1"/>
    <n v="20"/>
    <s v="00"/>
    <s v="057"/>
    <s v="12000-057"/>
    <s v="Violin production item #057"/>
    <s v="UNIQUE"/>
    <n v="0"/>
    <n v="36"/>
    <n v="216"/>
    <n v="0"/>
    <n v="7776"/>
  </r>
  <r>
    <x v="0"/>
    <x v="3"/>
    <x v="1"/>
    <n v="1"/>
    <n v="20"/>
    <s v="00"/>
    <s v="058"/>
    <s v="12000-058"/>
    <s v="Violin production item #058"/>
    <s v="UNIQUE"/>
    <n v="2747"/>
    <n v="10"/>
    <n v="5832"/>
    <n v="27470"/>
    <n v="58320"/>
  </r>
  <r>
    <x v="0"/>
    <x v="3"/>
    <x v="1"/>
    <n v="1"/>
    <n v="20"/>
    <s v="00"/>
    <s v="059"/>
    <s v="12000-059"/>
    <s v="Violin production item #059"/>
    <s v="UNIQUE"/>
    <n v="0"/>
    <n v="1"/>
    <n v="4"/>
    <n v="0"/>
    <n v="4"/>
  </r>
  <r>
    <x v="0"/>
    <x v="3"/>
    <x v="1"/>
    <n v="1"/>
    <n v="20"/>
    <s v="00"/>
    <s v="060"/>
    <s v="12000-060"/>
    <s v="Violin production item #060"/>
    <s v="UNIQUE"/>
    <n v="5878"/>
    <n v="81"/>
    <n v="2197"/>
    <n v="476118"/>
    <n v="177957"/>
  </r>
  <r>
    <x v="0"/>
    <x v="3"/>
    <x v="1"/>
    <n v="1"/>
    <n v="20"/>
    <s v="00"/>
    <s v="061"/>
    <s v="12000-061"/>
    <s v="Violin production item #061"/>
    <s v="UNIQUE"/>
    <n v="727"/>
    <n v="7"/>
    <n v="1"/>
    <n v="5089"/>
    <n v="7"/>
  </r>
  <r>
    <x v="0"/>
    <x v="3"/>
    <x v="1"/>
    <n v="1"/>
    <n v="20"/>
    <s v="00"/>
    <s v="062"/>
    <s v="12000-062"/>
    <s v="Violin production item #062"/>
    <s v="UNIQUE"/>
    <n v="0"/>
    <n v="27"/>
    <n v="27"/>
    <n v="0"/>
    <n v="729"/>
  </r>
  <r>
    <x v="0"/>
    <x v="3"/>
    <x v="1"/>
    <n v="1"/>
    <n v="20"/>
    <s v="00"/>
    <s v="063"/>
    <s v="12000-063"/>
    <s v="Violin production item #063"/>
    <s v="UNIQUE"/>
    <n v="0"/>
    <n v="81"/>
    <n v="24389"/>
    <n v="0"/>
    <n v="1975509"/>
  </r>
  <r>
    <x v="0"/>
    <x v="3"/>
    <x v="1"/>
    <n v="1"/>
    <n v="20"/>
    <s v="00"/>
    <s v="064"/>
    <s v="12000-064"/>
    <s v="Violin production item #064"/>
    <s v="UNIQUE"/>
    <n v="0"/>
    <n v="16"/>
    <n v="2744"/>
    <n v="0"/>
    <n v="43904"/>
  </r>
  <r>
    <x v="0"/>
    <x v="3"/>
    <x v="1"/>
    <n v="1"/>
    <n v="20"/>
    <s v="00"/>
    <s v="065"/>
    <s v="12000-065"/>
    <s v="Violin production item #065"/>
    <s v="UNIQUE"/>
    <n v="6"/>
    <n v="512"/>
    <n v="22"/>
    <n v="3072"/>
    <n v="11264"/>
  </r>
  <r>
    <x v="0"/>
    <x v="3"/>
    <x v="1"/>
    <n v="1"/>
    <n v="20"/>
    <s v="00"/>
    <s v="066"/>
    <s v="12000-066"/>
    <s v="Violin production item #066"/>
    <s v="UNIQUE"/>
    <n v="6608"/>
    <n v="343"/>
    <n v="27000"/>
    <n v="2266544"/>
    <n v="9261000"/>
  </r>
  <r>
    <x v="0"/>
    <x v="3"/>
    <x v="1"/>
    <n v="1"/>
    <n v="20"/>
    <s v="00"/>
    <s v="067"/>
    <s v="12000-067"/>
    <s v="Violin production item #067"/>
    <s v="UNIQUE"/>
    <n v="0"/>
    <n v="3"/>
    <n v="841"/>
    <n v="0"/>
    <n v="2523"/>
  </r>
  <r>
    <x v="0"/>
    <x v="3"/>
    <x v="1"/>
    <n v="1"/>
    <n v="20"/>
    <s v="00"/>
    <s v="068"/>
    <s v="12000-068"/>
    <s v="Violin production item #068"/>
    <s v="UNIQUE"/>
    <n v="966"/>
    <n v="9"/>
    <n v="225"/>
    <n v="8694"/>
    <n v="2025"/>
  </r>
  <r>
    <x v="0"/>
    <x v="3"/>
    <x v="1"/>
    <n v="1"/>
    <n v="20"/>
    <s v="00"/>
    <s v="069"/>
    <s v="12000-069"/>
    <s v="Violin production item #069"/>
    <s v="UNIQUE"/>
    <n v="525"/>
    <n v="4"/>
    <n v="256"/>
    <n v="2100"/>
    <n v="1024"/>
  </r>
  <r>
    <x v="0"/>
    <x v="3"/>
    <x v="1"/>
    <n v="1"/>
    <n v="20"/>
    <s v="00"/>
    <s v="070"/>
    <s v="12000-070"/>
    <s v="Violin production item #070"/>
    <s v="UNIQUE"/>
    <n v="0"/>
    <n v="8"/>
    <n v="17576"/>
    <n v="0"/>
    <n v="140608"/>
  </r>
  <r>
    <x v="0"/>
    <x v="3"/>
    <x v="1"/>
    <n v="1"/>
    <n v="20"/>
    <s v="00"/>
    <s v="071"/>
    <s v="12000-071"/>
    <s v="Violin production item #071"/>
    <s v="UNIQUE"/>
    <n v="0"/>
    <n v="10"/>
    <n v="125"/>
    <n v="0"/>
    <n v="1250"/>
  </r>
  <r>
    <x v="0"/>
    <x v="3"/>
    <x v="1"/>
    <n v="1"/>
    <n v="20"/>
    <s v="00"/>
    <s v="072"/>
    <s v="12000-072"/>
    <s v="Violin production item #072"/>
    <s v="UNIQUE"/>
    <n v="0"/>
    <n v="49"/>
    <n v="27"/>
    <n v="0"/>
    <n v="1323"/>
  </r>
  <r>
    <x v="0"/>
    <x v="3"/>
    <x v="1"/>
    <n v="1"/>
    <n v="20"/>
    <s v="00"/>
    <s v="073"/>
    <s v="12000-073"/>
    <s v="Violin production item #073"/>
    <s v="UNIQUE"/>
    <n v="0"/>
    <n v="512"/>
    <n v="25"/>
    <n v="0"/>
    <n v="12800"/>
  </r>
  <r>
    <x v="0"/>
    <x v="3"/>
    <x v="1"/>
    <n v="1"/>
    <n v="20"/>
    <s v="00"/>
    <s v="074"/>
    <s v="12000-074"/>
    <s v="Violin production item #074"/>
    <s v="UNIQUE"/>
    <n v="515"/>
    <n v="125"/>
    <n v="216"/>
    <n v="64375"/>
    <n v="27000"/>
  </r>
  <r>
    <x v="0"/>
    <x v="3"/>
    <x v="1"/>
    <n v="1"/>
    <n v="20"/>
    <s v="00"/>
    <s v="075"/>
    <s v="12000-075"/>
    <s v="Violin production item #075"/>
    <s v="UNIQUE"/>
    <n v="0"/>
    <n v="1000"/>
    <n v="625"/>
    <n v="0"/>
    <n v="625000"/>
  </r>
  <r>
    <x v="0"/>
    <x v="3"/>
    <x v="1"/>
    <n v="1"/>
    <n v="20"/>
    <s v="00"/>
    <s v="076"/>
    <s v="12000-076"/>
    <s v="Violin production item #076"/>
    <s v="UNIQUE"/>
    <n v="0"/>
    <n v="9"/>
    <n v="0"/>
    <n v="0"/>
    <n v="0"/>
  </r>
  <r>
    <x v="0"/>
    <x v="3"/>
    <x v="1"/>
    <n v="1"/>
    <n v="20"/>
    <s v="00"/>
    <s v="077"/>
    <s v="12000-077"/>
    <s v="Violin production item #077"/>
    <s v="UNIQUE"/>
    <n v="8577"/>
    <n v="343"/>
    <n v="19"/>
    <n v="2941911"/>
    <n v="6517"/>
  </r>
  <r>
    <x v="0"/>
    <x v="3"/>
    <x v="1"/>
    <n v="1"/>
    <n v="20"/>
    <s v="00"/>
    <s v="078"/>
    <s v="12000-078"/>
    <s v="Violin production item #078"/>
    <s v="UNIQUE"/>
    <n v="0"/>
    <n v="7"/>
    <n v="12"/>
    <n v="0"/>
    <n v="84"/>
  </r>
  <r>
    <x v="0"/>
    <x v="3"/>
    <x v="1"/>
    <n v="1"/>
    <n v="20"/>
    <s v="00"/>
    <s v="079"/>
    <s v="12000-079"/>
    <s v="Violin production item #079"/>
    <s v="UNIQUE"/>
    <n v="84"/>
    <n v="6"/>
    <n v="26"/>
    <n v="504"/>
    <n v="156"/>
  </r>
  <r>
    <x v="0"/>
    <x v="3"/>
    <x v="1"/>
    <n v="1"/>
    <n v="20"/>
    <s v="00"/>
    <s v="080"/>
    <s v="12000-080"/>
    <s v="Violin production item #080"/>
    <s v="UNIQUE"/>
    <n v="0"/>
    <n v="4"/>
    <n v="13"/>
    <n v="0"/>
    <n v="52"/>
  </r>
  <r>
    <x v="0"/>
    <x v="3"/>
    <x v="1"/>
    <n v="1"/>
    <n v="20"/>
    <s v="00"/>
    <s v="081"/>
    <s v="12000-081"/>
    <s v="Violin production item #081"/>
    <s v="UNIQUE"/>
    <n v="876"/>
    <n v="8"/>
    <n v="625"/>
    <n v="7008"/>
    <n v="5000"/>
  </r>
  <r>
    <x v="0"/>
    <x v="3"/>
    <x v="1"/>
    <n v="1"/>
    <n v="20"/>
    <s v="00"/>
    <s v="082"/>
    <s v="12000-082"/>
    <s v="Violin production item #082"/>
    <s v="UNIQUE"/>
    <n v="936"/>
    <n v="5"/>
    <n v="27"/>
    <n v="4680"/>
    <n v="135"/>
  </r>
  <r>
    <x v="0"/>
    <x v="3"/>
    <x v="1"/>
    <n v="1"/>
    <n v="20"/>
    <s v="00"/>
    <s v="083"/>
    <s v="12000-083"/>
    <s v="Violin production item #083"/>
    <s v="UNIQUE"/>
    <n v="7"/>
    <n v="8"/>
    <n v="289"/>
    <n v="56"/>
    <n v="2312"/>
  </r>
  <r>
    <x v="0"/>
    <x v="3"/>
    <x v="1"/>
    <n v="1"/>
    <n v="20"/>
    <s v="00"/>
    <s v="084"/>
    <s v="12000-084"/>
    <s v="Violin production item #084"/>
    <s v="UNIQUE"/>
    <n v="6"/>
    <n v="25"/>
    <n v="289"/>
    <n v="150"/>
    <n v="7225"/>
  </r>
  <r>
    <x v="0"/>
    <x v="3"/>
    <x v="1"/>
    <n v="1"/>
    <n v="20"/>
    <s v="00"/>
    <s v="085"/>
    <s v="12000-085"/>
    <s v="Violin production item #085"/>
    <s v="UNIQUE"/>
    <n v="57"/>
    <n v="100"/>
    <n v="24"/>
    <n v="5700"/>
    <n v="2400"/>
  </r>
  <r>
    <x v="0"/>
    <x v="3"/>
    <x v="1"/>
    <n v="1"/>
    <n v="20"/>
    <s v="00"/>
    <s v="086"/>
    <s v="12000-086"/>
    <s v="Violin production item #086"/>
    <s v="UNIQUE"/>
    <n v="26"/>
    <n v="81"/>
    <n v="512"/>
    <n v="2106"/>
    <n v="41472"/>
  </r>
  <r>
    <x v="0"/>
    <x v="3"/>
    <x v="1"/>
    <n v="1"/>
    <n v="20"/>
    <s v="00"/>
    <s v="087"/>
    <s v="12000-087"/>
    <s v="Violin production item #087"/>
    <s v="UNIQUE"/>
    <n v="6"/>
    <n v="1"/>
    <n v="23"/>
    <n v="6"/>
    <n v="23"/>
  </r>
  <r>
    <x v="0"/>
    <x v="3"/>
    <x v="1"/>
    <n v="1"/>
    <n v="20"/>
    <s v="00"/>
    <s v="088"/>
    <s v="12000-088"/>
    <s v="Violin production item #088"/>
    <s v="UNIQUE"/>
    <n v="15"/>
    <n v="64"/>
    <n v="1331"/>
    <n v="960"/>
    <n v="85184"/>
  </r>
  <r>
    <x v="0"/>
    <x v="3"/>
    <x v="1"/>
    <n v="1"/>
    <n v="20"/>
    <s v="00"/>
    <s v="089"/>
    <s v="12000-089"/>
    <s v="Violin production item #089"/>
    <s v="UNIQUE"/>
    <n v="8"/>
    <n v="216"/>
    <n v="24389"/>
    <n v="1728"/>
    <n v="5268024"/>
  </r>
  <r>
    <x v="0"/>
    <x v="3"/>
    <x v="1"/>
    <n v="1"/>
    <n v="20"/>
    <s v="00"/>
    <s v="090"/>
    <s v="12000-090"/>
    <s v="Violin production item #090"/>
    <s v="UNIQUE"/>
    <n v="0"/>
    <n v="7"/>
    <n v="16"/>
    <n v="0"/>
    <n v="112"/>
  </r>
  <r>
    <x v="0"/>
    <x v="3"/>
    <x v="1"/>
    <n v="1"/>
    <n v="20"/>
    <s v="00"/>
    <s v="091"/>
    <s v="12000-091"/>
    <s v="Violin production item #091"/>
    <s v="UNIQUE"/>
    <n v="167"/>
    <n v="8"/>
    <n v="361"/>
    <n v="1336"/>
    <n v="2888"/>
  </r>
  <r>
    <x v="0"/>
    <x v="3"/>
    <x v="1"/>
    <n v="1"/>
    <n v="20"/>
    <s v="00"/>
    <s v="092"/>
    <s v="12000-092"/>
    <s v="Violin production item #092"/>
    <s v="UNIQUE"/>
    <n v="32"/>
    <n v="64"/>
    <n v="27000"/>
    <n v="2048"/>
    <n v="1728000"/>
  </r>
  <r>
    <x v="0"/>
    <x v="3"/>
    <x v="1"/>
    <n v="1"/>
    <n v="20"/>
    <s v="00"/>
    <s v="093"/>
    <s v="12000-093"/>
    <s v="Violin production item #093"/>
    <s v="UNIQUE"/>
    <n v="1"/>
    <n v="36"/>
    <n v="30"/>
    <n v="36"/>
    <n v="1080"/>
  </r>
  <r>
    <x v="0"/>
    <x v="3"/>
    <x v="1"/>
    <n v="1"/>
    <n v="20"/>
    <s v="00"/>
    <s v="094"/>
    <s v="12000-094"/>
    <s v="Violin production item #094"/>
    <s v="UNIQUE"/>
    <n v="547"/>
    <n v="1"/>
    <n v="64"/>
    <n v="547"/>
    <n v="64"/>
  </r>
  <r>
    <x v="0"/>
    <x v="3"/>
    <x v="1"/>
    <n v="1"/>
    <n v="20"/>
    <s v="00"/>
    <s v="095"/>
    <s v="12000-095"/>
    <s v="Violin production item #095"/>
    <s v="UNIQUE"/>
    <n v="0"/>
    <n v="4"/>
    <n v="9261"/>
    <n v="0"/>
    <n v="37044"/>
  </r>
  <r>
    <x v="0"/>
    <x v="3"/>
    <x v="1"/>
    <n v="1"/>
    <n v="20"/>
    <s v="00"/>
    <s v="096"/>
    <s v="12000-096"/>
    <s v="Violin production item #096"/>
    <s v="UNIQUE"/>
    <n v="0"/>
    <n v="4"/>
    <n v="64"/>
    <n v="0"/>
    <n v="256"/>
  </r>
  <r>
    <x v="0"/>
    <x v="3"/>
    <x v="1"/>
    <n v="1"/>
    <n v="20"/>
    <s v="00"/>
    <s v="097"/>
    <s v="12000-097"/>
    <s v="Violin production item #097"/>
    <s v="UNIQUE"/>
    <n v="90"/>
    <n v="64"/>
    <n v="23"/>
    <n v="5760"/>
    <n v="1472"/>
  </r>
  <r>
    <x v="0"/>
    <x v="3"/>
    <x v="1"/>
    <n v="1"/>
    <n v="20"/>
    <s v="00"/>
    <s v="098"/>
    <s v="12000-098"/>
    <s v="Violin production item #098"/>
    <s v="UNIQUE"/>
    <n v="2223"/>
    <n v="2"/>
    <n v="1728"/>
    <n v="4446"/>
    <n v="3456"/>
  </r>
  <r>
    <x v="0"/>
    <x v="3"/>
    <x v="1"/>
    <n v="1"/>
    <n v="20"/>
    <s v="00"/>
    <s v="099"/>
    <s v="12000-099"/>
    <s v="Violin production item #099"/>
    <s v="UNIQUE"/>
    <n v="3049"/>
    <n v="125"/>
    <n v="1000"/>
    <n v="381125"/>
    <n v="125000"/>
  </r>
  <r>
    <x v="0"/>
    <x v="3"/>
    <x v="1"/>
    <n v="1"/>
    <n v="20"/>
    <s v="00"/>
    <s v="100"/>
    <s v="12000-100"/>
    <s v="Violin production item #100"/>
    <s v="UNIQUE"/>
    <n v="0"/>
    <n v="8"/>
    <n v="12"/>
    <n v="0"/>
    <n v="96"/>
  </r>
  <r>
    <x v="0"/>
    <x v="3"/>
    <x v="1"/>
    <n v="1"/>
    <n v="20"/>
    <s v="00"/>
    <s v="101"/>
    <s v="12000-101"/>
    <s v="Violin production item #101"/>
    <s v="UNIQUE"/>
    <n v="0"/>
    <n v="5"/>
    <n v="25"/>
    <n v="0"/>
    <n v="125"/>
  </r>
  <r>
    <x v="0"/>
    <x v="3"/>
    <x v="1"/>
    <n v="1"/>
    <n v="20"/>
    <s v="00"/>
    <s v="102"/>
    <s v="12000-102"/>
    <s v="Violin production item #102"/>
    <s v="UNIQUE"/>
    <n v="0"/>
    <n v="216"/>
    <n v="2197"/>
    <n v="0"/>
    <n v="474552"/>
  </r>
  <r>
    <x v="0"/>
    <x v="3"/>
    <x v="1"/>
    <n v="1"/>
    <n v="20"/>
    <s v="00"/>
    <s v="103"/>
    <s v="12000-103"/>
    <s v="Violin production item #103"/>
    <s v="UNIQUE"/>
    <n v="4"/>
    <n v="9"/>
    <n v="9261"/>
    <n v="36"/>
    <n v="83349"/>
  </r>
  <r>
    <x v="0"/>
    <x v="3"/>
    <x v="1"/>
    <n v="1"/>
    <n v="20"/>
    <s v="00"/>
    <s v="104"/>
    <s v="12000-104"/>
    <s v="Violin production item #104"/>
    <s v="UNIQUE"/>
    <n v="844"/>
    <n v="7"/>
    <n v="1331"/>
    <n v="5908"/>
    <n v="9317"/>
  </r>
  <r>
    <x v="0"/>
    <x v="3"/>
    <x v="1"/>
    <n v="1"/>
    <n v="20"/>
    <s v="00"/>
    <s v="105"/>
    <s v="12000-105"/>
    <s v="Violin production item #105"/>
    <s v="UNIQUE"/>
    <n v="0"/>
    <n v="25"/>
    <n v="9"/>
    <n v="0"/>
    <n v="225"/>
  </r>
  <r>
    <x v="0"/>
    <x v="3"/>
    <x v="1"/>
    <n v="1"/>
    <n v="20"/>
    <s v="00"/>
    <s v="106"/>
    <s v="12000-106"/>
    <s v="Violin production item #106"/>
    <s v="UNIQUE"/>
    <n v="0"/>
    <n v="1"/>
    <n v="625"/>
    <n v="0"/>
    <n v="625"/>
  </r>
  <r>
    <x v="0"/>
    <x v="3"/>
    <x v="1"/>
    <n v="1"/>
    <n v="20"/>
    <s v="00"/>
    <s v="107"/>
    <s v="12000-107"/>
    <s v="Violin production item #107"/>
    <s v="UNIQUE"/>
    <n v="367"/>
    <n v="64"/>
    <n v="22"/>
    <n v="23488"/>
    <n v="1408"/>
  </r>
  <r>
    <x v="0"/>
    <x v="3"/>
    <x v="1"/>
    <n v="1"/>
    <n v="20"/>
    <s v="00"/>
    <s v="108"/>
    <s v="12000-108"/>
    <s v="Violin production item #108"/>
    <s v="UNIQUE"/>
    <n v="7194"/>
    <n v="36"/>
    <n v="4"/>
    <n v="258984"/>
    <n v="144"/>
  </r>
  <r>
    <x v="0"/>
    <x v="3"/>
    <x v="1"/>
    <n v="1"/>
    <n v="20"/>
    <s v="00"/>
    <s v="109"/>
    <s v="12000-109"/>
    <s v="Violin production item #109"/>
    <s v="UNIQUE"/>
    <n v="1"/>
    <n v="216"/>
    <n v="26"/>
    <n v="216"/>
    <n v="5616"/>
  </r>
  <r>
    <x v="0"/>
    <x v="3"/>
    <x v="1"/>
    <n v="1"/>
    <n v="20"/>
    <s v="00"/>
    <s v="110"/>
    <s v="12000-110"/>
    <s v="Violin production item #110"/>
    <s v="UNIQUE"/>
    <n v="0"/>
    <n v="1"/>
    <n v="9261"/>
    <n v="0"/>
    <n v="9261"/>
  </r>
  <r>
    <x v="0"/>
    <x v="3"/>
    <x v="1"/>
    <n v="1"/>
    <n v="20"/>
    <s v="00"/>
    <s v="111"/>
    <s v="12000-111"/>
    <s v="Violin production item #111"/>
    <s v="UNIQUE"/>
    <n v="0"/>
    <n v="49"/>
    <n v="676"/>
    <n v="0"/>
    <n v="33124"/>
  </r>
  <r>
    <x v="0"/>
    <x v="3"/>
    <x v="1"/>
    <n v="1"/>
    <n v="20"/>
    <s v="00"/>
    <s v="112"/>
    <s v="12000-112"/>
    <s v="Violin production item #112"/>
    <s v="UNIQUE"/>
    <n v="0"/>
    <n v="6"/>
    <n v="400"/>
    <n v="0"/>
    <n v="2400"/>
  </r>
  <r>
    <x v="0"/>
    <x v="3"/>
    <x v="1"/>
    <n v="1"/>
    <n v="20"/>
    <s v="00"/>
    <s v="113"/>
    <s v="12000-113"/>
    <s v="Violin production item #113"/>
    <s v="UNIQUE"/>
    <n v="0"/>
    <n v="125"/>
    <n v="13"/>
    <n v="0"/>
    <n v="1625"/>
  </r>
  <r>
    <x v="0"/>
    <x v="3"/>
    <x v="1"/>
    <n v="1"/>
    <n v="20"/>
    <s v="00"/>
    <s v="114"/>
    <s v="12000-114"/>
    <s v="Violin production item #114"/>
    <s v="UNIQUE"/>
    <n v="38"/>
    <n v="9"/>
    <n v="12167"/>
    <n v="342"/>
    <n v="109503"/>
  </r>
  <r>
    <x v="0"/>
    <x v="3"/>
    <x v="1"/>
    <n v="1"/>
    <n v="20"/>
    <s v="00"/>
    <s v="115"/>
    <s v="12000-115"/>
    <s v="Violin production item #115"/>
    <s v="UNIQUE"/>
    <n v="735"/>
    <n v="36"/>
    <n v="576"/>
    <n v="26460"/>
    <n v="20736"/>
  </r>
  <r>
    <x v="0"/>
    <x v="3"/>
    <x v="1"/>
    <n v="1"/>
    <n v="20"/>
    <s v="00"/>
    <s v="116"/>
    <s v="12000-116"/>
    <s v="Violin production item #116"/>
    <s v="UNIQUE"/>
    <n v="52"/>
    <n v="1"/>
    <n v="49"/>
    <n v="52"/>
    <n v="49"/>
  </r>
  <r>
    <x v="0"/>
    <x v="3"/>
    <x v="1"/>
    <n v="1"/>
    <n v="20"/>
    <s v="00"/>
    <s v="117"/>
    <s v="12000-117"/>
    <s v="Violin production item #117"/>
    <s v="UNIQUE"/>
    <n v="6"/>
    <n v="8"/>
    <n v="841"/>
    <n v="48"/>
    <n v="6728"/>
  </r>
  <r>
    <x v="0"/>
    <x v="3"/>
    <x v="1"/>
    <n v="1"/>
    <n v="20"/>
    <s v="00"/>
    <s v="118"/>
    <s v="12000-118"/>
    <s v="Violin production item #118"/>
    <s v="UNIQUE"/>
    <n v="52"/>
    <n v="100"/>
    <n v="17"/>
    <n v="5200"/>
    <n v="1700"/>
  </r>
  <r>
    <x v="0"/>
    <x v="3"/>
    <x v="1"/>
    <n v="1"/>
    <n v="20"/>
    <s v="00"/>
    <s v="119"/>
    <s v="12000-119"/>
    <s v="Violin production item #119"/>
    <s v="UNIQUE"/>
    <n v="9949"/>
    <n v="1"/>
    <n v="0"/>
    <n v="9949"/>
    <n v="0"/>
  </r>
  <r>
    <x v="0"/>
    <x v="3"/>
    <x v="1"/>
    <n v="1"/>
    <n v="20"/>
    <s v="00"/>
    <s v="120"/>
    <s v="12000-120"/>
    <s v="Violin production item #120"/>
    <s v="UNIQUE"/>
    <n v="8"/>
    <n v="7"/>
    <n v="24"/>
    <n v="56"/>
    <n v="168"/>
  </r>
  <r>
    <x v="0"/>
    <x v="3"/>
    <x v="1"/>
    <n v="1"/>
    <n v="20"/>
    <s v="00"/>
    <s v="121"/>
    <s v="12000-121"/>
    <s v="Violin production item #121"/>
    <s v="UNIQUE"/>
    <n v="4"/>
    <n v="36"/>
    <n v="19683"/>
    <n v="144"/>
    <n v="708588"/>
  </r>
  <r>
    <x v="0"/>
    <x v="3"/>
    <x v="1"/>
    <n v="1"/>
    <n v="20"/>
    <s v="00"/>
    <s v="122"/>
    <s v="12000-122"/>
    <s v="Violin production item #122"/>
    <s v="UNIQUE"/>
    <n v="0"/>
    <n v="216"/>
    <n v="10"/>
    <n v="0"/>
    <n v="2160"/>
  </r>
  <r>
    <x v="0"/>
    <x v="3"/>
    <x v="1"/>
    <n v="1"/>
    <n v="20"/>
    <s v="00"/>
    <s v="123"/>
    <s v="12000-123"/>
    <s v="Violin production item #123"/>
    <s v="UNIQUE"/>
    <n v="5594"/>
    <n v="8"/>
    <n v="21952"/>
    <n v="44752"/>
    <n v="175616"/>
  </r>
  <r>
    <x v="0"/>
    <x v="3"/>
    <x v="1"/>
    <n v="1"/>
    <n v="20"/>
    <s v="00"/>
    <s v="124"/>
    <s v="12000-124"/>
    <s v="Violin production item #124"/>
    <s v="UNIQUE"/>
    <n v="0"/>
    <n v="9"/>
    <n v="4096"/>
    <n v="0"/>
    <n v="36864"/>
  </r>
  <r>
    <x v="0"/>
    <x v="3"/>
    <x v="1"/>
    <n v="1"/>
    <n v="20"/>
    <s v="00"/>
    <s v="125"/>
    <s v="12000-125"/>
    <s v="Violin production item #125"/>
    <s v="UNIQUE"/>
    <n v="3"/>
    <n v="1000"/>
    <n v="4913"/>
    <n v="3000"/>
    <n v="4913000"/>
  </r>
  <r>
    <x v="0"/>
    <x v="3"/>
    <x v="1"/>
    <n v="1"/>
    <n v="20"/>
    <s v="00"/>
    <s v="126"/>
    <s v="12000-126"/>
    <s v="Violin production item #126"/>
    <s v="UNIQUE"/>
    <n v="730"/>
    <n v="125"/>
    <n v="784"/>
    <n v="91250"/>
    <n v="98000"/>
  </r>
  <r>
    <x v="0"/>
    <x v="3"/>
    <x v="1"/>
    <n v="1"/>
    <n v="20"/>
    <s v="00"/>
    <s v="127"/>
    <s v="12000-127"/>
    <s v="Violin production item #127"/>
    <s v="UNIQUE"/>
    <n v="7573"/>
    <n v="8"/>
    <n v="343"/>
    <n v="60584"/>
    <n v="2744"/>
  </r>
  <r>
    <x v="0"/>
    <x v="3"/>
    <x v="1"/>
    <n v="1"/>
    <n v="20"/>
    <s v="00"/>
    <s v="128"/>
    <s v="12000-128"/>
    <s v="Violin production item #128"/>
    <s v="UNIQUE"/>
    <n v="8"/>
    <n v="512"/>
    <n v="23"/>
    <n v="4096"/>
    <n v="11776"/>
  </r>
  <r>
    <x v="0"/>
    <x v="3"/>
    <x v="1"/>
    <n v="1"/>
    <n v="20"/>
    <s v="00"/>
    <s v="129"/>
    <s v="12000-129"/>
    <s v="Violin production item #129"/>
    <s v="UNIQUE"/>
    <n v="9"/>
    <n v="10"/>
    <n v="484"/>
    <n v="90"/>
    <n v="4840"/>
  </r>
  <r>
    <x v="0"/>
    <x v="3"/>
    <x v="1"/>
    <n v="1"/>
    <n v="20"/>
    <s v="00"/>
    <s v="130"/>
    <s v="12000-130"/>
    <s v="Violin production item #130"/>
    <s v="UNIQUE"/>
    <n v="84"/>
    <n v="6"/>
    <n v="15625"/>
    <n v="504"/>
    <n v="93750"/>
  </r>
  <r>
    <x v="0"/>
    <x v="3"/>
    <x v="1"/>
    <n v="1"/>
    <n v="20"/>
    <s v="00"/>
    <s v="131"/>
    <s v="12000-131"/>
    <s v="Violin production item #131"/>
    <s v="UNIQUE"/>
    <n v="0"/>
    <n v="81"/>
    <n v="9261"/>
    <n v="0"/>
    <n v="750141"/>
  </r>
  <r>
    <x v="0"/>
    <x v="3"/>
    <x v="1"/>
    <n v="1"/>
    <n v="20"/>
    <s v="00"/>
    <s v="132"/>
    <s v="12000-132"/>
    <s v="Violin production item #132"/>
    <s v="UNIQUE"/>
    <n v="0"/>
    <n v="6"/>
    <n v="24"/>
    <n v="0"/>
    <n v="144"/>
  </r>
  <r>
    <x v="0"/>
    <x v="3"/>
    <x v="1"/>
    <n v="1"/>
    <n v="20"/>
    <s v="00"/>
    <s v="133"/>
    <s v="12000-133"/>
    <s v="Violin production item #133"/>
    <s v="UNIQUE"/>
    <n v="0"/>
    <n v="3"/>
    <n v="1331"/>
    <n v="0"/>
    <n v="3993"/>
  </r>
  <r>
    <x v="0"/>
    <x v="3"/>
    <x v="1"/>
    <n v="1"/>
    <n v="20"/>
    <s v="00"/>
    <s v="134"/>
    <s v="12000-134"/>
    <s v="Violin production item #134"/>
    <s v="UNIQUE"/>
    <n v="3"/>
    <n v="1000"/>
    <n v="1"/>
    <n v="3000"/>
    <n v="1000"/>
  </r>
  <r>
    <x v="0"/>
    <x v="3"/>
    <x v="1"/>
    <n v="1"/>
    <n v="20"/>
    <s v="00"/>
    <s v="135"/>
    <s v="12000-135"/>
    <s v="Violin production item #135"/>
    <s v="UNIQUE"/>
    <n v="0"/>
    <n v="2"/>
    <n v="36"/>
    <n v="0"/>
    <n v="72"/>
  </r>
  <r>
    <x v="0"/>
    <x v="3"/>
    <x v="1"/>
    <n v="1"/>
    <n v="20"/>
    <s v="00"/>
    <s v="136"/>
    <s v="12000-136"/>
    <s v="Violin production item #136"/>
    <s v="UNIQUE"/>
    <n v="518"/>
    <n v="125"/>
    <n v="23"/>
    <n v="64750"/>
    <n v="2875"/>
  </r>
  <r>
    <x v="0"/>
    <x v="3"/>
    <x v="1"/>
    <n v="1"/>
    <n v="20"/>
    <s v="00"/>
    <s v="137"/>
    <s v="12000-137"/>
    <s v="Violin production item #137"/>
    <s v="UNIQUE"/>
    <n v="0"/>
    <n v="16"/>
    <n v="81"/>
    <n v="0"/>
    <n v="1296"/>
  </r>
  <r>
    <x v="0"/>
    <x v="3"/>
    <x v="1"/>
    <n v="1"/>
    <n v="20"/>
    <s v="00"/>
    <s v="138"/>
    <s v="12000-138"/>
    <s v="Violin production item #138"/>
    <s v="UNIQUE"/>
    <n v="63"/>
    <n v="1"/>
    <n v="8000"/>
    <n v="63"/>
    <n v="8000"/>
  </r>
  <r>
    <x v="0"/>
    <x v="3"/>
    <x v="1"/>
    <n v="1"/>
    <n v="20"/>
    <s v="00"/>
    <s v="139"/>
    <s v="12000-139"/>
    <s v="Violin production item #139"/>
    <s v="UNIQUE"/>
    <n v="2"/>
    <n v="27"/>
    <n v="3"/>
    <n v="54"/>
    <n v="81"/>
  </r>
  <r>
    <x v="0"/>
    <x v="3"/>
    <x v="1"/>
    <n v="1"/>
    <n v="20"/>
    <s v="00"/>
    <s v="140"/>
    <s v="12000-140"/>
    <s v="Violin production item #140"/>
    <s v="UNIQUE"/>
    <n v="0"/>
    <n v="27"/>
    <n v="14"/>
    <n v="0"/>
    <n v="378"/>
  </r>
  <r>
    <x v="0"/>
    <x v="3"/>
    <x v="1"/>
    <n v="1"/>
    <n v="20"/>
    <s v="00"/>
    <s v="141"/>
    <s v="12000-141"/>
    <s v="Violin production item #141"/>
    <s v="UNIQUE"/>
    <n v="0"/>
    <n v="10"/>
    <n v="9"/>
    <n v="0"/>
    <n v="90"/>
  </r>
  <r>
    <x v="0"/>
    <x v="3"/>
    <x v="1"/>
    <n v="1"/>
    <n v="20"/>
    <s v="00"/>
    <s v="142"/>
    <s v="12000-142"/>
    <s v="Violin production item #142"/>
    <s v="UNIQUE"/>
    <n v="519"/>
    <n v="8"/>
    <n v="2744"/>
    <n v="4152"/>
    <n v="21952"/>
  </r>
  <r>
    <x v="0"/>
    <x v="3"/>
    <x v="1"/>
    <n v="1"/>
    <n v="20"/>
    <s v="00"/>
    <s v="143"/>
    <s v="12000-143"/>
    <s v="Violin production item #143"/>
    <s v="UNIQUE"/>
    <n v="0"/>
    <n v="64"/>
    <n v="25"/>
    <n v="0"/>
    <n v="1600"/>
  </r>
  <r>
    <x v="0"/>
    <x v="3"/>
    <x v="1"/>
    <n v="1"/>
    <n v="20"/>
    <s v="00"/>
    <s v="144"/>
    <s v="12000-144"/>
    <s v="Violin production item #144"/>
    <s v="UNIQUE"/>
    <n v="0"/>
    <n v="81"/>
    <n v="8"/>
    <n v="0"/>
    <n v="648"/>
  </r>
  <r>
    <x v="0"/>
    <x v="3"/>
    <x v="1"/>
    <n v="1"/>
    <n v="20"/>
    <s v="00"/>
    <s v="145"/>
    <s v="12000-145"/>
    <s v="Violin production item #145"/>
    <s v="UNIQUE"/>
    <n v="0"/>
    <n v="49"/>
    <n v="625"/>
    <n v="0"/>
    <n v="30625"/>
  </r>
  <r>
    <x v="0"/>
    <x v="3"/>
    <x v="1"/>
    <n v="1"/>
    <n v="20"/>
    <s v="00"/>
    <s v="146"/>
    <s v="12000-146"/>
    <s v="Violin production item #146"/>
    <s v="UNIQUE"/>
    <n v="0"/>
    <n v="49"/>
    <n v="24389"/>
    <n v="0"/>
    <n v="1195061"/>
  </r>
  <r>
    <x v="0"/>
    <x v="3"/>
    <x v="1"/>
    <n v="1"/>
    <n v="20"/>
    <s v="00"/>
    <s v="147"/>
    <s v="12000-147"/>
    <s v="Violin production item #147"/>
    <s v="UNIQUE"/>
    <n v="0"/>
    <n v="81"/>
    <n v="2"/>
    <n v="0"/>
    <n v="162"/>
  </r>
  <r>
    <x v="0"/>
    <x v="3"/>
    <x v="1"/>
    <n v="1"/>
    <n v="20"/>
    <s v="00"/>
    <s v="148"/>
    <s v="12000-148"/>
    <s v="Violin production item #148"/>
    <s v="UNIQUE"/>
    <n v="5"/>
    <n v="4"/>
    <n v="196"/>
    <n v="20"/>
    <n v="784"/>
  </r>
  <r>
    <x v="0"/>
    <x v="3"/>
    <x v="1"/>
    <n v="1"/>
    <n v="20"/>
    <s v="00"/>
    <s v="149"/>
    <s v="12000-149"/>
    <s v="Violin production item #149"/>
    <s v="UNIQUE"/>
    <n v="0"/>
    <n v="64"/>
    <n v="1"/>
    <n v="0"/>
    <n v="64"/>
  </r>
  <r>
    <x v="0"/>
    <x v="3"/>
    <x v="1"/>
    <n v="1"/>
    <n v="20"/>
    <s v="00"/>
    <s v="150"/>
    <s v="12000-150"/>
    <s v="Violin production item #150"/>
    <s v="UNIQUE"/>
    <n v="7"/>
    <n v="49"/>
    <n v="49"/>
    <n v="343"/>
    <n v="2401"/>
  </r>
  <r>
    <x v="0"/>
    <x v="3"/>
    <x v="1"/>
    <n v="1"/>
    <n v="20"/>
    <s v="00"/>
    <s v="151"/>
    <s v="12000-151"/>
    <s v="Violin production item #151"/>
    <s v="UNIQUE"/>
    <n v="0"/>
    <n v="216"/>
    <n v="729"/>
    <n v="0"/>
    <n v="157464"/>
  </r>
  <r>
    <x v="0"/>
    <x v="3"/>
    <x v="1"/>
    <n v="1"/>
    <n v="20"/>
    <s v="00"/>
    <s v="152"/>
    <s v="12000-152"/>
    <s v="Violin production item #152"/>
    <s v="UNIQUE"/>
    <n v="0"/>
    <n v="8"/>
    <n v="676"/>
    <n v="0"/>
    <n v="5408"/>
  </r>
  <r>
    <x v="0"/>
    <x v="3"/>
    <x v="1"/>
    <n v="1"/>
    <n v="20"/>
    <s v="00"/>
    <s v="153"/>
    <s v="12000-153"/>
    <s v="Violin production item #153"/>
    <s v="UNIQUE"/>
    <n v="0"/>
    <n v="25"/>
    <n v="900"/>
    <n v="0"/>
    <n v="22500"/>
  </r>
  <r>
    <x v="0"/>
    <x v="3"/>
    <x v="1"/>
    <n v="1"/>
    <n v="20"/>
    <s v="00"/>
    <s v="154"/>
    <s v="12000-154"/>
    <s v="Violin production item #154"/>
    <s v="UNIQUE"/>
    <n v="0"/>
    <n v="4"/>
    <n v="20"/>
    <n v="0"/>
    <n v="80"/>
  </r>
  <r>
    <x v="0"/>
    <x v="3"/>
    <x v="1"/>
    <n v="1"/>
    <n v="20"/>
    <s v="00"/>
    <s v="155"/>
    <s v="12000-155"/>
    <s v="Violin production item #155"/>
    <s v="UNIQUE"/>
    <n v="0"/>
    <n v="8"/>
    <n v="216"/>
    <n v="0"/>
    <n v="1728"/>
  </r>
  <r>
    <x v="0"/>
    <x v="3"/>
    <x v="1"/>
    <n v="1"/>
    <n v="20"/>
    <s v="00"/>
    <s v="156"/>
    <s v="12000-156"/>
    <s v="Violin production item #156"/>
    <s v="UNIQUE"/>
    <n v="0"/>
    <n v="8"/>
    <n v="400"/>
    <n v="0"/>
    <n v="3200"/>
  </r>
  <r>
    <x v="0"/>
    <x v="3"/>
    <x v="1"/>
    <n v="1"/>
    <n v="20"/>
    <s v="00"/>
    <s v="157"/>
    <s v="12000-157"/>
    <s v="Violin production item #157"/>
    <s v="UNIQUE"/>
    <n v="0"/>
    <n v="7"/>
    <n v="15625"/>
    <n v="0"/>
    <n v="109375"/>
  </r>
  <r>
    <x v="0"/>
    <x v="3"/>
    <x v="1"/>
    <n v="1"/>
    <n v="20"/>
    <s v="00"/>
    <s v="158"/>
    <s v="12000-158"/>
    <s v="Violin production item #158"/>
    <s v="UNIQUE"/>
    <n v="0"/>
    <n v="1"/>
    <n v="6859"/>
    <n v="0"/>
    <n v="6859"/>
  </r>
  <r>
    <x v="0"/>
    <x v="3"/>
    <x v="1"/>
    <n v="1"/>
    <n v="20"/>
    <s v="00"/>
    <s v="159"/>
    <s v="12000-159"/>
    <s v="Violin production item #159"/>
    <s v="UNIQUE"/>
    <n v="0"/>
    <n v="100"/>
    <n v="625"/>
    <n v="0"/>
    <n v="62500"/>
  </r>
  <r>
    <x v="0"/>
    <x v="3"/>
    <x v="1"/>
    <n v="1"/>
    <n v="20"/>
    <s v="00"/>
    <s v="160"/>
    <s v="12000-160"/>
    <s v="Violin production item #160"/>
    <s v="UNIQUE"/>
    <n v="1"/>
    <n v="1"/>
    <n v="512"/>
    <n v="1"/>
    <n v="512"/>
  </r>
  <r>
    <x v="0"/>
    <x v="3"/>
    <x v="1"/>
    <n v="1"/>
    <n v="20"/>
    <s v="00"/>
    <s v="161"/>
    <s v="12000-161"/>
    <s v="Violin production item #161"/>
    <s v="UNIQUE"/>
    <n v="0"/>
    <n v="8"/>
    <n v="9261"/>
    <n v="0"/>
    <n v="74088"/>
  </r>
  <r>
    <x v="0"/>
    <x v="3"/>
    <x v="1"/>
    <n v="1"/>
    <n v="20"/>
    <s v="00"/>
    <s v="162"/>
    <s v="12000-162"/>
    <s v="Violin production item #162"/>
    <s v="UNIQUE"/>
    <n v="9"/>
    <n v="64"/>
    <n v="27"/>
    <n v="576"/>
    <n v="1728"/>
  </r>
  <r>
    <x v="0"/>
    <x v="3"/>
    <x v="1"/>
    <n v="1"/>
    <n v="20"/>
    <s v="00"/>
    <s v="163"/>
    <s v="12000-163"/>
    <s v="Violin production item #163"/>
    <s v="UNIQUE"/>
    <n v="0"/>
    <n v="36"/>
    <n v="256"/>
    <n v="0"/>
    <n v="9216"/>
  </r>
  <r>
    <x v="0"/>
    <x v="3"/>
    <x v="1"/>
    <n v="1"/>
    <n v="20"/>
    <s v="00"/>
    <s v="164"/>
    <s v="12000-164"/>
    <s v="Violin production item #164"/>
    <s v="UNIQUE"/>
    <n v="0"/>
    <n v="1"/>
    <n v="196"/>
    <n v="0"/>
    <n v="196"/>
  </r>
  <r>
    <x v="0"/>
    <x v="3"/>
    <x v="1"/>
    <n v="1"/>
    <n v="20"/>
    <s v="00"/>
    <s v="165"/>
    <s v="12000-165"/>
    <s v="Violin production item #165"/>
    <s v="UNIQUE"/>
    <n v="0"/>
    <n v="1"/>
    <n v="0"/>
    <n v="0"/>
    <n v="0"/>
  </r>
  <r>
    <x v="0"/>
    <x v="3"/>
    <x v="1"/>
    <n v="1"/>
    <n v="20"/>
    <s v="00"/>
    <s v="166"/>
    <s v="12000-166"/>
    <s v="Violin production item #166"/>
    <s v="UNIQUE"/>
    <n v="0"/>
    <n v="100"/>
    <n v="8"/>
    <n v="0"/>
    <n v="800"/>
  </r>
  <r>
    <x v="0"/>
    <x v="3"/>
    <x v="1"/>
    <n v="1"/>
    <n v="20"/>
    <s v="00"/>
    <s v="167"/>
    <s v="12000-167"/>
    <s v="Violin production item #167"/>
    <s v="UNIQUE"/>
    <n v="7"/>
    <n v="49"/>
    <n v="19683"/>
    <n v="343"/>
    <n v="964467"/>
  </r>
  <r>
    <x v="0"/>
    <x v="3"/>
    <x v="1"/>
    <n v="1"/>
    <n v="20"/>
    <s v="00"/>
    <s v="168"/>
    <s v="12000-168"/>
    <s v="Violin production item #168"/>
    <s v="UNIQUE"/>
    <n v="0"/>
    <n v="2"/>
    <n v="1728"/>
    <n v="0"/>
    <n v="3456"/>
  </r>
  <r>
    <x v="0"/>
    <x v="3"/>
    <x v="1"/>
    <n v="1"/>
    <n v="20"/>
    <s v="00"/>
    <s v="169"/>
    <s v="12000-169"/>
    <s v="Violin production item #169"/>
    <s v="UNIQUE"/>
    <n v="0"/>
    <n v="125"/>
    <n v="6"/>
    <n v="0"/>
    <n v="750"/>
  </r>
  <r>
    <x v="0"/>
    <x v="3"/>
    <x v="1"/>
    <n v="1"/>
    <n v="20"/>
    <s v="00"/>
    <s v="170"/>
    <s v="12000-170"/>
    <s v="Violin production item #170"/>
    <s v="UNIQUE"/>
    <n v="0"/>
    <n v="3"/>
    <n v="0"/>
    <n v="0"/>
    <n v="0"/>
  </r>
  <r>
    <x v="0"/>
    <x v="3"/>
    <x v="1"/>
    <n v="1"/>
    <n v="20"/>
    <s v="00"/>
    <s v="171"/>
    <s v="12000-171"/>
    <s v="Violin production item #171"/>
    <s v="UNIQUE"/>
    <n v="41"/>
    <n v="4"/>
    <n v="900"/>
    <n v="164"/>
    <n v="3600"/>
  </r>
  <r>
    <x v="0"/>
    <x v="3"/>
    <x v="1"/>
    <n v="1"/>
    <n v="20"/>
    <s v="00"/>
    <s v="172"/>
    <s v="12000-172"/>
    <s v="Violin production item #172"/>
    <s v="UNIQUE"/>
    <n v="0"/>
    <n v="10"/>
    <n v="7"/>
    <n v="0"/>
    <n v="70"/>
  </r>
  <r>
    <x v="0"/>
    <x v="3"/>
    <x v="1"/>
    <n v="1"/>
    <n v="20"/>
    <s v="00"/>
    <s v="173"/>
    <s v="12000-173"/>
    <s v="Violin production item #173"/>
    <s v="UNIQUE"/>
    <n v="37"/>
    <n v="4"/>
    <n v="900"/>
    <n v="148"/>
    <n v="3600"/>
  </r>
  <r>
    <x v="0"/>
    <x v="3"/>
    <x v="1"/>
    <n v="1"/>
    <n v="20"/>
    <s v="00"/>
    <s v="174"/>
    <s v="12000-174"/>
    <s v="Violin production item #174"/>
    <s v="UNIQUE"/>
    <n v="0"/>
    <n v="10"/>
    <n v="24"/>
    <n v="0"/>
    <n v="240"/>
  </r>
  <r>
    <x v="0"/>
    <x v="3"/>
    <x v="1"/>
    <n v="1"/>
    <n v="20"/>
    <s v="00"/>
    <s v="175"/>
    <s v="12000-175"/>
    <s v="Violin production item #175"/>
    <s v="UNIQUE"/>
    <n v="0"/>
    <n v="125"/>
    <n v="343"/>
    <n v="0"/>
    <n v="42875"/>
  </r>
  <r>
    <x v="0"/>
    <x v="3"/>
    <x v="1"/>
    <n v="1"/>
    <n v="20"/>
    <s v="00"/>
    <s v="176"/>
    <s v="12000-176"/>
    <s v="Violin production item #176"/>
    <s v="UNIQUE"/>
    <n v="0"/>
    <n v="1000"/>
    <n v="9"/>
    <n v="0"/>
    <n v="9000"/>
  </r>
  <r>
    <x v="0"/>
    <x v="3"/>
    <x v="1"/>
    <n v="1"/>
    <n v="20"/>
    <s v="00"/>
    <s v="177"/>
    <s v="12000-177"/>
    <s v="Violin production item #177"/>
    <s v="UNIQUE"/>
    <n v="0"/>
    <n v="1"/>
    <n v="1000"/>
    <n v="0"/>
    <n v="1000"/>
  </r>
  <r>
    <x v="0"/>
    <x v="3"/>
    <x v="1"/>
    <n v="1"/>
    <n v="20"/>
    <s v="00"/>
    <s v="178"/>
    <s v="12000-178"/>
    <s v="Violin production item #178"/>
    <s v="UNIQUE"/>
    <n v="0"/>
    <n v="3"/>
    <n v="10648"/>
    <n v="0"/>
    <n v="31944"/>
  </r>
  <r>
    <x v="0"/>
    <x v="3"/>
    <x v="1"/>
    <n v="1"/>
    <n v="20"/>
    <s v="00"/>
    <s v="179"/>
    <s v="12000-179"/>
    <s v="Violin production item #179"/>
    <s v="UNIQUE"/>
    <n v="0"/>
    <n v="6"/>
    <n v="9"/>
    <n v="0"/>
    <n v="54"/>
  </r>
  <r>
    <x v="0"/>
    <x v="3"/>
    <x v="1"/>
    <n v="1"/>
    <n v="20"/>
    <s v="00"/>
    <s v="180"/>
    <s v="12000-180"/>
    <s v="Violin production item #180"/>
    <s v="UNIQUE"/>
    <n v="44"/>
    <n v="1"/>
    <n v="256"/>
    <n v="44"/>
    <n v="256"/>
  </r>
  <r>
    <x v="0"/>
    <x v="3"/>
    <x v="1"/>
    <n v="1"/>
    <n v="20"/>
    <s v="00"/>
    <s v="181"/>
    <s v="12000-181"/>
    <s v="Violin production item #181"/>
    <s v="UNIQUE"/>
    <n v="0"/>
    <n v="343"/>
    <n v="6859"/>
    <n v="0"/>
    <n v="2352637"/>
  </r>
  <r>
    <x v="0"/>
    <x v="3"/>
    <x v="1"/>
    <n v="1"/>
    <n v="20"/>
    <s v="00"/>
    <s v="182"/>
    <s v="12000-182"/>
    <s v="Violin production item #182"/>
    <s v="UNIQUE"/>
    <n v="0"/>
    <n v="16"/>
    <n v="25"/>
    <n v="0"/>
    <n v="400"/>
  </r>
  <r>
    <x v="0"/>
    <x v="3"/>
    <x v="1"/>
    <n v="1"/>
    <n v="20"/>
    <s v="00"/>
    <s v="183"/>
    <s v="12000-183"/>
    <s v="Violin production item #183"/>
    <s v="UNIQUE"/>
    <n v="634"/>
    <n v="5"/>
    <n v="17576"/>
    <n v="3170"/>
    <n v="87880"/>
  </r>
  <r>
    <x v="0"/>
    <x v="3"/>
    <x v="1"/>
    <n v="1"/>
    <n v="20"/>
    <s v="00"/>
    <s v="184"/>
    <s v="12000-184"/>
    <s v="Violin production item #184"/>
    <s v="UNIQUE"/>
    <n v="0"/>
    <n v="6"/>
    <n v="100"/>
    <n v="0"/>
    <n v="600"/>
  </r>
  <r>
    <x v="0"/>
    <x v="3"/>
    <x v="1"/>
    <n v="1"/>
    <n v="20"/>
    <s v="00"/>
    <s v="185"/>
    <s v="12000-185"/>
    <s v="Violin production item #185"/>
    <s v="UNIQUE"/>
    <n v="0"/>
    <n v="27"/>
    <n v="19683"/>
    <n v="0"/>
    <n v="531441"/>
  </r>
  <r>
    <x v="0"/>
    <x v="3"/>
    <x v="1"/>
    <n v="1"/>
    <n v="20"/>
    <s v="00"/>
    <s v="186"/>
    <s v="12000-186"/>
    <s v="Violin production item #186"/>
    <s v="UNIQUE"/>
    <n v="0"/>
    <n v="512"/>
    <n v="9"/>
    <n v="0"/>
    <n v="4608"/>
  </r>
  <r>
    <x v="0"/>
    <x v="3"/>
    <x v="1"/>
    <n v="1"/>
    <n v="20"/>
    <s v="00"/>
    <s v="187"/>
    <s v="12000-187"/>
    <s v="Violin production item #187"/>
    <s v="UNIQUE"/>
    <n v="1"/>
    <n v="125"/>
    <n v="512"/>
    <n v="125"/>
    <n v="64000"/>
  </r>
  <r>
    <x v="0"/>
    <x v="3"/>
    <x v="1"/>
    <n v="1"/>
    <n v="20"/>
    <s v="00"/>
    <s v="188"/>
    <s v="12000-188"/>
    <s v="Violin production item #188"/>
    <s v="UNIQUE"/>
    <n v="27"/>
    <n v="1000"/>
    <n v="256"/>
    <n v="27000"/>
    <n v="256000"/>
  </r>
  <r>
    <x v="0"/>
    <x v="3"/>
    <x v="1"/>
    <n v="1"/>
    <n v="20"/>
    <s v="00"/>
    <s v="189"/>
    <s v="12000-189"/>
    <s v="Violin production item #189"/>
    <s v="UNIQUE"/>
    <n v="0"/>
    <n v="16"/>
    <n v="3375"/>
    <n v="0"/>
    <n v="54000"/>
  </r>
  <r>
    <x v="0"/>
    <x v="3"/>
    <x v="1"/>
    <n v="1"/>
    <n v="20"/>
    <s v="00"/>
    <s v="190"/>
    <s v="12000-190"/>
    <s v="Violin production item #190"/>
    <s v="UNIQUE"/>
    <n v="0"/>
    <n v="81"/>
    <n v="676"/>
    <n v="0"/>
    <n v="54756"/>
  </r>
  <r>
    <x v="0"/>
    <x v="3"/>
    <x v="1"/>
    <n v="1"/>
    <n v="20"/>
    <s v="00"/>
    <s v="191"/>
    <s v="12000-191"/>
    <s v="Violin production item #191"/>
    <s v="UNIQUE"/>
    <n v="0"/>
    <n v="36"/>
    <n v="25"/>
    <n v="0"/>
    <n v="900"/>
  </r>
  <r>
    <x v="0"/>
    <x v="3"/>
    <x v="1"/>
    <n v="1"/>
    <n v="20"/>
    <s v="00"/>
    <s v="192"/>
    <s v="12000-192"/>
    <s v="Violin production item #192"/>
    <s v="UNIQUE"/>
    <n v="1"/>
    <n v="2"/>
    <n v="729"/>
    <n v="2"/>
    <n v="1458"/>
  </r>
  <r>
    <x v="0"/>
    <x v="3"/>
    <x v="1"/>
    <n v="1"/>
    <n v="20"/>
    <s v="00"/>
    <s v="193"/>
    <s v="12000-193"/>
    <s v="Violin production item #193"/>
    <s v="UNIQUE"/>
    <n v="0"/>
    <n v="16"/>
    <n v="361"/>
    <n v="0"/>
    <n v="5776"/>
  </r>
  <r>
    <x v="0"/>
    <x v="3"/>
    <x v="1"/>
    <n v="1"/>
    <n v="20"/>
    <s v="00"/>
    <s v="194"/>
    <s v="12000-194"/>
    <s v="Violin production item #194"/>
    <s v="UNIQUE"/>
    <n v="1"/>
    <n v="1"/>
    <n v="676"/>
    <n v="1"/>
    <n v="676"/>
  </r>
  <r>
    <x v="0"/>
    <x v="3"/>
    <x v="1"/>
    <n v="1"/>
    <n v="20"/>
    <s v="00"/>
    <s v="195"/>
    <s v="12000-195"/>
    <s v="Violin production item #195"/>
    <s v="UNIQUE"/>
    <n v="1"/>
    <n v="8"/>
    <n v="4096"/>
    <n v="8"/>
    <n v="32768"/>
  </r>
  <r>
    <x v="0"/>
    <x v="3"/>
    <x v="1"/>
    <n v="1"/>
    <n v="20"/>
    <s v="00"/>
    <s v="196"/>
    <s v="12000-196"/>
    <s v="Violin production item #196"/>
    <s v="UNIQUE"/>
    <n v="60"/>
    <n v="8"/>
    <n v="2197"/>
    <n v="480"/>
    <n v="17576"/>
  </r>
  <r>
    <x v="0"/>
    <x v="3"/>
    <x v="1"/>
    <n v="1"/>
    <n v="20"/>
    <s v="00"/>
    <s v="197"/>
    <s v="12000-197"/>
    <s v="Violin production item #197"/>
    <s v="UNIQUE"/>
    <n v="0"/>
    <n v="9"/>
    <n v="576"/>
    <n v="0"/>
    <n v="5184"/>
  </r>
  <r>
    <x v="0"/>
    <x v="3"/>
    <x v="1"/>
    <n v="1"/>
    <n v="20"/>
    <s v="00"/>
    <s v="198"/>
    <s v="12000-198"/>
    <s v="Violin production item #198"/>
    <s v="UNIQUE"/>
    <n v="3088"/>
    <n v="125"/>
    <n v="13"/>
    <n v="386000"/>
    <n v="1625"/>
  </r>
  <r>
    <x v="0"/>
    <x v="3"/>
    <x v="1"/>
    <n v="1"/>
    <n v="20"/>
    <s v="00"/>
    <s v="199"/>
    <s v="12000-199"/>
    <s v="Violin production item #199"/>
    <s v="UNIQUE"/>
    <n v="0"/>
    <n v="36"/>
    <n v="4"/>
    <n v="0"/>
    <n v="144"/>
  </r>
  <r>
    <x v="0"/>
    <x v="3"/>
    <x v="1"/>
    <n v="1"/>
    <n v="20"/>
    <s v="00"/>
    <s v="200"/>
    <s v="12000-200"/>
    <s v="Violin production item #200"/>
    <s v="UNIQUE"/>
    <n v="0"/>
    <n v="1"/>
    <n v="400"/>
    <n v="0"/>
    <n v="400"/>
  </r>
  <r>
    <x v="0"/>
    <x v="3"/>
    <x v="1"/>
    <n v="1"/>
    <n v="20"/>
    <s v="00"/>
    <s v="201"/>
    <s v="12000-201"/>
    <s v="Violin production item #201"/>
    <s v="UNIQUE"/>
    <n v="1"/>
    <n v="27"/>
    <n v="49"/>
    <n v="27"/>
    <n v="1323"/>
  </r>
  <r>
    <x v="0"/>
    <x v="3"/>
    <x v="1"/>
    <n v="1"/>
    <n v="20"/>
    <s v="00"/>
    <s v="202"/>
    <s v="12000-202"/>
    <s v="Violin production item #202"/>
    <s v="UNIQUE"/>
    <n v="20"/>
    <n v="49"/>
    <n v="3"/>
    <n v="980"/>
    <n v="147"/>
  </r>
  <r>
    <x v="0"/>
    <x v="3"/>
    <x v="1"/>
    <n v="1"/>
    <n v="20"/>
    <s v="00"/>
    <s v="203"/>
    <s v="12000-203"/>
    <s v="Violin production item #203"/>
    <s v="UNIQUE"/>
    <n v="14"/>
    <n v="64"/>
    <n v="81"/>
    <n v="896"/>
    <n v="5184"/>
  </r>
  <r>
    <x v="0"/>
    <x v="3"/>
    <x v="1"/>
    <n v="1"/>
    <n v="20"/>
    <s v="00"/>
    <s v="204"/>
    <s v="12000-204"/>
    <s v="Violin production item #204"/>
    <s v="UNIQUE"/>
    <n v="0"/>
    <n v="25"/>
    <n v="22"/>
    <n v="0"/>
    <n v="550"/>
  </r>
  <r>
    <x v="0"/>
    <x v="3"/>
    <x v="1"/>
    <n v="1"/>
    <n v="20"/>
    <s v="00"/>
    <s v="205"/>
    <s v="12000-205"/>
    <s v="Violin production item #205"/>
    <s v="UNIQUE"/>
    <n v="0"/>
    <n v="27"/>
    <n v="3375"/>
    <n v="0"/>
    <n v="91125"/>
  </r>
  <r>
    <x v="0"/>
    <x v="3"/>
    <x v="1"/>
    <n v="1"/>
    <n v="20"/>
    <s v="00"/>
    <s v="206"/>
    <s v="12000-206"/>
    <s v="Violin production item #206"/>
    <s v="UNIQUE"/>
    <n v="56"/>
    <n v="1"/>
    <n v="225"/>
    <n v="56"/>
    <n v="225"/>
  </r>
  <r>
    <x v="0"/>
    <x v="3"/>
    <x v="1"/>
    <n v="1"/>
    <n v="20"/>
    <s v="00"/>
    <s v="207"/>
    <s v="12000-207"/>
    <s v="Violin production item #207"/>
    <s v="UNIQUE"/>
    <n v="0"/>
    <n v="9"/>
    <n v="400"/>
    <n v="0"/>
    <n v="3600"/>
  </r>
  <r>
    <x v="0"/>
    <x v="3"/>
    <x v="1"/>
    <n v="1"/>
    <n v="20"/>
    <s v="00"/>
    <s v="208"/>
    <s v="12000-208"/>
    <s v="Violin production item #208"/>
    <s v="UNIQUE"/>
    <n v="63"/>
    <n v="3"/>
    <n v="169"/>
    <n v="189"/>
    <n v="507"/>
  </r>
  <r>
    <x v="0"/>
    <x v="3"/>
    <x v="1"/>
    <n v="1"/>
    <n v="20"/>
    <s v="00"/>
    <s v="209"/>
    <s v="12000-209"/>
    <s v="Violin production item #209"/>
    <s v="UNIQUE"/>
    <n v="0"/>
    <n v="4"/>
    <n v="12"/>
    <n v="0"/>
    <n v="48"/>
  </r>
  <r>
    <x v="0"/>
    <x v="3"/>
    <x v="1"/>
    <n v="1"/>
    <n v="20"/>
    <s v="00"/>
    <s v="210"/>
    <s v="12000-210"/>
    <s v="Violin production item #210"/>
    <s v="UNIQUE"/>
    <n v="0"/>
    <n v="27"/>
    <n v="529"/>
    <n v="0"/>
    <n v="14283"/>
  </r>
  <r>
    <x v="0"/>
    <x v="3"/>
    <x v="1"/>
    <n v="1"/>
    <n v="20"/>
    <s v="00"/>
    <s v="211"/>
    <s v="12000-211"/>
    <s v="Violin production item #211"/>
    <s v="UNIQUE"/>
    <n v="1"/>
    <n v="36"/>
    <n v="625"/>
    <n v="36"/>
    <n v="22500"/>
  </r>
  <r>
    <x v="0"/>
    <x v="3"/>
    <x v="1"/>
    <n v="1"/>
    <n v="20"/>
    <s v="00"/>
    <s v="212"/>
    <s v="12000-212"/>
    <s v="Violin production item #212"/>
    <s v="UNIQUE"/>
    <n v="0"/>
    <n v="1"/>
    <n v="4"/>
    <n v="0"/>
    <n v="4"/>
  </r>
  <r>
    <x v="0"/>
    <x v="3"/>
    <x v="1"/>
    <n v="1"/>
    <n v="20"/>
    <s v="00"/>
    <s v="213"/>
    <s v="12000-213"/>
    <s v="Violin production item #213"/>
    <s v="UNIQUE"/>
    <n v="0"/>
    <n v="4"/>
    <n v="0"/>
    <n v="0"/>
    <n v="0"/>
  </r>
  <r>
    <x v="0"/>
    <x v="3"/>
    <x v="1"/>
    <n v="1"/>
    <n v="20"/>
    <s v="00"/>
    <s v="214"/>
    <s v="12000-214"/>
    <s v="Violin production item #214"/>
    <s v="UNIQUE"/>
    <n v="0"/>
    <n v="343"/>
    <n v="484"/>
    <n v="0"/>
    <n v="166012"/>
  </r>
  <r>
    <x v="0"/>
    <x v="3"/>
    <x v="1"/>
    <n v="1"/>
    <n v="20"/>
    <s v="00"/>
    <s v="215"/>
    <s v="12000-215"/>
    <s v="Violin production item #215"/>
    <s v="UNIQUE"/>
    <n v="946"/>
    <n v="49"/>
    <n v="16"/>
    <n v="46354"/>
    <n v="784"/>
  </r>
  <r>
    <x v="0"/>
    <x v="3"/>
    <x v="1"/>
    <n v="1"/>
    <n v="20"/>
    <s v="00"/>
    <s v="216"/>
    <s v="12000-216"/>
    <s v="Violin production item #216"/>
    <s v="UNIQUE"/>
    <n v="6"/>
    <n v="3"/>
    <n v="125"/>
    <n v="18"/>
    <n v="375"/>
  </r>
  <r>
    <x v="0"/>
    <x v="3"/>
    <x v="1"/>
    <n v="1"/>
    <n v="20"/>
    <s v="00"/>
    <s v="217"/>
    <s v="12000-217"/>
    <s v="Violin production item #217"/>
    <s v="UNIQUE"/>
    <n v="0"/>
    <n v="49"/>
    <n v="625"/>
    <n v="0"/>
    <n v="30625"/>
  </r>
  <r>
    <x v="0"/>
    <x v="3"/>
    <x v="1"/>
    <n v="1"/>
    <n v="20"/>
    <s v="00"/>
    <s v="218"/>
    <s v="12000-218"/>
    <s v="Violin production item #218"/>
    <s v="UNIQUE"/>
    <n v="0"/>
    <n v="100"/>
    <n v="1"/>
    <n v="0"/>
    <n v="100"/>
  </r>
  <r>
    <x v="0"/>
    <x v="3"/>
    <x v="1"/>
    <n v="1"/>
    <n v="20"/>
    <s v="00"/>
    <s v="219"/>
    <s v="12000-219"/>
    <s v="Violin production item #219"/>
    <s v="UNIQUE"/>
    <n v="0"/>
    <n v="8"/>
    <n v="256"/>
    <n v="0"/>
    <n v="2048"/>
  </r>
  <r>
    <x v="0"/>
    <x v="3"/>
    <x v="1"/>
    <n v="1"/>
    <n v="20"/>
    <s v="00"/>
    <s v="220"/>
    <s v="12000-220"/>
    <s v="Violin production item #220"/>
    <s v="UNIQUE"/>
    <n v="60"/>
    <n v="1"/>
    <n v="21952"/>
    <n v="60"/>
    <n v="21952"/>
  </r>
  <r>
    <x v="0"/>
    <x v="3"/>
    <x v="1"/>
    <n v="1"/>
    <n v="20"/>
    <s v="00"/>
    <s v="221"/>
    <s v="12000-221"/>
    <s v="Violin production item #221"/>
    <s v="UNIQUE"/>
    <n v="0"/>
    <n v="8"/>
    <n v="225"/>
    <n v="0"/>
    <n v="1800"/>
  </r>
  <r>
    <x v="0"/>
    <x v="3"/>
    <x v="1"/>
    <n v="1"/>
    <n v="20"/>
    <s v="00"/>
    <s v="222"/>
    <s v="12000-222"/>
    <s v="Violin production item #222"/>
    <s v="UNIQUE"/>
    <n v="0"/>
    <n v="5"/>
    <n v="9261"/>
    <n v="0"/>
    <n v="46305"/>
  </r>
  <r>
    <x v="0"/>
    <x v="3"/>
    <x v="1"/>
    <n v="1"/>
    <n v="20"/>
    <s v="00"/>
    <s v="223"/>
    <s v="12000-223"/>
    <s v="Violin production item #223"/>
    <s v="UNIQUE"/>
    <n v="0"/>
    <n v="4"/>
    <n v="22"/>
    <n v="0"/>
    <n v="88"/>
  </r>
  <r>
    <x v="0"/>
    <x v="3"/>
    <x v="1"/>
    <n v="1"/>
    <n v="20"/>
    <s v="00"/>
    <s v="224"/>
    <s v="12000-224"/>
    <s v="Violin production item #224"/>
    <s v="UNIQUE"/>
    <n v="37"/>
    <n v="125"/>
    <n v="25"/>
    <n v="4625"/>
    <n v="3125"/>
  </r>
  <r>
    <x v="0"/>
    <x v="3"/>
    <x v="1"/>
    <n v="1"/>
    <n v="20"/>
    <s v="00"/>
    <s v="225"/>
    <s v="12000-225"/>
    <s v="Violin production item #225"/>
    <s v="UNIQUE"/>
    <n v="3"/>
    <n v="27"/>
    <n v="19683"/>
    <n v="81"/>
    <n v="531441"/>
  </r>
  <r>
    <x v="0"/>
    <x v="3"/>
    <x v="1"/>
    <n v="1"/>
    <n v="20"/>
    <s v="00"/>
    <s v="226"/>
    <s v="12000-226"/>
    <s v="Violin production item #226"/>
    <s v="UNIQUE"/>
    <n v="0"/>
    <n v="343"/>
    <n v="21952"/>
    <n v="0"/>
    <n v="7529536"/>
  </r>
  <r>
    <x v="0"/>
    <x v="3"/>
    <x v="1"/>
    <n v="1"/>
    <n v="20"/>
    <s v="00"/>
    <s v="227"/>
    <s v="12000-227"/>
    <s v="Violin production item #227"/>
    <s v="UNIQUE"/>
    <n v="35"/>
    <n v="2"/>
    <n v="841"/>
    <n v="70"/>
    <n v="1682"/>
  </r>
  <r>
    <x v="0"/>
    <x v="3"/>
    <x v="1"/>
    <n v="1"/>
    <n v="20"/>
    <s v="00"/>
    <s v="228"/>
    <s v="12000-228"/>
    <s v="Violin production item #228"/>
    <s v="UNIQUE"/>
    <n v="0"/>
    <n v="49"/>
    <n v="8"/>
    <n v="0"/>
    <n v="392"/>
  </r>
  <r>
    <x v="0"/>
    <x v="3"/>
    <x v="1"/>
    <n v="1"/>
    <n v="20"/>
    <s v="00"/>
    <s v="229"/>
    <s v="12000-229"/>
    <s v="Violin production item #229"/>
    <s v="UNIQUE"/>
    <n v="0"/>
    <n v="49"/>
    <n v="24389"/>
    <n v="0"/>
    <n v="1195061"/>
  </r>
  <r>
    <x v="0"/>
    <x v="3"/>
    <x v="1"/>
    <n v="1"/>
    <n v="20"/>
    <s v="00"/>
    <s v="230"/>
    <s v="12000-230"/>
    <s v="Violin production item #230"/>
    <s v="UNIQUE"/>
    <n v="92"/>
    <n v="4"/>
    <n v="441"/>
    <n v="368"/>
    <n v="1764"/>
  </r>
  <r>
    <x v="0"/>
    <x v="3"/>
    <x v="1"/>
    <n v="1"/>
    <n v="20"/>
    <s v="00"/>
    <s v="231"/>
    <s v="12000-231"/>
    <s v="Violin production item #231"/>
    <s v="UNIQUE"/>
    <n v="0"/>
    <n v="1"/>
    <n v="9"/>
    <n v="0"/>
    <n v="9"/>
  </r>
  <r>
    <x v="0"/>
    <x v="3"/>
    <x v="1"/>
    <n v="1"/>
    <n v="20"/>
    <s v="00"/>
    <s v="232"/>
    <s v="12000-232"/>
    <s v="Violin production item #232"/>
    <s v="UNIQUE"/>
    <n v="6347"/>
    <n v="1"/>
    <n v="729"/>
    <n v="6347"/>
    <n v="729"/>
  </r>
  <r>
    <x v="0"/>
    <x v="3"/>
    <x v="1"/>
    <n v="1"/>
    <n v="20"/>
    <s v="00"/>
    <s v="233"/>
    <s v="12000-233"/>
    <s v="Violin production item #233"/>
    <s v="UNIQUE"/>
    <n v="4"/>
    <n v="3"/>
    <n v="25"/>
    <n v="12"/>
    <n v="75"/>
  </r>
  <r>
    <x v="0"/>
    <x v="3"/>
    <x v="1"/>
    <n v="1"/>
    <n v="20"/>
    <s v="00"/>
    <s v="234"/>
    <s v="12000-234"/>
    <s v="Violin production item #234"/>
    <s v="UNIQUE"/>
    <n v="0"/>
    <n v="100"/>
    <n v="4096"/>
    <n v="0"/>
    <n v="409600"/>
  </r>
  <r>
    <x v="0"/>
    <x v="3"/>
    <x v="1"/>
    <n v="1"/>
    <n v="20"/>
    <s v="00"/>
    <s v="235"/>
    <s v="12000-235"/>
    <s v="Violin production item #235"/>
    <s v="UNIQUE"/>
    <n v="0"/>
    <n v="512"/>
    <n v="27"/>
    <n v="0"/>
    <n v="13824"/>
  </r>
  <r>
    <x v="0"/>
    <x v="3"/>
    <x v="1"/>
    <n v="1"/>
    <n v="20"/>
    <s v="00"/>
    <s v="236"/>
    <s v="12000-236"/>
    <s v="Violin production item #236"/>
    <s v="UNIQUE"/>
    <n v="0"/>
    <n v="1"/>
    <n v="22"/>
    <n v="0"/>
    <n v="22"/>
  </r>
  <r>
    <x v="0"/>
    <x v="3"/>
    <x v="1"/>
    <n v="1"/>
    <n v="20"/>
    <s v="00"/>
    <s v="237"/>
    <s v="12000-237"/>
    <s v="Violin production item #237"/>
    <s v="UNIQUE"/>
    <n v="0"/>
    <n v="1000"/>
    <n v="11"/>
    <n v="0"/>
    <n v="11000"/>
  </r>
  <r>
    <x v="0"/>
    <x v="3"/>
    <x v="1"/>
    <n v="1"/>
    <n v="20"/>
    <s v="00"/>
    <s v="238"/>
    <s v="12000-238"/>
    <s v="Violin production item #238"/>
    <s v="UNIQUE"/>
    <n v="208"/>
    <n v="3"/>
    <n v="100"/>
    <n v="624"/>
    <n v="300"/>
  </r>
  <r>
    <x v="0"/>
    <x v="3"/>
    <x v="1"/>
    <n v="1"/>
    <n v="20"/>
    <s v="00"/>
    <s v="239"/>
    <s v="12000-239"/>
    <s v="Violin production item #239"/>
    <s v="UNIQUE"/>
    <n v="68"/>
    <n v="36"/>
    <n v="6859"/>
    <n v="2448"/>
    <n v="246924"/>
  </r>
  <r>
    <x v="0"/>
    <x v="3"/>
    <x v="1"/>
    <n v="1"/>
    <n v="20"/>
    <s v="00"/>
    <s v="240"/>
    <s v="12000-240"/>
    <s v="Violin production item #240"/>
    <s v="UNIQUE"/>
    <n v="0"/>
    <n v="49"/>
    <n v="1728"/>
    <n v="0"/>
    <n v="84672"/>
  </r>
  <r>
    <x v="0"/>
    <x v="3"/>
    <x v="1"/>
    <n v="1"/>
    <n v="20"/>
    <s v="00"/>
    <s v="241"/>
    <s v="12000-241"/>
    <s v="Violin production item #241"/>
    <s v="UNIQUE"/>
    <n v="0"/>
    <n v="49"/>
    <n v="15"/>
    <n v="0"/>
    <n v="735"/>
  </r>
  <r>
    <x v="0"/>
    <x v="3"/>
    <x v="1"/>
    <n v="1"/>
    <n v="20"/>
    <s v="00"/>
    <s v="242"/>
    <s v="12000-242"/>
    <s v="Violin production item #242"/>
    <s v="UNIQUE"/>
    <n v="0"/>
    <n v="9"/>
    <n v="676"/>
    <n v="0"/>
    <n v="6084"/>
  </r>
  <r>
    <x v="0"/>
    <x v="3"/>
    <x v="1"/>
    <n v="1"/>
    <n v="20"/>
    <s v="00"/>
    <s v="243"/>
    <s v="12000-243"/>
    <s v="Violin production item #243"/>
    <s v="UNIQUE"/>
    <n v="0"/>
    <n v="1"/>
    <n v="225"/>
    <n v="0"/>
    <n v="225"/>
  </r>
  <r>
    <x v="0"/>
    <x v="3"/>
    <x v="1"/>
    <n v="1"/>
    <n v="20"/>
    <s v="00"/>
    <s v="244"/>
    <s v="12000-244"/>
    <s v="Violin production item #244"/>
    <s v="UNIQUE"/>
    <n v="0"/>
    <n v="64"/>
    <n v="18"/>
    <n v="0"/>
    <n v="1152"/>
  </r>
  <r>
    <x v="0"/>
    <x v="3"/>
    <x v="1"/>
    <n v="1"/>
    <n v="20"/>
    <s v="00"/>
    <s v="245"/>
    <s v="12000-245"/>
    <s v="Violin production item #245"/>
    <s v="UNIQUE"/>
    <n v="93"/>
    <n v="125"/>
    <n v="0"/>
    <n v="11625"/>
    <n v="0"/>
  </r>
  <r>
    <x v="0"/>
    <x v="3"/>
    <x v="1"/>
    <n v="1"/>
    <n v="20"/>
    <s v="00"/>
    <s v="246"/>
    <s v="12000-246"/>
    <s v="Violin production item #246"/>
    <s v="UNIQUE"/>
    <n v="7300"/>
    <n v="27"/>
    <n v="121"/>
    <n v="197100"/>
    <n v="3267"/>
  </r>
  <r>
    <x v="0"/>
    <x v="3"/>
    <x v="1"/>
    <n v="1"/>
    <n v="20"/>
    <s v="00"/>
    <s v="247"/>
    <s v="12000-247"/>
    <s v="Violin production item #247"/>
    <s v="UNIQUE"/>
    <n v="0"/>
    <n v="8"/>
    <n v="6"/>
    <n v="0"/>
    <n v="48"/>
  </r>
  <r>
    <x v="0"/>
    <x v="3"/>
    <x v="1"/>
    <n v="1"/>
    <n v="20"/>
    <s v="00"/>
    <s v="248"/>
    <s v="12000-248"/>
    <s v="Violin production item #248"/>
    <s v="UNIQUE"/>
    <n v="1"/>
    <n v="5"/>
    <n v="576"/>
    <n v="5"/>
    <n v="2880"/>
  </r>
  <r>
    <x v="0"/>
    <x v="3"/>
    <x v="1"/>
    <n v="1"/>
    <n v="20"/>
    <s v="00"/>
    <s v="249"/>
    <s v="12000-249"/>
    <s v="Violin production item #249"/>
    <s v="UNIQUE"/>
    <n v="0"/>
    <n v="10"/>
    <n v="6859"/>
    <n v="0"/>
    <n v="68590"/>
  </r>
  <r>
    <x v="0"/>
    <x v="4"/>
    <x v="1"/>
    <n v="1"/>
    <n v="21"/>
    <s v="00"/>
    <s v="000"/>
    <s v="12100-000"/>
    <s v="Viola production item #000"/>
    <s v="UNIQUE"/>
    <n v="0"/>
    <n v="8"/>
    <n v="20"/>
    <n v="0"/>
    <n v="160"/>
  </r>
  <r>
    <x v="0"/>
    <x v="4"/>
    <x v="1"/>
    <n v="1"/>
    <n v="21"/>
    <s v="00"/>
    <s v="001"/>
    <s v="12100-001"/>
    <s v="Viola production item #001"/>
    <s v="UNIQUE"/>
    <n v="0"/>
    <n v="49"/>
    <n v="6859"/>
    <n v="0"/>
    <n v="336091"/>
  </r>
  <r>
    <x v="0"/>
    <x v="4"/>
    <x v="1"/>
    <n v="1"/>
    <n v="21"/>
    <s v="00"/>
    <s v="002"/>
    <s v="12100-002"/>
    <s v="Viola production item #002"/>
    <s v="UNIQUE"/>
    <n v="0"/>
    <n v="512"/>
    <n v="21"/>
    <n v="0"/>
    <n v="10752"/>
  </r>
  <r>
    <x v="0"/>
    <x v="4"/>
    <x v="1"/>
    <n v="1"/>
    <n v="21"/>
    <s v="00"/>
    <s v="003"/>
    <s v="12100-003"/>
    <s v="Viola production item #003"/>
    <s v="UNIQUE"/>
    <n v="0"/>
    <n v="512"/>
    <n v="1728"/>
    <n v="0"/>
    <n v="884736"/>
  </r>
  <r>
    <x v="0"/>
    <x v="4"/>
    <x v="1"/>
    <n v="1"/>
    <n v="21"/>
    <s v="00"/>
    <s v="004"/>
    <s v="12100-004"/>
    <s v="Viola production item #004"/>
    <s v="UNIQUE"/>
    <n v="0"/>
    <n v="1"/>
    <n v="13824"/>
    <n v="0"/>
    <n v="13824"/>
  </r>
  <r>
    <x v="0"/>
    <x v="4"/>
    <x v="1"/>
    <n v="1"/>
    <n v="21"/>
    <s v="00"/>
    <s v="005"/>
    <s v="12100-005"/>
    <s v="Viola production item #005"/>
    <s v="UNIQUE"/>
    <n v="0"/>
    <n v="8"/>
    <n v="625"/>
    <n v="0"/>
    <n v="5000"/>
  </r>
  <r>
    <x v="0"/>
    <x v="4"/>
    <x v="1"/>
    <n v="1"/>
    <n v="21"/>
    <s v="00"/>
    <s v="006"/>
    <s v="12100-006"/>
    <s v="Viola production item #006"/>
    <s v="UNIQUE"/>
    <n v="1628"/>
    <n v="36"/>
    <n v="5832"/>
    <n v="58608"/>
    <n v="209952"/>
  </r>
  <r>
    <x v="0"/>
    <x v="4"/>
    <x v="1"/>
    <n v="1"/>
    <n v="21"/>
    <s v="00"/>
    <s v="007"/>
    <s v="12100-007"/>
    <s v="Viola production item #007"/>
    <s v="UNIQUE"/>
    <n v="0"/>
    <n v="1"/>
    <n v="6"/>
    <n v="0"/>
    <n v="6"/>
  </r>
  <r>
    <x v="0"/>
    <x v="4"/>
    <x v="1"/>
    <n v="1"/>
    <n v="21"/>
    <s v="00"/>
    <s v="008"/>
    <s v="12100-008"/>
    <s v="Viola production item #008"/>
    <s v="UNIQUE"/>
    <n v="53"/>
    <n v="36"/>
    <n v="17576"/>
    <n v="1908"/>
    <n v="632736"/>
  </r>
  <r>
    <x v="0"/>
    <x v="4"/>
    <x v="1"/>
    <n v="1"/>
    <n v="21"/>
    <s v="00"/>
    <s v="009"/>
    <s v="12100-009"/>
    <s v="Viola production item #009"/>
    <s v="UNIQUE"/>
    <n v="8"/>
    <n v="3"/>
    <n v="21"/>
    <n v="24"/>
    <n v="63"/>
  </r>
  <r>
    <x v="0"/>
    <x v="4"/>
    <x v="1"/>
    <n v="1"/>
    <n v="21"/>
    <s v="00"/>
    <s v="010"/>
    <s v="12100-010"/>
    <s v="Viola production item #010"/>
    <s v="UNIQUE"/>
    <n v="2"/>
    <n v="25"/>
    <n v="26"/>
    <n v="50"/>
    <n v="650"/>
  </r>
  <r>
    <x v="0"/>
    <x v="4"/>
    <x v="1"/>
    <n v="1"/>
    <n v="21"/>
    <s v="00"/>
    <s v="011"/>
    <s v="12100-011"/>
    <s v="Viola production item #011"/>
    <s v="UNIQUE"/>
    <n v="1"/>
    <n v="9"/>
    <n v="19683"/>
    <n v="9"/>
    <n v="177147"/>
  </r>
  <r>
    <x v="0"/>
    <x v="4"/>
    <x v="1"/>
    <n v="1"/>
    <n v="21"/>
    <s v="00"/>
    <s v="012"/>
    <s v="12100-012"/>
    <s v="Viola production item #012"/>
    <s v="UNIQUE"/>
    <n v="1"/>
    <n v="10"/>
    <n v="26"/>
    <n v="10"/>
    <n v="260"/>
  </r>
  <r>
    <x v="0"/>
    <x v="4"/>
    <x v="1"/>
    <n v="1"/>
    <n v="21"/>
    <s v="00"/>
    <s v="013"/>
    <s v="12100-013"/>
    <s v="Viola production item #013"/>
    <s v="UNIQUE"/>
    <n v="0"/>
    <n v="49"/>
    <n v="17576"/>
    <n v="0"/>
    <n v="861224"/>
  </r>
  <r>
    <x v="0"/>
    <x v="4"/>
    <x v="1"/>
    <n v="1"/>
    <n v="21"/>
    <s v="00"/>
    <s v="014"/>
    <s v="12100-014"/>
    <s v="Viola production item #014"/>
    <s v="UNIQUE"/>
    <n v="6"/>
    <n v="4"/>
    <n v="14"/>
    <n v="24"/>
    <n v="56"/>
  </r>
  <r>
    <x v="0"/>
    <x v="4"/>
    <x v="1"/>
    <n v="1"/>
    <n v="21"/>
    <s v="00"/>
    <s v="015"/>
    <s v="12100-015"/>
    <s v="Viola production item #015"/>
    <s v="UNIQUE"/>
    <n v="0"/>
    <n v="5"/>
    <n v="324"/>
    <n v="0"/>
    <n v="1620"/>
  </r>
  <r>
    <x v="0"/>
    <x v="4"/>
    <x v="1"/>
    <n v="1"/>
    <n v="21"/>
    <s v="00"/>
    <s v="016"/>
    <s v="12100-016"/>
    <s v="Viola production item #016"/>
    <s v="UNIQUE"/>
    <n v="7915"/>
    <n v="9"/>
    <n v="125"/>
    <n v="71235"/>
    <n v="1125"/>
  </r>
  <r>
    <x v="0"/>
    <x v="4"/>
    <x v="1"/>
    <n v="1"/>
    <n v="21"/>
    <s v="00"/>
    <s v="017"/>
    <s v="12100-017"/>
    <s v="Viola production item #017"/>
    <s v="UNIQUE"/>
    <n v="0"/>
    <n v="64"/>
    <n v="1"/>
    <n v="0"/>
    <n v="64"/>
  </r>
  <r>
    <x v="0"/>
    <x v="4"/>
    <x v="1"/>
    <n v="1"/>
    <n v="21"/>
    <s v="00"/>
    <s v="018"/>
    <s v="12100-018"/>
    <s v="Viola production item #018"/>
    <s v="UNIQUE"/>
    <n v="0"/>
    <n v="6"/>
    <n v="8"/>
    <n v="0"/>
    <n v="48"/>
  </r>
  <r>
    <x v="0"/>
    <x v="4"/>
    <x v="1"/>
    <n v="1"/>
    <n v="21"/>
    <s v="00"/>
    <s v="019"/>
    <s v="12100-019"/>
    <s v="Viola production item #019"/>
    <s v="UNIQUE"/>
    <n v="968"/>
    <n v="9"/>
    <n v="121"/>
    <n v="8712"/>
    <n v="1089"/>
  </r>
  <r>
    <x v="0"/>
    <x v="4"/>
    <x v="1"/>
    <n v="1"/>
    <n v="21"/>
    <s v="00"/>
    <s v="020"/>
    <s v="12100-020"/>
    <s v="Viola production item #020"/>
    <s v="UNIQUE"/>
    <n v="93"/>
    <n v="2"/>
    <n v="36"/>
    <n v="186"/>
    <n v="72"/>
  </r>
  <r>
    <x v="0"/>
    <x v="4"/>
    <x v="1"/>
    <n v="1"/>
    <n v="21"/>
    <s v="00"/>
    <s v="021"/>
    <s v="12100-021"/>
    <s v="Viola production item #021"/>
    <s v="UNIQUE"/>
    <n v="1"/>
    <n v="125"/>
    <n v="441"/>
    <n v="125"/>
    <n v="55125"/>
  </r>
  <r>
    <x v="0"/>
    <x v="4"/>
    <x v="1"/>
    <n v="1"/>
    <n v="21"/>
    <s v="00"/>
    <s v="022"/>
    <s v="12100-022"/>
    <s v="Viola production item #022"/>
    <s v="UNIQUE"/>
    <n v="0"/>
    <n v="49"/>
    <n v="25"/>
    <n v="0"/>
    <n v="1225"/>
  </r>
  <r>
    <x v="0"/>
    <x v="4"/>
    <x v="1"/>
    <n v="1"/>
    <n v="21"/>
    <s v="00"/>
    <s v="023"/>
    <s v="12100-023"/>
    <s v="Viola production item #023"/>
    <s v="UNIQUE"/>
    <n v="945"/>
    <n v="3"/>
    <n v="2"/>
    <n v="2835"/>
    <n v="6"/>
  </r>
  <r>
    <x v="0"/>
    <x v="4"/>
    <x v="1"/>
    <n v="1"/>
    <n v="21"/>
    <s v="00"/>
    <s v="024"/>
    <s v="12100-024"/>
    <s v="Viola production item #024"/>
    <s v="UNIQUE"/>
    <n v="91"/>
    <n v="9"/>
    <n v="25"/>
    <n v="819"/>
    <n v="225"/>
  </r>
  <r>
    <x v="0"/>
    <x v="4"/>
    <x v="1"/>
    <n v="1"/>
    <n v="21"/>
    <s v="00"/>
    <s v="025"/>
    <s v="12100-025"/>
    <s v="Viola production item #025"/>
    <s v="UNIQUE"/>
    <n v="1881"/>
    <n v="10"/>
    <n v="13824"/>
    <n v="18810"/>
    <n v="138240"/>
  </r>
  <r>
    <x v="0"/>
    <x v="4"/>
    <x v="1"/>
    <n v="1"/>
    <n v="21"/>
    <s v="00"/>
    <s v="026"/>
    <s v="12100-026"/>
    <s v="Viola production item #026"/>
    <s v="UNIQUE"/>
    <n v="46"/>
    <n v="6"/>
    <n v="27"/>
    <n v="276"/>
    <n v="162"/>
  </r>
  <r>
    <x v="0"/>
    <x v="4"/>
    <x v="1"/>
    <n v="1"/>
    <n v="21"/>
    <s v="00"/>
    <s v="027"/>
    <s v="12100-027"/>
    <s v="Viola production item #027"/>
    <s v="UNIQUE"/>
    <n v="0"/>
    <n v="4"/>
    <n v="13"/>
    <n v="0"/>
    <n v="52"/>
  </r>
  <r>
    <x v="0"/>
    <x v="4"/>
    <x v="1"/>
    <n v="1"/>
    <n v="21"/>
    <s v="00"/>
    <s v="028"/>
    <s v="12100-028"/>
    <s v="Viola production item #028"/>
    <s v="UNIQUE"/>
    <n v="6724"/>
    <n v="1"/>
    <n v="21"/>
    <n v="6724"/>
    <n v="21"/>
  </r>
  <r>
    <x v="0"/>
    <x v="4"/>
    <x v="1"/>
    <n v="1"/>
    <n v="21"/>
    <s v="00"/>
    <s v="029"/>
    <s v="12100-029"/>
    <s v="Viola production item #029"/>
    <s v="UNIQUE"/>
    <n v="0"/>
    <n v="10"/>
    <n v="0"/>
    <n v="0"/>
    <n v="0"/>
  </r>
  <r>
    <x v="0"/>
    <x v="4"/>
    <x v="1"/>
    <n v="1"/>
    <n v="21"/>
    <s v="00"/>
    <s v="030"/>
    <s v="12100-030"/>
    <s v="Viola production item #030"/>
    <s v="UNIQUE"/>
    <n v="59"/>
    <n v="1"/>
    <n v="5"/>
    <n v="59"/>
    <n v="5"/>
  </r>
  <r>
    <x v="0"/>
    <x v="4"/>
    <x v="1"/>
    <n v="1"/>
    <n v="21"/>
    <s v="00"/>
    <s v="031"/>
    <s v="12100-031"/>
    <s v="Viola production item #031"/>
    <s v="UNIQUE"/>
    <n v="362"/>
    <n v="1"/>
    <n v="9"/>
    <n v="362"/>
    <n v="9"/>
  </r>
  <r>
    <x v="0"/>
    <x v="4"/>
    <x v="1"/>
    <n v="1"/>
    <n v="21"/>
    <s v="00"/>
    <s v="032"/>
    <s v="12100-032"/>
    <s v="Viola production item #032"/>
    <s v="UNIQUE"/>
    <n v="587"/>
    <n v="1"/>
    <n v="343"/>
    <n v="587"/>
    <n v="343"/>
  </r>
  <r>
    <x v="0"/>
    <x v="4"/>
    <x v="1"/>
    <n v="1"/>
    <n v="21"/>
    <s v="00"/>
    <s v="033"/>
    <s v="12100-033"/>
    <s v="Viola production item #033"/>
    <s v="UNIQUE"/>
    <n v="8"/>
    <n v="100"/>
    <n v="18"/>
    <n v="800"/>
    <n v="1800"/>
  </r>
  <r>
    <x v="0"/>
    <x v="4"/>
    <x v="1"/>
    <n v="1"/>
    <n v="21"/>
    <s v="00"/>
    <s v="034"/>
    <s v="12100-034"/>
    <s v="Viola production item #034"/>
    <s v="UNIQUE"/>
    <n v="0"/>
    <n v="4"/>
    <n v="729"/>
    <n v="0"/>
    <n v="2916"/>
  </r>
  <r>
    <x v="0"/>
    <x v="4"/>
    <x v="1"/>
    <n v="1"/>
    <n v="21"/>
    <s v="00"/>
    <s v="035"/>
    <s v="12100-035"/>
    <s v="Viola production item #035"/>
    <s v="UNIQUE"/>
    <n v="16"/>
    <n v="4"/>
    <n v="4"/>
    <n v="64"/>
    <n v="16"/>
  </r>
  <r>
    <x v="0"/>
    <x v="4"/>
    <x v="1"/>
    <n v="1"/>
    <n v="21"/>
    <s v="00"/>
    <s v="036"/>
    <s v="12100-036"/>
    <s v="Viola production item #036"/>
    <s v="UNIQUE"/>
    <n v="0"/>
    <n v="1"/>
    <n v="8"/>
    <n v="0"/>
    <n v="8"/>
  </r>
  <r>
    <x v="0"/>
    <x v="4"/>
    <x v="1"/>
    <n v="1"/>
    <n v="21"/>
    <s v="00"/>
    <s v="037"/>
    <s v="12100-037"/>
    <s v="Viola production item #037"/>
    <s v="UNIQUE"/>
    <n v="84"/>
    <n v="36"/>
    <n v="144"/>
    <n v="3024"/>
    <n v="5184"/>
  </r>
  <r>
    <x v="0"/>
    <x v="4"/>
    <x v="1"/>
    <n v="1"/>
    <n v="21"/>
    <s v="00"/>
    <s v="038"/>
    <s v="12100-038"/>
    <s v="Viola production item #038"/>
    <s v="UNIQUE"/>
    <n v="1010"/>
    <n v="27"/>
    <n v="484"/>
    <n v="27270"/>
    <n v="13068"/>
  </r>
  <r>
    <x v="0"/>
    <x v="4"/>
    <x v="1"/>
    <n v="1"/>
    <n v="21"/>
    <s v="00"/>
    <s v="039"/>
    <s v="12100-039"/>
    <s v="Viola production item #039"/>
    <s v="UNIQUE"/>
    <n v="8315"/>
    <n v="64"/>
    <n v="4096"/>
    <n v="532160"/>
    <n v="262144"/>
  </r>
  <r>
    <x v="0"/>
    <x v="4"/>
    <x v="1"/>
    <n v="1"/>
    <n v="21"/>
    <s v="00"/>
    <s v="040"/>
    <s v="12100-040"/>
    <s v="Viola production item #040"/>
    <s v="UNIQUE"/>
    <n v="0"/>
    <n v="1"/>
    <n v="19683"/>
    <n v="0"/>
    <n v="19683"/>
  </r>
  <r>
    <x v="0"/>
    <x v="4"/>
    <x v="1"/>
    <n v="1"/>
    <n v="21"/>
    <s v="00"/>
    <s v="041"/>
    <s v="12100-041"/>
    <s v="Viola production item #041"/>
    <s v="UNIQUE"/>
    <n v="1"/>
    <n v="4"/>
    <n v="9261"/>
    <n v="4"/>
    <n v="37044"/>
  </r>
  <r>
    <x v="0"/>
    <x v="4"/>
    <x v="1"/>
    <n v="1"/>
    <n v="21"/>
    <s v="00"/>
    <s v="042"/>
    <s v="12100-042"/>
    <s v="Viola production item #042"/>
    <s v="UNIQUE"/>
    <n v="886"/>
    <n v="9"/>
    <n v="26"/>
    <n v="7974"/>
    <n v="234"/>
  </r>
  <r>
    <x v="0"/>
    <x v="4"/>
    <x v="1"/>
    <n v="1"/>
    <n v="21"/>
    <s v="00"/>
    <s v="043"/>
    <s v="12100-043"/>
    <s v="Viola production item #043"/>
    <s v="UNIQUE"/>
    <n v="666"/>
    <n v="100"/>
    <n v="2197"/>
    <n v="66600"/>
    <n v="219700"/>
  </r>
  <r>
    <x v="0"/>
    <x v="4"/>
    <x v="1"/>
    <n v="1"/>
    <n v="21"/>
    <s v="00"/>
    <s v="044"/>
    <s v="12100-044"/>
    <s v="Viola production item #044"/>
    <s v="UNIQUE"/>
    <n v="93"/>
    <n v="3"/>
    <n v="8"/>
    <n v="279"/>
    <n v="24"/>
  </r>
  <r>
    <x v="0"/>
    <x v="4"/>
    <x v="1"/>
    <n v="1"/>
    <n v="21"/>
    <s v="00"/>
    <s v="045"/>
    <s v="12100-045"/>
    <s v="Viola production item #045"/>
    <s v="UNIQUE"/>
    <n v="65"/>
    <n v="4"/>
    <n v="5"/>
    <n v="260"/>
    <n v="20"/>
  </r>
  <r>
    <x v="0"/>
    <x v="4"/>
    <x v="1"/>
    <n v="1"/>
    <n v="21"/>
    <s v="00"/>
    <s v="046"/>
    <s v="12100-046"/>
    <s v="Viola production item #046"/>
    <s v="UNIQUE"/>
    <n v="197"/>
    <n v="64"/>
    <n v="900"/>
    <n v="12608"/>
    <n v="57600"/>
  </r>
  <r>
    <x v="0"/>
    <x v="4"/>
    <x v="1"/>
    <n v="1"/>
    <n v="21"/>
    <s v="00"/>
    <s v="047"/>
    <s v="12100-047"/>
    <s v="Viola production item #047"/>
    <s v="UNIQUE"/>
    <n v="85"/>
    <n v="1000"/>
    <n v="15625"/>
    <n v="85000"/>
    <n v="15625000"/>
  </r>
  <r>
    <x v="0"/>
    <x v="4"/>
    <x v="1"/>
    <n v="1"/>
    <n v="21"/>
    <s v="00"/>
    <s v="048"/>
    <s v="12100-048"/>
    <s v="Viola production item #048"/>
    <s v="UNIQUE"/>
    <n v="8"/>
    <n v="100"/>
    <n v="324"/>
    <n v="800"/>
    <n v="32400"/>
  </r>
  <r>
    <x v="0"/>
    <x v="4"/>
    <x v="1"/>
    <n v="1"/>
    <n v="21"/>
    <s v="00"/>
    <s v="049"/>
    <s v="12100-049"/>
    <s v="Viola production item #049"/>
    <s v="UNIQUE"/>
    <n v="0"/>
    <n v="9"/>
    <n v="121"/>
    <n v="0"/>
    <n v="1089"/>
  </r>
  <r>
    <x v="0"/>
    <x v="5"/>
    <x v="1"/>
    <n v="1"/>
    <n v="22"/>
    <s v="00"/>
    <s v="000"/>
    <s v="12200-000"/>
    <s v="Cello production item #000"/>
    <s v="UNIQUE"/>
    <n v="827"/>
    <n v="81"/>
    <n v="11"/>
    <n v="66987"/>
    <n v="891"/>
  </r>
  <r>
    <x v="0"/>
    <x v="5"/>
    <x v="1"/>
    <n v="1"/>
    <n v="22"/>
    <s v="00"/>
    <s v="001"/>
    <s v="12200-001"/>
    <s v="Cello production item #001"/>
    <s v="UNIQUE"/>
    <n v="0"/>
    <n v="3"/>
    <n v="8"/>
    <n v="0"/>
    <n v="24"/>
  </r>
  <r>
    <x v="0"/>
    <x v="5"/>
    <x v="1"/>
    <n v="1"/>
    <n v="22"/>
    <s v="00"/>
    <s v="002"/>
    <s v="12200-002"/>
    <s v="Cello production item #002"/>
    <s v="UNIQUE"/>
    <n v="92"/>
    <n v="1000"/>
    <n v="17"/>
    <n v="92000"/>
    <n v="17000"/>
  </r>
  <r>
    <x v="0"/>
    <x v="5"/>
    <x v="1"/>
    <n v="1"/>
    <n v="22"/>
    <s v="00"/>
    <s v="003"/>
    <s v="12200-003"/>
    <s v="Cello production item #003"/>
    <s v="UNIQUE"/>
    <n v="0"/>
    <n v="1"/>
    <n v="9261"/>
    <n v="0"/>
    <n v="9261"/>
  </r>
  <r>
    <x v="0"/>
    <x v="5"/>
    <x v="1"/>
    <n v="1"/>
    <n v="22"/>
    <s v="00"/>
    <s v="004"/>
    <s v="12200-004"/>
    <s v="Cello production item #004"/>
    <s v="UNIQUE"/>
    <n v="0"/>
    <n v="8"/>
    <n v="49"/>
    <n v="0"/>
    <n v="392"/>
  </r>
  <r>
    <x v="0"/>
    <x v="5"/>
    <x v="1"/>
    <n v="1"/>
    <n v="22"/>
    <s v="00"/>
    <s v="005"/>
    <s v="12200-005"/>
    <s v="Cello production item #005"/>
    <s v="UNIQUE"/>
    <n v="0"/>
    <n v="1"/>
    <n v="5832"/>
    <n v="0"/>
    <n v="5832"/>
  </r>
  <r>
    <x v="0"/>
    <x v="5"/>
    <x v="1"/>
    <n v="1"/>
    <n v="22"/>
    <s v="00"/>
    <s v="006"/>
    <s v="12200-006"/>
    <s v="Cello production item #006"/>
    <s v="UNIQUE"/>
    <n v="394"/>
    <n v="36"/>
    <n v="64"/>
    <n v="14184"/>
    <n v="2304"/>
  </r>
  <r>
    <x v="0"/>
    <x v="5"/>
    <x v="1"/>
    <n v="1"/>
    <n v="22"/>
    <s v="00"/>
    <s v="007"/>
    <s v="12200-007"/>
    <s v="Cello production item #007"/>
    <s v="UNIQUE"/>
    <n v="6"/>
    <n v="9"/>
    <n v="49"/>
    <n v="54"/>
    <n v="441"/>
  </r>
  <r>
    <x v="0"/>
    <x v="5"/>
    <x v="1"/>
    <n v="1"/>
    <n v="22"/>
    <s v="00"/>
    <s v="008"/>
    <s v="12200-008"/>
    <s v="Cello production item #008"/>
    <s v="UNIQUE"/>
    <n v="34"/>
    <n v="9"/>
    <n v="27"/>
    <n v="306"/>
    <n v="243"/>
  </r>
  <r>
    <x v="0"/>
    <x v="5"/>
    <x v="1"/>
    <n v="1"/>
    <n v="22"/>
    <s v="00"/>
    <s v="009"/>
    <s v="12200-009"/>
    <s v="Cello production item #009"/>
    <s v="UNIQUE"/>
    <n v="61"/>
    <n v="729"/>
    <n v="2"/>
    <n v="44469"/>
    <n v="1458"/>
  </r>
  <r>
    <x v="0"/>
    <x v="5"/>
    <x v="1"/>
    <n v="1"/>
    <n v="22"/>
    <s v="00"/>
    <s v="010"/>
    <s v="12200-010"/>
    <s v="Cello production item #010"/>
    <s v="UNIQUE"/>
    <n v="63"/>
    <n v="1"/>
    <n v="841"/>
    <n v="63"/>
    <n v="841"/>
  </r>
  <r>
    <x v="0"/>
    <x v="5"/>
    <x v="1"/>
    <n v="1"/>
    <n v="22"/>
    <s v="00"/>
    <s v="011"/>
    <s v="12200-011"/>
    <s v="Cello production item #011"/>
    <s v="UNIQUE"/>
    <n v="623"/>
    <n v="25"/>
    <n v="576"/>
    <n v="15575"/>
    <n v="14400"/>
  </r>
  <r>
    <x v="0"/>
    <x v="5"/>
    <x v="1"/>
    <n v="1"/>
    <n v="22"/>
    <s v="00"/>
    <s v="012"/>
    <s v="12200-012"/>
    <s v="Cello production item #012"/>
    <s v="UNIQUE"/>
    <n v="0"/>
    <n v="64"/>
    <n v="13"/>
    <n v="0"/>
    <n v="832"/>
  </r>
  <r>
    <x v="0"/>
    <x v="5"/>
    <x v="1"/>
    <n v="1"/>
    <n v="22"/>
    <s v="00"/>
    <s v="013"/>
    <s v="12200-013"/>
    <s v="Cello production item #013"/>
    <s v="UNIQUE"/>
    <n v="0"/>
    <n v="9"/>
    <n v="4913"/>
    <n v="0"/>
    <n v="44217"/>
  </r>
  <r>
    <x v="0"/>
    <x v="5"/>
    <x v="1"/>
    <n v="1"/>
    <n v="22"/>
    <s v="00"/>
    <s v="014"/>
    <s v="12200-014"/>
    <s v="Cello production item #014"/>
    <s v="UNIQUE"/>
    <n v="0"/>
    <n v="16"/>
    <n v="20"/>
    <n v="0"/>
    <n v="320"/>
  </r>
  <r>
    <x v="0"/>
    <x v="5"/>
    <x v="1"/>
    <n v="1"/>
    <n v="22"/>
    <s v="00"/>
    <s v="015"/>
    <s v="12200-015"/>
    <s v="Cello production item #015"/>
    <s v="UNIQUE"/>
    <n v="0"/>
    <n v="1"/>
    <n v="343"/>
    <n v="0"/>
    <n v="343"/>
  </r>
  <r>
    <x v="0"/>
    <x v="5"/>
    <x v="1"/>
    <n v="1"/>
    <n v="22"/>
    <s v="00"/>
    <s v="016"/>
    <s v="12200-016"/>
    <s v="Cello production item #016"/>
    <s v="UNIQUE"/>
    <n v="0"/>
    <n v="1"/>
    <n v="7"/>
    <n v="0"/>
    <n v="7"/>
  </r>
  <r>
    <x v="0"/>
    <x v="5"/>
    <x v="1"/>
    <n v="1"/>
    <n v="22"/>
    <s v="00"/>
    <s v="017"/>
    <s v="12200-017"/>
    <s v="Cello production item #017"/>
    <s v="UNIQUE"/>
    <n v="100"/>
    <n v="1"/>
    <n v="6"/>
    <n v="100"/>
    <n v="6"/>
  </r>
  <r>
    <x v="0"/>
    <x v="5"/>
    <x v="1"/>
    <n v="1"/>
    <n v="22"/>
    <s v="00"/>
    <s v="018"/>
    <s v="12200-018"/>
    <s v="Cello production item #018"/>
    <s v="UNIQUE"/>
    <n v="0"/>
    <n v="25"/>
    <n v="10648"/>
    <n v="0"/>
    <n v="266200"/>
  </r>
  <r>
    <x v="0"/>
    <x v="5"/>
    <x v="1"/>
    <n v="1"/>
    <n v="22"/>
    <s v="00"/>
    <s v="019"/>
    <s v="12200-019"/>
    <s v="Cello production item #019"/>
    <s v="UNIQUE"/>
    <n v="99"/>
    <n v="512"/>
    <n v="361"/>
    <n v="50688"/>
    <n v="184832"/>
  </r>
  <r>
    <x v="0"/>
    <x v="5"/>
    <x v="1"/>
    <n v="1"/>
    <n v="22"/>
    <s v="00"/>
    <s v="020"/>
    <s v="12200-020"/>
    <s v="Cello production item #020"/>
    <s v="UNIQUE"/>
    <n v="9"/>
    <n v="512"/>
    <n v="0"/>
    <n v="4608"/>
    <n v="0"/>
  </r>
  <r>
    <x v="0"/>
    <x v="5"/>
    <x v="1"/>
    <n v="1"/>
    <n v="22"/>
    <s v="00"/>
    <s v="021"/>
    <s v="12200-021"/>
    <s v="Cello production item #021"/>
    <s v="UNIQUE"/>
    <n v="0"/>
    <n v="16"/>
    <n v="2744"/>
    <n v="0"/>
    <n v="43904"/>
  </r>
  <r>
    <x v="0"/>
    <x v="5"/>
    <x v="1"/>
    <n v="1"/>
    <n v="22"/>
    <s v="00"/>
    <s v="022"/>
    <s v="12200-022"/>
    <s v="Cello production item #022"/>
    <s v="UNIQUE"/>
    <n v="673"/>
    <n v="3"/>
    <n v="18"/>
    <n v="2019"/>
    <n v="54"/>
  </r>
  <r>
    <x v="0"/>
    <x v="5"/>
    <x v="1"/>
    <n v="1"/>
    <n v="22"/>
    <s v="00"/>
    <s v="023"/>
    <s v="12200-023"/>
    <s v="Cello production item #023"/>
    <s v="UNIQUE"/>
    <n v="0"/>
    <n v="2"/>
    <n v="441"/>
    <n v="0"/>
    <n v="882"/>
  </r>
  <r>
    <x v="0"/>
    <x v="5"/>
    <x v="1"/>
    <n v="1"/>
    <n v="22"/>
    <s v="00"/>
    <s v="024"/>
    <s v="12200-024"/>
    <s v="Cello production item #024"/>
    <s v="UNIQUE"/>
    <n v="0"/>
    <n v="9"/>
    <n v="256"/>
    <n v="0"/>
    <n v="2304"/>
  </r>
  <r>
    <x v="0"/>
    <x v="5"/>
    <x v="1"/>
    <n v="1"/>
    <n v="22"/>
    <s v="00"/>
    <s v="025"/>
    <s v="12200-025"/>
    <s v="Cello production item #025"/>
    <s v="UNIQUE"/>
    <n v="939"/>
    <n v="81"/>
    <n v="4096"/>
    <n v="76059"/>
    <n v="331776"/>
  </r>
  <r>
    <x v="0"/>
    <x v="5"/>
    <x v="1"/>
    <n v="1"/>
    <n v="22"/>
    <s v="00"/>
    <s v="026"/>
    <s v="12200-026"/>
    <s v="Cello production item #026"/>
    <s v="UNIQUE"/>
    <n v="0"/>
    <n v="16"/>
    <n v="23"/>
    <n v="0"/>
    <n v="368"/>
  </r>
  <r>
    <x v="0"/>
    <x v="5"/>
    <x v="1"/>
    <n v="1"/>
    <n v="22"/>
    <s v="00"/>
    <s v="027"/>
    <s v="12200-027"/>
    <s v="Cello production item #027"/>
    <s v="UNIQUE"/>
    <n v="90"/>
    <n v="16"/>
    <n v="2744"/>
    <n v="1440"/>
    <n v="43904"/>
  </r>
  <r>
    <x v="0"/>
    <x v="5"/>
    <x v="1"/>
    <n v="1"/>
    <n v="22"/>
    <s v="00"/>
    <s v="028"/>
    <s v="12200-028"/>
    <s v="Cello production item #028"/>
    <s v="UNIQUE"/>
    <n v="1132"/>
    <n v="27"/>
    <n v="9261"/>
    <n v="30564"/>
    <n v="250047"/>
  </r>
  <r>
    <x v="0"/>
    <x v="5"/>
    <x v="1"/>
    <n v="1"/>
    <n v="22"/>
    <s v="00"/>
    <s v="029"/>
    <s v="12200-029"/>
    <s v="Cello production item #029"/>
    <s v="UNIQUE"/>
    <n v="0"/>
    <n v="1"/>
    <n v="19683"/>
    <n v="0"/>
    <n v="19683"/>
  </r>
  <r>
    <x v="0"/>
    <x v="5"/>
    <x v="1"/>
    <n v="1"/>
    <n v="22"/>
    <s v="00"/>
    <s v="030"/>
    <s v="12200-030"/>
    <s v="Cello production item #030"/>
    <s v="UNIQUE"/>
    <n v="30"/>
    <n v="4"/>
    <n v="100"/>
    <n v="120"/>
    <n v="400"/>
  </r>
  <r>
    <x v="0"/>
    <x v="5"/>
    <x v="1"/>
    <n v="1"/>
    <n v="22"/>
    <s v="00"/>
    <s v="031"/>
    <s v="12200-031"/>
    <s v="Cello production item #031"/>
    <s v="UNIQUE"/>
    <n v="3377"/>
    <n v="1"/>
    <n v="125"/>
    <n v="3377"/>
    <n v="125"/>
  </r>
  <r>
    <x v="0"/>
    <x v="5"/>
    <x v="1"/>
    <n v="1"/>
    <n v="22"/>
    <s v="00"/>
    <s v="032"/>
    <s v="12200-032"/>
    <s v="Cello production item #032"/>
    <s v="UNIQUE"/>
    <n v="0"/>
    <n v="8"/>
    <n v="36"/>
    <n v="0"/>
    <n v="288"/>
  </r>
  <r>
    <x v="0"/>
    <x v="5"/>
    <x v="1"/>
    <n v="1"/>
    <n v="22"/>
    <s v="00"/>
    <s v="033"/>
    <s v="12200-033"/>
    <s v="Cello production item #033"/>
    <s v="UNIQUE"/>
    <n v="0"/>
    <n v="64"/>
    <n v="0"/>
    <n v="0"/>
    <n v="0"/>
  </r>
  <r>
    <x v="0"/>
    <x v="5"/>
    <x v="1"/>
    <n v="1"/>
    <n v="22"/>
    <s v="00"/>
    <s v="034"/>
    <s v="12200-034"/>
    <s v="Cello production item #034"/>
    <s v="UNIQUE"/>
    <n v="44"/>
    <n v="36"/>
    <n v="49"/>
    <n v="1584"/>
    <n v="1764"/>
  </r>
  <r>
    <x v="0"/>
    <x v="5"/>
    <x v="1"/>
    <n v="1"/>
    <n v="22"/>
    <s v="00"/>
    <s v="035"/>
    <s v="12200-035"/>
    <s v="Cello production item #035"/>
    <s v="UNIQUE"/>
    <n v="0"/>
    <n v="5"/>
    <n v="216"/>
    <n v="0"/>
    <n v="1080"/>
  </r>
  <r>
    <x v="0"/>
    <x v="5"/>
    <x v="1"/>
    <n v="1"/>
    <n v="22"/>
    <s v="00"/>
    <s v="036"/>
    <s v="12200-036"/>
    <s v="Cello production item #036"/>
    <s v="UNIQUE"/>
    <n v="10"/>
    <n v="6"/>
    <n v="729"/>
    <n v="60"/>
    <n v="4374"/>
  </r>
  <r>
    <x v="0"/>
    <x v="5"/>
    <x v="1"/>
    <n v="1"/>
    <n v="22"/>
    <s v="00"/>
    <s v="037"/>
    <s v="12200-037"/>
    <s v="Cello production item #037"/>
    <s v="UNIQUE"/>
    <n v="0"/>
    <n v="8"/>
    <n v="729"/>
    <n v="0"/>
    <n v="5832"/>
  </r>
  <r>
    <x v="0"/>
    <x v="5"/>
    <x v="1"/>
    <n v="1"/>
    <n v="22"/>
    <s v="00"/>
    <s v="038"/>
    <s v="12200-038"/>
    <s v="Cello production item #038"/>
    <s v="UNIQUE"/>
    <n v="0"/>
    <n v="1"/>
    <n v="3"/>
    <n v="0"/>
    <n v="3"/>
  </r>
  <r>
    <x v="0"/>
    <x v="5"/>
    <x v="1"/>
    <n v="1"/>
    <n v="22"/>
    <s v="00"/>
    <s v="039"/>
    <s v="12200-039"/>
    <s v="Cello production item #039"/>
    <s v="UNIQUE"/>
    <n v="0"/>
    <n v="27"/>
    <n v="8"/>
    <n v="0"/>
    <n v="216"/>
  </r>
  <r>
    <x v="0"/>
    <x v="5"/>
    <x v="1"/>
    <n v="1"/>
    <n v="22"/>
    <s v="00"/>
    <s v="040"/>
    <s v="12200-040"/>
    <s v="Cello production item #040"/>
    <s v="UNIQUE"/>
    <n v="2345"/>
    <n v="1"/>
    <n v="1000"/>
    <n v="2345"/>
    <n v="1000"/>
  </r>
  <r>
    <x v="0"/>
    <x v="5"/>
    <x v="1"/>
    <n v="1"/>
    <n v="22"/>
    <s v="00"/>
    <s v="041"/>
    <s v="12200-041"/>
    <s v="Cello production item #041"/>
    <s v="UNIQUE"/>
    <n v="5"/>
    <n v="81"/>
    <n v="0"/>
    <n v="405"/>
    <n v="0"/>
  </r>
  <r>
    <x v="0"/>
    <x v="5"/>
    <x v="1"/>
    <n v="1"/>
    <n v="22"/>
    <s v="00"/>
    <s v="042"/>
    <s v="12200-042"/>
    <s v="Cello production item #042"/>
    <s v="UNIQUE"/>
    <n v="0"/>
    <n v="36"/>
    <n v="4"/>
    <n v="0"/>
    <n v="144"/>
  </r>
  <r>
    <x v="0"/>
    <x v="5"/>
    <x v="1"/>
    <n v="1"/>
    <n v="22"/>
    <s v="00"/>
    <s v="043"/>
    <s v="12200-043"/>
    <s v="Cello production item #043"/>
    <s v="UNIQUE"/>
    <n v="64"/>
    <n v="27"/>
    <n v="8"/>
    <n v="1728"/>
    <n v="216"/>
  </r>
  <r>
    <x v="0"/>
    <x v="5"/>
    <x v="1"/>
    <n v="1"/>
    <n v="22"/>
    <s v="00"/>
    <s v="044"/>
    <s v="12200-044"/>
    <s v="Cello production item #044"/>
    <s v="UNIQUE"/>
    <n v="0"/>
    <n v="1"/>
    <n v="15"/>
    <n v="0"/>
    <n v="15"/>
  </r>
  <r>
    <x v="0"/>
    <x v="5"/>
    <x v="1"/>
    <n v="1"/>
    <n v="22"/>
    <s v="00"/>
    <s v="045"/>
    <s v="12200-045"/>
    <s v="Cello production item #045"/>
    <s v="UNIQUE"/>
    <n v="74"/>
    <n v="36"/>
    <n v="26"/>
    <n v="2664"/>
    <n v="936"/>
  </r>
  <r>
    <x v="0"/>
    <x v="5"/>
    <x v="1"/>
    <n v="1"/>
    <n v="22"/>
    <s v="00"/>
    <s v="046"/>
    <s v="12200-046"/>
    <s v="Cello production item #046"/>
    <s v="UNIQUE"/>
    <n v="0"/>
    <n v="1"/>
    <n v="20"/>
    <n v="0"/>
    <n v="20"/>
  </r>
  <r>
    <x v="0"/>
    <x v="5"/>
    <x v="1"/>
    <n v="1"/>
    <n v="22"/>
    <s v="00"/>
    <s v="047"/>
    <s v="12200-047"/>
    <s v="Cello production item #047"/>
    <s v="UNIQUE"/>
    <n v="0"/>
    <n v="1"/>
    <n v="676"/>
    <n v="0"/>
    <n v="676"/>
  </r>
  <r>
    <x v="0"/>
    <x v="5"/>
    <x v="1"/>
    <n v="1"/>
    <n v="22"/>
    <s v="00"/>
    <s v="048"/>
    <s v="12200-048"/>
    <s v="Cello production item #048"/>
    <s v="UNIQUE"/>
    <n v="7236"/>
    <n v="4"/>
    <n v="1728"/>
    <n v="28944"/>
    <n v="6912"/>
  </r>
  <r>
    <x v="0"/>
    <x v="5"/>
    <x v="1"/>
    <n v="1"/>
    <n v="22"/>
    <s v="00"/>
    <s v="049"/>
    <s v="12200-049"/>
    <s v="Cello production item #049"/>
    <s v="UNIQUE"/>
    <n v="9730"/>
    <n v="125"/>
    <n v="20"/>
    <n v="1216250"/>
    <n v="2500"/>
  </r>
  <r>
    <x v="0"/>
    <x v="6"/>
    <x v="1"/>
    <n v="1"/>
    <n v="23"/>
    <s v="00"/>
    <s v="000"/>
    <s v="12300-000"/>
    <s v="Bass production item #000"/>
    <s v="UNIQUE"/>
    <n v="0"/>
    <n v="6"/>
    <n v="19683"/>
    <n v="0"/>
    <n v="118098"/>
  </r>
  <r>
    <x v="0"/>
    <x v="6"/>
    <x v="1"/>
    <n v="1"/>
    <n v="23"/>
    <s v="00"/>
    <s v="001"/>
    <s v="12300-001"/>
    <s v="Bass production item #001"/>
    <s v="UNIQUE"/>
    <n v="1"/>
    <n v="3"/>
    <n v="2197"/>
    <n v="3"/>
    <n v="6591"/>
  </r>
  <r>
    <x v="0"/>
    <x v="6"/>
    <x v="1"/>
    <n v="1"/>
    <n v="23"/>
    <s v="00"/>
    <s v="002"/>
    <s v="12300-002"/>
    <s v="Bass production item #002"/>
    <s v="UNIQUE"/>
    <n v="0"/>
    <n v="49"/>
    <n v="18"/>
    <n v="0"/>
    <n v="882"/>
  </r>
  <r>
    <x v="0"/>
    <x v="6"/>
    <x v="1"/>
    <n v="1"/>
    <n v="23"/>
    <s v="00"/>
    <s v="003"/>
    <s v="12300-003"/>
    <s v="Bass production item #003"/>
    <s v="UNIQUE"/>
    <n v="0"/>
    <n v="216"/>
    <n v="2"/>
    <n v="0"/>
    <n v="432"/>
  </r>
  <r>
    <x v="0"/>
    <x v="6"/>
    <x v="1"/>
    <n v="1"/>
    <n v="23"/>
    <s v="00"/>
    <s v="004"/>
    <s v="12300-004"/>
    <s v="Bass production item #004"/>
    <s v="UNIQUE"/>
    <n v="0"/>
    <n v="1"/>
    <n v="529"/>
    <n v="0"/>
    <n v="529"/>
  </r>
  <r>
    <x v="0"/>
    <x v="6"/>
    <x v="1"/>
    <n v="1"/>
    <n v="23"/>
    <s v="00"/>
    <s v="005"/>
    <s v="12300-005"/>
    <s v="Bass production item #005"/>
    <s v="UNIQUE"/>
    <n v="0"/>
    <n v="4"/>
    <n v="5832"/>
    <n v="0"/>
    <n v="23328"/>
  </r>
  <r>
    <x v="0"/>
    <x v="6"/>
    <x v="1"/>
    <n v="1"/>
    <n v="23"/>
    <s v="00"/>
    <s v="006"/>
    <s v="12300-006"/>
    <s v="Bass production item #006"/>
    <s v="UNIQUE"/>
    <n v="0"/>
    <n v="343"/>
    <n v="12167"/>
    <n v="0"/>
    <n v="4173281"/>
  </r>
  <r>
    <x v="0"/>
    <x v="6"/>
    <x v="1"/>
    <n v="1"/>
    <n v="23"/>
    <s v="00"/>
    <s v="007"/>
    <s v="12300-007"/>
    <s v="Bass production item #007"/>
    <s v="UNIQUE"/>
    <n v="0"/>
    <n v="8"/>
    <n v="841"/>
    <n v="0"/>
    <n v="6728"/>
  </r>
  <r>
    <x v="0"/>
    <x v="6"/>
    <x v="1"/>
    <n v="1"/>
    <n v="23"/>
    <s v="00"/>
    <s v="008"/>
    <s v="12300-008"/>
    <s v="Bass production item #008"/>
    <s v="UNIQUE"/>
    <n v="462"/>
    <n v="1"/>
    <n v="15"/>
    <n v="462"/>
    <n v="15"/>
  </r>
  <r>
    <x v="0"/>
    <x v="6"/>
    <x v="1"/>
    <n v="1"/>
    <n v="23"/>
    <s v="00"/>
    <s v="009"/>
    <s v="12300-009"/>
    <s v="Bass production item #009"/>
    <s v="UNIQUE"/>
    <n v="2073"/>
    <n v="49"/>
    <n v="100"/>
    <n v="101577"/>
    <n v="4900"/>
  </r>
  <r>
    <x v="0"/>
    <x v="6"/>
    <x v="1"/>
    <n v="1"/>
    <n v="23"/>
    <s v="00"/>
    <s v="010"/>
    <s v="12300-010"/>
    <s v="Bass production item #010"/>
    <s v="UNIQUE"/>
    <n v="5722"/>
    <n v="1"/>
    <n v="1"/>
    <n v="5722"/>
    <n v="1"/>
  </r>
  <r>
    <x v="0"/>
    <x v="6"/>
    <x v="1"/>
    <n v="1"/>
    <n v="23"/>
    <s v="00"/>
    <s v="011"/>
    <s v="12300-011"/>
    <s v="Bass production item #011"/>
    <s v="UNIQUE"/>
    <n v="0"/>
    <n v="64"/>
    <n v="13824"/>
    <n v="0"/>
    <n v="884736"/>
  </r>
  <r>
    <x v="0"/>
    <x v="6"/>
    <x v="1"/>
    <n v="1"/>
    <n v="23"/>
    <s v="00"/>
    <s v="012"/>
    <s v="12300-012"/>
    <s v="Bass production item #012"/>
    <s v="UNIQUE"/>
    <n v="3552"/>
    <n v="1"/>
    <n v="24389"/>
    <n v="3552"/>
    <n v="24389"/>
  </r>
  <r>
    <x v="0"/>
    <x v="6"/>
    <x v="1"/>
    <n v="1"/>
    <n v="23"/>
    <s v="00"/>
    <s v="013"/>
    <s v="12300-013"/>
    <s v="Bass production item #013"/>
    <s v="UNIQUE"/>
    <n v="282"/>
    <n v="216"/>
    <n v="900"/>
    <n v="60912"/>
    <n v="194400"/>
  </r>
  <r>
    <x v="0"/>
    <x v="6"/>
    <x v="1"/>
    <n v="1"/>
    <n v="23"/>
    <s v="00"/>
    <s v="014"/>
    <s v="12300-014"/>
    <s v="Bass production item #014"/>
    <s v="UNIQUE"/>
    <n v="343"/>
    <n v="81"/>
    <n v="625"/>
    <n v="27783"/>
    <n v="50625"/>
  </r>
  <r>
    <x v="0"/>
    <x v="6"/>
    <x v="1"/>
    <n v="1"/>
    <n v="23"/>
    <s v="00"/>
    <s v="015"/>
    <s v="12300-015"/>
    <s v="Bass production item #015"/>
    <s v="UNIQUE"/>
    <n v="2"/>
    <n v="1000"/>
    <n v="4913"/>
    <n v="2000"/>
    <n v="4913000"/>
  </r>
  <r>
    <x v="0"/>
    <x v="6"/>
    <x v="1"/>
    <n v="1"/>
    <n v="23"/>
    <s v="00"/>
    <s v="016"/>
    <s v="12300-016"/>
    <s v="Bass production item #016"/>
    <s v="UNIQUE"/>
    <n v="0"/>
    <n v="9"/>
    <n v="13"/>
    <n v="0"/>
    <n v="117"/>
  </r>
  <r>
    <x v="0"/>
    <x v="6"/>
    <x v="1"/>
    <n v="1"/>
    <n v="23"/>
    <s v="00"/>
    <s v="017"/>
    <s v="12300-017"/>
    <s v="Bass production item #017"/>
    <s v="UNIQUE"/>
    <n v="0"/>
    <n v="25"/>
    <n v="100"/>
    <n v="0"/>
    <n v="2500"/>
  </r>
  <r>
    <x v="0"/>
    <x v="6"/>
    <x v="1"/>
    <n v="1"/>
    <n v="23"/>
    <s v="00"/>
    <s v="018"/>
    <s v="12300-018"/>
    <s v="Bass production item #018"/>
    <s v="UNIQUE"/>
    <n v="5563"/>
    <n v="8"/>
    <n v="36"/>
    <n v="44504"/>
    <n v="288"/>
  </r>
  <r>
    <x v="0"/>
    <x v="6"/>
    <x v="1"/>
    <n v="1"/>
    <n v="23"/>
    <s v="00"/>
    <s v="019"/>
    <s v="12300-019"/>
    <s v="Bass production item #019"/>
    <s v="UNIQUE"/>
    <n v="0"/>
    <n v="100"/>
    <n v="784"/>
    <n v="0"/>
    <n v="78400"/>
  </r>
  <r>
    <x v="0"/>
    <x v="6"/>
    <x v="1"/>
    <n v="1"/>
    <n v="23"/>
    <s v="00"/>
    <s v="020"/>
    <s v="12300-020"/>
    <s v="Bass production item #020"/>
    <s v="UNIQUE"/>
    <n v="1"/>
    <n v="25"/>
    <n v="22"/>
    <n v="25"/>
    <n v="550"/>
  </r>
  <r>
    <x v="0"/>
    <x v="6"/>
    <x v="1"/>
    <n v="1"/>
    <n v="23"/>
    <s v="00"/>
    <s v="021"/>
    <s v="12300-021"/>
    <s v="Bass production item #021"/>
    <s v="UNIQUE"/>
    <n v="9"/>
    <n v="3"/>
    <n v="18"/>
    <n v="27"/>
    <n v="54"/>
  </r>
  <r>
    <x v="0"/>
    <x v="6"/>
    <x v="1"/>
    <n v="1"/>
    <n v="23"/>
    <s v="00"/>
    <s v="022"/>
    <s v="12300-022"/>
    <s v="Bass production item #022"/>
    <s v="UNIQUE"/>
    <n v="36"/>
    <n v="27"/>
    <n v="5832"/>
    <n v="972"/>
    <n v="157464"/>
  </r>
  <r>
    <x v="0"/>
    <x v="6"/>
    <x v="1"/>
    <n v="1"/>
    <n v="23"/>
    <s v="00"/>
    <s v="023"/>
    <s v="12300-023"/>
    <s v="Bass production item #023"/>
    <s v="UNIQUE"/>
    <n v="1"/>
    <n v="6"/>
    <n v="19683"/>
    <n v="6"/>
    <n v="118098"/>
  </r>
  <r>
    <x v="0"/>
    <x v="6"/>
    <x v="1"/>
    <n v="1"/>
    <n v="23"/>
    <s v="00"/>
    <s v="024"/>
    <s v="12300-024"/>
    <s v="Bass production item #024"/>
    <s v="UNIQUE"/>
    <n v="80"/>
    <n v="8"/>
    <n v="20"/>
    <n v="640"/>
    <n v="160"/>
  </r>
  <r>
    <x v="0"/>
    <x v="6"/>
    <x v="1"/>
    <n v="1"/>
    <n v="23"/>
    <s v="00"/>
    <s v="025"/>
    <s v="12300-025"/>
    <s v="Bass production item #025"/>
    <s v="UNIQUE"/>
    <n v="83"/>
    <n v="9"/>
    <n v="4"/>
    <n v="747"/>
    <n v="36"/>
  </r>
  <r>
    <x v="0"/>
    <x v="6"/>
    <x v="1"/>
    <n v="1"/>
    <n v="23"/>
    <s v="00"/>
    <s v="026"/>
    <s v="12300-026"/>
    <s v="Bass production item #026"/>
    <s v="UNIQUE"/>
    <n v="0"/>
    <n v="9"/>
    <n v="5"/>
    <n v="0"/>
    <n v="45"/>
  </r>
  <r>
    <x v="0"/>
    <x v="6"/>
    <x v="1"/>
    <n v="1"/>
    <n v="23"/>
    <s v="00"/>
    <s v="027"/>
    <s v="12300-027"/>
    <s v="Bass production item #027"/>
    <s v="UNIQUE"/>
    <n v="5"/>
    <n v="1000"/>
    <n v="676"/>
    <n v="5000"/>
    <n v="676000"/>
  </r>
  <r>
    <x v="0"/>
    <x v="6"/>
    <x v="1"/>
    <n v="1"/>
    <n v="23"/>
    <s v="00"/>
    <s v="028"/>
    <s v="12300-028"/>
    <s v="Bass production item #028"/>
    <s v="UNIQUE"/>
    <n v="183"/>
    <n v="125"/>
    <n v="2744"/>
    <n v="22875"/>
    <n v="343000"/>
  </r>
  <r>
    <x v="0"/>
    <x v="6"/>
    <x v="1"/>
    <n v="1"/>
    <n v="23"/>
    <s v="00"/>
    <s v="029"/>
    <s v="12300-029"/>
    <s v="Bass production item #029"/>
    <s v="UNIQUE"/>
    <n v="4"/>
    <n v="9"/>
    <n v="324"/>
    <n v="36"/>
    <n v="2916"/>
  </r>
  <r>
    <x v="0"/>
    <x v="6"/>
    <x v="1"/>
    <n v="1"/>
    <n v="23"/>
    <s v="00"/>
    <s v="030"/>
    <s v="12300-030"/>
    <s v="Bass production item #030"/>
    <s v="UNIQUE"/>
    <n v="0"/>
    <n v="2"/>
    <n v="484"/>
    <n v="0"/>
    <n v="968"/>
  </r>
  <r>
    <x v="0"/>
    <x v="6"/>
    <x v="1"/>
    <n v="1"/>
    <n v="23"/>
    <s v="00"/>
    <s v="031"/>
    <s v="12300-031"/>
    <s v="Bass production item #031"/>
    <s v="UNIQUE"/>
    <n v="0"/>
    <n v="3"/>
    <n v="11"/>
    <n v="0"/>
    <n v="33"/>
  </r>
  <r>
    <x v="0"/>
    <x v="6"/>
    <x v="1"/>
    <n v="1"/>
    <n v="23"/>
    <s v="00"/>
    <s v="032"/>
    <s v="12300-032"/>
    <s v="Bass production item #032"/>
    <s v="UNIQUE"/>
    <n v="0"/>
    <n v="25"/>
    <n v="64"/>
    <n v="0"/>
    <n v="1600"/>
  </r>
  <r>
    <x v="0"/>
    <x v="6"/>
    <x v="1"/>
    <n v="1"/>
    <n v="23"/>
    <s v="00"/>
    <s v="033"/>
    <s v="12300-033"/>
    <s v="Bass production item #033"/>
    <s v="UNIQUE"/>
    <n v="0"/>
    <n v="729"/>
    <n v="11"/>
    <n v="0"/>
    <n v="8019"/>
  </r>
  <r>
    <x v="0"/>
    <x v="6"/>
    <x v="1"/>
    <n v="1"/>
    <n v="23"/>
    <s v="00"/>
    <s v="034"/>
    <s v="12300-034"/>
    <s v="Bass production item #034"/>
    <s v="UNIQUE"/>
    <n v="0"/>
    <n v="9"/>
    <n v="4096"/>
    <n v="0"/>
    <n v="36864"/>
  </r>
  <r>
    <x v="0"/>
    <x v="6"/>
    <x v="1"/>
    <n v="1"/>
    <n v="23"/>
    <s v="00"/>
    <s v="035"/>
    <s v="12300-035"/>
    <s v="Bass production item #035"/>
    <s v="UNIQUE"/>
    <n v="74"/>
    <n v="729"/>
    <n v="441"/>
    <n v="53946"/>
    <n v="321489"/>
  </r>
  <r>
    <x v="0"/>
    <x v="6"/>
    <x v="1"/>
    <n v="1"/>
    <n v="23"/>
    <s v="00"/>
    <s v="036"/>
    <s v="12300-036"/>
    <s v="Bass production item #036"/>
    <s v="UNIQUE"/>
    <n v="0"/>
    <n v="8"/>
    <n v="361"/>
    <n v="0"/>
    <n v="2888"/>
  </r>
  <r>
    <x v="0"/>
    <x v="6"/>
    <x v="1"/>
    <n v="1"/>
    <n v="23"/>
    <s v="00"/>
    <s v="037"/>
    <s v="12300-037"/>
    <s v="Bass production item #037"/>
    <s v="UNIQUE"/>
    <n v="0"/>
    <n v="5"/>
    <n v="18"/>
    <n v="0"/>
    <n v="90"/>
  </r>
  <r>
    <x v="0"/>
    <x v="6"/>
    <x v="1"/>
    <n v="1"/>
    <n v="23"/>
    <s v="00"/>
    <s v="038"/>
    <s v="12300-038"/>
    <s v="Bass production item #038"/>
    <s v="UNIQUE"/>
    <n v="0"/>
    <n v="8"/>
    <n v="125"/>
    <n v="0"/>
    <n v="1000"/>
  </r>
  <r>
    <x v="0"/>
    <x v="6"/>
    <x v="1"/>
    <n v="1"/>
    <n v="23"/>
    <s v="00"/>
    <s v="039"/>
    <s v="12300-039"/>
    <s v="Bass production item #039"/>
    <s v="UNIQUE"/>
    <n v="0"/>
    <n v="100"/>
    <n v="36"/>
    <n v="0"/>
    <n v="3600"/>
  </r>
  <r>
    <x v="0"/>
    <x v="6"/>
    <x v="1"/>
    <n v="1"/>
    <n v="23"/>
    <s v="00"/>
    <s v="040"/>
    <s v="12300-040"/>
    <s v="Bass production item #040"/>
    <s v="UNIQUE"/>
    <n v="3"/>
    <n v="512"/>
    <n v="900"/>
    <n v="1536"/>
    <n v="460800"/>
  </r>
  <r>
    <x v="0"/>
    <x v="6"/>
    <x v="1"/>
    <n v="1"/>
    <n v="23"/>
    <s v="00"/>
    <s v="041"/>
    <s v="12300-041"/>
    <s v="Bass production item #041"/>
    <s v="UNIQUE"/>
    <n v="0"/>
    <n v="64"/>
    <n v="7"/>
    <n v="0"/>
    <n v="448"/>
  </r>
  <r>
    <x v="0"/>
    <x v="6"/>
    <x v="1"/>
    <n v="1"/>
    <n v="23"/>
    <s v="00"/>
    <s v="042"/>
    <s v="12300-042"/>
    <s v="Bass production item #042"/>
    <s v="UNIQUE"/>
    <n v="0"/>
    <n v="1"/>
    <n v="2"/>
    <n v="0"/>
    <n v="2"/>
  </r>
  <r>
    <x v="0"/>
    <x v="6"/>
    <x v="1"/>
    <n v="1"/>
    <n v="23"/>
    <s v="00"/>
    <s v="043"/>
    <s v="12300-043"/>
    <s v="Bass production item #043"/>
    <s v="UNIQUE"/>
    <n v="7663"/>
    <n v="1"/>
    <n v="21952"/>
    <n v="7663"/>
    <n v="21952"/>
  </r>
  <r>
    <x v="0"/>
    <x v="6"/>
    <x v="1"/>
    <n v="1"/>
    <n v="23"/>
    <s v="00"/>
    <s v="044"/>
    <s v="12300-044"/>
    <s v="Bass production item #044"/>
    <s v="UNIQUE"/>
    <n v="0"/>
    <n v="3"/>
    <n v="441"/>
    <n v="0"/>
    <n v="1323"/>
  </r>
  <r>
    <x v="0"/>
    <x v="6"/>
    <x v="1"/>
    <n v="1"/>
    <n v="23"/>
    <s v="00"/>
    <s v="045"/>
    <s v="12300-045"/>
    <s v="Bass production item #045"/>
    <s v="UNIQUE"/>
    <n v="0"/>
    <n v="343"/>
    <n v="24"/>
    <n v="0"/>
    <n v="8232"/>
  </r>
  <r>
    <x v="0"/>
    <x v="6"/>
    <x v="1"/>
    <n v="1"/>
    <n v="23"/>
    <s v="00"/>
    <s v="046"/>
    <s v="12300-046"/>
    <s v="Bass production item #046"/>
    <s v="UNIQUE"/>
    <n v="40"/>
    <n v="512"/>
    <n v="19"/>
    <n v="20480"/>
    <n v="9728"/>
  </r>
  <r>
    <x v="0"/>
    <x v="6"/>
    <x v="1"/>
    <n v="1"/>
    <n v="23"/>
    <s v="00"/>
    <s v="047"/>
    <s v="12300-047"/>
    <s v="Bass production item #047"/>
    <s v="UNIQUE"/>
    <n v="5525"/>
    <n v="512"/>
    <n v="24"/>
    <n v="2828800"/>
    <n v="12288"/>
  </r>
  <r>
    <x v="0"/>
    <x v="6"/>
    <x v="1"/>
    <n v="1"/>
    <n v="23"/>
    <s v="00"/>
    <s v="048"/>
    <s v="12300-048"/>
    <s v="Bass production item #048"/>
    <s v="UNIQUE"/>
    <n v="0"/>
    <n v="9"/>
    <n v="361"/>
    <n v="0"/>
    <n v="3249"/>
  </r>
  <r>
    <x v="0"/>
    <x v="6"/>
    <x v="1"/>
    <n v="1"/>
    <n v="23"/>
    <s v="00"/>
    <s v="049"/>
    <s v="12300-049"/>
    <s v="Bass production item #049"/>
    <s v="UNIQUE"/>
    <n v="77"/>
    <n v="4"/>
    <n v="11"/>
    <n v="308"/>
    <n v="44"/>
  </r>
  <r>
    <x v="0"/>
    <x v="7"/>
    <x v="1"/>
    <n v="1"/>
    <n v="24"/>
    <s v="00"/>
    <s v="000"/>
    <s v="12400-000"/>
    <s v="Acoustic guitar production item #000"/>
    <s v="UNIQUE"/>
    <n v="82"/>
    <n v="36"/>
    <n v="24389"/>
    <n v="2952"/>
    <n v="878004"/>
  </r>
  <r>
    <x v="0"/>
    <x v="7"/>
    <x v="1"/>
    <n v="1"/>
    <n v="24"/>
    <s v="00"/>
    <s v="001"/>
    <s v="12400-001"/>
    <s v="Acoustic guitar production item #001"/>
    <s v="UNIQUE"/>
    <n v="0"/>
    <n v="1000"/>
    <n v="29"/>
    <n v="0"/>
    <n v="29000"/>
  </r>
  <r>
    <x v="0"/>
    <x v="7"/>
    <x v="1"/>
    <n v="1"/>
    <n v="24"/>
    <s v="00"/>
    <s v="002"/>
    <s v="12400-002"/>
    <s v="Acoustic guitar production item #002"/>
    <s v="UNIQUE"/>
    <n v="137"/>
    <n v="49"/>
    <n v="29"/>
    <n v="6713"/>
    <n v="1421"/>
  </r>
  <r>
    <x v="0"/>
    <x v="7"/>
    <x v="1"/>
    <n v="1"/>
    <n v="24"/>
    <s v="00"/>
    <s v="003"/>
    <s v="12400-003"/>
    <s v="Acoustic guitar production item #003"/>
    <s v="UNIQUE"/>
    <n v="738"/>
    <n v="10"/>
    <n v="16"/>
    <n v="7380"/>
    <n v="160"/>
  </r>
  <r>
    <x v="0"/>
    <x v="7"/>
    <x v="1"/>
    <n v="1"/>
    <n v="24"/>
    <s v="00"/>
    <s v="004"/>
    <s v="12400-004"/>
    <s v="Acoustic guitar production item #004"/>
    <s v="UNIQUE"/>
    <n v="0"/>
    <n v="4"/>
    <n v="27"/>
    <n v="0"/>
    <n v="108"/>
  </r>
  <r>
    <x v="0"/>
    <x v="7"/>
    <x v="1"/>
    <n v="1"/>
    <n v="24"/>
    <s v="00"/>
    <s v="005"/>
    <s v="12400-005"/>
    <s v="Acoustic guitar production item #005"/>
    <s v="UNIQUE"/>
    <n v="1"/>
    <n v="16"/>
    <n v="17576"/>
    <n v="16"/>
    <n v="281216"/>
  </r>
  <r>
    <x v="0"/>
    <x v="7"/>
    <x v="1"/>
    <n v="1"/>
    <n v="24"/>
    <s v="00"/>
    <s v="006"/>
    <s v="12400-006"/>
    <s v="Acoustic guitar production item #006"/>
    <s v="UNIQUE"/>
    <n v="0"/>
    <n v="9"/>
    <n v="484"/>
    <n v="0"/>
    <n v="4356"/>
  </r>
  <r>
    <x v="0"/>
    <x v="7"/>
    <x v="1"/>
    <n v="1"/>
    <n v="24"/>
    <s v="00"/>
    <s v="007"/>
    <s v="12400-007"/>
    <s v="Acoustic guitar production item #007"/>
    <s v="UNIQUE"/>
    <n v="5950"/>
    <n v="8"/>
    <n v="9"/>
    <n v="47600"/>
    <n v="72"/>
  </r>
  <r>
    <x v="0"/>
    <x v="7"/>
    <x v="1"/>
    <n v="1"/>
    <n v="24"/>
    <s v="00"/>
    <s v="008"/>
    <s v="12400-008"/>
    <s v="Acoustic guitar production item #008"/>
    <s v="UNIQUE"/>
    <n v="0"/>
    <n v="1"/>
    <n v="529"/>
    <n v="0"/>
    <n v="529"/>
  </r>
  <r>
    <x v="0"/>
    <x v="7"/>
    <x v="1"/>
    <n v="1"/>
    <n v="24"/>
    <s v="00"/>
    <s v="009"/>
    <s v="12400-009"/>
    <s v="Acoustic guitar production item #009"/>
    <s v="UNIQUE"/>
    <n v="0"/>
    <n v="25"/>
    <n v="17576"/>
    <n v="0"/>
    <n v="439400"/>
  </r>
  <r>
    <x v="0"/>
    <x v="7"/>
    <x v="1"/>
    <n v="1"/>
    <n v="24"/>
    <s v="00"/>
    <s v="010"/>
    <s v="12400-010"/>
    <s v="Acoustic guitar production item #010"/>
    <s v="UNIQUE"/>
    <n v="0"/>
    <n v="36"/>
    <n v="343"/>
    <n v="0"/>
    <n v="12348"/>
  </r>
  <r>
    <x v="0"/>
    <x v="7"/>
    <x v="1"/>
    <n v="1"/>
    <n v="24"/>
    <s v="00"/>
    <s v="011"/>
    <s v="12400-011"/>
    <s v="Acoustic guitar production item #011"/>
    <s v="UNIQUE"/>
    <n v="9"/>
    <n v="1000"/>
    <n v="361"/>
    <n v="9000"/>
    <n v="361000"/>
  </r>
  <r>
    <x v="0"/>
    <x v="7"/>
    <x v="1"/>
    <n v="1"/>
    <n v="24"/>
    <s v="00"/>
    <s v="012"/>
    <s v="12400-012"/>
    <s v="Acoustic guitar production item #012"/>
    <s v="UNIQUE"/>
    <n v="9"/>
    <n v="4"/>
    <n v="484"/>
    <n v="36"/>
    <n v="1936"/>
  </r>
  <r>
    <x v="0"/>
    <x v="7"/>
    <x v="1"/>
    <n v="1"/>
    <n v="24"/>
    <s v="00"/>
    <s v="013"/>
    <s v="12400-013"/>
    <s v="Acoustic guitar production item #013"/>
    <s v="UNIQUE"/>
    <n v="6"/>
    <n v="1"/>
    <n v="29"/>
    <n v="6"/>
    <n v="29"/>
  </r>
  <r>
    <x v="0"/>
    <x v="7"/>
    <x v="1"/>
    <n v="1"/>
    <n v="24"/>
    <s v="00"/>
    <s v="014"/>
    <s v="12400-014"/>
    <s v="Acoustic guitar production item #014"/>
    <s v="UNIQUE"/>
    <n v="0"/>
    <n v="100"/>
    <n v="8"/>
    <n v="0"/>
    <n v="800"/>
  </r>
  <r>
    <x v="0"/>
    <x v="7"/>
    <x v="1"/>
    <n v="1"/>
    <n v="24"/>
    <s v="00"/>
    <s v="015"/>
    <s v="12400-015"/>
    <s v="Acoustic guitar production item #015"/>
    <s v="UNIQUE"/>
    <n v="0"/>
    <n v="512"/>
    <n v="23"/>
    <n v="0"/>
    <n v="11776"/>
  </r>
  <r>
    <x v="0"/>
    <x v="7"/>
    <x v="1"/>
    <n v="1"/>
    <n v="24"/>
    <s v="00"/>
    <s v="016"/>
    <s v="12400-016"/>
    <s v="Acoustic guitar production item #016"/>
    <s v="UNIQUE"/>
    <n v="0"/>
    <n v="81"/>
    <n v="8000"/>
    <n v="0"/>
    <n v="648000"/>
  </r>
  <r>
    <x v="0"/>
    <x v="7"/>
    <x v="1"/>
    <n v="1"/>
    <n v="24"/>
    <s v="00"/>
    <s v="017"/>
    <s v="12400-017"/>
    <s v="Acoustic guitar production item #017"/>
    <s v="UNIQUE"/>
    <n v="3902"/>
    <n v="25"/>
    <n v="13"/>
    <n v="97550"/>
    <n v="325"/>
  </r>
  <r>
    <x v="0"/>
    <x v="7"/>
    <x v="1"/>
    <n v="1"/>
    <n v="24"/>
    <s v="00"/>
    <s v="018"/>
    <s v="12400-018"/>
    <s v="Acoustic guitar production item #018"/>
    <s v="UNIQUE"/>
    <n v="0"/>
    <n v="2"/>
    <n v="9"/>
    <n v="0"/>
    <n v="18"/>
  </r>
  <r>
    <x v="0"/>
    <x v="7"/>
    <x v="1"/>
    <n v="1"/>
    <n v="24"/>
    <s v="00"/>
    <s v="019"/>
    <s v="12400-019"/>
    <s v="Acoustic guitar production item #019"/>
    <s v="UNIQUE"/>
    <n v="7478"/>
    <n v="7"/>
    <n v="81"/>
    <n v="52346"/>
    <n v="567"/>
  </r>
  <r>
    <x v="0"/>
    <x v="7"/>
    <x v="1"/>
    <n v="1"/>
    <n v="24"/>
    <s v="00"/>
    <s v="020"/>
    <s v="12400-020"/>
    <s v="Acoustic guitar production item #020"/>
    <s v="UNIQUE"/>
    <n v="0"/>
    <n v="1"/>
    <n v="25"/>
    <n v="0"/>
    <n v="25"/>
  </r>
  <r>
    <x v="0"/>
    <x v="7"/>
    <x v="1"/>
    <n v="1"/>
    <n v="24"/>
    <s v="00"/>
    <s v="021"/>
    <s v="12400-021"/>
    <s v="Acoustic guitar production item #021"/>
    <s v="UNIQUE"/>
    <n v="5"/>
    <n v="49"/>
    <n v="144"/>
    <n v="245"/>
    <n v="7056"/>
  </r>
  <r>
    <x v="0"/>
    <x v="7"/>
    <x v="1"/>
    <n v="1"/>
    <n v="24"/>
    <s v="00"/>
    <s v="022"/>
    <s v="12400-022"/>
    <s v="Acoustic guitar production item #022"/>
    <s v="UNIQUE"/>
    <n v="7"/>
    <n v="27"/>
    <n v="1"/>
    <n v="189"/>
    <n v="27"/>
  </r>
  <r>
    <x v="0"/>
    <x v="7"/>
    <x v="1"/>
    <n v="1"/>
    <n v="24"/>
    <s v="00"/>
    <s v="023"/>
    <s v="12400-023"/>
    <s v="Acoustic guitar production item #023"/>
    <s v="UNIQUE"/>
    <n v="62"/>
    <n v="27"/>
    <n v="256"/>
    <n v="1674"/>
    <n v="6912"/>
  </r>
  <r>
    <x v="0"/>
    <x v="7"/>
    <x v="1"/>
    <n v="1"/>
    <n v="24"/>
    <s v="00"/>
    <s v="024"/>
    <s v="12400-024"/>
    <s v="Acoustic guitar production item #024"/>
    <s v="UNIQUE"/>
    <n v="0"/>
    <n v="1"/>
    <n v="18"/>
    <n v="0"/>
    <n v="18"/>
  </r>
  <r>
    <x v="0"/>
    <x v="7"/>
    <x v="1"/>
    <n v="1"/>
    <n v="24"/>
    <s v="00"/>
    <s v="025"/>
    <s v="12400-025"/>
    <s v="Acoustic guitar production item #025"/>
    <s v="UNIQUE"/>
    <n v="0"/>
    <n v="10"/>
    <n v="4"/>
    <n v="0"/>
    <n v="40"/>
  </r>
  <r>
    <x v="0"/>
    <x v="7"/>
    <x v="1"/>
    <n v="1"/>
    <n v="24"/>
    <s v="00"/>
    <s v="026"/>
    <s v="12400-026"/>
    <s v="Acoustic guitar production item #026"/>
    <s v="UNIQUE"/>
    <n v="1"/>
    <n v="9"/>
    <n v="14"/>
    <n v="9"/>
    <n v="126"/>
  </r>
  <r>
    <x v="0"/>
    <x v="7"/>
    <x v="1"/>
    <n v="1"/>
    <n v="24"/>
    <s v="00"/>
    <s v="027"/>
    <s v="12400-027"/>
    <s v="Acoustic guitar production item #027"/>
    <s v="UNIQUE"/>
    <n v="0"/>
    <n v="64"/>
    <n v="25"/>
    <n v="0"/>
    <n v="1600"/>
  </r>
  <r>
    <x v="0"/>
    <x v="7"/>
    <x v="1"/>
    <n v="1"/>
    <n v="24"/>
    <s v="00"/>
    <s v="028"/>
    <s v="12400-028"/>
    <s v="Acoustic guitar production item #028"/>
    <s v="UNIQUE"/>
    <n v="0"/>
    <n v="64"/>
    <n v="3375"/>
    <n v="0"/>
    <n v="216000"/>
  </r>
  <r>
    <x v="0"/>
    <x v="7"/>
    <x v="1"/>
    <n v="1"/>
    <n v="24"/>
    <s v="00"/>
    <s v="029"/>
    <s v="12400-029"/>
    <s v="Acoustic guitar production item #029"/>
    <s v="UNIQUE"/>
    <n v="0"/>
    <n v="49"/>
    <n v="4"/>
    <n v="0"/>
    <n v="196"/>
  </r>
  <r>
    <x v="0"/>
    <x v="7"/>
    <x v="1"/>
    <n v="1"/>
    <n v="24"/>
    <s v="00"/>
    <s v="030"/>
    <s v="12400-030"/>
    <s v="Acoustic guitar production item #030"/>
    <s v="UNIQUE"/>
    <n v="5129"/>
    <n v="16"/>
    <n v="9261"/>
    <n v="82064"/>
    <n v="148176"/>
  </r>
  <r>
    <x v="0"/>
    <x v="7"/>
    <x v="1"/>
    <n v="1"/>
    <n v="24"/>
    <s v="00"/>
    <s v="031"/>
    <s v="12400-031"/>
    <s v="Acoustic guitar production item #031"/>
    <s v="UNIQUE"/>
    <n v="0"/>
    <n v="8"/>
    <n v="256"/>
    <n v="0"/>
    <n v="2048"/>
  </r>
  <r>
    <x v="0"/>
    <x v="7"/>
    <x v="1"/>
    <n v="1"/>
    <n v="24"/>
    <s v="00"/>
    <s v="032"/>
    <s v="12400-032"/>
    <s v="Acoustic guitar production item #032"/>
    <s v="UNIQUE"/>
    <n v="3"/>
    <n v="9"/>
    <n v="24"/>
    <n v="27"/>
    <n v="216"/>
  </r>
  <r>
    <x v="0"/>
    <x v="7"/>
    <x v="1"/>
    <n v="1"/>
    <n v="24"/>
    <s v="00"/>
    <s v="033"/>
    <s v="12400-033"/>
    <s v="Acoustic guitar production item #033"/>
    <s v="UNIQUE"/>
    <n v="1"/>
    <n v="216"/>
    <n v="625"/>
    <n v="216"/>
    <n v="135000"/>
  </r>
  <r>
    <x v="0"/>
    <x v="7"/>
    <x v="1"/>
    <n v="1"/>
    <n v="24"/>
    <s v="00"/>
    <s v="034"/>
    <s v="12400-034"/>
    <s v="Acoustic guitar production item #034"/>
    <s v="UNIQUE"/>
    <n v="3"/>
    <n v="16"/>
    <n v="19683"/>
    <n v="48"/>
    <n v="314928"/>
  </r>
  <r>
    <x v="0"/>
    <x v="7"/>
    <x v="1"/>
    <n v="1"/>
    <n v="24"/>
    <s v="00"/>
    <s v="035"/>
    <s v="12400-035"/>
    <s v="Acoustic guitar production item #035"/>
    <s v="UNIQUE"/>
    <n v="0"/>
    <n v="343"/>
    <n v="20"/>
    <n v="0"/>
    <n v="6860"/>
  </r>
  <r>
    <x v="0"/>
    <x v="7"/>
    <x v="1"/>
    <n v="1"/>
    <n v="24"/>
    <s v="00"/>
    <s v="036"/>
    <s v="12400-036"/>
    <s v="Acoustic guitar production item #036"/>
    <s v="UNIQUE"/>
    <n v="0"/>
    <n v="2"/>
    <n v="0"/>
    <n v="0"/>
    <n v="0"/>
  </r>
  <r>
    <x v="0"/>
    <x v="7"/>
    <x v="1"/>
    <n v="1"/>
    <n v="24"/>
    <s v="00"/>
    <s v="037"/>
    <s v="12400-037"/>
    <s v="Acoustic guitar production item #037"/>
    <s v="UNIQUE"/>
    <n v="0"/>
    <n v="5"/>
    <n v="2744"/>
    <n v="0"/>
    <n v="13720"/>
  </r>
  <r>
    <x v="0"/>
    <x v="7"/>
    <x v="1"/>
    <n v="1"/>
    <n v="24"/>
    <s v="00"/>
    <s v="038"/>
    <s v="12400-038"/>
    <s v="Acoustic guitar production item #038"/>
    <s v="UNIQUE"/>
    <n v="0"/>
    <n v="343"/>
    <n v="4"/>
    <n v="0"/>
    <n v="1372"/>
  </r>
  <r>
    <x v="0"/>
    <x v="7"/>
    <x v="1"/>
    <n v="1"/>
    <n v="24"/>
    <s v="00"/>
    <s v="039"/>
    <s v="12400-039"/>
    <s v="Acoustic guitar production item #039"/>
    <s v="UNIQUE"/>
    <n v="94"/>
    <n v="81"/>
    <n v="5"/>
    <n v="7614"/>
    <n v="405"/>
  </r>
  <r>
    <x v="0"/>
    <x v="7"/>
    <x v="1"/>
    <n v="1"/>
    <n v="24"/>
    <s v="00"/>
    <s v="040"/>
    <s v="12400-040"/>
    <s v="Acoustic guitar production item #040"/>
    <s v="UNIQUE"/>
    <n v="0"/>
    <n v="1"/>
    <n v="27000"/>
    <n v="0"/>
    <n v="27000"/>
  </r>
  <r>
    <x v="0"/>
    <x v="7"/>
    <x v="1"/>
    <n v="1"/>
    <n v="24"/>
    <s v="00"/>
    <s v="041"/>
    <s v="12400-041"/>
    <s v="Acoustic guitar production item #041"/>
    <s v="UNIQUE"/>
    <n v="3"/>
    <n v="729"/>
    <n v="17"/>
    <n v="2187"/>
    <n v="12393"/>
  </r>
  <r>
    <x v="0"/>
    <x v="7"/>
    <x v="1"/>
    <n v="1"/>
    <n v="24"/>
    <s v="00"/>
    <s v="042"/>
    <s v="12400-042"/>
    <s v="Acoustic guitar production item #042"/>
    <s v="UNIQUE"/>
    <n v="0"/>
    <n v="125"/>
    <n v="900"/>
    <n v="0"/>
    <n v="112500"/>
  </r>
  <r>
    <x v="0"/>
    <x v="7"/>
    <x v="1"/>
    <n v="1"/>
    <n v="24"/>
    <s v="00"/>
    <s v="043"/>
    <s v="12400-043"/>
    <s v="Acoustic guitar production item #043"/>
    <s v="UNIQUE"/>
    <n v="0"/>
    <n v="64"/>
    <n v="1"/>
    <n v="0"/>
    <n v="64"/>
  </r>
  <r>
    <x v="0"/>
    <x v="7"/>
    <x v="1"/>
    <n v="1"/>
    <n v="24"/>
    <s v="00"/>
    <s v="044"/>
    <s v="12400-044"/>
    <s v="Acoustic guitar production item #044"/>
    <s v="UNIQUE"/>
    <n v="2"/>
    <n v="1"/>
    <n v="64"/>
    <n v="2"/>
    <n v="64"/>
  </r>
  <r>
    <x v="0"/>
    <x v="7"/>
    <x v="1"/>
    <n v="1"/>
    <n v="24"/>
    <s v="00"/>
    <s v="045"/>
    <s v="12400-045"/>
    <s v="Acoustic guitar production item #045"/>
    <s v="UNIQUE"/>
    <n v="262"/>
    <n v="5"/>
    <n v="512"/>
    <n v="1310"/>
    <n v="2560"/>
  </r>
  <r>
    <x v="0"/>
    <x v="7"/>
    <x v="1"/>
    <n v="1"/>
    <n v="24"/>
    <s v="00"/>
    <s v="046"/>
    <s v="12400-046"/>
    <s v="Acoustic guitar production item #046"/>
    <s v="UNIQUE"/>
    <n v="0"/>
    <n v="100"/>
    <n v="1"/>
    <n v="0"/>
    <n v="100"/>
  </r>
  <r>
    <x v="0"/>
    <x v="7"/>
    <x v="1"/>
    <n v="1"/>
    <n v="24"/>
    <s v="00"/>
    <s v="047"/>
    <s v="12400-047"/>
    <s v="Acoustic guitar production item #047"/>
    <s v="UNIQUE"/>
    <n v="777"/>
    <n v="8"/>
    <n v="19683"/>
    <n v="6216"/>
    <n v="157464"/>
  </r>
  <r>
    <x v="0"/>
    <x v="7"/>
    <x v="1"/>
    <n v="1"/>
    <n v="24"/>
    <s v="00"/>
    <s v="048"/>
    <s v="12400-048"/>
    <s v="Acoustic guitar production item #048"/>
    <s v="UNIQUE"/>
    <n v="0"/>
    <n v="25"/>
    <n v="729"/>
    <n v="0"/>
    <n v="18225"/>
  </r>
  <r>
    <x v="0"/>
    <x v="7"/>
    <x v="1"/>
    <n v="1"/>
    <n v="24"/>
    <s v="00"/>
    <s v="049"/>
    <s v="12400-049"/>
    <s v="Acoustic guitar production item #049"/>
    <s v="UNIQUE"/>
    <n v="4"/>
    <n v="2"/>
    <n v="19683"/>
    <n v="8"/>
    <n v="39366"/>
  </r>
  <r>
    <x v="0"/>
    <x v="7"/>
    <x v="1"/>
    <n v="1"/>
    <n v="24"/>
    <s v="00"/>
    <s v="050"/>
    <s v="12400-050"/>
    <s v="Acoustic guitar production item #050"/>
    <s v="UNIQUE"/>
    <n v="0"/>
    <n v="9"/>
    <n v="10"/>
    <n v="0"/>
    <n v="90"/>
  </r>
  <r>
    <x v="0"/>
    <x v="7"/>
    <x v="1"/>
    <n v="1"/>
    <n v="24"/>
    <s v="00"/>
    <s v="051"/>
    <s v="12400-051"/>
    <s v="Acoustic guitar production item #051"/>
    <s v="UNIQUE"/>
    <n v="0"/>
    <n v="27"/>
    <n v="841"/>
    <n v="0"/>
    <n v="22707"/>
  </r>
  <r>
    <x v="0"/>
    <x v="7"/>
    <x v="1"/>
    <n v="1"/>
    <n v="24"/>
    <s v="00"/>
    <s v="052"/>
    <s v="12400-052"/>
    <s v="Acoustic guitar production item #052"/>
    <s v="UNIQUE"/>
    <n v="39"/>
    <n v="1"/>
    <n v="729"/>
    <n v="39"/>
    <n v="729"/>
  </r>
  <r>
    <x v="0"/>
    <x v="7"/>
    <x v="1"/>
    <n v="1"/>
    <n v="24"/>
    <s v="00"/>
    <s v="053"/>
    <s v="12400-053"/>
    <s v="Acoustic guitar production item #053"/>
    <s v="UNIQUE"/>
    <n v="125"/>
    <n v="100"/>
    <n v="169"/>
    <n v="12500"/>
    <n v="16900"/>
  </r>
  <r>
    <x v="0"/>
    <x v="7"/>
    <x v="1"/>
    <n v="1"/>
    <n v="24"/>
    <s v="00"/>
    <s v="054"/>
    <s v="12400-054"/>
    <s v="Acoustic guitar production item #054"/>
    <s v="UNIQUE"/>
    <n v="0"/>
    <n v="4"/>
    <n v="4913"/>
    <n v="0"/>
    <n v="19652"/>
  </r>
  <r>
    <x v="0"/>
    <x v="7"/>
    <x v="1"/>
    <n v="1"/>
    <n v="24"/>
    <s v="00"/>
    <s v="055"/>
    <s v="12400-055"/>
    <s v="Acoustic guitar production item #055"/>
    <s v="UNIQUE"/>
    <n v="91"/>
    <n v="81"/>
    <n v="3375"/>
    <n v="7371"/>
    <n v="273375"/>
  </r>
  <r>
    <x v="0"/>
    <x v="7"/>
    <x v="1"/>
    <n v="1"/>
    <n v="24"/>
    <s v="00"/>
    <s v="056"/>
    <s v="12400-056"/>
    <s v="Acoustic guitar production item #056"/>
    <s v="UNIQUE"/>
    <n v="0"/>
    <n v="9"/>
    <n v="100"/>
    <n v="0"/>
    <n v="900"/>
  </r>
  <r>
    <x v="0"/>
    <x v="7"/>
    <x v="1"/>
    <n v="1"/>
    <n v="24"/>
    <s v="00"/>
    <s v="057"/>
    <s v="12400-057"/>
    <s v="Acoustic guitar production item #057"/>
    <s v="UNIQUE"/>
    <n v="1"/>
    <n v="10"/>
    <n v="13824"/>
    <n v="10"/>
    <n v="138240"/>
  </r>
  <r>
    <x v="0"/>
    <x v="7"/>
    <x v="1"/>
    <n v="1"/>
    <n v="24"/>
    <s v="00"/>
    <s v="058"/>
    <s v="12400-058"/>
    <s v="Acoustic guitar production item #058"/>
    <s v="UNIQUE"/>
    <n v="0"/>
    <n v="2"/>
    <n v="144"/>
    <n v="0"/>
    <n v="288"/>
  </r>
  <r>
    <x v="0"/>
    <x v="7"/>
    <x v="1"/>
    <n v="1"/>
    <n v="24"/>
    <s v="00"/>
    <s v="059"/>
    <s v="12400-059"/>
    <s v="Acoustic guitar production item #059"/>
    <s v="UNIQUE"/>
    <n v="7346"/>
    <n v="2"/>
    <n v="3375"/>
    <n v="14692"/>
    <n v="6750"/>
  </r>
  <r>
    <x v="0"/>
    <x v="7"/>
    <x v="1"/>
    <n v="1"/>
    <n v="24"/>
    <s v="00"/>
    <s v="060"/>
    <s v="12400-060"/>
    <s v="Acoustic guitar production item #060"/>
    <s v="UNIQUE"/>
    <n v="0"/>
    <n v="36"/>
    <n v="2744"/>
    <n v="0"/>
    <n v="98784"/>
  </r>
  <r>
    <x v="0"/>
    <x v="7"/>
    <x v="1"/>
    <n v="1"/>
    <n v="24"/>
    <s v="00"/>
    <s v="061"/>
    <s v="12400-061"/>
    <s v="Acoustic guitar production item #061"/>
    <s v="UNIQUE"/>
    <n v="0"/>
    <n v="64"/>
    <n v="3"/>
    <n v="0"/>
    <n v="192"/>
  </r>
  <r>
    <x v="0"/>
    <x v="7"/>
    <x v="1"/>
    <n v="1"/>
    <n v="24"/>
    <s v="00"/>
    <s v="062"/>
    <s v="12400-062"/>
    <s v="Acoustic guitar production item #062"/>
    <s v="UNIQUE"/>
    <n v="4873"/>
    <n v="1000"/>
    <n v="2744"/>
    <n v="4873000"/>
    <n v="2744000"/>
  </r>
  <r>
    <x v="0"/>
    <x v="7"/>
    <x v="1"/>
    <n v="1"/>
    <n v="24"/>
    <s v="00"/>
    <s v="063"/>
    <s v="12400-063"/>
    <s v="Acoustic guitar production item #063"/>
    <s v="UNIQUE"/>
    <n v="0"/>
    <n v="5"/>
    <n v="21952"/>
    <n v="0"/>
    <n v="109760"/>
  </r>
  <r>
    <x v="0"/>
    <x v="7"/>
    <x v="1"/>
    <n v="1"/>
    <n v="24"/>
    <s v="00"/>
    <s v="064"/>
    <s v="12400-064"/>
    <s v="Acoustic guitar production item #064"/>
    <s v="UNIQUE"/>
    <n v="0"/>
    <n v="216"/>
    <n v="28"/>
    <n v="0"/>
    <n v="6048"/>
  </r>
  <r>
    <x v="0"/>
    <x v="7"/>
    <x v="1"/>
    <n v="1"/>
    <n v="24"/>
    <s v="00"/>
    <s v="065"/>
    <s v="12400-065"/>
    <s v="Acoustic guitar production item #065"/>
    <s v="UNIQUE"/>
    <n v="0"/>
    <n v="1"/>
    <n v="17"/>
    <n v="0"/>
    <n v="17"/>
  </r>
  <r>
    <x v="0"/>
    <x v="7"/>
    <x v="1"/>
    <n v="1"/>
    <n v="24"/>
    <s v="00"/>
    <s v="066"/>
    <s v="12400-066"/>
    <s v="Acoustic guitar production item #066"/>
    <s v="UNIQUE"/>
    <n v="0"/>
    <n v="9"/>
    <n v="22"/>
    <n v="0"/>
    <n v="198"/>
  </r>
  <r>
    <x v="0"/>
    <x v="7"/>
    <x v="1"/>
    <n v="1"/>
    <n v="24"/>
    <s v="00"/>
    <s v="067"/>
    <s v="12400-067"/>
    <s v="Acoustic guitar production item #067"/>
    <s v="UNIQUE"/>
    <n v="0"/>
    <n v="9"/>
    <n v="121"/>
    <n v="0"/>
    <n v="1089"/>
  </r>
  <r>
    <x v="0"/>
    <x v="7"/>
    <x v="1"/>
    <n v="1"/>
    <n v="24"/>
    <s v="00"/>
    <s v="068"/>
    <s v="12400-068"/>
    <s v="Acoustic guitar production item #068"/>
    <s v="UNIQUE"/>
    <n v="1"/>
    <n v="1000"/>
    <n v="10"/>
    <n v="1000"/>
    <n v="10000"/>
  </r>
  <r>
    <x v="0"/>
    <x v="7"/>
    <x v="1"/>
    <n v="1"/>
    <n v="24"/>
    <s v="00"/>
    <s v="069"/>
    <s v="12400-069"/>
    <s v="Acoustic guitar production item #069"/>
    <s v="UNIQUE"/>
    <n v="1"/>
    <n v="10"/>
    <n v="225"/>
    <n v="10"/>
    <n v="2250"/>
  </r>
  <r>
    <x v="0"/>
    <x v="7"/>
    <x v="1"/>
    <n v="1"/>
    <n v="24"/>
    <s v="00"/>
    <s v="070"/>
    <s v="12400-070"/>
    <s v="Acoustic guitar production item #070"/>
    <s v="UNIQUE"/>
    <n v="0"/>
    <n v="216"/>
    <n v="484"/>
    <n v="0"/>
    <n v="104544"/>
  </r>
  <r>
    <x v="0"/>
    <x v="7"/>
    <x v="1"/>
    <n v="1"/>
    <n v="24"/>
    <s v="00"/>
    <s v="071"/>
    <s v="12400-071"/>
    <s v="Acoustic guitar production item #071"/>
    <s v="UNIQUE"/>
    <n v="0"/>
    <n v="64"/>
    <n v="2744"/>
    <n v="0"/>
    <n v="175616"/>
  </r>
  <r>
    <x v="0"/>
    <x v="7"/>
    <x v="1"/>
    <n v="1"/>
    <n v="24"/>
    <s v="00"/>
    <s v="072"/>
    <s v="12400-072"/>
    <s v="Acoustic guitar production item #072"/>
    <s v="UNIQUE"/>
    <n v="0"/>
    <n v="5"/>
    <n v="1728"/>
    <n v="0"/>
    <n v="8640"/>
  </r>
  <r>
    <x v="0"/>
    <x v="7"/>
    <x v="1"/>
    <n v="1"/>
    <n v="24"/>
    <s v="00"/>
    <s v="073"/>
    <s v="12400-073"/>
    <s v="Acoustic guitar production item #073"/>
    <s v="UNIQUE"/>
    <n v="0"/>
    <n v="5"/>
    <n v="3375"/>
    <n v="0"/>
    <n v="16875"/>
  </r>
  <r>
    <x v="0"/>
    <x v="7"/>
    <x v="1"/>
    <n v="1"/>
    <n v="24"/>
    <s v="00"/>
    <s v="074"/>
    <s v="12400-074"/>
    <s v="Acoustic guitar production item #074"/>
    <s v="UNIQUE"/>
    <n v="4"/>
    <n v="4"/>
    <n v="15625"/>
    <n v="16"/>
    <n v="62500"/>
  </r>
  <r>
    <x v="0"/>
    <x v="7"/>
    <x v="1"/>
    <n v="1"/>
    <n v="24"/>
    <s v="00"/>
    <s v="075"/>
    <s v="12400-075"/>
    <s v="Acoustic guitar production item #075"/>
    <s v="UNIQUE"/>
    <n v="1"/>
    <n v="512"/>
    <n v="8000"/>
    <n v="512"/>
    <n v="4096000"/>
  </r>
  <r>
    <x v="0"/>
    <x v="7"/>
    <x v="1"/>
    <n v="1"/>
    <n v="24"/>
    <s v="00"/>
    <s v="076"/>
    <s v="12400-076"/>
    <s v="Acoustic guitar production item #076"/>
    <s v="UNIQUE"/>
    <n v="0"/>
    <n v="81"/>
    <n v="27"/>
    <n v="0"/>
    <n v="2187"/>
  </r>
  <r>
    <x v="0"/>
    <x v="7"/>
    <x v="1"/>
    <n v="1"/>
    <n v="24"/>
    <s v="00"/>
    <s v="077"/>
    <s v="12400-077"/>
    <s v="Acoustic guitar production item #077"/>
    <s v="UNIQUE"/>
    <n v="1"/>
    <n v="4"/>
    <n v="8"/>
    <n v="4"/>
    <n v="32"/>
  </r>
  <r>
    <x v="0"/>
    <x v="7"/>
    <x v="1"/>
    <n v="1"/>
    <n v="24"/>
    <s v="00"/>
    <s v="078"/>
    <s v="12400-078"/>
    <s v="Acoustic guitar production item #078"/>
    <s v="UNIQUE"/>
    <n v="830"/>
    <n v="216"/>
    <n v="4096"/>
    <n v="179280"/>
    <n v="884736"/>
  </r>
  <r>
    <x v="0"/>
    <x v="7"/>
    <x v="1"/>
    <n v="1"/>
    <n v="24"/>
    <s v="00"/>
    <s v="079"/>
    <s v="12400-079"/>
    <s v="Acoustic guitar production item #079"/>
    <s v="UNIQUE"/>
    <n v="0"/>
    <n v="36"/>
    <n v="625"/>
    <n v="0"/>
    <n v="22500"/>
  </r>
  <r>
    <x v="0"/>
    <x v="7"/>
    <x v="1"/>
    <n v="1"/>
    <n v="24"/>
    <s v="00"/>
    <s v="080"/>
    <s v="12400-080"/>
    <s v="Acoustic guitar production item #080"/>
    <s v="UNIQUE"/>
    <n v="0"/>
    <n v="9"/>
    <n v="121"/>
    <n v="0"/>
    <n v="1089"/>
  </r>
  <r>
    <x v="0"/>
    <x v="7"/>
    <x v="1"/>
    <n v="1"/>
    <n v="24"/>
    <s v="00"/>
    <s v="081"/>
    <s v="12400-081"/>
    <s v="Acoustic guitar production item #081"/>
    <s v="UNIQUE"/>
    <n v="0"/>
    <n v="3"/>
    <n v="81"/>
    <n v="0"/>
    <n v="243"/>
  </r>
  <r>
    <x v="0"/>
    <x v="7"/>
    <x v="1"/>
    <n v="1"/>
    <n v="24"/>
    <s v="00"/>
    <s v="082"/>
    <s v="12400-082"/>
    <s v="Acoustic guitar production item #082"/>
    <s v="UNIQUE"/>
    <n v="271"/>
    <n v="4"/>
    <n v="15"/>
    <n v="1084"/>
    <n v="60"/>
  </r>
  <r>
    <x v="0"/>
    <x v="7"/>
    <x v="1"/>
    <n v="1"/>
    <n v="24"/>
    <s v="00"/>
    <s v="083"/>
    <s v="12400-083"/>
    <s v="Acoustic guitar production item #083"/>
    <s v="UNIQUE"/>
    <n v="67"/>
    <n v="7"/>
    <n v="3375"/>
    <n v="469"/>
    <n v="23625"/>
  </r>
  <r>
    <x v="0"/>
    <x v="7"/>
    <x v="1"/>
    <n v="1"/>
    <n v="24"/>
    <s v="00"/>
    <s v="084"/>
    <s v="12400-084"/>
    <s v="Acoustic guitar production item #084"/>
    <s v="UNIQUE"/>
    <n v="0"/>
    <n v="216"/>
    <n v="64"/>
    <n v="0"/>
    <n v="13824"/>
  </r>
  <r>
    <x v="0"/>
    <x v="7"/>
    <x v="1"/>
    <n v="1"/>
    <n v="24"/>
    <s v="00"/>
    <s v="085"/>
    <s v="12400-085"/>
    <s v="Acoustic guitar production item #085"/>
    <s v="UNIQUE"/>
    <n v="0"/>
    <n v="4"/>
    <n v="27"/>
    <n v="0"/>
    <n v="108"/>
  </r>
  <r>
    <x v="0"/>
    <x v="7"/>
    <x v="1"/>
    <n v="1"/>
    <n v="24"/>
    <s v="00"/>
    <s v="086"/>
    <s v="12400-086"/>
    <s v="Acoustic guitar production item #086"/>
    <s v="UNIQUE"/>
    <n v="0"/>
    <n v="2"/>
    <n v="17"/>
    <n v="0"/>
    <n v="34"/>
  </r>
  <r>
    <x v="0"/>
    <x v="7"/>
    <x v="1"/>
    <n v="1"/>
    <n v="24"/>
    <s v="00"/>
    <s v="087"/>
    <s v="12400-087"/>
    <s v="Acoustic guitar production item #087"/>
    <s v="UNIQUE"/>
    <n v="0"/>
    <n v="1"/>
    <n v="512"/>
    <n v="0"/>
    <n v="512"/>
  </r>
  <r>
    <x v="0"/>
    <x v="7"/>
    <x v="1"/>
    <n v="1"/>
    <n v="24"/>
    <s v="00"/>
    <s v="088"/>
    <s v="12400-088"/>
    <s v="Acoustic guitar production item #088"/>
    <s v="UNIQUE"/>
    <n v="0"/>
    <n v="5"/>
    <n v="529"/>
    <n v="0"/>
    <n v="2645"/>
  </r>
  <r>
    <x v="0"/>
    <x v="7"/>
    <x v="1"/>
    <n v="1"/>
    <n v="24"/>
    <s v="00"/>
    <s v="089"/>
    <s v="12400-089"/>
    <s v="Acoustic guitar production item #089"/>
    <s v="UNIQUE"/>
    <n v="0"/>
    <n v="81"/>
    <n v="125"/>
    <n v="0"/>
    <n v="10125"/>
  </r>
  <r>
    <x v="0"/>
    <x v="7"/>
    <x v="1"/>
    <n v="1"/>
    <n v="24"/>
    <s v="00"/>
    <s v="090"/>
    <s v="12400-090"/>
    <s v="Acoustic guitar production item #090"/>
    <s v="UNIQUE"/>
    <n v="0"/>
    <n v="2"/>
    <n v="18"/>
    <n v="0"/>
    <n v="36"/>
  </r>
  <r>
    <x v="0"/>
    <x v="7"/>
    <x v="1"/>
    <n v="1"/>
    <n v="24"/>
    <s v="00"/>
    <s v="091"/>
    <s v="12400-091"/>
    <s v="Acoustic guitar production item #091"/>
    <s v="UNIQUE"/>
    <n v="7647"/>
    <n v="9"/>
    <n v="20"/>
    <n v="68823"/>
    <n v="180"/>
  </r>
  <r>
    <x v="0"/>
    <x v="7"/>
    <x v="1"/>
    <n v="1"/>
    <n v="24"/>
    <s v="00"/>
    <s v="092"/>
    <s v="12400-092"/>
    <s v="Acoustic guitar production item #092"/>
    <s v="UNIQUE"/>
    <n v="0"/>
    <n v="2"/>
    <n v="324"/>
    <n v="0"/>
    <n v="648"/>
  </r>
  <r>
    <x v="0"/>
    <x v="7"/>
    <x v="1"/>
    <n v="1"/>
    <n v="24"/>
    <s v="00"/>
    <s v="093"/>
    <s v="12400-093"/>
    <s v="Acoustic guitar production item #093"/>
    <s v="UNIQUE"/>
    <n v="2"/>
    <n v="4"/>
    <n v="18"/>
    <n v="8"/>
    <n v="72"/>
  </r>
  <r>
    <x v="0"/>
    <x v="7"/>
    <x v="1"/>
    <n v="1"/>
    <n v="24"/>
    <s v="00"/>
    <s v="094"/>
    <s v="12400-094"/>
    <s v="Acoustic guitar production item #094"/>
    <s v="UNIQUE"/>
    <n v="522"/>
    <n v="512"/>
    <n v="15"/>
    <n v="267264"/>
    <n v="7680"/>
  </r>
  <r>
    <x v="0"/>
    <x v="7"/>
    <x v="1"/>
    <n v="1"/>
    <n v="24"/>
    <s v="00"/>
    <s v="095"/>
    <s v="12400-095"/>
    <s v="Acoustic guitar production item #095"/>
    <s v="UNIQUE"/>
    <n v="0"/>
    <n v="343"/>
    <n v="15"/>
    <n v="0"/>
    <n v="5145"/>
  </r>
  <r>
    <x v="0"/>
    <x v="7"/>
    <x v="1"/>
    <n v="1"/>
    <n v="24"/>
    <s v="00"/>
    <s v="096"/>
    <s v="12400-096"/>
    <s v="Acoustic guitar production item #096"/>
    <s v="UNIQUE"/>
    <n v="982"/>
    <n v="729"/>
    <n v="6"/>
    <n v="715878"/>
    <n v="4374"/>
  </r>
  <r>
    <x v="0"/>
    <x v="7"/>
    <x v="1"/>
    <n v="1"/>
    <n v="24"/>
    <s v="00"/>
    <s v="097"/>
    <s v="12400-097"/>
    <s v="Acoustic guitar production item #097"/>
    <s v="UNIQUE"/>
    <n v="1"/>
    <n v="100"/>
    <n v="9"/>
    <n v="100"/>
    <n v="900"/>
  </r>
  <r>
    <x v="0"/>
    <x v="7"/>
    <x v="1"/>
    <n v="1"/>
    <n v="24"/>
    <s v="00"/>
    <s v="098"/>
    <s v="12400-098"/>
    <s v="Acoustic guitar production item #098"/>
    <s v="UNIQUE"/>
    <n v="13"/>
    <n v="81"/>
    <n v="17576"/>
    <n v="1053"/>
    <n v="1423656"/>
  </r>
  <r>
    <x v="0"/>
    <x v="7"/>
    <x v="1"/>
    <n v="1"/>
    <n v="24"/>
    <s v="00"/>
    <s v="099"/>
    <s v="12400-099"/>
    <s v="Acoustic guitar production item #099"/>
    <s v="UNIQUE"/>
    <n v="0"/>
    <n v="8"/>
    <n v="576"/>
    <n v="0"/>
    <n v="4608"/>
  </r>
  <r>
    <x v="0"/>
    <x v="7"/>
    <x v="1"/>
    <n v="1"/>
    <n v="24"/>
    <s v="00"/>
    <s v="100"/>
    <s v="12400-100"/>
    <s v="Acoustic guitar production item #100"/>
    <s v="UNIQUE"/>
    <n v="0"/>
    <n v="27"/>
    <n v="13824"/>
    <n v="0"/>
    <n v="373248"/>
  </r>
  <r>
    <x v="0"/>
    <x v="7"/>
    <x v="1"/>
    <n v="1"/>
    <n v="24"/>
    <s v="00"/>
    <s v="101"/>
    <s v="12400-101"/>
    <s v="Acoustic guitar production item #101"/>
    <s v="UNIQUE"/>
    <n v="0"/>
    <n v="27"/>
    <n v="27000"/>
    <n v="0"/>
    <n v="729000"/>
  </r>
  <r>
    <x v="0"/>
    <x v="7"/>
    <x v="1"/>
    <n v="1"/>
    <n v="24"/>
    <s v="00"/>
    <s v="102"/>
    <s v="12400-102"/>
    <s v="Acoustic guitar production item #102"/>
    <s v="UNIQUE"/>
    <n v="0"/>
    <n v="216"/>
    <n v="18"/>
    <n v="0"/>
    <n v="3888"/>
  </r>
  <r>
    <x v="0"/>
    <x v="7"/>
    <x v="1"/>
    <n v="1"/>
    <n v="24"/>
    <s v="00"/>
    <s v="103"/>
    <s v="12400-103"/>
    <s v="Acoustic guitar production item #103"/>
    <s v="UNIQUE"/>
    <n v="0"/>
    <n v="1000"/>
    <n v="9"/>
    <n v="0"/>
    <n v="9000"/>
  </r>
  <r>
    <x v="0"/>
    <x v="7"/>
    <x v="1"/>
    <n v="1"/>
    <n v="24"/>
    <s v="00"/>
    <s v="104"/>
    <s v="12400-104"/>
    <s v="Acoustic guitar production item #104"/>
    <s v="UNIQUE"/>
    <n v="0"/>
    <n v="5"/>
    <n v="8"/>
    <n v="0"/>
    <n v="40"/>
  </r>
  <r>
    <x v="0"/>
    <x v="7"/>
    <x v="1"/>
    <n v="1"/>
    <n v="24"/>
    <s v="00"/>
    <s v="105"/>
    <s v="12400-105"/>
    <s v="Acoustic guitar production item #105"/>
    <s v="UNIQUE"/>
    <n v="0"/>
    <n v="2"/>
    <n v="30"/>
    <n v="0"/>
    <n v="60"/>
  </r>
  <r>
    <x v="0"/>
    <x v="7"/>
    <x v="1"/>
    <n v="1"/>
    <n v="24"/>
    <s v="00"/>
    <s v="106"/>
    <s v="12400-106"/>
    <s v="Acoustic guitar production item #106"/>
    <s v="UNIQUE"/>
    <n v="872"/>
    <n v="100"/>
    <n v="1000"/>
    <n v="87200"/>
    <n v="100000"/>
  </r>
  <r>
    <x v="0"/>
    <x v="7"/>
    <x v="1"/>
    <n v="1"/>
    <n v="24"/>
    <s v="00"/>
    <s v="107"/>
    <s v="12400-107"/>
    <s v="Acoustic guitar production item #107"/>
    <s v="UNIQUE"/>
    <n v="51"/>
    <n v="27"/>
    <n v="343"/>
    <n v="1377"/>
    <n v="9261"/>
  </r>
  <r>
    <x v="0"/>
    <x v="7"/>
    <x v="1"/>
    <n v="1"/>
    <n v="24"/>
    <s v="00"/>
    <s v="108"/>
    <s v="12400-108"/>
    <s v="Acoustic guitar production item #108"/>
    <s v="UNIQUE"/>
    <n v="0"/>
    <n v="125"/>
    <n v="64"/>
    <n v="0"/>
    <n v="8000"/>
  </r>
  <r>
    <x v="0"/>
    <x v="7"/>
    <x v="1"/>
    <n v="1"/>
    <n v="24"/>
    <s v="00"/>
    <s v="109"/>
    <s v="12400-109"/>
    <s v="Acoustic guitar production item #109"/>
    <s v="UNIQUE"/>
    <n v="1217"/>
    <n v="64"/>
    <n v="841"/>
    <n v="77888"/>
    <n v="53824"/>
  </r>
  <r>
    <x v="0"/>
    <x v="7"/>
    <x v="1"/>
    <n v="1"/>
    <n v="24"/>
    <s v="00"/>
    <s v="110"/>
    <s v="12400-110"/>
    <s v="Acoustic guitar production item #110"/>
    <s v="UNIQUE"/>
    <n v="0"/>
    <n v="1"/>
    <n v="9"/>
    <n v="0"/>
    <n v="9"/>
  </r>
  <r>
    <x v="0"/>
    <x v="7"/>
    <x v="1"/>
    <n v="1"/>
    <n v="24"/>
    <s v="00"/>
    <s v="111"/>
    <s v="12400-111"/>
    <s v="Acoustic guitar production item #111"/>
    <s v="UNIQUE"/>
    <n v="0"/>
    <n v="1"/>
    <n v="529"/>
    <n v="0"/>
    <n v="529"/>
  </r>
  <r>
    <x v="0"/>
    <x v="7"/>
    <x v="1"/>
    <n v="1"/>
    <n v="24"/>
    <s v="00"/>
    <s v="112"/>
    <s v="12400-112"/>
    <s v="Acoustic guitar production item #112"/>
    <s v="UNIQUE"/>
    <n v="38"/>
    <n v="512"/>
    <n v="4"/>
    <n v="19456"/>
    <n v="2048"/>
  </r>
  <r>
    <x v="0"/>
    <x v="7"/>
    <x v="1"/>
    <n v="1"/>
    <n v="24"/>
    <s v="00"/>
    <s v="113"/>
    <s v="12400-113"/>
    <s v="Acoustic guitar production item #113"/>
    <s v="UNIQUE"/>
    <n v="0"/>
    <n v="7"/>
    <n v="121"/>
    <n v="0"/>
    <n v="847"/>
  </r>
  <r>
    <x v="0"/>
    <x v="7"/>
    <x v="1"/>
    <n v="1"/>
    <n v="24"/>
    <s v="00"/>
    <s v="114"/>
    <s v="12400-114"/>
    <s v="Acoustic guitar production item #114"/>
    <s v="UNIQUE"/>
    <n v="0"/>
    <n v="343"/>
    <n v="9"/>
    <n v="0"/>
    <n v="3087"/>
  </r>
  <r>
    <x v="0"/>
    <x v="7"/>
    <x v="1"/>
    <n v="1"/>
    <n v="24"/>
    <s v="00"/>
    <s v="115"/>
    <s v="12400-115"/>
    <s v="Acoustic guitar production item #115"/>
    <s v="UNIQUE"/>
    <n v="0"/>
    <n v="16"/>
    <n v="169"/>
    <n v="0"/>
    <n v="2704"/>
  </r>
  <r>
    <x v="0"/>
    <x v="7"/>
    <x v="1"/>
    <n v="1"/>
    <n v="24"/>
    <s v="00"/>
    <s v="116"/>
    <s v="12400-116"/>
    <s v="Acoustic guitar production item #116"/>
    <s v="UNIQUE"/>
    <n v="8"/>
    <n v="81"/>
    <n v="19683"/>
    <n v="648"/>
    <n v="1594323"/>
  </r>
  <r>
    <x v="0"/>
    <x v="7"/>
    <x v="1"/>
    <n v="1"/>
    <n v="24"/>
    <s v="00"/>
    <s v="117"/>
    <s v="12400-117"/>
    <s v="Acoustic guitar production item #117"/>
    <s v="UNIQUE"/>
    <n v="8"/>
    <n v="16"/>
    <n v="8"/>
    <n v="128"/>
    <n v="128"/>
  </r>
  <r>
    <x v="0"/>
    <x v="7"/>
    <x v="1"/>
    <n v="1"/>
    <n v="24"/>
    <s v="00"/>
    <s v="118"/>
    <s v="12400-118"/>
    <s v="Acoustic guitar production item #118"/>
    <s v="UNIQUE"/>
    <n v="0"/>
    <n v="27"/>
    <n v="512"/>
    <n v="0"/>
    <n v="13824"/>
  </r>
  <r>
    <x v="0"/>
    <x v="7"/>
    <x v="1"/>
    <n v="1"/>
    <n v="24"/>
    <s v="00"/>
    <s v="119"/>
    <s v="12400-119"/>
    <s v="Acoustic guitar production item #119"/>
    <s v="UNIQUE"/>
    <n v="0"/>
    <n v="100"/>
    <n v="6"/>
    <n v="0"/>
    <n v="600"/>
  </r>
  <r>
    <x v="0"/>
    <x v="7"/>
    <x v="1"/>
    <n v="1"/>
    <n v="24"/>
    <s v="00"/>
    <s v="120"/>
    <s v="12400-120"/>
    <s v="Acoustic guitar production item #120"/>
    <s v="UNIQUE"/>
    <n v="93"/>
    <n v="27"/>
    <n v="3375"/>
    <n v="2511"/>
    <n v="91125"/>
  </r>
  <r>
    <x v="0"/>
    <x v="7"/>
    <x v="1"/>
    <n v="1"/>
    <n v="24"/>
    <s v="00"/>
    <s v="121"/>
    <s v="12400-121"/>
    <s v="Acoustic guitar production item #121"/>
    <s v="UNIQUE"/>
    <n v="6"/>
    <n v="1"/>
    <n v="1"/>
    <n v="6"/>
    <n v="1"/>
  </r>
  <r>
    <x v="0"/>
    <x v="7"/>
    <x v="1"/>
    <n v="1"/>
    <n v="24"/>
    <s v="00"/>
    <s v="122"/>
    <s v="12400-122"/>
    <s v="Acoustic guitar production item #122"/>
    <s v="UNIQUE"/>
    <n v="9635"/>
    <n v="8"/>
    <n v="13824"/>
    <n v="77080"/>
    <n v="110592"/>
  </r>
  <r>
    <x v="0"/>
    <x v="7"/>
    <x v="1"/>
    <n v="1"/>
    <n v="24"/>
    <s v="00"/>
    <s v="123"/>
    <s v="12400-123"/>
    <s v="Acoustic guitar production item #123"/>
    <s v="UNIQUE"/>
    <n v="0"/>
    <n v="2"/>
    <n v="36"/>
    <n v="0"/>
    <n v="72"/>
  </r>
  <r>
    <x v="0"/>
    <x v="7"/>
    <x v="1"/>
    <n v="1"/>
    <n v="24"/>
    <s v="00"/>
    <s v="124"/>
    <s v="12400-124"/>
    <s v="Acoustic guitar production item #124"/>
    <s v="UNIQUE"/>
    <n v="0"/>
    <n v="8"/>
    <n v="144"/>
    <n v="0"/>
    <n v="1152"/>
  </r>
  <r>
    <x v="0"/>
    <x v="7"/>
    <x v="1"/>
    <n v="1"/>
    <n v="24"/>
    <s v="00"/>
    <s v="125"/>
    <s v="12400-125"/>
    <s v="Acoustic guitar production item #125"/>
    <s v="UNIQUE"/>
    <n v="0"/>
    <n v="2"/>
    <n v="12"/>
    <n v="0"/>
    <n v="24"/>
  </r>
  <r>
    <x v="0"/>
    <x v="7"/>
    <x v="1"/>
    <n v="1"/>
    <n v="24"/>
    <s v="00"/>
    <s v="126"/>
    <s v="12400-126"/>
    <s v="Acoustic guitar production item #126"/>
    <s v="UNIQUE"/>
    <n v="0"/>
    <n v="3"/>
    <n v="625"/>
    <n v="0"/>
    <n v="1875"/>
  </r>
  <r>
    <x v="0"/>
    <x v="7"/>
    <x v="1"/>
    <n v="1"/>
    <n v="24"/>
    <s v="00"/>
    <s v="127"/>
    <s v="12400-127"/>
    <s v="Acoustic guitar production item #127"/>
    <s v="UNIQUE"/>
    <n v="11"/>
    <n v="8"/>
    <n v="29"/>
    <n v="88"/>
    <n v="232"/>
  </r>
  <r>
    <x v="0"/>
    <x v="7"/>
    <x v="1"/>
    <n v="1"/>
    <n v="24"/>
    <s v="00"/>
    <s v="128"/>
    <s v="12400-128"/>
    <s v="Acoustic guitar production item #128"/>
    <s v="UNIQUE"/>
    <n v="0"/>
    <n v="64"/>
    <n v="12167"/>
    <n v="0"/>
    <n v="778688"/>
  </r>
  <r>
    <x v="0"/>
    <x v="7"/>
    <x v="1"/>
    <n v="1"/>
    <n v="24"/>
    <s v="00"/>
    <s v="129"/>
    <s v="12400-129"/>
    <s v="Acoustic guitar production item #129"/>
    <s v="UNIQUE"/>
    <n v="0"/>
    <n v="27"/>
    <n v="225"/>
    <n v="0"/>
    <n v="6075"/>
  </r>
  <r>
    <x v="0"/>
    <x v="7"/>
    <x v="1"/>
    <n v="1"/>
    <n v="24"/>
    <s v="00"/>
    <s v="130"/>
    <s v="12400-130"/>
    <s v="Acoustic guitar production item #130"/>
    <s v="UNIQUE"/>
    <n v="0"/>
    <n v="8"/>
    <n v="529"/>
    <n v="0"/>
    <n v="4232"/>
  </r>
  <r>
    <x v="0"/>
    <x v="7"/>
    <x v="1"/>
    <n v="1"/>
    <n v="24"/>
    <s v="00"/>
    <s v="131"/>
    <s v="12400-131"/>
    <s v="Acoustic guitar production item #131"/>
    <s v="UNIQUE"/>
    <n v="986"/>
    <n v="64"/>
    <n v="25"/>
    <n v="63104"/>
    <n v="1600"/>
  </r>
  <r>
    <x v="0"/>
    <x v="7"/>
    <x v="1"/>
    <n v="1"/>
    <n v="24"/>
    <s v="00"/>
    <s v="132"/>
    <s v="12400-132"/>
    <s v="Acoustic guitar production item #132"/>
    <s v="UNIQUE"/>
    <n v="5"/>
    <n v="8"/>
    <n v="3375"/>
    <n v="40"/>
    <n v="27000"/>
  </r>
  <r>
    <x v="0"/>
    <x v="7"/>
    <x v="1"/>
    <n v="1"/>
    <n v="24"/>
    <s v="00"/>
    <s v="133"/>
    <s v="12400-133"/>
    <s v="Acoustic guitar production item #133"/>
    <s v="UNIQUE"/>
    <n v="0"/>
    <n v="8"/>
    <n v="10"/>
    <n v="0"/>
    <n v="80"/>
  </r>
  <r>
    <x v="0"/>
    <x v="7"/>
    <x v="1"/>
    <n v="1"/>
    <n v="24"/>
    <s v="00"/>
    <s v="134"/>
    <s v="12400-134"/>
    <s v="Acoustic guitar production item #134"/>
    <s v="UNIQUE"/>
    <n v="4"/>
    <n v="1"/>
    <n v="9261"/>
    <n v="4"/>
    <n v="9261"/>
  </r>
  <r>
    <x v="0"/>
    <x v="7"/>
    <x v="1"/>
    <n v="1"/>
    <n v="24"/>
    <s v="00"/>
    <s v="135"/>
    <s v="12400-135"/>
    <s v="Acoustic guitar production item #135"/>
    <s v="UNIQUE"/>
    <n v="8"/>
    <n v="9"/>
    <n v="27"/>
    <n v="72"/>
    <n v="243"/>
  </r>
  <r>
    <x v="0"/>
    <x v="7"/>
    <x v="1"/>
    <n v="1"/>
    <n v="24"/>
    <s v="00"/>
    <s v="136"/>
    <s v="12400-136"/>
    <s v="Acoustic guitar production item #136"/>
    <s v="UNIQUE"/>
    <n v="0"/>
    <n v="10"/>
    <n v="256"/>
    <n v="0"/>
    <n v="2560"/>
  </r>
  <r>
    <x v="0"/>
    <x v="7"/>
    <x v="1"/>
    <n v="1"/>
    <n v="24"/>
    <s v="00"/>
    <s v="137"/>
    <s v="12400-137"/>
    <s v="Acoustic guitar production item #137"/>
    <s v="UNIQUE"/>
    <n v="0"/>
    <n v="8"/>
    <n v="4"/>
    <n v="0"/>
    <n v="32"/>
  </r>
  <r>
    <x v="0"/>
    <x v="7"/>
    <x v="1"/>
    <n v="1"/>
    <n v="24"/>
    <s v="00"/>
    <s v="138"/>
    <s v="12400-138"/>
    <s v="Acoustic guitar production item #138"/>
    <s v="UNIQUE"/>
    <n v="0"/>
    <n v="25"/>
    <n v="3"/>
    <n v="0"/>
    <n v="75"/>
  </r>
  <r>
    <x v="0"/>
    <x v="7"/>
    <x v="1"/>
    <n v="1"/>
    <n v="24"/>
    <s v="00"/>
    <s v="139"/>
    <s v="12400-139"/>
    <s v="Acoustic guitar production item #139"/>
    <s v="UNIQUE"/>
    <n v="0"/>
    <n v="7"/>
    <n v="441"/>
    <n v="0"/>
    <n v="3087"/>
  </r>
  <r>
    <x v="0"/>
    <x v="7"/>
    <x v="1"/>
    <n v="1"/>
    <n v="24"/>
    <s v="00"/>
    <s v="140"/>
    <s v="12400-140"/>
    <s v="Acoustic guitar production item #140"/>
    <s v="UNIQUE"/>
    <n v="7"/>
    <n v="36"/>
    <n v="8"/>
    <n v="252"/>
    <n v="288"/>
  </r>
  <r>
    <x v="0"/>
    <x v="7"/>
    <x v="1"/>
    <n v="1"/>
    <n v="24"/>
    <s v="00"/>
    <s v="141"/>
    <s v="12400-141"/>
    <s v="Acoustic guitar production item #141"/>
    <s v="UNIQUE"/>
    <n v="0"/>
    <n v="729"/>
    <n v="22"/>
    <n v="0"/>
    <n v="16038"/>
  </r>
  <r>
    <x v="0"/>
    <x v="7"/>
    <x v="1"/>
    <n v="1"/>
    <n v="24"/>
    <s v="00"/>
    <s v="142"/>
    <s v="12400-142"/>
    <s v="Acoustic guitar production item #142"/>
    <s v="UNIQUE"/>
    <n v="1"/>
    <n v="10"/>
    <n v="64"/>
    <n v="10"/>
    <n v="640"/>
  </r>
  <r>
    <x v="0"/>
    <x v="7"/>
    <x v="1"/>
    <n v="1"/>
    <n v="24"/>
    <s v="00"/>
    <s v="143"/>
    <s v="12400-143"/>
    <s v="Acoustic guitar production item #143"/>
    <s v="UNIQUE"/>
    <n v="384"/>
    <n v="9"/>
    <n v="225"/>
    <n v="3456"/>
    <n v="2025"/>
  </r>
  <r>
    <x v="0"/>
    <x v="7"/>
    <x v="1"/>
    <n v="1"/>
    <n v="24"/>
    <s v="00"/>
    <s v="144"/>
    <s v="12400-144"/>
    <s v="Acoustic guitar production item #144"/>
    <s v="UNIQUE"/>
    <n v="0"/>
    <n v="4"/>
    <n v="169"/>
    <n v="0"/>
    <n v="676"/>
  </r>
  <r>
    <x v="0"/>
    <x v="7"/>
    <x v="1"/>
    <n v="1"/>
    <n v="24"/>
    <s v="00"/>
    <s v="145"/>
    <s v="12400-145"/>
    <s v="Acoustic guitar production item #145"/>
    <s v="UNIQUE"/>
    <n v="0"/>
    <n v="64"/>
    <n v="64"/>
    <n v="0"/>
    <n v="4096"/>
  </r>
  <r>
    <x v="0"/>
    <x v="7"/>
    <x v="1"/>
    <n v="1"/>
    <n v="24"/>
    <s v="00"/>
    <s v="146"/>
    <s v="12400-146"/>
    <s v="Acoustic guitar production item #146"/>
    <s v="UNIQUE"/>
    <n v="74"/>
    <n v="1000"/>
    <n v="4913"/>
    <n v="74000"/>
    <n v="4913000"/>
  </r>
  <r>
    <x v="0"/>
    <x v="7"/>
    <x v="1"/>
    <n v="1"/>
    <n v="24"/>
    <s v="00"/>
    <s v="147"/>
    <s v="12400-147"/>
    <s v="Acoustic guitar production item #147"/>
    <s v="UNIQUE"/>
    <n v="37"/>
    <n v="5"/>
    <n v="1"/>
    <n v="185"/>
    <n v="5"/>
  </r>
  <r>
    <x v="0"/>
    <x v="7"/>
    <x v="1"/>
    <n v="1"/>
    <n v="24"/>
    <s v="00"/>
    <s v="148"/>
    <s v="12400-148"/>
    <s v="Acoustic guitar production item #148"/>
    <s v="UNIQUE"/>
    <n v="2"/>
    <n v="100"/>
    <n v="576"/>
    <n v="200"/>
    <n v="57600"/>
  </r>
  <r>
    <x v="0"/>
    <x v="7"/>
    <x v="1"/>
    <n v="1"/>
    <n v="24"/>
    <s v="00"/>
    <s v="149"/>
    <s v="12400-149"/>
    <s v="Acoustic guitar production item #149"/>
    <s v="UNIQUE"/>
    <n v="0"/>
    <n v="4"/>
    <n v="2744"/>
    <n v="0"/>
    <n v="10976"/>
  </r>
  <r>
    <x v="0"/>
    <x v="7"/>
    <x v="1"/>
    <n v="1"/>
    <n v="24"/>
    <s v="00"/>
    <s v="150"/>
    <s v="12400-150"/>
    <s v="Acoustic guitar production item #150"/>
    <s v="UNIQUE"/>
    <n v="57"/>
    <n v="125"/>
    <n v="729"/>
    <n v="7125"/>
    <n v="91125"/>
  </r>
  <r>
    <x v="0"/>
    <x v="7"/>
    <x v="1"/>
    <n v="1"/>
    <n v="24"/>
    <s v="00"/>
    <s v="151"/>
    <s v="12400-151"/>
    <s v="Acoustic guitar production item #151"/>
    <s v="UNIQUE"/>
    <n v="0"/>
    <n v="2"/>
    <n v="4"/>
    <n v="0"/>
    <n v="8"/>
  </r>
  <r>
    <x v="0"/>
    <x v="7"/>
    <x v="1"/>
    <n v="1"/>
    <n v="24"/>
    <s v="00"/>
    <s v="152"/>
    <s v="12400-152"/>
    <s v="Acoustic guitar production item #152"/>
    <s v="UNIQUE"/>
    <n v="9463"/>
    <n v="1"/>
    <n v="169"/>
    <n v="9463"/>
    <n v="169"/>
  </r>
  <r>
    <x v="0"/>
    <x v="7"/>
    <x v="1"/>
    <n v="1"/>
    <n v="24"/>
    <s v="00"/>
    <s v="153"/>
    <s v="12400-153"/>
    <s v="Acoustic guitar production item #153"/>
    <s v="UNIQUE"/>
    <n v="0"/>
    <n v="81"/>
    <n v="16"/>
    <n v="0"/>
    <n v="1296"/>
  </r>
  <r>
    <x v="0"/>
    <x v="7"/>
    <x v="1"/>
    <n v="1"/>
    <n v="24"/>
    <s v="00"/>
    <s v="154"/>
    <s v="12400-154"/>
    <s v="Acoustic guitar production item #154"/>
    <s v="UNIQUE"/>
    <n v="0"/>
    <n v="1"/>
    <n v="1"/>
    <n v="0"/>
    <n v="1"/>
  </r>
  <r>
    <x v="0"/>
    <x v="7"/>
    <x v="1"/>
    <n v="1"/>
    <n v="24"/>
    <s v="00"/>
    <s v="155"/>
    <s v="12400-155"/>
    <s v="Acoustic guitar production item #155"/>
    <s v="UNIQUE"/>
    <n v="0"/>
    <n v="64"/>
    <n v="13"/>
    <n v="0"/>
    <n v="832"/>
  </r>
  <r>
    <x v="0"/>
    <x v="7"/>
    <x v="1"/>
    <n v="1"/>
    <n v="24"/>
    <s v="00"/>
    <s v="156"/>
    <s v="12400-156"/>
    <s v="Acoustic guitar production item #156"/>
    <s v="UNIQUE"/>
    <n v="8"/>
    <n v="16"/>
    <n v="16"/>
    <n v="128"/>
    <n v="256"/>
  </r>
  <r>
    <x v="0"/>
    <x v="7"/>
    <x v="1"/>
    <n v="1"/>
    <n v="24"/>
    <s v="00"/>
    <s v="157"/>
    <s v="12400-157"/>
    <s v="Acoustic guitar production item #157"/>
    <s v="UNIQUE"/>
    <n v="0"/>
    <n v="49"/>
    <n v="0"/>
    <n v="0"/>
    <n v="0"/>
  </r>
  <r>
    <x v="0"/>
    <x v="7"/>
    <x v="1"/>
    <n v="1"/>
    <n v="24"/>
    <s v="00"/>
    <s v="158"/>
    <s v="12400-158"/>
    <s v="Acoustic guitar production item #158"/>
    <s v="UNIQUE"/>
    <n v="915"/>
    <n v="25"/>
    <n v="64"/>
    <n v="22875"/>
    <n v="1600"/>
  </r>
  <r>
    <x v="0"/>
    <x v="7"/>
    <x v="1"/>
    <n v="1"/>
    <n v="24"/>
    <s v="00"/>
    <s v="159"/>
    <s v="12400-159"/>
    <s v="Acoustic guitar production item #159"/>
    <s v="UNIQUE"/>
    <n v="0"/>
    <n v="81"/>
    <n v="5832"/>
    <n v="0"/>
    <n v="472392"/>
  </r>
  <r>
    <x v="0"/>
    <x v="7"/>
    <x v="1"/>
    <n v="1"/>
    <n v="24"/>
    <s v="00"/>
    <s v="160"/>
    <s v="12400-160"/>
    <s v="Acoustic guitar production item #160"/>
    <s v="UNIQUE"/>
    <n v="4"/>
    <n v="3"/>
    <n v="676"/>
    <n v="12"/>
    <n v="2028"/>
  </r>
  <r>
    <x v="0"/>
    <x v="7"/>
    <x v="1"/>
    <n v="1"/>
    <n v="24"/>
    <s v="00"/>
    <s v="161"/>
    <s v="12400-161"/>
    <s v="Acoustic guitar production item #161"/>
    <s v="UNIQUE"/>
    <n v="1"/>
    <n v="5"/>
    <n v="3"/>
    <n v="5"/>
    <n v="15"/>
  </r>
  <r>
    <x v="0"/>
    <x v="7"/>
    <x v="1"/>
    <n v="1"/>
    <n v="24"/>
    <s v="00"/>
    <s v="162"/>
    <s v="12400-162"/>
    <s v="Acoustic guitar production item #162"/>
    <s v="UNIQUE"/>
    <n v="16"/>
    <n v="49"/>
    <n v="4"/>
    <n v="784"/>
    <n v="196"/>
  </r>
  <r>
    <x v="0"/>
    <x v="7"/>
    <x v="1"/>
    <n v="1"/>
    <n v="24"/>
    <s v="00"/>
    <s v="163"/>
    <s v="12400-163"/>
    <s v="Acoustic guitar production item #163"/>
    <s v="UNIQUE"/>
    <n v="0"/>
    <n v="125"/>
    <n v="23"/>
    <n v="0"/>
    <n v="2875"/>
  </r>
  <r>
    <x v="0"/>
    <x v="7"/>
    <x v="1"/>
    <n v="1"/>
    <n v="24"/>
    <s v="00"/>
    <s v="164"/>
    <s v="12400-164"/>
    <s v="Acoustic guitar production item #164"/>
    <s v="UNIQUE"/>
    <n v="0"/>
    <n v="3"/>
    <n v="784"/>
    <n v="0"/>
    <n v="2352"/>
  </r>
  <r>
    <x v="0"/>
    <x v="7"/>
    <x v="1"/>
    <n v="1"/>
    <n v="24"/>
    <s v="00"/>
    <s v="165"/>
    <s v="12400-165"/>
    <s v="Acoustic guitar production item #165"/>
    <s v="UNIQUE"/>
    <n v="7"/>
    <n v="7"/>
    <n v="361"/>
    <n v="49"/>
    <n v="2527"/>
  </r>
  <r>
    <x v="0"/>
    <x v="7"/>
    <x v="1"/>
    <n v="1"/>
    <n v="24"/>
    <s v="00"/>
    <s v="166"/>
    <s v="12400-166"/>
    <s v="Acoustic guitar production item #166"/>
    <s v="UNIQUE"/>
    <n v="0"/>
    <n v="729"/>
    <n v="841"/>
    <n v="0"/>
    <n v="613089"/>
  </r>
  <r>
    <x v="0"/>
    <x v="7"/>
    <x v="1"/>
    <n v="1"/>
    <n v="24"/>
    <s v="00"/>
    <s v="167"/>
    <s v="12400-167"/>
    <s v="Acoustic guitar production item #167"/>
    <s v="UNIQUE"/>
    <n v="0"/>
    <n v="8"/>
    <n v="23"/>
    <n v="0"/>
    <n v="184"/>
  </r>
  <r>
    <x v="0"/>
    <x v="7"/>
    <x v="1"/>
    <n v="1"/>
    <n v="24"/>
    <s v="00"/>
    <s v="168"/>
    <s v="12400-168"/>
    <s v="Acoustic guitar production item #168"/>
    <s v="UNIQUE"/>
    <n v="7399"/>
    <n v="36"/>
    <n v="15625"/>
    <n v="266364"/>
    <n v="562500"/>
  </r>
  <r>
    <x v="0"/>
    <x v="7"/>
    <x v="1"/>
    <n v="1"/>
    <n v="24"/>
    <s v="00"/>
    <s v="169"/>
    <s v="12400-169"/>
    <s v="Acoustic guitar production item #169"/>
    <s v="UNIQUE"/>
    <n v="0"/>
    <n v="4"/>
    <n v="1728"/>
    <n v="0"/>
    <n v="6912"/>
  </r>
  <r>
    <x v="0"/>
    <x v="7"/>
    <x v="1"/>
    <n v="1"/>
    <n v="24"/>
    <s v="00"/>
    <s v="170"/>
    <s v="12400-170"/>
    <s v="Acoustic guitar production item #170"/>
    <s v="UNIQUE"/>
    <n v="0"/>
    <n v="49"/>
    <n v="121"/>
    <n v="0"/>
    <n v="5929"/>
  </r>
  <r>
    <x v="0"/>
    <x v="7"/>
    <x v="1"/>
    <n v="1"/>
    <n v="24"/>
    <s v="00"/>
    <s v="171"/>
    <s v="12400-171"/>
    <s v="Acoustic guitar production item #171"/>
    <s v="UNIQUE"/>
    <n v="411"/>
    <n v="49"/>
    <n v="25"/>
    <n v="20139"/>
    <n v="1225"/>
  </r>
  <r>
    <x v="0"/>
    <x v="7"/>
    <x v="1"/>
    <n v="1"/>
    <n v="24"/>
    <s v="00"/>
    <s v="172"/>
    <s v="12400-172"/>
    <s v="Acoustic guitar production item #172"/>
    <s v="UNIQUE"/>
    <n v="569"/>
    <n v="64"/>
    <n v="17"/>
    <n v="36416"/>
    <n v="1088"/>
  </r>
  <r>
    <x v="0"/>
    <x v="7"/>
    <x v="1"/>
    <n v="1"/>
    <n v="24"/>
    <s v="00"/>
    <s v="173"/>
    <s v="12400-173"/>
    <s v="Acoustic guitar production item #173"/>
    <s v="UNIQUE"/>
    <n v="916"/>
    <n v="1000"/>
    <n v="0"/>
    <n v="916000"/>
    <n v="0"/>
  </r>
  <r>
    <x v="0"/>
    <x v="7"/>
    <x v="1"/>
    <n v="1"/>
    <n v="24"/>
    <s v="00"/>
    <s v="174"/>
    <s v="12400-174"/>
    <s v="Acoustic guitar production item #174"/>
    <s v="UNIQUE"/>
    <n v="2024"/>
    <n v="81"/>
    <n v="1"/>
    <n v="163944"/>
    <n v="81"/>
  </r>
  <r>
    <x v="0"/>
    <x v="7"/>
    <x v="1"/>
    <n v="1"/>
    <n v="24"/>
    <s v="00"/>
    <s v="175"/>
    <s v="12400-175"/>
    <s v="Acoustic guitar production item #175"/>
    <s v="UNIQUE"/>
    <n v="883"/>
    <n v="1"/>
    <n v="0"/>
    <n v="883"/>
    <n v="0"/>
  </r>
  <r>
    <x v="0"/>
    <x v="7"/>
    <x v="1"/>
    <n v="1"/>
    <n v="24"/>
    <s v="00"/>
    <s v="176"/>
    <s v="12400-176"/>
    <s v="Acoustic guitar production item #176"/>
    <s v="UNIQUE"/>
    <n v="1"/>
    <n v="49"/>
    <n v="324"/>
    <n v="49"/>
    <n v="15876"/>
  </r>
  <r>
    <x v="0"/>
    <x v="7"/>
    <x v="1"/>
    <n v="1"/>
    <n v="24"/>
    <s v="00"/>
    <s v="177"/>
    <s v="12400-177"/>
    <s v="Acoustic guitar production item #177"/>
    <s v="UNIQUE"/>
    <n v="0"/>
    <n v="25"/>
    <n v="49"/>
    <n v="0"/>
    <n v="1225"/>
  </r>
  <r>
    <x v="0"/>
    <x v="7"/>
    <x v="1"/>
    <n v="1"/>
    <n v="24"/>
    <s v="00"/>
    <s v="178"/>
    <s v="12400-178"/>
    <s v="Acoustic guitar production item #178"/>
    <s v="UNIQUE"/>
    <n v="0"/>
    <n v="6"/>
    <n v="784"/>
    <n v="0"/>
    <n v="4704"/>
  </r>
  <r>
    <x v="0"/>
    <x v="7"/>
    <x v="1"/>
    <n v="1"/>
    <n v="24"/>
    <s v="00"/>
    <s v="179"/>
    <s v="12400-179"/>
    <s v="Acoustic guitar production item #179"/>
    <s v="UNIQUE"/>
    <n v="4"/>
    <n v="1"/>
    <n v="26"/>
    <n v="4"/>
    <n v="26"/>
  </r>
  <r>
    <x v="0"/>
    <x v="7"/>
    <x v="1"/>
    <n v="1"/>
    <n v="24"/>
    <s v="00"/>
    <s v="180"/>
    <s v="12400-180"/>
    <s v="Acoustic guitar production item #180"/>
    <s v="UNIQUE"/>
    <n v="0"/>
    <n v="25"/>
    <n v="8"/>
    <n v="0"/>
    <n v="200"/>
  </r>
  <r>
    <x v="0"/>
    <x v="7"/>
    <x v="1"/>
    <n v="1"/>
    <n v="24"/>
    <s v="00"/>
    <s v="181"/>
    <s v="12400-181"/>
    <s v="Acoustic guitar production item #181"/>
    <s v="UNIQUE"/>
    <n v="4637"/>
    <n v="4"/>
    <n v="100"/>
    <n v="18548"/>
    <n v="400"/>
  </r>
  <r>
    <x v="0"/>
    <x v="7"/>
    <x v="1"/>
    <n v="1"/>
    <n v="24"/>
    <s v="00"/>
    <s v="182"/>
    <s v="12400-182"/>
    <s v="Acoustic guitar production item #182"/>
    <s v="UNIQUE"/>
    <n v="1"/>
    <n v="125"/>
    <n v="0"/>
    <n v="125"/>
    <n v="0"/>
  </r>
  <r>
    <x v="0"/>
    <x v="7"/>
    <x v="1"/>
    <n v="1"/>
    <n v="24"/>
    <s v="00"/>
    <s v="183"/>
    <s v="12400-183"/>
    <s v="Acoustic guitar production item #183"/>
    <s v="UNIQUE"/>
    <n v="200"/>
    <n v="49"/>
    <n v="4096"/>
    <n v="9800"/>
    <n v="200704"/>
  </r>
  <r>
    <x v="0"/>
    <x v="7"/>
    <x v="1"/>
    <n v="1"/>
    <n v="24"/>
    <s v="00"/>
    <s v="184"/>
    <s v="12400-184"/>
    <s v="Acoustic guitar production item #184"/>
    <s v="UNIQUE"/>
    <n v="1215"/>
    <n v="49"/>
    <n v="23"/>
    <n v="59535"/>
    <n v="1127"/>
  </r>
  <r>
    <x v="0"/>
    <x v="7"/>
    <x v="1"/>
    <n v="1"/>
    <n v="24"/>
    <s v="00"/>
    <s v="185"/>
    <s v="12400-185"/>
    <s v="Acoustic guitar production item #185"/>
    <s v="UNIQUE"/>
    <n v="0"/>
    <n v="27"/>
    <n v="19"/>
    <n v="0"/>
    <n v="513"/>
  </r>
  <r>
    <x v="0"/>
    <x v="7"/>
    <x v="1"/>
    <n v="1"/>
    <n v="24"/>
    <s v="00"/>
    <s v="186"/>
    <s v="12400-186"/>
    <s v="Acoustic guitar production item #186"/>
    <s v="UNIQUE"/>
    <n v="0"/>
    <n v="9"/>
    <n v="529"/>
    <n v="0"/>
    <n v="4761"/>
  </r>
  <r>
    <x v="0"/>
    <x v="7"/>
    <x v="1"/>
    <n v="1"/>
    <n v="24"/>
    <s v="00"/>
    <s v="187"/>
    <s v="12400-187"/>
    <s v="Acoustic guitar production item #187"/>
    <s v="UNIQUE"/>
    <n v="75"/>
    <n v="1"/>
    <n v="3375"/>
    <n v="75"/>
    <n v="3375"/>
  </r>
  <r>
    <x v="0"/>
    <x v="7"/>
    <x v="1"/>
    <n v="1"/>
    <n v="24"/>
    <s v="00"/>
    <s v="188"/>
    <s v="12400-188"/>
    <s v="Acoustic guitar production item #188"/>
    <s v="UNIQUE"/>
    <n v="0"/>
    <n v="512"/>
    <n v="8000"/>
    <n v="0"/>
    <n v="4096000"/>
  </r>
  <r>
    <x v="0"/>
    <x v="7"/>
    <x v="1"/>
    <n v="1"/>
    <n v="24"/>
    <s v="00"/>
    <s v="189"/>
    <s v="12400-189"/>
    <s v="Acoustic guitar production item #189"/>
    <s v="UNIQUE"/>
    <n v="0"/>
    <n v="4"/>
    <n v="1000"/>
    <n v="0"/>
    <n v="4000"/>
  </r>
  <r>
    <x v="0"/>
    <x v="7"/>
    <x v="1"/>
    <n v="1"/>
    <n v="24"/>
    <s v="00"/>
    <s v="190"/>
    <s v="12400-190"/>
    <s v="Acoustic guitar production item #190"/>
    <s v="UNIQUE"/>
    <n v="2"/>
    <n v="16"/>
    <n v="4"/>
    <n v="32"/>
    <n v="64"/>
  </r>
  <r>
    <x v="0"/>
    <x v="7"/>
    <x v="1"/>
    <n v="1"/>
    <n v="24"/>
    <s v="00"/>
    <s v="191"/>
    <s v="12400-191"/>
    <s v="Acoustic guitar production item #191"/>
    <s v="UNIQUE"/>
    <n v="0"/>
    <n v="1"/>
    <n v="19"/>
    <n v="0"/>
    <n v="19"/>
  </r>
  <r>
    <x v="0"/>
    <x v="7"/>
    <x v="1"/>
    <n v="1"/>
    <n v="24"/>
    <s v="00"/>
    <s v="192"/>
    <s v="12400-192"/>
    <s v="Acoustic guitar production item #192"/>
    <s v="UNIQUE"/>
    <n v="0"/>
    <n v="7"/>
    <n v="25"/>
    <n v="0"/>
    <n v="175"/>
  </r>
  <r>
    <x v="0"/>
    <x v="7"/>
    <x v="1"/>
    <n v="1"/>
    <n v="24"/>
    <s v="00"/>
    <s v="193"/>
    <s v="12400-193"/>
    <s v="Acoustic guitar production item #193"/>
    <s v="UNIQUE"/>
    <n v="0"/>
    <n v="1"/>
    <n v="20"/>
    <n v="0"/>
    <n v="20"/>
  </r>
  <r>
    <x v="0"/>
    <x v="7"/>
    <x v="1"/>
    <n v="1"/>
    <n v="24"/>
    <s v="00"/>
    <s v="194"/>
    <s v="12400-194"/>
    <s v="Acoustic guitar production item #194"/>
    <s v="UNIQUE"/>
    <n v="1"/>
    <n v="6"/>
    <n v="21952"/>
    <n v="6"/>
    <n v="131712"/>
  </r>
  <r>
    <x v="0"/>
    <x v="7"/>
    <x v="1"/>
    <n v="1"/>
    <n v="24"/>
    <s v="00"/>
    <s v="195"/>
    <s v="12400-195"/>
    <s v="Acoustic guitar production item #195"/>
    <s v="UNIQUE"/>
    <n v="0"/>
    <n v="64"/>
    <n v="30"/>
    <n v="0"/>
    <n v="1920"/>
  </r>
  <r>
    <x v="0"/>
    <x v="7"/>
    <x v="1"/>
    <n v="1"/>
    <n v="24"/>
    <s v="00"/>
    <s v="196"/>
    <s v="12400-196"/>
    <s v="Acoustic guitar production item #196"/>
    <s v="UNIQUE"/>
    <n v="0"/>
    <n v="64"/>
    <n v="81"/>
    <n v="0"/>
    <n v="5184"/>
  </r>
  <r>
    <x v="0"/>
    <x v="7"/>
    <x v="1"/>
    <n v="1"/>
    <n v="24"/>
    <s v="00"/>
    <s v="197"/>
    <s v="12400-197"/>
    <s v="Acoustic guitar production item #197"/>
    <s v="UNIQUE"/>
    <n v="0"/>
    <n v="125"/>
    <n v="100"/>
    <n v="0"/>
    <n v="12500"/>
  </r>
  <r>
    <x v="0"/>
    <x v="7"/>
    <x v="1"/>
    <n v="1"/>
    <n v="24"/>
    <s v="00"/>
    <s v="198"/>
    <s v="12400-198"/>
    <s v="Acoustic guitar production item #198"/>
    <s v="UNIQUE"/>
    <n v="0"/>
    <n v="3"/>
    <n v="225"/>
    <n v="0"/>
    <n v="675"/>
  </r>
  <r>
    <x v="0"/>
    <x v="7"/>
    <x v="1"/>
    <n v="1"/>
    <n v="24"/>
    <s v="00"/>
    <s v="199"/>
    <s v="12400-199"/>
    <s v="Acoustic guitar production item #199"/>
    <s v="UNIQUE"/>
    <n v="0"/>
    <n v="8"/>
    <n v="10"/>
    <n v="0"/>
    <n v="80"/>
  </r>
  <r>
    <x v="0"/>
    <x v="8"/>
    <x v="1"/>
    <n v="1"/>
    <n v="25"/>
    <s v="00"/>
    <s v="000"/>
    <s v="12500-000"/>
    <s v="Electric guitar production item #000"/>
    <s v="UNIQUE"/>
    <n v="0"/>
    <n v="1"/>
    <n v="1000"/>
    <n v="0"/>
    <n v="1000"/>
  </r>
  <r>
    <x v="0"/>
    <x v="8"/>
    <x v="1"/>
    <n v="1"/>
    <n v="25"/>
    <s v="00"/>
    <s v="001"/>
    <s v="12500-001"/>
    <s v="Electric guitar production item #001"/>
    <s v="UNIQUE"/>
    <n v="0"/>
    <n v="2"/>
    <n v="5"/>
    <n v="0"/>
    <n v="10"/>
  </r>
  <r>
    <x v="0"/>
    <x v="8"/>
    <x v="1"/>
    <n v="1"/>
    <n v="25"/>
    <s v="00"/>
    <s v="002"/>
    <s v="12500-002"/>
    <s v="Electric guitar production item #002"/>
    <s v="UNIQUE"/>
    <n v="0"/>
    <n v="36"/>
    <n v="2"/>
    <n v="0"/>
    <n v="72"/>
  </r>
  <r>
    <x v="0"/>
    <x v="8"/>
    <x v="1"/>
    <n v="1"/>
    <n v="25"/>
    <s v="00"/>
    <s v="003"/>
    <s v="12500-003"/>
    <s v="Electric guitar production item #003"/>
    <s v="UNIQUE"/>
    <n v="55"/>
    <n v="4"/>
    <n v="15625"/>
    <n v="220"/>
    <n v="62500"/>
  </r>
  <r>
    <x v="0"/>
    <x v="8"/>
    <x v="1"/>
    <n v="1"/>
    <n v="25"/>
    <s v="00"/>
    <s v="004"/>
    <s v="12500-004"/>
    <s v="Electric guitar production item #004"/>
    <s v="UNIQUE"/>
    <n v="0"/>
    <n v="16"/>
    <n v="12167"/>
    <n v="0"/>
    <n v="194672"/>
  </r>
  <r>
    <x v="0"/>
    <x v="8"/>
    <x v="1"/>
    <n v="1"/>
    <n v="25"/>
    <s v="00"/>
    <s v="005"/>
    <s v="12500-005"/>
    <s v="Electric guitar production item #005"/>
    <s v="UNIQUE"/>
    <n v="1"/>
    <n v="4"/>
    <n v="13"/>
    <n v="4"/>
    <n v="52"/>
  </r>
  <r>
    <x v="0"/>
    <x v="8"/>
    <x v="1"/>
    <n v="1"/>
    <n v="25"/>
    <s v="00"/>
    <s v="006"/>
    <s v="12500-006"/>
    <s v="Electric guitar production item #006"/>
    <s v="UNIQUE"/>
    <n v="0"/>
    <n v="10"/>
    <n v="22"/>
    <n v="0"/>
    <n v="220"/>
  </r>
  <r>
    <x v="0"/>
    <x v="8"/>
    <x v="1"/>
    <n v="1"/>
    <n v="25"/>
    <s v="00"/>
    <s v="007"/>
    <s v="12500-007"/>
    <s v="Electric guitar production item #007"/>
    <s v="UNIQUE"/>
    <n v="0"/>
    <n v="100"/>
    <n v="21952"/>
    <n v="0"/>
    <n v="2195200"/>
  </r>
  <r>
    <x v="0"/>
    <x v="8"/>
    <x v="1"/>
    <n v="1"/>
    <n v="25"/>
    <s v="00"/>
    <s v="008"/>
    <s v="12500-008"/>
    <s v="Electric guitar production item #008"/>
    <s v="UNIQUE"/>
    <n v="50"/>
    <n v="64"/>
    <n v="2197"/>
    <n v="3200"/>
    <n v="140608"/>
  </r>
  <r>
    <x v="0"/>
    <x v="8"/>
    <x v="1"/>
    <n v="1"/>
    <n v="25"/>
    <s v="00"/>
    <s v="009"/>
    <s v="12500-009"/>
    <s v="Electric guitar production item #009"/>
    <s v="UNIQUE"/>
    <n v="0"/>
    <n v="1"/>
    <n v="2744"/>
    <n v="0"/>
    <n v="2744"/>
  </r>
  <r>
    <x v="0"/>
    <x v="8"/>
    <x v="1"/>
    <n v="1"/>
    <n v="25"/>
    <s v="00"/>
    <s v="010"/>
    <s v="12500-010"/>
    <s v="Electric guitar production item #010"/>
    <s v="UNIQUE"/>
    <n v="0"/>
    <n v="1"/>
    <n v="196"/>
    <n v="0"/>
    <n v="196"/>
  </r>
  <r>
    <x v="0"/>
    <x v="8"/>
    <x v="1"/>
    <n v="1"/>
    <n v="25"/>
    <s v="00"/>
    <s v="011"/>
    <s v="12500-011"/>
    <s v="Electric guitar production item #011"/>
    <s v="UNIQUE"/>
    <n v="75"/>
    <n v="27"/>
    <n v="26"/>
    <n v="2025"/>
    <n v="702"/>
  </r>
  <r>
    <x v="0"/>
    <x v="8"/>
    <x v="1"/>
    <n v="1"/>
    <n v="25"/>
    <s v="00"/>
    <s v="012"/>
    <s v="12500-012"/>
    <s v="Electric guitar production item #012"/>
    <s v="UNIQUE"/>
    <n v="52"/>
    <n v="9"/>
    <n v="15"/>
    <n v="468"/>
    <n v="135"/>
  </r>
  <r>
    <x v="0"/>
    <x v="8"/>
    <x v="1"/>
    <n v="1"/>
    <n v="25"/>
    <s v="00"/>
    <s v="013"/>
    <s v="12500-013"/>
    <s v="Electric guitar production item #013"/>
    <s v="UNIQUE"/>
    <n v="1"/>
    <n v="5"/>
    <n v="3"/>
    <n v="5"/>
    <n v="15"/>
  </r>
  <r>
    <x v="0"/>
    <x v="8"/>
    <x v="1"/>
    <n v="1"/>
    <n v="25"/>
    <s v="00"/>
    <s v="014"/>
    <s v="12500-014"/>
    <s v="Electric guitar production item #014"/>
    <s v="UNIQUE"/>
    <n v="0"/>
    <n v="5"/>
    <n v="28"/>
    <n v="0"/>
    <n v="140"/>
  </r>
  <r>
    <x v="0"/>
    <x v="8"/>
    <x v="1"/>
    <n v="1"/>
    <n v="25"/>
    <s v="00"/>
    <s v="015"/>
    <s v="12500-015"/>
    <s v="Electric guitar production item #015"/>
    <s v="UNIQUE"/>
    <n v="78"/>
    <n v="49"/>
    <n v="9261"/>
    <n v="3822"/>
    <n v="453789"/>
  </r>
  <r>
    <x v="0"/>
    <x v="8"/>
    <x v="1"/>
    <n v="1"/>
    <n v="25"/>
    <s v="00"/>
    <s v="016"/>
    <s v="12500-016"/>
    <s v="Electric guitar production item #016"/>
    <s v="UNIQUE"/>
    <n v="0"/>
    <n v="2"/>
    <n v="841"/>
    <n v="0"/>
    <n v="1682"/>
  </r>
  <r>
    <x v="0"/>
    <x v="8"/>
    <x v="1"/>
    <n v="1"/>
    <n v="25"/>
    <s v="00"/>
    <s v="017"/>
    <s v="12500-017"/>
    <s v="Electric guitar production item #017"/>
    <s v="UNIQUE"/>
    <n v="0"/>
    <n v="1000"/>
    <n v="125"/>
    <n v="0"/>
    <n v="125000"/>
  </r>
  <r>
    <x v="0"/>
    <x v="8"/>
    <x v="1"/>
    <n v="1"/>
    <n v="25"/>
    <s v="00"/>
    <s v="018"/>
    <s v="12500-018"/>
    <s v="Electric guitar production item #018"/>
    <s v="UNIQUE"/>
    <n v="0"/>
    <n v="1000"/>
    <n v="4"/>
    <n v="0"/>
    <n v="4000"/>
  </r>
  <r>
    <x v="0"/>
    <x v="8"/>
    <x v="1"/>
    <n v="1"/>
    <n v="25"/>
    <s v="00"/>
    <s v="019"/>
    <s v="12500-019"/>
    <s v="Electric guitar production item #019"/>
    <s v="UNIQUE"/>
    <n v="578"/>
    <n v="512"/>
    <n v="10"/>
    <n v="295936"/>
    <n v="5120"/>
  </r>
  <r>
    <x v="0"/>
    <x v="8"/>
    <x v="1"/>
    <n v="1"/>
    <n v="25"/>
    <s v="00"/>
    <s v="020"/>
    <s v="12500-020"/>
    <s v="Electric guitar production item #020"/>
    <s v="UNIQUE"/>
    <n v="0"/>
    <n v="7"/>
    <n v="26"/>
    <n v="0"/>
    <n v="182"/>
  </r>
  <r>
    <x v="0"/>
    <x v="8"/>
    <x v="1"/>
    <n v="1"/>
    <n v="25"/>
    <s v="00"/>
    <s v="021"/>
    <s v="12500-021"/>
    <s v="Electric guitar production item #021"/>
    <s v="UNIQUE"/>
    <n v="0"/>
    <n v="512"/>
    <n v="324"/>
    <n v="0"/>
    <n v="165888"/>
  </r>
  <r>
    <x v="0"/>
    <x v="8"/>
    <x v="1"/>
    <n v="1"/>
    <n v="25"/>
    <s v="00"/>
    <s v="022"/>
    <s v="12500-022"/>
    <s v="Electric guitar production item #022"/>
    <s v="UNIQUE"/>
    <n v="0"/>
    <n v="16"/>
    <n v="1728"/>
    <n v="0"/>
    <n v="27648"/>
  </r>
  <r>
    <x v="0"/>
    <x v="8"/>
    <x v="1"/>
    <n v="1"/>
    <n v="25"/>
    <s v="00"/>
    <s v="023"/>
    <s v="12500-023"/>
    <s v="Electric guitar production item #023"/>
    <s v="UNIQUE"/>
    <n v="0"/>
    <n v="1000"/>
    <n v="121"/>
    <n v="0"/>
    <n v="121000"/>
  </r>
  <r>
    <x v="0"/>
    <x v="8"/>
    <x v="1"/>
    <n v="1"/>
    <n v="25"/>
    <s v="00"/>
    <s v="024"/>
    <s v="12500-024"/>
    <s v="Electric guitar production item #024"/>
    <s v="UNIQUE"/>
    <n v="0"/>
    <n v="9"/>
    <n v="900"/>
    <n v="0"/>
    <n v="8100"/>
  </r>
  <r>
    <x v="0"/>
    <x v="8"/>
    <x v="1"/>
    <n v="1"/>
    <n v="25"/>
    <s v="00"/>
    <s v="025"/>
    <s v="12500-025"/>
    <s v="Electric guitar production item #025"/>
    <s v="UNIQUE"/>
    <n v="0"/>
    <n v="81"/>
    <n v="17576"/>
    <n v="0"/>
    <n v="1423656"/>
  </r>
  <r>
    <x v="0"/>
    <x v="8"/>
    <x v="1"/>
    <n v="1"/>
    <n v="25"/>
    <s v="00"/>
    <s v="026"/>
    <s v="12500-026"/>
    <s v="Electric guitar production item #026"/>
    <s v="UNIQUE"/>
    <n v="17"/>
    <n v="10"/>
    <n v="900"/>
    <n v="170"/>
    <n v="9000"/>
  </r>
  <r>
    <x v="0"/>
    <x v="8"/>
    <x v="1"/>
    <n v="1"/>
    <n v="25"/>
    <s v="00"/>
    <s v="027"/>
    <s v="12500-027"/>
    <s v="Electric guitar production item #027"/>
    <s v="UNIQUE"/>
    <n v="0"/>
    <n v="343"/>
    <n v="1"/>
    <n v="0"/>
    <n v="343"/>
  </r>
  <r>
    <x v="0"/>
    <x v="8"/>
    <x v="1"/>
    <n v="1"/>
    <n v="25"/>
    <s v="00"/>
    <s v="028"/>
    <s v="12500-028"/>
    <s v="Electric guitar production item #028"/>
    <s v="UNIQUE"/>
    <n v="0"/>
    <n v="343"/>
    <n v="729"/>
    <n v="0"/>
    <n v="250047"/>
  </r>
  <r>
    <x v="0"/>
    <x v="8"/>
    <x v="1"/>
    <n v="1"/>
    <n v="25"/>
    <s v="00"/>
    <s v="029"/>
    <s v="12500-029"/>
    <s v="Electric guitar production item #029"/>
    <s v="UNIQUE"/>
    <n v="5309"/>
    <n v="1"/>
    <n v="30"/>
    <n v="5309"/>
    <n v="30"/>
  </r>
  <r>
    <x v="0"/>
    <x v="8"/>
    <x v="1"/>
    <n v="1"/>
    <n v="25"/>
    <s v="00"/>
    <s v="030"/>
    <s v="12500-030"/>
    <s v="Electric guitar production item #030"/>
    <s v="UNIQUE"/>
    <n v="90"/>
    <n v="125"/>
    <n v="8"/>
    <n v="11250"/>
    <n v="1000"/>
  </r>
  <r>
    <x v="0"/>
    <x v="8"/>
    <x v="1"/>
    <n v="1"/>
    <n v="25"/>
    <s v="00"/>
    <s v="031"/>
    <s v="12500-031"/>
    <s v="Electric guitar production item #031"/>
    <s v="UNIQUE"/>
    <n v="0"/>
    <n v="4"/>
    <n v="5832"/>
    <n v="0"/>
    <n v="23328"/>
  </r>
  <r>
    <x v="0"/>
    <x v="8"/>
    <x v="1"/>
    <n v="1"/>
    <n v="25"/>
    <s v="00"/>
    <s v="032"/>
    <s v="12500-032"/>
    <s v="Electric guitar production item #032"/>
    <s v="UNIQUE"/>
    <n v="0"/>
    <n v="3"/>
    <n v="5832"/>
    <n v="0"/>
    <n v="17496"/>
  </r>
  <r>
    <x v="0"/>
    <x v="8"/>
    <x v="1"/>
    <n v="1"/>
    <n v="25"/>
    <s v="00"/>
    <s v="033"/>
    <s v="12500-033"/>
    <s v="Electric guitar production item #033"/>
    <s v="UNIQUE"/>
    <n v="9813"/>
    <n v="125"/>
    <n v="64"/>
    <n v="1226625"/>
    <n v="8000"/>
  </r>
  <r>
    <x v="0"/>
    <x v="8"/>
    <x v="1"/>
    <n v="1"/>
    <n v="25"/>
    <s v="00"/>
    <s v="034"/>
    <s v="12500-034"/>
    <s v="Electric guitar production item #034"/>
    <s v="UNIQUE"/>
    <n v="0"/>
    <n v="9"/>
    <n v="324"/>
    <n v="0"/>
    <n v="2916"/>
  </r>
  <r>
    <x v="0"/>
    <x v="8"/>
    <x v="1"/>
    <n v="1"/>
    <n v="25"/>
    <s v="00"/>
    <s v="035"/>
    <s v="12500-035"/>
    <s v="Electric guitar production item #035"/>
    <s v="UNIQUE"/>
    <n v="168"/>
    <n v="1"/>
    <n v="27000"/>
    <n v="168"/>
    <n v="27000"/>
  </r>
  <r>
    <x v="0"/>
    <x v="8"/>
    <x v="1"/>
    <n v="1"/>
    <n v="25"/>
    <s v="00"/>
    <s v="036"/>
    <s v="12500-036"/>
    <s v="Electric guitar production item #036"/>
    <s v="UNIQUE"/>
    <n v="0"/>
    <n v="8"/>
    <n v="25"/>
    <n v="0"/>
    <n v="200"/>
  </r>
  <r>
    <x v="0"/>
    <x v="8"/>
    <x v="1"/>
    <n v="1"/>
    <n v="25"/>
    <s v="00"/>
    <s v="037"/>
    <s v="12500-037"/>
    <s v="Electric guitar production item #037"/>
    <s v="UNIQUE"/>
    <n v="0"/>
    <n v="81"/>
    <n v="24"/>
    <n v="0"/>
    <n v="1944"/>
  </r>
  <r>
    <x v="0"/>
    <x v="8"/>
    <x v="1"/>
    <n v="1"/>
    <n v="25"/>
    <s v="00"/>
    <s v="038"/>
    <s v="12500-038"/>
    <s v="Electric guitar production item #038"/>
    <s v="UNIQUE"/>
    <n v="0"/>
    <n v="8"/>
    <n v="0"/>
    <n v="0"/>
    <n v="0"/>
  </r>
  <r>
    <x v="0"/>
    <x v="8"/>
    <x v="1"/>
    <n v="1"/>
    <n v="25"/>
    <s v="00"/>
    <s v="039"/>
    <s v="12500-039"/>
    <s v="Electric guitar production item #039"/>
    <s v="UNIQUE"/>
    <n v="6110"/>
    <n v="216"/>
    <n v="100"/>
    <n v="1319760"/>
    <n v="21600"/>
  </r>
  <r>
    <x v="0"/>
    <x v="8"/>
    <x v="1"/>
    <n v="1"/>
    <n v="25"/>
    <s v="00"/>
    <s v="040"/>
    <s v="12500-040"/>
    <s v="Electric guitar production item #040"/>
    <s v="UNIQUE"/>
    <n v="0"/>
    <n v="100"/>
    <n v="81"/>
    <n v="0"/>
    <n v="8100"/>
  </r>
  <r>
    <x v="0"/>
    <x v="8"/>
    <x v="1"/>
    <n v="1"/>
    <n v="25"/>
    <s v="00"/>
    <s v="041"/>
    <s v="12500-041"/>
    <s v="Electric guitar production item #041"/>
    <s v="UNIQUE"/>
    <n v="69"/>
    <n v="9"/>
    <n v="784"/>
    <n v="621"/>
    <n v="7056"/>
  </r>
  <r>
    <x v="0"/>
    <x v="8"/>
    <x v="1"/>
    <n v="1"/>
    <n v="25"/>
    <s v="00"/>
    <s v="042"/>
    <s v="12500-042"/>
    <s v="Electric guitar production item #042"/>
    <s v="UNIQUE"/>
    <n v="3508"/>
    <n v="1"/>
    <n v="125"/>
    <n v="3508"/>
    <n v="125"/>
  </r>
  <r>
    <x v="0"/>
    <x v="8"/>
    <x v="1"/>
    <n v="1"/>
    <n v="25"/>
    <s v="00"/>
    <s v="043"/>
    <s v="12500-043"/>
    <s v="Electric guitar production item #043"/>
    <s v="UNIQUE"/>
    <n v="35"/>
    <n v="100"/>
    <n v="36"/>
    <n v="3500"/>
    <n v="3600"/>
  </r>
  <r>
    <x v="0"/>
    <x v="8"/>
    <x v="1"/>
    <n v="1"/>
    <n v="25"/>
    <s v="00"/>
    <s v="044"/>
    <s v="12500-044"/>
    <s v="Electric guitar production item #044"/>
    <s v="UNIQUE"/>
    <n v="8423"/>
    <n v="64"/>
    <n v="49"/>
    <n v="539072"/>
    <n v="3136"/>
  </r>
  <r>
    <x v="0"/>
    <x v="8"/>
    <x v="1"/>
    <n v="1"/>
    <n v="25"/>
    <s v="00"/>
    <s v="045"/>
    <s v="12500-045"/>
    <s v="Electric guitar production item #045"/>
    <s v="UNIQUE"/>
    <n v="1"/>
    <n v="49"/>
    <n v="5832"/>
    <n v="49"/>
    <n v="285768"/>
  </r>
  <r>
    <x v="0"/>
    <x v="8"/>
    <x v="1"/>
    <n v="1"/>
    <n v="25"/>
    <s v="00"/>
    <s v="046"/>
    <s v="12500-046"/>
    <s v="Electric guitar production item #046"/>
    <s v="UNIQUE"/>
    <n v="825"/>
    <n v="1"/>
    <n v="1728"/>
    <n v="825"/>
    <n v="1728"/>
  </r>
  <r>
    <x v="0"/>
    <x v="8"/>
    <x v="1"/>
    <n v="1"/>
    <n v="25"/>
    <s v="00"/>
    <s v="047"/>
    <s v="12500-047"/>
    <s v="Electric guitar production item #047"/>
    <s v="UNIQUE"/>
    <n v="0"/>
    <n v="4"/>
    <n v="8000"/>
    <n v="0"/>
    <n v="32000"/>
  </r>
  <r>
    <x v="0"/>
    <x v="8"/>
    <x v="1"/>
    <n v="1"/>
    <n v="25"/>
    <s v="00"/>
    <s v="048"/>
    <s v="12500-048"/>
    <s v="Electric guitar production item #048"/>
    <s v="UNIQUE"/>
    <n v="4170"/>
    <n v="64"/>
    <n v="4096"/>
    <n v="266880"/>
    <n v="262144"/>
  </r>
  <r>
    <x v="0"/>
    <x v="8"/>
    <x v="1"/>
    <n v="1"/>
    <n v="25"/>
    <s v="00"/>
    <s v="049"/>
    <s v="12500-049"/>
    <s v="Electric guitar production item #049"/>
    <s v="UNIQUE"/>
    <n v="0"/>
    <n v="1"/>
    <n v="1000"/>
    <n v="0"/>
    <n v="1000"/>
  </r>
  <r>
    <x v="0"/>
    <x v="8"/>
    <x v="1"/>
    <n v="1"/>
    <n v="25"/>
    <s v="00"/>
    <s v="050"/>
    <s v="12500-050"/>
    <s v="Electric guitar production item #050"/>
    <s v="UNIQUE"/>
    <n v="0"/>
    <n v="729"/>
    <n v="784"/>
    <n v="0"/>
    <n v="571536"/>
  </r>
  <r>
    <x v="0"/>
    <x v="8"/>
    <x v="1"/>
    <n v="1"/>
    <n v="25"/>
    <s v="00"/>
    <s v="051"/>
    <s v="12500-051"/>
    <s v="Electric guitar production item #051"/>
    <s v="UNIQUE"/>
    <n v="0"/>
    <n v="6"/>
    <n v="576"/>
    <n v="0"/>
    <n v="3456"/>
  </r>
  <r>
    <x v="0"/>
    <x v="8"/>
    <x v="1"/>
    <n v="1"/>
    <n v="25"/>
    <s v="00"/>
    <s v="052"/>
    <s v="12500-052"/>
    <s v="Electric guitar production item #052"/>
    <s v="UNIQUE"/>
    <n v="8"/>
    <n v="9"/>
    <n v="27"/>
    <n v="72"/>
    <n v="243"/>
  </r>
  <r>
    <x v="0"/>
    <x v="8"/>
    <x v="1"/>
    <n v="1"/>
    <n v="25"/>
    <s v="00"/>
    <s v="053"/>
    <s v="12500-053"/>
    <s v="Electric guitar production item #053"/>
    <s v="UNIQUE"/>
    <n v="314"/>
    <n v="10"/>
    <n v="729"/>
    <n v="3140"/>
    <n v="7290"/>
  </r>
  <r>
    <x v="0"/>
    <x v="8"/>
    <x v="1"/>
    <n v="1"/>
    <n v="25"/>
    <s v="00"/>
    <s v="054"/>
    <s v="12500-054"/>
    <s v="Electric guitar production item #054"/>
    <s v="UNIQUE"/>
    <n v="19"/>
    <n v="1"/>
    <n v="16"/>
    <n v="19"/>
    <n v="16"/>
  </r>
  <r>
    <x v="0"/>
    <x v="8"/>
    <x v="1"/>
    <n v="1"/>
    <n v="25"/>
    <s v="00"/>
    <s v="055"/>
    <s v="12500-055"/>
    <s v="Electric guitar production item #055"/>
    <s v="UNIQUE"/>
    <n v="70"/>
    <n v="343"/>
    <n v="8000"/>
    <n v="24010"/>
    <n v="2744000"/>
  </r>
  <r>
    <x v="0"/>
    <x v="8"/>
    <x v="1"/>
    <n v="1"/>
    <n v="25"/>
    <s v="00"/>
    <s v="056"/>
    <s v="12500-056"/>
    <s v="Electric guitar production item #056"/>
    <s v="UNIQUE"/>
    <n v="49"/>
    <n v="1"/>
    <n v="64"/>
    <n v="49"/>
    <n v="64"/>
  </r>
  <r>
    <x v="0"/>
    <x v="8"/>
    <x v="1"/>
    <n v="1"/>
    <n v="25"/>
    <s v="00"/>
    <s v="057"/>
    <s v="12500-057"/>
    <s v="Electric guitar production item #057"/>
    <s v="UNIQUE"/>
    <n v="0"/>
    <n v="8"/>
    <n v="625"/>
    <n v="0"/>
    <n v="5000"/>
  </r>
  <r>
    <x v="0"/>
    <x v="8"/>
    <x v="1"/>
    <n v="1"/>
    <n v="25"/>
    <s v="00"/>
    <s v="058"/>
    <s v="12500-058"/>
    <s v="Electric guitar production item #058"/>
    <s v="UNIQUE"/>
    <n v="0"/>
    <n v="10"/>
    <n v="10"/>
    <n v="0"/>
    <n v="100"/>
  </r>
  <r>
    <x v="0"/>
    <x v="8"/>
    <x v="1"/>
    <n v="1"/>
    <n v="25"/>
    <s v="00"/>
    <s v="059"/>
    <s v="12500-059"/>
    <s v="Electric guitar production item #059"/>
    <s v="UNIQUE"/>
    <n v="32"/>
    <n v="1"/>
    <n v="121"/>
    <n v="32"/>
    <n v="121"/>
  </r>
  <r>
    <x v="0"/>
    <x v="8"/>
    <x v="1"/>
    <n v="1"/>
    <n v="25"/>
    <s v="00"/>
    <s v="060"/>
    <s v="12500-060"/>
    <s v="Electric guitar production item #060"/>
    <s v="UNIQUE"/>
    <n v="0"/>
    <n v="9"/>
    <n v="0"/>
    <n v="0"/>
    <n v="0"/>
  </r>
  <r>
    <x v="0"/>
    <x v="8"/>
    <x v="1"/>
    <n v="1"/>
    <n v="25"/>
    <s v="00"/>
    <s v="061"/>
    <s v="12500-061"/>
    <s v="Electric guitar production item #061"/>
    <s v="UNIQUE"/>
    <n v="25"/>
    <n v="1000"/>
    <n v="576"/>
    <n v="25000"/>
    <n v="576000"/>
  </r>
  <r>
    <x v="0"/>
    <x v="8"/>
    <x v="1"/>
    <n v="1"/>
    <n v="25"/>
    <s v="00"/>
    <s v="062"/>
    <s v="12500-062"/>
    <s v="Electric guitar production item #062"/>
    <s v="UNIQUE"/>
    <n v="0"/>
    <n v="3"/>
    <n v="169"/>
    <n v="0"/>
    <n v="507"/>
  </r>
  <r>
    <x v="0"/>
    <x v="8"/>
    <x v="1"/>
    <n v="1"/>
    <n v="25"/>
    <s v="00"/>
    <s v="063"/>
    <s v="12500-063"/>
    <s v="Electric guitar production item #063"/>
    <s v="UNIQUE"/>
    <n v="472"/>
    <n v="1"/>
    <n v="784"/>
    <n v="472"/>
    <n v="784"/>
  </r>
  <r>
    <x v="0"/>
    <x v="8"/>
    <x v="1"/>
    <n v="1"/>
    <n v="25"/>
    <s v="00"/>
    <s v="064"/>
    <s v="12500-064"/>
    <s v="Electric guitar production item #064"/>
    <s v="UNIQUE"/>
    <n v="3119"/>
    <n v="512"/>
    <n v="25"/>
    <n v="1596928"/>
    <n v="12800"/>
  </r>
  <r>
    <x v="0"/>
    <x v="8"/>
    <x v="1"/>
    <n v="1"/>
    <n v="25"/>
    <s v="00"/>
    <s v="065"/>
    <s v="12500-065"/>
    <s v="Electric guitar production item #065"/>
    <s v="UNIQUE"/>
    <n v="0"/>
    <n v="9"/>
    <n v="26"/>
    <n v="0"/>
    <n v="234"/>
  </r>
  <r>
    <x v="0"/>
    <x v="8"/>
    <x v="1"/>
    <n v="1"/>
    <n v="25"/>
    <s v="00"/>
    <s v="066"/>
    <s v="12500-066"/>
    <s v="Electric guitar production item #066"/>
    <s v="UNIQUE"/>
    <n v="0"/>
    <n v="1"/>
    <n v="1331"/>
    <n v="0"/>
    <n v="1331"/>
  </r>
  <r>
    <x v="0"/>
    <x v="8"/>
    <x v="1"/>
    <n v="1"/>
    <n v="25"/>
    <s v="00"/>
    <s v="067"/>
    <s v="12500-067"/>
    <s v="Electric guitar production item #067"/>
    <s v="UNIQUE"/>
    <n v="0"/>
    <n v="100"/>
    <n v="27"/>
    <n v="0"/>
    <n v="2700"/>
  </r>
  <r>
    <x v="0"/>
    <x v="8"/>
    <x v="1"/>
    <n v="1"/>
    <n v="25"/>
    <s v="00"/>
    <s v="068"/>
    <s v="12500-068"/>
    <s v="Electric guitar production item #068"/>
    <s v="UNIQUE"/>
    <n v="1"/>
    <n v="16"/>
    <n v="0"/>
    <n v="16"/>
    <n v="0"/>
  </r>
  <r>
    <x v="0"/>
    <x v="8"/>
    <x v="1"/>
    <n v="1"/>
    <n v="25"/>
    <s v="00"/>
    <s v="069"/>
    <s v="12500-069"/>
    <s v="Electric guitar production item #069"/>
    <s v="UNIQUE"/>
    <n v="1"/>
    <n v="1000"/>
    <n v="900"/>
    <n v="1000"/>
    <n v="900000"/>
  </r>
  <r>
    <x v="0"/>
    <x v="8"/>
    <x v="1"/>
    <n v="1"/>
    <n v="25"/>
    <s v="00"/>
    <s v="070"/>
    <s v="12500-070"/>
    <s v="Electric guitar production item #070"/>
    <s v="UNIQUE"/>
    <n v="0"/>
    <n v="1"/>
    <n v="1331"/>
    <n v="0"/>
    <n v="1331"/>
  </r>
  <r>
    <x v="0"/>
    <x v="8"/>
    <x v="1"/>
    <n v="1"/>
    <n v="25"/>
    <s v="00"/>
    <s v="071"/>
    <s v="12500-071"/>
    <s v="Electric guitar production item #071"/>
    <s v="UNIQUE"/>
    <n v="3623"/>
    <n v="16"/>
    <n v="21952"/>
    <n v="57968"/>
    <n v="351232"/>
  </r>
  <r>
    <x v="0"/>
    <x v="8"/>
    <x v="1"/>
    <n v="1"/>
    <n v="25"/>
    <s v="00"/>
    <s v="072"/>
    <s v="12500-072"/>
    <s v="Electric guitar production item #072"/>
    <s v="UNIQUE"/>
    <n v="0"/>
    <n v="1"/>
    <n v="64"/>
    <n v="0"/>
    <n v="64"/>
  </r>
  <r>
    <x v="0"/>
    <x v="8"/>
    <x v="1"/>
    <n v="1"/>
    <n v="25"/>
    <s v="00"/>
    <s v="073"/>
    <s v="12500-073"/>
    <s v="Electric guitar production item #073"/>
    <s v="UNIQUE"/>
    <n v="0"/>
    <n v="729"/>
    <n v="8"/>
    <n v="0"/>
    <n v="5832"/>
  </r>
  <r>
    <x v="0"/>
    <x v="8"/>
    <x v="1"/>
    <n v="1"/>
    <n v="25"/>
    <s v="00"/>
    <s v="074"/>
    <s v="12500-074"/>
    <s v="Electric guitar production item #074"/>
    <s v="UNIQUE"/>
    <n v="82"/>
    <n v="3"/>
    <n v="19683"/>
    <n v="246"/>
    <n v="59049"/>
  </r>
  <r>
    <x v="0"/>
    <x v="8"/>
    <x v="1"/>
    <n v="1"/>
    <n v="25"/>
    <s v="00"/>
    <s v="075"/>
    <s v="12500-075"/>
    <s v="Electric guitar production item #075"/>
    <s v="UNIQUE"/>
    <n v="0"/>
    <n v="512"/>
    <n v="225"/>
    <n v="0"/>
    <n v="115200"/>
  </r>
  <r>
    <x v="0"/>
    <x v="8"/>
    <x v="1"/>
    <n v="1"/>
    <n v="25"/>
    <s v="00"/>
    <s v="076"/>
    <s v="12500-076"/>
    <s v="Electric guitar production item #076"/>
    <s v="UNIQUE"/>
    <n v="5573"/>
    <n v="27"/>
    <n v="27000"/>
    <n v="150471"/>
    <n v="729000"/>
  </r>
  <r>
    <x v="0"/>
    <x v="8"/>
    <x v="1"/>
    <n v="1"/>
    <n v="25"/>
    <s v="00"/>
    <s v="077"/>
    <s v="12500-077"/>
    <s v="Electric guitar production item #077"/>
    <s v="UNIQUE"/>
    <n v="0"/>
    <n v="5"/>
    <n v="1728"/>
    <n v="0"/>
    <n v="8640"/>
  </r>
  <r>
    <x v="0"/>
    <x v="8"/>
    <x v="1"/>
    <n v="1"/>
    <n v="25"/>
    <s v="00"/>
    <s v="078"/>
    <s v="12500-078"/>
    <s v="Electric guitar production item #078"/>
    <s v="UNIQUE"/>
    <n v="0"/>
    <n v="10"/>
    <n v="196"/>
    <n v="0"/>
    <n v="1960"/>
  </r>
  <r>
    <x v="0"/>
    <x v="8"/>
    <x v="1"/>
    <n v="1"/>
    <n v="25"/>
    <s v="00"/>
    <s v="079"/>
    <s v="12500-079"/>
    <s v="Electric guitar production item #079"/>
    <s v="UNIQUE"/>
    <n v="3"/>
    <n v="16"/>
    <n v="10"/>
    <n v="48"/>
    <n v="160"/>
  </r>
  <r>
    <x v="0"/>
    <x v="8"/>
    <x v="1"/>
    <n v="1"/>
    <n v="25"/>
    <s v="00"/>
    <s v="080"/>
    <s v="12500-080"/>
    <s v="Electric guitar production item #080"/>
    <s v="UNIQUE"/>
    <n v="1"/>
    <n v="7"/>
    <n v="36"/>
    <n v="7"/>
    <n v="252"/>
  </r>
  <r>
    <x v="0"/>
    <x v="8"/>
    <x v="1"/>
    <n v="1"/>
    <n v="25"/>
    <s v="00"/>
    <s v="081"/>
    <s v="12500-081"/>
    <s v="Electric guitar production item #081"/>
    <s v="UNIQUE"/>
    <n v="767"/>
    <n v="343"/>
    <n v="19"/>
    <n v="263081"/>
    <n v="6517"/>
  </r>
  <r>
    <x v="0"/>
    <x v="8"/>
    <x v="1"/>
    <n v="1"/>
    <n v="25"/>
    <s v="00"/>
    <s v="082"/>
    <s v="12500-082"/>
    <s v="Electric guitar production item #082"/>
    <s v="UNIQUE"/>
    <n v="0"/>
    <n v="343"/>
    <n v="24389"/>
    <n v="0"/>
    <n v="8365427"/>
  </r>
  <r>
    <x v="0"/>
    <x v="8"/>
    <x v="1"/>
    <n v="1"/>
    <n v="25"/>
    <s v="00"/>
    <s v="083"/>
    <s v="12500-083"/>
    <s v="Electric guitar production item #083"/>
    <s v="UNIQUE"/>
    <n v="0"/>
    <n v="9"/>
    <n v="36"/>
    <n v="0"/>
    <n v="324"/>
  </r>
  <r>
    <x v="0"/>
    <x v="8"/>
    <x v="1"/>
    <n v="1"/>
    <n v="25"/>
    <s v="00"/>
    <s v="084"/>
    <s v="12500-084"/>
    <s v="Electric guitar production item #084"/>
    <s v="UNIQUE"/>
    <n v="0"/>
    <n v="512"/>
    <n v="1331"/>
    <n v="0"/>
    <n v="681472"/>
  </r>
  <r>
    <x v="0"/>
    <x v="8"/>
    <x v="1"/>
    <n v="1"/>
    <n v="25"/>
    <s v="00"/>
    <s v="085"/>
    <s v="12500-085"/>
    <s v="Electric guitar production item #085"/>
    <s v="UNIQUE"/>
    <n v="0"/>
    <n v="125"/>
    <n v="400"/>
    <n v="0"/>
    <n v="50000"/>
  </r>
  <r>
    <x v="0"/>
    <x v="8"/>
    <x v="1"/>
    <n v="1"/>
    <n v="25"/>
    <s v="00"/>
    <s v="086"/>
    <s v="12500-086"/>
    <s v="Electric guitar production item #086"/>
    <s v="UNIQUE"/>
    <n v="0"/>
    <n v="125"/>
    <n v="15"/>
    <n v="0"/>
    <n v="1875"/>
  </r>
  <r>
    <x v="0"/>
    <x v="8"/>
    <x v="1"/>
    <n v="1"/>
    <n v="25"/>
    <s v="00"/>
    <s v="087"/>
    <s v="12500-087"/>
    <s v="Electric guitar production item #087"/>
    <s v="UNIQUE"/>
    <n v="0"/>
    <n v="64"/>
    <n v="21952"/>
    <n v="0"/>
    <n v="1404928"/>
  </r>
  <r>
    <x v="0"/>
    <x v="8"/>
    <x v="1"/>
    <n v="1"/>
    <n v="25"/>
    <s v="00"/>
    <s v="088"/>
    <s v="12500-088"/>
    <s v="Electric guitar production item #088"/>
    <s v="UNIQUE"/>
    <n v="0"/>
    <n v="36"/>
    <n v="36"/>
    <n v="0"/>
    <n v="1296"/>
  </r>
  <r>
    <x v="0"/>
    <x v="8"/>
    <x v="1"/>
    <n v="1"/>
    <n v="25"/>
    <s v="00"/>
    <s v="089"/>
    <s v="12500-089"/>
    <s v="Electric guitar production item #089"/>
    <s v="UNIQUE"/>
    <n v="0"/>
    <n v="2"/>
    <n v="24"/>
    <n v="0"/>
    <n v="48"/>
  </r>
  <r>
    <x v="0"/>
    <x v="8"/>
    <x v="1"/>
    <n v="1"/>
    <n v="25"/>
    <s v="00"/>
    <s v="090"/>
    <s v="12500-090"/>
    <s v="Electric guitar production item #090"/>
    <s v="UNIQUE"/>
    <n v="0"/>
    <n v="512"/>
    <n v="7"/>
    <n v="0"/>
    <n v="3584"/>
  </r>
  <r>
    <x v="0"/>
    <x v="8"/>
    <x v="1"/>
    <n v="1"/>
    <n v="25"/>
    <s v="00"/>
    <s v="091"/>
    <s v="12500-091"/>
    <s v="Electric guitar production item #091"/>
    <s v="UNIQUE"/>
    <n v="0"/>
    <n v="1"/>
    <n v="6859"/>
    <n v="0"/>
    <n v="6859"/>
  </r>
  <r>
    <x v="0"/>
    <x v="8"/>
    <x v="1"/>
    <n v="1"/>
    <n v="25"/>
    <s v="00"/>
    <s v="092"/>
    <s v="12500-092"/>
    <s v="Electric guitar production item #092"/>
    <s v="UNIQUE"/>
    <n v="0"/>
    <n v="8"/>
    <n v="21"/>
    <n v="0"/>
    <n v="168"/>
  </r>
  <r>
    <x v="0"/>
    <x v="8"/>
    <x v="1"/>
    <n v="1"/>
    <n v="25"/>
    <s v="00"/>
    <s v="093"/>
    <s v="12500-093"/>
    <s v="Electric guitar production item #093"/>
    <s v="UNIQUE"/>
    <n v="6"/>
    <n v="9"/>
    <n v="5832"/>
    <n v="54"/>
    <n v="52488"/>
  </r>
  <r>
    <x v="0"/>
    <x v="8"/>
    <x v="1"/>
    <n v="1"/>
    <n v="25"/>
    <s v="00"/>
    <s v="094"/>
    <s v="12500-094"/>
    <s v="Electric guitar production item #094"/>
    <s v="UNIQUE"/>
    <n v="949"/>
    <n v="1"/>
    <n v="3"/>
    <n v="949"/>
    <n v="3"/>
  </r>
  <r>
    <x v="0"/>
    <x v="8"/>
    <x v="1"/>
    <n v="1"/>
    <n v="25"/>
    <s v="00"/>
    <s v="095"/>
    <s v="12500-095"/>
    <s v="Electric guitar production item #095"/>
    <s v="UNIQUE"/>
    <n v="659"/>
    <n v="9"/>
    <n v="3375"/>
    <n v="5931"/>
    <n v="30375"/>
  </r>
  <r>
    <x v="0"/>
    <x v="8"/>
    <x v="1"/>
    <n v="1"/>
    <n v="25"/>
    <s v="00"/>
    <s v="096"/>
    <s v="12500-096"/>
    <s v="Electric guitar production item #096"/>
    <s v="UNIQUE"/>
    <n v="29"/>
    <n v="9"/>
    <n v="16"/>
    <n v="261"/>
    <n v="144"/>
  </r>
  <r>
    <x v="0"/>
    <x v="8"/>
    <x v="1"/>
    <n v="1"/>
    <n v="25"/>
    <s v="00"/>
    <s v="097"/>
    <s v="12500-097"/>
    <s v="Electric guitar production item #097"/>
    <s v="UNIQUE"/>
    <n v="0"/>
    <n v="1000"/>
    <n v="81"/>
    <n v="0"/>
    <n v="81000"/>
  </r>
  <r>
    <x v="0"/>
    <x v="8"/>
    <x v="1"/>
    <n v="1"/>
    <n v="25"/>
    <s v="00"/>
    <s v="098"/>
    <s v="12500-098"/>
    <s v="Electric guitar production item #098"/>
    <s v="UNIQUE"/>
    <n v="73"/>
    <n v="343"/>
    <n v="27"/>
    <n v="25039"/>
    <n v="9261"/>
  </r>
  <r>
    <x v="0"/>
    <x v="8"/>
    <x v="1"/>
    <n v="1"/>
    <n v="25"/>
    <s v="00"/>
    <s v="099"/>
    <s v="12500-099"/>
    <s v="Electric guitar production item #099"/>
    <s v="UNIQUE"/>
    <n v="8"/>
    <n v="1"/>
    <n v="19683"/>
    <n v="8"/>
    <n v="19683"/>
  </r>
  <r>
    <x v="0"/>
    <x v="8"/>
    <x v="1"/>
    <n v="1"/>
    <n v="25"/>
    <s v="00"/>
    <s v="100"/>
    <s v="12500-100"/>
    <s v="Electric guitar production item #100"/>
    <s v="UNIQUE"/>
    <n v="62"/>
    <n v="1"/>
    <n v="23"/>
    <n v="62"/>
    <n v="23"/>
  </r>
  <r>
    <x v="0"/>
    <x v="8"/>
    <x v="1"/>
    <n v="1"/>
    <n v="25"/>
    <s v="00"/>
    <s v="101"/>
    <s v="12500-101"/>
    <s v="Electric guitar production item #101"/>
    <s v="UNIQUE"/>
    <n v="165"/>
    <n v="2"/>
    <n v="16"/>
    <n v="330"/>
    <n v="32"/>
  </r>
  <r>
    <x v="0"/>
    <x v="8"/>
    <x v="1"/>
    <n v="1"/>
    <n v="25"/>
    <s v="00"/>
    <s v="102"/>
    <s v="12500-102"/>
    <s v="Electric guitar production item #102"/>
    <s v="UNIQUE"/>
    <n v="0"/>
    <n v="6"/>
    <n v="81"/>
    <n v="0"/>
    <n v="486"/>
  </r>
  <r>
    <x v="0"/>
    <x v="8"/>
    <x v="1"/>
    <n v="1"/>
    <n v="25"/>
    <s v="00"/>
    <s v="103"/>
    <s v="12500-103"/>
    <s v="Electric guitar production item #103"/>
    <s v="UNIQUE"/>
    <n v="980"/>
    <n v="36"/>
    <n v="16"/>
    <n v="35280"/>
    <n v="576"/>
  </r>
  <r>
    <x v="0"/>
    <x v="8"/>
    <x v="1"/>
    <n v="1"/>
    <n v="25"/>
    <s v="00"/>
    <s v="104"/>
    <s v="12500-104"/>
    <s v="Electric guitar production item #104"/>
    <s v="UNIQUE"/>
    <n v="0"/>
    <n v="10"/>
    <n v="289"/>
    <n v="0"/>
    <n v="2890"/>
  </r>
  <r>
    <x v="0"/>
    <x v="8"/>
    <x v="1"/>
    <n v="1"/>
    <n v="25"/>
    <s v="00"/>
    <s v="105"/>
    <s v="12500-105"/>
    <s v="Electric guitar production item #105"/>
    <s v="UNIQUE"/>
    <n v="0"/>
    <n v="36"/>
    <n v="784"/>
    <n v="0"/>
    <n v="28224"/>
  </r>
  <r>
    <x v="0"/>
    <x v="8"/>
    <x v="1"/>
    <n v="1"/>
    <n v="25"/>
    <s v="00"/>
    <s v="106"/>
    <s v="12500-106"/>
    <s v="Electric guitar production item #106"/>
    <s v="UNIQUE"/>
    <n v="5994"/>
    <n v="64"/>
    <n v="6"/>
    <n v="383616"/>
    <n v="384"/>
  </r>
  <r>
    <x v="0"/>
    <x v="8"/>
    <x v="1"/>
    <n v="1"/>
    <n v="25"/>
    <s v="00"/>
    <s v="107"/>
    <s v="12500-107"/>
    <s v="Electric guitar production item #107"/>
    <s v="UNIQUE"/>
    <n v="0"/>
    <n v="729"/>
    <n v="400"/>
    <n v="0"/>
    <n v="291600"/>
  </r>
  <r>
    <x v="0"/>
    <x v="8"/>
    <x v="1"/>
    <n v="1"/>
    <n v="25"/>
    <s v="00"/>
    <s v="108"/>
    <s v="12500-108"/>
    <s v="Electric guitar production item #108"/>
    <s v="UNIQUE"/>
    <n v="1060"/>
    <n v="3"/>
    <n v="784"/>
    <n v="3180"/>
    <n v="2352"/>
  </r>
  <r>
    <x v="0"/>
    <x v="8"/>
    <x v="1"/>
    <n v="1"/>
    <n v="25"/>
    <s v="00"/>
    <s v="109"/>
    <s v="12500-109"/>
    <s v="Electric guitar production item #109"/>
    <s v="UNIQUE"/>
    <n v="0"/>
    <n v="9"/>
    <n v="2744"/>
    <n v="0"/>
    <n v="24696"/>
  </r>
  <r>
    <x v="0"/>
    <x v="8"/>
    <x v="1"/>
    <n v="1"/>
    <n v="25"/>
    <s v="00"/>
    <s v="110"/>
    <s v="12500-110"/>
    <s v="Electric guitar production item #110"/>
    <s v="UNIQUE"/>
    <n v="0"/>
    <n v="64"/>
    <n v="784"/>
    <n v="0"/>
    <n v="50176"/>
  </r>
  <r>
    <x v="0"/>
    <x v="8"/>
    <x v="1"/>
    <n v="1"/>
    <n v="25"/>
    <s v="00"/>
    <s v="111"/>
    <s v="12500-111"/>
    <s v="Electric guitar production item #111"/>
    <s v="UNIQUE"/>
    <n v="501"/>
    <n v="729"/>
    <n v="256"/>
    <n v="365229"/>
    <n v="186624"/>
  </r>
  <r>
    <x v="0"/>
    <x v="8"/>
    <x v="1"/>
    <n v="1"/>
    <n v="25"/>
    <s v="00"/>
    <s v="112"/>
    <s v="12500-112"/>
    <s v="Electric guitar production item #112"/>
    <s v="UNIQUE"/>
    <n v="0"/>
    <n v="216"/>
    <n v="0"/>
    <n v="0"/>
    <n v="0"/>
  </r>
  <r>
    <x v="0"/>
    <x v="8"/>
    <x v="1"/>
    <n v="1"/>
    <n v="25"/>
    <s v="00"/>
    <s v="113"/>
    <s v="12500-113"/>
    <s v="Electric guitar production item #113"/>
    <s v="UNIQUE"/>
    <n v="0"/>
    <n v="125"/>
    <n v="324"/>
    <n v="0"/>
    <n v="40500"/>
  </r>
  <r>
    <x v="0"/>
    <x v="8"/>
    <x v="1"/>
    <n v="1"/>
    <n v="25"/>
    <s v="00"/>
    <s v="114"/>
    <s v="12500-114"/>
    <s v="Electric guitar production item #114"/>
    <s v="UNIQUE"/>
    <n v="100"/>
    <n v="81"/>
    <n v="9"/>
    <n v="8100"/>
    <n v="729"/>
  </r>
  <r>
    <x v="0"/>
    <x v="8"/>
    <x v="1"/>
    <n v="1"/>
    <n v="25"/>
    <s v="00"/>
    <s v="115"/>
    <s v="12500-115"/>
    <s v="Electric guitar production item #115"/>
    <s v="UNIQUE"/>
    <n v="4180"/>
    <n v="125"/>
    <n v="16"/>
    <n v="522500"/>
    <n v="2000"/>
  </r>
  <r>
    <x v="0"/>
    <x v="8"/>
    <x v="1"/>
    <n v="1"/>
    <n v="25"/>
    <s v="00"/>
    <s v="116"/>
    <s v="12500-116"/>
    <s v="Electric guitar production item #116"/>
    <s v="UNIQUE"/>
    <n v="0"/>
    <n v="1"/>
    <n v="4"/>
    <n v="0"/>
    <n v="4"/>
  </r>
  <r>
    <x v="0"/>
    <x v="8"/>
    <x v="1"/>
    <n v="1"/>
    <n v="25"/>
    <s v="00"/>
    <s v="117"/>
    <s v="12500-117"/>
    <s v="Electric guitar production item #117"/>
    <s v="UNIQUE"/>
    <n v="0"/>
    <n v="36"/>
    <n v="16"/>
    <n v="0"/>
    <n v="576"/>
  </r>
  <r>
    <x v="0"/>
    <x v="8"/>
    <x v="1"/>
    <n v="1"/>
    <n v="25"/>
    <s v="00"/>
    <s v="118"/>
    <s v="12500-118"/>
    <s v="Electric guitar production item #118"/>
    <s v="UNIQUE"/>
    <n v="4779"/>
    <n v="64"/>
    <n v="19683"/>
    <n v="305856"/>
    <n v="1259712"/>
  </r>
  <r>
    <x v="0"/>
    <x v="8"/>
    <x v="1"/>
    <n v="1"/>
    <n v="25"/>
    <s v="00"/>
    <s v="119"/>
    <s v="12500-119"/>
    <s v="Electric guitar production item #119"/>
    <s v="UNIQUE"/>
    <n v="5202"/>
    <n v="5"/>
    <n v="17"/>
    <n v="26010"/>
    <n v="85"/>
  </r>
  <r>
    <x v="0"/>
    <x v="8"/>
    <x v="1"/>
    <n v="1"/>
    <n v="25"/>
    <s v="00"/>
    <s v="120"/>
    <s v="12500-120"/>
    <s v="Electric guitar production item #120"/>
    <s v="UNIQUE"/>
    <n v="0"/>
    <n v="10"/>
    <n v="11"/>
    <n v="0"/>
    <n v="110"/>
  </r>
  <r>
    <x v="0"/>
    <x v="8"/>
    <x v="1"/>
    <n v="1"/>
    <n v="25"/>
    <s v="00"/>
    <s v="121"/>
    <s v="12500-121"/>
    <s v="Electric guitar production item #121"/>
    <s v="UNIQUE"/>
    <n v="0"/>
    <n v="4"/>
    <n v="28"/>
    <n v="0"/>
    <n v="112"/>
  </r>
  <r>
    <x v="0"/>
    <x v="8"/>
    <x v="1"/>
    <n v="1"/>
    <n v="25"/>
    <s v="00"/>
    <s v="122"/>
    <s v="12500-122"/>
    <s v="Electric guitar production item #122"/>
    <s v="UNIQUE"/>
    <n v="81"/>
    <n v="36"/>
    <n v="343"/>
    <n v="2916"/>
    <n v="12348"/>
  </r>
  <r>
    <x v="0"/>
    <x v="8"/>
    <x v="1"/>
    <n v="1"/>
    <n v="25"/>
    <s v="00"/>
    <s v="123"/>
    <s v="12500-123"/>
    <s v="Electric guitar production item #123"/>
    <s v="UNIQUE"/>
    <n v="60"/>
    <n v="8"/>
    <n v="441"/>
    <n v="480"/>
    <n v="3528"/>
  </r>
  <r>
    <x v="0"/>
    <x v="8"/>
    <x v="1"/>
    <n v="1"/>
    <n v="25"/>
    <s v="00"/>
    <s v="124"/>
    <s v="12500-124"/>
    <s v="Electric guitar production item #124"/>
    <s v="UNIQUE"/>
    <n v="0"/>
    <n v="25"/>
    <n v="676"/>
    <n v="0"/>
    <n v="16900"/>
  </r>
  <r>
    <x v="0"/>
    <x v="8"/>
    <x v="1"/>
    <n v="1"/>
    <n v="25"/>
    <s v="00"/>
    <s v="125"/>
    <s v="12500-125"/>
    <s v="Electric guitar production item #125"/>
    <s v="UNIQUE"/>
    <n v="1"/>
    <n v="81"/>
    <n v="15"/>
    <n v="81"/>
    <n v="1215"/>
  </r>
  <r>
    <x v="0"/>
    <x v="8"/>
    <x v="1"/>
    <n v="1"/>
    <n v="25"/>
    <s v="00"/>
    <s v="126"/>
    <s v="12500-126"/>
    <s v="Electric guitar production item #126"/>
    <s v="UNIQUE"/>
    <n v="640"/>
    <n v="9"/>
    <n v="676"/>
    <n v="5760"/>
    <n v="6084"/>
  </r>
  <r>
    <x v="0"/>
    <x v="8"/>
    <x v="1"/>
    <n v="1"/>
    <n v="25"/>
    <s v="00"/>
    <s v="127"/>
    <s v="12500-127"/>
    <s v="Electric guitar production item #127"/>
    <s v="UNIQUE"/>
    <n v="9064"/>
    <n v="81"/>
    <n v="400"/>
    <n v="734184"/>
    <n v="32400"/>
  </r>
  <r>
    <x v="0"/>
    <x v="8"/>
    <x v="1"/>
    <n v="1"/>
    <n v="25"/>
    <s v="00"/>
    <s v="128"/>
    <s v="12500-128"/>
    <s v="Electric guitar production item #128"/>
    <s v="UNIQUE"/>
    <n v="1833"/>
    <n v="6"/>
    <n v="0"/>
    <n v="10998"/>
    <n v="0"/>
  </r>
  <r>
    <x v="0"/>
    <x v="8"/>
    <x v="1"/>
    <n v="1"/>
    <n v="25"/>
    <s v="00"/>
    <s v="129"/>
    <s v="12500-129"/>
    <s v="Electric guitar production item #129"/>
    <s v="UNIQUE"/>
    <n v="972"/>
    <n v="512"/>
    <n v="18"/>
    <n v="497664"/>
    <n v="9216"/>
  </r>
  <r>
    <x v="0"/>
    <x v="8"/>
    <x v="1"/>
    <n v="1"/>
    <n v="25"/>
    <s v="00"/>
    <s v="130"/>
    <s v="12500-130"/>
    <s v="Electric guitar production item #130"/>
    <s v="UNIQUE"/>
    <n v="763"/>
    <n v="1000"/>
    <n v="26"/>
    <n v="763000"/>
    <n v="26000"/>
  </r>
  <r>
    <x v="0"/>
    <x v="8"/>
    <x v="1"/>
    <n v="1"/>
    <n v="25"/>
    <s v="00"/>
    <s v="131"/>
    <s v="12500-131"/>
    <s v="Electric guitar production item #131"/>
    <s v="UNIQUE"/>
    <n v="0"/>
    <n v="1"/>
    <n v="17576"/>
    <n v="0"/>
    <n v="17576"/>
  </r>
  <r>
    <x v="0"/>
    <x v="8"/>
    <x v="1"/>
    <n v="1"/>
    <n v="25"/>
    <s v="00"/>
    <s v="132"/>
    <s v="12500-132"/>
    <s v="Electric guitar production item #132"/>
    <s v="UNIQUE"/>
    <n v="812"/>
    <n v="343"/>
    <n v="12"/>
    <n v="278516"/>
    <n v="4116"/>
  </r>
  <r>
    <x v="0"/>
    <x v="8"/>
    <x v="1"/>
    <n v="1"/>
    <n v="25"/>
    <s v="00"/>
    <s v="133"/>
    <s v="12500-133"/>
    <s v="Electric guitar production item #133"/>
    <s v="UNIQUE"/>
    <n v="0"/>
    <n v="216"/>
    <n v="343"/>
    <n v="0"/>
    <n v="74088"/>
  </r>
  <r>
    <x v="0"/>
    <x v="8"/>
    <x v="1"/>
    <n v="1"/>
    <n v="25"/>
    <s v="00"/>
    <s v="134"/>
    <s v="12500-134"/>
    <s v="Electric guitar production item #134"/>
    <s v="UNIQUE"/>
    <n v="2"/>
    <n v="100"/>
    <n v="23"/>
    <n v="200"/>
    <n v="2300"/>
  </r>
  <r>
    <x v="0"/>
    <x v="8"/>
    <x v="1"/>
    <n v="1"/>
    <n v="25"/>
    <s v="00"/>
    <s v="135"/>
    <s v="12500-135"/>
    <s v="Electric guitar production item #135"/>
    <s v="UNIQUE"/>
    <n v="0"/>
    <n v="8"/>
    <n v="14"/>
    <n v="0"/>
    <n v="112"/>
  </r>
  <r>
    <x v="0"/>
    <x v="8"/>
    <x v="1"/>
    <n v="1"/>
    <n v="25"/>
    <s v="00"/>
    <s v="136"/>
    <s v="12500-136"/>
    <s v="Electric guitar production item #136"/>
    <s v="UNIQUE"/>
    <n v="0"/>
    <n v="8"/>
    <n v="5"/>
    <n v="0"/>
    <n v="40"/>
  </r>
  <r>
    <x v="0"/>
    <x v="8"/>
    <x v="1"/>
    <n v="1"/>
    <n v="25"/>
    <s v="00"/>
    <s v="137"/>
    <s v="12500-137"/>
    <s v="Electric guitar production item #137"/>
    <s v="UNIQUE"/>
    <n v="2758"/>
    <n v="16"/>
    <n v="28"/>
    <n v="44128"/>
    <n v="448"/>
  </r>
  <r>
    <x v="0"/>
    <x v="8"/>
    <x v="1"/>
    <n v="1"/>
    <n v="25"/>
    <s v="00"/>
    <s v="138"/>
    <s v="12500-138"/>
    <s v="Electric guitar production item #138"/>
    <s v="UNIQUE"/>
    <n v="0"/>
    <n v="2"/>
    <n v="15"/>
    <n v="0"/>
    <n v="30"/>
  </r>
  <r>
    <x v="0"/>
    <x v="8"/>
    <x v="1"/>
    <n v="1"/>
    <n v="25"/>
    <s v="00"/>
    <s v="139"/>
    <s v="12500-139"/>
    <s v="Electric guitar production item #139"/>
    <s v="UNIQUE"/>
    <n v="0"/>
    <n v="100"/>
    <n v="1"/>
    <n v="0"/>
    <n v="100"/>
  </r>
  <r>
    <x v="0"/>
    <x v="8"/>
    <x v="1"/>
    <n v="1"/>
    <n v="25"/>
    <s v="00"/>
    <s v="140"/>
    <s v="12500-140"/>
    <s v="Electric guitar production item #140"/>
    <s v="UNIQUE"/>
    <n v="0"/>
    <n v="8"/>
    <n v="8"/>
    <n v="0"/>
    <n v="64"/>
  </r>
  <r>
    <x v="0"/>
    <x v="8"/>
    <x v="1"/>
    <n v="1"/>
    <n v="25"/>
    <s v="00"/>
    <s v="141"/>
    <s v="12500-141"/>
    <s v="Electric guitar production item #141"/>
    <s v="UNIQUE"/>
    <n v="0"/>
    <n v="9"/>
    <n v="17"/>
    <n v="0"/>
    <n v="153"/>
  </r>
  <r>
    <x v="0"/>
    <x v="8"/>
    <x v="1"/>
    <n v="1"/>
    <n v="25"/>
    <s v="00"/>
    <s v="142"/>
    <s v="12500-142"/>
    <s v="Electric guitar production item #142"/>
    <s v="UNIQUE"/>
    <n v="0"/>
    <n v="27"/>
    <n v="10"/>
    <n v="0"/>
    <n v="270"/>
  </r>
  <r>
    <x v="0"/>
    <x v="8"/>
    <x v="1"/>
    <n v="1"/>
    <n v="25"/>
    <s v="00"/>
    <s v="143"/>
    <s v="12500-143"/>
    <s v="Electric guitar production item #143"/>
    <s v="UNIQUE"/>
    <n v="16"/>
    <n v="10"/>
    <n v="4096"/>
    <n v="160"/>
    <n v="40960"/>
  </r>
  <r>
    <x v="0"/>
    <x v="8"/>
    <x v="1"/>
    <n v="1"/>
    <n v="25"/>
    <s v="00"/>
    <s v="144"/>
    <s v="12500-144"/>
    <s v="Electric guitar production item #144"/>
    <s v="UNIQUE"/>
    <n v="1"/>
    <n v="9"/>
    <n v="343"/>
    <n v="9"/>
    <n v="3087"/>
  </r>
  <r>
    <x v="0"/>
    <x v="8"/>
    <x v="1"/>
    <n v="1"/>
    <n v="25"/>
    <s v="00"/>
    <s v="145"/>
    <s v="12500-145"/>
    <s v="Electric guitar production item #145"/>
    <s v="UNIQUE"/>
    <n v="0"/>
    <n v="216"/>
    <n v="3"/>
    <n v="0"/>
    <n v="648"/>
  </r>
  <r>
    <x v="0"/>
    <x v="8"/>
    <x v="1"/>
    <n v="1"/>
    <n v="25"/>
    <s v="00"/>
    <s v="146"/>
    <s v="12500-146"/>
    <s v="Electric guitar production item #146"/>
    <s v="UNIQUE"/>
    <n v="0"/>
    <n v="9"/>
    <n v="9"/>
    <n v="0"/>
    <n v="81"/>
  </r>
  <r>
    <x v="0"/>
    <x v="8"/>
    <x v="1"/>
    <n v="1"/>
    <n v="25"/>
    <s v="00"/>
    <s v="147"/>
    <s v="12500-147"/>
    <s v="Electric guitar production item #147"/>
    <s v="UNIQUE"/>
    <n v="0"/>
    <n v="729"/>
    <n v="4096"/>
    <n v="0"/>
    <n v="2985984"/>
  </r>
  <r>
    <x v="0"/>
    <x v="8"/>
    <x v="1"/>
    <n v="1"/>
    <n v="25"/>
    <s v="00"/>
    <s v="148"/>
    <s v="12500-148"/>
    <s v="Electric guitar production item #148"/>
    <s v="UNIQUE"/>
    <n v="0"/>
    <n v="6"/>
    <n v="2197"/>
    <n v="0"/>
    <n v="13182"/>
  </r>
  <r>
    <x v="0"/>
    <x v="8"/>
    <x v="1"/>
    <n v="1"/>
    <n v="25"/>
    <s v="00"/>
    <s v="149"/>
    <s v="12500-149"/>
    <s v="Electric guitar production item #149"/>
    <s v="UNIQUE"/>
    <n v="514"/>
    <n v="36"/>
    <n v="29"/>
    <n v="18504"/>
    <n v="1044"/>
  </r>
  <r>
    <x v="0"/>
    <x v="8"/>
    <x v="1"/>
    <n v="1"/>
    <n v="25"/>
    <s v="00"/>
    <s v="150"/>
    <s v="12500-150"/>
    <s v="Electric guitar production item #150"/>
    <s v="UNIQUE"/>
    <n v="0"/>
    <n v="4"/>
    <n v="1"/>
    <n v="0"/>
    <n v="4"/>
  </r>
  <r>
    <x v="0"/>
    <x v="8"/>
    <x v="1"/>
    <n v="1"/>
    <n v="25"/>
    <s v="00"/>
    <s v="151"/>
    <s v="12500-151"/>
    <s v="Electric guitar production item #151"/>
    <s v="UNIQUE"/>
    <n v="2109"/>
    <n v="3"/>
    <n v="2197"/>
    <n v="6327"/>
    <n v="6591"/>
  </r>
  <r>
    <x v="0"/>
    <x v="8"/>
    <x v="1"/>
    <n v="1"/>
    <n v="25"/>
    <s v="00"/>
    <s v="152"/>
    <s v="12500-152"/>
    <s v="Electric guitar production item #152"/>
    <s v="UNIQUE"/>
    <n v="1"/>
    <n v="10"/>
    <n v="324"/>
    <n v="10"/>
    <n v="3240"/>
  </r>
  <r>
    <x v="0"/>
    <x v="8"/>
    <x v="1"/>
    <n v="1"/>
    <n v="25"/>
    <s v="00"/>
    <s v="153"/>
    <s v="12500-153"/>
    <s v="Electric guitar production item #153"/>
    <s v="UNIQUE"/>
    <n v="5977"/>
    <n v="64"/>
    <n v="17"/>
    <n v="382528"/>
    <n v="1088"/>
  </r>
  <r>
    <x v="0"/>
    <x v="8"/>
    <x v="1"/>
    <n v="1"/>
    <n v="25"/>
    <s v="00"/>
    <s v="154"/>
    <s v="12500-154"/>
    <s v="Electric guitar production item #154"/>
    <s v="UNIQUE"/>
    <n v="558"/>
    <n v="343"/>
    <n v="529"/>
    <n v="191394"/>
    <n v="181447"/>
  </r>
  <r>
    <x v="0"/>
    <x v="8"/>
    <x v="1"/>
    <n v="1"/>
    <n v="25"/>
    <s v="00"/>
    <s v="155"/>
    <s v="12500-155"/>
    <s v="Electric guitar production item #155"/>
    <s v="UNIQUE"/>
    <n v="204"/>
    <n v="125"/>
    <n v="30"/>
    <n v="25500"/>
    <n v="3750"/>
  </r>
  <r>
    <x v="0"/>
    <x v="8"/>
    <x v="1"/>
    <n v="1"/>
    <n v="25"/>
    <s v="00"/>
    <s v="156"/>
    <s v="12500-156"/>
    <s v="Electric guitar production item #156"/>
    <s v="UNIQUE"/>
    <n v="2"/>
    <n v="1000"/>
    <n v="9"/>
    <n v="2000"/>
    <n v="9000"/>
  </r>
  <r>
    <x v="0"/>
    <x v="8"/>
    <x v="1"/>
    <n v="1"/>
    <n v="25"/>
    <s v="00"/>
    <s v="157"/>
    <s v="12500-157"/>
    <s v="Electric guitar production item #157"/>
    <s v="UNIQUE"/>
    <n v="91"/>
    <n v="4"/>
    <n v="81"/>
    <n v="364"/>
    <n v="324"/>
  </r>
  <r>
    <x v="0"/>
    <x v="8"/>
    <x v="1"/>
    <n v="1"/>
    <n v="25"/>
    <s v="00"/>
    <s v="158"/>
    <s v="12500-158"/>
    <s v="Electric guitar production item #158"/>
    <s v="UNIQUE"/>
    <n v="0"/>
    <n v="25"/>
    <n v="1331"/>
    <n v="0"/>
    <n v="33275"/>
  </r>
  <r>
    <x v="0"/>
    <x v="8"/>
    <x v="1"/>
    <n v="1"/>
    <n v="25"/>
    <s v="00"/>
    <s v="159"/>
    <s v="12500-159"/>
    <s v="Electric guitar production item #159"/>
    <s v="UNIQUE"/>
    <n v="0"/>
    <n v="1"/>
    <n v="13824"/>
    <n v="0"/>
    <n v="13824"/>
  </r>
  <r>
    <x v="0"/>
    <x v="8"/>
    <x v="1"/>
    <n v="1"/>
    <n v="25"/>
    <s v="00"/>
    <s v="160"/>
    <s v="12500-160"/>
    <s v="Electric guitar production item #160"/>
    <s v="UNIQUE"/>
    <n v="0"/>
    <n v="8"/>
    <n v="18"/>
    <n v="0"/>
    <n v="144"/>
  </r>
  <r>
    <x v="0"/>
    <x v="8"/>
    <x v="1"/>
    <n v="1"/>
    <n v="25"/>
    <s v="00"/>
    <s v="161"/>
    <s v="12500-161"/>
    <s v="Electric guitar production item #161"/>
    <s v="UNIQUE"/>
    <n v="0"/>
    <n v="9"/>
    <n v="23"/>
    <n v="0"/>
    <n v="207"/>
  </r>
  <r>
    <x v="0"/>
    <x v="8"/>
    <x v="1"/>
    <n v="1"/>
    <n v="25"/>
    <s v="00"/>
    <s v="162"/>
    <s v="12500-162"/>
    <s v="Electric guitar production item #162"/>
    <s v="UNIQUE"/>
    <n v="0"/>
    <n v="7"/>
    <n v="10"/>
    <n v="0"/>
    <n v="70"/>
  </r>
  <r>
    <x v="0"/>
    <x v="8"/>
    <x v="1"/>
    <n v="1"/>
    <n v="25"/>
    <s v="00"/>
    <s v="163"/>
    <s v="12500-163"/>
    <s v="Electric guitar production item #163"/>
    <s v="UNIQUE"/>
    <n v="0"/>
    <n v="36"/>
    <n v="13824"/>
    <n v="0"/>
    <n v="497664"/>
  </r>
  <r>
    <x v="0"/>
    <x v="8"/>
    <x v="1"/>
    <n v="1"/>
    <n v="25"/>
    <s v="00"/>
    <s v="164"/>
    <s v="12500-164"/>
    <s v="Electric guitar production item #164"/>
    <s v="UNIQUE"/>
    <n v="0"/>
    <n v="216"/>
    <n v="10"/>
    <n v="0"/>
    <n v="2160"/>
  </r>
  <r>
    <x v="0"/>
    <x v="8"/>
    <x v="1"/>
    <n v="1"/>
    <n v="25"/>
    <s v="00"/>
    <s v="165"/>
    <s v="12500-165"/>
    <s v="Electric guitar production item #165"/>
    <s v="UNIQUE"/>
    <n v="1"/>
    <n v="36"/>
    <n v="400"/>
    <n v="36"/>
    <n v="14400"/>
  </r>
  <r>
    <x v="0"/>
    <x v="8"/>
    <x v="1"/>
    <n v="1"/>
    <n v="25"/>
    <s v="00"/>
    <s v="166"/>
    <s v="12500-166"/>
    <s v="Electric guitar production item #166"/>
    <s v="UNIQUE"/>
    <n v="0"/>
    <n v="729"/>
    <n v="1331"/>
    <n v="0"/>
    <n v="970299"/>
  </r>
  <r>
    <x v="0"/>
    <x v="8"/>
    <x v="1"/>
    <n v="1"/>
    <n v="25"/>
    <s v="00"/>
    <s v="167"/>
    <s v="12500-167"/>
    <s v="Electric guitar production item #167"/>
    <s v="UNIQUE"/>
    <n v="0"/>
    <n v="9"/>
    <n v="17"/>
    <n v="0"/>
    <n v="153"/>
  </r>
  <r>
    <x v="0"/>
    <x v="8"/>
    <x v="1"/>
    <n v="1"/>
    <n v="25"/>
    <s v="00"/>
    <s v="168"/>
    <s v="12500-168"/>
    <s v="Electric guitar production item #168"/>
    <s v="UNIQUE"/>
    <n v="5"/>
    <n v="9"/>
    <n v="12167"/>
    <n v="45"/>
    <n v="109503"/>
  </r>
  <r>
    <x v="0"/>
    <x v="8"/>
    <x v="1"/>
    <n v="1"/>
    <n v="25"/>
    <s v="00"/>
    <s v="169"/>
    <s v="12500-169"/>
    <s v="Electric guitar production item #169"/>
    <s v="UNIQUE"/>
    <n v="0"/>
    <n v="1"/>
    <n v="256"/>
    <n v="0"/>
    <n v="256"/>
  </r>
  <r>
    <x v="0"/>
    <x v="8"/>
    <x v="1"/>
    <n v="1"/>
    <n v="25"/>
    <s v="00"/>
    <s v="170"/>
    <s v="12500-170"/>
    <s v="Electric guitar production item #170"/>
    <s v="UNIQUE"/>
    <n v="0"/>
    <n v="81"/>
    <n v="0"/>
    <n v="0"/>
    <n v="0"/>
  </r>
  <r>
    <x v="0"/>
    <x v="8"/>
    <x v="1"/>
    <n v="1"/>
    <n v="25"/>
    <s v="00"/>
    <s v="171"/>
    <s v="12500-171"/>
    <s v="Electric guitar production item #171"/>
    <s v="UNIQUE"/>
    <n v="0"/>
    <n v="1000"/>
    <n v="144"/>
    <n v="0"/>
    <n v="144000"/>
  </r>
  <r>
    <x v="0"/>
    <x v="8"/>
    <x v="1"/>
    <n v="1"/>
    <n v="25"/>
    <s v="00"/>
    <s v="172"/>
    <s v="12500-172"/>
    <s v="Electric guitar production item #172"/>
    <s v="UNIQUE"/>
    <n v="5"/>
    <n v="64"/>
    <n v="484"/>
    <n v="320"/>
    <n v="30976"/>
  </r>
  <r>
    <x v="0"/>
    <x v="8"/>
    <x v="1"/>
    <n v="1"/>
    <n v="25"/>
    <s v="00"/>
    <s v="173"/>
    <s v="12500-173"/>
    <s v="Electric guitar production item #173"/>
    <s v="UNIQUE"/>
    <n v="86"/>
    <n v="7"/>
    <n v="841"/>
    <n v="602"/>
    <n v="5887"/>
  </r>
  <r>
    <x v="0"/>
    <x v="8"/>
    <x v="1"/>
    <n v="1"/>
    <n v="25"/>
    <s v="00"/>
    <s v="174"/>
    <s v="12500-174"/>
    <s v="Electric guitar production item #174"/>
    <s v="UNIQUE"/>
    <n v="1715"/>
    <n v="25"/>
    <n v="22"/>
    <n v="42875"/>
    <n v="550"/>
  </r>
  <r>
    <x v="0"/>
    <x v="8"/>
    <x v="1"/>
    <n v="1"/>
    <n v="25"/>
    <s v="00"/>
    <s v="175"/>
    <s v="12500-175"/>
    <s v="Electric guitar production item #175"/>
    <s v="UNIQUE"/>
    <n v="0"/>
    <n v="6"/>
    <n v="19683"/>
    <n v="0"/>
    <n v="118098"/>
  </r>
  <r>
    <x v="0"/>
    <x v="8"/>
    <x v="1"/>
    <n v="1"/>
    <n v="25"/>
    <s v="00"/>
    <s v="176"/>
    <s v="12500-176"/>
    <s v="Electric guitar production item #176"/>
    <s v="UNIQUE"/>
    <n v="3"/>
    <n v="216"/>
    <n v="841"/>
    <n v="648"/>
    <n v="181656"/>
  </r>
  <r>
    <x v="0"/>
    <x v="8"/>
    <x v="1"/>
    <n v="1"/>
    <n v="25"/>
    <s v="00"/>
    <s v="177"/>
    <s v="12500-177"/>
    <s v="Electric guitar production item #177"/>
    <s v="UNIQUE"/>
    <n v="0"/>
    <n v="1"/>
    <n v="23"/>
    <n v="0"/>
    <n v="23"/>
  </r>
  <r>
    <x v="0"/>
    <x v="8"/>
    <x v="1"/>
    <n v="1"/>
    <n v="25"/>
    <s v="00"/>
    <s v="178"/>
    <s v="12500-178"/>
    <s v="Electric guitar production item #178"/>
    <s v="UNIQUE"/>
    <n v="792"/>
    <n v="36"/>
    <n v="26"/>
    <n v="28512"/>
    <n v="936"/>
  </r>
  <r>
    <x v="0"/>
    <x v="8"/>
    <x v="1"/>
    <n v="1"/>
    <n v="25"/>
    <s v="00"/>
    <s v="179"/>
    <s v="12500-179"/>
    <s v="Electric guitar production item #179"/>
    <s v="UNIQUE"/>
    <n v="0"/>
    <n v="81"/>
    <n v="729"/>
    <n v="0"/>
    <n v="59049"/>
  </r>
  <r>
    <x v="0"/>
    <x v="8"/>
    <x v="1"/>
    <n v="1"/>
    <n v="25"/>
    <s v="00"/>
    <s v="180"/>
    <s v="12500-180"/>
    <s v="Electric guitar production item #180"/>
    <s v="UNIQUE"/>
    <n v="9"/>
    <n v="5"/>
    <n v="4"/>
    <n v="45"/>
    <n v="20"/>
  </r>
  <r>
    <x v="0"/>
    <x v="8"/>
    <x v="1"/>
    <n v="1"/>
    <n v="25"/>
    <s v="00"/>
    <s v="181"/>
    <s v="12500-181"/>
    <s v="Electric guitar production item #181"/>
    <s v="UNIQUE"/>
    <n v="354"/>
    <n v="125"/>
    <n v="21"/>
    <n v="44250"/>
    <n v="2625"/>
  </r>
  <r>
    <x v="0"/>
    <x v="8"/>
    <x v="1"/>
    <n v="1"/>
    <n v="25"/>
    <s v="00"/>
    <s v="182"/>
    <s v="12500-182"/>
    <s v="Electric guitar production item #182"/>
    <s v="UNIQUE"/>
    <n v="0"/>
    <n v="2"/>
    <n v="3375"/>
    <n v="0"/>
    <n v="6750"/>
  </r>
  <r>
    <x v="0"/>
    <x v="8"/>
    <x v="1"/>
    <n v="1"/>
    <n v="25"/>
    <s v="00"/>
    <s v="183"/>
    <s v="12500-183"/>
    <s v="Electric guitar production item #183"/>
    <s v="UNIQUE"/>
    <n v="7"/>
    <n v="125"/>
    <n v="0"/>
    <n v="875"/>
    <n v="0"/>
  </r>
  <r>
    <x v="0"/>
    <x v="8"/>
    <x v="1"/>
    <n v="1"/>
    <n v="25"/>
    <s v="00"/>
    <s v="184"/>
    <s v="12500-184"/>
    <s v="Electric guitar production item #184"/>
    <s v="UNIQUE"/>
    <n v="0"/>
    <n v="512"/>
    <n v="7"/>
    <n v="0"/>
    <n v="3584"/>
  </r>
  <r>
    <x v="0"/>
    <x v="8"/>
    <x v="1"/>
    <n v="1"/>
    <n v="25"/>
    <s v="00"/>
    <s v="185"/>
    <s v="12500-185"/>
    <s v="Electric guitar production item #185"/>
    <s v="UNIQUE"/>
    <n v="8186"/>
    <n v="512"/>
    <n v="36"/>
    <n v="4191232"/>
    <n v="18432"/>
  </r>
  <r>
    <x v="0"/>
    <x v="8"/>
    <x v="1"/>
    <n v="1"/>
    <n v="25"/>
    <s v="00"/>
    <s v="186"/>
    <s v="12500-186"/>
    <s v="Electric guitar production item #186"/>
    <s v="UNIQUE"/>
    <n v="58"/>
    <n v="10"/>
    <n v="6"/>
    <n v="580"/>
    <n v="60"/>
  </r>
  <r>
    <x v="0"/>
    <x v="8"/>
    <x v="1"/>
    <n v="1"/>
    <n v="25"/>
    <s v="00"/>
    <s v="187"/>
    <s v="12500-187"/>
    <s v="Electric guitar production item #187"/>
    <s v="UNIQUE"/>
    <n v="0"/>
    <n v="4"/>
    <n v="196"/>
    <n v="0"/>
    <n v="784"/>
  </r>
  <r>
    <x v="0"/>
    <x v="8"/>
    <x v="1"/>
    <n v="1"/>
    <n v="25"/>
    <s v="00"/>
    <s v="188"/>
    <s v="12500-188"/>
    <s v="Electric guitar production item #188"/>
    <s v="UNIQUE"/>
    <n v="0"/>
    <n v="3"/>
    <n v="256"/>
    <n v="0"/>
    <n v="768"/>
  </r>
  <r>
    <x v="0"/>
    <x v="8"/>
    <x v="1"/>
    <n v="1"/>
    <n v="25"/>
    <s v="00"/>
    <s v="189"/>
    <s v="12500-189"/>
    <s v="Electric guitar production item #189"/>
    <s v="UNIQUE"/>
    <n v="0"/>
    <n v="100"/>
    <n v="1000"/>
    <n v="0"/>
    <n v="100000"/>
  </r>
  <r>
    <x v="0"/>
    <x v="8"/>
    <x v="1"/>
    <n v="1"/>
    <n v="25"/>
    <s v="00"/>
    <s v="190"/>
    <s v="12500-190"/>
    <s v="Electric guitar production item #190"/>
    <s v="UNIQUE"/>
    <n v="0"/>
    <n v="5"/>
    <n v="8"/>
    <n v="0"/>
    <n v="40"/>
  </r>
  <r>
    <x v="0"/>
    <x v="8"/>
    <x v="1"/>
    <n v="1"/>
    <n v="25"/>
    <s v="00"/>
    <s v="191"/>
    <s v="12500-191"/>
    <s v="Electric guitar production item #191"/>
    <s v="UNIQUE"/>
    <n v="665"/>
    <n v="7"/>
    <n v="625"/>
    <n v="4655"/>
    <n v="4375"/>
  </r>
  <r>
    <x v="0"/>
    <x v="8"/>
    <x v="1"/>
    <n v="1"/>
    <n v="25"/>
    <s v="00"/>
    <s v="192"/>
    <s v="12500-192"/>
    <s v="Electric guitar production item #192"/>
    <s v="UNIQUE"/>
    <n v="0"/>
    <n v="36"/>
    <n v="1331"/>
    <n v="0"/>
    <n v="47916"/>
  </r>
  <r>
    <x v="0"/>
    <x v="8"/>
    <x v="1"/>
    <n v="1"/>
    <n v="25"/>
    <s v="00"/>
    <s v="193"/>
    <s v="12500-193"/>
    <s v="Electric guitar production item #193"/>
    <s v="UNIQUE"/>
    <n v="0"/>
    <n v="1"/>
    <n v="13824"/>
    <n v="0"/>
    <n v="13824"/>
  </r>
  <r>
    <x v="0"/>
    <x v="8"/>
    <x v="1"/>
    <n v="1"/>
    <n v="25"/>
    <s v="00"/>
    <s v="194"/>
    <s v="12500-194"/>
    <s v="Electric guitar production item #194"/>
    <s v="UNIQUE"/>
    <n v="0"/>
    <n v="9"/>
    <n v="81"/>
    <n v="0"/>
    <n v="729"/>
  </r>
  <r>
    <x v="0"/>
    <x v="8"/>
    <x v="1"/>
    <n v="1"/>
    <n v="25"/>
    <s v="00"/>
    <s v="195"/>
    <s v="12500-195"/>
    <s v="Electric guitar production item #195"/>
    <s v="UNIQUE"/>
    <n v="0"/>
    <n v="16"/>
    <n v="1331"/>
    <n v="0"/>
    <n v="21296"/>
  </r>
  <r>
    <x v="0"/>
    <x v="8"/>
    <x v="1"/>
    <n v="1"/>
    <n v="25"/>
    <s v="00"/>
    <s v="196"/>
    <s v="12500-196"/>
    <s v="Electric guitar production item #196"/>
    <s v="UNIQUE"/>
    <n v="0"/>
    <n v="36"/>
    <n v="24389"/>
    <n v="0"/>
    <n v="878004"/>
  </r>
  <r>
    <x v="0"/>
    <x v="8"/>
    <x v="1"/>
    <n v="1"/>
    <n v="25"/>
    <s v="00"/>
    <s v="197"/>
    <s v="12500-197"/>
    <s v="Electric guitar production item #197"/>
    <s v="UNIQUE"/>
    <n v="0"/>
    <n v="3"/>
    <n v="324"/>
    <n v="0"/>
    <n v="972"/>
  </r>
  <r>
    <x v="0"/>
    <x v="8"/>
    <x v="1"/>
    <n v="1"/>
    <n v="25"/>
    <s v="00"/>
    <s v="198"/>
    <s v="12500-198"/>
    <s v="Electric guitar production item #198"/>
    <s v="UNIQUE"/>
    <n v="1"/>
    <n v="1000"/>
    <n v="24389"/>
    <n v="1000"/>
    <n v="24389000"/>
  </r>
  <r>
    <x v="0"/>
    <x v="8"/>
    <x v="1"/>
    <n v="1"/>
    <n v="25"/>
    <s v="00"/>
    <s v="199"/>
    <s v="12500-199"/>
    <s v="Electric guitar production item #199"/>
    <s v="UNIQUE"/>
    <n v="0"/>
    <n v="81"/>
    <n v="0"/>
    <n v="0"/>
    <n v="0"/>
  </r>
  <r>
    <x v="0"/>
    <x v="9"/>
    <x v="2"/>
    <n v="1"/>
    <n v="30"/>
    <s v="00"/>
    <s v="000"/>
    <s v="13000-000"/>
    <s v="Clarinet production item #000"/>
    <s v="UNIQUE"/>
    <n v="0"/>
    <n v="16"/>
    <n v="256"/>
    <n v="0"/>
    <n v="4096"/>
  </r>
  <r>
    <x v="0"/>
    <x v="9"/>
    <x v="2"/>
    <n v="1"/>
    <n v="30"/>
    <s v="00"/>
    <s v="001"/>
    <s v="13000-001"/>
    <s v="Clarinet production item #001"/>
    <s v="UNIQUE"/>
    <n v="0"/>
    <n v="4"/>
    <n v="23"/>
    <n v="0"/>
    <n v="92"/>
  </r>
  <r>
    <x v="0"/>
    <x v="9"/>
    <x v="2"/>
    <n v="1"/>
    <n v="30"/>
    <s v="00"/>
    <s v="002"/>
    <s v="13000-002"/>
    <s v="Clarinet production item #002"/>
    <s v="UNIQUE"/>
    <n v="0"/>
    <n v="8"/>
    <n v="3"/>
    <n v="0"/>
    <n v="24"/>
  </r>
  <r>
    <x v="0"/>
    <x v="9"/>
    <x v="2"/>
    <n v="1"/>
    <n v="30"/>
    <s v="00"/>
    <s v="003"/>
    <s v="13000-003"/>
    <s v="Clarinet production item #003"/>
    <s v="UNIQUE"/>
    <n v="5"/>
    <n v="8"/>
    <n v="1"/>
    <n v="40"/>
    <n v="8"/>
  </r>
  <r>
    <x v="0"/>
    <x v="9"/>
    <x v="2"/>
    <n v="1"/>
    <n v="30"/>
    <s v="00"/>
    <s v="004"/>
    <s v="13000-004"/>
    <s v="Clarinet production item #004"/>
    <s v="UNIQUE"/>
    <n v="0"/>
    <n v="16"/>
    <n v="26"/>
    <n v="0"/>
    <n v="416"/>
  </r>
  <r>
    <x v="0"/>
    <x v="9"/>
    <x v="2"/>
    <n v="1"/>
    <n v="30"/>
    <s v="00"/>
    <s v="005"/>
    <s v="13000-005"/>
    <s v="Clarinet production item #005"/>
    <s v="UNIQUE"/>
    <n v="0"/>
    <n v="64"/>
    <n v="22"/>
    <n v="0"/>
    <n v="1408"/>
  </r>
  <r>
    <x v="0"/>
    <x v="9"/>
    <x v="2"/>
    <n v="1"/>
    <n v="30"/>
    <s v="00"/>
    <s v="006"/>
    <s v="13000-006"/>
    <s v="Clarinet production item #006"/>
    <s v="UNIQUE"/>
    <n v="0"/>
    <n v="6"/>
    <n v="1000"/>
    <n v="0"/>
    <n v="6000"/>
  </r>
  <r>
    <x v="0"/>
    <x v="9"/>
    <x v="2"/>
    <n v="1"/>
    <n v="30"/>
    <s v="00"/>
    <s v="007"/>
    <s v="13000-007"/>
    <s v="Clarinet production item #007"/>
    <s v="UNIQUE"/>
    <n v="0"/>
    <n v="9"/>
    <n v="12167"/>
    <n v="0"/>
    <n v="109503"/>
  </r>
  <r>
    <x v="0"/>
    <x v="9"/>
    <x v="2"/>
    <n v="1"/>
    <n v="30"/>
    <s v="00"/>
    <s v="008"/>
    <s v="13000-008"/>
    <s v="Clarinet production item #008"/>
    <s v="UNIQUE"/>
    <n v="15"/>
    <n v="3"/>
    <n v="0"/>
    <n v="45"/>
    <n v="0"/>
  </r>
  <r>
    <x v="0"/>
    <x v="9"/>
    <x v="2"/>
    <n v="1"/>
    <n v="30"/>
    <s v="00"/>
    <s v="009"/>
    <s v="13000-009"/>
    <s v="Clarinet production item #009"/>
    <s v="UNIQUE"/>
    <n v="0"/>
    <n v="9"/>
    <n v="6859"/>
    <n v="0"/>
    <n v="61731"/>
  </r>
  <r>
    <x v="0"/>
    <x v="9"/>
    <x v="2"/>
    <n v="1"/>
    <n v="30"/>
    <s v="00"/>
    <s v="010"/>
    <s v="13000-010"/>
    <s v="Clarinet production item #010"/>
    <s v="UNIQUE"/>
    <n v="478"/>
    <n v="10"/>
    <n v="900"/>
    <n v="4780"/>
    <n v="9000"/>
  </r>
  <r>
    <x v="0"/>
    <x v="9"/>
    <x v="2"/>
    <n v="1"/>
    <n v="30"/>
    <s v="00"/>
    <s v="011"/>
    <s v="13000-011"/>
    <s v="Clarinet production item #011"/>
    <s v="UNIQUE"/>
    <n v="0"/>
    <n v="64"/>
    <n v="4"/>
    <n v="0"/>
    <n v="256"/>
  </r>
  <r>
    <x v="0"/>
    <x v="9"/>
    <x v="2"/>
    <n v="1"/>
    <n v="30"/>
    <s v="00"/>
    <s v="012"/>
    <s v="13000-012"/>
    <s v="Clarinet production item #012"/>
    <s v="UNIQUE"/>
    <n v="0"/>
    <n v="1"/>
    <n v="10648"/>
    <n v="0"/>
    <n v="10648"/>
  </r>
  <r>
    <x v="0"/>
    <x v="9"/>
    <x v="2"/>
    <n v="1"/>
    <n v="30"/>
    <s v="00"/>
    <s v="013"/>
    <s v="13000-013"/>
    <s v="Clarinet production item #013"/>
    <s v="UNIQUE"/>
    <n v="0"/>
    <n v="81"/>
    <n v="2"/>
    <n v="0"/>
    <n v="162"/>
  </r>
  <r>
    <x v="0"/>
    <x v="9"/>
    <x v="2"/>
    <n v="1"/>
    <n v="30"/>
    <s v="00"/>
    <s v="014"/>
    <s v="13000-014"/>
    <s v="Clarinet production item #014"/>
    <s v="UNIQUE"/>
    <n v="1157"/>
    <n v="3"/>
    <n v="0"/>
    <n v="3471"/>
    <n v="0"/>
  </r>
  <r>
    <x v="0"/>
    <x v="9"/>
    <x v="2"/>
    <n v="1"/>
    <n v="30"/>
    <s v="00"/>
    <s v="015"/>
    <s v="13000-015"/>
    <s v="Clarinet production item #015"/>
    <s v="UNIQUE"/>
    <n v="1"/>
    <n v="100"/>
    <n v="1"/>
    <n v="100"/>
    <n v="100"/>
  </r>
  <r>
    <x v="0"/>
    <x v="9"/>
    <x v="2"/>
    <n v="1"/>
    <n v="30"/>
    <s v="00"/>
    <s v="016"/>
    <s v="13000-016"/>
    <s v="Clarinet production item #016"/>
    <s v="UNIQUE"/>
    <n v="0"/>
    <n v="8"/>
    <n v="225"/>
    <n v="0"/>
    <n v="1800"/>
  </r>
  <r>
    <x v="0"/>
    <x v="9"/>
    <x v="2"/>
    <n v="1"/>
    <n v="30"/>
    <s v="00"/>
    <s v="017"/>
    <s v="13000-017"/>
    <s v="Clarinet production item #017"/>
    <s v="UNIQUE"/>
    <n v="0"/>
    <n v="125"/>
    <n v="3375"/>
    <n v="0"/>
    <n v="421875"/>
  </r>
  <r>
    <x v="0"/>
    <x v="9"/>
    <x v="2"/>
    <n v="1"/>
    <n v="30"/>
    <s v="00"/>
    <s v="018"/>
    <s v="13000-018"/>
    <s v="Clarinet production item #018"/>
    <s v="UNIQUE"/>
    <n v="0"/>
    <n v="4"/>
    <n v="49"/>
    <n v="0"/>
    <n v="196"/>
  </r>
  <r>
    <x v="0"/>
    <x v="9"/>
    <x v="2"/>
    <n v="1"/>
    <n v="30"/>
    <s v="00"/>
    <s v="019"/>
    <s v="13000-019"/>
    <s v="Clarinet production item #019"/>
    <s v="UNIQUE"/>
    <n v="0"/>
    <n v="81"/>
    <n v="8000"/>
    <n v="0"/>
    <n v="648000"/>
  </r>
  <r>
    <x v="0"/>
    <x v="9"/>
    <x v="2"/>
    <n v="1"/>
    <n v="30"/>
    <s v="00"/>
    <s v="020"/>
    <s v="13000-020"/>
    <s v="Clarinet production item #020"/>
    <s v="UNIQUE"/>
    <n v="0"/>
    <n v="5"/>
    <n v="343"/>
    <n v="0"/>
    <n v="1715"/>
  </r>
  <r>
    <x v="0"/>
    <x v="9"/>
    <x v="2"/>
    <n v="1"/>
    <n v="30"/>
    <s v="00"/>
    <s v="021"/>
    <s v="13000-021"/>
    <s v="Clarinet production item #021"/>
    <s v="UNIQUE"/>
    <n v="2838"/>
    <n v="27"/>
    <n v="361"/>
    <n v="76626"/>
    <n v="9747"/>
  </r>
  <r>
    <x v="0"/>
    <x v="9"/>
    <x v="2"/>
    <n v="1"/>
    <n v="30"/>
    <s v="00"/>
    <s v="022"/>
    <s v="13000-022"/>
    <s v="Clarinet production item #022"/>
    <s v="UNIQUE"/>
    <n v="0"/>
    <n v="2"/>
    <n v="4"/>
    <n v="0"/>
    <n v="8"/>
  </r>
  <r>
    <x v="0"/>
    <x v="9"/>
    <x v="2"/>
    <n v="1"/>
    <n v="30"/>
    <s v="00"/>
    <s v="023"/>
    <s v="13000-023"/>
    <s v="Clarinet production item #023"/>
    <s v="UNIQUE"/>
    <n v="295"/>
    <n v="7"/>
    <n v="9"/>
    <n v="2065"/>
    <n v="63"/>
  </r>
  <r>
    <x v="0"/>
    <x v="9"/>
    <x v="2"/>
    <n v="1"/>
    <n v="30"/>
    <s v="00"/>
    <s v="024"/>
    <s v="13000-024"/>
    <s v="Clarinet production item #024"/>
    <s v="UNIQUE"/>
    <n v="0"/>
    <n v="4"/>
    <n v="17"/>
    <n v="0"/>
    <n v="68"/>
  </r>
  <r>
    <x v="0"/>
    <x v="9"/>
    <x v="2"/>
    <n v="1"/>
    <n v="30"/>
    <s v="00"/>
    <s v="025"/>
    <s v="13000-025"/>
    <s v="Clarinet production item #025"/>
    <s v="UNIQUE"/>
    <n v="0"/>
    <n v="216"/>
    <n v="169"/>
    <n v="0"/>
    <n v="36504"/>
  </r>
  <r>
    <x v="0"/>
    <x v="9"/>
    <x v="2"/>
    <n v="1"/>
    <n v="30"/>
    <s v="00"/>
    <s v="026"/>
    <s v="13000-026"/>
    <s v="Clarinet production item #026"/>
    <s v="UNIQUE"/>
    <n v="5"/>
    <n v="1"/>
    <n v="14"/>
    <n v="5"/>
    <n v="14"/>
  </r>
  <r>
    <x v="0"/>
    <x v="9"/>
    <x v="2"/>
    <n v="1"/>
    <n v="30"/>
    <s v="00"/>
    <s v="027"/>
    <s v="13000-027"/>
    <s v="Clarinet production item #027"/>
    <s v="UNIQUE"/>
    <n v="0"/>
    <n v="343"/>
    <n v="25"/>
    <n v="0"/>
    <n v="8575"/>
  </r>
  <r>
    <x v="0"/>
    <x v="9"/>
    <x v="2"/>
    <n v="1"/>
    <n v="30"/>
    <s v="00"/>
    <s v="028"/>
    <s v="13000-028"/>
    <s v="Clarinet production item #028"/>
    <s v="UNIQUE"/>
    <n v="736"/>
    <n v="10"/>
    <n v="6859"/>
    <n v="7360"/>
    <n v="68590"/>
  </r>
  <r>
    <x v="0"/>
    <x v="9"/>
    <x v="2"/>
    <n v="1"/>
    <n v="30"/>
    <s v="00"/>
    <s v="029"/>
    <s v="13000-029"/>
    <s v="Clarinet production item #029"/>
    <s v="UNIQUE"/>
    <n v="0"/>
    <n v="25"/>
    <n v="2197"/>
    <n v="0"/>
    <n v="54925"/>
  </r>
  <r>
    <x v="0"/>
    <x v="9"/>
    <x v="2"/>
    <n v="1"/>
    <n v="30"/>
    <s v="00"/>
    <s v="030"/>
    <s v="13000-030"/>
    <s v="Clarinet production item #030"/>
    <s v="UNIQUE"/>
    <n v="9104"/>
    <n v="100"/>
    <n v="3"/>
    <n v="910400"/>
    <n v="300"/>
  </r>
  <r>
    <x v="0"/>
    <x v="9"/>
    <x v="2"/>
    <n v="1"/>
    <n v="30"/>
    <s v="00"/>
    <s v="031"/>
    <s v="13000-031"/>
    <s v="Clarinet production item #031"/>
    <s v="UNIQUE"/>
    <n v="6038"/>
    <n v="10"/>
    <n v="8"/>
    <n v="60380"/>
    <n v="80"/>
  </r>
  <r>
    <x v="0"/>
    <x v="9"/>
    <x v="2"/>
    <n v="1"/>
    <n v="30"/>
    <s v="00"/>
    <s v="032"/>
    <s v="13000-032"/>
    <s v="Clarinet production item #032"/>
    <s v="UNIQUE"/>
    <n v="0"/>
    <n v="8"/>
    <n v="841"/>
    <n v="0"/>
    <n v="6728"/>
  </r>
  <r>
    <x v="0"/>
    <x v="9"/>
    <x v="2"/>
    <n v="1"/>
    <n v="30"/>
    <s v="00"/>
    <s v="033"/>
    <s v="13000-033"/>
    <s v="Clarinet production item #033"/>
    <s v="UNIQUE"/>
    <n v="74"/>
    <n v="8"/>
    <n v="216"/>
    <n v="592"/>
    <n v="1728"/>
  </r>
  <r>
    <x v="0"/>
    <x v="9"/>
    <x v="2"/>
    <n v="1"/>
    <n v="30"/>
    <s v="00"/>
    <s v="034"/>
    <s v="13000-034"/>
    <s v="Clarinet production item #034"/>
    <s v="UNIQUE"/>
    <n v="31"/>
    <n v="100"/>
    <n v="7"/>
    <n v="3100"/>
    <n v="700"/>
  </r>
  <r>
    <x v="0"/>
    <x v="9"/>
    <x v="2"/>
    <n v="1"/>
    <n v="30"/>
    <s v="00"/>
    <s v="035"/>
    <s v="13000-035"/>
    <s v="Clarinet production item #035"/>
    <s v="UNIQUE"/>
    <n v="5222"/>
    <n v="16"/>
    <n v="4913"/>
    <n v="83552"/>
    <n v="78608"/>
  </r>
  <r>
    <x v="0"/>
    <x v="9"/>
    <x v="2"/>
    <n v="1"/>
    <n v="30"/>
    <s v="00"/>
    <s v="036"/>
    <s v="13000-036"/>
    <s v="Clarinet production item #036"/>
    <s v="UNIQUE"/>
    <n v="0"/>
    <n v="4"/>
    <n v="27"/>
    <n v="0"/>
    <n v="108"/>
  </r>
  <r>
    <x v="0"/>
    <x v="9"/>
    <x v="2"/>
    <n v="1"/>
    <n v="30"/>
    <s v="00"/>
    <s v="037"/>
    <s v="13000-037"/>
    <s v="Clarinet production item #037"/>
    <s v="UNIQUE"/>
    <n v="6"/>
    <n v="1"/>
    <n v="0"/>
    <n v="6"/>
    <n v="0"/>
  </r>
  <r>
    <x v="0"/>
    <x v="9"/>
    <x v="2"/>
    <n v="1"/>
    <n v="30"/>
    <s v="00"/>
    <s v="038"/>
    <s v="13000-038"/>
    <s v="Clarinet production item #038"/>
    <s v="UNIQUE"/>
    <n v="0"/>
    <n v="9"/>
    <n v="324"/>
    <n v="0"/>
    <n v="2916"/>
  </r>
  <r>
    <x v="0"/>
    <x v="9"/>
    <x v="2"/>
    <n v="1"/>
    <n v="30"/>
    <s v="00"/>
    <s v="039"/>
    <s v="13000-039"/>
    <s v="Clarinet production item #039"/>
    <s v="UNIQUE"/>
    <n v="85"/>
    <n v="6"/>
    <n v="1000"/>
    <n v="510"/>
    <n v="6000"/>
  </r>
  <r>
    <x v="0"/>
    <x v="9"/>
    <x v="2"/>
    <n v="1"/>
    <n v="30"/>
    <s v="00"/>
    <s v="040"/>
    <s v="13000-040"/>
    <s v="Clarinet production item #040"/>
    <s v="UNIQUE"/>
    <n v="0"/>
    <n v="36"/>
    <n v="121"/>
    <n v="0"/>
    <n v="4356"/>
  </r>
  <r>
    <x v="0"/>
    <x v="9"/>
    <x v="2"/>
    <n v="1"/>
    <n v="30"/>
    <s v="00"/>
    <s v="041"/>
    <s v="13000-041"/>
    <s v="Clarinet production item #041"/>
    <s v="UNIQUE"/>
    <n v="58"/>
    <n v="8"/>
    <n v="1728"/>
    <n v="464"/>
    <n v="13824"/>
  </r>
  <r>
    <x v="0"/>
    <x v="9"/>
    <x v="2"/>
    <n v="1"/>
    <n v="30"/>
    <s v="00"/>
    <s v="042"/>
    <s v="13000-042"/>
    <s v="Clarinet production item #042"/>
    <s v="UNIQUE"/>
    <n v="1"/>
    <n v="216"/>
    <n v="12167"/>
    <n v="216"/>
    <n v="2628072"/>
  </r>
  <r>
    <x v="0"/>
    <x v="9"/>
    <x v="2"/>
    <n v="1"/>
    <n v="30"/>
    <s v="00"/>
    <s v="043"/>
    <s v="13000-043"/>
    <s v="Clarinet production item #043"/>
    <s v="UNIQUE"/>
    <n v="5"/>
    <n v="7"/>
    <n v="900"/>
    <n v="35"/>
    <n v="6300"/>
  </r>
  <r>
    <x v="0"/>
    <x v="9"/>
    <x v="2"/>
    <n v="1"/>
    <n v="30"/>
    <s v="00"/>
    <s v="044"/>
    <s v="13000-044"/>
    <s v="Clarinet production item #044"/>
    <s v="UNIQUE"/>
    <n v="0"/>
    <n v="125"/>
    <n v="6"/>
    <n v="0"/>
    <n v="750"/>
  </r>
  <r>
    <x v="0"/>
    <x v="9"/>
    <x v="2"/>
    <n v="1"/>
    <n v="30"/>
    <s v="00"/>
    <s v="045"/>
    <s v="13000-045"/>
    <s v="Clarinet production item #045"/>
    <s v="UNIQUE"/>
    <n v="0"/>
    <n v="1"/>
    <n v="21952"/>
    <n v="0"/>
    <n v="21952"/>
  </r>
  <r>
    <x v="0"/>
    <x v="9"/>
    <x v="2"/>
    <n v="1"/>
    <n v="30"/>
    <s v="00"/>
    <s v="046"/>
    <s v="13000-046"/>
    <s v="Clarinet production item #046"/>
    <s v="UNIQUE"/>
    <n v="0"/>
    <n v="9"/>
    <n v="0"/>
    <n v="0"/>
    <n v="0"/>
  </r>
  <r>
    <x v="0"/>
    <x v="9"/>
    <x v="2"/>
    <n v="1"/>
    <n v="30"/>
    <s v="00"/>
    <s v="047"/>
    <s v="13000-047"/>
    <s v="Clarinet production item #047"/>
    <s v="UNIQUE"/>
    <n v="202"/>
    <n v="343"/>
    <n v="17576"/>
    <n v="69286"/>
    <n v="6028568"/>
  </r>
  <r>
    <x v="0"/>
    <x v="9"/>
    <x v="2"/>
    <n v="1"/>
    <n v="30"/>
    <s v="00"/>
    <s v="048"/>
    <s v="13000-048"/>
    <s v="Clarinet production item #048"/>
    <s v="UNIQUE"/>
    <n v="0"/>
    <n v="4"/>
    <n v="9261"/>
    <n v="0"/>
    <n v="37044"/>
  </r>
  <r>
    <x v="0"/>
    <x v="9"/>
    <x v="2"/>
    <n v="1"/>
    <n v="30"/>
    <s v="00"/>
    <s v="049"/>
    <s v="13000-049"/>
    <s v="Clarinet production item #049"/>
    <s v="UNIQUE"/>
    <n v="0"/>
    <n v="216"/>
    <n v="9261"/>
    <n v="0"/>
    <n v="2000376"/>
  </r>
  <r>
    <x v="0"/>
    <x v="9"/>
    <x v="2"/>
    <n v="1"/>
    <n v="30"/>
    <s v="00"/>
    <s v="050"/>
    <s v="13000-050"/>
    <s v="Clarinet production item #050"/>
    <s v="UNIQUE"/>
    <n v="1899"/>
    <n v="512"/>
    <n v="784"/>
    <n v="972288"/>
    <n v="401408"/>
  </r>
  <r>
    <x v="0"/>
    <x v="9"/>
    <x v="2"/>
    <n v="1"/>
    <n v="30"/>
    <s v="00"/>
    <s v="051"/>
    <s v="13000-051"/>
    <s v="Clarinet production item #051"/>
    <s v="UNIQUE"/>
    <n v="0"/>
    <n v="729"/>
    <n v="17576"/>
    <n v="0"/>
    <n v="12812904"/>
  </r>
  <r>
    <x v="0"/>
    <x v="9"/>
    <x v="2"/>
    <n v="1"/>
    <n v="30"/>
    <s v="00"/>
    <s v="052"/>
    <s v="13000-052"/>
    <s v="Clarinet production item #052"/>
    <s v="UNIQUE"/>
    <n v="8784"/>
    <n v="1"/>
    <n v="8000"/>
    <n v="8784"/>
    <n v="8000"/>
  </r>
  <r>
    <x v="0"/>
    <x v="9"/>
    <x v="2"/>
    <n v="1"/>
    <n v="30"/>
    <s v="00"/>
    <s v="053"/>
    <s v="13000-053"/>
    <s v="Clarinet production item #053"/>
    <s v="UNIQUE"/>
    <n v="0"/>
    <n v="64"/>
    <n v="441"/>
    <n v="0"/>
    <n v="28224"/>
  </r>
  <r>
    <x v="0"/>
    <x v="9"/>
    <x v="2"/>
    <n v="1"/>
    <n v="30"/>
    <s v="00"/>
    <s v="054"/>
    <s v="13000-054"/>
    <s v="Clarinet production item #054"/>
    <s v="UNIQUE"/>
    <n v="31"/>
    <n v="1"/>
    <n v="27000"/>
    <n v="31"/>
    <n v="27000"/>
  </r>
  <r>
    <x v="0"/>
    <x v="9"/>
    <x v="2"/>
    <n v="1"/>
    <n v="30"/>
    <s v="00"/>
    <s v="055"/>
    <s v="13000-055"/>
    <s v="Clarinet production item #055"/>
    <s v="UNIQUE"/>
    <n v="0"/>
    <n v="729"/>
    <n v="27"/>
    <n v="0"/>
    <n v="19683"/>
  </r>
  <r>
    <x v="0"/>
    <x v="9"/>
    <x v="2"/>
    <n v="1"/>
    <n v="30"/>
    <s v="00"/>
    <s v="056"/>
    <s v="13000-056"/>
    <s v="Clarinet production item #056"/>
    <s v="UNIQUE"/>
    <n v="3339"/>
    <n v="6"/>
    <n v="121"/>
    <n v="20034"/>
    <n v="726"/>
  </r>
  <r>
    <x v="0"/>
    <x v="9"/>
    <x v="2"/>
    <n v="1"/>
    <n v="30"/>
    <s v="00"/>
    <s v="057"/>
    <s v="13000-057"/>
    <s v="Clarinet production item #057"/>
    <s v="UNIQUE"/>
    <n v="0"/>
    <n v="25"/>
    <n v="21"/>
    <n v="0"/>
    <n v="525"/>
  </r>
  <r>
    <x v="0"/>
    <x v="9"/>
    <x v="2"/>
    <n v="1"/>
    <n v="30"/>
    <s v="00"/>
    <s v="058"/>
    <s v="13000-058"/>
    <s v="Clarinet production item #058"/>
    <s v="UNIQUE"/>
    <n v="0"/>
    <n v="7"/>
    <n v="5"/>
    <n v="0"/>
    <n v="35"/>
  </r>
  <r>
    <x v="0"/>
    <x v="9"/>
    <x v="2"/>
    <n v="1"/>
    <n v="30"/>
    <s v="00"/>
    <s v="059"/>
    <s v="13000-059"/>
    <s v="Clarinet production item #059"/>
    <s v="UNIQUE"/>
    <n v="0"/>
    <n v="8"/>
    <n v="20"/>
    <n v="0"/>
    <n v="160"/>
  </r>
  <r>
    <x v="0"/>
    <x v="9"/>
    <x v="2"/>
    <n v="1"/>
    <n v="30"/>
    <s v="00"/>
    <s v="060"/>
    <s v="13000-060"/>
    <s v="Clarinet production item #060"/>
    <s v="UNIQUE"/>
    <n v="0"/>
    <n v="25"/>
    <n v="1000"/>
    <n v="0"/>
    <n v="25000"/>
  </r>
  <r>
    <x v="0"/>
    <x v="9"/>
    <x v="2"/>
    <n v="1"/>
    <n v="30"/>
    <s v="00"/>
    <s v="061"/>
    <s v="13000-061"/>
    <s v="Clarinet production item #061"/>
    <s v="UNIQUE"/>
    <n v="9"/>
    <n v="3"/>
    <n v="3375"/>
    <n v="27"/>
    <n v="10125"/>
  </r>
  <r>
    <x v="0"/>
    <x v="9"/>
    <x v="2"/>
    <n v="1"/>
    <n v="30"/>
    <s v="00"/>
    <s v="062"/>
    <s v="13000-062"/>
    <s v="Clarinet production item #062"/>
    <s v="UNIQUE"/>
    <n v="0"/>
    <n v="4"/>
    <n v="17"/>
    <n v="0"/>
    <n v="68"/>
  </r>
  <r>
    <x v="0"/>
    <x v="9"/>
    <x v="2"/>
    <n v="1"/>
    <n v="30"/>
    <s v="00"/>
    <s v="063"/>
    <s v="13000-063"/>
    <s v="Clarinet production item #063"/>
    <s v="UNIQUE"/>
    <n v="758"/>
    <n v="81"/>
    <n v="8"/>
    <n v="61398"/>
    <n v="648"/>
  </r>
  <r>
    <x v="0"/>
    <x v="9"/>
    <x v="2"/>
    <n v="1"/>
    <n v="30"/>
    <s v="00"/>
    <s v="064"/>
    <s v="13000-064"/>
    <s v="Clarinet production item #064"/>
    <s v="UNIQUE"/>
    <n v="0"/>
    <n v="6"/>
    <n v="0"/>
    <n v="0"/>
    <n v="0"/>
  </r>
  <r>
    <x v="0"/>
    <x v="9"/>
    <x v="2"/>
    <n v="1"/>
    <n v="30"/>
    <s v="00"/>
    <s v="065"/>
    <s v="13000-065"/>
    <s v="Clarinet production item #065"/>
    <s v="UNIQUE"/>
    <n v="8483"/>
    <n v="343"/>
    <n v="27"/>
    <n v="2909669"/>
    <n v="9261"/>
  </r>
  <r>
    <x v="0"/>
    <x v="9"/>
    <x v="2"/>
    <n v="1"/>
    <n v="30"/>
    <s v="00"/>
    <s v="066"/>
    <s v="13000-066"/>
    <s v="Clarinet production item #066"/>
    <s v="UNIQUE"/>
    <n v="994"/>
    <n v="5"/>
    <n v="21"/>
    <n v="4970"/>
    <n v="105"/>
  </r>
  <r>
    <x v="0"/>
    <x v="9"/>
    <x v="2"/>
    <n v="1"/>
    <n v="30"/>
    <s v="00"/>
    <s v="067"/>
    <s v="13000-067"/>
    <s v="Clarinet production item #067"/>
    <s v="UNIQUE"/>
    <n v="821"/>
    <n v="8"/>
    <n v="400"/>
    <n v="6568"/>
    <n v="3200"/>
  </r>
  <r>
    <x v="0"/>
    <x v="9"/>
    <x v="2"/>
    <n v="1"/>
    <n v="30"/>
    <s v="00"/>
    <s v="068"/>
    <s v="13000-068"/>
    <s v="Clarinet production item #068"/>
    <s v="UNIQUE"/>
    <n v="1"/>
    <n v="64"/>
    <n v="5832"/>
    <n v="64"/>
    <n v="373248"/>
  </r>
  <r>
    <x v="0"/>
    <x v="9"/>
    <x v="2"/>
    <n v="1"/>
    <n v="30"/>
    <s v="00"/>
    <s v="069"/>
    <s v="13000-069"/>
    <s v="Clarinet production item #069"/>
    <s v="UNIQUE"/>
    <n v="0"/>
    <n v="4"/>
    <n v="100"/>
    <n v="0"/>
    <n v="400"/>
  </r>
  <r>
    <x v="0"/>
    <x v="9"/>
    <x v="2"/>
    <n v="1"/>
    <n v="30"/>
    <s v="00"/>
    <s v="070"/>
    <s v="13000-070"/>
    <s v="Clarinet production item #070"/>
    <s v="UNIQUE"/>
    <n v="0"/>
    <n v="49"/>
    <n v="12"/>
    <n v="0"/>
    <n v="588"/>
  </r>
  <r>
    <x v="0"/>
    <x v="9"/>
    <x v="2"/>
    <n v="1"/>
    <n v="30"/>
    <s v="00"/>
    <s v="071"/>
    <s v="13000-071"/>
    <s v="Clarinet production item #071"/>
    <s v="UNIQUE"/>
    <n v="0"/>
    <n v="10"/>
    <n v="4913"/>
    <n v="0"/>
    <n v="49130"/>
  </r>
  <r>
    <x v="0"/>
    <x v="9"/>
    <x v="2"/>
    <n v="1"/>
    <n v="30"/>
    <s v="00"/>
    <s v="072"/>
    <s v="13000-072"/>
    <s v="Clarinet production item #072"/>
    <s v="UNIQUE"/>
    <n v="6"/>
    <n v="512"/>
    <n v="17"/>
    <n v="3072"/>
    <n v="8704"/>
  </r>
  <r>
    <x v="0"/>
    <x v="9"/>
    <x v="2"/>
    <n v="1"/>
    <n v="30"/>
    <s v="00"/>
    <s v="073"/>
    <s v="13000-073"/>
    <s v="Clarinet production item #073"/>
    <s v="UNIQUE"/>
    <n v="0"/>
    <n v="36"/>
    <n v="121"/>
    <n v="0"/>
    <n v="4356"/>
  </r>
  <r>
    <x v="0"/>
    <x v="9"/>
    <x v="2"/>
    <n v="1"/>
    <n v="30"/>
    <s v="00"/>
    <s v="074"/>
    <s v="13000-074"/>
    <s v="Clarinet production item #074"/>
    <s v="UNIQUE"/>
    <n v="2714"/>
    <n v="2"/>
    <n v="27000"/>
    <n v="5428"/>
    <n v="54000"/>
  </r>
  <r>
    <x v="0"/>
    <x v="9"/>
    <x v="2"/>
    <n v="1"/>
    <n v="30"/>
    <s v="00"/>
    <s v="075"/>
    <s v="13000-075"/>
    <s v="Clarinet production item #075"/>
    <s v="UNIQUE"/>
    <n v="285"/>
    <n v="7"/>
    <n v="0"/>
    <n v="1995"/>
    <n v="0"/>
  </r>
  <r>
    <x v="0"/>
    <x v="9"/>
    <x v="2"/>
    <n v="1"/>
    <n v="30"/>
    <s v="00"/>
    <s v="076"/>
    <s v="13000-076"/>
    <s v="Clarinet production item #076"/>
    <s v="UNIQUE"/>
    <n v="0"/>
    <n v="343"/>
    <n v="8"/>
    <n v="0"/>
    <n v="2744"/>
  </r>
  <r>
    <x v="0"/>
    <x v="9"/>
    <x v="2"/>
    <n v="1"/>
    <n v="30"/>
    <s v="00"/>
    <s v="077"/>
    <s v="13000-077"/>
    <s v="Clarinet production item #077"/>
    <s v="UNIQUE"/>
    <n v="0"/>
    <n v="16"/>
    <n v="4096"/>
    <n v="0"/>
    <n v="65536"/>
  </r>
  <r>
    <x v="0"/>
    <x v="9"/>
    <x v="2"/>
    <n v="1"/>
    <n v="30"/>
    <s v="00"/>
    <s v="078"/>
    <s v="13000-078"/>
    <s v="Clarinet production item #078"/>
    <s v="UNIQUE"/>
    <n v="1"/>
    <n v="3"/>
    <n v="729"/>
    <n v="3"/>
    <n v="2187"/>
  </r>
  <r>
    <x v="0"/>
    <x v="9"/>
    <x v="2"/>
    <n v="1"/>
    <n v="30"/>
    <s v="00"/>
    <s v="079"/>
    <s v="13000-079"/>
    <s v="Clarinet production item #079"/>
    <s v="UNIQUE"/>
    <n v="7"/>
    <n v="64"/>
    <n v="23"/>
    <n v="448"/>
    <n v="1472"/>
  </r>
  <r>
    <x v="0"/>
    <x v="9"/>
    <x v="2"/>
    <n v="1"/>
    <n v="30"/>
    <s v="00"/>
    <s v="080"/>
    <s v="13000-080"/>
    <s v="Clarinet production item #080"/>
    <s v="UNIQUE"/>
    <n v="0"/>
    <n v="9"/>
    <n v="27"/>
    <n v="0"/>
    <n v="243"/>
  </r>
  <r>
    <x v="0"/>
    <x v="9"/>
    <x v="2"/>
    <n v="1"/>
    <n v="30"/>
    <s v="00"/>
    <s v="081"/>
    <s v="13000-081"/>
    <s v="Clarinet production item #081"/>
    <s v="UNIQUE"/>
    <n v="0"/>
    <n v="64"/>
    <n v="16"/>
    <n v="0"/>
    <n v="1024"/>
  </r>
  <r>
    <x v="0"/>
    <x v="9"/>
    <x v="2"/>
    <n v="1"/>
    <n v="30"/>
    <s v="00"/>
    <s v="082"/>
    <s v="13000-082"/>
    <s v="Clarinet production item #082"/>
    <s v="UNIQUE"/>
    <n v="9164"/>
    <n v="125"/>
    <n v="16"/>
    <n v="1145500"/>
    <n v="2000"/>
  </r>
  <r>
    <x v="0"/>
    <x v="9"/>
    <x v="2"/>
    <n v="1"/>
    <n v="30"/>
    <s v="00"/>
    <s v="083"/>
    <s v="13000-083"/>
    <s v="Clarinet production item #083"/>
    <s v="UNIQUE"/>
    <n v="4"/>
    <n v="1"/>
    <n v="4913"/>
    <n v="4"/>
    <n v="4913"/>
  </r>
  <r>
    <x v="0"/>
    <x v="9"/>
    <x v="2"/>
    <n v="1"/>
    <n v="30"/>
    <s v="00"/>
    <s v="084"/>
    <s v="13000-084"/>
    <s v="Clarinet production item #084"/>
    <s v="UNIQUE"/>
    <n v="42"/>
    <n v="64"/>
    <n v="1728"/>
    <n v="2688"/>
    <n v="110592"/>
  </r>
  <r>
    <x v="0"/>
    <x v="9"/>
    <x v="2"/>
    <n v="1"/>
    <n v="30"/>
    <s v="00"/>
    <s v="085"/>
    <s v="13000-085"/>
    <s v="Clarinet production item #085"/>
    <s v="UNIQUE"/>
    <n v="0"/>
    <n v="1"/>
    <n v="36"/>
    <n v="0"/>
    <n v="36"/>
  </r>
  <r>
    <x v="0"/>
    <x v="9"/>
    <x v="2"/>
    <n v="1"/>
    <n v="30"/>
    <s v="00"/>
    <s v="086"/>
    <s v="13000-086"/>
    <s v="Clarinet production item #086"/>
    <s v="UNIQUE"/>
    <n v="0"/>
    <n v="64"/>
    <n v="11"/>
    <n v="0"/>
    <n v="704"/>
  </r>
  <r>
    <x v="0"/>
    <x v="9"/>
    <x v="2"/>
    <n v="1"/>
    <n v="30"/>
    <s v="00"/>
    <s v="087"/>
    <s v="13000-087"/>
    <s v="Clarinet production item #087"/>
    <s v="UNIQUE"/>
    <n v="806"/>
    <n v="3"/>
    <n v="676"/>
    <n v="2418"/>
    <n v="2028"/>
  </r>
  <r>
    <x v="0"/>
    <x v="9"/>
    <x v="2"/>
    <n v="1"/>
    <n v="30"/>
    <s v="00"/>
    <s v="088"/>
    <s v="13000-088"/>
    <s v="Clarinet production item #088"/>
    <s v="UNIQUE"/>
    <n v="0"/>
    <n v="1000"/>
    <n v="30"/>
    <n v="0"/>
    <n v="30000"/>
  </r>
  <r>
    <x v="0"/>
    <x v="9"/>
    <x v="2"/>
    <n v="1"/>
    <n v="30"/>
    <s v="00"/>
    <s v="089"/>
    <s v="13000-089"/>
    <s v="Clarinet production item #089"/>
    <s v="UNIQUE"/>
    <n v="0"/>
    <n v="81"/>
    <n v="1331"/>
    <n v="0"/>
    <n v="107811"/>
  </r>
  <r>
    <x v="0"/>
    <x v="9"/>
    <x v="2"/>
    <n v="1"/>
    <n v="30"/>
    <s v="00"/>
    <s v="090"/>
    <s v="13000-090"/>
    <s v="Clarinet production item #090"/>
    <s v="UNIQUE"/>
    <n v="8799"/>
    <n v="7"/>
    <n v="5832"/>
    <n v="61593"/>
    <n v="40824"/>
  </r>
  <r>
    <x v="0"/>
    <x v="9"/>
    <x v="2"/>
    <n v="1"/>
    <n v="30"/>
    <s v="00"/>
    <s v="091"/>
    <s v="13000-091"/>
    <s v="Clarinet production item #091"/>
    <s v="UNIQUE"/>
    <n v="0"/>
    <n v="81"/>
    <n v="841"/>
    <n v="0"/>
    <n v="68121"/>
  </r>
  <r>
    <x v="0"/>
    <x v="9"/>
    <x v="2"/>
    <n v="1"/>
    <n v="30"/>
    <s v="00"/>
    <s v="092"/>
    <s v="13000-092"/>
    <s v="Clarinet production item #092"/>
    <s v="UNIQUE"/>
    <n v="0"/>
    <n v="1"/>
    <n v="24"/>
    <n v="0"/>
    <n v="24"/>
  </r>
  <r>
    <x v="0"/>
    <x v="9"/>
    <x v="2"/>
    <n v="1"/>
    <n v="30"/>
    <s v="00"/>
    <s v="093"/>
    <s v="13000-093"/>
    <s v="Clarinet production item #093"/>
    <s v="UNIQUE"/>
    <n v="0"/>
    <n v="8"/>
    <n v="576"/>
    <n v="0"/>
    <n v="4608"/>
  </r>
  <r>
    <x v="0"/>
    <x v="9"/>
    <x v="2"/>
    <n v="1"/>
    <n v="30"/>
    <s v="00"/>
    <s v="094"/>
    <s v="13000-094"/>
    <s v="Clarinet production item #094"/>
    <s v="UNIQUE"/>
    <n v="51"/>
    <n v="8"/>
    <n v="24"/>
    <n v="408"/>
    <n v="192"/>
  </r>
  <r>
    <x v="0"/>
    <x v="9"/>
    <x v="2"/>
    <n v="1"/>
    <n v="30"/>
    <s v="00"/>
    <s v="095"/>
    <s v="13000-095"/>
    <s v="Clarinet production item #095"/>
    <s v="UNIQUE"/>
    <n v="0"/>
    <n v="1"/>
    <n v="529"/>
    <n v="0"/>
    <n v="529"/>
  </r>
  <r>
    <x v="0"/>
    <x v="9"/>
    <x v="2"/>
    <n v="1"/>
    <n v="30"/>
    <s v="00"/>
    <s v="096"/>
    <s v="13000-096"/>
    <s v="Clarinet production item #096"/>
    <s v="UNIQUE"/>
    <n v="401"/>
    <n v="100"/>
    <n v="25"/>
    <n v="40100"/>
    <n v="2500"/>
  </r>
  <r>
    <x v="0"/>
    <x v="9"/>
    <x v="2"/>
    <n v="1"/>
    <n v="30"/>
    <s v="00"/>
    <s v="097"/>
    <s v="13000-097"/>
    <s v="Clarinet production item #097"/>
    <s v="UNIQUE"/>
    <n v="0"/>
    <n v="343"/>
    <n v="6"/>
    <n v="0"/>
    <n v="2058"/>
  </r>
  <r>
    <x v="0"/>
    <x v="9"/>
    <x v="2"/>
    <n v="1"/>
    <n v="30"/>
    <s v="00"/>
    <s v="098"/>
    <s v="13000-098"/>
    <s v="Clarinet production item #098"/>
    <s v="UNIQUE"/>
    <n v="1"/>
    <n v="9"/>
    <n v="8000"/>
    <n v="9"/>
    <n v="72000"/>
  </r>
  <r>
    <x v="0"/>
    <x v="9"/>
    <x v="2"/>
    <n v="1"/>
    <n v="30"/>
    <s v="00"/>
    <s v="099"/>
    <s v="13000-099"/>
    <s v="Clarinet production item #099"/>
    <s v="UNIQUE"/>
    <n v="58"/>
    <n v="36"/>
    <n v="64"/>
    <n v="2088"/>
    <n v="2304"/>
  </r>
  <r>
    <x v="0"/>
    <x v="9"/>
    <x v="2"/>
    <n v="1"/>
    <n v="30"/>
    <s v="00"/>
    <s v="100"/>
    <s v="13000-100"/>
    <s v="Clarinet production item #100"/>
    <s v="UNIQUE"/>
    <n v="0"/>
    <n v="4"/>
    <n v="9"/>
    <n v="0"/>
    <n v="36"/>
  </r>
  <r>
    <x v="0"/>
    <x v="9"/>
    <x v="2"/>
    <n v="1"/>
    <n v="30"/>
    <s v="00"/>
    <s v="101"/>
    <s v="13000-101"/>
    <s v="Clarinet production item #101"/>
    <s v="UNIQUE"/>
    <n v="904"/>
    <n v="1"/>
    <n v="125"/>
    <n v="904"/>
    <n v="125"/>
  </r>
  <r>
    <x v="0"/>
    <x v="9"/>
    <x v="2"/>
    <n v="1"/>
    <n v="30"/>
    <s v="00"/>
    <s v="102"/>
    <s v="13000-102"/>
    <s v="Clarinet production item #102"/>
    <s v="UNIQUE"/>
    <n v="0"/>
    <n v="2"/>
    <n v="1331"/>
    <n v="0"/>
    <n v="2662"/>
  </r>
  <r>
    <x v="0"/>
    <x v="9"/>
    <x v="2"/>
    <n v="1"/>
    <n v="30"/>
    <s v="00"/>
    <s v="103"/>
    <s v="13000-103"/>
    <s v="Clarinet production item #103"/>
    <s v="UNIQUE"/>
    <n v="2464"/>
    <n v="4"/>
    <n v="13"/>
    <n v="9856"/>
    <n v="52"/>
  </r>
  <r>
    <x v="0"/>
    <x v="9"/>
    <x v="2"/>
    <n v="1"/>
    <n v="30"/>
    <s v="00"/>
    <s v="104"/>
    <s v="13000-104"/>
    <s v="Clarinet production item #104"/>
    <s v="UNIQUE"/>
    <n v="0"/>
    <n v="36"/>
    <n v="1728"/>
    <n v="0"/>
    <n v="62208"/>
  </r>
  <r>
    <x v="0"/>
    <x v="9"/>
    <x v="2"/>
    <n v="1"/>
    <n v="30"/>
    <s v="00"/>
    <s v="105"/>
    <s v="13000-105"/>
    <s v="Clarinet production item #105"/>
    <s v="UNIQUE"/>
    <n v="0"/>
    <n v="27"/>
    <n v="676"/>
    <n v="0"/>
    <n v="18252"/>
  </r>
  <r>
    <x v="0"/>
    <x v="9"/>
    <x v="2"/>
    <n v="1"/>
    <n v="30"/>
    <s v="00"/>
    <s v="106"/>
    <s v="13000-106"/>
    <s v="Clarinet production item #106"/>
    <s v="UNIQUE"/>
    <n v="1"/>
    <n v="125"/>
    <n v="784"/>
    <n v="125"/>
    <n v="98000"/>
  </r>
  <r>
    <x v="0"/>
    <x v="9"/>
    <x v="2"/>
    <n v="1"/>
    <n v="30"/>
    <s v="00"/>
    <s v="107"/>
    <s v="13000-107"/>
    <s v="Clarinet production item #107"/>
    <s v="UNIQUE"/>
    <n v="0"/>
    <n v="27"/>
    <n v="25"/>
    <n v="0"/>
    <n v="675"/>
  </r>
  <r>
    <x v="0"/>
    <x v="9"/>
    <x v="2"/>
    <n v="1"/>
    <n v="30"/>
    <s v="00"/>
    <s v="108"/>
    <s v="13000-108"/>
    <s v="Clarinet production item #108"/>
    <s v="UNIQUE"/>
    <n v="0"/>
    <n v="343"/>
    <n v="144"/>
    <n v="0"/>
    <n v="49392"/>
  </r>
  <r>
    <x v="0"/>
    <x v="9"/>
    <x v="2"/>
    <n v="1"/>
    <n v="30"/>
    <s v="00"/>
    <s v="109"/>
    <s v="13000-109"/>
    <s v="Clarinet production item #109"/>
    <s v="UNIQUE"/>
    <n v="0"/>
    <n v="216"/>
    <n v="36"/>
    <n v="0"/>
    <n v="7776"/>
  </r>
  <r>
    <x v="0"/>
    <x v="9"/>
    <x v="2"/>
    <n v="1"/>
    <n v="30"/>
    <s v="00"/>
    <s v="110"/>
    <s v="13000-110"/>
    <s v="Clarinet production item #110"/>
    <s v="UNIQUE"/>
    <n v="0"/>
    <n v="2"/>
    <n v="1728"/>
    <n v="0"/>
    <n v="3456"/>
  </r>
  <r>
    <x v="0"/>
    <x v="9"/>
    <x v="2"/>
    <n v="1"/>
    <n v="30"/>
    <s v="00"/>
    <s v="111"/>
    <s v="13000-111"/>
    <s v="Clarinet production item #111"/>
    <s v="UNIQUE"/>
    <n v="0"/>
    <n v="1"/>
    <n v="576"/>
    <n v="0"/>
    <n v="576"/>
  </r>
  <r>
    <x v="0"/>
    <x v="9"/>
    <x v="2"/>
    <n v="1"/>
    <n v="30"/>
    <s v="00"/>
    <s v="112"/>
    <s v="13000-112"/>
    <s v="Clarinet production item #112"/>
    <s v="UNIQUE"/>
    <n v="37"/>
    <n v="729"/>
    <n v="1"/>
    <n v="26973"/>
    <n v="729"/>
  </r>
  <r>
    <x v="0"/>
    <x v="9"/>
    <x v="2"/>
    <n v="1"/>
    <n v="30"/>
    <s v="00"/>
    <s v="113"/>
    <s v="13000-113"/>
    <s v="Clarinet production item #113"/>
    <s v="UNIQUE"/>
    <n v="6682"/>
    <n v="4"/>
    <n v="0"/>
    <n v="26728"/>
    <n v="0"/>
  </r>
  <r>
    <x v="0"/>
    <x v="9"/>
    <x v="2"/>
    <n v="1"/>
    <n v="30"/>
    <s v="00"/>
    <s v="114"/>
    <s v="13000-114"/>
    <s v="Clarinet production item #114"/>
    <s v="UNIQUE"/>
    <n v="0"/>
    <n v="8"/>
    <n v="125"/>
    <n v="0"/>
    <n v="1000"/>
  </r>
  <r>
    <x v="0"/>
    <x v="9"/>
    <x v="2"/>
    <n v="1"/>
    <n v="30"/>
    <s v="00"/>
    <s v="115"/>
    <s v="13000-115"/>
    <s v="Clarinet production item #115"/>
    <s v="UNIQUE"/>
    <n v="8"/>
    <n v="9"/>
    <n v="625"/>
    <n v="72"/>
    <n v="5625"/>
  </r>
  <r>
    <x v="0"/>
    <x v="9"/>
    <x v="2"/>
    <n v="1"/>
    <n v="30"/>
    <s v="00"/>
    <s v="116"/>
    <s v="13000-116"/>
    <s v="Clarinet production item #116"/>
    <s v="UNIQUE"/>
    <n v="41"/>
    <n v="27"/>
    <n v="16"/>
    <n v="1107"/>
    <n v="432"/>
  </r>
  <r>
    <x v="0"/>
    <x v="9"/>
    <x v="2"/>
    <n v="1"/>
    <n v="30"/>
    <s v="00"/>
    <s v="117"/>
    <s v="13000-117"/>
    <s v="Clarinet production item #117"/>
    <s v="UNIQUE"/>
    <n v="0"/>
    <n v="216"/>
    <n v="784"/>
    <n v="0"/>
    <n v="169344"/>
  </r>
  <r>
    <x v="0"/>
    <x v="9"/>
    <x v="2"/>
    <n v="1"/>
    <n v="30"/>
    <s v="00"/>
    <s v="118"/>
    <s v="13000-118"/>
    <s v="Clarinet production item #118"/>
    <s v="UNIQUE"/>
    <n v="268"/>
    <n v="9"/>
    <n v="64"/>
    <n v="2412"/>
    <n v="576"/>
  </r>
  <r>
    <x v="0"/>
    <x v="9"/>
    <x v="2"/>
    <n v="1"/>
    <n v="30"/>
    <s v="00"/>
    <s v="119"/>
    <s v="13000-119"/>
    <s v="Clarinet production item #119"/>
    <s v="UNIQUE"/>
    <n v="0"/>
    <n v="10"/>
    <n v="0"/>
    <n v="0"/>
    <n v="0"/>
  </r>
  <r>
    <x v="0"/>
    <x v="9"/>
    <x v="2"/>
    <n v="1"/>
    <n v="30"/>
    <s v="00"/>
    <s v="120"/>
    <s v="13000-120"/>
    <s v="Clarinet production item #120"/>
    <s v="UNIQUE"/>
    <n v="0"/>
    <n v="64"/>
    <n v="225"/>
    <n v="0"/>
    <n v="14400"/>
  </r>
  <r>
    <x v="0"/>
    <x v="9"/>
    <x v="2"/>
    <n v="1"/>
    <n v="30"/>
    <s v="00"/>
    <s v="121"/>
    <s v="13000-121"/>
    <s v="Clarinet production item #121"/>
    <s v="UNIQUE"/>
    <n v="0"/>
    <n v="4"/>
    <n v="22"/>
    <n v="0"/>
    <n v="88"/>
  </r>
  <r>
    <x v="0"/>
    <x v="9"/>
    <x v="2"/>
    <n v="1"/>
    <n v="30"/>
    <s v="00"/>
    <s v="122"/>
    <s v="13000-122"/>
    <s v="Clarinet production item #122"/>
    <s v="UNIQUE"/>
    <n v="10"/>
    <n v="16"/>
    <n v="400"/>
    <n v="160"/>
    <n v="6400"/>
  </r>
  <r>
    <x v="0"/>
    <x v="9"/>
    <x v="2"/>
    <n v="1"/>
    <n v="30"/>
    <s v="00"/>
    <s v="123"/>
    <s v="13000-123"/>
    <s v="Clarinet production item #123"/>
    <s v="UNIQUE"/>
    <n v="0"/>
    <n v="36"/>
    <n v="11"/>
    <n v="0"/>
    <n v="396"/>
  </r>
  <r>
    <x v="0"/>
    <x v="9"/>
    <x v="2"/>
    <n v="1"/>
    <n v="30"/>
    <s v="00"/>
    <s v="124"/>
    <s v="13000-124"/>
    <s v="Clarinet production item #124"/>
    <s v="UNIQUE"/>
    <n v="0"/>
    <n v="2"/>
    <n v="4096"/>
    <n v="0"/>
    <n v="8192"/>
  </r>
  <r>
    <x v="0"/>
    <x v="9"/>
    <x v="2"/>
    <n v="1"/>
    <n v="30"/>
    <s v="00"/>
    <s v="125"/>
    <s v="13000-125"/>
    <s v="Clarinet production item #125"/>
    <s v="UNIQUE"/>
    <n v="60"/>
    <n v="1"/>
    <n v="22"/>
    <n v="60"/>
    <n v="22"/>
  </r>
  <r>
    <x v="0"/>
    <x v="9"/>
    <x v="2"/>
    <n v="1"/>
    <n v="30"/>
    <s v="00"/>
    <s v="126"/>
    <s v="13000-126"/>
    <s v="Clarinet production item #126"/>
    <s v="UNIQUE"/>
    <n v="0"/>
    <n v="3"/>
    <n v="289"/>
    <n v="0"/>
    <n v="867"/>
  </r>
  <r>
    <x v="0"/>
    <x v="9"/>
    <x v="2"/>
    <n v="1"/>
    <n v="30"/>
    <s v="00"/>
    <s v="127"/>
    <s v="13000-127"/>
    <s v="Clarinet production item #127"/>
    <s v="UNIQUE"/>
    <n v="0"/>
    <n v="6"/>
    <n v="121"/>
    <n v="0"/>
    <n v="726"/>
  </r>
  <r>
    <x v="0"/>
    <x v="9"/>
    <x v="2"/>
    <n v="1"/>
    <n v="30"/>
    <s v="00"/>
    <s v="128"/>
    <s v="13000-128"/>
    <s v="Clarinet production item #128"/>
    <s v="UNIQUE"/>
    <n v="1"/>
    <n v="8"/>
    <n v="7"/>
    <n v="8"/>
    <n v="56"/>
  </r>
  <r>
    <x v="0"/>
    <x v="9"/>
    <x v="2"/>
    <n v="1"/>
    <n v="30"/>
    <s v="00"/>
    <s v="129"/>
    <s v="13000-129"/>
    <s v="Clarinet production item #129"/>
    <s v="UNIQUE"/>
    <n v="9"/>
    <n v="125"/>
    <n v="16"/>
    <n v="1125"/>
    <n v="2000"/>
  </r>
  <r>
    <x v="0"/>
    <x v="9"/>
    <x v="2"/>
    <n v="1"/>
    <n v="30"/>
    <s v="00"/>
    <s v="130"/>
    <s v="13000-130"/>
    <s v="Clarinet production item #130"/>
    <s v="UNIQUE"/>
    <n v="370"/>
    <n v="8"/>
    <n v="8"/>
    <n v="2960"/>
    <n v="64"/>
  </r>
  <r>
    <x v="0"/>
    <x v="9"/>
    <x v="2"/>
    <n v="1"/>
    <n v="30"/>
    <s v="00"/>
    <s v="131"/>
    <s v="13000-131"/>
    <s v="Clarinet production item #131"/>
    <s v="UNIQUE"/>
    <n v="576"/>
    <n v="16"/>
    <n v="729"/>
    <n v="9216"/>
    <n v="11664"/>
  </r>
  <r>
    <x v="0"/>
    <x v="9"/>
    <x v="2"/>
    <n v="1"/>
    <n v="30"/>
    <s v="00"/>
    <s v="132"/>
    <s v="13000-132"/>
    <s v="Clarinet production item #132"/>
    <s v="UNIQUE"/>
    <n v="0"/>
    <n v="9"/>
    <n v="64"/>
    <n v="0"/>
    <n v="576"/>
  </r>
  <r>
    <x v="0"/>
    <x v="9"/>
    <x v="2"/>
    <n v="1"/>
    <n v="30"/>
    <s v="00"/>
    <s v="133"/>
    <s v="13000-133"/>
    <s v="Clarinet production item #133"/>
    <s v="UNIQUE"/>
    <n v="0"/>
    <n v="8"/>
    <n v="64"/>
    <n v="0"/>
    <n v="512"/>
  </r>
  <r>
    <x v="0"/>
    <x v="9"/>
    <x v="2"/>
    <n v="1"/>
    <n v="30"/>
    <s v="00"/>
    <s v="134"/>
    <s v="13000-134"/>
    <s v="Clarinet production item #134"/>
    <s v="UNIQUE"/>
    <n v="0"/>
    <n v="4"/>
    <n v="1728"/>
    <n v="0"/>
    <n v="6912"/>
  </r>
  <r>
    <x v="0"/>
    <x v="9"/>
    <x v="2"/>
    <n v="1"/>
    <n v="30"/>
    <s v="00"/>
    <s v="135"/>
    <s v="13000-135"/>
    <s v="Clarinet production item #135"/>
    <s v="UNIQUE"/>
    <n v="655"/>
    <n v="1"/>
    <n v="1000"/>
    <n v="655"/>
    <n v="1000"/>
  </r>
  <r>
    <x v="0"/>
    <x v="9"/>
    <x v="2"/>
    <n v="1"/>
    <n v="30"/>
    <s v="00"/>
    <s v="136"/>
    <s v="13000-136"/>
    <s v="Clarinet production item #136"/>
    <s v="UNIQUE"/>
    <n v="8458"/>
    <n v="25"/>
    <n v="1"/>
    <n v="211450"/>
    <n v="25"/>
  </r>
  <r>
    <x v="0"/>
    <x v="9"/>
    <x v="2"/>
    <n v="1"/>
    <n v="30"/>
    <s v="00"/>
    <s v="137"/>
    <s v="13000-137"/>
    <s v="Clarinet production item #137"/>
    <s v="UNIQUE"/>
    <n v="411"/>
    <n v="512"/>
    <n v="21952"/>
    <n v="210432"/>
    <n v="11239424"/>
  </r>
  <r>
    <x v="0"/>
    <x v="9"/>
    <x v="2"/>
    <n v="1"/>
    <n v="30"/>
    <s v="00"/>
    <s v="138"/>
    <s v="13000-138"/>
    <s v="Clarinet production item #138"/>
    <s v="UNIQUE"/>
    <n v="0"/>
    <n v="8"/>
    <n v="1"/>
    <n v="0"/>
    <n v="8"/>
  </r>
  <r>
    <x v="0"/>
    <x v="9"/>
    <x v="2"/>
    <n v="1"/>
    <n v="30"/>
    <s v="00"/>
    <s v="139"/>
    <s v="13000-139"/>
    <s v="Clarinet production item #139"/>
    <s v="UNIQUE"/>
    <n v="927"/>
    <n v="216"/>
    <n v="15"/>
    <n v="200232"/>
    <n v="3240"/>
  </r>
  <r>
    <x v="0"/>
    <x v="9"/>
    <x v="2"/>
    <n v="1"/>
    <n v="30"/>
    <s v="00"/>
    <s v="140"/>
    <s v="13000-140"/>
    <s v="Clarinet production item #140"/>
    <s v="UNIQUE"/>
    <n v="0"/>
    <n v="9"/>
    <n v="81"/>
    <n v="0"/>
    <n v="729"/>
  </r>
  <r>
    <x v="0"/>
    <x v="9"/>
    <x v="2"/>
    <n v="1"/>
    <n v="30"/>
    <s v="00"/>
    <s v="141"/>
    <s v="13000-141"/>
    <s v="Clarinet production item #141"/>
    <s v="UNIQUE"/>
    <n v="0"/>
    <n v="100"/>
    <n v="18"/>
    <n v="0"/>
    <n v="1800"/>
  </r>
  <r>
    <x v="0"/>
    <x v="9"/>
    <x v="2"/>
    <n v="1"/>
    <n v="30"/>
    <s v="00"/>
    <s v="142"/>
    <s v="13000-142"/>
    <s v="Clarinet production item #142"/>
    <s v="UNIQUE"/>
    <n v="0"/>
    <n v="125"/>
    <n v="6"/>
    <n v="0"/>
    <n v="750"/>
  </r>
  <r>
    <x v="0"/>
    <x v="9"/>
    <x v="2"/>
    <n v="1"/>
    <n v="30"/>
    <s v="00"/>
    <s v="143"/>
    <s v="13000-143"/>
    <s v="Clarinet production item #143"/>
    <s v="UNIQUE"/>
    <n v="0"/>
    <n v="1000"/>
    <n v="9261"/>
    <n v="0"/>
    <n v="9261000"/>
  </r>
  <r>
    <x v="0"/>
    <x v="9"/>
    <x v="2"/>
    <n v="1"/>
    <n v="30"/>
    <s v="00"/>
    <s v="144"/>
    <s v="13000-144"/>
    <s v="Clarinet production item #144"/>
    <s v="UNIQUE"/>
    <n v="1"/>
    <n v="4"/>
    <n v="21"/>
    <n v="4"/>
    <n v="84"/>
  </r>
  <r>
    <x v="0"/>
    <x v="9"/>
    <x v="2"/>
    <n v="1"/>
    <n v="30"/>
    <s v="00"/>
    <s v="145"/>
    <s v="13000-145"/>
    <s v="Clarinet production item #145"/>
    <s v="UNIQUE"/>
    <n v="0"/>
    <n v="64"/>
    <n v="2"/>
    <n v="0"/>
    <n v="128"/>
  </r>
  <r>
    <x v="0"/>
    <x v="9"/>
    <x v="2"/>
    <n v="1"/>
    <n v="30"/>
    <s v="00"/>
    <s v="146"/>
    <s v="13000-146"/>
    <s v="Clarinet production item #146"/>
    <s v="UNIQUE"/>
    <n v="6454"/>
    <n v="27"/>
    <n v="1"/>
    <n v="174258"/>
    <n v="27"/>
  </r>
  <r>
    <x v="0"/>
    <x v="9"/>
    <x v="2"/>
    <n v="1"/>
    <n v="30"/>
    <s v="00"/>
    <s v="147"/>
    <s v="13000-147"/>
    <s v="Clarinet production item #147"/>
    <s v="UNIQUE"/>
    <n v="9"/>
    <n v="64"/>
    <n v="21952"/>
    <n v="576"/>
    <n v="1404928"/>
  </r>
  <r>
    <x v="0"/>
    <x v="9"/>
    <x v="2"/>
    <n v="1"/>
    <n v="30"/>
    <s v="00"/>
    <s v="148"/>
    <s v="13000-148"/>
    <s v="Clarinet production item #148"/>
    <s v="UNIQUE"/>
    <n v="6"/>
    <n v="36"/>
    <n v="10"/>
    <n v="216"/>
    <n v="360"/>
  </r>
  <r>
    <x v="0"/>
    <x v="9"/>
    <x v="2"/>
    <n v="1"/>
    <n v="30"/>
    <s v="00"/>
    <s v="149"/>
    <s v="13000-149"/>
    <s v="Clarinet production item #149"/>
    <s v="UNIQUE"/>
    <n v="13"/>
    <n v="729"/>
    <n v="1331"/>
    <n v="9477"/>
    <n v="970299"/>
  </r>
  <r>
    <x v="0"/>
    <x v="9"/>
    <x v="2"/>
    <n v="1"/>
    <n v="30"/>
    <s v="00"/>
    <s v="150"/>
    <s v="13000-150"/>
    <s v="Clarinet production item #150"/>
    <s v="UNIQUE"/>
    <n v="0"/>
    <n v="1"/>
    <n v="7"/>
    <n v="0"/>
    <n v="7"/>
  </r>
  <r>
    <x v="0"/>
    <x v="9"/>
    <x v="2"/>
    <n v="1"/>
    <n v="30"/>
    <s v="00"/>
    <s v="151"/>
    <s v="13000-151"/>
    <s v="Clarinet production item #151"/>
    <s v="UNIQUE"/>
    <n v="0"/>
    <n v="1"/>
    <n v="27"/>
    <n v="0"/>
    <n v="27"/>
  </r>
  <r>
    <x v="0"/>
    <x v="9"/>
    <x v="2"/>
    <n v="1"/>
    <n v="30"/>
    <s v="00"/>
    <s v="152"/>
    <s v="13000-152"/>
    <s v="Clarinet production item #152"/>
    <s v="UNIQUE"/>
    <n v="0"/>
    <n v="81"/>
    <n v="22"/>
    <n v="0"/>
    <n v="1782"/>
  </r>
  <r>
    <x v="0"/>
    <x v="9"/>
    <x v="2"/>
    <n v="1"/>
    <n v="30"/>
    <s v="00"/>
    <s v="153"/>
    <s v="13000-153"/>
    <s v="Clarinet production item #153"/>
    <s v="UNIQUE"/>
    <n v="0"/>
    <n v="81"/>
    <n v="64"/>
    <n v="0"/>
    <n v="5184"/>
  </r>
  <r>
    <x v="0"/>
    <x v="9"/>
    <x v="2"/>
    <n v="1"/>
    <n v="30"/>
    <s v="00"/>
    <s v="154"/>
    <s v="13000-154"/>
    <s v="Clarinet production item #154"/>
    <s v="UNIQUE"/>
    <n v="0"/>
    <n v="1"/>
    <n v="5832"/>
    <n v="0"/>
    <n v="5832"/>
  </r>
  <r>
    <x v="0"/>
    <x v="9"/>
    <x v="2"/>
    <n v="1"/>
    <n v="30"/>
    <s v="00"/>
    <s v="155"/>
    <s v="13000-155"/>
    <s v="Clarinet production item #155"/>
    <s v="UNIQUE"/>
    <n v="0"/>
    <n v="1"/>
    <n v="0"/>
    <n v="0"/>
    <n v="0"/>
  </r>
  <r>
    <x v="0"/>
    <x v="9"/>
    <x v="2"/>
    <n v="1"/>
    <n v="30"/>
    <s v="00"/>
    <s v="156"/>
    <s v="13000-156"/>
    <s v="Clarinet production item #156"/>
    <s v="UNIQUE"/>
    <n v="3108"/>
    <n v="16"/>
    <n v="196"/>
    <n v="49728"/>
    <n v="3136"/>
  </r>
  <r>
    <x v="0"/>
    <x v="9"/>
    <x v="2"/>
    <n v="1"/>
    <n v="30"/>
    <s v="00"/>
    <s v="157"/>
    <s v="13000-157"/>
    <s v="Clarinet production item #157"/>
    <s v="UNIQUE"/>
    <n v="0"/>
    <n v="1"/>
    <n v="216"/>
    <n v="0"/>
    <n v="216"/>
  </r>
  <r>
    <x v="0"/>
    <x v="9"/>
    <x v="2"/>
    <n v="1"/>
    <n v="30"/>
    <s v="00"/>
    <s v="158"/>
    <s v="13000-158"/>
    <s v="Clarinet production item #158"/>
    <s v="UNIQUE"/>
    <n v="74"/>
    <n v="2"/>
    <n v="6"/>
    <n v="148"/>
    <n v="12"/>
  </r>
  <r>
    <x v="0"/>
    <x v="9"/>
    <x v="2"/>
    <n v="1"/>
    <n v="30"/>
    <s v="00"/>
    <s v="159"/>
    <s v="13000-159"/>
    <s v="Clarinet production item #159"/>
    <s v="UNIQUE"/>
    <n v="0"/>
    <n v="5"/>
    <n v="125"/>
    <n v="0"/>
    <n v="625"/>
  </r>
  <r>
    <x v="0"/>
    <x v="9"/>
    <x v="2"/>
    <n v="1"/>
    <n v="30"/>
    <s v="00"/>
    <s v="160"/>
    <s v="13000-160"/>
    <s v="Clarinet production item #160"/>
    <s v="UNIQUE"/>
    <n v="0"/>
    <n v="64"/>
    <n v="9261"/>
    <n v="0"/>
    <n v="592704"/>
  </r>
  <r>
    <x v="0"/>
    <x v="9"/>
    <x v="2"/>
    <n v="1"/>
    <n v="30"/>
    <s v="00"/>
    <s v="161"/>
    <s v="13000-161"/>
    <s v="Clarinet production item #161"/>
    <s v="UNIQUE"/>
    <n v="992"/>
    <n v="9"/>
    <n v="5832"/>
    <n v="8928"/>
    <n v="52488"/>
  </r>
  <r>
    <x v="0"/>
    <x v="9"/>
    <x v="2"/>
    <n v="1"/>
    <n v="30"/>
    <s v="00"/>
    <s v="162"/>
    <s v="13000-162"/>
    <s v="Clarinet production item #162"/>
    <s v="UNIQUE"/>
    <n v="0"/>
    <n v="4"/>
    <n v="256"/>
    <n v="0"/>
    <n v="1024"/>
  </r>
  <r>
    <x v="0"/>
    <x v="9"/>
    <x v="2"/>
    <n v="1"/>
    <n v="30"/>
    <s v="00"/>
    <s v="163"/>
    <s v="13000-163"/>
    <s v="Clarinet production item #163"/>
    <s v="UNIQUE"/>
    <n v="0"/>
    <n v="27"/>
    <n v="25"/>
    <n v="0"/>
    <n v="675"/>
  </r>
  <r>
    <x v="0"/>
    <x v="9"/>
    <x v="2"/>
    <n v="1"/>
    <n v="30"/>
    <s v="00"/>
    <s v="164"/>
    <s v="13000-164"/>
    <s v="Clarinet production item #164"/>
    <s v="UNIQUE"/>
    <n v="1"/>
    <n v="8"/>
    <n v="17"/>
    <n v="8"/>
    <n v="136"/>
  </r>
  <r>
    <x v="0"/>
    <x v="9"/>
    <x v="2"/>
    <n v="1"/>
    <n v="30"/>
    <s v="00"/>
    <s v="165"/>
    <s v="13000-165"/>
    <s v="Clarinet production item #165"/>
    <s v="UNIQUE"/>
    <n v="0"/>
    <n v="729"/>
    <n v="144"/>
    <n v="0"/>
    <n v="104976"/>
  </r>
  <r>
    <x v="0"/>
    <x v="9"/>
    <x v="2"/>
    <n v="1"/>
    <n v="30"/>
    <s v="00"/>
    <s v="166"/>
    <s v="13000-166"/>
    <s v="Clarinet production item #166"/>
    <s v="UNIQUE"/>
    <n v="0"/>
    <n v="5"/>
    <n v="529"/>
    <n v="0"/>
    <n v="2645"/>
  </r>
  <r>
    <x v="0"/>
    <x v="9"/>
    <x v="2"/>
    <n v="1"/>
    <n v="30"/>
    <s v="00"/>
    <s v="167"/>
    <s v="13000-167"/>
    <s v="Clarinet production item #167"/>
    <s v="UNIQUE"/>
    <n v="0"/>
    <n v="8"/>
    <n v="28"/>
    <n v="0"/>
    <n v="224"/>
  </r>
  <r>
    <x v="0"/>
    <x v="9"/>
    <x v="2"/>
    <n v="1"/>
    <n v="30"/>
    <s v="00"/>
    <s v="168"/>
    <s v="13000-168"/>
    <s v="Clarinet production item #168"/>
    <s v="UNIQUE"/>
    <n v="0"/>
    <n v="9"/>
    <n v="2197"/>
    <n v="0"/>
    <n v="19773"/>
  </r>
  <r>
    <x v="0"/>
    <x v="9"/>
    <x v="2"/>
    <n v="1"/>
    <n v="30"/>
    <s v="00"/>
    <s v="169"/>
    <s v="13000-169"/>
    <s v="Clarinet production item #169"/>
    <s v="UNIQUE"/>
    <n v="556"/>
    <n v="3"/>
    <n v="512"/>
    <n v="1668"/>
    <n v="1536"/>
  </r>
  <r>
    <x v="0"/>
    <x v="9"/>
    <x v="2"/>
    <n v="1"/>
    <n v="30"/>
    <s v="00"/>
    <s v="170"/>
    <s v="13000-170"/>
    <s v="Clarinet production item #170"/>
    <s v="UNIQUE"/>
    <n v="1"/>
    <n v="27"/>
    <n v="10648"/>
    <n v="27"/>
    <n v="287496"/>
  </r>
  <r>
    <x v="0"/>
    <x v="9"/>
    <x v="2"/>
    <n v="1"/>
    <n v="30"/>
    <s v="00"/>
    <s v="171"/>
    <s v="13000-171"/>
    <s v="Clarinet production item #171"/>
    <s v="UNIQUE"/>
    <n v="0"/>
    <n v="9"/>
    <n v="576"/>
    <n v="0"/>
    <n v="5184"/>
  </r>
  <r>
    <x v="0"/>
    <x v="9"/>
    <x v="2"/>
    <n v="1"/>
    <n v="30"/>
    <s v="00"/>
    <s v="172"/>
    <s v="13000-172"/>
    <s v="Clarinet production item #172"/>
    <s v="UNIQUE"/>
    <n v="158"/>
    <n v="49"/>
    <n v="400"/>
    <n v="7742"/>
    <n v="19600"/>
  </r>
  <r>
    <x v="0"/>
    <x v="9"/>
    <x v="2"/>
    <n v="1"/>
    <n v="30"/>
    <s v="00"/>
    <s v="173"/>
    <s v="13000-173"/>
    <s v="Clarinet production item #173"/>
    <s v="UNIQUE"/>
    <n v="0"/>
    <n v="8"/>
    <n v="27"/>
    <n v="0"/>
    <n v="216"/>
  </r>
  <r>
    <x v="0"/>
    <x v="9"/>
    <x v="2"/>
    <n v="1"/>
    <n v="30"/>
    <s v="00"/>
    <s v="174"/>
    <s v="13000-174"/>
    <s v="Clarinet production item #174"/>
    <s v="UNIQUE"/>
    <n v="1"/>
    <n v="36"/>
    <n v="8"/>
    <n v="36"/>
    <n v="288"/>
  </r>
  <r>
    <x v="0"/>
    <x v="9"/>
    <x v="2"/>
    <n v="1"/>
    <n v="30"/>
    <s v="00"/>
    <s v="175"/>
    <s v="13000-175"/>
    <s v="Clarinet production item #175"/>
    <s v="UNIQUE"/>
    <n v="1"/>
    <n v="4"/>
    <n v="1331"/>
    <n v="4"/>
    <n v="5324"/>
  </r>
  <r>
    <x v="0"/>
    <x v="9"/>
    <x v="2"/>
    <n v="1"/>
    <n v="30"/>
    <s v="00"/>
    <s v="176"/>
    <s v="13000-176"/>
    <s v="Clarinet production item #176"/>
    <s v="UNIQUE"/>
    <n v="1"/>
    <n v="1"/>
    <n v="27000"/>
    <n v="1"/>
    <n v="27000"/>
  </r>
  <r>
    <x v="0"/>
    <x v="9"/>
    <x v="2"/>
    <n v="1"/>
    <n v="30"/>
    <s v="00"/>
    <s v="177"/>
    <s v="13000-177"/>
    <s v="Clarinet production item #177"/>
    <s v="UNIQUE"/>
    <n v="9"/>
    <n v="512"/>
    <n v="784"/>
    <n v="4608"/>
    <n v="401408"/>
  </r>
  <r>
    <x v="0"/>
    <x v="9"/>
    <x v="2"/>
    <n v="1"/>
    <n v="30"/>
    <s v="00"/>
    <s v="178"/>
    <s v="13000-178"/>
    <s v="Clarinet production item #178"/>
    <s v="UNIQUE"/>
    <n v="76"/>
    <n v="64"/>
    <n v="196"/>
    <n v="4864"/>
    <n v="12544"/>
  </r>
  <r>
    <x v="0"/>
    <x v="9"/>
    <x v="2"/>
    <n v="1"/>
    <n v="30"/>
    <s v="00"/>
    <s v="179"/>
    <s v="13000-179"/>
    <s v="Clarinet production item #179"/>
    <s v="UNIQUE"/>
    <n v="22"/>
    <n v="25"/>
    <n v="216"/>
    <n v="550"/>
    <n v="5400"/>
  </r>
  <r>
    <x v="0"/>
    <x v="9"/>
    <x v="2"/>
    <n v="1"/>
    <n v="30"/>
    <s v="00"/>
    <s v="180"/>
    <s v="13000-180"/>
    <s v="Clarinet production item #180"/>
    <s v="UNIQUE"/>
    <n v="0"/>
    <n v="343"/>
    <n v="16"/>
    <n v="0"/>
    <n v="5488"/>
  </r>
  <r>
    <x v="0"/>
    <x v="9"/>
    <x v="2"/>
    <n v="1"/>
    <n v="30"/>
    <s v="00"/>
    <s v="181"/>
    <s v="13000-181"/>
    <s v="Clarinet production item #181"/>
    <s v="UNIQUE"/>
    <n v="7"/>
    <n v="216"/>
    <n v="100"/>
    <n v="1512"/>
    <n v="21600"/>
  </r>
  <r>
    <x v="0"/>
    <x v="9"/>
    <x v="2"/>
    <n v="1"/>
    <n v="30"/>
    <s v="00"/>
    <s v="182"/>
    <s v="13000-182"/>
    <s v="Clarinet production item #182"/>
    <s v="UNIQUE"/>
    <n v="0"/>
    <n v="1"/>
    <n v="14"/>
    <n v="0"/>
    <n v="14"/>
  </r>
  <r>
    <x v="0"/>
    <x v="9"/>
    <x v="2"/>
    <n v="1"/>
    <n v="30"/>
    <s v="00"/>
    <s v="183"/>
    <s v="13000-183"/>
    <s v="Clarinet production item #183"/>
    <s v="UNIQUE"/>
    <n v="0"/>
    <n v="9"/>
    <n v="256"/>
    <n v="0"/>
    <n v="2304"/>
  </r>
  <r>
    <x v="0"/>
    <x v="9"/>
    <x v="2"/>
    <n v="1"/>
    <n v="30"/>
    <s v="00"/>
    <s v="184"/>
    <s v="13000-184"/>
    <s v="Clarinet production item #184"/>
    <s v="UNIQUE"/>
    <n v="0"/>
    <n v="343"/>
    <n v="64"/>
    <n v="0"/>
    <n v="21952"/>
  </r>
  <r>
    <x v="0"/>
    <x v="9"/>
    <x v="2"/>
    <n v="1"/>
    <n v="30"/>
    <s v="00"/>
    <s v="185"/>
    <s v="13000-185"/>
    <s v="Clarinet production item #185"/>
    <s v="UNIQUE"/>
    <n v="2992"/>
    <n v="1000"/>
    <n v="13824"/>
    <n v="2992000"/>
    <n v="13824000"/>
  </r>
  <r>
    <x v="0"/>
    <x v="9"/>
    <x v="2"/>
    <n v="1"/>
    <n v="30"/>
    <s v="00"/>
    <s v="186"/>
    <s v="13000-186"/>
    <s v="Clarinet production item #186"/>
    <s v="UNIQUE"/>
    <n v="0"/>
    <n v="1"/>
    <n v="5"/>
    <n v="0"/>
    <n v="5"/>
  </r>
  <r>
    <x v="0"/>
    <x v="9"/>
    <x v="2"/>
    <n v="1"/>
    <n v="30"/>
    <s v="00"/>
    <s v="187"/>
    <s v="13000-187"/>
    <s v="Clarinet production item #187"/>
    <s v="UNIQUE"/>
    <n v="0"/>
    <n v="9"/>
    <n v="16"/>
    <n v="0"/>
    <n v="144"/>
  </r>
  <r>
    <x v="0"/>
    <x v="9"/>
    <x v="2"/>
    <n v="1"/>
    <n v="30"/>
    <s v="00"/>
    <s v="188"/>
    <s v="13000-188"/>
    <s v="Clarinet production item #188"/>
    <s v="UNIQUE"/>
    <n v="3879"/>
    <n v="125"/>
    <n v="6859"/>
    <n v="484875"/>
    <n v="857375"/>
  </r>
  <r>
    <x v="0"/>
    <x v="9"/>
    <x v="2"/>
    <n v="1"/>
    <n v="30"/>
    <s v="00"/>
    <s v="189"/>
    <s v="13000-189"/>
    <s v="Clarinet production item #189"/>
    <s v="UNIQUE"/>
    <n v="0"/>
    <n v="4"/>
    <n v="729"/>
    <n v="0"/>
    <n v="2916"/>
  </r>
  <r>
    <x v="0"/>
    <x v="9"/>
    <x v="2"/>
    <n v="1"/>
    <n v="30"/>
    <s v="00"/>
    <s v="190"/>
    <s v="13000-190"/>
    <s v="Clarinet production item #190"/>
    <s v="UNIQUE"/>
    <n v="504"/>
    <n v="5"/>
    <n v="27000"/>
    <n v="2520"/>
    <n v="135000"/>
  </r>
  <r>
    <x v="0"/>
    <x v="9"/>
    <x v="2"/>
    <n v="1"/>
    <n v="30"/>
    <s v="00"/>
    <s v="191"/>
    <s v="13000-191"/>
    <s v="Clarinet production item #191"/>
    <s v="UNIQUE"/>
    <n v="0"/>
    <n v="36"/>
    <n v="676"/>
    <n v="0"/>
    <n v="24336"/>
  </r>
  <r>
    <x v="0"/>
    <x v="9"/>
    <x v="2"/>
    <n v="1"/>
    <n v="30"/>
    <s v="00"/>
    <s v="192"/>
    <s v="13000-192"/>
    <s v="Clarinet production item #192"/>
    <s v="UNIQUE"/>
    <n v="0"/>
    <n v="2"/>
    <n v="24"/>
    <n v="0"/>
    <n v="48"/>
  </r>
  <r>
    <x v="0"/>
    <x v="9"/>
    <x v="2"/>
    <n v="1"/>
    <n v="30"/>
    <s v="00"/>
    <s v="193"/>
    <s v="13000-193"/>
    <s v="Clarinet production item #193"/>
    <s v="UNIQUE"/>
    <n v="41"/>
    <n v="9"/>
    <n v="225"/>
    <n v="369"/>
    <n v="2025"/>
  </r>
  <r>
    <x v="0"/>
    <x v="9"/>
    <x v="2"/>
    <n v="1"/>
    <n v="30"/>
    <s v="00"/>
    <s v="194"/>
    <s v="13000-194"/>
    <s v="Clarinet production item #194"/>
    <s v="UNIQUE"/>
    <n v="0"/>
    <n v="16"/>
    <n v="441"/>
    <n v="0"/>
    <n v="7056"/>
  </r>
  <r>
    <x v="0"/>
    <x v="9"/>
    <x v="2"/>
    <n v="1"/>
    <n v="30"/>
    <s v="00"/>
    <s v="195"/>
    <s v="13000-195"/>
    <s v="Clarinet production item #195"/>
    <s v="UNIQUE"/>
    <n v="1"/>
    <n v="64"/>
    <n v="289"/>
    <n v="64"/>
    <n v="18496"/>
  </r>
  <r>
    <x v="0"/>
    <x v="9"/>
    <x v="2"/>
    <n v="1"/>
    <n v="30"/>
    <s v="00"/>
    <s v="196"/>
    <s v="13000-196"/>
    <s v="Clarinet production item #196"/>
    <s v="UNIQUE"/>
    <n v="9266"/>
    <n v="64"/>
    <n v="121"/>
    <n v="593024"/>
    <n v="7744"/>
  </r>
  <r>
    <x v="0"/>
    <x v="9"/>
    <x v="2"/>
    <n v="1"/>
    <n v="30"/>
    <s v="00"/>
    <s v="197"/>
    <s v="13000-197"/>
    <s v="Clarinet production item #197"/>
    <s v="UNIQUE"/>
    <n v="2"/>
    <n v="512"/>
    <n v="30"/>
    <n v="1024"/>
    <n v="15360"/>
  </r>
  <r>
    <x v="0"/>
    <x v="9"/>
    <x v="2"/>
    <n v="1"/>
    <n v="30"/>
    <s v="00"/>
    <s v="198"/>
    <s v="13000-198"/>
    <s v="Clarinet production item #198"/>
    <s v="UNIQUE"/>
    <n v="0"/>
    <n v="1000"/>
    <n v="4"/>
    <n v="0"/>
    <n v="4000"/>
  </r>
  <r>
    <x v="0"/>
    <x v="9"/>
    <x v="2"/>
    <n v="1"/>
    <n v="30"/>
    <s v="00"/>
    <s v="199"/>
    <s v="13000-199"/>
    <s v="Clarinet production item #199"/>
    <s v="UNIQUE"/>
    <n v="0"/>
    <n v="6"/>
    <n v="24"/>
    <n v="0"/>
    <n v="144"/>
  </r>
  <r>
    <x v="0"/>
    <x v="9"/>
    <x v="2"/>
    <n v="1"/>
    <n v="30"/>
    <s v="00"/>
    <s v="200"/>
    <s v="13000-200"/>
    <s v="Clarinet production item #200"/>
    <s v="UNIQUE"/>
    <n v="0"/>
    <n v="3"/>
    <n v="28"/>
    <n v="0"/>
    <n v="84"/>
  </r>
  <r>
    <x v="0"/>
    <x v="9"/>
    <x v="2"/>
    <n v="1"/>
    <n v="30"/>
    <s v="00"/>
    <s v="201"/>
    <s v="13000-201"/>
    <s v="Clarinet production item #201"/>
    <s v="UNIQUE"/>
    <n v="18"/>
    <n v="2"/>
    <n v="256"/>
    <n v="36"/>
    <n v="512"/>
  </r>
  <r>
    <x v="0"/>
    <x v="9"/>
    <x v="2"/>
    <n v="1"/>
    <n v="30"/>
    <s v="00"/>
    <s v="202"/>
    <s v="13000-202"/>
    <s v="Clarinet production item #202"/>
    <s v="UNIQUE"/>
    <n v="121"/>
    <n v="16"/>
    <n v="6859"/>
    <n v="1936"/>
    <n v="109744"/>
  </r>
  <r>
    <x v="0"/>
    <x v="9"/>
    <x v="2"/>
    <n v="1"/>
    <n v="30"/>
    <s v="00"/>
    <s v="203"/>
    <s v="13000-203"/>
    <s v="Clarinet production item #203"/>
    <s v="UNIQUE"/>
    <n v="1422"/>
    <n v="8"/>
    <n v="5832"/>
    <n v="11376"/>
    <n v="46656"/>
  </r>
  <r>
    <x v="0"/>
    <x v="9"/>
    <x v="2"/>
    <n v="1"/>
    <n v="30"/>
    <s v="00"/>
    <s v="204"/>
    <s v="13000-204"/>
    <s v="Clarinet production item #204"/>
    <s v="UNIQUE"/>
    <n v="2"/>
    <n v="3"/>
    <n v="1"/>
    <n v="6"/>
    <n v="3"/>
  </r>
  <r>
    <x v="0"/>
    <x v="9"/>
    <x v="2"/>
    <n v="1"/>
    <n v="30"/>
    <s v="00"/>
    <s v="205"/>
    <s v="13000-205"/>
    <s v="Clarinet production item #205"/>
    <s v="UNIQUE"/>
    <n v="0"/>
    <n v="16"/>
    <n v="9"/>
    <n v="0"/>
    <n v="144"/>
  </r>
  <r>
    <x v="0"/>
    <x v="9"/>
    <x v="2"/>
    <n v="1"/>
    <n v="30"/>
    <s v="00"/>
    <s v="206"/>
    <s v="13000-206"/>
    <s v="Clarinet production item #206"/>
    <s v="UNIQUE"/>
    <n v="0"/>
    <n v="4"/>
    <n v="324"/>
    <n v="0"/>
    <n v="1296"/>
  </r>
  <r>
    <x v="0"/>
    <x v="9"/>
    <x v="2"/>
    <n v="1"/>
    <n v="30"/>
    <s v="00"/>
    <s v="207"/>
    <s v="13000-207"/>
    <s v="Clarinet production item #207"/>
    <s v="UNIQUE"/>
    <n v="0"/>
    <n v="16"/>
    <n v="361"/>
    <n v="0"/>
    <n v="5776"/>
  </r>
  <r>
    <x v="0"/>
    <x v="9"/>
    <x v="2"/>
    <n v="1"/>
    <n v="30"/>
    <s v="00"/>
    <s v="208"/>
    <s v="13000-208"/>
    <s v="Clarinet production item #208"/>
    <s v="UNIQUE"/>
    <n v="0"/>
    <n v="9"/>
    <n v="36"/>
    <n v="0"/>
    <n v="324"/>
  </r>
  <r>
    <x v="0"/>
    <x v="9"/>
    <x v="2"/>
    <n v="1"/>
    <n v="30"/>
    <s v="00"/>
    <s v="209"/>
    <s v="13000-209"/>
    <s v="Clarinet production item #209"/>
    <s v="UNIQUE"/>
    <n v="7"/>
    <n v="729"/>
    <n v="289"/>
    <n v="5103"/>
    <n v="210681"/>
  </r>
  <r>
    <x v="0"/>
    <x v="9"/>
    <x v="2"/>
    <n v="1"/>
    <n v="30"/>
    <s v="00"/>
    <s v="210"/>
    <s v="13000-210"/>
    <s v="Clarinet production item #210"/>
    <s v="UNIQUE"/>
    <n v="5422"/>
    <n v="2"/>
    <n v="3375"/>
    <n v="10844"/>
    <n v="6750"/>
  </r>
  <r>
    <x v="0"/>
    <x v="9"/>
    <x v="2"/>
    <n v="1"/>
    <n v="30"/>
    <s v="00"/>
    <s v="211"/>
    <s v="13000-211"/>
    <s v="Clarinet production item #211"/>
    <s v="UNIQUE"/>
    <n v="0"/>
    <n v="5"/>
    <n v="10648"/>
    <n v="0"/>
    <n v="53240"/>
  </r>
  <r>
    <x v="0"/>
    <x v="9"/>
    <x v="2"/>
    <n v="1"/>
    <n v="30"/>
    <s v="00"/>
    <s v="212"/>
    <s v="13000-212"/>
    <s v="Clarinet production item #212"/>
    <s v="UNIQUE"/>
    <n v="5"/>
    <n v="5"/>
    <n v="24"/>
    <n v="25"/>
    <n v="120"/>
  </r>
  <r>
    <x v="0"/>
    <x v="9"/>
    <x v="2"/>
    <n v="1"/>
    <n v="30"/>
    <s v="00"/>
    <s v="213"/>
    <s v="13000-213"/>
    <s v="Clarinet production item #213"/>
    <s v="UNIQUE"/>
    <n v="0"/>
    <n v="125"/>
    <n v="4096"/>
    <n v="0"/>
    <n v="512000"/>
  </r>
  <r>
    <x v="0"/>
    <x v="9"/>
    <x v="2"/>
    <n v="1"/>
    <n v="30"/>
    <s v="00"/>
    <s v="214"/>
    <s v="13000-214"/>
    <s v="Clarinet production item #214"/>
    <s v="UNIQUE"/>
    <n v="0"/>
    <n v="10"/>
    <n v="27000"/>
    <n v="0"/>
    <n v="270000"/>
  </r>
  <r>
    <x v="0"/>
    <x v="9"/>
    <x v="2"/>
    <n v="1"/>
    <n v="30"/>
    <s v="00"/>
    <s v="215"/>
    <s v="13000-215"/>
    <s v="Clarinet production item #215"/>
    <s v="UNIQUE"/>
    <n v="0"/>
    <n v="3"/>
    <n v="10648"/>
    <n v="0"/>
    <n v="31944"/>
  </r>
  <r>
    <x v="0"/>
    <x v="9"/>
    <x v="2"/>
    <n v="1"/>
    <n v="30"/>
    <s v="00"/>
    <s v="216"/>
    <s v="13000-216"/>
    <s v="Clarinet production item #216"/>
    <s v="UNIQUE"/>
    <n v="1"/>
    <n v="10"/>
    <n v="484"/>
    <n v="10"/>
    <n v="4840"/>
  </r>
  <r>
    <x v="0"/>
    <x v="9"/>
    <x v="2"/>
    <n v="1"/>
    <n v="30"/>
    <s v="00"/>
    <s v="217"/>
    <s v="13000-217"/>
    <s v="Clarinet production item #217"/>
    <s v="UNIQUE"/>
    <n v="0"/>
    <n v="27"/>
    <n v="29"/>
    <n v="0"/>
    <n v="783"/>
  </r>
  <r>
    <x v="0"/>
    <x v="9"/>
    <x v="2"/>
    <n v="1"/>
    <n v="30"/>
    <s v="00"/>
    <s v="218"/>
    <s v="13000-218"/>
    <s v="Clarinet production item #218"/>
    <s v="UNIQUE"/>
    <n v="1"/>
    <n v="8"/>
    <n v="7"/>
    <n v="8"/>
    <n v="56"/>
  </r>
  <r>
    <x v="0"/>
    <x v="9"/>
    <x v="2"/>
    <n v="1"/>
    <n v="30"/>
    <s v="00"/>
    <s v="219"/>
    <s v="13000-219"/>
    <s v="Clarinet production item #219"/>
    <s v="UNIQUE"/>
    <n v="0"/>
    <n v="125"/>
    <n v="2197"/>
    <n v="0"/>
    <n v="274625"/>
  </r>
  <r>
    <x v="0"/>
    <x v="9"/>
    <x v="2"/>
    <n v="1"/>
    <n v="30"/>
    <s v="00"/>
    <s v="220"/>
    <s v="13000-220"/>
    <s v="Clarinet production item #220"/>
    <s v="UNIQUE"/>
    <n v="0"/>
    <n v="9"/>
    <n v="15625"/>
    <n v="0"/>
    <n v="140625"/>
  </r>
  <r>
    <x v="0"/>
    <x v="9"/>
    <x v="2"/>
    <n v="1"/>
    <n v="30"/>
    <s v="00"/>
    <s v="221"/>
    <s v="13000-221"/>
    <s v="Clarinet production item #221"/>
    <s v="UNIQUE"/>
    <n v="0"/>
    <n v="4"/>
    <n v="12"/>
    <n v="0"/>
    <n v="48"/>
  </r>
  <r>
    <x v="0"/>
    <x v="9"/>
    <x v="2"/>
    <n v="1"/>
    <n v="30"/>
    <s v="00"/>
    <s v="222"/>
    <s v="13000-222"/>
    <s v="Clarinet production item #222"/>
    <s v="UNIQUE"/>
    <n v="0"/>
    <n v="9"/>
    <n v="6"/>
    <n v="0"/>
    <n v="54"/>
  </r>
  <r>
    <x v="0"/>
    <x v="9"/>
    <x v="2"/>
    <n v="1"/>
    <n v="30"/>
    <s v="00"/>
    <s v="223"/>
    <s v="13000-223"/>
    <s v="Clarinet production item #223"/>
    <s v="UNIQUE"/>
    <n v="0"/>
    <n v="3"/>
    <n v="784"/>
    <n v="0"/>
    <n v="2352"/>
  </r>
  <r>
    <x v="0"/>
    <x v="9"/>
    <x v="2"/>
    <n v="1"/>
    <n v="30"/>
    <s v="00"/>
    <s v="224"/>
    <s v="13000-224"/>
    <s v="Clarinet production item #224"/>
    <s v="UNIQUE"/>
    <n v="0"/>
    <n v="125"/>
    <n v="4"/>
    <n v="0"/>
    <n v="500"/>
  </r>
  <r>
    <x v="0"/>
    <x v="9"/>
    <x v="2"/>
    <n v="1"/>
    <n v="30"/>
    <s v="00"/>
    <s v="225"/>
    <s v="13000-225"/>
    <s v="Clarinet production item #225"/>
    <s v="UNIQUE"/>
    <n v="0"/>
    <n v="16"/>
    <n v="121"/>
    <n v="0"/>
    <n v="1936"/>
  </r>
  <r>
    <x v="0"/>
    <x v="9"/>
    <x v="2"/>
    <n v="1"/>
    <n v="30"/>
    <s v="00"/>
    <s v="226"/>
    <s v="13000-226"/>
    <s v="Clarinet production item #226"/>
    <s v="UNIQUE"/>
    <n v="6"/>
    <n v="6"/>
    <n v="23"/>
    <n v="36"/>
    <n v="138"/>
  </r>
  <r>
    <x v="0"/>
    <x v="9"/>
    <x v="2"/>
    <n v="1"/>
    <n v="30"/>
    <s v="00"/>
    <s v="227"/>
    <s v="13000-227"/>
    <s v="Clarinet production item #227"/>
    <s v="UNIQUE"/>
    <n v="0"/>
    <n v="343"/>
    <n v="1728"/>
    <n v="0"/>
    <n v="592704"/>
  </r>
  <r>
    <x v="0"/>
    <x v="9"/>
    <x v="2"/>
    <n v="1"/>
    <n v="30"/>
    <s v="00"/>
    <s v="228"/>
    <s v="13000-228"/>
    <s v="Clarinet production item #228"/>
    <s v="UNIQUE"/>
    <n v="0"/>
    <n v="1000"/>
    <n v="121"/>
    <n v="0"/>
    <n v="121000"/>
  </r>
  <r>
    <x v="0"/>
    <x v="9"/>
    <x v="2"/>
    <n v="1"/>
    <n v="30"/>
    <s v="00"/>
    <s v="229"/>
    <s v="13000-229"/>
    <s v="Clarinet production item #229"/>
    <s v="UNIQUE"/>
    <n v="460"/>
    <n v="27"/>
    <n v="400"/>
    <n v="12420"/>
    <n v="10800"/>
  </r>
  <r>
    <x v="0"/>
    <x v="9"/>
    <x v="2"/>
    <n v="1"/>
    <n v="30"/>
    <s v="00"/>
    <s v="230"/>
    <s v="13000-230"/>
    <s v="Clarinet production item #230"/>
    <s v="UNIQUE"/>
    <n v="0"/>
    <n v="5"/>
    <n v="13"/>
    <n v="0"/>
    <n v="65"/>
  </r>
  <r>
    <x v="0"/>
    <x v="9"/>
    <x v="2"/>
    <n v="1"/>
    <n v="30"/>
    <s v="00"/>
    <s v="231"/>
    <s v="13000-231"/>
    <s v="Clarinet production item #231"/>
    <s v="UNIQUE"/>
    <n v="0"/>
    <n v="7"/>
    <n v="21952"/>
    <n v="0"/>
    <n v="153664"/>
  </r>
  <r>
    <x v="0"/>
    <x v="9"/>
    <x v="2"/>
    <n v="1"/>
    <n v="30"/>
    <s v="00"/>
    <s v="232"/>
    <s v="13000-232"/>
    <s v="Clarinet production item #232"/>
    <s v="UNIQUE"/>
    <n v="315"/>
    <n v="8"/>
    <n v="22"/>
    <n v="2520"/>
    <n v="176"/>
  </r>
  <r>
    <x v="0"/>
    <x v="9"/>
    <x v="2"/>
    <n v="1"/>
    <n v="30"/>
    <s v="00"/>
    <s v="233"/>
    <s v="13000-233"/>
    <s v="Clarinet production item #233"/>
    <s v="UNIQUE"/>
    <n v="0"/>
    <n v="8"/>
    <n v="7"/>
    <n v="0"/>
    <n v="56"/>
  </r>
  <r>
    <x v="0"/>
    <x v="9"/>
    <x v="2"/>
    <n v="1"/>
    <n v="30"/>
    <s v="00"/>
    <s v="234"/>
    <s v="13000-234"/>
    <s v="Clarinet production item #234"/>
    <s v="UNIQUE"/>
    <n v="834"/>
    <n v="81"/>
    <n v="49"/>
    <n v="67554"/>
    <n v="3969"/>
  </r>
  <r>
    <x v="0"/>
    <x v="9"/>
    <x v="2"/>
    <n v="1"/>
    <n v="30"/>
    <s v="00"/>
    <s v="235"/>
    <s v="13000-235"/>
    <s v="Clarinet production item #235"/>
    <s v="UNIQUE"/>
    <n v="8"/>
    <n v="10"/>
    <n v="225"/>
    <n v="80"/>
    <n v="2250"/>
  </r>
  <r>
    <x v="0"/>
    <x v="9"/>
    <x v="2"/>
    <n v="1"/>
    <n v="30"/>
    <s v="00"/>
    <s v="236"/>
    <s v="13000-236"/>
    <s v="Clarinet production item #236"/>
    <s v="UNIQUE"/>
    <n v="0"/>
    <n v="25"/>
    <n v="100"/>
    <n v="0"/>
    <n v="2500"/>
  </r>
  <r>
    <x v="0"/>
    <x v="9"/>
    <x v="2"/>
    <n v="1"/>
    <n v="30"/>
    <s v="00"/>
    <s v="237"/>
    <s v="13000-237"/>
    <s v="Clarinet production item #237"/>
    <s v="UNIQUE"/>
    <n v="545"/>
    <n v="5"/>
    <n v="125"/>
    <n v="2725"/>
    <n v="625"/>
  </r>
  <r>
    <x v="0"/>
    <x v="9"/>
    <x v="2"/>
    <n v="1"/>
    <n v="30"/>
    <s v="00"/>
    <s v="238"/>
    <s v="13000-238"/>
    <s v="Clarinet production item #238"/>
    <s v="UNIQUE"/>
    <n v="7351"/>
    <n v="64"/>
    <n v="4"/>
    <n v="470464"/>
    <n v="256"/>
  </r>
  <r>
    <x v="0"/>
    <x v="9"/>
    <x v="2"/>
    <n v="1"/>
    <n v="30"/>
    <s v="00"/>
    <s v="239"/>
    <s v="13000-239"/>
    <s v="Clarinet production item #239"/>
    <s v="UNIQUE"/>
    <n v="764"/>
    <n v="27"/>
    <n v="13824"/>
    <n v="20628"/>
    <n v="373248"/>
  </r>
  <r>
    <x v="0"/>
    <x v="9"/>
    <x v="2"/>
    <n v="1"/>
    <n v="30"/>
    <s v="00"/>
    <s v="240"/>
    <s v="13000-240"/>
    <s v="Clarinet production item #240"/>
    <s v="UNIQUE"/>
    <n v="991"/>
    <n v="27"/>
    <n v="16"/>
    <n v="26757"/>
    <n v="432"/>
  </r>
  <r>
    <x v="0"/>
    <x v="9"/>
    <x v="2"/>
    <n v="1"/>
    <n v="30"/>
    <s v="00"/>
    <s v="241"/>
    <s v="13000-241"/>
    <s v="Clarinet production item #241"/>
    <s v="UNIQUE"/>
    <n v="9"/>
    <n v="1"/>
    <n v="512"/>
    <n v="9"/>
    <n v="512"/>
  </r>
  <r>
    <x v="0"/>
    <x v="9"/>
    <x v="2"/>
    <n v="1"/>
    <n v="30"/>
    <s v="00"/>
    <s v="242"/>
    <s v="13000-242"/>
    <s v="Clarinet production item #242"/>
    <s v="UNIQUE"/>
    <n v="5"/>
    <n v="100"/>
    <n v="4"/>
    <n v="500"/>
    <n v="400"/>
  </r>
  <r>
    <x v="0"/>
    <x v="9"/>
    <x v="2"/>
    <n v="1"/>
    <n v="30"/>
    <s v="00"/>
    <s v="243"/>
    <s v="13000-243"/>
    <s v="Clarinet production item #243"/>
    <s v="UNIQUE"/>
    <n v="88"/>
    <n v="1"/>
    <n v="12167"/>
    <n v="88"/>
    <n v="12167"/>
  </r>
  <r>
    <x v="0"/>
    <x v="9"/>
    <x v="2"/>
    <n v="1"/>
    <n v="30"/>
    <s v="00"/>
    <s v="244"/>
    <s v="13000-244"/>
    <s v="Clarinet production item #244"/>
    <s v="UNIQUE"/>
    <n v="22"/>
    <n v="16"/>
    <n v="100"/>
    <n v="352"/>
    <n v="1600"/>
  </r>
  <r>
    <x v="0"/>
    <x v="9"/>
    <x v="2"/>
    <n v="1"/>
    <n v="30"/>
    <s v="00"/>
    <s v="245"/>
    <s v="13000-245"/>
    <s v="Clarinet production item #245"/>
    <s v="UNIQUE"/>
    <n v="0"/>
    <n v="6"/>
    <n v="17"/>
    <n v="0"/>
    <n v="102"/>
  </r>
  <r>
    <x v="0"/>
    <x v="9"/>
    <x v="2"/>
    <n v="1"/>
    <n v="30"/>
    <s v="00"/>
    <s v="246"/>
    <s v="13000-246"/>
    <s v="Clarinet production item #246"/>
    <s v="UNIQUE"/>
    <n v="0"/>
    <n v="1"/>
    <n v="14"/>
    <n v="0"/>
    <n v="14"/>
  </r>
  <r>
    <x v="0"/>
    <x v="9"/>
    <x v="2"/>
    <n v="1"/>
    <n v="30"/>
    <s v="00"/>
    <s v="247"/>
    <s v="13000-247"/>
    <s v="Clarinet production item #247"/>
    <s v="UNIQUE"/>
    <n v="0"/>
    <n v="1"/>
    <n v="216"/>
    <n v="0"/>
    <n v="216"/>
  </r>
  <r>
    <x v="0"/>
    <x v="9"/>
    <x v="2"/>
    <n v="1"/>
    <n v="30"/>
    <s v="00"/>
    <s v="248"/>
    <s v="13000-248"/>
    <s v="Clarinet production item #248"/>
    <s v="UNIQUE"/>
    <n v="0"/>
    <n v="36"/>
    <n v="10648"/>
    <n v="0"/>
    <n v="383328"/>
  </r>
  <r>
    <x v="0"/>
    <x v="9"/>
    <x v="2"/>
    <n v="1"/>
    <n v="30"/>
    <s v="00"/>
    <s v="249"/>
    <s v="13000-249"/>
    <s v="Clarinet production item #249"/>
    <s v="UNIQUE"/>
    <n v="0"/>
    <n v="27"/>
    <n v="625"/>
    <n v="0"/>
    <n v="16875"/>
  </r>
  <r>
    <x v="0"/>
    <x v="9"/>
    <x v="2"/>
    <n v="1"/>
    <n v="30"/>
    <s v="00"/>
    <s v="250"/>
    <s v="13000-250"/>
    <s v="Clarinet production item #250"/>
    <s v="UNIQUE"/>
    <n v="7"/>
    <n v="8"/>
    <n v="18"/>
    <n v="56"/>
    <n v="144"/>
  </r>
  <r>
    <x v="0"/>
    <x v="9"/>
    <x v="2"/>
    <n v="1"/>
    <n v="30"/>
    <s v="00"/>
    <s v="251"/>
    <s v="13000-251"/>
    <s v="Clarinet production item #251"/>
    <s v="UNIQUE"/>
    <n v="0"/>
    <n v="1"/>
    <n v="784"/>
    <n v="0"/>
    <n v="784"/>
  </r>
  <r>
    <x v="0"/>
    <x v="9"/>
    <x v="2"/>
    <n v="1"/>
    <n v="30"/>
    <s v="00"/>
    <s v="252"/>
    <s v="13000-252"/>
    <s v="Clarinet production item #252"/>
    <s v="UNIQUE"/>
    <n v="0"/>
    <n v="25"/>
    <n v="5832"/>
    <n v="0"/>
    <n v="145800"/>
  </r>
  <r>
    <x v="0"/>
    <x v="9"/>
    <x v="2"/>
    <n v="1"/>
    <n v="30"/>
    <s v="00"/>
    <s v="253"/>
    <s v="13000-253"/>
    <s v="Clarinet production item #253"/>
    <s v="UNIQUE"/>
    <n v="4840"/>
    <n v="81"/>
    <n v="529"/>
    <n v="392040"/>
    <n v="42849"/>
  </r>
  <r>
    <x v="0"/>
    <x v="9"/>
    <x v="2"/>
    <n v="1"/>
    <n v="30"/>
    <s v="00"/>
    <s v="254"/>
    <s v="13000-254"/>
    <s v="Clarinet production item #254"/>
    <s v="UNIQUE"/>
    <n v="0"/>
    <n v="10"/>
    <n v="21952"/>
    <n v="0"/>
    <n v="219520"/>
  </r>
  <r>
    <x v="0"/>
    <x v="9"/>
    <x v="2"/>
    <n v="1"/>
    <n v="30"/>
    <s v="00"/>
    <s v="255"/>
    <s v="13000-255"/>
    <s v="Clarinet production item #255"/>
    <s v="UNIQUE"/>
    <n v="0"/>
    <n v="27"/>
    <n v="3"/>
    <n v="0"/>
    <n v="81"/>
  </r>
  <r>
    <x v="0"/>
    <x v="9"/>
    <x v="2"/>
    <n v="1"/>
    <n v="30"/>
    <s v="00"/>
    <s v="256"/>
    <s v="13000-256"/>
    <s v="Clarinet production item #256"/>
    <s v="UNIQUE"/>
    <n v="0"/>
    <n v="1"/>
    <n v="64"/>
    <n v="0"/>
    <n v="64"/>
  </r>
  <r>
    <x v="0"/>
    <x v="9"/>
    <x v="2"/>
    <n v="1"/>
    <n v="30"/>
    <s v="00"/>
    <s v="257"/>
    <s v="13000-257"/>
    <s v="Clarinet production item #257"/>
    <s v="UNIQUE"/>
    <n v="0"/>
    <n v="7"/>
    <n v="25"/>
    <n v="0"/>
    <n v="175"/>
  </r>
  <r>
    <x v="0"/>
    <x v="9"/>
    <x v="2"/>
    <n v="1"/>
    <n v="30"/>
    <s v="00"/>
    <s v="258"/>
    <s v="13000-258"/>
    <s v="Clarinet production item #258"/>
    <s v="UNIQUE"/>
    <n v="9936"/>
    <n v="1"/>
    <n v="9261"/>
    <n v="9936"/>
    <n v="9261"/>
  </r>
  <r>
    <x v="0"/>
    <x v="9"/>
    <x v="2"/>
    <n v="1"/>
    <n v="30"/>
    <s v="00"/>
    <s v="259"/>
    <s v="13000-259"/>
    <s v="Clarinet production item #259"/>
    <s v="UNIQUE"/>
    <n v="0"/>
    <n v="4"/>
    <n v="21"/>
    <n v="0"/>
    <n v="84"/>
  </r>
  <r>
    <x v="0"/>
    <x v="9"/>
    <x v="2"/>
    <n v="1"/>
    <n v="30"/>
    <s v="00"/>
    <s v="260"/>
    <s v="13000-260"/>
    <s v="Clarinet production item #260"/>
    <s v="UNIQUE"/>
    <n v="823"/>
    <n v="25"/>
    <n v="484"/>
    <n v="20575"/>
    <n v="12100"/>
  </r>
  <r>
    <x v="0"/>
    <x v="9"/>
    <x v="2"/>
    <n v="1"/>
    <n v="30"/>
    <s v="00"/>
    <s v="261"/>
    <s v="13000-261"/>
    <s v="Clarinet production item #261"/>
    <s v="UNIQUE"/>
    <n v="0"/>
    <n v="1000"/>
    <n v="28"/>
    <n v="0"/>
    <n v="28000"/>
  </r>
  <r>
    <x v="0"/>
    <x v="9"/>
    <x v="2"/>
    <n v="1"/>
    <n v="30"/>
    <s v="00"/>
    <s v="262"/>
    <s v="13000-262"/>
    <s v="Clarinet production item #262"/>
    <s v="UNIQUE"/>
    <n v="9"/>
    <n v="27"/>
    <n v="24"/>
    <n v="243"/>
    <n v="648"/>
  </r>
  <r>
    <x v="0"/>
    <x v="9"/>
    <x v="2"/>
    <n v="1"/>
    <n v="30"/>
    <s v="00"/>
    <s v="263"/>
    <s v="13000-263"/>
    <s v="Clarinet production item #263"/>
    <s v="UNIQUE"/>
    <n v="0"/>
    <n v="216"/>
    <n v="26"/>
    <n v="0"/>
    <n v="5616"/>
  </r>
  <r>
    <x v="0"/>
    <x v="9"/>
    <x v="2"/>
    <n v="1"/>
    <n v="30"/>
    <s v="00"/>
    <s v="264"/>
    <s v="13000-264"/>
    <s v="Clarinet production item #264"/>
    <s v="UNIQUE"/>
    <n v="1"/>
    <n v="4"/>
    <n v="12"/>
    <n v="4"/>
    <n v="48"/>
  </r>
  <r>
    <x v="0"/>
    <x v="9"/>
    <x v="2"/>
    <n v="1"/>
    <n v="30"/>
    <s v="00"/>
    <s v="265"/>
    <s v="13000-265"/>
    <s v="Clarinet production item #265"/>
    <s v="UNIQUE"/>
    <n v="57"/>
    <n v="3"/>
    <n v="9261"/>
    <n v="171"/>
    <n v="27783"/>
  </r>
  <r>
    <x v="0"/>
    <x v="9"/>
    <x v="2"/>
    <n v="1"/>
    <n v="30"/>
    <s v="00"/>
    <s v="266"/>
    <s v="13000-266"/>
    <s v="Clarinet production item #266"/>
    <s v="UNIQUE"/>
    <n v="0"/>
    <n v="4"/>
    <n v="2744"/>
    <n v="0"/>
    <n v="10976"/>
  </r>
  <r>
    <x v="0"/>
    <x v="9"/>
    <x v="2"/>
    <n v="1"/>
    <n v="30"/>
    <s v="00"/>
    <s v="267"/>
    <s v="13000-267"/>
    <s v="Clarinet production item #267"/>
    <s v="UNIQUE"/>
    <n v="0"/>
    <n v="8"/>
    <n v="144"/>
    <n v="0"/>
    <n v="1152"/>
  </r>
  <r>
    <x v="0"/>
    <x v="9"/>
    <x v="2"/>
    <n v="1"/>
    <n v="30"/>
    <s v="00"/>
    <s v="268"/>
    <s v="13000-268"/>
    <s v="Clarinet production item #268"/>
    <s v="UNIQUE"/>
    <n v="4"/>
    <n v="25"/>
    <n v="27000"/>
    <n v="100"/>
    <n v="675000"/>
  </r>
  <r>
    <x v="0"/>
    <x v="9"/>
    <x v="2"/>
    <n v="1"/>
    <n v="30"/>
    <s v="00"/>
    <s v="269"/>
    <s v="13000-269"/>
    <s v="Clarinet production item #269"/>
    <s v="UNIQUE"/>
    <n v="1"/>
    <n v="4"/>
    <n v="36"/>
    <n v="4"/>
    <n v="144"/>
  </r>
  <r>
    <x v="0"/>
    <x v="9"/>
    <x v="2"/>
    <n v="1"/>
    <n v="30"/>
    <s v="00"/>
    <s v="270"/>
    <s v="13000-270"/>
    <s v="Clarinet production item #270"/>
    <s v="UNIQUE"/>
    <n v="0"/>
    <n v="1"/>
    <n v="576"/>
    <n v="0"/>
    <n v="576"/>
  </r>
  <r>
    <x v="0"/>
    <x v="9"/>
    <x v="2"/>
    <n v="1"/>
    <n v="30"/>
    <s v="00"/>
    <s v="271"/>
    <s v="13000-271"/>
    <s v="Clarinet production item #271"/>
    <s v="UNIQUE"/>
    <n v="13"/>
    <n v="9"/>
    <n v="125"/>
    <n v="117"/>
    <n v="1125"/>
  </r>
  <r>
    <x v="0"/>
    <x v="9"/>
    <x v="2"/>
    <n v="1"/>
    <n v="30"/>
    <s v="00"/>
    <s v="272"/>
    <s v="13000-272"/>
    <s v="Clarinet production item #272"/>
    <s v="UNIQUE"/>
    <n v="1"/>
    <n v="1"/>
    <n v="529"/>
    <n v="1"/>
    <n v="529"/>
  </r>
  <r>
    <x v="0"/>
    <x v="9"/>
    <x v="2"/>
    <n v="1"/>
    <n v="30"/>
    <s v="00"/>
    <s v="273"/>
    <s v="13000-273"/>
    <s v="Clarinet production item #273"/>
    <s v="UNIQUE"/>
    <n v="750"/>
    <n v="3"/>
    <n v="8"/>
    <n v="2250"/>
    <n v="24"/>
  </r>
  <r>
    <x v="0"/>
    <x v="9"/>
    <x v="2"/>
    <n v="1"/>
    <n v="30"/>
    <s v="00"/>
    <s v="274"/>
    <s v="13000-274"/>
    <s v="Clarinet production item #274"/>
    <s v="UNIQUE"/>
    <n v="453"/>
    <n v="64"/>
    <n v="28"/>
    <n v="28992"/>
    <n v="1792"/>
  </r>
  <r>
    <x v="0"/>
    <x v="9"/>
    <x v="2"/>
    <n v="1"/>
    <n v="30"/>
    <s v="00"/>
    <s v="275"/>
    <s v="13000-275"/>
    <s v="Clarinet production item #275"/>
    <s v="UNIQUE"/>
    <n v="0"/>
    <n v="1"/>
    <n v="6859"/>
    <n v="0"/>
    <n v="6859"/>
  </r>
  <r>
    <x v="0"/>
    <x v="9"/>
    <x v="2"/>
    <n v="1"/>
    <n v="30"/>
    <s v="00"/>
    <s v="276"/>
    <s v="13000-276"/>
    <s v="Clarinet production item #276"/>
    <s v="UNIQUE"/>
    <n v="0"/>
    <n v="100"/>
    <n v="7"/>
    <n v="0"/>
    <n v="700"/>
  </r>
  <r>
    <x v="0"/>
    <x v="9"/>
    <x v="2"/>
    <n v="1"/>
    <n v="30"/>
    <s v="00"/>
    <s v="277"/>
    <s v="13000-277"/>
    <s v="Clarinet production item #277"/>
    <s v="UNIQUE"/>
    <n v="0"/>
    <n v="125"/>
    <n v="12167"/>
    <n v="0"/>
    <n v="1520875"/>
  </r>
  <r>
    <x v="0"/>
    <x v="9"/>
    <x v="2"/>
    <n v="1"/>
    <n v="30"/>
    <s v="00"/>
    <s v="278"/>
    <s v="13000-278"/>
    <s v="Clarinet production item #278"/>
    <s v="UNIQUE"/>
    <n v="0"/>
    <n v="729"/>
    <n v="900"/>
    <n v="0"/>
    <n v="656100"/>
  </r>
  <r>
    <x v="0"/>
    <x v="9"/>
    <x v="2"/>
    <n v="1"/>
    <n v="30"/>
    <s v="00"/>
    <s v="279"/>
    <s v="13000-279"/>
    <s v="Clarinet production item #279"/>
    <s v="UNIQUE"/>
    <n v="0"/>
    <n v="7"/>
    <n v="25"/>
    <n v="0"/>
    <n v="175"/>
  </r>
  <r>
    <x v="0"/>
    <x v="9"/>
    <x v="2"/>
    <n v="1"/>
    <n v="30"/>
    <s v="00"/>
    <s v="280"/>
    <s v="13000-280"/>
    <s v="Clarinet production item #280"/>
    <s v="UNIQUE"/>
    <n v="0"/>
    <n v="49"/>
    <n v="529"/>
    <n v="0"/>
    <n v="25921"/>
  </r>
  <r>
    <x v="0"/>
    <x v="9"/>
    <x v="2"/>
    <n v="1"/>
    <n v="30"/>
    <s v="00"/>
    <s v="281"/>
    <s v="13000-281"/>
    <s v="Clarinet production item #281"/>
    <s v="UNIQUE"/>
    <n v="2"/>
    <n v="64"/>
    <n v="9"/>
    <n v="128"/>
    <n v="576"/>
  </r>
  <r>
    <x v="0"/>
    <x v="9"/>
    <x v="2"/>
    <n v="1"/>
    <n v="30"/>
    <s v="00"/>
    <s v="282"/>
    <s v="13000-282"/>
    <s v="Clarinet production item #282"/>
    <s v="UNIQUE"/>
    <n v="0"/>
    <n v="9"/>
    <n v="625"/>
    <n v="0"/>
    <n v="5625"/>
  </r>
  <r>
    <x v="0"/>
    <x v="9"/>
    <x v="2"/>
    <n v="1"/>
    <n v="30"/>
    <s v="00"/>
    <s v="283"/>
    <s v="13000-283"/>
    <s v="Clarinet production item #283"/>
    <s v="UNIQUE"/>
    <n v="0"/>
    <n v="8"/>
    <n v="169"/>
    <n v="0"/>
    <n v="1352"/>
  </r>
  <r>
    <x v="0"/>
    <x v="9"/>
    <x v="2"/>
    <n v="1"/>
    <n v="30"/>
    <s v="00"/>
    <s v="284"/>
    <s v="13000-284"/>
    <s v="Clarinet production item #284"/>
    <s v="UNIQUE"/>
    <n v="880"/>
    <n v="729"/>
    <n v="15625"/>
    <n v="641520"/>
    <n v="11390625"/>
  </r>
  <r>
    <x v="0"/>
    <x v="9"/>
    <x v="2"/>
    <n v="1"/>
    <n v="30"/>
    <s v="00"/>
    <s v="285"/>
    <s v="13000-285"/>
    <s v="Clarinet production item #285"/>
    <s v="UNIQUE"/>
    <n v="1"/>
    <n v="1"/>
    <n v="28"/>
    <n v="1"/>
    <n v="28"/>
  </r>
  <r>
    <x v="0"/>
    <x v="9"/>
    <x v="2"/>
    <n v="1"/>
    <n v="30"/>
    <s v="00"/>
    <s v="286"/>
    <s v="13000-286"/>
    <s v="Clarinet production item #286"/>
    <s v="UNIQUE"/>
    <n v="0"/>
    <n v="49"/>
    <n v="343"/>
    <n v="0"/>
    <n v="16807"/>
  </r>
  <r>
    <x v="0"/>
    <x v="9"/>
    <x v="2"/>
    <n v="1"/>
    <n v="30"/>
    <s v="00"/>
    <s v="287"/>
    <s v="13000-287"/>
    <s v="Clarinet production item #287"/>
    <s v="UNIQUE"/>
    <n v="23"/>
    <n v="64"/>
    <n v="8000"/>
    <n v="1472"/>
    <n v="512000"/>
  </r>
  <r>
    <x v="0"/>
    <x v="9"/>
    <x v="2"/>
    <n v="1"/>
    <n v="30"/>
    <s v="00"/>
    <s v="288"/>
    <s v="13000-288"/>
    <s v="Clarinet production item #288"/>
    <s v="UNIQUE"/>
    <n v="8353"/>
    <n v="16"/>
    <n v="529"/>
    <n v="133648"/>
    <n v="8464"/>
  </r>
  <r>
    <x v="0"/>
    <x v="9"/>
    <x v="2"/>
    <n v="1"/>
    <n v="30"/>
    <s v="00"/>
    <s v="289"/>
    <s v="13000-289"/>
    <s v="Clarinet production item #289"/>
    <s v="UNIQUE"/>
    <n v="0"/>
    <n v="125"/>
    <n v="3"/>
    <n v="0"/>
    <n v="375"/>
  </r>
  <r>
    <x v="0"/>
    <x v="9"/>
    <x v="2"/>
    <n v="1"/>
    <n v="30"/>
    <s v="00"/>
    <s v="290"/>
    <s v="13000-290"/>
    <s v="Clarinet production item #290"/>
    <s v="UNIQUE"/>
    <n v="0"/>
    <n v="2"/>
    <n v="64"/>
    <n v="0"/>
    <n v="128"/>
  </r>
  <r>
    <x v="0"/>
    <x v="9"/>
    <x v="2"/>
    <n v="1"/>
    <n v="30"/>
    <s v="00"/>
    <s v="291"/>
    <s v="13000-291"/>
    <s v="Clarinet production item #291"/>
    <s v="UNIQUE"/>
    <n v="424"/>
    <n v="512"/>
    <n v="100"/>
    <n v="217088"/>
    <n v="51200"/>
  </r>
  <r>
    <x v="0"/>
    <x v="9"/>
    <x v="2"/>
    <n v="1"/>
    <n v="30"/>
    <s v="00"/>
    <s v="292"/>
    <s v="13000-292"/>
    <s v="Clarinet production item #292"/>
    <s v="UNIQUE"/>
    <n v="0"/>
    <n v="125"/>
    <n v="4"/>
    <n v="0"/>
    <n v="500"/>
  </r>
  <r>
    <x v="0"/>
    <x v="9"/>
    <x v="2"/>
    <n v="1"/>
    <n v="30"/>
    <s v="00"/>
    <s v="293"/>
    <s v="13000-293"/>
    <s v="Clarinet production item #293"/>
    <s v="UNIQUE"/>
    <n v="0"/>
    <n v="36"/>
    <n v="361"/>
    <n v="0"/>
    <n v="12996"/>
  </r>
  <r>
    <x v="0"/>
    <x v="9"/>
    <x v="2"/>
    <n v="1"/>
    <n v="30"/>
    <s v="00"/>
    <s v="294"/>
    <s v="13000-294"/>
    <s v="Clarinet production item #294"/>
    <s v="UNIQUE"/>
    <n v="4954"/>
    <n v="64"/>
    <n v="25"/>
    <n v="317056"/>
    <n v="1600"/>
  </r>
  <r>
    <x v="0"/>
    <x v="9"/>
    <x v="2"/>
    <n v="1"/>
    <n v="30"/>
    <s v="00"/>
    <s v="295"/>
    <s v="13000-295"/>
    <s v="Clarinet production item #295"/>
    <s v="UNIQUE"/>
    <n v="0"/>
    <n v="8"/>
    <n v="18"/>
    <n v="0"/>
    <n v="144"/>
  </r>
  <r>
    <x v="0"/>
    <x v="9"/>
    <x v="2"/>
    <n v="1"/>
    <n v="30"/>
    <s v="00"/>
    <s v="296"/>
    <s v="13000-296"/>
    <s v="Clarinet production item #296"/>
    <s v="UNIQUE"/>
    <n v="2"/>
    <n v="1000"/>
    <n v="15"/>
    <n v="2000"/>
    <n v="15000"/>
  </r>
  <r>
    <x v="0"/>
    <x v="9"/>
    <x v="2"/>
    <n v="1"/>
    <n v="30"/>
    <s v="00"/>
    <s v="297"/>
    <s v="13000-297"/>
    <s v="Clarinet production item #297"/>
    <s v="UNIQUE"/>
    <n v="84"/>
    <n v="49"/>
    <n v="900"/>
    <n v="4116"/>
    <n v="44100"/>
  </r>
  <r>
    <x v="0"/>
    <x v="9"/>
    <x v="2"/>
    <n v="1"/>
    <n v="30"/>
    <s v="00"/>
    <s v="298"/>
    <s v="13000-298"/>
    <s v="Clarinet production item #298"/>
    <s v="UNIQUE"/>
    <n v="0"/>
    <n v="27"/>
    <n v="27"/>
    <n v="0"/>
    <n v="729"/>
  </r>
  <r>
    <x v="0"/>
    <x v="9"/>
    <x v="2"/>
    <n v="1"/>
    <n v="30"/>
    <s v="00"/>
    <s v="299"/>
    <s v="13000-299"/>
    <s v="Clarinet production item #299"/>
    <s v="UNIQUE"/>
    <n v="1"/>
    <n v="49"/>
    <n v="27"/>
    <n v="49"/>
    <n v="1323"/>
  </r>
  <r>
    <x v="0"/>
    <x v="9"/>
    <x v="2"/>
    <n v="1"/>
    <n v="30"/>
    <s v="00"/>
    <s v="300"/>
    <s v="13000-300"/>
    <s v="Clarinet production item #300"/>
    <s v="UNIQUE"/>
    <n v="0"/>
    <n v="1"/>
    <n v="36"/>
    <n v="0"/>
    <n v="36"/>
  </r>
  <r>
    <x v="0"/>
    <x v="9"/>
    <x v="2"/>
    <n v="1"/>
    <n v="30"/>
    <s v="00"/>
    <s v="301"/>
    <s v="13000-301"/>
    <s v="Clarinet production item #301"/>
    <s v="UNIQUE"/>
    <n v="691"/>
    <n v="3"/>
    <n v="0"/>
    <n v="2073"/>
    <n v="0"/>
  </r>
  <r>
    <x v="0"/>
    <x v="9"/>
    <x v="2"/>
    <n v="1"/>
    <n v="30"/>
    <s v="00"/>
    <s v="302"/>
    <s v="13000-302"/>
    <s v="Clarinet production item #302"/>
    <s v="UNIQUE"/>
    <n v="7516"/>
    <n v="729"/>
    <n v="784"/>
    <n v="5479164"/>
    <n v="571536"/>
  </r>
  <r>
    <x v="0"/>
    <x v="9"/>
    <x v="2"/>
    <n v="1"/>
    <n v="30"/>
    <s v="00"/>
    <s v="303"/>
    <s v="13000-303"/>
    <s v="Clarinet production item #303"/>
    <s v="UNIQUE"/>
    <n v="0"/>
    <n v="2"/>
    <n v="15"/>
    <n v="0"/>
    <n v="30"/>
  </r>
  <r>
    <x v="0"/>
    <x v="9"/>
    <x v="2"/>
    <n v="1"/>
    <n v="30"/>
    <s v="00"/>
    <s v="304"/>
    <s v="13000-304"/>
    <s v="Clarinet production item #304"/>
    <s v="UNIQUE"/>
    <n v="0"/>
    <n v="64"/>
    <n v="5832"/>
    <n v="0"/>
    <n v="373248"/>
  </r>
  <r>
    <x v="0"/>
    <x v="9"/>
    <x v="2"/>
    <n v="1"/>
    <n v="30"/>
    <s v="00"/>
    <s v="305"/>
    <s v="13000-305"/>
    <s v="Clarinet production item #305"/>
    <s v="UNIQUE"/>
    <n v="93"/>
    <n v="343"/>
    <n v="15"/>
    <n v="31899"/>
    <n v="5145"/>
  </r>
  <r>
    <x v="0"/>
    <x v="9"/>
    <x v="2"/>
    <n v="1"/>
    <n v="30"/>
    <s v="00"/>
    <s v="306"/>
    <s v="13000-306"/>
    <s v="Clarinet production item #306"/>
    <s v="UNIQUE"/>
    <n v="0"/>
    <n v="27"/>
    <n v="0"/>
    <n v="0"/>
    <n v="0"/>
  </r>
  <r>
    <x v="0"/>
    <x v="9"/>
    <x v="2"/>
    <n v="1"/>
    <n v="30"/>
    <s v="00"/>
    <s v="307"/>
    <s v="13000-307"/>
    <s v="Clarinet production item #307"/>
    <s v="UNIQUE"/>
    <n v="0"/>
    <n v="64"/>
    <n v="15625"/>
    <n v="0"/>
    <n v="1000000"/>
  </r>
  <r>
    <x v="0"/>
    <x v="9"/>
    <x v="2"/>
    <n v="1"/>
    <n v="30"/>
    <s v="00"/>
    <s v="308"/>
    <s v="13000-308"/>
    <s v="Clarinet production item #308"/>
    <s v="UNIQUE"/>
    <n v="4"/>
    <n v="4"/>
    <n v="12167"/>
    <n v="16"/>
    <n v="48668"/>
  </r>
  <r>
    <x v="0"/>
    <x v="9"/>
    <x v="2"/>
    <n v="1"/>
    <n v="30"/>
    <s v="00"/>
    <s v="309"/>
    <s v="13000-309"/>
    <s v="Clarinet production item #309"/>
    <s v="UNIQUE"/>
    <n v="0"/>
    <n v="81"/>
    <n v="625"/>
    <n v="0"/>
    <n v="50625"/>
  </r>
  <r>
    <x v="0"/>
    <x v="9"/>
    <x v="2"/>
    <n v="1"/>
    <n v="30"/>
    <s v="00"/>
    <s v="310"/>
    <s v="13000-310"/>
    <s v="Clarinet production item #310"/>
    <s v="UNIQUE"/>
    <n v="6877"/>
    <n v="3"/>
    <n v="441"/>
    <n v="20631"/>
    <n v="1323"/>
  </r>
  <r>
    <x v="0"/>
    <x v="9"/>
    <x v="2"/>
    <n v="1"/>
    <n v="30"/>
    <s v="00"/>
    <s v="311"/>
    <s v="13000-311"/>
    <s v="Clarinet production item #311"/>
    <s v="UNIQUE"/>
    <n v="7914"/>
    <n v="3"/>
    <n v="10648"/>
    <n v="23742"/>
    <n v="31944"/>
  </r>
  <r>
    <x v="0"/>
    <x v="9"/>
    <x v="2"/>
    <n v="1"/>
    <n v="30"/>
    <s v="00"/>
    <s v="312"/>
    <s v="13000-312"/>
    <s v="Clarinet production item #312"/>
    <s v="UNIQUE"/>
    <n v="0"/>
    <n v="9"/>
    <n v="21"/>
    <n v="0"/>
    <n v="189"/>
  </r>
  <r>
    <x v="0"/>
    <x v="9"/>
    <x v="2"/>
    <n v="1"/>
    <n v="30"/>
    <s v="00"/>
    <s v="313"/>
    <s v="13000-313"/>
    <s v="Clarinet production item #313"/>
    <s v="UNIQUE"/>
    <n v="0"/>
    <n v="1000"/>
    <n v="19"/>
    <n v="0"/>
    <n v="19000"/>
  </r>
  <r>
    <x v="0"/>
    <x v="9"/>
    <x v="2"/>
    <n v="1"/>
    <n v="30"/>
    <s v="00"/>
    <s v="314"/>
    <s v="13000-314"/>
    <s v="Clarinet production item #314"/>
    <s v="UNIQUE"/>
    <n v="0"/>
    <n v="9"/>
    <n v="289"/>
    <n v="0"/>
    <n v="2601"/>
  </r>
  <r>
    <x v="0"/>
    <x v="9"/>
    <x v="2"/>
    <n v="1"/>
    <n v="30"/>
    <s v="00"/>
    <s v="315"/>
    <s v="13000-315"/>
    <s v="Clarinet production item #315"/>
    <s v="UNIQUE"/>
    <n v="0"/>
    <n v="9"/>
    <n v="1"/>
    <n v="0"/>
    <n v="9"/>
  </r>
  <r>
    <x v="0"/>
    <x v="9"/>
    <x v="2"/>
    <n v="1"/>
    <n v="30"/>
    <s v="00"/>
    <s v="316"/>
    <s v="13000-316"/>
    <s v="Clarinet production item #316"/>
    <s v="UNIQUE"/>
    <n v="0"/>
    <n v="9"/>
    <n v="0"/>
    <n v="0"/>
    <n v="0"/>
  </r>
  <r>
    <x v="0"/>
    <x v="9"/>
    <x v="2"/>
    <n v="1"/>
    <n v="30"/>
    <s v="00"/>
    <s v="317"/>
    <s v="13000-317"/>
    <s v="Clarinet production item #317"/>
    <s v="UNIQUE"/>
    <n v="0"/>
    <n v="81"/>
    <n v="289"/>
    <n v="0"/>
    <n v="23409"/>
  </r>
  <r>
    <x v="0"/>
    <x v="9"/>
    <x v="2"/>
    <n v="1"/>
    <n v="30"/>
    <s v="00"/>
    <s v="318"/>
    <s v="13000-318"/>
    <s v="Clarinet production item #318"/>
    <s v="UNIQUE"/>
    <n v="12"/>
    <n v="5"/>
    <n v="17576"/>
    <n v="60"/>
    <n v="87880"/>
  </r>
  <r>
    <x v="0"/>
    <x v="9"/>
    <x v="2"/>
    <n v="1"/>
    <n v="30"/>
    <s v="00"/>
    <s v="319"/>
    <s v="13000-319"/>
    <s v="Clarinet production item #319"/>
    <s v="UNIQUE"/>
    <n v="0"/>
    <n v="16"/>
    <n v="0"/>
    <n v="0"/>
    <n v="0"/>
  </r>
  <r>
    <x v="0"/>
    <x v="9"/>
    <x v="2"/>
    <n v="1"/>
    <n v="30"/>
    <s v="00"/>
    <s v="320"/>
    <s v="13000-320"/>
    <s v="Clarinet production item #320"/>
    <s v="UNIQUE"/>
    <n v="0"/>
    <n v="81"/>
    <n v="11"/>
    <n v="0"/>
    <n v="891"/>
  </r>
  <r>
    <x v="0"/>
    <x v="9"/>
    <x v="2"/>
    <n v="1"/>
    <n v="30"/>
    <s v="00"/>
    <s v="321"/>
    <s v="13000-321"/>
    <s v="Clarinet production item #321"/>
    <s v="UNIQUE"/>
    <n v="5"/>
    <n v="1"/>
    <n v="2197"/>
    <n v="5"/>
    <n v="2197"/>
  </r>
  <r>
    <x v="0"/>
    <x v="9"/>
    <x v="2"/>
    <n v="1"/>
    <n v="30"/>
    <s v="00"/>
    <s v="322"/>
    <s v="13000-322"/>
    <s v="Clarinet production item #322"/>
    <s v="UNIQUE"/>
    <n v="1"/>
    <n v="1"/>
    <n v="4"/>
    <n v="1"/>
    <n v="4"/>
  </r>
  <r>
    <x v="0"/>
    <x v="9"/>
    <x v="2"/>
    <n v="1"/>
    <n v="30"/>
    <s v="00"/>
    <s v="323"/>
    <s v="13000-323"/>
    <s v="Clarinet production item #323"/>
    <s v="UNIQUE"/>
    <n v="0"/>
    <n v="1"/>
    <n v="27000"/>
    <n v="0"/>
    <n v="27000"/>
  </r>
  <r>
    <x v="0"/>
    <x v="9"/>
    <x v="2"/>
    <n v="1"/>
    <n v="30"/>
    <s v="00"/>
    <s v="324"/>
    <s v="13000-324"/>
    <s v="Clarinet production item #324"/>
    <s v="UNIQUE"/>
    <n v="1"/>
    <n v="4"/>
    <n v="64"/>
    <n v="4"/>
    <n v="256"/>
  </r>
  <r>
    <x v="0"/>
    <x v="9"/>
    <x v="2"/>
    <n v="1"/>
    <n v="30"/>
    <s v="00"/>
    <s v="325"/>
    <s v="13000-325"/>
    <s v="Clarinet production item #325"/>
    <s v="UNIQUE"/>
    <n v="0"/>
    <n v="729"/>
    <n v="3"/>
    <n v="0"/>
    <n v="2187"/>
  </r>
  <r>
    <x v="0"/>
    <x v="9"/>
    <x v="2"/>
    <n v="1"/>
    <n v="30"/>
    <s v="00"/>
    <s v="326"/>
    <s v="13000-326"/>
    <s v="Clarinet production item #326"/>
    <s v="UNIQUE"/>
    <n v="0"/>
    <n v="10"/>
    <n v="0"/>
    <n v="0"/>
    <n v="0"/>
  </r>
  <r>
    <x v="0"/>
    <x v="9"/>
    <x v="2"/>
    <n v="1"/>
    <n v="30"/>
    <s v="00"/>
    <s v="327"/>
    <s v="13000-327"/>
    <s v="Clarinet production item #327"/>
    <s v="UNIQUE"/>
    <n v="0"/>
    <n v="27"/>
    <n v="29"/>
    <n v="0"/>
    <n v="783"/>
  </r>
  <r>
    <x v="0"/>
    <x v="9"/>
    <x v="2"/>
    <n v="1"/>
    <n v="30"/>
    <s v="00"/>
    <s v="328"/>
    <s v="13000-328"/>
    <s v="Clarinet production item #328"/>
    <s v="UNIQUE"/>
    <n v="0"/>
    <n v="1000"/>
    <n v="21"/>
    <n v="0"/>
    <n v="21000"/>
  </r>
  <r>
    <x v="0"/>
    <x v="9"/>
    <x v="2"/>
    <n v="1"/>
    <n v="30"/>
    <s v="00"/>
    <s v="329"/>
    <s v="13000-329"/>
    <s v="Clarinet production item #329"/>
    <s v="UNIQUE"/>
    <n v="0"/>
    <n v="8"/>
    <n v="8000"/>
    <n v="0"/>
    <n v="64000"/>
  </r>
  <r>
    <x v="0"/>
    <x v="9"/>
    <x v="2"/>
    <n v="1"/>
    <n v="30"/>
    <s v="00"/>
    <s v="330"/>
    <s v="13000-330"/>
    <s v="Clarinet production item #330"/>
    <s v="UNIQUE"/>
    <n v="0"/>
    <n v="8"/>
    <n v="1000"/>
    <n v="0"/>
    <n v="8000"/>
  </r>
  <r>
    <x v="0"/>
    <x v="9"/>
    <x v="2"/>
    <n v="1"/>
    <n v="30"/>
    <s v="00"/>
    <s v="331"/>
    <s v="13000-331"/>
    <s v="Clarinet production item #331"/>
    <s v="UNIQUE"/>
    <n v="2"/>
    <n v="125"/>
    <n v="441"/>
    <n v="250"/>
    <n v="55125"/>
  </r>
  <r>
    <x v="0"/>
    <x v="9"/>
    <x v="2"/>
    <n v="1"/>
    <n v="30"/>
    <s v="00"/>
    <s v="332"/>
    <s v="13000-332"/>
    <s v="Clarinet production item #332"/>
    <s v="UNIQUE"/>
    <n v="0"/>
    <n v="16"/>
    <n v="23"/>
    <n v="0"/>
    <n v="368"/>
  </r>
  <r>
    <x v="0"/>
    <x v="9"/>
    <x v="2"/>
    <n v="1"/>
    <n v="30"/>
    <s v="00"/>
    <s v="333"/>
    <s v="13000-333"/>
    <s v="Clarinet production item #333"/>
    <s v="UNIQUE"/>
    <n v="0"/>
    <n v="2"/>
    <n v="4"/>
    <n v="0"/>
    <n v="8"/>
  </r>
  <r>
    <x v="0"/>
    <x v="9"/>
    <x v="2"/>
    <n v="1"/>
    <n v="30"/>
    <s v="00"/>
    <s v="334"/>
    <s v="13000-334"/>
    <s v="Clarinet production item #334"/>
    <s v="UNIQUE"/>
    <n v="0"/>
    <n v="512"/>
    <n v="19"/>
    <n v="0"/>
    <n v="9728"/>
  </r>
  <r>
    <x v="0"/>
    <x v="9"/>
    <x v="2"/>
    <n v="1"/>
    <n v="30"/>
    <s v="00"/>
    <s v="335"/>
    <s v="13000-335"/>
    <s v="Clarinet production item #335"/>
    <s v="UNIQUE"/>
    <n v="3"/>
    <n v="1000"/>
    <n v="729"/>
    <n v="3000"/>
    <n v="729000"/>
  </r>
  <r>
    <x v="0"/>
    <x v="9"/>
    <x v="2"/>
    <n v="1"/>
    <n v="30"/>
    <s v="00"/>
    <s v="336"/>
    <s v="13000-336"/>
    <s v="Clarinet production item #336"/>
    <s v="UNIQUE"/>
    <n v="0"/>
    <n v="343"/>
    <n v="64"/>
    <n v="0"/>
    <n v="21952"/>
  </r>
  <r>
    <x v="0"/>
    <x v="9"/>
    <x v="2"/>
    <n v="1"/>
    <n v="30"/>
    <s v="00"/>
    <s v="337"/>
    <s v="13000-337"/>
    <s v="Clarinet production item #337"/>
    <s v="UNIQUE"/>
    <n v="0"/>
    <n v="1"/>
    <n v="4"/>
    <n v="0"/>
    <n v="4"/>
  </r>
  <r>
    <x v="0"/>
    <x v="9"/>
    <x v="2"/>
    <n v="1"/>
    <n v="30"/>
    <s v="00"/>
    <s v="338"/>
    <s v="13000-338"/>
    <s v="Clarinet production item #338"/>
    <s v="UNIQUE"/>
    <n v="589"/>
    <n v="1000"/>
    <n v="3"/>
    <n v="589000"/>
    <n v="3000"/>
  </r>
  <r>
    <x v="0"/>
    <x v="9"/>
    <x v="2"/>
    <n v="1"/>
    <n v="30"/>
    <s v="00"/>
    <s v="339"/>
    <s v="13000-339"/>
    <s v="Clarinet production item #339"/>
    <s v="UNIQUE"/>
    <n v="0"/>
    <n v="125"/>
    <n v="0"/>
    <n v="0"/>
    <n v="0"/>
  </r>
  <r>
    <x v="0"/>
    <x v="9"/>
    <x v="2"/>
    <n v="1"/>
    <n v="30"/>
    <s v="00"/>
    <s v="340"/>
    <s v="13000-340"/>
    <s v="Clarinet production item #340"/>
    <s v="UNIQUE"/>
    <n v="368"/>
    <n v="1"/>
    <n v="5"/>
    <n v="368"/>
    <n v="5"/>
  </r>
  <r>
    <x v="0"/>
    <x v="9"/>
    <x v="2"/>
    <n v="1"/>
    <n v="30"/>
    <s v="00"/>
    <s v="341"/>
    <s v="13000-341"/>
    <s v="Clarinet production item #341"/>
    <s v="UNIQUE"/>
    <n v="0"/>
    <n v="7"/>
    <n v="20"/>
    <n v="0"/>
    <n v="140"/>
  </r>
  <r>
    <x v="0"/>
    <x v="9"/>
    <x v="2"/>
    <n v="1"/>
    <n v="30"/>
    <s v="00"/>
    <s v="342"/>
    <s v="13000-342"/>
    <s v="Clarinet production item #342"/>
    <s v="UNIQUE"/>
    <n v="0"/>
    <n v="1"/>
    <n v="289"/>
    <n v="0"/>
    <n v="289"/>
  </r>
  <r>
    <x v="0"/>
    <x v="9"/>
    <x v="2"/>
    <n v="1"/>
    <n v="30"/>
    <s v="00"/>
    <s v="343"/>
    <s v="13000-343"/>
    <s v="Clarinet production item #343"/>
    <s v="UNIQUE"/>
    <n v="0"/>
    <n v="8"/>
    <n v="0"/>
    <n v="0"/>
    <n v="0"/>
  </r>
  <r>
    <x v="0"/>
    <x v="9"/>
    <x v="2"/>
    <n v="1"/>
    <n v="30"/>
    <s v="00"/>
    <s v="344"/>
    <s v="13000-344"/>
    <s v="Clarinet production item #344"/>
    <s v="UNIQUE"/>
    <n v="0"/>
    <n v="16"/>
    <n v="27"/>
    <n v="0"/>
    <n v="432"/>
  </r>
  <r>
    <x v="0"/>
    <x v="9"/>
    <x v="2"/>
    <n v="1"/>
    <n v="30"/>
    <s v="00"/>
    <s v="345"/>
    <s v="13000-345"/>
    <s v="Clarinet production item #345"/>
    <s v="UNIQUE"/>
    <n v="0"/>
    <n v="36"/>
    <n v="12"/>
    <n v="0"/>
    <n v="432"/>
  </r>
  <r>
    <x v="0"/>
    <x v="9"/>
    <x v="2"/>
    <n v="1"/>
    <n v="30"/>
    <s v="00"/>
    <s v="346"/>
    <s v="13000-346"/>
    <s v="Clarinet production item #346"/>
    <s v="UNIQUE"/>
    <n v="0"/>
    <n v="5"/>
    <n v="9"/>
    <n v="0"/>
    <n v="45"/>
  </r>
  <r>
    <x v="0"/>
    <x v="9"/>
    <x v="2"/>
    <n v="1"/>
    <n v="30"/>
    <s v="00"/>
    <s v="347"/>
    <s v="13000-347"/>
    <s v="Clarinet production item #347"/>
    <s v="UNIQUE"/>
    <n v="2"/>
    <n v="9"/>
    <n v="7"/>
    <n v="18"/>
    <n v="63"/>
  </r>
  <r>
    <x v="0"/>
    <x v="9"/>
    <x v="2"/>
    <n v="1"/>
    <n v="30"/>
    <s v="00"/>
    <s v="348"/>
    <s v="13000-348"/>
    <s v="Clarinet production item #348"/>
    <s v="UNIQUE"/>
    <n v="6"/>
    <n v="1"/>
    <n v="4"/>
    <n v="6"/>
    <n v="4"/>
  </r>
  <r>
    <x v="0"/>
    <x v="9"/>
    <x v="2"/>
    <n v="1"/>
    <n v="30"/>
    <s v="00"/>
    <s v="349"/>
    <s v="13000-349"/>
    <s v="Clarinet production item #349"/>
    <s v="UNIQUE"/>
    <n v="5018"/>
    <n v="16"/>
    <n v="9261"/>
    <n v="80288"/>
    <n v="148176"/>
  </r>
  <r>
    <x v="0"/>
    <x v="9"/>
    <x v="2"/>
    <n v="1"/>
    <n v="30"/>
    <s v="00"/>
    <s v="350"/>
    <s v="13000-350"/>
    <s v="Clarinet production item #350"/>
    <s v="UNIQUE"/>
    <n v="694"/>
    <n v="25"/>
    <n v="6"/>
    <n v="17350"/>
    <n v="150"/>
  </r>
  <r>
    <x v="0"/>
    <x v="9"/>
    <x v="2"/>
    <n v="1"/>
    <n v="30"/>
    <s v="00"/>
    <s v="351"/>
    <s v="13000-351"/>
    <s v="Clarinet production item #351"/>
    <s v="UNIQUE"/>
    <n v="0"/>
    <n v="7"/>
    <n v="4"/>
    <n v="0"/>
    <n v="28"/>
  </r>
  <r>
    <x v="0"/>
    <x v="9"/>
    <x v="2"/>
    <n v="1"/>
    <n v="30"/>
    <s v="00"/>
    <s v="352"/>
    <s v="13000-352"/>
    <s v="Clarinet production item #352"/>
    <s v="UNIQUE"/>
    <n v="6710"/>
    <n v="9"/>
    <n v="8"/>
    <n v="60390"/>
    <n v="72"/>
  </r>
  <r>
    <x v="0"/>
    <x v="9"/>
    <x v="2"/>
    <n v="1"/>
    <n v="30"/>
    <s v="00"/>
    <s v="353"/>
    <s v="13000-353"/>
    <s v="Clarinet production item #353"/>
    <s v="UNIQUE"/>
    <n v="4417"/>
    <n v="512"/>
    <n v="7"/>
    <n v="2261504"/>
    <n v="3584"/>
  </r>
  <r>
    <x v="0"/>
    <x v="9"/>
    <x v="2"/>
    <n v="1"/>
    <n v="30"/>
    <s v="00"/>
    <s v="354"/>
    <s v="13000-354"/>
    <s v="Clarinet production item #354"/>
    <s v="UNIQUE"/>
    <n v="313"/>
    <n v="16"/>
    <n v="2744"/>
    <n v="5008"/>
    <n v="43904"/>
  </r>
  <r>
    <x v="0"/>
    <x v="9"/>
    <x v="2"/>
    <n v="1"/>
    <n v="30"/>
    <s v="00"/>
    <s v="355"/>
    <s v="13000-355"/>
    <s v="Clarinet production item #355"/>
    <s v="UNIQUE"/>
    <n v="789"/>
    <n v="1"/>
    <n v="15"/>
    <n v="789"/>
    <n v="15"/>
  </r>
  <r>
    <x v="0"/>
    <x v="9"/>
    <x v="2"/>
    <n v="1"/>
    <n v="30"/>
    <s v="00"/>
    <s v="356"/>
    <s v="13000-356"/>
    <s v="Clarinet production item #356"/>
    <s v="UNIQUE"/>
    <n v="69"/>
    <n v="49"/>
    <n v="24"/>
    <n v="3381"/>
    <n v="1176"/>
  </r>
  <r>
    <x v="0"/>
    <x v="9"/>
    <x v="2"/>
    <n v="1"/>
    <n v="30"/>
    <s v="00"/>
    <s v="357"/>
    <s v="13000-357"/>
    <s v="Clarinet production item #357"/>
    <s v="UNIQUE"/>
    <n v="0"/>
    <n v="512"/>
    <n v="18"/>
    <n v="0"/>
    <n v="9216"/>
  </r>
  <r>
    <x v="0"/>
    <x v="9"/>
    <x v="2"/>
    <n v="1"/>
    <n v="30"/>
    <s v="00"/>
    <s v="358"/>
    <s v="13000-358"/>
    <s v="Clarinet production item #358"/>
    <s v="UNIQUE"/>
    <n v="1"/>
    <n v="1"/>
    <n v="2"/>
    <n v="1"/>
    <n v="2"/>
  </r>
  <r>
    <x v="0"/>
    <x v="9"/>
    <x v="2"/>
    <n v="1"/>
    <n v="30"/>
    <s v="00"/>
    <s v="359"/>
    <s v="13000-359"/>
    <s v="Clarinet production item #359"/>
    <s v="UNIQUE"/>
    <n v="1"/>
    <n v="1"/>
    <n v="9"/>
    <n v="1"/>
    <n v="9"/>
  </r>
  <r>
    <x v="0"/>
    <x v="9"/>
    <x v="2"/>
    <n v="1"/>
    <n v="30"/>
    <s v="00"/>
    <s v="360"/>
    <s v="13000-360"/>
    <s v="Clarinet production item #360"/>
    <s v="UNIQUE"/>
    <n v="906"/>
    <n v="8"/>
    <n v="484"/>
    <n v="7248"/>
    <n v="3872"/>
  </r>
  <r>
    <x v="0"/>
    <x v="9"/>
    <x v="2"/>
    <n v="1"/>
    <n v="30"/>
    <s v="00"/>
    <s v="361"/>
    <s v="13000-361"/>
    <s v="Clarinet production item #361"/>
    <s v="UNIQUE"/>
    <n v="8"/>
    <n v="7"/>
    <n v="17576"/>
    <n v="56"/>
    <n v="123032"/>
  </r>
  <r>
    <x v="0"/>
    <x v="9"/>
    <x v="2"/>
    <n v="1"/>
    <n v="30"/>
    <s v="00"/>
    <s v="362"/>
    <s v="13000-362"/>
    <s v="Clarinet production item #362"/>
    <s v="UNIQUE"/>
    <n v="0"/>
    <n v="4"/>
    <n v="512"/>
    <n v="0"/>
    <n v="2048"/>
  </r>
  <r>
    <x v="0"/>
    <x v="9"/>
    <x v="2"/>
    <n v="1"/>
    <n v="30"/>
    <s v="00"/>
    <s v="363"/>
    <s v="13000-363"/>
    <s v="Clarinet production item #363"/>
    <s v="UNIQUE"/>
    <n v="80"/>
    <n v="25"/>
    <n v="8000"/>
    <n v="2000"/>
    <n v="200000"/>
  </r>
  <r>
    <x v="0"/>
    <x v="9"/>
    <x v="2"/>
    <n v="1"/>
    <n v="30"/>
    <s v="00"/>
    <s v="364"/>
    <s v="13000-364"/>
    <s v="Clarinet production item #364"/>
    <s v="UNIQUE"/>
    <n v="0"/>
    <n v="512"/>
    <n v="484"/>
    <n v="0"/>
    <n v="247808"/>
  </r>
  <r>
    <x v="0"/>
    <x v="9"/>
    <x v="2"/>
    <n v="1"/>
    <n v="30"/>
    <s v="00"/>
    <s v="365"/>
    <s v="13000-365"/>
    <s v="Clarinet production item #365"/>
    <s v="UNIQUE"/>
    <n v="0"/>
    <n v="9"/>
    <n v="2"/>
    <n v="0"/>
    <n v="18"/>
  </r>
  <r>
    <x v="0"/>
    <x v="9"/>
    <x v="2"/>
    <n v="1"/>
    <n v="30"/>
    <s v="00"/>
    <s v="366"/>
    <s v="13000-366"/>
    <s v="Clarinet production item #366"/>
    <s v="UNIQUE"/>
    <n v="1"/>
    <n v="3"/>
    <n v="0"/>
    <n v="3"/>
    <n v="0"/>
  </r>
  <r>
    <x v="0"/>
    <x v="9"/>
    <x v="2"/>
    <n v="1"/>
    <n v="30"/>
    <s v="00"/>
    <s v="367"/>
    <s v="13000-367"/>
    <s v="Clarinet production item #367"/>
    <s v="UNIQUE"/>
    <n v="0"/>
    <n v="5"/>
    <n v="1"/>
    <n v="0"/>
    <n v="5"/>
  </r>
  <r>
    <x v="0"/>
    <x v="9"/>
    <x v="2"/>
    <n v="1"/>
    <n v="30"/>
    <s v="00"/>
    <s v="368"/>
    <s v="13000-368"/>
    <s v="Clarinet production item #368"/>
    <s v="UNIQUE"/>
    <n v="0"/>
    <n v="49"/>
    <n v="676"/>
    <n v="0"/>
    <n v="33124"/>
  </r>
  <r>
    <x v="0"/>
    <x v="9"/>
    <x v="2"/>
    <n v="1"/>
    <n v="30"/>
    <s v="00"/>
    <s v="369"/>
    <s v="13000-369"/>
    <s v="Clarinet production item #369"/>
    <s v="UNIQUE"/>
    <n v="0"/>
    <n v="343"/>
    <n v="7"/>
    <n v="0"/>
    <n v="2401"/>
  </r>
  <r>
    <x v="0"/>
    <x v="9"/>
    <x v="2"/>
    <n v="1"/>
    <n v="30"/>
    <s v="00"/>
    <s v="370"/>
    <s v="13000-370"/>
    <s v="Clarinet production item #370"/>
    <s v="UNIQUE"/>
    <n v="0"/>
    <n v="1"/>
    <n v="4"/>
    <n v="0"/>
    <n v="4"/>
  </r>
  <r>
    <x v="0"/>
    <x v="9"/>
    <x v="2"/>
    <n v="1"/>
    <n v="30"/>
    <s v="00"/>
    <s v="371"/>
    <s v="13000-371"/>
    <s v="Clarinet production item #371"/>
    <s v="UNIQUE"/>
    <n v="0"/>
    <n v="10"/>
    <n v="17576"/>
    <n v="0"/>
    <n v="175760"/>
  </r>
  <r>
    <x v="0"/>
    <x v="9"/>
    <x v="2"/>
    <n v="1"/>
    <n v="30"/>
    <s v="00"/>
    <s v="372"/>
    <s v="13000-372"/>
    <s v="Clarinet production item #372"/>
    <s v="UNIQUE"/>
    <n v="0"/>
    <n v="343"/>
    <n v="512"/>
    <n v="0"/>
    <n v="175616"/>
  </r>
  <r>
    <x v="0"/>
    <x v="9"/>
    <x v="2"/>
    <n v="1"/>
    <n v="30"/>
    <s v="00"/>
    <s v="373"/>
    <s v="13000-373"/>
    <s v="Clarinet production item #373"/>
    <s v="UNIQUE"/>
    <n v="0"/>
    <n v="16"/>
    <n v="343"/>
    <n v="0"/>
    <n v="5488"/>
  </r>
  <r>
    <x v="0"/>
    <x v="9"/>
    <x v="2"/>
    <n v="1"/>
    <n v="30"/>
    <s v="00"/>
    <s v="374"/>
    <s v="13000-374"/>
    <s v="Clarinet production item #374"/>
    <s v="UNIQUE"/>
    <n v="0"/>
    <n v="3"/>
    <n v="4"/>
    <n v="0"/>
    <n v="12"/>
  </r>
  <r>
    <x v="0"/>
    <x v="9"/>
    <x v="2"/>
    <n v="1"/>
    <n v="30"/>
    <s v="00"/>
    <s v="375"/>
    <s v="13000-375"/>
    <s v="Clarinet production item #375"/>
    <s v="UNIQUE"/>
    <n v="0"/>
    <n v="25"/>
    <n v="10"/>
    <n v="0"/>
    <n v="250"/>
  </r>
  <r>
    <x v="0"/>
    <x v="9"/>
    <x v="2"/>
    <n v="1"/>
    <n v="30"/>
    <s v="00"/>
    <s v="376"/>
    <s v="13000-376"/>
    <s v="Clarinet production item #376"/>
    <s v="UNIQUE"/>
    <n v="820"/>
    <n v="9"/>
    <n v="529"/>
    <n v="7380"/>
    <n v="4761"/>
  </r>
  <r>
    <x v="0"/>
    <x v="9"/>
    <x v="2"/>
    <n v="1"/>
    <n v="30"/>
    <s v="00"/>
    <s v="377"/>
    <s v="13000-377"/>
    <s v="Clarinet production item #377"/>
    <s v="UNIQUE"/>
    <n v="0"/>
    <n v="16"/>
    <n v="12"/>
    <n v="0"/>
    <n v="192"/>
  </r>
  <r>
    <x v="0"/>
    <x v="9"/>
    <x v="2"/>
    <n v="1"/>
    <n v="30"/>
    <s v="00"/>
    <s v="378"/>
    <s v="13000-378"/>
    <s v="Clarinet production item #378"/>
    <s v="UNIQUE"/>
    <n v="9"/>
    <n v="8"/>
    <n v="30"/>
    <n v="72"/>
    <n v="240"/>
  </r>
  <r>
    <x v="0"/>
    <x v="9"/>
    <x v="2"/>
    <n v="1"/>
    <n v="30"/>
    <s v="00"/>
    <s v="379"/>
    <s v="13000-379"/>
    <s v="Clarinet production item #379"/>
    <s v="UNIQUE"/>
    <n v="0"/>
    <n v="216"/>
    <n v="5832"/>
    <n v="0"/>
    <n v="1259712"/>
  </r>
  <r>
    <x v="0"/>
    <x v="9"/>
    <x v="2"/>
    <n v="1"/>
    <n v="30"/>
    <s v="00"/>
    <s v="380"/>
    <s v="13000-380"/>
    <s v="Clarinet production item #380"/>
    <s v="UNIQUE"/>
    <n v="0"/>
    <n v="4"/>
    <n v="0"/>
    <n v="0"/>
    <n v="0"/>
  </r>
  <r>
    <x v="0"/>
    <x v="9"/>
    <x v="2"/>
    <n v="1"/>
    <n v="30"/>
    <s v="00"/>
    <s v="381"/>
    <s v="13000-381"/>
    <s v="Clarinet production item #381"/>
    <s v="UNIQUE"/>
    <n v="8496"/>
    <n v="9"/>
    <n v="10648"/>
    <n v="76464"/>
    <n v="95832"/>
  </r>
  <r>
    <x v="0"/>
    <x v="9"/>
    <x v="2"/>
    <n v="1"/>
    <n v="30"/>
    <s v="00"/>
    <s v="382"/>
    <s v="13000-382"/>
    <s v="Clarinet production item #382"/>
    <s v="UNIQUE"/>
    <n v="0"/>
    <n v="343"/>
    <n v="15625"/>
    <n v="0"/>
    <n v="5359375"/>
  </r>
  <r>
    <x v="0"/>
    <x v="9"/>
    <x v="2"/>
    <n v="1"/>
    <n v="30"/>
    <s v="00"/>
    <s v="383"/>
    <s v="13000-383"/>
    <s v="Clarinet production item #383"/>
    <s v="UNIQUE"/>
    <n v="0"/>
    <n v="8"/>
    <n v="361"/>
    <n v="0"/>
    <n v="2888"/>
  </r>
  <r>
    <x v="0"/>
    <x v="9"/>
    <x v="2"/>
    <n v="1"/>
    <n v="30"/>
    <s v="00"/>
    <s v="384"/>
    <s v="13000-384"/>
    <s v="Clarinet production item #384"/>
    <s v="UNIQUE"/>
    <n v="0"/>
    <n v="1"/>
    <n v="49"/>
    <n v="0"/>
    <n v="49"/>
  </r>
  <r>
    <x v="0"/>
    <x v="9"/>
    <x v="2"/>
    <n v="1"/>
    <n v="30"/>
    <s v="00"/>
    <s v="385"/>
    <s v="13000-385"/>
    <s v="Clarinet production item #385"/>
    <s v="UNIQUE"/>
    <n v="0"/>
    <n v="36"/>
    <n v="22"/>
    <n v="0"/>
    <n v="792"/>
  </r>
  <r>
    <x v="0"/>
    <x v="9"/>
    <x v="2"/>
    <n v="1"/>
    <n v="30"/>
    <s v="00"/>
    <s v="386"/>
    <s v="13000-386"/>
    <s v="Clarinet production item #386"/>
    <s v="UNIQUE"/>
    <n v="9713"/>
    <n v="64"/>
    <n v="12167"/>
    <n v="621632"/>
    <n v="778688"/>
  </r>
  <r>
    <x v="0"/>
    <x v="9"/>
    <x v="2"/>
    <n v="1"/>
    <n v="30"/>
    <s v="00"/>
    <s v="387"/>
    <s v="13000-387"/>
    <s v="Clarinet production item #387"/>
    <s v="UNIQUE"/>
    <n v="1"/>
    <n v="1"/>
    <n v="4096"/>
    <n v="1"/>
    <n v="4096"/>
  </r>
  <r>
    <x v="0"/>
    <x v="9"/>
    <x v="2"/>
    <n v="1"/>
    <n v="30"/>
    <s v="00"/>
    <s v="388"/>
    <s v="13000-388"/>
    <s v="Clarinet production item #388"/>
    <s v="UNIQUE"/>
    <n v="0"/>
    <n v="1000"/>
    <n v="27000"/>
    <n v="0"/>
    <n v="27000000"/>
  </r>
  <r>
    <x v="0"/>
    <x v="9"/>
    <x v="2"/>
    <n v="1"/>
    <n v="30"/>
    <s v="00"/>
    <s v="389"/>
    <s v="13000-389"/>
    <s v="Clarinet production item #389"/>
    <s v="UNIQUE"/>
    <n v="641"/>
    <n v="5"/>
    <n v="24389"/>
    <n v="3205"/>
    <n v="121945"/>
  </r>
  <r>
    <x v="0"/>
    <x v="9"/>
    <x v="2"/>
    <n v="1"/>
    <n v="30"/>
    <s v="00"/>
    <s v="390"/>
    <s v="13000-390"/>
    <s v="Clarinet production item #390"/>
    <s v="UNIQUE"/>
    <n v="449"/>
    <n v="4"/>
    <n v="21"/>
    <n v="1796"/>
    <n v="84"/>
  </r>
  <r>
    <x v="0"/>
    <x v="9"/>
    <x v="2"/>
    <n v="1"/>
    <n v="30"/>
    <s v="00"/>
    <s v="391"/>
    <s v="13000-391"/>
    <s v="Clarinet production item #391"/>
    <s v="UNIQUE"/>
    <n v="0"/>
    <n v="81"/>
    <n v="26"/>
    <n v="0"/>
    <n v="2106"/>
  </r>
  <r>
    <x v="0"/>
    <x v="9"/>
    <x v="2"/>
    <n v="1"/>
    <n v="30"/>
    <s v="00"/>
    <s v="392"/>
    <s v="13000-392"/>
    <s v="Clarinet production item #392"/>
    <s v="UNIQUE"/>
    <n v="350"/>
    <n v="8"/>
    <n v="11"/>
    <n v="2800"/>
    <n v="88"/>
  </r>
  <r>
    <x v="0"/>
    <x v="9"/>
    <x v="2"/>
    <n v="1"/>
    <n v="30"/>
    <s v="00"/>
    <s v="393"/>
    <s v="13000-393"/>
    <s v="Clarinet production item #393"/>
    <s v="UNIQUE"/>
    <n v="17"/>
    <n v="343"/>
    <n v="900"/>
    <n v="5831"/>
    <n v="308700"/>
  </r>
  <r>
    <x v="0"/>
    <x v="9"/>
    <x v="2"/>
    <n v="1"/>
    <n v="30"/>
    <s v="00"/>
    <s v="394"/>
    <s v="13000-394"/>
    <s v="Clarinet production item #394"/>
    <s v="UNIQUE"/>
    <n v="0"/>
    <n v="100"/>
    <n v="9261"/>
    <n v="0"/>
    <n v="926100"/>
  </r>
  <r>
    <x v="0"/>
    <x v="9"/>
    <x v="2"/>
    <n v="1"/>
    <n v="30"/>
    <s v="00"/>
    <s v="395"/>
    <s v="13000-395"/>
    <s v="Clarinet production item #395"/>
    <s v="UNIQUE"/>
    <n v="85"/>
    <n v="49"/>
    <n v="3"/>
    <n v="4165"/>
    <n v="147"/>
  </r>
  <r>
    <x v="0"/>
    <x v="9"/>
    <x v="2"/>
    <n v="1"/>
    <n v="30"/>
    <s v="00"/>
    <s v="396"/>
    <s v="13000-396"/>
    <s v="Clarinet production item #396"/>
    <s v="UNIQUE"/>
    <n v="61"/>
    <n v="27"/>
    <n v="4"/>
    <n v="1647"/>
    <n v="108"/>
  </r>
  <r>
    <x v="0"/>
    <x v="9"/>
    <x v="2"/>
    <n v="1"/>
    <n v="30"/>
    <s v="00"/>
    <s v="397"/>
    <s v="13000-397"/>
    <s v="Clarinet production item #397"/>
    <s v="UNIQUE"/>
    <n v="0"/>
    <n v="8"/>
    <n v="900"/>
    <n v="0"/>
    <n v="7200"/>
  </r>
  <r>
    <x v="0"/>
    <x v="9"/>
    <x v="2"/>
    <n v="1"/>
    <n v="30"/>
    <s v="00"/>
    <s v="398"/>
    <s v="13000-398"/>
    <s v="Clarinet production item #398"/>
    <s v="UNIQUE"/>
    <n v="9994"/>
    <n v="7"/>
    <n v="9"/>
    <n v="69958"/>
    <n v="63"/>
  </r>
  <r>
    <x v="0"/>
    <x v="9"/>
    <x v="2"/>
    <n v="1"/>
    <n v="30"/>
    <s v="00"/>
    <s v="399"/>
    <s v="13000-399"/>
    <s v="Clarinet production item #399"/>
    <s v="UNIQUE"/>
    <n v="153"/>
    <n v="10"/>
    <n v="0"/>
    <n v="1530"/>
    <n v="0"/>
  </r>
  <r>
    <x v="0"/>
    <x v="10"/>
    <x v="2"/>
    <n v="1"/>
    <n v="31"/>
    <s v="00"/>
    <s v="000"/>
    <s v="13100-000"/>
    <s v="Saxophone production item #000"/>
    <s v="UNIQUE"/>
    <n v="0"/>
    <n v="125"/>
    <n v="4096"/>
    <n v="0"/>
    <n v="512000"/>
  </r>
  <r>
    <x v="0"/>
    <x v="10"/>
    <x v="2"/>
    <n v="1"/>
    <n v="31"/>
    <s v="00"/>
    <s v="001"/>
    <s v="13100-001"/>
    <s v="Saxophone production item #001"/>
    <s v="UNIQUE"/>
    <n v="0"/>
    <n v="1"/>
    <n v="9261"/>
    <n v="0"/>
    <n v="9261"/>
  </r>
  <r>
    <x v="0"/>
    <x v="10"/>
    <x v="2"/>
    <n v="1"/>
    <n v="31"/>
    <s v="00"/>
    <s v="002"/>
    <s v="13100-002"/>
    <s v="Saxophone production item #002"/>
    <s v="UNIQUE"/>
    <n v="0"/>
    <n v="8"/>
    <n v="19683"/>
    <n v="0"/>
    <n v="157464"/>
  </r>
  <r>
    <x v="0"/>
    <x v="10"/>
    <x v="2"/>
    <n v="1"/>
    <n v="31"/>
    <s v="00"/>
    <s v="003"/>
    <s v="13100-003"/>
    <s v="Saxophone production item #003"/>
    <s v="UNIQUE"/>
    <n v="0"/>
    <n v="100"/>
    <n v="576"/>
    <n v="0"/>
    <n v="57600"/>
  </r>
  <r>
    <x v="0"/>
    <x v="10"/>
    <x v="2"/>
    <n v="1"/>
    <n v="31"/>
    <s v="00"/>
    <s v="004"/>
    <s v="13100-004"/>
    <s v="Saxophone production item #004"/>
    <s v="UNIQUE"/>
    <n v="0"/>
    <n v="10"/>
    <n v="9"/>
    <n v="0"/>
    <n v="90"/>
  </r>
  <r>
    <x v="0"/>
    <x v="10"/>
    <x v="2"/>
    <n v="1"/>
    <n v="31"/>
    <s v="00"/>
    <s v="005"/>
    <s v="13100-005"/>
    <s v="Saxophone production item #005"/>
    <s v="UNIQUE"/>
    <n v="0"/>
    <n v="1"/>
    <n v="13"/>
    <n v="0"/>
    <n v="13"/>
  </r>
  <r>
    <x v="0"/>
    <x v="10"/>
    <x v="2"/>
    <n v="1"/>
    <n v="31"/>
    <s v="00"/>
    <s v="006"/>
    <s v="13100-006"/>
    <s v="Saxophone production item #006"/>
    <s v="UNIQUE"/>
    <n v="54"/>
    <n v="3"/>
    <n v="30"/>
    <n v="162"/>
    <n v="90"/>
  </r>
  <r>
    <x v="0"/>
    <x v="10"/>
    <x v="2"/>
    <n v="1"/>
    <n v="31"/>
    <s v="00"/>
    <s v="007"/>
    <s v="13100-007"/>
    <s v="Saxophone production item #007"/>
    <s v="UNIQUE"/>
    <n v="0"/>
    <n v="729"/>
    <n v="14"/>
    <n v="0"/>
    <n v="10206"/>
  </r>
  <r>
    <x v="0"/>
    <x v="10"/>
    <x v="2"/>
    <n v="1"/>
    <n v="31"/>
    <s v="00"/>
    <s v="008"/>
    <s v="13100-008"/>
    <s v="Saxophone production item #008"/>
    <s v="UNIQUE"/>
    <n v="0"/>
    <n v="216"/>
    <n v="12167"/>
    <n v="0"/>
    <n v="2628072"/>
  </r>
  <r>
    <x v="0"/>
    <x v="10"/>
    <x v="2"/>
    <n v="1"/>
    <n v="31"/>
    <s v="00"/>
    <s v="009"/>
    <s v="13100-009"/>
    <s v="Saxophone production item #009"/>
    <s v="UNIQUE"/>
    <n v="0"/>
    <n v="8"/>
    <n v="64"/>
    <n v="0"/>
    <n v="512"/>
  </r>
  <r>
    <x v="0"/>
    <x v="10"/>
    <x v="2"/>
    <n v="1"/>
    <n v="31"/>
    <s v="00"/>
    <s v="010"/>
    <s v="13100-010"/>
    <s v="Saxophone production item #010"/>
    <s v="UNIQUE"/>
    <n v="3392"/>
    <n v="16"/>
    <n v="4"/>
    <n v="54272"/>
    <n v="64"/>
  </r>
  <r>
    <x v="0"/>
    <x v="10"/>
    <x v="2"/>
    <n v="1"/>
    <n v="31"/>
    <s v="00"/>
    <s v="011"/>
    <s v="13100-011"/>
    <s v="Saxophone production item #011"/>
    <s v="UNIQUE"/>
    <n v="0"/>
    <n v="343"/>
    <n v="1728"/>
    <n v="0"/>
    <n v="592704"/>
  </r>
  <r>
    <x v="0"/>
    <x v="10"/>
    <x v="2"/>
    <n v="1"/>
    <n v="31"/>
    <s v="00"/>
    <s v="012"/>
    <s v="13100-012"/>
    <s v="Saxophone production item #012"/>
    <s v="UNIQUE"/>
    <n v="0"/>
    <n v="8"/>
    <n v="23"/>
    <n v="0"/>
    <n v="184"/>
  </r>
  <r>
    <x v="0"/>
    <x v="10"/>
    <x v="2"/>
    <n v="1"/>
    <n v="31"/>
    <s v="00"/>
    <s v="013"/>
    <s v="13100-013"/>
    <s v="Saxophone production item #013"/>
    <s v="UNIQUE"/>
    <n v="0"/>
    <n v="3"/>
    <n v="1331"/>
    <n v="0"/>
    <n v="3993"/>
  </r>
  <r>
    <x v="0"/>
    <x v="10"/>
    <x v="2"/>
    <n v="1"/>
    <n v="31"/>
    <s v="00"/>
    <s v="014"/>
    <s v="13100-014"/>
    <s v="Saxophone production item #014"/>
    <s v="UNIQUE"/>
    <n v="0"/>
    <n v="25"/>
    <n v="7"/>
    <n v="0"/>
    <n v="175"/>
  </r>
  <r>
    <x v="0"/>
    <x v="10"/>
    <x v="2"/>
    <n v="1"/>
    <n v="31"/>
    <s v="00"/>
    <s v="015"/>
    <s v="13100-015"/>
    <s v="Saxophone production item #015"/>
    <s v="UNIQUE"/>
    <n v="0"/>
    <n v="343"/>
    <n v="15625"/>
    <n v="0"/>
    <n v="5359375"/>
  </r>
  <r>
    <x v="0"/>
    <x v="10"/>
    <x v="2"/>
    <n v="1"/>
    <n v="31"/>
    <s v="00"/>
    <s v="016"/>
    <s v="13100-016"/>
    <s v="Saxophone production item #016"/>
    <s v="UNIQUE"/>
    <n v="1"/>
    <n v="8"/>
    <n v="26"/>
    <n v="8"/>
    <n v="208"/>
  </r>
  <r>
    <x v="0"/>
    <x v="10"/>
    <x v="2"/>
    <n v="1"/>
    <n v="31"/>
    <s v="00"/>
    <s v="017"/>
    <s v="13100-017"/>
    <s v="Saxophone production item #017"/>
    <s v="UNIQUE"/>
    <n v="1"/>
    <n v="27"/>
    <n v="169"/>
    <n v="27"/>
    <n v="4563"/>
  </r>
  <r>
    <x v="0"/>
    <x v="10"/>
    <x v="2"/>
    <n v="1"/>
    <n v="31"/>
    <s v="00"/>
    <s v="018"/>
    <s v="13100-018"/>
    <s v="Saxophone production item #018"/>
    <s v="UNIQUE"/>
    <n v="275"/>
    <n v="100"/>
    <n v="9"/>
    <n v="27500"/>
    <n v="900"/>
  </r>
  <r>
    <x v="0"/>
    <x v="10"/>
    <x v="2"/>
    <n v="1"/>
    <n v="31"/>
    <s v="00"/>
    <s v="019"/>
    <s v="13100-019"/>
    <s v="Saxophone production item #019"/>
    <s v="UNIQUE"/>
    <n v="3"/>
    <n v="16"/>
    <n v="17"/>
    <n v="48"/>
    <n v="272"/>
  </r>
  <r>
    <x v="0"/>
    <x v="10"/>
    <x v="2"/>
    <n v="1"/>
    <n v="31"/>
    <s v="00"/>
    <s v="020"/>
    <s v="13100-020"/>
    <s v="Saxophone production item #020"/>
    <s v="UNIQUE"/>
    <n v="3467"/>
    <n v="16"/>
    <n v="17576"/>
    <n v="55472"/>
    <n v="281216"/>
  </r>
  <r>
    <x v="0"/>
    <x v="10"/>
    <x v="2"/>
    <n v="1"/>
    <n v="31"/>
    <s v="00"/>
    <s v="021"/>
    <s v="13100-021"/>
    <s v="Saxophone production item #021"/>
    <s v="UNIQUE"/>
    <n v="7363"/>
    <n v="5"/>
    <n v="16"/>
    <n v="36815"/>
    <n v="80"/>
  </r>
  <r>
    <x v="0"/>
    <x v="10"/>
    <x v="2"/>
    <n v="1"/>
    <n v="31"/>
    <s v="00"/>
    <s v="022"/>
    <s v="13100-022"/>
    <s v="Saxophone production item #022"/>
    <s v="UNIQUE"/>
    <n v="0"/>
    <n v="27"/>
    <n v="1728"/>
    <n v="0"/>
    <n v="46656"/>
  </r>
  <r>
    <x v="0"/>
    <x v="10"/>
    <x v="2"/>
    <n v="1"/>
    <n v="31"/>
    <s v="00"/>
    <s v="023"/>
    <s v="13100-023"/>
    <s v="Saxophone production item #023"/>
    <s v="UNIQUE"/>
    <n v="3"/>
    <n v="4"/>
    <n v="2744"/>
    <n v="12"/>
    <n v="10976"/>
  </r>
  <r>
    <x v="0"/>
    <x v="10"/>
    <x v="2"/>
    <n v="1"/>
    <n v="31"/>
    <s v="00"/>
    <s v="024"/>
    <s v="13100-024"/>
    <s v="Saxophone production item #024"/>
    <s v="UNIQUE"/>
    <n v="3599"/>
    <n v="125"/>
    <n v="3"/>
    <n v="449875"/>
    <n v="375"/>
  </r>
  <r>
    <x v="0"/>
    <x v="10"/>
    <x v="2"/>
    <n v="1"/>
    <n v="31"/>
    <s v="00"/>
    <s v="025"/>
    <s v="13100-025"/>
    <s v="Saxophone production item #025"/>
    <s v="UNIQUE"/>
    <n v="707"/>
    <n v="64"/>
    <n v="21"/>
    <n v="45248"/>
    <n v="1344"/>
  </r>
  <r>
    <x v="0"/>
    <x v="10"/>
    <x v="2"/>
    <n v="1"/>
    <n v="31"/>
    <s v="00"/>
    <s v="026"/>
    <s v="13100-026"/>
    <s v="Saxophone production item #026"/>
    <s v="UNIQUE"/>
    <n v="0"/>
    <n v="1"/>
    <n v="512"/>
    <n v="0"/>
    <n v="512"/>
  </r>
  <r>
    <x v="0"/>
    <x v="10"/>
    <x v="2"/>
    <n v="1"/>
    <n v="31"/>
    <s v="00"/>
    <s v="027"/>
    <s v="13100-027"/>
    <s v="Saxophone production item #027"/>
    <s v="UNIQUE"/>
    <n v="1"/>
    <n v="64"/>
    <n v="100"/>
    <n v="64"/>
    <n v="6400"/>
  </r>
  <r>
    <x v="0"/>
    <x v="10"/>
    <x v="2"/>
    <n v="1"/>
    <n v="31"/>
    <s v="00"/>
    <s v="028"/>
    <s v="13100-028"/>
    <s v="Saxophone production item #028"/>
    <s v="UNIQUE"/>
    <n v="0"/>
    <n v="64"/>
    <n v="256"/>
    <n v="0"/>
    <n v="16384"/>
  </r>
  <r>
    <x v="0"/>
    <x v="10"/>
    <x v="2"/>
    <n v="1"/>
    <n v="31"/>
    <s v="00"/>
    <s v="029"/>
    <s v="13100-029"/>
    <s v="Saxophone production item #029"/>
    <s v="UNIQUE"/>
    <n v="1"/>
    <n v="125"/>
    <n v="25"/>
    <n v="125"/>
    <n v="3125"/>
  </r>
  <r>
    <x v="0"/>
    <x v="10"/>
    <x v="2"/>
    <n v="1"/>
    <n v="31"/>
    <s v="00"/>
    <s v="030"/>
    <s v="13100-030"/>
    <s v="Saxophone production item #030"/>
    <s v="UNIQUE"/>
    <n v="0"/>
    <n v="8"/>
    <n v="25"/>
    <n v="0"/>
    <n v="200"/>
  </r>
  <r>
    <x v="0"/>
    <x v="10"/>
    <x v="2"/>
    <n v="1"/>
    <n v="31"/>
    <s v="00"/>
    <s v="031"/>
    <s v="13100-031"/>
    <s v="Saxophone production item #031"/>
    <s v="UNIQUE"/>
    <n v="3"/>
    <n v="3"/>
    <n v="2"/>
    <n v="9"/>
    <n v="6"/>
  </r>
  <r>
    <x v="0"/>
    <x v="10"/>
    <x v="2"/>
    <n v="1"/>
    <n v="31"/>
    <s v="00"/>
    <s v="032"/>
    <s v="13100-032"/>
    <s v="Saxophone production item #032"/>
    <s v="UNIQUE"/>
    <n v="445"/>
    <n v="1"/>
    <n v="27"/>
    <n v="445"/>
    <n v="27"/>
  </r>
  <r>
    <x v="0"/>
    <x v="10"/>
    <x v="2"/>
    <n v="1"/>
    <n v="31"/>
    <s v="00"/>
    <s v="033"/>
    <s v="13100-033"/>
    <s v="Saxophone production item #033"/>
    <s v="UNIQUE"/>
    <n v="0"/>
    <n v="2"/>
    <n v="2"/>
    <n v="0"/>
    <n v="4"/>
  </r>
  <r>
    <x v="0"/>
    <x v="10"/>
    <x v="2"/>
    <n v="1"/>
    <n v="31"/>
    <s v="00"/>
    <s v="034"/>
    <s v="13100-034"/>
    <s v="Saxophone production item #034"/>
    <s v="UNIQUE"/>
    <n v="0"/>
    <n v="125"/>
    <n v="8"/>
    <n v="0"/>
    <n v="1000"/>
  </r>
  <r>
    <x v="0"/>
    <x v="10"/>
    <x v="2"/>
    <n v="1"/>
    <n v="31"/>
    <s v="00"/>
    <s v="035"/>
    <s v="13100-035"/>
    <s v="Saxophone production item #035"/>
    <s v="UNIQUE"/>
    <n v="37"/>
    <n v="1"/>
    <n v="2"/>
    <n v="37"/>
    <n v="2"/>
  </r>
  <r>
    <x v="0"/>
    <x v="10"/>
    <x v="2"/>
    <n v="1"/>
    <n v="31"/>
    <s v="00"/>
    <s v="036"/>
    <s v="13100-036"/>
    <s v="Saxophone production item #036"/>
    <s v="UNIQUE"/>
    <n v="0"/>
    <n v="9"/>
    <n v="256"/>
    <n v="0"/>
    <n v="2304"/>
  </r>
  <r>
    <x v="0"/>
    <x v="10"/>
    <x v="2"/>
    <n v="1"/>
    <n v="31"/>
    <s v="00"/>
    <s v="037"/>
    <s v="13100-037"/>
    <s v="Saxophone production item #037"/>
    <s v="UNIQUE"/>
    <n v="0"/>
    <n v="5"/>
    <n v="11"/>
    <n v="0"/>
    <n v="55"/>
  </r>
  <r>
    <x v="0"/>
    <x v="10"/>
    <x v="2"/>
    <n v="1"/>
    <n v="31"/>
    <s v="00"/>
    <s v="038"/>
    <s v="13100-038"/>
    <s v="Saxophone production item #038"/>
    <s v="UNIQUE"/>
    <n v="673"/>
    <n v="512"/>
    <n v="1331"/>
    <n v="344576"/>
    <n v="681472"/>
  </r>
  <r>
    <x v="0"/>
    <x v="10"/>
    <x v="2"/>
    <n v="1"/>
    <n v="31"/>
    <s v="00"/>
    <s v="039"/>
    <s v="13100-039"/>
    <s v="Saxophone production item #039"/>
    <s v="UNIQUE"/>
    <n v="75"/>
    <n v="4"/>
    <n v="729"/>
    <n v="300"/>
    <n v="2916"/>
  </r>
  <r>
    <x v="0"/>
    <x v="10"/>
    <x v="2"/>
    <n v="1"/>
    <n v="31"/>
    <s v="00"/>
    <s v="040"/>
    <s v="13100-040"/>
    <s v="Saxophone production item #040"/>
    <s v="UNIQUE"/>
    <n v="5"/>
    <n v="4"/>
    <n v="729"/>
    <n v="20"/>
    <n v="2916"/>
  </r>
  <r>
    <x v="0"/>
    <x v="10"/>
    <x v="2"/>
    <n v="1"/>
    <n v="31"/>
    <s v="00"/>
    <s v="041"/>
    <s v="13100-041"/>
    <s v="Saxophone production item #041"/>
    <s v="UNIQUE"/>
    <n v="0"/>
    <n v="6"/>
    <n v="361"/>
    <n v="0"/>
    <n v="2166"/>
  </r>
  <r>
    <x v="0"/>
    <x v="10"/>
    <x v="2"/>
    <n v="1"/>
    <n v="31"/>
    <s v="00"/>
    <s v="042"/>
    <s v="13100-042"/>
    <s v="Saxophone production item #042"/>
    <s v="UNIQUE"/>
    <n v="28"/>
    <n v="125"/>
    <n v="900"/>
    <n v="3500"/>
    <n v="112500"/>
  </r>
  <r>
    <x v="0"/>
    <x v="10"/>
    <x v="2"/>
    <n v="1"/>
    <n v="31"/>
    <s v="00"/>
    <s v="043"/>
    <s v="13100-043"/>
    <s v="Saxophone production item #043"/>
    <s v="UNIQUE"/>
    <n v="0"/>
    <n v="8"/>
    <n v="14"/>
    <n v="0"/>
    <n v="112"/>
  </r>
  <r>
    <x v="0"/>
    <x v="10"/>
    <x v="2"/>
    <n v="1"/>
    <n v="31"/>
    <s v="00"/>
    <s v="044"/>
    <s v="13100-044"/>
    <s v="Saxophone production item #044"/>
    <s v="UNIQUE"/>
    <n v="0"/>
    <n v="100"/>
    <n v="1331"/>
    <n v="0"/>
    <n v="133100"/>
  </r>
  <r>
    <x v="0"/>
    <x v="10"/>
    <x v="2"/>
    <n v="1"/>
    <n v="31"/>
    <s v="00"/>
    <s v="045"/>
    <s v="13100-045"/>
    <s v="Saxophone production item #045"/>
    <s v="UNIQUE"/>
    <n v="0"/>
    <n v="8"/>
    <n v="343"/>
    <n v="0"/>
    <n v="2744"/>
  </r>
  <r>
    <x v="0"/>
    <x v="10"/>
    <x v="2"/>
    <n v="1"/>
    <n v="31"/>
    <s v="00"/>
    <s v="046"/>
    <s v="13100-046"/>
    <s v="Saxophone production item #046"/>
    <s v="UNIQUE"/>
    <n v="0"/>
    <n v="64"/>
    <n v="169"/>
    <n v="0"/>
    <n v="10816"/>
  </r>
  <r>
    <x v="0"/>
    <x v="10"/>
    <x v="2"/>
    <n v="1"/>
    <n v="31"/>
    <s v="00"/>
    <s v="047"/>
    <s v="13100-047"/>
    <s v="Saxophone production item #047"/>
    <s v="UNIQUE"/>
    <n v="0"/>
    <n v="4"/>
    <n v="9"/>
    <n v="0"/>
    <n v="36"/>
  </r>
  <r>
    <x v="0"/>
    <x v="10"/>
    <x v="2"/>
    <n v="1"/>
    <n v="31"/>
    <s v="00"/>
    <s v="048"/>
    <s v="13100-048"/>
    <s v="Saxophone production item #048"/>
    <s v="UNIQUE"/>
    <n v="1"/>
    <n v="36"/>
    <n v="17576"/>
    <n v="36"/>
    <n v="632736"/>
  </r>
  <r>
    <x v="0"/>
    <x v="10"/>
    <x v="2"/>
    <n v="1"/>
    <n v="31"/>
    <s v="00"/>
    <s v="049"/>
    <s v="13100-049"/>
    <s v="Saxophone production item #049"/>
    <s v="UNIQUE"/>
    <n v="0"/>
    <n v="216"/>
    <n v="5832"/>
    <n v="0"/>
    <n v="1259712"/>
  </r>
  <r>
    <x v="0"/>
    <x v="10"/>
    <x v="2"/>
    <n v="1"/>
    <n v="31"/>
    <s v="00"/>
    <s v="050"/>
    <s v="13100-050"/>
    <s v="Saxophone production item #050"/>
    <s v="UNIQUE"/>
    <n v="0"/>
    <n v="216"/>
    <n v="0"/>
    <n v="0"/>
    <n v="0"/>
  </r>
  <r>
    <x v="0"/>
    <x v="10"/>
    <x v="2"/>
    <n v="1"/>
    <n v="31"/>
    <s v="00"/>
    <s v="051"/>
    <s v="13100-051"/>
    <s v="Saxophone production item #051"/>
    <s v="UNIQUE"/>
    <n v="0"/>
    <n v="64"/>
    <n v="225"/>
    <n v="0"/>
    <n v="14400"/>
  </r>
  <r>
    <x v="0"/>
    <x v="10"/>
    <x v="2"/>
    <n v="1"/>
    <n v="31"/>
    <s v="00"/>
    <s v="052"/>
    <s v="13100-052"/>
    <s v="Saxophone production item #052"/>
    <s v="UNIQUE"/>
    <n v="0"/>
    <n v="27"/>
    <n v="4"/>
    <n v="0"/>
    <n v="108"/>
  </r>
  <r>
    <x v="0"/>
    <x v="10"/>
    <x v="2"/>
    <n v="1"/>
    <n v="31"/>
    <s v="00"/>
    <s v="053"/>
    <s v="13100-053"/>
    <s v="Saxophone production item #053"/>
    <s v="UNIQUE"/>
    <n v="907"/>
    <n v="10"/>
    <n v="8000"/>
    <n v="9070"/>
    <n v="80000"/>
  </r>
  <r>
    <x v="0"/>
    <x v="10"/>
    <x v="2"/>
    <n v="1"/>
    <n v="31"/>
    <s v="00"/>
    <s v="054"/>
    <s v="13100-054"/>
    <s v="Saxophone production item #054"/>
    <s v="UNIQUE"/>
    <n v="1"/>
    <n v="1000"/>
    <n v="10648"/>
    <n v="1000"/>
    <n v="10648000"/>
  </r>
  <r>
    <x v="0"/>
    <x v="10"/>
    <x v="2"/>
    <n v="1"/>
    <n v="31"/>
    <s v="00"/>
    <s v="055"/>
    <s v="13100-055"/>
    <s v="Saxophone production item #055"/>
    <s v="UNIQUE"/>
    <n v="0"/>
    <n v="10"/>
    <n v="12167"/>
    <n v="0"/>
    <n v="121670"/>
  </r>
  <r>
    <x v="0"/>
    <x v="10"/>
    <x v="2"/>
    <n v="1"/>
    <n v="31"/>
    <s v="00"/>
    <s v="056"/>
    <s v="13100-056"/>
    <s v="Saxophone production item #056"/>
    <s v="UNIQUE"/>
    <n v="5"/>
    <n v="64"/>
    <n v="343"/>
    <n v="320"/>
    <n v="21952"/>
  </r>
  <r>
    <x v="0"/>
    <x v="10"/>
    <x v="2"/>
    <n v="1"/>
    <n v="31"/>
    <s v="00"/>
    <s v="057"/>
    <s v="13100-057"/>
    <s v="Saxophone production item #057"/>
    <s v="UNIQUE"/>
    <n v="705"/>
    <n v="343"/>
    <n v="1000"/>
    <n v="241815"/>
    <n v="343000"/>
  </r>
  <r>
    <x v="0"/>
    <x v="10"/>
    <x v="2"/>
    <n v="1"/>
    <n v="31"/>
    <s v="00"/>
    <s v="058"/>
    <s v="13100-058"/>
    <s v="Saxophone production item #058"/>
    <s v="UNIQUE"/>
    <n v="5"/>
    <n v="9"/>
    <n v="9261"/>
    <n v="45"/>
    <n v="83349"/>
  </r>
  <r>
    <x v="0"/>
    <x v="10"/>
    <x v="2"/>
    <n v="1"/>
    <n v="31"/>
    <s v="00"/>
    <s v="059"/>
    <s v="13100-059"/>
    <s v="Saxophone production item #059"/>
    <s v="UNIQUE"/>
    <n v="0"/>
    <n v="1"/>
    <n v="3375"/>
    <n v="0"/>
    <n v="3375"/>
  </r>
  <r>
    <x v="0"/>
    <x v="10"/>
    <x v="2"/>
    <n v="1"/>
    <n v="31"/>
    <s v="00"/>
    <s v="060"/>
    <s v="13100-060"/>
    <s v="Saxophone production item #060"/>
    <s v="UNIQUE"/>
    <n v="0"/>
    <n v="25"/>
    <n v="21"/>
    <n v="0"/>
    <n v="525"/>
  </r>
  <r>
    <x v="0"/>
    <x v="10"/>
    <x v="2"/>
    <n v="1"/>
    <n v="31"/>
    <s v="00"/>
    <s v="061"/>
    <s v="13100-061"/>
    <s v="Saxophone production item #061"/>
    <s v="UNIQUE"/>
    <n v="10"/>
    <n v="4"/>
    <n v="10648"/>
    <n v="40"/>
    <n v="42592"/>
  </r>
  <r>
    <x v="0"/>
    <x v="10"/>
    <x v="2"/>
    <n v="1"/>
    <n v="31"/>
    <s v="00"/>
    <s v="062"/>
    <s v="13100-062"/>
    <s v="Saxophone production item #062"/>
    <s v="UNIQUE"/>
    <n v="0"/>
    <n v="1"/>
    <n v="21"/>
    <n v="0"/>
    <n v="21"/>
  </r>
  <r>
    <x v="0"/>
    <x v="10"/>
    <x v="2"/>
    <n v="1"/>
    <n v="31"/>
    <s v="00"/>
    <s v="063"/>
    <s v="13100-063"/>
    <s v="Saxophone production item #063"/>
    <s v="UNIQUE"/>
    <n v="41"/>
    <n v="16"/>
    <n v="16"/>
    <n v="656"/>
    <n v="256"/>
  </r>
  <r>
    <x v="0"/>
    <x v="10"/>
    <x v="2"/>
    <n v="1"/>
    <n v="31"/>
    <s v="00"/>
    <s v="064"/>
    <s v="13100-064"/>
    <s v="Saxophone production item #064"/>
    <s v="UNIQUE"/>
    <n v="0"/>
    <n v="36"/>
    <n v="23"/>
    <n v="0"/>
    <n v="828"/>
  </r>
  <r>
    <x v="0"/>
    <x v="10"/>
    <x v="2"/>
    <n v="1"/>
    <n v="31"/>
    <s v="00"/>
    <s v="065"/>
    <s v="13100-065"/>
    <s v="Saxophone production item #065"/>
    <s v="UNIQUE"/>
    <n v="1"/>
    <n v="2"/>
    <n v="19"/>
    <n v="2"/>
    <n v="38"/>
  </r>
  <r>
    <x v="0"/>
    <x v="10"/>
    <x v="2"/>
    <n v="1"/>
    <n v="31"/>
    <s v="00"/>
    <s v="066"/>
    <s v="13100-066"/>
    <s v="Saxophone production item #066"/>
    <s v="UNIQUE"/>
    <n v="265"/>
    <n v="36"/>
    <n v="3"/>
    <n v="9540"/>
    <n v="108"/>
  </r>
  <r>
    <x v="0"/>
    <x v="10"/>
    <x v="2"/>
    <n v="1"/>
    <n v="31"/>
    <s v="00"/>
    <s v="067"/>
    <s v="13100-067"/>
    <s v="Saxophone production item #067"/>
    <s v="UNIQUE"/>
    <n v="74"/>
    <n v="9"/>
    <n v="512"/>
    <n v="666"/>
    <n v="4608"/>
  </r>
  <r>
    <x v="0"/>
    <x v="10"/>
    <x v="2"/>
    <n v="1"/>
    <n v="31"/>
    <s v="00"/>
    <s v="068"/>
    <s v="13100-068"/>
    <s v="Saxophone production item #068"/>
    <s v="UNIQUE"/>
    <n v="0"/>
    <n v="16"/>
    <n v="2"/>
    <n v="0"/>
    <n v="32"/>
  </r>
  <r>
    <x v="0"/>
    <x v="10"/>
    <x v="2"/>
    <n v="1"/>
    <n v="31"/>
    <s v="00"/>
    <s v="069"/>
    <s v="13100-069"/>
    <s v="Saxophone production item #069"/>
    <s v="UNIQUE"/>
    <n v="0"/>
    <n v="512"/>
    <n v="1"/>
    <n v="0"/>
    <n v="512"/>
  </r>
  <r>
    <x v="0"/>
    <x v="10"/>
    <x v="2"/>
    <n v="1"/>
    <n v="31"/>
    <s v="00"/>
    <s v="070"/>
    <s v="13100-070"/>
    <s v="Saxophone production item #070"/>
    <s v="UNIQUE"/>
    <n v="9042"/>
    <n v="6"/>
    <n v="1331"/>
    <n v="54252"/>
    <n v="7986"/>
  </r>
  <r>
    <x v="0"/>
    <x v="10"/>
    <x v="2"/>
    <n v="1"/>
    <n v="31"/>
    <s v="00"/>
    <s v="071"/>
    <s v="13100-071"/>
    <s v="Saxophone production item #071"/>
    <s v="UNIQUE"/>
    <n v="0"/>
    <n v="1"/>
    <n v="169"/>
    <n v="0"/>
    <n v="169"/>
  </r>
  <r>
    <x v="0"/>
    <x v="10"/>
    <x v="2"/>
    <n v="1"/>
    <n v="31"/>
    <s v="00"/>
    <s v="072"/>
    <s v="13100-072"/>
    <s v="Saxophone production item #072"/>
    <s v="UNIQUE"/>
    <n v="0"/>
    <n v="4"/>
    <n v="576"/>
    <n v="0"/>
    <n v="2304"/>
  </r>
  <r>
    <x v="0"/>
    <x v="10"/>
    <x v="2"/>
    <n v="1"/>
    <n v="31"/>
    <s v="00"/>
    <s v="073"/>
    <s v="13100-073"/>
    <s v="Saxophone production item #073"/>
    <s v="UNIQUE"/>
    <n v="39"/>
    <n v="7"/>
    <n v="12167"/>
    <n v="273"/>
    <n v="85169"/>
  </r>
  <r>
    <x v="0"/>
    <x v="10"/>
    <x v="2"/>
    <n v="1"/>
    <n v="31"/>
    <s v="00"/>
    <s v="074"/>
    <s v="13100-074"/>
    <s v="Saxophone production item #074"/>
    <s v="UNIQUE"/>
    <n v="0"/>
    <n v="100"/>
    <n v="12"/>
    <n v="0"/>
    <n v="1200"/>
  </r>
  <r>
    <x v="0"/>
    <x v="10"/>
    <x v="2"/>
    <n v="1"/>
    <n v="31"/>
    <s v="00"/>
    <s v="075"/>
    <s v="13100-075"/>
    <s v="Saxophone production item #075"/>
    <s v="UNIQUE"/>
    <n v="3143"/>
    <n v="9"/>
    <n v="27000"/>
    <n v="28287"/>
    <n v="243000"/>
  </r>
  <r>
    <x v="0"/>
    <x v="10"/>
    <x v="2"/>
    <n v="1"/>
    <n v="31"/>
    <s v="00"/>
    <s v="076"/>
    <s v="13100-076"/>
    <s v="Saxophone production item #076"/>
    <s v="UNIQUE"/>
    <n v="6"/>
    <n v="1"/>
    <n v="2"/>
    <n v="6"/>
    <n v="2"/>
  </r>
  <r>
    <x v="0"/>
    <x v="10"/>
    <x v="2"/>
    <n v="1"/>
    <n v="31"/>
    <s v="00"/>
    <s v="077"/>
    <s v="13100-077"/>
    <s v="Saxophone production item #077"/>
    <s v="UNIQUE"/>
    <n v="0"/>
    <n v="64"/>
    <n v="81"/>
    <n v="0"/>
    <n v="5184"/>
  </r>
  <r>
    <x v="0"/>
    <x v="10"/>
    <x v="2"/>
    <n v="1"/>
    <n v="31"/>
    <s v="00"/>
    <s v="078"/>
    <s v="13100-078"/>
    <s v="Saxophone production item #078"/>
    <s v="UNIQUE"/>
    <n v="0"/>
    <n v="10"/>
    <n v="900"/>
    <n v="0"/>
    <n v="9000"/>
  </r>
  <r>
    <x v="0"/>
    <x v="10"/>
    <x v="2"/>
    <n v="1"/>
    <n v="31"/>
    <s v="00"/>
    <s v="079"/>
    <s v="13100-079"/>
    <s v="Saxophone production item #079"/>
    <s v="UNIQUE"/>
    <n v="0"/>
    <n v="3"/>
    <n v="1000"/>
    <n v="0"/>
    <n v="3000"/>
  </r>
  <r>
    <x v="0"/>
    <x v="10"/>
    <x v="2"/>
    <n v="1"/>
    <n v="31"/>
    <s v="00"/>
    <s v="080"/>
    <s v="13100-080"/>
    <s v="Saxophone production item #080"/>
    <s v="UNIQUE"/>
    <n v="0"/>
    <n v="125"/>
    <n v="15625"/>
    <n v="0"/>
    <n v="1953125"/>
  </r>
  <r>
    <x v="0"/>
    <x v="10"/>
    <x v="2"/>
    <n v="1"/>
    <n v="31"/>
    <s v="00"/>
    <s v="081"/>
    <s v="13100-081"/>
    <s v="Saxophone production item #081"/>
    <s v="UNIQUE"/>
    <n v="256"/>
    <n v="16"/>
    <n v="1"/>
    <n v="4096"/>
    <n v="16"/>
  </r>
  <r>
    <x v="0"/>
    <x v="10"/>
    <x v="2"/>
    <n v="1"/>
    <n v="31"/>
    <s v="00"/>
    <s v="082"/>
    <s v="13100-082"/>
    <s v="Saxophone production item #082"/>
    <s v="UNIQUE"/>
    <n v="0"/>
    <n v="1"/>
    <n v="49"/>
    <n v="0"/>
    <n v="49"/>
  </r>
  <r>
    <x v="0"/>
    <x v="10"/>
    <x v="2"/>
    <n v="1"/>
    <n v="31"/>
    <s v="00"/>
    <s v="083"/>
    <s v="13100-083"/>
    <s v="Saxophone production item #083"/>
    <s v="UNIQUE"/>
    <n v="0"/>
    <n v="25"/>
    <n v="1000"/>
    <n v="0"/>
    <n v="25000"/>
  </r>
  <r>
    <x v="0"/>
    <x v="10"/>
    <x v="2"/>
    <n v="1"/>
    <n v="31"/>
    <s v="00"/>
    <s v="084"/>
    <s v="13100-084"/>
    <s v="Saxophone production item #084"/>
    <s v="UNIQUE"/>
    <n v="8"/>
    <n v="216"/>
    <n v="16"/>
    <n v="1728"/>
    <n v="3456"/>
  </r>
  <r>
    <x v="0"/>
    <x v="10"/>
    <x v="2"/>
    <n v="1"/>
    <n v="31"/>
    <s v="00"/>
    <s v="085"/>
    <s v="13100-085"/>
    <s v="Saxophone production item #085"/>
    <s v="UNIQUE"/>
    <n v="0"/>
    <n v="512"/>
    <n v="8000"/>
    <n v="0"/>
    <n v="4096000"/>
  </r>
  <r>
    <x v="0"/>
    <x v="10"/>
    <x v="2"/>
    <n v="1"/>
    <n v="31"/>
    <s v="00"/>
    <s v="086"/>
    <s v="13100-086"/>
    <s v="Saxophone production item #086"/>
    <s v="UNIQUE"/>
    <n v="0"/>
    <n v="6"/>
    <n v="676"/>
    <n v="0"/>
    <n v="4056"/>
  </r>
  <r>
    <x v="0"/>
    <x v="10"/>
    <x v="2"/>
    <n v="1"/>
    <n v="31"/>
    <s v="00"/>
    <s v="087"/>
    <s v="13100-087"/>
    <s v="Saxophone production item #087"/>
    <s v="UNIQUE"/>
    <n v="2"/>
    <n v="1"/>
    <n v="9261"/>
    <n v="2"/>
    <n v="9261"/>
  </r>
  <r>
    <x v="0"/>
    <x v="10"/>
    <x v="2"/>
    <n v="1"/>
    <n v="31"/>
    <s v="00"/>
    <s v="088"/>
    <s v="13100-088"/>
    <s v="Saxophone production item #088"/>
    <s v="UNIQUE"/>
    <n v="7071"/>
    <n v="64"/>
    <n v="5"/>
    <n v="452544"/>
    <n v="320"/>
  </r>
  <r>
    <x v="0"/>
    <x v="10"/>
    <x v="2"/>
    <n v="1"/>
    <n v="31"/>
    <s v="00"/>
    <s v="089"/>
    <s v="13100-089"/>
    <s v="Saxophone production item #089"/>
    <s v="UNIQUE"/>
    <n v="0"/>
    <n v="343"/>
    <n v="361"/>
    <n v="0"/>
    <n v="123823"/>
  </r>
  <r>
    <x v="0"/>
    <x v="10"/>
    <x v="2"/>
    <n v="1"/>
    <n v="31"/>
    <s v="00"/>
    <s v="090"/>
    <s v="13100-090"/>
    <s v="Saxophone production item #090"/>
    <s v="UNIQUE"/>
    <n v="3939"/>
    <n v="16"/>
    <n v="216"/>
    <n v="63024"/>
    <n v="3456"/>
  </r>
  <r>
    <x v="0"/>
    <x v="10"/>
    <x v="2"/>
    <n v="1"/>
    <n v="31"/>
    <s v="00"/>
    <s v="091"/>
    <s v="13100-091"/>
    <s v="Saxophone production item #091"/>
    <s v="UNIQUE"/>
    <n v="8470"/>
    <n v="64"/>
    <n v="6859"/>
    <n v="542080"/>
    <n v="438976"/>
  </r>
  <r>
    <x v="0"/>
    <x v="10"/>
    <x v="2"/>
    <n v="1"/>
    <n v="31"/>
    <s v="00"/>
    <s v="092"/>
    <s v="13100-092"/>
    <s v="Saxophone production item #092"/>
    <s v="UNIQUE"/>
    <n v="0"/>
    <n v="25"/>
    <n v="6"/>
    <n v="0"/>
    <n v="150"/>
  </r>
  <r>
    <x v="0"/>
    <x v="10"/>
    <x v="2"/>
    <n v="1"/>
    <n v="31"/>
    <s v="00"/>
    <s v="093"/>
    <s v="13100-093"/>
    <s v="Saxophone production item #093"/>
    <s v="UNIQUE"/>
    <n v="822"/>
    <n v="125"/>
    <n v="4096"/>
    <n v="102750"/>
    <n v="512000"/>
  </r>
  <r>
    <x v="0"/>
    <x v="10"/>
    <x v="2"/>
    <n v="1"/>
    <n v="31"/>
    <s v="00"/>
    <s v="094"/>
    <s v="13100-094"/>
    <s v="Saxophone production item #094"/>
    <s v="UNIQUE"/>
    <n v="1"/>
    <n v="49"/>
    <n v="8000"/>
    <n v="49"/>
    <n v="392000"/>
  </r>
  <r>
    <x v="0"/>
    <x v="10"/>
    <x v="2"/>
    <n v="1"/>
    <n v="31"/>
    <s v="00"/>
    <s v="095"/>
    <s v="13100-095"/>
    <s v="Saxophone production item #095"/>
    <s v="UNIQUE"/>
    <n v="223"/>
    <n v="25"/>
    <n v="18"/>
    <n v="5575"/>
    <n v="450"/>
  </r>
  <r>
    <x v="0"/>
    <x v="10"/>
    <x v="2"/>
    <n v="1"/>
    <n v="31"/>
    <s v="00"/>
    <s v="096"/>
    <s v="13100-096"/>
    <s v="Saxophone production item #096"/>
    <s v="UNIQUE"/>
    <n v="0"/>
    <n v="25"/>
    <n v="13"/>
    <n v="0"/>
    <n v="325"/>
  </r>
  <r>
    <x v="0"/>
    <x v="10"/>
    <x v="2"/>
    <n v="1"/>
    <n v="31"/>
    <s v="00"/>
    <s v="097"/>
    <s v="13100-097"/>
    <s v="Saxophone production item #097"/>
    <s v="UNIQUE"/>
    <n v="1629"/>
    <n v="125"/>
    <n v="1331"/>
    <n v="203625"/>
    <n v="166375"/>
  </r>
  <r>
    <x v="0"/>
    <x v="10"/>
    <x v="2"/>
    <n v="1"/>
    <n v="31"/>
    <s v="00"/>
    <s v="098"/>
    <s v="13100-098"/>
    <s v="Saxophone production item #098"/>
    <s v="UNIQUE"/>
    <n v="871"/>
    <n v="4"/>
    <n v="16"/>
    <n v="3484"/>
    <n v="64"/>
  </r>
  <r>
    <x v="0"/>
    <x v="10"/>
    <x v="2"/>
    <n v="1"/>
    <n v="31"/>
    <s v="00"/>
    <s v="099"/>
    <s v="13100-099"/>
    <s v="Saxophone production item #099"/>
    <s v="UNIQUE"/>
    <n v="0"/>
    <n v="343"/>
    <n v="8"/>
    <n v="0"/>
    <n v="2744"/>
  </r>
  <r>
    <x v="0"/>
    <x v="11"/>
    <x v="2"/>
    <n v="1"/>
    <n v="32"/>
    <s v="00"/>
    <s v="000"/>
    <s v="13200-000"/>
    <s v="Flute production item #000"/>
    <s v="UNIQUE"/>
    <n v="9"/>
    <n v="3"/>
    <n v="361"/>
    <n v="27"/>
    <n v="1083"/>
  </r>
  <r>
    <x v="0"/>
    <x v="11"/>
    <x v="2"/>
    <n v="1"/>
    <n v="32"/>
    <s v="00"/>
    <s v="001"/>
    <s v="13200-001"/>
    <s v="Flute production item #001"/>
    <s v="UNIQUE"/>
    <n v="0"/>
    <n v="1"/>
    <n v="169"/>
    <n v="0"/>
    <n v="169"/>
  </r>
  <r>
    <x v="0"/>
    <x v="11"/>
    <x v="2"/>
    <n v="1"/>
    <n v="32"/>
    <s v="00"/>
    <s v="002"/>
    <s v="13200-002"/>
    <s v="Flute production item #002"/>
    <s v="UNIQUE"/>
    <n v="0"/>
    <n v="2"/>
    <n v="22"/>
    <n v="0"/>
    <n v="44"/>
  </r>
  <r>
    <x v="0"/>
    <x v="11"/>
    <x v="2"/>
    <n v="1"/>
    <n v="32"/>
    <s v="00"/>
    <s v="003"/>
    <s v="13200-003"/>
    <s v="Flute production item #003"/>
    <s v="UNIQUE"/>
    <n v="11"/>
    <n v="16"/>
    <n v="81"/>
    <n v="176"/>
    <n v="1296"/>
  </r>
  <r>
    <x v="0"/>
    <x v="11"/>
    <x v="2"/>
    <n v="1"/>
    <n v="32"/>
    <s v="00"/>
    <s v="004"/>
    <s v="13200-004"/>
    <s v="Flute production item #004"/>
    <s v="UNIQUE"/>
    <n v="95"/>
    <n v="3"/>
    <n v="225"/>
    <n v="285"/>
    <n v="675"/>
  </r>
  <r>
    <x v="0"/>
    <x v="11"/>
    <x v="2"/>
    <n v="1"/>
    <n v="32"/>
    <s v="00"/>
    <s v="005"/>
    <s v="13200-005"/>
    <s v="Flute production item #005"/>
    <s v="UNIQUE"/>
    <n v="0"/>
    <n v="4"/>
    <n v="49"/>
    <n v="0"/>
    <n v="196"/>
  </r>
  <r>
    <x v="0"/>
    <x v="11"/>
    <x v="2"/>
    <n v="1"/>
    <n v="32"/>
    <s v="00"/>
    <s v="006"/>
    <s v="13200-006"/>
    <s v="Flute production item #006"/>
    <s v="UNIQUE"/>
    <n v="0"/>
    <n v="1"/>
    <n v="13"/>
    <n v="0"/>
    <n v="13"/>
  </r>
  <r>
    <x v="0"/>
    <x v="11"/>
    <x v="2"/>
    <n v="1"/>
    <n v="32"/>
    <s v="00"/>
    <s v="007"/>
    <s v="13200-007"/>
    <s v="Flute production item #007"/>
    <s v="UNIQUE"/>
    <n v="0"/>
    <n v="9"/>
    <n v="13"/>
    <n v="0"/>
    <n v="117"/>
  </r>
  <r>
    <x v="0"/>
    <x v="11"/>
    <x v="2"/>
    <n v="1"/>
    <n v="32"/>
    <s v="00"/>
    <s v="008"/>
    <s v="13200-008"/>
    <s v="Flute production item #008"/>
    <s v="UNIQUE"/>
    <n v="0"/>
    <n v="343"/>
    <n v="0"/>
    <n v="0"/>
    <n v="0"/>
  </r>
  <r>
    <x v="0"/>
    <x v="11"/>
    <x v="2"/>
    <n v="1"/>
    <n v="32"/>
    <s v="00"/>
    <s v="009"/>
    <s v="13200-009"/>
    <s v="Flute production item #009"/>
    <s v="UNIQUE"/>
    <n v="0"/>
    <n v="10"/>
    <n v="256"/>
    <n v="0"/>
    <n v="2560"/>
  </r>
  <r>
    <x v="0"/>
    <x v="11"/>
    <x v="2"/>
    <n v="1"/>
    <n v="32"/>
    <s v="00"/>
    <s v="010"/>
    <s v="13200-010"/>
    <s v="Flute production item #010"/>
    <s v="UNIQUE"/>
    <n v="661"/>
    <n v="36"/>
    <n v="625"/>
    <n v="23796"/>
    <n v="22500"/>
  </r>
  <r>
    <x v="0"/>
    <x v="11"/>
    <x v="2"/>
    <n v="1"/>
    <n v="32"/>
    <s v="00"/>
    <s v="011"/>
    <s v="13200-011"/>
    <s v="Flute production item #011"/>
    <s v="UNIQUE"/>
    <n v="0"/>
    <n v="64"/>
    <n v="3"/>
    <n v="0"/>
    <n v="192"/>
  </r>
  <r>
    <x v="0"/>
    <x v="11"/>
    <x v="2"/>
    <n v="1"/>
    <n v="32"/>
    <s v="00"/>
    <s v="012"/>
    <s v="13200-012"/>
    <s v="Flute production item #012"/>
    <s v="UNIQUE"/>
    <n v="569"/>
    <n v="2"/>
    <n v="576"/>
    <n v="1138"/>
    <n v="1152"/>
  </r>
  <r>
    <x v="0"/>
    <x v="11"/>
    <x v="2"/>
    <n v="1"/>
    <n v="32"/>
    <s v="00"/>
    <s v="013"/>
    <s v="13200-013"/>
    <s v="Flute production item #013"/>
    <s v="UNIQUE"/>
    <n v="0"/>
    <n v="1"/>
    <n v="5832"/>
    <n v="0"/>
    <n v="5832"/>
  </r>
  <r>
    <x v="0"/>
    <x v="11"/>
    <x v="2"/>
    <n v="1"/>
    <n v="32"/>
    <s v="00"/>
    <s v="014"/>
    <s v="13200-014"/>
    <s v="Flute production item #014"/>
    <s v="UNIQUE"/>
    <n v="0"/>
    <n v="25"/>
    <n v="0"/>
    <n v="0"/>
    <n v="0"/>
  </r>
  <r>
    <x v="0"/>
    <x v="11"/>
    <x v="2"/>
    <n v="1"/>
    <n v="32"/>
    <s v="00"/>
    <s v="015"/>
    <s v="13200-015"/>
    <s v="Flute production item #015"/>
    <s v="UNIQUE"/>
    <n v="0"/>
    <n v="9"/>
    <n v="0"/>
    <n v="0"/>
    <n v="0"/>
  </r>
  <r>
    <x v="0"/>
    <x v="11"/>
    <x v="2"/>
    <n v="1"/>
    <n v="32"/>
    <s v="00"/>
    <s v="016"/>
    <s v="13200-016"/>
    <s v="Flute production item #016"/>
    <s v="UNIQUE"/>
    <n v="0"/>
    <n v="3"/>
    <n v="1"/>
    <n v="0"/>
    <n v="3"/>
  </r>
  <r>
    <x v="0"/>
    <x v="11"/>
    <x v="2"/>
    <n v="1"/>
    <n v="32"/>
    <s v="00"/>
    <s v="017"/>
    <s v="13200-017"/>
    <s v="Flute production item #017"/>
    <s v="UNIQUE"/>
    <n v="532"/>
    <n v="1000"/>
    <n v="15"/>
    <n v="532000"/>
    <n v="15000"/>
  </r>
  <r>
    <x v="0"/>
    <x v="11"/>
    <x v="2"/>
    <n v="1"/>
    <n v="32"/>
    <s v="00"/>
    <s v="018"/>
    <s v="13200-018"/>
    <s v="Flute production item #018"/>
    <s v="UNIQUE"/>
    <n v="4"/>
    <n v="7"/>
    <n v="19"/>
    <n v="28"/>
    <n v="133"/>
  </r>
  <r>
    <x v="0"/>
    <x v="11"/>
    <x v="2"/>
    <n v="1"/>
    <n v="32"/>
    <s v="00"/>
    <s v="019"/>
    <s v="13200-019"/>
    <s v="Flute production item #019"/>
    <s v="UNIQUE"/>
    <n v="8"/>
    <n v="343"/>
    <n v="4"/>
    <n v="2744"/>
    <n v="1372"/>
  </r>
  <r>
    <x v="0"/>
    <x v="11"/>
    <x v="2"/>
    <n v="1"/>
    <n v="32"/>
    <s v="00"/>
    <s v="020"/>
    <s v="13200-020"/>
    <s v="Flute production item #020"/>
    <s v="UNIQUE"/>
    <n v="2183"/>
    <n v="9"/>
    <n v="5832"/>
    <n v="19647"/>
    <n v="52488"/>
  </r>
  <r>
    <x v="0"/>
    <x v="11"/>
    <x v="2"/>
    <n v="1"/>
    <n v="32"/>
    <s v="00"/>
    <s v="021"/>
    <s v="13200-021"/>
    <s v="Flute production item #021"/>
    <s v="UNIQUE"/>
    <n v="0"/>
    <n v="7"/>
    <n v="29"/>
    <n v="0"/>
    <n v="203"/>
  </r>
  <r>
    <x v="0"/>
    <x v="11"/>
    <x v="2"/>
    <n v="1"/>
    <n v="32"/>
    <s v="00"/>
    <s v="022"/>
    <s v="13200-022"/>
    <s v="Flute production item #022"/>
    <s v="UNIQUE"/>
    <n v="0"/>
    <n v="343"/>
    <n v="25"/>
    <n v="0"/>
    <n v="8575"/>
  </r>
  <r>
    <x v="0"/>
    <x v="11"/>
    <x v="2"/>
    <n v="1"/>
    <n v="32"/>
    <s v="00"/>
    <s v="023"/>
    <s v="13200-023"/>
    <s v="Flute production item #023"/>
    <s v="UNIQUE"/>
    <n v="6"/>
    <n v="81"/>
    <n v="4"/>
    <n v="486"/>
    <n v="324"/>
  </r>
  <r>
    <x v="0"/>
    <x v="11"/>
    <x v="2"/>
    <n v="1"/>
    <n v="32"/>
    <s v="00"/>
    <s v="024"/>
    <s v="13200-024"/>
    <s v="Flute production item #024"/>
    <s v="UNIQUE"/>
    <n v="0"/>
    <n v="1"/>
    <n v="625"/>
    <n v="0"/>
    <n v="625"/>
  </r>
  <r>
    <x v="0"/>
    <x v="11"/>
    <x v="2"/>
    <n v="1"/>
    <n v="32"/>
    <s v="00"/>
    <s v="025"/>
    <s v="13200-025"/>
    <s v="Flute production item #025"/>
    <s v="UNIQUE"/>
    <n v="10"/>
    <n v="64"/>
    <n v="20"/>
    <n v="640"/>
    <n v="1280"/>
  </r>
  <r>
    <x v="0"/>
    <x v="11"/>
    <x v="2"/>
    <n v="1"/>
    <n v="32"/>
    <s v="00"/>
    <s v="026"/>
    <s v="13200-026"/>
    <s v="Flute production item #026"/>
    <s v="UNIQUE"/>
    <n v="0"/>
    <n v="9"/>
    <n v="20"/>
    <n v="0"/>
    <n v="180"/>
  </r>
  <r>
    <x v="0"/>
    <x v="11"/>
    <x v="2"/>
    <n v="1"/>
    <n v="32"/>
    <s v="00"/>
    <s v="027"/>
    <s v="13200-027"/>
    <s v="Flute production item #027"/>
    <s v="UNIQUE"/>
    <n v="90"/>
    <n v="6"/>
    <n v="21"/>
    <n v="540"/>
    <n v="126"/>
  </r>
  <r>
    <x v="0"/>
    <x v="11"/>
    <x v="2"/>
    <n v="1"/>
    <n v="32"/>
    <s v="00"/>
    <s v="028"/>
    <s v="13200-028"/>
    <s v="Flute production item #028"/>
    <s v="UNIQUE"/>
    <n v="0"/>
    <n v="9"/>
    <n v="512"/>
    <n v="0"/>
    <n v="4608"/>
  </r>
  <r>
    <x v="0"/>
    <x v="11"/>
    <x v="2"/>
    <n v="1"/>
    <n v="32"/>
    <s v="00"/>
    <s v="029"/>
    <s v="13200-029"/>
    <s v="Flute production item #029"/>
    <s v="UNIQUE"/>
    <n v="0"/>
    <n v="5"/>
    <n v="27"/>
    <n v="0"/>
    <n v="135"/>
  </r>
  <r>
    <x v="0"/>
    <x v="11"/>
    <x v="2"/>
    <n v="1"/>
    <n v="32"/>
    <s v="00"/>
    <s v="030"/>
    <s v="13200-030"/>
    <s v="Flute production item #030"/>
    <s v="UNIQUE"/>
    <n v="3"/>
    <n v="1000"/>
    <n v="144"/>
    <n v="3000"/>
    <n v="144000"/>
  </r>
  <r>
    <x v="0"/>
    <x v="11"/>
    <x v="2"/>
    <n v="1"/>
    <n v="32"/>
    <s v="00"/>
    <s v="031"/>
    <s v="13200-031"/>
    <s v="Flute production item #031"/>
    <s v="UNIQUE"/>
    <n v="0"/>
    <n v="64"/>
    <n v="256"/>
    <n v="0"/>
    <n v="16384"/>
  </r>
  <r>
    <x v="0"/>
    <x v="11"/>
    <x v="2"/>
    <n v="1"/>
    <n v="32"/>
    <s v="00"/>
    <s v="032"/>
    <s v="13200-032"/>
    <s v="Flute production item #032"/>
    <s v="UNIQUE"/>
    <n v="1"/>
    <n v="1"/>
    <n v="10"/>
    <n v="1"/>
    <n v="10"/>
  </r>
  <r>
    <x v="0"/>
    <x v="11"/>
    <x v="2"/>
    <n v="1"/>
    <n v="32"/>
    <s v="00"/>
    <s v="033"/>
    <s v="13200-033"/>
    <s v="Flute production item #033"/>
    <s v="UNIQUE"/>
    <n v="7"/>
    <n v="512"/>
    <n v="29"/>
    <n v="3584"/>
    <n v="14848"/>
  </r>
  <r>
    <x v="0"/>
    <x v="11"/>
    <x v="2"/>
    <n v="1"/>
    <n v="32"/>
    <s v="00"/>
    <s v="034"/>
    <s v="13200-034"/>
    <s v="Flute production item #034"/>
    <s v="UNIQUE"/>
    <n v="6160"/>
    <n v="216"/>
    <n v="4"/>
    <n v="1330560"/>
    <n v="864"/>
  </r>
  <r>
    <x v="0"/>
    <x v="11"/>
    <x v="2"/>
    <n v="1"/>
    <n v="32"/>
    <s v="00"/>
    <s v="035"/>
    <s v="13200-035"/>
    <s v="Flute production item #035"/>
    <s v="UNIQUE"/>
    <n v="760"/>
    <n v="512"/>
    <n v="16"/>
    <n v="389120"/>
    <n v="8192"/>
  </r>
  <r>
    <x v="0"/>
    <x v="11"/>
    <x v="2"/>
    <n v="1"/>
    <n v="32"/>
    <s v="00"/>
    <s v="036"/>
    <s v="13200-036"/>
    <s v="Flute production item #036"/>
    <s v="UNIQUE"/>
    <n v="0"/>
    <n v="8"/>
    <n v="29"/>
    <n v="0"/>
    <n v="232"/>
  </r>
  <r>
    <x v="0"/>
    <x v="11"/>
    <x v="2"/>
    <n v="1"/>
    <n v="32"/>
    <s v="00"/>
    <s v="037"/>
    <s v="13200-037"/>
    <s v="Flute production item #037"/>
    <s v="UNIQUE"/>
    <n v="0"/>
    <n v="4"/>
    <n v="1331"/>
    <n v="0"/>
    <n v="5324"/>
  </r>
  <r>
    <x v="0"/>
    <x v="11"/>
    <x v="2"/>
    <n v="1"/>
    <n v="32"/>
    <s v="00"/>
    <s v="038"/>
    <s v="13200-038"/>
    <s v="Flute production item #038"/>
    <s v="UNIQUE"/>
    <n v="1"/>
    <n v="8"/>
    <n v="28"/>
    <n v="8"/>
    <n v="224"/>
  </r>
  <r>
    <x v="0"/>
    <x v="11"/>
    <x v="2"/>
    <n v="1"/>
    <n v="32"/>
    <s v="00"/>
    <s v="039"/>
    <s v="13200-039"/>
    <s v="Flute production item #039"/>
    <s v="UNIQUE"/>
    <n v="0"/>
    <n v="49"/>
    <n v="14"/>
    <n v="0"/>
    <n v="686"/>
  </r>
  <r>
    <x v="0"/>
    <x v="11"/>
    <x v="2"/>
    <n v="1"/>
    <n v="32"/>
    <s v="00"/>
    <s v="040"/>
    <s v="13200-040"/>
    <s v="Flute production item #040"/>
    <s v="UNIQUE"/>
    <n v="2"/>
    <n v="10"/>
    <n v="23"/>
    <n v="20"/>
    <n v="230"/>
  </r>
  <r>
    <x v="0"/>
    <x v="11"/>
    <x v="2"/>
    <n v="1"/>
    <n v="32"/>
    <s v="00"/>
    <s v="041"/>
    <s v="13200-041"/>
    <s v="Flute production item #041"/>
    <s v="UNIQUE"/>
    <n v="3130"/>
    <n v="10"/>
    <n v="19"/>
    <n v="31300"/>
    <n v="190"/>
  </r>
  <r>
    <x v="0"/>
    <x v="11"/>
    <x v="2"/>
    <n v="1"/>
    <n v="32"/>
    <s v="00"/>
    <s v="042"/>
    <s v="13200-042"/>
    <s v="Flute production item #042"/>
    <s v="UNIQUE"/>
    <n v="0"/>
    <n v="25"/>
    <n v="64"/>
    <n v="0"/>
    <n v="1600"/>
  </r>
  <r>
    <x v="0"/>
    <x v="11"/>
    <x v="2"/>
    <n v="1"/>
    <n v="32"/>
    <s v="00"/>
    <s v="043"/>
    <s v="13200-043"/>
    <s v="Flute production item #043"/>
    <s v="UNIQUE"/>
    <n v="0"/>
    <n v="4"/>
    <n v="10"/>
    <n v="0"/>
    <n v="40"/>
  </r>
  <r>
    <x v="0"/>
    <x v="11"/>
    <x v="2"/>
    <n v="1"/>
    <n v="32"/>
    <s v="00"/>
    <s v="044"/>
    <s v="13200-044"/>
    <s v="Flute production item #044"/>
    <s v="UNIQUE"/>
    <n v="1"/>
    <n v="49"/>
    <n v="16"/>
    <n v="49"/>
    <n v="784"/>
  </r>
  <r>
    <x v="0"/>
    <x v="11"/>
    <x v="2"/>
    <n v="1"/>
    <n v="32"/>
    <s v="00"/>
    <s v="045"/>
    <s v="13200-045"/>
    <s v="Flute production item #045"/>
    <s v="UNIQUE"/>
    <n v="0"/>
    <n v="100"/>
    <n v="216"/>
    <n v="0"/>
    <n v="21600"/>
  </r>
  <r>
    <x v="0"/>
    <x v="11"/>
    <x v="2"/>
    <n v="1"/>
    <n v="32"/>
    <s v="00"/>
    <s v="046"/>
    <s v="13200-046"/>
    <s v="Flute production item #046"/>
    <s v="UNIQUE"/>
    <n v="0"/>
    <n v="216"/>
    <n v="5832"/>
    <n v="0"/>
    <n v="1259712"/>
  </r>
  <r>
    <x v="0"/>
    <x v="11"/>
    <x v="2"/>
    <n v="1"/>
    <n v="32"/>
    <s v="00"/>
    <s v="047"/>
    <s v="13200-047"/>
    <s v="Flute production item #047"/>
    <s v="UNIQUE"/>
    <n v="0"/>
    <n v="125"/>
    <n v="7"/>
    <n v="0"/>
    <n v="875"/>
  </r>
  <r>
    <x v="0"/>
    <x v="11"/>
    <x v="2"/>
    <n v="1"/>
    <n v="32"/>
    <s v="00"/>
    <s v="048"/>
    <s v="13200-048"/>
    <s v="Flute production item #048"/>
    <s v="UNIQUE"/>
    <n v="0"/>
    <n v="10"/>
    <n v="23"/>
    <n v="0"/>
    <n v="230"/>
  </r>
  <r>
    <x v="0"/>
    <x v="11"/>
    <x v="2"/>
    <n v="1"/>
    <n v="32"/>
    <s v="00"/>
    <s v="049"/>
    <s v="13200-049"/>
    <s v="Flute production item #049"/>
    <s v="UNIQUE"/>
    <n v="102"/>
    <n v="343"/>
    <n v="676"/>
    <n v="34986"/>
    <n v="231868"/>
  </r>
  <r>
    <x v="0"/>
    <x v="12"/>
    <x v="2"/>
    <n v="1"/>
    <n v="33"/>
    <s v="00"/>
    <s v="000"/>
    <s v="13300-000"/>
    <s v="Piccolo production item #000"/>
    <s v="UNIQUE"/>
    <n v="763"/>
    <n v="1000"/>
    <n v="64"/>
    <n v="763000"/>
    <n v="64000"/>
  </r>
  <r>
    <x v="0"/>
    <x v="12"/>
    <x v="2"/>
    <n v="1"/>
    <n v="33"/>
    <s v="00"/>
    <s v="001"/>
    <s v="13300-001"/>
    <s v="Piccolo production item #001"/>
    <s v="UNIQUE"/>
    <n v="686"/>
    <n v="7"/>
    <n v="4"/>
    <n v="4802"/>
    <n v="28"/>
  </r>
  <r>
    <x v="0"/>
    <x v="12"/>
    <x v="2"/>
    <n v="1"/>
    <n v="33"/>
    <s v="00"/>
    <s v="002"/>
    <s v="13300-002"/>
    <s v="Piccolo production item #002"/>
    <s v="UNIQUE"/>
    <n v="21"/>
    <n v="9"/>
    <n v="6"/>
    <n v="189"/>
    <n v="54"/>
  </r>
  <r>
    <x v="0"/>
    <x v="12"/>
    <x v="2"/>
    <n v="1"/>
    <n v="33"/>
    <s v="00"/>
    <s v="003"/>
    <s v="13300-003"/>
    <s v="Piccolo production item #003"/>
    <s v="UNIQUE"/>
    <n v="8148"/>
    <n v="1"/>
    <n v="1"/>
    <n v="8148"/>
    <n v="1"/>
  </r>
  <r>
    <x v="0"/>
    <x v="12"/>
    <x v="2"/>
    <n v="1"/>
    <n v="33"/>
    <s v="00"/>
    <s v="004"/>
    <s v="13300-004"/>
    <s v="Piccolo production item #004"/>
    <s v="UNIQUE"/>
    <n v="0"/>
    <n v="64"/>
    <n v="28"/>
    <n v="0"/>
    <n v="1792"/>
  </r>
  <r>
    <x v="0"/>
    <x v="12"/>
    <x v="2"/>
    <n v="1"/>
    <n v="33"/>
    <s v="00"/>
    <s v="005"/>
    <s v="13300-005"/>
    <s v="Piccolo production item #005"/>
    <s v="UNIQUE"/>
    <n v="0"/>
    <n v="81"/>
    <n v="8"/>
    <n v="0"/>
    <n v="648"/>
  </r>
  <r>
    <x v="0"/>
    <x v="12"/>
    <x v="2"/>
    <n v="1"/>
    <n v="33"/>
    <s v="00"/>
    <s v="006"/>
    <s v="13300-006"/>
    <s v="Piccolo production item #006"/>
    <s v="UNIQUE"/>
    <n v="779"/>
    <n v="5"/>
    <n v="0"/>
    <n v="3895"/>
    <n v="0"/>
  </r>
  <r>
    <x v="0"/>
    <x v="12"/>
    <x v="2"/>
    <n v="1"/>
    <n v="33"/>
    <s v="00"/>
    <s v="007"/>
    <s v="13300-007"/>
    <s v="Piccolo production item #007"/>
    <s v="UNIQUE"/>
    <n v="12"/>
    <n v="10"/>
    <n v="81"/>
    <n v="120"/>
    <n v="810"/>
  </r>
  <r>
    <x v="0"/>
    <x v="12"/>
    <x v="2"/>
    <n v="1"/>
    <n v="33"/>
    <s v="00"/>
    <s v="008"/>
    <s v="13300-008"/>
    <s v="Piccolo production item #008"/>
    <s v="UNIQUE"/>
    <n v="0"/>
    <n v="2"/>
    <n v="100"/>
    <n v="0"/>
    <n v="200"/>
  </r>
  <r>
    <x v="0"/>
    <x v="12"/>
    <x v="2"/>
    <n v="1"/>
    <n v="33"/>
    <s v="00"/>
    <s v="009"/>
    <s v="13300-009"/>
    <s v="Piccolo production item #009"/>
    <s v="UNIQUE"/>
    <n v="1"/>
    <n v="1"/>
    <n v="9261"/>
    <n v="1"/>
    <n v="9261"/>
  </r>
  <r>
    <x v="0"/>
    <x v="12"/>
    <x v="2"/>
    <n v="1"/>
    <n v="33"/>
    <s v="00"/>
    <s v="010"/>
    <s v="13300-010"/>
    <s v="Piccolo production item #010"/>
    <s v="UNIQUE"/>
    <n v="0"/>
    <n v="3"/>
    <n v="64"/>
    <n v="0"/>
    <n v="192"/>
  </r>
  <r>
    <x v="0"/>
    <x v="12"/>
    <x v="2"/>
    <n v="1"/>
    <n v="33"/>
    <s v="00"/>
    <s v="011"/>
    <s v="13300-011"/>
    <s v="Piccolo production item #011"/>
    <s v="UNIQUE"/>
    <n v="0"/>
    <n v="3"/>
    <n v="361"/>
    <n v="0"/>
    <n v="1083"/>
  </r>
  <r>
    <x v="0"/>
    <x v="12"/>
    <x v="2"/>
    <n v="1"/>
    <n v="33"/>
    <s v="00"/>
    <s v="012"/>
    <s v="13300-012"/>
    <s v="Piccolo production item #012"/>
    <s v="UNIQUE"/>
    <n v="9"/>
    <n v="7"/>
    <n v="2197"/>
    <n v="63"/>
    <n v="15379"/>
  </r>
  <r>
    <x v="0"/>
    <x v="12"/>
    <x v="2"/>
    <n v="1"/>
    <n v="33"/>
    <s v="00"/>
    <s v="013"/>
    <s v="13300-013"/>
    <s v="Piccolo production item #013"/>
    <s v="UNIQUE"/>
    <n v="335"/>
    <n v="36"/>
    <n v="2744"/>
    <n v="12060"/>
    <n v="98784"/>
  </r>
  <r>
    <x v="0"/>
    <x v="12"/>
    <x v="2"/>
    <n v="1"/>
    <n v="33"/>
    <s v="00"/>
    <s v="014"/>
    <s v="13300-014"/>
    <s v="Piccolo production item #014"/>
    <s v="UNIQUE"/>
    <n v="0"/>
    <n v="8"/>
    <n v="17576"/>
    <n v="0"/>
    <n v="140608"/>
  </r>
  <r>
    <x v="0"/>
    <x v="12"/>
    <x v="2"/>
    <n v="1"/>
    <n v="33"/>
    <s v="00"/>
    <s v="015"/>
    <s v="13300-015"/>
    <s v="Piccolo production item #015"/>
    <s v="UNIQUE"/>
    <n v="0"/>
    <n v="36"/>
    <n v="27"/>
    <n v="0"/>
    <n v="972"/>
  </r>
  <r>
    <x v="0"/>
    <x v="12"/>
    <x v="2"/>
    <n v="1"/>
    <n v="33"/>
    <s v="00"/>
    <s v="016"/>
    <s v="13300-016"/>
    <s v="Piccolo production item #016"/>
    <s v="UNIQUE"/>
    <n v="24"/>
    <n v="8"/>
    <n v="2197"/>
    <n v="192"/>
    <n v="17576"/>
  </r>
  <r>
    <x v="0"/>
    <x v="12"/>
    <x v="2"/>
    <n v="1"/>
    <n v="33"/>
    <s v="00"/>
    <s v="017"/>
    <s v="13300-017"/>
    <s v="Piccolo production item #017"/>
    <s v="UNIQUE"/>
    <n v="0"/>
    <n v="6"/>
    <n v="0"/>
    <n v="0"/>
    <n v="0"/>
  </r>
  <r>
    <x v="0"/>
    <x v="12"/>
    <x v="2"/>
    <n v="1"/>
    <n v="33"/>
    <s v="00"/>
    <s v="018"/>
    <s v="13300-018"/>
    <s v="Piccolo production item #018"/>
    <s v="UNIQUE"/>
    <n v="0"/>
    <n v="125"/>
    <n v="3375"/>
    <n v="0"/>
    <n v="421875"/>
  </r>
  <r>
    <x v="0"/>
    <x v="12"/>
    <x v="2"/>
    <n v="1"/>
    <n v="33"/>
    <s v="00"/>
    <s v="019"/>
    <s v="13300-019"/>
    <s v="Piccolo production item #019"/>
    <s v="UNIQUE"/>
    <n v="0"/>
    <n v="343"/>
    <n v="24389"/>
    <n v="0"/>
    <n v="8365427"/>
  </r>
  <r>
    <x v="0"/>
    <x v="12"/>
    <x v="2"/>
    <n v="1"/>
    <n v="33"/>
    <s v="00"/>
    <s v="020"/>
    <s v="13300-020"/>
    <s v="Piccolo production item #020"/>
    <s v="UNIQUE"/>
    <n v="0"/>
    <n v="125"/>
    <n v="1"/>
    <n v="0"/>
    <n v="125"/>
  </r>
  <r>
    <x v="0"/>
    <x v="12"/>
    <x v="2"/>
    <n v="1"/>
    <n v="33"/>
    <s v="00"/>
    <s v="021"/>
    <s v="13300-021"/>
    <s v="Piccolo production item #021"/>
    <s v="UNIQUE"/>
    <n v="0"/>
    <n v="27"/>
    <n v="27"/>
    <n v="0"/>
    <n v="729"/>
  </r>
  <r>
    <x v="0"/>
    <x v="12"/>
    <x v="2"/>
    <n v="1"/>
    <n v="33"/>
    <s v="00"/>
    <s v="022"/>
    <s v="13300-022"/>
    <s v="Piccolo production item #022"/>
    <s v="UNIQUE"/>
    <n v="0"/>
    <n v="343"/>
    <n v="0"/>
    <n v="0"/>
    <n v="0"/>
  </r>
  <r>
    <x v="0"/>
    <x v="12"/>
    <x v="2"/>
    <n v="1"/>
    <n v="33"/>
    <s v="00"/>
    <s v="023"/>
    <s v="13300-023"/>
    <s v="Piccolo production item #023"/>
    <s v="UNIQUE"/>
    <n v="1"/>
    <n v="10"/>
    <n v="11"/>
    <n v="10"/>
    <n v="110"/>
  </r>
  <r>
    <x v="0"/>
    <x v="12"/>
    <x v="2"/>
    <n v="1"/>
    <n v="33"/>
    <s v="00"/>
    <s v="024"/>
    <s v="13300-024"/>
    <s v="Piccolo production item #024"/>
    <s v="UNIQUE"/>
    <n v="0"/>
    <n v="216"/>
    <n v="19"/>
    <n v="0"/>
    <n v="4104"/>
  </r>
  <r>
    <x v="0"/>
    <x v="12"/>
    <x v="2"/>
    <n v="1"/>
    <n v="33"/>
    <s v="00"/>
    <s v="025"/>
    <s v="13300-025"/>
    <s v="Piccolo production item #025"/>
    <s v="UNIQUE"/>
    <n v="0"/>
    <n v="1"/>
    <n v="1331"/>
    <n v="0"/>
    <n v="1331"/>
  </r>
  <r>
    <x v="0"/>
    <x v="12"/>
    <x v="2"/>
    <n v="1"/>
    <n v="33"/>
    <s v="00"/>
    <s v="026"/>
    <s v="13300-026"/>
    <s v="Piccolo production item #026"/>
    <s v="UNIQUE"/>
    <n v="0"/>
    <n v="5"/>
    <n v="21952"/>
    <n v="0"/>
    <n v="109760"/>
  </r>
  <r>
    <x v="0"/>
    <x v="12"/>
    <x v="2"/>
    <n v="1"/>
    <n v="33"/>
    <s v="00"/>
    <s v="027"/>
    <s v="13300-027"/>
    <s v="Piccolo production item #027"/>
    <s v="UNIQUE"/>
    <n v="1702"/>
    <n v="9"/>
    <n v="27"/>
    <n v="15318"/>
    <n v="243"/>
  </r>
  <r>
    <x v="0"/>
    <x v="12"/>
    <x v="2"/>
    <n v="1"/>
    <n v="33"/>
    <s v="00"/>
    <s v="028"/>
    <s v="13300-028"/>
    <s v="Piccolo production item #028"/>
    <s v="UNIQUE"/>
    <n v="0"/>
    <n v="3"/>
    <n v="21"/>
    <n v="0"/>
    <n v="63"/>
  </r>
  <r>
    <x v="0"/>
    <x v="12"/>
    <x v="2"/>
    <n v="1"/>
    <n v="33"/>
    <s v="00"/>
    <s v="029"/>
    <s v="13300-029"/>
    <s v="Piccolo production item #029"/>
    <s v="UNIQUE"/>
    <n v="0"/>
    <n v="2"/>
    <n v="529"/>
    <n v="0"/>
    <n v="1058"/>
  </r>
  <r>
    <x v="0"/>
    <x v="12"/>
    <x v="2"/>
    <n v="1"/>
    <n v="33"/>
    <s v="00"/>
    <s v="030"/>
    <s v="13300-030"/>
    <s v="Piccolo production item #030"/>
    <s v="UNIQUE"/>
    <n v="0"/>
    <n v="2"/>
    <n v="10"/>
    <n v="0"/>
    <n v="20"/>
  </r>
  <r>
    <x v="0"/>
    <x v="12"/>
    <x v="2"/>
    <n v="1"/>
    <n v="33"/>
    <s v="00"/>
    <s v="031"/>
    <s v="13300-031"/>
    <s v="Piccolo production item #031"/>
    <s v="UNIQUE"/>
    <n v="0"/>
    <n v="216"/>
    <n v="2197"/>
    <n v="0"/>
    <n v="474552"/>
  </r>
  <r>
    <x v="0"/>
    <x v="12"/>
    <x v="2"/>
    <n v="1"/>
    <n v="33"/>
    <s v="00"/>
    <s v="032"/>
    <s v="13300-032"/>
    <s v="Piccolo production item #032"/>
    <s v="UNIQUE"/>
    <n v="693"/>
    <n v="100"/>
    <n v="8"/>
    <n v="69300"/>
    <n v="800"/>
  </r>
  <r>
    <x v="0"/>
    <x v="12"/>
    <x v="2"/>
    <n v="1"/>
    <n v="33"/>
    <s v="00"/>
    <s v="033"/>
    <s v="13300-033"/>
    <s v="Piccolo production item #033"/>
    <s v="UNIQUE"/>
    <n v="1"/>
    <n v="3"/>
    <n v="30"/>
    <n v="3"/>
    <n v="90"/>
  </r>
  <r>
    <x v="0"/>
    <x v="12"/>
    <x v="2"/>
    <n v="1"/>
    <n v="33"/>
    <s v="00"/>
    <s v="034"/>
    <s v="13300-034"/>
    <s v="Piccolo production item #034"/>
    <s v="UNIQUE"/>
    <n v="654"/>
    <n v="216"/>
    <n v="23"/>
    <n v="141264"/>
    <n v="4968"/>
  </r>
  <r>
    <x v="0"/>
    <x v="12"/>
    <x v="2"/>
    <n v="1"/>
    <n v="33"/>
    <s v="00"/>
    <s v="035"/>
    <s v="13300-035"/>
    <s v="Piccolo production item #035"/>
    <s v="UNIQUE"/>
    <n v="6"/>
    <n v="2"/>
    <n v="21"/>
    <n v="12"/>
    <n v="42"/>
  </r>
  <r>
    <x v="0"/>
    <x v="12"/>
    <x v="2"/>
    <n v="1"/>
    <n v="33"/>
    <s v="00"/>
    <s v="036"/>
    <s v="13300-036"/>
    <s v="Piccolo production item #036"/>
    <s v="UNIQUE"/>
    <n v="0"/>
    <n v="100"/>
    <n v="49"/>
    <n v="0"/>
    <n v="4900"/>
  </r>
  <r>
    <x v="0"/>
    <x v="12"/>
    <x v="2"/>
    <n v="1"/>
    <n v="33"/>
    <s v="00"/>
    <s v="037"/>
    <s v="13300-037"/>
    <s v="Piccolo production item #037"/>
    <s v="UNIQUE"/>
    <n v="2920"/>
    <n v="6"/>
    <n v="484"/>
    <n v="17520"/>
    <n v="2904"/>
  </r>
  <r>
    <x v="0"/>
    <x v="12"/>
    <x v="2"/>
    <n v="1"/>
    <n v="33"/>
    <s v="00"/>
    <s v="038"/>
    <s v="13300-038"/>
    <s v="Piccolo production item #038"/>
    <s v="UNIQUE"/>
    <n v="0"/>
    <n v="2"/>
    <n v="10"/>
    <n v="0"/>
    <n v="20"/>
  </r>
  <r>
    <x v="0"/>
    <x v="12"/>
    <x v="2"/>
    <n v="1"/>
    <n v="33"/>
    <s v="00"/>
    <s v="039"/>
    <s v="13300-039"/>
    <s v="Piccolo production item #039"/>
    <s v="UNIQUE"/>
    <n v="0"/>
    <n v="7"/>
    <n v="289"/>
    <n v="0"/>
    <n v="2023"/>
  </r>
  <r>
    <x v="0"/>
    <x v="12"/>
    <x v="2"/>
    <n v="1"/>
    <n v="33"/>
    <s v="00"/>
    <s v="040"/>
    <s v="13300-040"/>
    <s v="Piccolo production item #040"/>
    <s v="UNIQUE"/>
    <n v="0"/>
    <n v="9"/>
    <n v="9"/>
    <n v="0"/>
    <n v="81"/>
  </r>
  <r>
    <x v="0"/>
    <x v="12"/>
    <x v="2"/>
    <n v="1"/>
    <n v="33"/>
    <s v="00"/>
    <s v="041"/>
    <s v="13300-041"/>
    <s v="Piccolo production item #041"/>
    <s v="UNIQUE"/>
    <n v="94"/>
    <n v="729"/>
    <n v="169"/>
    <n v="68526"/>
    <n v="123201"/>
  </r>
  <r>
    <x v="0"/>
    <x v="12"/>
    <x v="2"/>
    <n v="1"/>
    <n v="33"/>
    <s v="00"/>
    <s v="042"/>
    <s v="13300-042"/>
    <s v="Piccolo production item #042"/>
    <s v="UNIQUE"/>
    <n v="255"/>
    <n v="3"/>
    <n v="36"/>
    <n v="765"/>
    <n v="108"/>
  </r>
  <r>
    <x v="0"/>
    <x v="12"/>
    <x v="2"/>
    <n v="1"/>
    <n v="33"/>
    <s v="00"/>
    <s v="043"/>
    <s v="13300-043"/>
    <s v="Piccolo production item #043"/>
    <s v="UNIQUE"/>
    <n v="590"/>
    <n v="36"/>
    <n v="100"/>
    <n v="21240"/>
    <n v="3600"/>
  </r>
  <r>
    <x v="0"/>
    <x v="12"/>
    <x v="2"/>
    <n v="1"/>
    <n v="33"/>
    <s v="00"/>
    <s v="044"/>
    <s v="13300-044"/>
    <s v="Piccolo production item #044"/>
    <s v="UNIQUE"/>
    <n v="0"/>
    <n v="7"/>
    <n v="24389"/>
    <n v="0"/>
    <n v="170723"/>
  </r>
  <r>
    <x v="0"/>
    <x v="12"/>
    <x v="2"/>
    <n v="1"/>
    <n v="33"/>
    <s v="00"/>
    <s v="045"/>
    <s v="13300-045"/>
    <s v="Piccolo production item #045"/>
    <s v="UNIQUE"/>
    <n v="0"/>
    <n v="36"/>
    <n v="196"/>
    <n v="0"/>
    <n v="7056"/>
  </r>
  <r>
    <x v="0"/>
    <x v="12"/>
    <x v="2"/>
    <n v="1"/>
    <n v="33"/>
    <s v="00"/>
    <s v="046"/>
    <s v="13300-046"/>
    <s v="Piccolo production item #046"/>
    <s v="UNIQUE"/>
    <n v="0"/>
    <n v="4"/>
    <n v="30"/>
    <n v="0"/>
    <n v="120"/>
  </r>
  <r>
    <x v="0"/>
    <x v="12"/>
    <x v="2"/>
    <n v="1"/>
    <n v="33"/>
    <s v="00"/>
    <s v="047"/>
    <s v="13300-047"/>
    <s v="Piccolo production item #047"/>
    <s v="UNIQUE"/>
    <n v="5"/>
    <n v="25"/>
    <n v="2"/>
    <n v="125"/>
    <n v="50"/>
  </r>
  <r>
    <x v="0"/>
    <x v="12"/>
    <x v="2"/>
    <n v="1"/>
    <n v="33"/>
    <s v="00"/>
    <s v="048"/>
    <s v="13300-048"/>
    <s v="Piccolo production item #048"/>
    <s v="UNIQUE"/>
    <n v="0"/>
    <n v="16"/>
    <n v="30"/>
    <n v="0"/>
    <n v="480"/>
  </r>
  <r>
    <x v="0"/>
    <x v="12"/>
    <x v="2"/>
    <n v="1"/>
    <n v="33"/>
    <s v="00"/>
    <s v="049"/>
    <s v="13300-049"/>
    <s v="Piccolo production item #049"/>
    <s v="UNIQUE"/>
    <n v="0"/>
    <n v="8"/>
    <n v="15"/>
    <n v="0"/>
    <n v="120"/>
  </r>
  <r>
    <x v="0"/>
    <x v="13"/>
    <x v="2"/>
    <n v="1"/>
    <n v="34"/>
    <s v="00"/>
    <s v="000"/>
    <s v="13400-000"/>
    <s v="Oboe production item #000"/>
    <s v="UNIQUE"/>
    <n v="1"/>
    <n v="9"/>
    <n v="343"/>
    <n v="9"/>
    <n v="3087"/>
  </r>
  <r>
    <x v="0"/>
    <x v="13"/>
    <x v="2"/>
    <n v="1"/>
    <n v="34"/>
    <s v="00"/>
    <s v="001"/>
    <s v="13400-001"/>
    <s v="Oboe production item #001"/>
    <s v="UNIQUE"/>
    <n v="1723"/>
    <n v="1000"/>
    <n v="30"/>
    <n v="1723000"/>
    <n v="30000"/>
  </r>
  <r>
    <x v="0"/>
    <x v="13"/>
    <x v="2"/>
    <n v="1"/>
    <n v="34"/>
    <s v="00"/>
    <s v="002"/>
    <s v="13400-002"/>
    <s v="Oboe production item #002"/>
    <s v="UNIQUE"/>
    <n v="9"/>
    <n v="9"/>
    <n v="8"/>
    <n v="81"/>
    <n v="72"/>
  </r>
  <r>
    <x v="0"/>
    <x v="13"/>
    <x v="2"/>
    <n v="1"/>
    <n v="34"/>
    <s v="00"/>
    <s v="003"/>
    <s v="13400-003"/>
    <s v="Oboe production item #003"/>
    <s v="UNIQUE"/>
    <n v="0"/>
    <n v="4"/>
    <n v="9"/>
    <n v="0"/>
    <n v="36"/>
  </r>
  <r>
    <x v="0"/>
    <x v="13"/>
    <x v="2"/>
    <n v="1"/>
    <n v="34"/>
    <s v="00"/>
    <s v="004"/>
    <s v="13400-004"/>
    <s v="Oboe production item #004"/>
    <s v="UNIQUE"/>
    <n v="0"/>
    <n v="1000"/>
    <n v="2744"/>
    <n v="0"/>
    <n v="2744000"/>
  </r>
  <r>
    <x v="0"/>
    <x v="13"/>
    <x v="2"/>
    <n v="1"/>
    <n v="34"/>
    <s v="00"/>
    <s v="005"/>
    <s v="13400-005"/>
    <s v="Oboe production item #005"/>
    <s v="UNIQUE"/>
    <n v="0"/>
    <n v="4"/>
    <n v="23"/>
    <n v="0"/>
    <n v="92"/>
  </r>
  <r>
    <x v="0"/>
    <x v="13"/>
    <x v="2"/>
    <n v="1"/>
    <n v="34"/>
    <s v="00"/>
    <s v="006"/>
    <s v="13400-006"/>
    <s v="Oboe production item #006"/>
    <s v="UNIQUE"/>
    <n v="0"/>
    <n v="512"/>
    <n v="25"/>
    <n v="0"/>
    <n v="12800"/>
  </r>
  <r>
    <x v="0"/>
    <x v="13"/>
    <x v="2"/>
    <n v="1"/>
    <n v="34"/>
    <s v="00"/>
    <s v="007"/>
    <s v="13400-007"/>
    <s v="Oboe production item #007"/>
    <s v="UNIQUE"/>
    <n v="0"/>
    <n v="5"/>
    <n v="49"/>
    <n v="0"/>
    <n v="245"/>
  </r>
  <r>
    <x v="0"/>
    <x v="13"/>
    <x v="2"/>
    <n v="1"/>
    <n v="34"/>
    <s v="00"/>
    <s v="008"/>
    <s v="13400-008"/>
    <s v="Oboe production item #008"/>
    <s v="UNIQUE"/>
    <n v="0"/>
    <n v="125"/>
    <n v="21"/>
    <n v="0"/>
    <n v="2625"/>
  </r>
  <r>
    <x v="0"/>
    <x v="13"/>
    <x v="2"/>
    <n v="1"/>
    <n v="34"/>
    <s v="00"/>
    <s v="009"/>
    <s v="13400-009"/>
    <s v="Oboe production item #009"/>
    <s v="UNIQUE"/>
    <n v="0"/>
    <n v="125"/>
    <n v="15"/>
    <n v="0"/>
    <n v="1875"/>
  </r>
  <r>
    <x v="0"/>
    <x v="13"/>
    <x v="2"/>
    <n v="1"/>
    <n v="34"/>
    <s v="00"/>
    <s v="010"/>
    <s v="13400-010"/>
    <s v="Oboe production item #010"/>
    <s v="UNIQUE"/>
    <n v="0"/>
    <n v="6"/>
    <n v="484"/>
    <n v="0"/>
    <n v="2904"/>
  </r>
  <r>
    <x v="0"/>
    <x v="13"/>
    <x v="2"/>
    <n v="1"/>
    <n v="34"/>
    <s v="00"/>
    <s v="011"/>
    <s v="13400-011"/>
    <s v="Oboe production item #011"/>
    <s v="UNIQUE"/>
    <n v="0"/>
    <n v="4"/>
    <n v="12167"/>
    <n v="0"/>
    <n v="48668"/>
  </r>
  <r>
    <x v="0"/>
    <x v="13"/>
    <x v="2"/>
    <n v="1"/>
    <n v="34"/>
    <s v="00"/>
    <s v="012"/>
    <s v="13400-012"/>
    <s v="Oboe production item #012"/>
    <s v="UNIQUE"/>
    <n v="5"/>
    <n v="16"/>
    <n v="144"/>
    <n v="80"/>
    <n v="2304"/>
  </r>
  <r>
    <x v="0"/>
    <x v="13"/>
    <x v="2"/>
    <n v="1"/>
    <n v="34"/>
    <s v="00"/>
    <s v="013"/>
    <s v="13400-013"/>
    <s v="Oboe production item #013"/>
    <s v="UNIQUE"/>
    <n v="0"/>
    <n v="1000"/>
    <n v="25"/>
    <n v="0"/>
    <n v="25000"/>
  </r>
  <r>
    <x v="0"/>
    <x v="13"/>
    <x v="2"/>
    <n v="1"/>
    <n v="34"/>
    <s v="00"/>
    <s v="014"/>
    <s v="13400-014"/>
    <s v="Oboe production item #014"/>
    <s v="UNIQUE"/>
    <n v="5252"/>
    <n v="27"/>
    <n v="27"/>
    <n v="141804"/>
    <n v="729"/>
  </r>
  <r>
    <x v="0"/>
    <x v="13"/>
    <x v="2"/>
    <n v="1"/>
    <n v="34"/>
    <s v="00"/>
    <s v="015"/>
    <s v="13400-015"/>
    <s v="Oboe production item #015"/>
    <s v="UNIQUE"/>
    <n v="1"/>
    <n v="216"/>
    <n v="169"/>
    <n v="216"/>
    <n v="36504"/>
  </r>
  <r>
    <x v="0"/>
    <x v="13"/>
    <x v="2"/>
    <n v="1"/>
    <n v="34"/>
    <s v="00"/>
    <s v="016"/>
    <s v="13400-016"/>
    <s v="Oboe production item #016"/>
    <s v="UNIQUE"/>
    <n v="6124"/>
    <n v="64"/>
    <n v="24389"/>
    <n v="391936"/>
    <n v="1560896"/>
  </r>
  <r>
    <x v="0"/>
    <x v="13"/>
    <x v="2"/>
    <n v="1"/>
    <n v="34"/>
    <s v="00"/>
    <s v="017"/>
    <s v="13400-017"/>
    <s v="Oboe production item #017"/>
    <s v="UNIQUE"/>
    <n v="933"/>
    <n v="125"/>
    <n v="16"/>
    <n v="116625"/>
    <n v="2000"/>
  </r>
  <r>
    <x v="0"/>
    <x v="13"/>
    <x v="2"/>
    <n v="1"/>
    <n v="34"/>
    <s v="00"/>
    <s v="018"/>
    <s v="13400-018"/>
    <s v="Oboe production item #018"/>
    <s v="UNIQUE"/>
    <n v="0"/>
    <n v="16"/>
    <n v="2744"/>
    <n v="0"/>
    <n v="43904"/>
  </r>
  <r>
    <x v="0"/>
    <x v="13"/>
    <x v="2"/>
    <n v="1"/>
    <n v="34"/>
    <s v="00"/>
    <s v="019"/>
    <s v="13400-019"/>
    <s v="Oboe production item #019"/>
    <s v="UNIQUE"/>
    <n v="0"/>
    <n v="36"/>
    <n v="289"/>
    <n v="0"/>
    <n v="10404"/>
  </r>
  <r>
    <x v="0"/>
    <x v="13"/>
    <x v="2"/>
    <n v="1"/>
    <n v="34"/>
    <s v="00"/>
    <s v="020"/>
    <s v="13400-020"/>
    <s v="Oboe production item #020"/>
    <s v="UNIQUE"/>
    <n v="6921"/>
    <n v="49"/>
    <n v="8000"/>
    <n v="339129"/>
    <n v="392000"/>
  </r>
  <r>
    <x v="0"/>
    <x v="13"/>
    <x v="2"/>
    <n v="1"/>
    <n v="34"/>
    <s v="00"/>
    <s v="021"/>
    <s v="13400-021"/>
    <s v="Oboe production item #021"/>
    <s v="UNIQUE"/>
    <n v="0"/>
    <n v="64"/>
    <n v="25"/>
    <n v="0"/>
    <n v="1600"/>
  </r>
  <r>
    <x v="0"/>
    <x v="13"/>
    <x v="2"/>
    <n v="1"/>
    <n v="34"/>
    <s v="00"/>
    <s v="022"/>
    <s v="13400-022"/>
    <s v="Oboe production item #022"/>
    <s v="UNIQUE"/>
    <n v="0"/>
    <n v="3"/>
    <n v="12167"/>
    <n v="0"/>
    <n v="36501"/>
  </r>
  <r>
    <x v="0"/>
    <x v="13"/>
    <x v="2"/>
    <n v="1"/>
    <n v="34"/>
    <s v="00"/>
    <s v="023"/>
    <s v="13400-023"/>
    <s v="Oboe production item #023"/>
    <s v="UNIQUE"/>
    <n v="13"/>
    <n v="1"/>
    <n v="7"/>
    <n v="13"/>
    <n v="7"/>
  </r>
  <r>
    <x v="0"/>
    <x v="13"/>
    <x v="2"/>
    <n v="1"/>
    <n v="34"/>
    <s v="00"/>
    <s v="024"/>
    <s v="13400-024"/>
    <s v="Oboe production item #024"/>
    <s v="UNIQUE"/>
    <n v="0"/>
    <n v="8"/>
    <n v="27"/>
    <n v="0"/>
    <n v="216"/>
  </r>
  <r>
    <x v="0"/>
    <x v="13"/>
    <x v="2"/>
    <n v="1"/>
    <n v="34"/>
    <s v="00"/>
    <s v="025"/>
    <s v="13400-025"/>
    <s v="Oboe production item #025"/>
    <s v="UNIQUE"/>
    <n v="0"/>
    <n v="10"/>
    <n v="9"/>
    <n v="0"/>
    <n v="90"/>
  </r>
  <r>
    <x v="0"/>
    <x v="13"/>
    <x v="2"/>
    <n v="1"/>
    <n v="34"/>
    <s v="00"/>
    <s v="026"/>
    <s v="13400-026"/>
    <s v="Oboe production item #026"/>
    <s v="UNIQUE"/>
    <n v="0"/>
    <n v="6"/>
    <n v="17"/>
    <n v="0"/>
    <n v="102"/>
  </r>
  <r>
    <x v="0"/>
    <x v="13"/>
    <x v="2"/>
    <n v="1"/>
    <n v="34"/>
    <s v="00"/>
    <s v="027"/>
    <s v="13400-027"/>
    <s v="Oboe production item #027"/>
    <s v="UNIQUE"/>
    <n v="0"/>
    <n v="64"/>
    <n v="1"/>
    <n v="0"/>
    <n v="64"/>
  </r>
  <r>
    <x v="0"/>
    <x v="13"/>
    <x v="2"/>
    <n v="1"/>
    <n v="34"/>
    <s v="00"/>
    <s v="028"/>
    <s v="13400-028"/>
    <s v="Oboe production item #028"/>
    <s v="UNIQUE"/>
    <n v="41"/>
    <n v="3"/>
    <n v="125"/>
    <n v="123"/>
    <n v="375"/>
  </r>
  <r>
    <x v="0"/>
    <x v="13"/>
    <x v="2"/>
    <n v="1"/>
    <n v="34"/>
    <s v="00"/>
    <s v="029"/>
    <s v="13400-029"/>
    <s v="Oboe production item #029"/>
    <s v="UNIQUE"/>
    <n v="3"/>
    <n v="1"/>
    <n v="81"/>
    <n v="3"/>
    <n v="81"/>
  </r>
  <r>
    <x v="0"/>
    <x v="13"/>
    <x v="2"/>
    <n v="1"/>
    <n v="34"/>
    <s v="00"/>
    <s v="030"/>
    <s v="13400-030"/>
    <s v="Oboe production item #030"/>
    <s v="UNIQUE"/>
    <n v="1"/>
    <n v="64"/>
    <n v="12167"/>
    <n v="64"/>
    <n v="778688"/>
  </r>
  <r>
    <x v="0"/>
    <x v="13"/>
    <x v="2"/>
    <n v="1"/>
    <n v="34"/>
    <s v="00"/>
    <s v="031"/>
    <s v="13400-031"/>
    <s v="Oboe production item #031"/>
    <s v="UNIQUE"/>
    <n v="37"/>
    <n v="8"/>
    <n v="4"/>
    <n v="296"/>
    <n v="32"/>
  </r>
  <r>
    <x v="0"/>
    <x v="13"/>
    <x v="2"/>
    <n v="1"/>
    <n v="34"/>
    <s v="00"/>
    <s v="032"/>
    <s v="13400-032"/>
    <s v="Oboe production item #032"/>
    <s v="UNIQUE"/>
    <n v="7790"/>
    <n v="7"/>
    <n v="6"/>
    <n v="54530"/>
    <n v="42"/>
  </r>
  <r>
    <x v="0"/>
    <x v="13"/>
    <x v="2"/>
    <n v="1"/>
    <n v="34"/>
    <s v="00"/>
    <s v="033"/>
    <s v="13400-033"/>
    <s v="Oboe production item #033"/>
    <s v="UNIQUE"/>
    <n v="0"/>
    <n v="6"/>
    <n v="27"/>
    <n v="0"/>
    <n v="162"/>
  </r>
  <r>
    <x v="0"/>
    <x v="13"/>
    <x v="2"/>
    <n v="1"/>
    <n v="34"/>
    <s v="00"/>
    <s v="034"/>
    <s v="13400-034"/>
    <s v="Oboe production item #034"/>
    <s v="UNIQUE"/>
    <n v="0"/>
    <n v="64"/>
    <n v="1"/>
    <n v="0"/>
    <n v="64"/>
  </r>
  <r>
    <x v="0"/>
    <x v="13"/>
    <x v="2"/>
    <n v="1"/>
    <n v="34"/>
    <s v="00"/>
    <s v="035"/>
    <s v="13400-035"/>
    <s v="Oboe production item #035"/>
    <s v="UNIQUE"/>
    <n v="550"/>
    <n v="343"/>
    <n v="484"/>
    <n v="188650"/>
    <n v="166012"/>
  </r>
  <r>
    <x v="0"/>
    <x v="13"/>
    <x v="2"/>
    <n v="1"/>
    <n v="34"/>
    <s v="00"/>
    <s v="036"/>
    <s v="13400-036"/>
    <s v="Oboe production item #036"/>
    <s v="UNIQUE"/>
    <n v="0"/>
    <n v="6"/>
    <n v="0"/>
    <n v="0"/>
    <n v="0"/>
  </r>
  <r>
    <x v="0"/>
    <x v="13"/>
    <x v="2"/>
    <n v="1"/>
    <n v="34"/>
    <s v="00"/>
    <s v="037"/>
    <s v="13400-037"/>
    <s v="Oboe production item #037"/>
    <s v="UNIQUE"/>
    <n v="0"/>
    <n v="27"/>
    <n v="23"/>
    <n v="0"/>
    <n v="621"/>
  </r>
  <r>
    <x v="0"/>
    <x v="13"/>
    <x v="2"/>
    <n v="1"/>
    <n v="34"/>
    <s v="00"/>
    <s v="038"/>
    <s v="13400-038"/>
    <s v="Oboe production item #038"/>
    <s v="UNIQUE"/>
    <n v="6"/>
    <n v="49"/>
    <n v="12167"/>
    <n v="294"/>
    <n v="596183"/>
  </r>
  <r>
    <x v="0"/>
    <x v="13"/>
    <x v="2"/>
    <n v="1"/>
    <n v="34"/>
    <s v="00"/>
    <s v="039"/>
    <s v="13400-039"/>
    <s v="Oboe production item #039"/>
    <s v="UNIQUE"/>
    <n v="0"/>
    <n v="16"/>
    <n v="8"/>
    <n v="0"/>
    <n v="128"/>
  </r>
  <r>
    <x v="0"/>
    <x v="13"/>
    <x v="2"/>
    <n v="1"/>
    <n v="34"/>
    <s v="00"/>
    <s v="040"/>
    <s v="13400-040"/>
    <s v="Oboe production item #040"/>
    <s v="UNIQUE"/>
    <n v="0"/>
    <n v="343"/>
    <n v="13"/>
    <n v="0"/>
    <n v="4459"/>
  </r>
  <r>
    <x v="0"/>
    <x v="13"/>
    <x v="2"/>
    <n v="1"/>
    <n v="34"/>
    <s v="00"/>
    <s v="041"/>
    <s v="13400-041"/>
    <s v="Oboe production item #041"/>
    <s v="UNIQUE"/>
    <n v="0"/>
    <n v="5"/>
    <n v="225"/>
    <n v="0"/>
    <n v="1125"/>
  </r>
  <r>
    <x v="0"/>
    <x v="13"/>
    <x v="2"/>
    <n v="1"/>
    <n v="34"/>
    <s v="00"/>
    <s v="042"/>
    <s v="13400-042"/>
    <s v="Oboe production item #042"/>
    <s v="UNIQUE"/>
    <n v="0"/>
    <n v="4"/>
    <n v="841"/>
    <n v="0"/>
    <n v="3364"/>
  </r>
  <r>
    <x v="0"/>
    <x v="13"/>
    <x v="2"/>
    <n v="1"/>
    <n v="34"/>
    <s v="00"/>
    <s v="043"/>
    <s v="13400-043"/>
    <s v="Oboe production item #043"/>
    <s v="UNIQUE"/>
    <n v="0"/>
    <n v="9"/>
    <n v="22"/>
    <n v="0"/>
    <n v="198"/>
  </r>
  <r>
    <x v="0"/>
    <x v="13"/>
    <x v="2"/>
    <n v="1"/>
    <n v="34"/>
    <s v="00"/>
    <s v="044"/>
    <s v="13400-044"/>
    <s v="Oboe production item #044"/>
    <s v="UNIQUE"/>
    <n v="3209"/>
    <n v="10"/>
    <n v="576"/>
    <n v="32090"/>
    <n v="5760"/>
  </r>
  <r>
    <x v="0"/>
    <x v="13"/>
    <x v="2"/>
    <n v="1"/>
    <n v="34"/>
    <s v="00"/>
    <s v="045"/>
    <s v="13400-045"/>
    <s v="Oboe production item #045"/>
    <s v="UNIQUE"/>
    <n v="52"/>
    <n v="10"/>
    <n v="343"/>
    <n v="520"/>
    <n v="3430"/>
  </r>
  <r>
    <x v="0"/>
    <x v="13"/>
    <x v="2"/>
    <n v="1"/>
    <n v="34"/>
    <s v="00"/>
    <s v="046"/>
    <s v="13400-046"/>
    <s v="Oboe production item #046"/>
    <s v="UNIQUE"/>
    <n v="7"/>
    <n v="1"/>
    <n v="20"/>
    <n v="7"/>
    <n v="20"/>
  </r>
  <r>
    <x v="0"/>
    <x v="13"/>
    <x v="2"/>
    <n v="1"/>
    <n v="34"/>
    <s v="00"/>
    <s v="047"/>
    <s v="13400-047"/>
    <s v="Oboe production item #047"/>
    <s v="UNIQUE"/>
    <n v="5"/>
    <n v="3"/>
    <n v="49"/>
    <n v="15"/>
    <n v="147"/>
  </r>
  <r>
    <x v="0"/>
    <x v="13"/>
    <x v="2"/>
    <n v="1"/>
    <n v="34"/>
    <s v="00"/>
    <s v="048"/>
    <s v="13400-048"/>
    <s v="Oboe production item #048"/>
    <s v="UNIQUE"/>
    <n v="0"/>
    <n v="49"/>
    <n v="1000"/>
    <n v="0"/>
    <n v="49000"/>
  </r>
  <r>
    <x v="0"/>
    <x v="13"/>
    <x v="2"/>
    <n v="1"/>
    <n v="34"/>
    <s v="00"/>
    <s v="049"/>
    <s v="13400-049"/>
    <s v="Oboe production item #049"/>
    <s v="UNIQUE"/>
    <n v="0"/>
    <n v="36"/>
    <n v="9"/>
    <n v="0"/>
    <n v="324"/>
  </r>
  <r>
    <x v="0"/>
    <x v="14"/>
    <x v="2"/>
    <n v="1"/>
    <n v="35"/>
    <s v="00"/>
    <s v="000"/>
    <s v="13500-000"/>
    <s v="Bassoon production item #000"/>
    <s v="UNIQUE"/>
    <n v="7"/>
    <n v="729"/>
    <n v="2744"/>
    <n v="5103"/>
    <n v="2000376"/>
  </r>
  <r>
    <x v="0"/>
    <x v="14"/>
    <x v="2"/>
    <n v="1"/>
    <n v="35"/>
    <s v="00"/>
    <s v="001"/>
    <s v="13500-001"/>
    <s v="Bassoon production item #001"/>
    <s v="UNIQUE"/>
    <n v="1"/>
    <n v="1000"/>
    <n v="1728"/>
    <n v="1000"/>
    <n v="1728000"/>
  </r>
  <r>
    <x v="0"/>
    <x v="14"/>
    <x v="2"/>
    <n v="1"/>
    <n v="35"/>
    <s v="00"/>
    <s v="002"/>
    <s v="13500-002"/>
    <s v="Bassoon production item #002"/>
    <s v="UNIQUE"/>
    <n v="0"/>
    <n v="7"/>
    <n v="24389"/>
    <n v="0"/>
    <n v="170723"/>
  </r>
  <r>
    <x v="0"/>
    <x v="14"/>
    <x v="2"/>
    <n v="1"/>
    <n v="35"/>
    <s v="00"/>
    <s v="003"/>
    <s v="13500-003"/>
    <s v="Bassoon production item #003"/>
    <s v="UNIQUE"/>
    <n v="0"/>
    <n v="3"/>
    <n v="17576"/>
    <n v="0"/>
    <n v="52728"/>
  </r>
  <r>
    <x v="0"/>
    <x v="14"/>
    <x v="2"/>
    <n v="1"/>
    <n v="35"/>
    <s v="00"/>
    <s v="004"/>
    <s v="13500-004"/>
    <s v="Bassoon production item #004"/>
    <s v="UNIQUE"/>
    <n v="0"/>
    <n v="3"/>
    <n v="784"/>
    <n v="0"/>
    <n v="2352"/>
  </r>
  <r>
    <x v="0"/>
    <x v="14"/>
    <x v="2"/>
    <n v="1"/>
    <n v="35"/>
    <s v="00"/>
    <s v="005"/>
    <s v="13500-005"/>
    <s v="Bassoon production item #005"/>
    <s v="UNIQUE"/>
    <n v="5692"/>
    <n v="9"/>
    <n v="27"/>
    <n v="51228"/>
    <n v="243"/>
  </r>
  <r>
    <x v="0"/>
    <x v="14"/>
    <x v="2"/>
    <n v="1"/>
    <n v="35"/>
    <s v="00"/>
    <s v="006"/>
    <s v="13500-006"/>
    <s v="Bassoon production item #006"/>
    <s v="UNIQUE"/>
    <n v="4"/>
    <n v="512"/>
    <n v="21952"/>
    <n v="2048"/>
    <n v="11239424"/>
  </r>
  <r>
    <x v="0"/>
    <x v="14"/>
    <x v="2"/>
    <n v="1"/>
    <n v="35"/>
    <s v="00"/>
    <s v="007"/>
    <s v="13500-007"/>
    <s v="Bassoon production item #007"/>
    <s v="UNIQUE"/>
    <n v="0"/>
    <n v="1"/>
    <n v="27"/>
    <n v="0"/>
    <n v="27"/>
  </r>
  <r>
    <x v="0"/>
    <x v="14"/>
    <x v="2"/>
    <n v="1"/>
    <n v="35"/>
    <s v="00"/>
    <s v="008"/>
    <s v="13500-008"/>
    <s v="Bassoon production item #008"/>
    <s v="UNIQUE"/>
    <n v="7"/>
    <n v="9"/>
    <n v="6859"/>
    <n v="63"/>
    <n v="61731"/>
  </r>
  <r>
    <x v="0"/>
    <x v="14"/>
    <x v="2"/>
    <n v="1"/>
    <n v="35"/>
    <s v="00"/>
    <s v="009"/>
    <s v="13500-009"/>
    <s v="Bassoon production item #009"/>
    <s v="UNIQUE"/>
    <n v="831"/>
    <n v="1"/>
    <n v="343"/>
    <n v="831"/>
    <n v="343"/>
  </r>
  <r>
    <x v="0"/>
    <x v="14"/>
    <x v="2"/>
    <n v="1"/>
    <n v="35"/>
    <s v="00"/>
    <s v="010"/>
    <s v="13500-010"/>
    <s v="Bassoon production item #010"/>
    <s v="UNIQUE"/>
    <n v="125"/>
    <n v="1"/>
    <n v="25"/>
    <n v="125"/>
    <n v="25"/>
  </r>
  <r>
    <x v="0"/>
    <x v="14"/>
    <x v="2"/>
    <n v="1"/>
    <n v="35"/>
    <s v="00"/>
    <s v="011"/>
    <s v="13500-011"/>
    <s v="Bassoon production item #011"/>
    <s v="UNIQUE"/>
    <n v="840"/>
    <n v="7"/>
    <n v="2197"/>
    <n v="5880"/>
    <n v="15379"/>
  </r>
  <r>
    <x v="0"/>
    <x v="14"/>
    <x v="2"/>
    <n v="1"/>
    <n v="35"/>
    <s v="00"/>
    <s v="012"/>
    <s v="13500-012"/>
    <s v="Bassoon production item #012"/>
    <s v="UNIQUE"/>
    <n v="7"/>
    <n v="512"/>
    <n v="3375"/>
    <n v="3584"/>
    <n v="1728000"/>
  </r>
  <r>
    <x v="0"/>
    <x v="14"/>
    <x v="2"/>
    <n v="1"/>
    <n v="35"/>
    <s v="00"/>
    <s v="013"/>
    <s v="13500-013"/>
    <s v="Bassoon production item #013"/>
    <s v="UNIQUE"/>
    <n v="0"/>
    <n v="3"/>
    <n v="29"/>
    <n v="0"/>
    <n v="87"/>
  </r>
  <r>
    <x v="0"/>
    <x v="14"/>
    <x v="2"/>
    <n v="1"/>
    <n v="35"/>
    <s v="00"/>
    <s v="014"/>
    <s v="13500-014"/>
    <s v="Bassoon production item #014"/>
    <s v="UNIQUE"/>
    <n v="0"/>
    <n v="8"/>
    <n v="27"/>
    <n v="0"/>
    <n v="216"/>
  </r>
  <r>
    <x v="0"/>
    <x v="14"/>
    <x v="2"/>
    <n v="1"/>
    <n v="35"/>
    <s v="00"/>
    <s v="015"/>
    <s v="13500-015"/>
    <s v="Bassoon production item #015"/>
    <s v="UNIQUE"/>
    <n v="77"/>
    <n v="100"/>
    <n v="49"/>
    <n v="7700"/>
    <n v="4900"/>
  </r>
  <r>
    <x v="0"/>
    <x v="14"/>
    <x v="2"/>
    <n v="1"/>
    <n v="35"/>
    <s v="00"/>
    <s v="016"/>
    <s v="13500-016"/>
    <s v="Bassoon production item #016"/>
    <s v="UNIQUE"/>
    <n v="1"/>
    <n v="1"/>
    <n v="5"/>
    <n v="1"/>
    <n v="5"/>
  </r>
  <r>
    <x v="0"/>
    <x v="14"/>
    <x v="2"/>
    <n v="1"/>
    <n v="35"/>
    <s v="00"/>
    <s v="017"/>
    <s v="13500-017"/>
    <s v="Bassoon production item #017"/>
    <s v="UNIQUE"/>
    <n v="594"/>
    <n v="125"/>
    <n v="25"/>
    <n v="74250"/>
    <n v="3125"/>
  </r>
  <r>
    <x v="0"/>
    <x v="14"/>
    <x v="2"/>
    <n v="1"/>
    <n v="35"/>
    <s v="00"/>
    <s v="018"/>
    <s v="13500-018"/>
    <s v="Bassoon production item #018"/>
    <s v="UNIQUE"/>
    <n v="1"/>
    <n v="216"/>
    <n v="1"/>
    <n v="216"/>
    <n v="216"/>
  </r>
  <r>
    <x v="0"/>
    <x v="14"/>
    <x v="2"/>
    <n v="1"/>
    <n v="35"/>
    <s v="00"/>
    <s v="019"/>
    <s v="13500-019"/>
    <s v="Bassoon production item #019"/>
    <s v="UNIQUE"/>
    <n v="1"/>
    <n v="64"/>
    <n v="216"/>
    <n v="64"/>
    <n v="13824"/>
  </r>
  <r>
    <x v="0"/>
    <x v="14"/>
    <x v="2"/>
    <n v="1"/>
    <n v="35"/>
    <s v="00"/>
    <s v="020"/>
    <s v="13500-020"/>
    <s v="Bassoon production item #020"/>
    <s v="UNIQUE"/>
    <n v="0"/>
    <n v="729"/>
    <n v="216"/>
    <n v="0"/>
    <n v="157464"/>
  </r>
  <r>
    <x v="0"/>
    <x v="14"/>
    <x v="2"/>
    <n v="1"/>
    <n v="35"/>
    <s v="00"/>
    <s v="021"/>
    <s v="13500-021"/>
    <s v="Bassoon production item #021"/>
    <s v="UNIQUE"/>
    <n v="0"/>
    <n v="1"/>
    <n v="2"/>
    <n v="0"/>
    <n v="2"/>
  </r>
  <r>
    <x v="0"/>
    <x v="14"/>
    <x v="2"/>
    <n v="1"/>
    <n v="35"/>
    <s v="00"/>
    <s v="022"/>
    <s v="13500-022"/>
    <s v="Bassoon production item #022"/>
    <s v="UNIQUE"/>
    <n v="3"/>
    <n v="4"/>
    <n v="4913"/>
    <n v="12"/>
    <n v="19652"/>
  </r>
  <r>
    <x v="0"/>
    <x v="14"/>
    <x v="2"/>
    <n v="1"/>
    <n v="35"/>
    <s v="00"/>
    <s v="023"/>
    <s v="13500-023"/>
    <s v="Bassoon production item #023"/>
    <s v="UNIQUE"/>
    <n v="1"/>
    <n v="4"/>
    <n v="16"/>
    <n v="4"/>
    <n v="64"/>
  </r>
  <r>
    <x v="0"/>
    <x v="14"/>
    <x v="2"/>
    <n v="1"/>
    <n v="35"/>
    <s v="00"/>
    <s v="024"/>
    <s v="13500-024"/>
    <s v="Bassoon production item #024"/>
    <s v="UNIQUE"/>
    <n v="0"/>
    <n v="49"/>
    <n v="8"/>
    <n v="0"/>
    <n v="392"/>
  </r>
  <r>
    <x v="0"/>
    <x v="14"/>
    <x v="2"/>
    <n v="1"/>
    <n v="35"/>
    <s v="00"/>
    <s v="025"/>
    <s v="13500-025"/>
    <s v="Bassoon production item #025"/>
    <s v="UNIQUE"/>
    <n v="192"/>
    <n v="25"/>
    <n v="23"/>
    <n v="4800"/>
    <n v="575"/>
  </r>
  <r>
    <x v="0"/>
    <x v="14"/>
    <x v="2"/>
    <n v="1"/>
    <n v="35"/>
    <s v="00"/>
    <s v="026"/>
    <s v="13500-026"/>
    <s v="Bassoon production item #026"/>
    <s v="UNIQUE"/>
    <n v="965"/>
    <n v="64"/>
    <n v="8"/>
    <n v="61760"/>
    <n v="512"/>
  </r>
  <r>
    <x v="0"/>
    <x v="14"/>
    <x v="2"/>
    <n v="1"/>
    <n v="35"/>
    <s v="00"/>
    <s v="027"/>
    <s v="13500-027"/>
    <s v="Bassoon production item #027"/>
    <s v="UNIQUE"/>
    <n v="0"/>
    <n v="216"/>
    <n v="1000"/>
    <n v="0"/>
    <n v="216000"/>
  </r>
  <r>
    <x v="0"/>
    <x v="14"/>
    <x v="2"/>
    <n v="1"/>
    <n v="35"/>
    <s v="00"/>
    <s v="028"/>
    <s v="13500-028"/>
    <s v="Bassoon production item #028"/>
    <s v="UNIQUE"/>
    <n v="0"/>
    <n v="9"/>
    <n v="15"/>
    <n v="0"/>
    <n v="135"/>
  </r>
  <r>
    <x v="0"/>
    <x v="14"/>
    <x v="2"/>
    <n v="1"/>
    <n v="35"/>
    <s v="00"/>
    <s v="029"/>
    <s v="13500-029"/>
    <s v="Bassoon production item #029"/>
    <s v="UNIQUE"/>
    <n v="0"/>
    <n v="27"/>
    <n v="25"/>
    <n v="0"/>
    <n v="675"/>
  </r>
  <r>
    <x v="0"/>
    <x v="14"/>
    <x v="2"/>
    <n v="1"/>
    <n v="35"/>
    <s v="00"/>
    <s v="030"/>
    <s v="13500-030"/>
    <s v="Bassoon production item #030"/>
    <s v="UNIQUE"/>
    <n v="0"/>
    <n v="7"/>
    <n v="64"/>
    <n v="0"/>
    <n v="448"/>
  </r>
  <r>
    <x v="0"/>
    <x v="14"/>
    <x v="2"/>
    <n v="1"/>
    <n v="35"/>
    <s v="00"/>
    <s v="031"/>
    <s v="13500-031"/>
    <s v="Bassoon production item #031"/>
    <s v="UNIQUE"/>
    <n v="0"/>
    <n v="8"/>
    <n v="64"/>
    <n v="0"/>
    <n v="512"/>
  </r>
  <r>
    <x v="0"/>
    <x v="14"/>
    <x v="2"/>
    <n v="1"/>
    <n v="35"/>
    <s v="00"/>
    <s v="032"/>
    <s v="13500-032"/>
    <s v="Bassoon production item #032"/>
    <s v="UNIQUE"/>
    <n v="30"/>
    <n v="27"/>
    <n v="343"/>
    <n v="810"/>
    <n v="9261"/>
  </r>
  <r>
    <x v="0"/>
    <x v="14"/>
    <x v="2"/>
    <n v="1"/>
    <n v="35"/>
    <s v="00"/>
    <s v="033"/>
    <s v="13500-033"/>
    <s v="Bassoon production item #033"/>
    <s v="UNIQUE"/>
    <n v="0"/>
    <n v="10"/>
    <n v="7"/>
    <n v="0"/>
    <n v="70"/>
  </r>
  <r>
    <x v="0"/>
    <x v="14"/>
    <x v="2"/>
    <n v="1"/>
    <n v="35"/>
    <s v="00"/>
    <s v="034"/>
    <s v="13500-034"/>
    <s v="Bassoon production item #034"/>
    <s v="UNIQUE"/>
    <n v="0"/>
    <n v="6"/>
    <n v="1"/>
    <n v="0"/>
    <n v="6"/>
  </r>
  <r>
    <x v="0"/>
    <x v="14"/>
    <x v="2"/>
    <n v="1"/>
    <n v="35"/>
    <s v="00"/>
    <s v="035"/>
    <s v="13500-035"/>
    <s v="Bassoon production item #035"/>
    <s v="UNIQUE"/>
    <n v="0"/>
    <n v="27"/>
    <n v="24"/>
    <n v="0"/>
    <n v="648"/>
  </r>
  <r>
    <x v="0"/>
    <x v="14"/>
    <x v="2"/>
    <n v="1"/>
    <n v="35"/>
    <s v="00"/>
    <s v="036"/>
    <s v="13500-036"/>
    <s v="Bassoon production item #036"/>
    <s v="UNIQUE"/>
    <n v="0"/>
    <n v="5"/>
    <n v="24"/>
    <n v="0"/>
    <n v="120"/>
  </r>
  <r>
    <x v="0"/>
    <x v="14"/>
    <x v="2"/>
    <n v="1"/>
    <n v="35"/>
    <s v="00"/>
    <s v="037"/>
    <s v="13500-037"/>
    <s v="Bassoon production item #037"/>
    <s v="UNIQUE"/>
    <n v="0"/>
    <n v="8"/>
    <n v="27"/>
    <n v="0"/>
    <n v="216"/>
  </r>
  <r>
    <x v="0"/>
    <x v="14"/>
    <x v="2"/>
    <n v="1"/>
    <n v="35"/>
    <s v="00"/>
    <s v="038"/>
    <s v="13500-038"/>
    <s v="Bassoon production item #038"/>
    <s v="UNIQUE"/>
    <n v="0"/>
    <n v="3"/>
    <n v="16"/>
    <n v="0"/>
    <n v="48"/>
  </r>
  <r>
    <x v="0"/>
    <x v="14"/>
    <x v="2"/>
    <n v="1"/>
    <n v="35"/>
    <s v="00"/>
    <s v="039"/>
    <s v="13500-039"/>
    <s v="Bassoon production item #039"/>
    <s v="UNIQUE"/>
    <n v="0"/>
    <n v="5"/>
    <n v="13"/>
    <n v="0"/>
    <n v="65"/>
  </r>
  <r>
    <x v="0"/>
    <x v="14"/>
    <x v="2"/>
    <n v="1"/>
    <n v="35"/>
    <s v="00"/>
    <s v="040"/>
    <s v="13500-040"/>
    <s v="Bassoon production item #040"/>
    <s v="UNIQUE"/>
    <n v="0"/>
    <n v="729"/>
    <n v="4096"/>
    <n v="0"/>
    <n v="2985984"/>
  </r>
  <r>
    <x v="0"/>
    <x v="14"/>
    <x v="2"/>
    <n v="1"/>
    <n v="35"/>
    <s v="00"/>
    <s v="041"/>
    <s v="13500-041"/>
    <s v="Bassoon production item #041"/>
    <s v="UNIQUE"/>
    <n v="0"/>
    <n v="4"/>
    <n v="256"/>
    <n v="0"/>
    <n v="1024"/>
  </r>
  <r>
    <x v="0"/>
    <x v="14"/>
    <x v="2"/>
    <n v="1"/>
    <n v="35"/>
    <s v="00"/>
    <s v="042"/>
    <s v="13500-042"/>
    <s v="Bassoon production item #042"/>
    <s v="UNIQUE"/>
    <n v="1006"/>
    <n v="729"/>
    <n v="18"/>
    <n v="733374"/>
    <n v="13122"/>
  </r>
  <r>
    <x v="0"/>
    <x v="14"/>
    <x v="2"/>
    <n v="1"/>
    <n v="35"/>
    <s v="00"/>
    <s v="043"/>
    <s v="13500-043"/>
    <s v="Bassoon production item #043"/>
    <s v="UNIQUE"/>
    <n v="0"/>
    <n v="216"/>
    <n v="29"/>
    <n v="0"/>
    <n v="6264"/>
  </r>
  <r>
    <x v="0"/>
    <x v="14"/>
    <x v="2"/>
    <n v="1"/>
    <n v="35"/>
    <s v="00"/>
    <s v="044"/>
    <s v="13500-044"/>
    <s v="Bassoon production item #044"/>
    <s v="UNIQUE"/>
    <n v="0"/>
    <n v="7"/>
    <n v="9"/>
    <n v="0"/>
    <n v="63"/>
  </r>
  <r>
    <x v="0"/>
    <x v="14"/>
    <x v="2"/>
    <n v="1"/>
    <n v="35"/>
    <s v="00"/>
    <s v="045"/>
    <s v="13500-045"/>
    <s v="Bassoon production item #045"/>
    <s v="UNIQUE"/>
    <n v="0"/>
    <n v="16"/>
    <n v="13824"/>
    <n v="0"/>
    <n v="221184"/>
  </r>
  <r>
    <x v="0"/>
    <x v="14"/>
    <x v="2"/>
    <n v="1"/>
    <n v="35"/>
    <s v="00"/>
    <s v="046"/>
    <s v="13500-046"/>
    <s v="Bassoon production item #046"/>
    <s v="UNIQUE"/>
    <n v="0"/>
    <n v="729"/>
    <n v="225"/>
    <n v="0"/>
    <n v="164025"/>
  </r>
  <r>
    <x v="0"/>
    <x v="14"/>
    <x v="2"/>
    <n v="1"/>
    <n v="35"/>
    <s v="00"/>
    <s v="047"/>
    <s v="13500-047"/>
    <s v="Bassoon production item #047"/>
    <s v="UNIQUE"/>
    <n v="0"/>
    <n v="512"/>
    <n v="27000"/>
    <n v="0"/>
    <n v="13824000"/>
  </r>
  <r>
    <x v="0"/>
    <x v="14"/>
    <x v="2"/>
    <n v="1"/>
    <n v="35"/>
    <s v="00"/>
    <s v="048"/>
    <s v="13500-048"/>
    <s v="Bassoon production item #048"/>
    <s v="UNIQUE"/>
    <n v="0"/>
    <n v="343"/>
    <n v="529"/>
    <n v="0"/>
    <n v="181447"/>
  </r>
  <r>
    <x v="0"/>
    <x v="14"/>
    <x v="2"/>
    <n v="1"/>
    <n v="35"/>
    <s v="00"/>
    <s v="049"/>
    <s v="13500-049"/>
    <s v="Bassoon production item #049"/>
    <s v="UNIQUE"/>
    <n v="0"/>
    <n v="27"/>
    <n v="1"/>
    <n v="0"/>
    <n v="27"/>
  </r>
  <r>
    <x v="0"/>
    <x v="15"/>
    <x v="3"/>
    <n v="1"/>
    <n v="40"/>
    <s v="00"/>
    <s v="000"/>
    <s v="14000-000"/>
    <s v="French horn production item #000"/>
    <s v="UNIQUE"/>
    <n v="0"/>
    <n v="6"/>
    <n v="324"/>
    <n v="0"/>
    <n v="1944"/>
  </r>
  <r>
    <x v="0"/>
    <x v="15"/>
    <x v="3"/>
    <n v="1"/>
    <n v="40"/>
    <s v="00"/>
    <s v="001"/>
    <s v="14000-001"/>
    <s v="French horn production item #001"/>
    <s v="UNIQUE"/>
    <n v="34"/>
    <n v="16"/>
    <n v="3"/>
    <n v="544"/>
    <n v="48"/>
  </r>
  <r>
    <x v="0"/>
    <x v="15"/>
    <x v="3"/>
    <n v="1"/>
    <n v="40"/>
    <s v="00"/>
    <s v="002"/>
    <s v="14000-002"/>
    <s v="French horn production item #002"/>
    <s v="UNIQUE"/>
    <n v="0"/>
    <n v="49"/>
    <n v="12167"/>
    <n v="0"/>
    <n v="596183"/>
  </r>
  <r>
    <x v="0"/>
    <x v="15"/>
    <x v="3"/>
    <n v="1"/>
    <n v="40"/>
    <s v="00"/>
    <s v="003"/>
    <s v="14000-003"/>
    <s v="French horn production item #003"/>
    <s v="UNIQUE"/>
    <n v="138"/>
    <n v="81"/>
    <n v="23"/>
    <n v="11178"/>
    <n v="1863"/>
  </r>
  <r>
    <x v="0"/>
    <x v="15"/>
    <x v="3"/>
    <n v="1"/>
    <n v="40"/>
    <s v="00"/>
    <s v="004"/>
    <s v="14000-004"/>
    <s v="French horn production item #004"/>
    <s v="UNIQUE"/>
    <n v="1"/>
    <n v="2"/>
    <n v="729"/>
    <n v="2"/>
    <n v="1458"/>
  </r>
  <r>
    <x v="0"/>
    <x v="15"/>
    <x v="3"/>
    <n v="1"/>
    <n v="40"/>
    <s v="00"/>
    <s v="005"/>
    <s v="14000-005"/>
    <s v="French horn production item #005"/>
    <s v="UNIQUE"/>
    <n v="388"/>
    <n v="1"/>
    <n v="49"/>
    <n v="388"/>
    <n v="49"/>
  </r>
  <r>
    <x v="0"/>
    <x v="15"/>
    <x v="3"/>
    <n v="1"/>
    <n v="40"/>
    <s v="00"/>
    <s v="006"/>
    <s v="14000-006"/>
    <s v="French horn production item #006"/>
    <s v="UNIQUE"/>
    <n v="782"/>
    <n v="64"/>
    <n v="8"/>
    <n v="50048"/>
    <n v="512"/>
  </r>
  <r>
    <x v="0"/>
    <x v="15"/>
    <x v="3"/>
    <n v="1"/>
    <n v="40"/>
    <s v="00"/>
    <s v="007"/>
    <s v="14000-007"/>
    <s v="French horn production item #007"/>
    <s v="UNIQUE"/>
    <n v="1"/>
    <n v="25"/>
    <n v="20"/>
    <n v="25"/>
    <n v="500"/>
  </r>
  <r>
    <x v="0"/>
    <x v="15"/>
    <x v="3"/>
    <n v="1"/>
    <n v="40"/>
    <s v="00"/>
    <s v="008"/>
    <s v="14000-008"/>
    <s v="French horn production item #008"/>
    <s v="UNIQUE"/>
    <n v="47"/>
    <n v="8"/>
    <n v="9"/>
    <n v="376"/>
    <n v="72"/>
  </r>
  <r>
    <x v="0"/>
    <x v="15"/>
    <x v="3"/>
    <n v="1"/>
    <n v="40"/>
    <s v="00"/>
    <s v="009"/>
    <s v="14000-009"/>
    <s v="French horn production item #009"/>
    <s v="UNIQUE"/>
    <n v="0"/>
    <n v="49"/>
    <n v="225"/>
    <n v="0"/>
    <n v="11025"/>
  </r>
  <r>
    <x v="0"/>
    <x v="15"/>
    <x v="3"/>
    <n v="1"/>
    <n v="40"/>
    <s v="00"/>
    <s v="010"/>
    <s v="14000-010"/>
    <s v="French horn production item #010"/>
    <s v="UNIQUE"/>
    <n v="7649"/>
    <n v="2"/>
    <n v="1"/>
    <n v="15298"/>
    <n v="2"/>
  </r>
  <r>
    <x v="0"/>
    <x v="15"/>
    <x v="3"/>
    <n v="1"/>
    <n v="40"/>
    <s v="00"/>
    <s v="011"/>
    <s v="14000-011"/>
    <s v="French horn production item #011"/>
    <s v="UNIQUE"/>
    <n v="82"/>
    <n v="125"/>
    <n v="784"/>
    <n v="10250"/>
    <n v="98000"/>
  </r>
  <r>
    <x v="0"/>
    <x v="15"/>
    <x v="3"/>
    <n v="1"/>
    <n v="40"/>
    <s v="00"/>
    <s v="012"/>
    <s v="14000-012"/>
    <s v="French horn production item #012"/>
    <s v="UNIQUE"/>
    <n v="1"/>
    <n v="729"/>
    <n v="49"/>
    <n v="729"/>
    <n v="35721"/>
  </r>
  <r>
    <x v="0"/>
    <x v="15"/>
    <x v="3"/>
    <n v="1"/>
    <n v="40"/>
    <s v="00"/>
    <s v="013"/>
    <s v="14000-013"/>
    <s v="French horn production item #013"/>
    <s v="UNIQUE"/>
    <n v="0"/>
    <n v="8"/>
    <n v="729"/>
    <n v="0"/>
    <n v="5832"/>
  </r>
  <r>
    <x v="0"/>
    <x v="15"/>
    <x v="3"/>
    <n v="1"/>
    <n v="40"/>
    <s v="00"/>
    <s v="014"/>
    <s v="14000-014"/>
    <s v="French horn production item #014"/>
    <s v="UNIQUE"/>
    <n v="4"/>
    <n v="1"/>
    <n v="4"/>
    <n v="4"/>
    <n v="4"/>
  </r>
  <r>
    <x v="0"/>
    <x v="15"/>
    <x v="3"/>
    <n v="1"/>
    <n v="40"/>
    <s v="00"/>
    <s v="015"/>
    <s v="14000-015"/>
    <s v="French horn production item #015"/>
    <s v="UNIQUE"/>
    <n v="0"/>
    <n v="4"/>
    <n v="4"/>
    <n v="0"/>
    <n v="16"/>
  </r>
  <r>
    <x v="0"/>
    <x v="15"/>
    <x v="3"/>
    <n v="1"/>
    <n v="40"/>
    <s v="00"/>
    <s v="016"/>
    <s v="14000-016"/>
    <s v="French horn production item #016"/>
    <s v="UNIQUE"/>
    <n v="1"/>
    <n v="216"/>
    <n v="24389"/>
    <n v="216"/>
    <n v="5268024"/>
  </r>
  <r>
    <x v="0"/>
    <x v="15"/>
    <x v="3"/>
    <n v="1"/>
    <n v="40"/>
    <s v="00"/>
    <s v="017"/>
    <s v="14000-017"/>
    <s v="French horn production item #017"/>
    <s v="UNIQUE"/>
    <n v="0"/>
    <n v="512"/>
    <n v="6859"/>
    <n v="0"/>
    <n v="3511808"/>
  </r>
  <r>
    <x v="0"/>
    <x v="15"/>
    <x v="3"/>
    <n v="1"/>
    <n v="40"/>
    <s v="00"/>
    <s v="018"/>
    <s v="14000-018"/>
    <s v="French horn production item #018"/>
    <s v="UNIQUE"/>
    <n v="65"/>
    <n v="64"/>
    <n v="22"/>
    <n v="4160"/>
    <n v="1408"/>
  </r>
  <r>
    <x v="0"/>
    <x v="15"/>
    <x v="3"/>
    <n v="1"/>
    <n v="40"/>
    <s v="00"/>
    <s v="019"/>
    <s v="14000-019"/>
    <s v="French horn production item #019"/>
    <s v="UNIQUE"/>
    <n v="4745"/>
    <n v="8"/>
    <n v="9"/>
    <n v="37960"/>
    <n v="72"/>
  </r>
  <r>
    <x v="0"/>
    <x v="15"/>
    <x v="3"/>
    <n v="1"/>
    <n v="40"/>
    <s v="00"/>
    <s v="020"/>
    <s v="14000-020"/>
    <s v="French horn production item #020"/>
    <s v="UNIQUE"/>
    <n v="0"/>
    <n v="9"/>
    <n v="3"/>
    <n v="0"/>
    <n v="27"/>
  </r>
  <r>
    <x v="0"/>
    <x v="15"/>
    <x v="3"/>
    <n v="1"/>
    <n v="40"/>
    <s v="00"/>
    <s v="021"/>
    <s v="14000-021"/>
    <s v="French horn production item #021"/>
    <s v="UNIQUE"/>
    <n v="0"/>
    <n v="2"/>
    <n v="1"/>
    <n v="0"/>
    <n v="2"/>
  </r>
  <r>
    <x v="0"/>
    <x v="15"/>
    <x v="3"/>
    <n v="1"/>
    <n v="40"/>
    <s v="00"/>
    <s v="022"/>
    <s v="14000-022"/>
    <s v="French horn production item #022"/>
    <s v="UNIQUE"/>
    <n v="0"/>
    <n v="64"/>
    <n v="30"/>
    <n v="0"/>
    <n v="1920"/>
  </r>
  <r>
    <x v="0"/>
    <x v="15"/>
    <x v="3"/>
    <n v="1"/>
    <n v="40"/>
    <s v="00"/>
    <s v="023"/>
    <s v="14000-023"/>
    <s v="French horn production item #023"/>
    <s v="UNIQUE"/>
    <n v="0"/>
    <n v="4"/>
    <n v="4"/>
    <n v="0"/>
    <n v="16"/>
  </r>
  <r>
    <x v="0"/>
    <x v="15"/>
    <x v="3"/>
    <n v="1"/>
    <n v="40"/>
    <s v="00"/>
    <s v="024"/>
    <s v="14000-024"/>
    <s v="French horn production item #024"/>
    <s v="UNIQUE"/>
    <n v="0"/>
    <n v="3"/>
    <n v="9"/>
    <n v="0"/>
    <n v="27"/>
  </r>
  <r>
    <x v="0"/>
    <x v="15"/>
    <x v="3"/>
    <n v="1"/>
    <n v="40"/>
    <s v="00"/>
    <s v="025"/>
    <s v="14000-025"/>
    <s v="French horn production item #025"/>
    <s v="UNIQUE"/>
    <n v="0"/>
    <n v="81"/>
    <n v="12"/>
    <n v="0"/>
    <n v="972"/>
  </r>
  <r>
    <x v="0"/>
    <x v="15"/>
    <x v="3"/>
    <n v="1"/>
    <n v="40"/>
    <s v="00"/>
    <s v="026"/>
    <s v="14000-026"/>
    <s v="French horn production item #026"/>
    <s v="UNIQUE"/>
    <n v="2"/>
    <n v="100"/>
    <n v="9"/>
    <n v="200"/>
    <n v="900"/>
  </r>
  <r>
    <x v="0"/>
    <x v="15"/>
    <x v="3"/>
    <n v="1"/>
    <n v="40"/>
    <s v="00"/>
    <s v="027"/>
    <s v="14000-027"/>
    <s v="French horn production item #027"/>
    <s v="UNIQUE"/>
    <n v="0"/>
    <n v="9"/>
    <n v="10648"/>
    <n v="0"/>
    <n v="95832"/>
  </r>
  <r>
    <x v="0"/>
    <x v="15"/>
    <x v="3"/>
    <n v="1"/>
    <n v="40"/>
    <s v="00"/>
    <s v="028"/>
    <s v="14000-028"/>
    <s v="French horn production item #028"/>
    <s v="UNIQUE"/>
    <n v="8004"/>
    <n v="4"/>
    <n v="9"/>
    <n v="32016"/>
    <n v="36"/>
  </r>
  <r>
    <x v="0"/>
    <x v="15"/>
    <x v="3"/>
    <n v="1"/>
    <n v="40"/>
    <s v="00"/>
    <s v="029"/>
    <s v="14000-029"/>
    <s v="French horn production item #029"/>
    <s v="UNIQUE"/>
    <n v="3402"/>
    <n v="729"/>
    <n v="900"/>
    <n v="2480058"/>
    <n v="656100"/>
  </r>
  <r>
    <x v="0"/>
    <x v="15"/>
    <x v="3"/>
    <n v="1"/>
    <n v="40"/>
    <s v="00"/>
    <s v="030"/>
    <s v="14000-030"/>
    <s v="French horn production item #030"/>
    <s v="UNIQUE"/>
    <n v="0"/>
    <n v="125"/>
    <n v="900"/>
    <n v="0"/>
    <n v="112500"/>
  </r>
  <r>
    <x v="0"/>
    <x v="15"/>
    <x v="3"/>
    <n v="1"/>
    <n v="40"/>
    <s v="00"/>
    <s v="031"/>
    <s v="14000-031"/>
    <s v="French horn production item #031"/>
    <s v="UNIQUE"/>
    <n v="686"/>
    <n v="512"/>
    <n v="196"/>
    <n v="351232"/>
    <n v="100352"/>
  </r>
  <r>
    <x v="0"/>
    <x v="15"/>
    <x v="3"/>
    <n v="1"/>
    <n v="40"/>
    <s v="00"/>
    <s v="032"/>
    <s v="14000-032"/>
    <s v="French horn production item #032"/>
    <s v="UNIQUE"/>
    <n v="0"/>
    <n v="64"/>
    <n v="3"/>
    <n v="0"/>
    <n v="192"/>
  </r>
  <r>
    <x v="0"/>
    <x v="15"/>
    <x v="3"/>
    <n v="1"/>
    <n v="40"/>
    <s v="00"/>
    <s v="033"/>
    <s v="14000-033"/>
    <s v="French horn production item #033"/>
    <s v="UNIQUE"/>
    <n v="0"/>
    <n v="27"/>
    <n v="529"/>
    <n v="0"/>
    <n v="14283"/>
  </r>
  <r>
    <x v="0"/>
    <x v="15"/>
    <x v="3"/>
    <n v="1"/>
    <n v="40"/>
    <s v="00"/>
    <s v="034"/>
    <s v="14000-034"/>
    <s v="French horn production item #034"/>
    <s v="UNIQUE"/>
    <n v="0"/>
    <n v="25"/>
    <n v="36"/>
    <n v="0"/>
    <n v="900"/>
  </r>
  <r>
    <x v="0"/>
    <x v="15"/>
    <x v="3"/>
    <n v="1"/>
    <n v="40"/>
    <s v="00"/>
    <s v="035"/>
    <s v="14000-035"/>
    <s v="French horn production item #035"/>
    <s v="UNIQUE"/>
    <n v="8"/>
    <n v="512"/>
    <n v="11"/>
    <n v="4096"/>
    <n v="5632"/>
  </r>
  <r>
    <x v="0"/>
    <x v="15"/>
    <x v="3"/>
    <n v="1"/>
    <n v="40"/>
    <s v="00"/>
    <s v="036"/>
    <s v="14000-036"/>
    <s v="French horn production item #036"/>
    <s v="UNIQUE"/>
    <n v="4403"/>
    <n v="125"/>
    <n v="729"/>
    <n v="550375"/>
    <n v="91125"/>
  </r>
  <r>
    <x v="0"/>
    <x v="15"/>
    <x v="3"/>
    <n v="1"/>
    <n v="40"/>
    <s v="00"/>
    <s v="037"/>
    <s v="14000-037"/>
    <s v="French horn production item #037"/>
    <s v="UNIQUE"/>
    <n v="0"/>
    <n v="16"/>
    <n v="1728"/>
    <n v="0"/>
    <n v="27648"/>
  </r>
  <r>
    <x v="0"/>
    <x v="15"/>
    <x v="3"/>
    <n v="1"/>
    <n v="40"/>
    <s v="00"/>
    <s v="038"/>
    <s v="14000-038"/>
    <s v="French horn production item #038"/>
    <s v="UNIQUE"/>
    <n v="5761"/>
    <n v="7"/>
    <n v="23"/>
    <n v="40327"/>
    <n v="161"/>
  </r>
  <r>
    <x v="0"/>
    <x v="15"/>
    <x v="3"/>
    <n v="1"/>
    <n v="40"/>
    <s v="00"/>
    <s v="039"/>
    <s v="14000-039"/>
    <s v="French horn production item #039"/>
    <s v="UNIQUE"/>
    <n v="0"/>
    <n v="2"/>
    <n v="7"/>
    <n v="0"/>
    <n v="14"/>
  </r>
  <r>
    <x v="0"/>
    <x v="15"/>
    <x v="3"/>
    <n v="1"/>
    <n v="40"/>
    <s v="00"/>
    <s v="040"/>
    <s v="14000-040"/>
    <s v="French horn production item #040"/>
    <s v="UNIQUE"/>
    <n v="0"/>
    <n v="1000"/>
    <n v="22"/>
    <n v="0"/>
    <n v="22000"/>
  </r>
  <r>
    <x v="0"/>
    <x v="15"/>
    <x v="3"/>
    <n v="1"/>
    <n v="40"/>
    <s v="00"/>
    <s v="041"/>
    <s v="14000-041"/>
    <s v="French horn production item #041"/>
    <s v="UNIQUE"/>
    <n v="375"/>
    <n v="9"/>
    <n v="1"/>
    <n v="3375"/>
    <n v="9"/>
  </r>
  <r>
    <x v="0"/>
    <x v="15"/>
    <x v="3"/>
    <n v="1"/>
    <n v="40"/>
    <s v="00"/>
    <s v="042"/>
    <s v="14000-042"/>
    <s v="French horn production item #042"/>
    <s v="UNIQUE"/>
    <n v="133"/>
    <n v="4"/>
    <n v="216"/>
    <n v="532"/>
    <n v="864"/>
  </r>
  <r>
    <x v="0"/>
    <x v="15"/>
    <x v="3"/>
    <n v="1"/>
    <n v="40"/>
    <s v="00"/>
    <s v="043"/>
    <s v="14000-043"/>
    <s v="French horn production item #043"/>
    <s v="UNIQUE"/>
    <n v="1408"/>
    <n v="64"/>
    <n v="64"/>
    <n v="90112"/>
    <n v="4096"/>
  </r>
  <r>
    <x v="0"/>
    <x v="15"/>
    <x v="3"/>
    <n v="1"/>
    <n v="40"/>
    <s v="00"/>
    <s v="044"/>
    <s v="14000-044"/>
    <s v="French horn production item #044"/>
    <s v="UNIQUE"/>
    <n v="0"/>
    <n v="16"/>
    <n v="2197"/>
    <n v="0"/>
    <n v="35152"/>
  </r>
  <r>
    <x v="0"/>
    <x v="15"/>
    <x v="3"/>
    <n v="1"/>
    <n v="40"/>
    <s v="00"/>
    <s v="045"/>
    <s v="14000-045"/>
    <s v="French horn production item #045"/>
    <s v="UNIQUE"/>
    <n v="0"/>
    <n v="2"/>
    <n v="1"/>
    <n v="0"/>
    <n v="2"/>
  </r>
  <r>
    <x v="0"/>
    <x v="15"/>
    <x v="3"/>
    <n v="1"/>
    <n v="40"/>
    <s v="00"/>
    <s v="046"/>
    <s v="14000-046"/>
    <s v="French horn production item #046"/>
    <s v="UNIQUE"/>
    <n v="1"/>
    <n v="8"/>
    <n v="3"/>
    <n v="8"/>
    <n v="24"/>
  </r>
  <r>
    <x v="0"/>
    <x v="15"/>
    <x v="3"/>
    <n v="1"/>
    <n v="40"/>
    <s v="00"/>
    <s v="047"/>
    <s v="14000-047"/>
    <s v="French horn production item #047"/>
    <s v="UNIQUE"/>
    <n v="0"/>
    <n v="216"/>
    <n v="30"/>
    <n v="0"/>
    <n v="6480"/>
  </r>
  <r>
    <x v="0"/>
    <x v="15"/>
    <x v="3"/>
    <n v="1"/>
    <n v="40"/>
    <s v="00"/>
    <s v="048"/>
    <s v="14000-048"/>
    <s v="French horn production item #048"/>
    <s v="UNIQUE"/>
    <n v="0"/>
    <n v="64"/>
    <n v="10648"/>
    <n v="0"/>
    <n v="681472"/>
  </r>
  <r>
    <x v="0"/>
    <x v="15"/>
    <x v="3"/>
    <n v="1"/>
    <n v="40"/>
    <s v="00"/>
    <s v="049"/>
    <s v="14000-049"/>
    <s v="French horn production item #049"/>
    <s v="UNIQUE"/>
    <n v="8"/>
    <n v="25"/>
    <n v="216"/>
    <n v="200"/>
    <n v="5400"/>
  </r>
  <r>
    <x v="0"/>
    <x v="15"/>
    <x v="3"/>
    <n v="1"/>
    <n v="40"/>
    <s v="00"/>
    <s v="050"/>
    <s v="14000-050"/>
    <s v="French horn production item #050"/>
    <s v="UNIQUE"/>
    <n v="0"/>
    <n v="4"/>
    <n v="13824"/>
    <n v="0"/>
    <n v="55296"/>
  </r>
  <r>
    <x v="0"/>
    <x v="15"/>
    <x v="3"/>
    <n v="1"/>
    <n v="40"/>
    <s v="00"/>
    <s v="051"/>
    <s v="14000-051"/>
    <s v="French horn production item #051"/>
    <s v="UNIQUE"/>
    <n v="747"/>
    <n v="216"/>
    <n v="1"/>
    <n v="161352"/>
    <n v="216"/>
  </r>
  <r>
    <x v="0"/>
    <x v="15"/>
    <x v="3"/>
    <n v="1"/>
    <n v="40"/>
    <s v="00"/>
    <s v="052"/>
    <s v="14000-052"/>
    <s v="French horn production item #052"/>
    <s v="UNIQUE"/>
    <n v="0"/>
    <n v="1000"/>
    <n v="121"/>
    <n v="0"/>
    <n v="121000"/>
  </r>
  <r>
    <x v="0"/>
    <x v="15"/>
    <x v="3"/>
    <n v="1"/>
    <n v="40"/>
    <s v="00"/>
    <s v="053"/>
    <s v="14000-053"/>
    <s v="French horn production item #053"/>
    <s v="UNIQUE"/>
    <n v="502"/>
    <n v="6"/>
    <n v="27"/>
    <n v="3012"/>
    <n v="162"/>
  </r>
  <r>
    <x v="0"/>
    <x v="15"/>
    <x v="3"/>
    <n v="1"/>
    <n v="40"/>
    <s v="00"/>
    <s v="054"/>
    <s v="14000-054"/>
    <s v="French horn production item #054"/>
    <s v="UNIQUE"/>
    <n v="0"/>
    <n v="1"/>
    <n v="225"/>
    <n v="0"/>
    <n v="225"/>
  </r>
  <r>
    <x v="0"/>
    <x v="15"/>
    <x v="3"/>
    <n v="1"/>
    <n v="40"/>
    <s v="00"/>
    <s v="055"/>
    <s v="14000-055"/>
    <s v="French horn production item #055"/>
    <s v="UNIQUE"/>
    <n v="1"/>
    <n v="4"/>
    <n v="484"/>
    <n v="4"/>
    <n v="1936"/>
  </r>
  <r>
    <x v="0"/>
    <x v="15"/>
    <x v="3"/>
    <n v="1"/>
    <n v="40"/>
    <s v="00"/>
    <s v="056"/>
    <s v="14000-056"/>
    <s v="French horn production item #056"/>
    <s v="UNIQUE"/>
    <n v="0"/>
    <n v="2"/>
    <n v="9"/>
    <n v="0"/>
    <n v="18"/>
  </r>
  <r>
    <x v="0"/>
    <x v="15"/>
    <x v="3"/>
    <n v="1"/>
    <n v="40"/>
    <s v="00"/>
    <s v="057"/>
    <s v="14000-057"/>
    <s v="French horn production item #057"/>
    <s v="UNIQUE"/>
    <n v="3"/>
    <n v="16"/>
    <n v="0"/>
    <n v="48"/>
    <n v="0"/>
  </r>
  <r>
    <x v="0"/>
    <x v="15"/>
    <x v="3"/>
    <n v="1"/>
    <n v="40"/>
    <s v="00"/>
    <s v="058"/>
    <s v="14000-058"/>
    <s v="French horn production item #058"/>
    <s v="UNIQUE"/>
    <n v="0"/>
    <n v="8"/>
    <n v="1"/>
    <n v="0"/>
    <n v="8"/>
  </r>
  <r>
    <x v="0"/>
    <x v="15"/>
    <x v="3"/>
    <n v="1"/>
    <n v="40"/>
    <s v="00"/>
    <s v="059"/>
    <s v="14000-059"/>
    <s v="French horn production item #059"/>
    <s v="UNIQUE"/>
    <n v="0"/>
    <n v="3"/>
    <n v="25"/>
    <n v="0"/>
    <n v="75"/>
  </r>
  <r>
    <x v="0"/>
    <x v="15"/>
    <x v="3"/>
    <n v="1"/>
    <n v="40"/>
    <s v="00"/>
    <s v="060"/>
    <s v="14000-060"/>
    <s v="French horn production item #060"/>
    <s v="UNIQUE"/>
    <n v="940"/>
    <n v="512"/>
    <n v="11"/>
    <n v="481280"/>
    <n v="5632"/>
  </r>
  <r>
    <x v="0"/>
    <x v="15"/>
    <x v="3"/>
    <n v="1"/>
    <n v="40"/>
    <s v="00"/>
    <s v="061"/>
    <s v="14000-061"/>
    <s v="French horn production item #061"/>
    <s v="UNIQUE"/>
    <n v="0"/>
    <n v="2"/>
    <n v="2"/>
    <n v="0"/>
    <n v="4"/>
  </r>
  <r>
    <x v="0"/>
    <x v="15"/>
    <x v="3"/>
    <n v="1"/>
    <n v="40"/>
    <s v="00"/>
    <s v="062"/>
    <s v="14000-062"/>
    <s v="French horn production item #062"/>
    <s v="UNIQUE"/>
    <n v="0"/>
    <n v="4"/>
    <n v="6859"/>
    <n v="0"/>
    <n v="27436"/>
  </r>
  <r>
    <x v="0"/>
    <x v="15"/>
    <x v="3"/>
    <n v="1"/>
    <n v="40"/>
    <s v="00"/>
    <s v="063"/>
    <s v="14000-063"/>
    <s v="French horn production item #063"/>
    <s v="UNIQUE"/>
    <n v="0"/>
    <n v="8"/>
    <n v="784"/>
    <n v="0"/>
    <n v="6272"/>
  </r>
  <r>
    <x v="0"/>
    <x v="15"/>
    <x v="3"/>
    <n v="1"/>
    <n v="40"/>
    <s v="00"/>
    <s v="064"/>
    <s v="14000-064"/>
    <s v="French horn production item #064"/>
    <s v="UNIQUE"/>
    <n v="0"/>
    <n v="9"/>
    <n v="4913"/>
    <n v="0"/>
    <n v="44217"/>
  </r>
  <r>
    <x v="0"/>
    <x v="15"/>
    <x v="3"/>
    <n v="1"/>
    <n v="40"/>
    <s v="00"/>
    <s v="065"/>
    <s v="14000-065"/>
    <s v="French horn production item #065"/>
    <s v="UNIQUE"/>
    <n v="0"/>
    <n v="4"/>
    <n v="400"/>
    <n v="0"/>
    <n v="1600"/>
  </r>
  <r>
    <x v="0"/>
    <x v="15"/>
    <x v="3"/>
    <n v="1"/>
    <n v="40"/>
    <s v="00"/>
    <s v="066"/>
    <s v="14000-066"/>
    <s v="French horn production item #066"/>
    <s v="UNIQUE"/>
    <n v="0"/>
    <n v="25"/>
    <n v="4913"/>
    <n v="0"/>
    <n v="122825"/>
  </r>
  <r>
    <x v="0"/>
    <x v="15"/>
    <x v="3"/>
    <n v="1"/>
    <n v="40"/>
    <s v="00"/>
    <s v="067"/>
    <s v="14000-067"/>
    <s v="French horn production item #067"/>
    <s v="UNIQUE"/>
    <n v="0"/>
    <n v="9"/>
    <n v="2197"/>
    <n v="0"/>
    <n v="19773"/>
  </r>
  <r>
    <x v="0"/>
    <x v="15"/>
    <x v="3"/>
    <n v="1"/>
    <n v="40"/>
    <s v="00"/>
    <s v="068"/>
    <s v="14000-068"/>
    <s v="French horn production item #068"/>
    <s v="UNIQUE"/>
    <n v="7815"/>
    <n v="1"/>
    <n v="6"/>
    <n v="7815"/>
    <n v="6"/>
  </r>
  <r>
    <x v="0"/>
    <x v="15"/>
    <x v="3"/>
    <n v="1"/>
    <n v="40"/>
    <s v="00"/>
    <s v="069"/>
    <s v="14000-069"/>
    <s v="French horn production item #069"/>
    <s v="UNIQUE"/>
    <n v="8"/>
    <n v="1"/>
    <n v="21952"/>
    <n v="8"/>
    <n v="21952"/>
  </r>
  <r>
    <x v="0"/>
    <x v="15"/>
    <x v="3"/>
    <n v="1"/>
    <n v="40"/>
    <s v="00"/>
    <s v="070"/>
    <s v="14000-070"/>
    <s v="French horn production item #070"/>
    <s v="UNIQUE"/>
    <n v="5673"/>
    <n v="1"/>
    <n v="324"/>
    <n v="5673"/>
    <n v="324"/>
  </r>
  <r>
    <x v="0"/>
    <x v="15"/>
    <x v="3"/>
    <n v="1"/>
    <n v="40"/>
    <s v="00"/>
    <s v="071"/>
    <s v="14000-071"/>
    <s v="French horn production item #071"/>
    <s v="UNIQUE"/>
    <n v="0"/>
    <n v="16"/>
    <n v="784"/>
    <n v="0"/>
    <n v="12544"/>
  </r>
  <r>
    <x v="0"/>
    <x v="15"/>
    <x v="3"/>
    <n v="1"/>
    <n v="40"/>
    <s v="00"/>
    <s v="072"/>
    <s v="14000-072"/>
    <s v="French horn production item #072"/>
    <s v="UNIQUE"/>
    <n v="9796"/>
    <n v="1"/>
    <n v="576"/>
    <n v="9796"/>
    <n v="576"/>
  </r>
  <r>
    <x v="0"/>
    <x v="15"/>
    <x v="3"/>
    <n v="1"/>
    <n v="40"/>
    <s v="00"/>
    <s v="073"/>
    <s v="14000-073"/>
    <s v="French horn production item #073"/>
    <s v="UNIQUE"/>
    <n v="1"/>
    <n v="1"/>
    <n v="81"/>
    <n v="1"/>
    <n v="81"/>
  </r>
  <r>
    <x v="0"/>
    <x v="15"/>
    <x v="3"/>
    <n v="1"/>
    <n v="40"/>
    <s v="00"/>
    <s v="074"/>
    <s v="14000-074"/>
    <s v="French horn production item #074"/>
    <s v="UNIQUE"/>
    <n v="834"/>
    <n v="6"/>
    <n v="2"/>
    <n v="5004"/>
    <n v="12"/>
  </r>
  <r>
    <x v="0"/>
    <x v="15"/>
    <x v="3"/>
    <n v="1"/>
    <n v="40"/>
    <s v="00"/>
    <s v="075"/>
    <s v="14000-075"/>
    <s v="French horn production item #075"/>
    <s v="UNIQUE"/>
    <n v="0"/>
    <n v="64"/>
    <n v="16"/>
    <n v="0"/>
    <n v="1024"/>
  </r>
  <r>
    <x v="0"/>
    <x v="15"/>
    <x v="3"/>
    <n v="1"/>
    <n v="40"/>
    <s v="00"/>
    <s v="076"/>
    <s v="14000-076"/>
    <s v="French horn production item #076"/>
    <s v="UNIQUE"/>
    <n v="0"/>
    <n v="64"/>
    <n v="1"/>
    <n v="0"/>
    <n v="64"/>
  </r>
  <r>
    <x v="0"/>
    <x v="15"/>
    <x v="3"/>
    <n v="1"/>
    <n v="40"/>
    <s v="00"/>
    <s v="077"/>
    <s v="14000-077"/>
    <s v="French horn production item #077"/>
    <s v="UNIQUE"/>
    <n v="0"/>
    <n v="27"/>
    <n v="64"/>
    <n v="0"/>
    <n v="1728"/>
  </r>
  <r>
    <x v="0"/>
    <x v="15"/>
    <x v="3"/>
    <n v="1"/>
    <n v="40"/>
    <s v="00"/>
    <s v="078"/>
    <s v="14000-078"/>
    <s v="French horn production item #078"/>
    <s v="UNIQUE"/>
    <n v="1"/>
    <n v="27"/>
    <n v="26"/>
    <n v="27"/>
    <n v="702"/>
  </r>
  <r>
    <x v="0"/>
    <x v="15"/>
    <x v="3"/>
    <n v="1"/>
    <n v="40"/>
    <s v="00"/>
    <s v="079"/>
    <s v="14000-079"/>
    <s v="French horn production item #079"/>
    <s v="UNIQUE"/>
    <n v="481"/>
    <n v="5"/>
    <n v="1"/>
    <n v="2405"/>
    <n v="5"/>
  </r>
  <r>
    <x v="0"/>
    <x v="15"/>
    <x v="3"/>
    <n v="1"/>
    <n v="40"/>
    <s v="00"/>
    <s v="080"/>
    <s v="14000-080"/>
    <s v="French horn production item #080"/>
    <s v="UNIQUE"/>
    <n v="0"/>
    <n v="8"/>
    <n v="18"/>
    <n v="0"/>
    <n v="144"/>
  </r>
  <r>
    <x v="0"/>
    <x v="15"/>
    <x v="3"/>
    <n v="1"/>
    <n v="40"/>
    <s v="00"/>
    <s v="081"/>
    <s v="14000-081"/>
    <s v="French horn production item #081"/>
    <s v="UNIQUE"/>
    <n v="0"/>
    <n v="64"/>
    <n v="11"/>
    <n v="0"/>
    <n v="704"/>
  </r>
  <r>
    <x v="0"/>
    <x v="15"/>
    <x v="3"/>
    <n v="1"/>
    <n v="40"/>
    <s v="00"/>
    <s v="082"/>
    <s v="14000-082"/>
    <s v="French horn production item #082"/>
    <s v="UNIQUE"/>
    <n v="0"/>
    <n v="1000"/>
    <n v="9"/>
    <n v="0"/>
    <n v="9000"/>
  </r>
  <r>
    <x v="0"/>
    <x v="15"/>
    <x v="3"/>
    <n v="1"/>
    <n v="40"/>
    <s v="00"/>
    <s v="083"/>
    <s v="14000-083"/>
    <s v="French horn production item #083"/>
    <s v="UNIQUE"/>
    <n v="0"/>
    <n v="36"/>
    <n v="25"/>
    <n v="0"/>
    <n v="900"/>
  </r>
  <r>
    <x v="0"/>
    <x v="15"/>
    <x v="3"/>
    <n v="1"/>
    <n v="40"/>
    <s v="00"/>
    <s v="084"/>
    <s v="14000-084"/>
    <s v="French horn production item #084"/>
    <s v="UNIQUE"/>
    <n v="4206"/>
    <n v="49"/>
    <n v="2"/>
    <n v="206094"/>
    <n v="98"/>
  </r>
  <r>
    <x v="0"/>
    <x v="15"/>
    <x v="3"/>
    <n v="1"/>
    <n v="40"/>
    <s v="00"/>
    <s v="085"/>
    <s v="14000-085"/>
    <s v="French horn production item #085"/>
    <s v="UNIQUE"/>
    <n v="9"/>
    <n v="49"/>
    <n v="900"/>
    <n v="441"/>
    <n v="44100"/>
  </r>
  <r>
    <x v="0"/>
    <x v="15"/>
    <x v="3"/>
    <n v="1"/>
    <n v="40"/>
    <s v="00"/>
    <s v="086"/>
    <s v="14000-086"/>
    <s v="French horn production item #086"/>
    <s v="UNIQUE"/>
    <n v="0"/>
    <n v="3"/>
    <n v="6859"/>
    <n v="0"/>
    <n v="20577"/>
  </r>
  <r>
    <x v="0"/>
    <x v="15"/>
    <x v="3"/>
    <n v="1"/>
    <n v="40"/>
    <s v="00"/>
    <s v="087"/>
    <s v="14000-087"/>
    <s v="French horn production item #087"/>
    <s v="UNIQUE"/>
    <n v="2"/>
    <n v="3"/>
    <n v="20"/>
    <n v="6"/>
    <n v="60"/>
  </r>
  <r>
    <x v="0"/>
    <x v="15"/>
    <x v="3"/>
    <n v="1"/>
    <n v="40"/>
    <s v="00"/>
    <s v="088"/>
    <s v="14000-088"/>
    <s v="French horn production item #088"/>
    <s v="UNIQUE"/>
    <n v="3569"/>
    <n v="1"/>
    <n v="9"/>
    <n v="3569"/>
    <n v="9"/>
  </r>
  <r>
    <x v="0"/>
    <x v="15"/>
    <x v="3"/>
    <n v="1"/>
    <n v="40"/>
    <s v="00"/>
    <s v="089"/>
    <s v="14000-089"/>
    <s v="French horn production item #089"/>
    <s v="UNIQUE"/>
    <n v="7750"/>
    <n v="9"/>
    <n v="15"/>
    <n v="69750"/>
    <n v="135"/>
  </r>
  <r>
    <x v="0"/>
    <x v="15"/>
    <x v="3"/>
    <n v="1"/>
    <n v="40"/>
    <s v="00"/>
    <s v="090"/>
    <s v="14000-090"/>
    <s v="French horn production item #090"/>
    <s v="UNIQUE"/>
    <n v="7"/>
    <n v="1000"/>
    <n v="1"/>
    <n v="7000"/>
    <n v="1000"/>
  </r>
  <r>
    <x v="0"/>
    <x v="15"/>
    <x v="3"/>
    <n v="1"/>
    <n v="40"/>
    <s v="00"/>
    <s v="091"/>
    <s v="14000-091"/>
    <s v="French horn production item #091"/>
    <s v="UNIQUE"/>
    <n v="9"/>
    <n v="8"/>
    <n v="14"/>
    <n v="72"/>
    <n v="112"/>
  </r>
  <r>
    <x v="0"/>
    <x v="15"/>
    <x v="3"/>
    <n v="1"/>
    <n v="40"/>
    <s v="00"/>
    <s v="092"/>
    <s v="14000-092"/>
    <s v="French horn production item #092"/>
    <s v="UNIQUE"/>
    <n v="933"/>
    <n v="2"/>
    <n v="64"/>
    <n v="1866"/>
    <n v="128"/>
  </r>
  <r>
    <x v="0"/>
    <x v="15"/>
    <x v="3"/>
    <n v="1"/>
    <n v="40"/>
    <s v="00"/>
    <s v="093"/>
    <s v="14000-093"/>
    <s v="French horn production item #093"/>
    <s v="UNIQUE"/>
    <n v="0"/>
    <n v="9"/>
    <n v="14"/>
    <n v="0"/>
    <n v="126"/>
  </r>
  <r>
    <x v="0"/>
    <x v="15"/>
    <x v="3"/>
    <n v="1"/>
    <n v="40"/>
    <s v="00"/>
    <s v="094"/>
    <s v="14000-094"/>
    <s v="French horn production item #094"/>
    <s v="UNIQUE"/>
    <n v="1"/>
    <n v="4"/>
    <n v="2744"/>
    <n v="4"/>
    <n v="10976"/>
  </r>
  <r>
    <x v="0"/>
    <x v="15"/>
    <x v="3"/>
    <n v="1"/>
    <n v="40"/>
    <s v="00"/>
    <s v="095"/>
    <s v="14000-095"/>
    <s v="French horn production item #095"/>
    <s v="UNIQUE"/>
    <n v="9"/>
    <n v="1000"/>
    <n v="3375"/>
    <n v="9000"/>
    <n v="3375000"/>
  </r>
  <r>
    <x v="0"/>
    <x v="15"/>
    <x v="3"/>
    <n v="1"/>
    <n v="40"/>
    <s v="00"/>
    <s v="096"/>
    <s v="14000-096"/>
    <s v="French horn production item #096"/>
    <s v="UNIQUE"/>
    <n v="0"/>
    <n v="8"/>
    <n v="343"/>
    <n v="0"/>
    <n v="2744"/>
  </r>
  <r>
    <x v="0"/>
    <x v="15"/>
    <x v="3"/>
    <n v="1"/>
    <n v="40"/>
    <s v="00"/>
    <s v="097"/>
    <s v="14000-097"/>
    <s v="French horn production item #097"/>
    <s v="UNIQUE"/>
    <n v="0"/>
    <n v="1000"/>
    <n v="125"/>
    <n v="0"/>
    <n v="125000"/>
  </r>
  <r>
    <x v="0"/>
    <x v="15"/>
    <x v="3"/>
    <n v="1"/>
    <n v="40"/>
    <s v="00"/>
    <s v="098"/>
    <s v="14000-098"/>
    <s v="French horn production item #098"/>
    <s v="UNIQUE"/>
    <n v="492"/>
    <n v="16"/>
    <n v="784"/>
    <n v="7872"/>
    <n v="12544"/>
  </r>
  <r>
    <x v="0"/>
    <x v="15"/>
    <x v="3"/>
    <n v="1"/>
    <n v="40"/>
    <s v="00"/>
    <s v="099"/>
    <s v="14000-099"/>
    <s v="French horn production item #099"/>
    <s v="UNIQUE"/>
    <n v="9410"/>
    <n v="1"/>
    <n v="729"/>
    <n v="9410"/>
    <n v="729"/>
  </r>
  <r>
    <x v="0"/>
    <x v="15"/>
    <x v="3"/>
    <n v="1"/>
    <n v="40"/>
    <s v="00"/>
    <s v="100"/>
    <s v="14000-100"/>
    <s v="French horn production item #100"/>
    <s v="UNIQUE"/>
    <n v="16"/>
    <n v="5"/>
    <n v="1331"/>
    <n v="80"/>
    <n v="6655"/>
  </r>
  <r>
    <x v="0"/>
    <x v="15"/>
    <x v="3"/>
    <n v="1"/>
    <n v="40"/>
    <s v="00"/>
    <s v="101"/>
    <s v="14000-101"/>
    <s v="French horn production item #101"/>
    <s v="UNIQUE"/>
    <n v="0"/>
    <n v="81"/>
    <n v="841"/>
    <n v="0"/>
    <n v="68121"/>
  </r>
  <r>
    <x v="0"/>
    <x v="15"/>
    <x v="3"/>
    <n v="1"/>
    <n v="40"/>
    <s v="00"/>
    <s v="102"/>
    <s v="14000-102"/>
    <s v="French horn production item #102"/>
    <s v="UNIQUE"/>
    <n v="7"/>
    <n v="64"/>
    <n v="2744"/>
    <n v="448"/>
    <n v="175616"/>
  </r>
  <r>
    <x v="0"/>
    <x v="15"/>
    <x v="3"/>
    <n v="1"/>
    <n v="40"/>
    <s v="00"/>
    <s v="103"/>
    <s v="14000-103"/>
    <s v="French horn production item #103"/>
    <s v="UNIQUE"/>
    <n v="0"/>
    <n v="64"/>
    <n v="1"/>
    <n v="0"/>
    <n v="64"/>
  </r>
  <r>
    <x v="0"/>
    <x v="15"/>
    <x v="3"/>
    <n v="1"/>
    <n v="40"/>
    <s v="00"/>
    <s v="104"/>
    <s v="14000-104"/>
    <s v="French horn production item #104"/>
    <s v="UNIQUE"/>
    <n v="0"/>
    <n v="1"/>
    <n v="7"/>
    <n v="0"/>
    <n v="7"/>
  </r>
  <r>
    <x v="0"/>
    <x v="15"/>
    <x v="3"/>
    <n v="1"/>
    <n v="40"/>
    <s v="00"/>
    <s v="105"/>
    <s v="14000-105"/>
    <s v="French horn production item #105"/>
    <s v="UNIQUE"/>
    <n v="0"/>
    <n v="1"/>
    <n v="512"/>
    <n v="0"/>
    <n v="512"/>
  </r>
  <r>
    <x v="0"/>
    <x v="15"/>
    <x v="3"/>
    <n v="1"/>
    <n v="40"/>
    <s v="00"/>
    <s v="106"/>
    <s v="14000-106"/>
    <s v="French horn production item #106"/>
    <s v="UNIQUE"/>
    <n v="3815"/>
    <n v="1000"/>
    <n v="27"/>
    <n v="3815000"/>
    <n v="27000"/>
  </r>
  <r>
    <x v="0"/>
    <x v="15"/>
    <x v="3"/>
    <n v="1"/>
    <n v="40"/>
    <s v="00"/>
    <s v="107"/>
    <s v="14000-107"/>
    <s v="French horn production item #107"/>
    <s v="UNIQUE"/>
    <n v="0"/>
    <n v="64"/>
    <n v="5832"/>
    <n v="0"/>
    <n v="373248"/>
  </r>
  <r>
    <x v="0"/>
    <x v="15"/>
    <x v="3"/>
    <n v="1"/>
    <n v="40"/>
    <s v="00"/>
    <s v="108"/>
    <s v="14000-108"/>
    <s v="French horn production item #108"/>
    <s v="UNIQUE"/>
    <n v="0"/>
    <n v="1"/>
    <n v="100"/>
    <n v="0"/>
    <n v="100"/>
  </r>
  <r>
    <x v="0"/>
    <x v="15"/>
    <x v="3"/>
    <n v="1"/>
    <n v="40"/>
    <s v="00"/>
    <s v="109"/>
    <s v="14000-109"/>
    <s v="French horn production item #109"/>
    <s v="UNIQUE"/>
    <n v="9056"/>
    <n v="1"/>
    <n v="125"/>
    <n v="9056"/>
    <n v="125"/>
  </r>
  <r>
    <x v="0"/>
    <x v="15"/>
    <x v="3"/>
    <n v="1"/>
    <n v="40"/>
    <s v="00"/>
    <s v="110"/>
    <s v="14000-110"/>
    <s v="French horn production item #110"/>
    <s v="UNIQUE"/>
    <n v="0"/>
    <n v="8"/>
    <n v="18"/>
    <n v="0"/>
    <n v="144"/>
  </r>
  <r>
    <x v="0"/>
    <x v="15"/>
    <x v="3"/>
    <n v="1"/>
    <n v="40"/>
    <s v="00"/>
    <s v="111"/>
    <s v="14000-111"/>
    <s v="French horn production item #111"/>
    <s v="UNIQUE"/>
    <n v="19"/>
    <n v="1"/>
    <n v="10"/>
    <n v="19"/>
    <n v="10"/>
  </r>
  <r>
    <x v="0"/>
    <x v="15"/>
    <x v="3"/>
    <n v="1"/>
    <n v="40"/>
    <s v="00"/>
    <s v="112"/>
    <s v="14000-112"/>
    <s v="French horn production item #112"/>
    <s v="UNIQUE"/>
    <n v="0"/>
    <n v="9"/>
    <n v="25"/>
    <n v="0"/>
    <n v="225"/>
  </r>
  <r>
    <x v="0"/>
    <x v="15"/>
    <x v="3"/>
    <n v="1"/>
    <n v="40"/>
    <s v="00"/>
    <s v="113"/>
    <s v="14000-113"/>
    <s v="French horn production item #113"/>
    <s v="UNIQUE"/>
    <n v="747"/>
    <n v="10"/>
    <n v="529"/>
    <n v="7470"/>
    <n v="5290"/>
  </r>
  <r>
    <x v="0"/>
    <x v="15"/>
    <x v="3"/>
    <n v="1"/>
    <n v="40"/>
    <s v="00"/>
    <s v="114"/>
    <s v="14000-114"/>
    <s v="French horn production item #114"/>
    <s v="UNIQUE"/>
    <n v="887"/>
    <n v="5"/>
    <n v="729"/>
    <n v="4435"/>
    <n v="3645"/>
  </r>
  <r>
    <x v="0"/>
    <x v="15"/>
    <x v="3"/>
    <n v="1"/>
    <n v="40"/>
    <s v="00"/>
    <s v="115"/>
    <s v="14000-115"/>
    <s v="French horn production item #115"/>
    <s v="UNIQUE"/>
    <n v="56"/>
    <n v="8"/>
    <n v="400"/>
    <n v="448"/>
    <n v="3200"/>
  </r>
  <r>
    <x v="0"/>
    <x v="15"/>
    <x v="3"/>
    <n v="1"/>
    <n v="40"/>
    <s v="00"/>
    <s v="116"/>
    <s v="14000-116"/>
    <s v="French horn production item #116"/>
    <s v="UNIQUE"/>
    <n v="796"/>
    <n v="36"/>
    <n v="121"/>
    <n v="28656"/>
    <n v="4356"/>
  </r>
  <r>
    <x v="0"/>
    <x v="15"/>
    <x v="3"/>
    <n v="1"/>
    <n v="40"/>
    <s v="00"/>
    <s v="117"/>
    <s v="14000-117"/>
    <s v="French horn production item #117"/>
    <s v="UNIQUE"/>
    <n v="3732"/>
    <n v="27"/>
    <n v="676"/>
    <n v="100764"/>
    <n v="18252"/>
  </r>
  <r>
    <x v="0"/>
    <x v="15"/>
    <x v="3"/>
    <n v="1"/>
    <n v="40"/>
    <s v="00"/>
    <s v="118"/>
    <s v="14000-118"/>
    <s v="French horn production item #118"/>
    <s v="UNIQUE"/>
    <n v="89"/>
    <n v="6"/>
    <n v="28"/>
    <n v="534"/>
    <n v="168"/>
  </r>
  <r>
    <x v="0"/>
    <x v="15"/>
    <x v="3"/>
    <n v="1"/>
    <n v="40"/>
    <s v="00"/>
    <s v="119"/>
    <s v="14000-119"/>
    <s v="French horn production item #119"/>
    <s v="UNIQUE"/>
    <n v="6"/>
    <n v="125"/>
    <n v="19683"/>
    <n v="750"/>
    <n v="2460375"/>
  </r>
  <r>
    <x v="0"/>
    <x v="15"/>
    <x v="3"/>
    <n v="1"/>
    <n v="40"/>
    <s v="00"/>
    <s v="120"/>
    <s v="14000-120"/>
    <s v="French horn production item #120"/>
    <s v="UNIQUE"/>
    <n v="0"/>
    <n v="16"/>
    <n v="216"/>
    <n v="0"/>
    <n v="3456"/>
  </r>
  <r>
    <x v="0"/>
    <x v="15"/>
    <x v="3"/>
    <n v="1"/>
    <n v="40"/>
    <s v="00"/>
    <s v="121"/>
    <s v="14000-121"/>
    <s v="French horn production item #121"/>
    <s v="UNIQUE"/>
    <n v="0"/>
    <n v="5"/>
    <n v="6"/>
    <n v="0"/>
    <n v="30"/>
  </r>
  <r>
    <x v="0"/>
    <x v="15"/>
    <x v="3"/>
    <n v="1"/>
    <n v="40"/>
    <s v="00"/>
    <s v="122"/>
    <s v="14000-122"/>
    <s v="French horn production item #122"/>
    <s v="UNIQUE"/>
    <n v="3843"/>
    <n v="1"/>
    <n v="22"/>
    <n v="3843"/>
    <n v="22"/>
  </r>
  <r>
    <x v="0"/>
    <x v="15"/>
    <x v="3"/>
    <n v="1"/>
    <n v="40"/>
    <s v="00"/>
    <s v="123"/>
    <s v="14000-123"/>
    <s v="French horn production item #123"/>
    <s v="UNIQUE"/>
    <n v="0"/>
    <n v="4"/>
    <n v="6859"/>
    <n v="0"/>
    <n v="27436"/>
  </r>
  <r>
    <x v="0"/>
    <x v="15"/>
    <x v="3"/>
    <n v="1"/>
    <n v="40"/>
    <s v="00"/>
    <s v="124"/>
    <s v="14000-124"/>
    <s v="French horn production item #124"/>
    <s v="UNIQUE"/>
    <n v="701"/>
    <n v="9"/>
    <n v="144"/>
    <n v="6309"/>
    <n v="1296"/>
  </r>
  <r>
    <x v="0"/>
    <x v="15"/>
    <x v="3"/>
    <n v="1"/>
    <n v="40"/>
    <s v="00"/>
    <s v="125"/>
    <s v="14000-125"/>
    <s v="French horn production item #125"/>
    <s v="UNIQUE"/>
    <n v="9909"/>
    <n v="512"/>
    <n v="841"/>
    <n v="5073408"/>
    <n v="430592"/>
  </r>
  <r>
    <x v="0"/>
    <x v="15"/>
    <x v="3"/>
    <n v="1"/>
    <n v="40"/>
    <s v="00"/>
    <s v="126"/>
    <s v="14000-126"/>
    <s v="French horn production item #126"/>
    <s v="UNIQUE"/>
    <n v="68"/>
    <n v="1000"/>
    <n v="5"/>
    <n v="68000"/>
    <n v="5000"/>
  </r>
  <r>
    <x v="0"/>
    <x v="15"/>
    <x v="3"/>
    <n v="1"/>
    <n v="40"/>
    <s v="00"/>
    <s v="127"/>
    <s v="14000-127"/>
    <s v="French horn production item #127"/>
    <s v="UNIQUE"/>
    <n v="0"/>
    <n v="9"/>
    <n v="28"/>
    <n v="0"/>
    <n v="252"/>
  </r>
  <r>
    <x v="0"/>
    <x v="15"/>
    <x v="3"/>
    <n v="1"/>
    <n v="40"/>
    <s v="00"/>
    <s v="128"/>
    <s v="14000-128"/>
    <s v="French horn production item #128"/>
    <s v="UNIQUE"/>
    <n v="0"/>
    <n v="1"/>
    <n v="1331"/>
    <n v="0"/>
    <n v="1331"/>
  </r>
  <r>
    <x v="0"/>
    <x v="15"/>
    <x v="3"/>
    <n v="1"/>
    <n v="40"/>
    <s v="00"/>
    <s v="129"/>
    <s v="14000-129"/>
    <s v="French horn production item #129"/>
    <s v="UNIQUE"/>
    <n v="6"/>
    <n v="1000"/>
    <n v="9"/>
    <n v="6000"/>
    <n v="9000"/>
  </r>
  <r>
    <x v="0"/>
    <x v="15"/>
    <x v="3"/>
    <n v="1"/>
    <n v="40"/>
    <s v="00"/>
    <s v="130"/>
    <s v="14000-130"/>
    <s v="French horn production item #130"/>
    <s v="UNIQUE"/>
    <n v="4973"/>
    <n v="125"/>
    <n v="30"/>
    <n v="621625"/>
    <n v="3750"/>
  </r>
  <r>
    <x v="0"/>
    <x v="15"/>
    <x v="3"/>
    <n v="1"/>
    <n v="40"/>
    <s v="00"/>
    <s v="131"/>
    <s v="14000-131"/>
    <s v="French horn production item #131"/>
    <s v="UNIQUE"/>
    <n v="0"/>
    <n v="100"/>
    <n v="4096"/>
    <n v="0"/>
    <n v="409600"/>
  </r>
  <r>
    <x v="0"/>
    <x v="15"/>
    <x v="3"/>
    <n v="1"/>
    <n v="40"/>
    <s v="00"/>
    <s v="132"/>
    <s v="14000-132"/>
    <s v="French horn production item #132"/>
    <s v="UNIQUE"/>
    <n v="0"/>
    <n v="3"/>
    <n v="256"/>
    <n v="0"/>
    <n v="768"/>
  </r>
  <r>
    <x v="0"/>
    <x v="15"/>
    <x v="3"/>
    <n v="1"/>
    <n v="40"/>
    <s v="00"/>
    <s v="133"/>
    <s v="14000-133"/>
    <s v="French horn production item #133"/>
    <s v="UNIQUE"/>
    <n v="0"/>
    <n v="36"/>
    <n v="3"/>
    <n v="0"/>
    <n v="108"/>
  </r>
  <r>
    <x v="0"/>
    <x v="15"/>
    <x v="3"/>
    <n v="1"/>
    <n v="40"/>
    <s v="00"/>
    <s v="134"/>
    <s v="14000-134"/>
    <s v="French horn production item #134"/>
    <s v="UNIQUE"/>
    <n v="0"/>
    <n v="8"/>
    <n v="13"/>
    <n v="0"/>
    <n v="104"/>
  </r>
  <r>
    <x v="0"/>
    <x v="15"/>
    <x v="3"/>
    <n v="1"/>
    <n v="40"/>
    <s v="00"/>
    <s v="135"/>
    <s v="14000-135"/>
    <s v="French horn production item #135"/>
    <s v="UNIQUE"/>
    <n v="0"/>
    <n v="2"/>
    <n v="169"/>
    <n v="0"/>
    <n v="338"/>
  </r>
  <r>
    <x v="0"/>
    <x v="15"/>
    <x v="3"/>
    <n v="1"/>
    <n v="40"/>
    <s v="00"/>
    <s v="136"/>
    <s v="14000-136"/>
    <s v="French horn production item #136"/>
    <s v="UNIQUE"/>
    <n v="94"/>
    <n v="9"/>
    <n v="1331"/>
    <n v="846"/>
    <n v="11979"/>
  </r>
  <r>
    <x v="0"/>
    <x v="15"/>
    <x v="3"/>
    <n v="1"/>
    <n v="40"/>
    <s v="00"/>
    <s v="137"/>
    <s v="14000-137"/>
    <s v="French horn production item #137"/>
    <s v="UNIQUE"/>
    <n v="1"/>
    <n v="6"/>
    <n v="16"/>
    <n v="6"/>
    <n v="96"/>
  </r>
  <r>
    <x v="0"/>
    <x v="15"/>
    <x v="3"/>
    <n v="1"/>
    <n v="40"/>
    <s v="00"/>
    <s v="138"/>
    <s v="14000-138"/>
    <s v="French horn production item #138"/>
    <s v="UNIQUE"/>
    <n v="0"/>
    <n v="125"/>
    <n v="784"/>
    <n v="0"/>
    <n v="98000"/>
  </r>
  <r>
    <x v="0"/>
    <x v="15"/>
    <x v="3"/>
    <n v="1"/>
    <n v="40"/>
    <s v="00"/>
    <s v="139"/>
    <s v="14000-139"/>
    <s v="French horn production item #139"/>
    <s v="UNIQUE"/>
    <n v="0"/>
    <n v="7"/>
    <n v="21952"/>
    <n v="0"/>
    <n v="153664"/>
  </r>
  <r>
    <x v="0"/>
    <x v="15"/>
    <x v="3"/>
    <n v="1"/>
    <n v="40"/>
    <s v="00"/>
    <s v="140"/>
    <s v="14000-140"/>
    <s v="French horn production item #140"/>
    <s v="UNIQUE"/>
    <n v="0"/>
    <n v="343"/>
    <n v="81"/>
    <n v="0"/>
    <n v="27783"/>
  </r>
  <r>
    <x v="0"/>
    <x v="15"/>
    <x v="3"/>
    <n v="1"/>
    <n v="40"/>
    <s v="00"/>
    <s v="141"/>
    <s v="14000-141"/>
    <s v="French horn production item #141"/>
    <s v="UNIQUE"/>
    <n v="24"/>
    <n v="125"/>
    <n v="64"/>
    <n v="3000"/>
    <n v="8000"/>
  </r>
  <r>
    <x v="0"/>
    <x v="15"/>
    <x v="3"/>
    <n v="1"/>
    <n v="40"/>
    <s v="00"/>
    <s v="142"/>
    <s v="14000-142"/>
    <s v="French horn production item #142"/>
    <s v="UNIQUE"/>
    <n v="806"/>
    <n v="36"/>
    <n v="225"/>
    <n v="29016"/>
    <n v="8100"/>
  </r>
  <r>
    <x v="0"/>
    <x v="15"/>
    <x v="3"/>
    <n v="1"/>
    <n v="40"/>
    <s v="00"/>
    <s v="143"/>
    <s v="14000-143"/>
    <s v="French horn production item #143"/>
    <s v="UNIQUE"/>
    <n v="0"/>
    <n v="4"/>
    <n v="49"/>
    <n v="0"/>
    <n v="196"/>
  </r>
  <r>
    <x v="0"/>
    <x v="15"/>
    <x v="3"/>
    <n v="1"/>
    <n v="40"/>
    <s v="00"/>
    <s v="144"/>
    <s v="14000-144"/>
    <s v="French horn production item #144"/>
    <s v="UNIQUE"/>
    <n v="1077"/>
    <n v="2"/>
    <n v="169"/>
    <n v="2154"/>
    <n v="338"/>
  </r>
  <r>
    <x v="0"/>
    <x v="15"/>
    <x v="3"/>
    <n v="1"/>
    <n v="40"/>
    <s v="00"/>
    <s v="145"/>
    <s v="14000-145"/>
    <s v="French horn production item #145"/>
    <s v="UNIQUE"/>
    <n v="2"/>
    <n v="512"/>
    <n v="22"/>
    <n v="1024"/>
    <n v="11264"/>
  </r>
  <r>
    <x v="0"/>
    <x v="15"/>
    <x v="3"/>
    <n v="1"/>
    <n v="40"/>
    <s v="00"/>
    <s v="146"/>
    <s v="14000-146"/>
    <s v="French horn production item #146"/>
    <s v="UNIQUE"/>
    <n v="0"/>
    <n v="1"/>
    <n v="15625"/>
    <n v="0"/>
    <n v="15625"/>
  </r>
  <r>
    <x v="0"/>
    <x v="15"/>
    <x v="3"/>
    <n v="1"/>
    <n v="40"/>
    <s v="00"/>
    <s v="147"/>
    <s v="14000-147"/>
    <s v="French horn production item #147"/>
    <s v="UNIQUE"/>
    <n v="0"/>
    <n v="1"/>
    <n v="225"/>
    <n v="0"/>
    <n v="225"/>
  </r>
  <r>
    <x v="0"/>
    <x v="15"/>
    <x v="3"/>
    <n v="1"/>
    <n v="40"/>
    <s v="00"/>
    <s v="148"/>
    <s v="14000-148"/>
    <s v="French horn production item #148"/>
    <s v="UNIQUE"/>
    <n v="65"/>
    <n v="49"/>
    <n v="25"/>
    <n v="3185"/>
    <n v="1225"/>
  </r>
  <r>
    <x v="0"/>
    <x v="15"/>
    <x v="3"/>
    <n v="1"/>
    <n v="40"/>
    <s v="00"/>
    <s v="149"/>
    <s v="14000-149"/>
    <s v="French horn production item #149"/>
    <s v="UNIQUE"/>
    <n v="0"/>
    <n v="8"/>
    <n v="441"/>
    <n v="0"/>
    <n v="3528"/>
  </r>
  <r>
    <x v="0"/>
    <x v="15"/>
    <x v="3"/>
    <n v="1"/>
    <n v="40"/>
    <s v="00"/>
    <s v="150"/>
    <s v="14000-150"/>
    <s v="French horn production item #150"/>
    <s v="UNIQUE"/>
    <n v="10"/>
    <n v="4"/>
    <n v="1000"/>
    <n v="40"/>
    <n v="4000"/>
  </r>
  <r>
    <x v="0"/>
    <x v="15"/>
    <x v="3"/>
    <n v="1"/>
    <n v="40"/>
    <s v="00"/>
    <s v="151"/>
    <s v="14000-151"/>
    <s v="French horn production item #151"/>
    <s v="UNIQUE"/>
    <n v="9143"/>
    <n v="216"/>
    <n v="0"/>
    <n v="1974888"/>
    <n v="0"/>
  </r>
  <r>
    <x v="0"/>
    <x v="15"/>
    <x v="3"/>
    <n v="1"/>
    <n v="40"/>
    <s v="00"/>
    <s v="152"/>
    <s v="14000-152"/>
    <s v="French horn production item #152"/>
    <s v="UNIQUE"/>
    <n v="0"/>
    <n v="100"/>
    <n v="27000"/>
    <n v="0"/>
    <n v="2700000"/>
  </r>
  <r>
    <x v="0"/>
    <x v="15"/>
    <x v="3"/>
    <n v="1"/>
    <n v="40"/>
    <s v="00"/>
    <s v="153"/>
    <s v="14000-153"/>
    <s v="French horn production item #153"/>
    <s v="UNIQUE"/>
    <n v="0"/>
    <n v="9"/>
    <n v="784"/>
    <n v="0"/>
    <n v="7056"/>
  </r>
  <r>
    <x v="0"/>
    <x v="15"/>
    <x v="3"/>
    <n v="1"/>
    <n v="40"/>
    <s v="00"/>
    <s v="154"/>
    <s v="14000-154"/>
    <s v="French horn production item #154"/>
    <s v="UNIQUE"/>
    <n v="0"/>
    <n v="7"/>
    <n v="1"/>
    <n v="0"/>
    <n v="7"/>
  </r>
  <r>
    <x v="0"/>
    <x v="15"/>
    <x v="3"/>
    <n v="1"/>
    <n v="40"/>
    <s v="00"/>
    <s v="155"/>
    <s v="14000-155"/>
    <s v="French horn production item #155"/>
    <s v="UNIQUE"/>
    <n v="0"/>
    <n v="7"/>
    <n v="24389"/>
    <n v="0"/>
    <n v="170723"/>
  </r>
  <r>
    <x v="0"/>
    <x v="15"/>
    <x v="3"/>
    <n v="1"/>
    <n v="40"/>
    <s v="00"/>
    <s v="156"/>
    <s v="14000-156"/>
    <s v="French horn production item #156"/>
    <s v="UNIQUE"/>
    <n v="0"/>
    <n v="64"/>
    <n v="5832"/>
    <n v="0"/>
    <n v="373248"/>
  </r>
  <r>
    <x v="0"/>
    <x v="15"/>
    <x v="3"/>
    <n v="1"/>
    <n v="40"/>
    <s v="00"/>
    <s v="157"/>
    <s v="14000-157"/>
    <s v="French horn production item #157"/>
    <s v="UNIQUE"/>
    <n v="5854"/>
    <n v="343"/>
    <n v="8"/>
    <n v="2007922"/>
    <n v="2744"/>
  </r>
  <r>
    <x v="0"/>
    <x v="15"/>
    <x v="3"/>
    <n v="1"/>
    <n v="40"/>
    <s v="00"/>
    <s v="158"/>
    <s v="14000-158"/>
    <s v="French horn production item #158"/>
    <s v="UNIQUE"/>
    <n v="26"/>
    <n v="36"/>
    <n v="0"/>
    <n v="936"/>
    <n v="0"/>
  </r>
  <r>
    <x v="0"/>
    <x v="15"/>
    <x v="3"/>
    <n v="1"/>
    <n v="40"/>
    <s v="00"/>
    <s v="159"/>
    <s v="14000-159"/>
    <s v="French horn production item #159"/>
    <s v="UNIQUE"/>
    <n v="0"/>
    <n v="16"/>
    <n v="256"/>
    <n v="0"/>
    <n v="4096"/>
  </r>
  <r>
    <x v="0"/>
    <x v="15"/>
    <x v="3"/>
    <n v="1"/>
    <n v="40"/>
    <s v="00"/>
    <s v="160"/>
    <s v="14000-160"/>
    <s v="French horn production item #160"/>
    <s v="UNIQUE"/>
    <n v="0"/>
    <n v="3"/>
    <n v="18"/>
    <n v="0"/>
    <n v="54"/>
  </r>
  <r>
    <x v="0"/>
    <x v="15"/>
    <x v="3"/>
    <n v="1"/>
    <n v="40"/>
    <s v="00"/>
    <s v="161"/>
    <s v="14000-161"/>
    <s v="French horn production item #161"/>
    <s v="UNIQUE"/>
    <n v="54"/>
    <n v="1"/>
    <n v="81"/>
    <n v="54"/>
    <n v="81"/>
  </r>
  <r>
    <x v="0"/>
    <x v="15"/>
    <x v="3"/>
    <n v="1"/>
    <n v="40"/>
    <s v="00"/>
    <s v="162"/>
    <s v="14000-162"/>
    <s v="French horn production item #162"/>
    <s v="UNIQUE"/>
    <n v="4083"/>
    <n v="100"/>
    <n v="289"/>
    <n v="408300"/>
    <n v="28900"/>
  </r>
  <r>
    <x v="0"/>
    <x v="15"/>
    <x v="3"/>
    <n v="1"/>
    <n v="40"/>
    <s v="00"/>
    <s v="163"/>
    <s v="14000-163"/>
    <s v="French horn production item #163"/>
    <s v="UNIQUE"/>
    <n v="0"/>
    <n v="9"/>
    <n v="4913"/>
    <n v="0"/>
    <n v="44217"/>
  </r>
  <r>
    <x v="0"/>
    <x v="15"/>
    <x v="3"/>
    <n v="1"/>
    <n v="40"/>
    <s v="00"/>
    <s v="164"/>
    <s v="14000-164"/>
    <s v="French horn production item #164"/>
    <s v="UNIQUE"/>
    <n v="363"/>
    <n v="1"/>
    <n v="4"/>
    <n v="363"/>
    <n v="4"/>
  </r>
  <r>
    <x v="0"/>
    <x v="15"/>
    <x v="3"/>
    <n v="1"/>
    <n v="40"/>
    <s v="00"/>
    <s v="165"/>
    <s v="14000-165"/>
    <s v="French horn production item #165"/>
    <s v="UNIQUE"/>
    <n v="4707"/>
    <n v="6"/>
    <n v="27"/>
    <n v="28242"/>
    <n v="162"/>
  </r>
  <r>
    <x v="0"/>
    <x v="15"/>
    <x v="3"/>
    <n v="1"/>
    <n v="40"/>
    <s v="00"/>
    <s v="166"/>
    <s v="14000-166"/>
    <s v="French horn production item #166"/>
    <s v="UNIQUE"/>
    <n v="7958"/>
    <n v="1000"/>
    <n v="2"/>
    <n v="7958000"/>
    <n v="2000"/>
  </r>
  <r>
    <x v="0"/>
    <x v="15"/>
    <x v="3"/>
    <n v="1"/>
    <n v="40"/>
    <s v="00"/>
    <s v="167"/>
    <s v="14000-167"/>
    <s v="French horn production item #167"/>
    <s v="UNIQUE"/>
    <n v="6"/>
    <n v="8"/>
    <n v="25"/>
    <n v="48"/>
    <n v="200"/>
  </r>
  <r>
    <x v="0"/>
    <x v="15"/>
    <x v="3"/>
    <n v="1"/>
    <n v="40"/>
    <s v="00"/>
    <s v="168"/>
    <s v="14000-168"/>
    <s v="French horn production item #168"/>
    <s v="UNIQUE"/>
    <n v="0"/>
    <n v="64"/>
    <n v="1728"/>
    <n v="0"/>
    <n v="110592"/>
  </r>
  <r>
    <x v="0"/>
    <x v="15"/>
    <x v="3"/>
    <n v="1"/>
    <n v="40"/>
    <s v="00"/>
    <s v="169"/>
    <s v="14000-169"/>
    <s v="French horn production item #169"/>
    <s v="UNIQUE"/>
    <n v="0"/>
    <n v="343"/>
    <n v="26"/>
    <n v="0"/>
    <n v="8918"/>
  </r>
  <r>
    <x v="0"/>
    <x v="15"/>
    <x v="3"/>
    <n v="1"/>
    <n v="40"/>
    <s v="00"/>
    <s v="170"/>
    <s v="14000-170"/>
    <s v="French horn production item #170"/>
    <s v="UNIQUE"/>
    <n v="0"/>
    <n v="16"/>
    <n v="30"/>
    <n v="0"/>
    <n v="480"/>
  </r>
  <r>
    <x v="0"/>
    <x v="15"/>
    <x v="3"/>
    <n v="1"/>
    <n v="40"/>
    <s v="00"/>
    <s v="171"/>
    <s v="14000-171"/>
    <s v="French horn production item #171"/>
    <s v="UNIQUE"/>
    <n v="0"/>
    <n v="36"/>
    <n v="0"/>
    <n v="0"/>
    <n v="0"/>
  </r>
  <r>
    <x v="0"/>
    <x v="15"/>
    <x v="3"/>
    <n v="1"/>
    <n v="40"/>
    <s v="00"/>
    <s v="172"/>
    <s v="14000-172"/>
    <s v="French horn production item #172"/>
    <s v="UNIQUE"/>
    <n v="0"/>
    <n v="512"/>
    <n v="19683"/>
    <n v="0"/>
    <n v="10077696"/>
  </r>
  <r>
    <x v="0"/>
    <x v="15"/>
    <x v="3"/>
    <n v="1"/>
    <n v="40"/>
    <s v="00"/>
    <s v="173"/>
    <s v="14000-173"/>
    <s v="French horn production item #173"/>
    <s v="UNIQUE"/>
    <n v="487"/>
    <n v="16"/>
    <n v="9"/>
    <n v="7792"/>
    <n v="144"/>
  </r>
  <r>
    <x v="0"/>
    <x v="15"/>
    <x v="3"/>
    <n v="1"/>
    <n v="40"/>
    <s v="00"/>
    <s v="174"/>
    <s v="14000-174"/>
    <s v="French horn production item #174"/>
    <s v="UNIQUE"/>
    <n v="0"/>
    <n v="8"/>
    <n v="676"/>
    <n v="0"/>
    <n v="5408"/>
  </r>
  <r>
    <x v="0"/>
    <x v="15"/>
    <x v="3"/>
    <n v="1"/>
    <n v="40"/>
    <s v="00"/>
    <s v="175"/>
    <s v="14000-175"/>
    <s v="French horn production item #175"/>
    <s v="UNIQUE"/>
    <n v="2189"/>
    <n v="10"/>
    <n v="441"/>
    <n v="21890"/>
    <n v="4410"/>
  </r>
  <r>
    <x v="0"/>
    <x v="15"/>
    <x v="3"/>
    <n v="1"/>
    <n v="40"/>
    <s v="00"/>
    <s v="176"/>
    <s v="14000-176"/>
    <s v="French horn production item #176"/>
    <s v="UNIQUE"/>
    <n v="5644"/>
    <n v="81"/>
    <n v="256"/>
    <n v="457164"/>
    <n v="20736"/>
  </r>
  <r>
    <x v="0"/>
    <x v="15"/>
    <x v="3"/>
    <n v="1"/>
    <n v="40"/>
    <s v="00"/>
    <s v="177"/>
    <s v="14000-177"/>
    <s v="French horn production item #177"/>
    <s v="UNIQUE"/>
    <n v="96"/>
    <n v="9"/>
    <n v="10648"/>
    <n v="864"/>
    <n v="95832"/>
  </r>
  <r>
    <x v="0"/>
    <x v="15"/>
    <x v="3"/>
    <n v="1"/>
    <n v="40"/>
    <s v="00"/>
    <s v="178"/>
    <s v="14000-178"/>
    <s v="French horn production item #178"/>
    <s v="UNIQUE"/>
    <n v="0"/>
    <n v="49"/>
    <n v="22"/>
    <n v="0"/>
    <n v="1078"/>
  </r>
  <r>
    <x v="0"/>
    <x v="15"/>
    <x v="3"/>
    <n v="1"/>
    <n v="40"/>
    <s v="00"/>
    <s v="179"/>
    <s v="14000-179"/>
    <s v="French horn production item #179"/>
    <s v="UNIQUE"/>
    <n v="8"/>
    <n v="1"/>
    <n v="27000"/>
    <n v="8"/>
    <n v="27000"/>
  </r>
  <r>
    <x v="0"/>
    <x v="15"/>
    <x v="3"/>
    <n v="1"/>
    <n v="40"/>
    <s v="00"/>
    <s v="180"/>
    <s v="14000-180"/>
    <s v="French horn production item #180"/>
    <s v="UNIQUE"/>
    <n v="931"/>
    <n v="125"/>
    <n v="5832"/>
    <n v="116375"/>
    <n v="729000"/>
  </r>
  <r>
    <x v="0"/>
    <x v="15"/>
    <x v="3"/>
    <n v="1"/>
    <n v="40"/>
    <s v="00"/>
    <s v="181"/>
    <s v="14000-181"/>
    <s v="French horn production item #181"/>
    <s v="UNIQUE"/>
    <n v="0"/>
    <n v="81"/>
    <n v="9"/>
    <n v="0"/>
    <n v="729"/>
  </r>
  <r>
    <x v="0"/>
    <x v="15"/>
    <x v="3"/>
    <n v="1"/>
    <n v="40"/>
    <s v="00"/>
    <s v="182"/>
    <s v="14000-182"/>
    <s v="French horn production item #182"/>
    <s v="UNIQUE"/>
    <n v="91"/>
    <n v="49"/>
    <n v="4096"/>
    <n v="4459"/>
    <n v="200704"/>
  </r>
  <r>
    <x v="0"/>
    <x v="15"/>
    <x v="3"/>
    <n v="1"/>
    <n v="40"/>
    <s v="00"/>
    <s v="183"/>
    <s v="14000-183"/>
    <s v="French horn production item #183"/>
    <s v="UNIQUE"/>
    <n v="708"/>
    <n v="7"/>
    <n v="6"/>
    <n v="4956"/>
    <n v="42"/>
  </r>
  <r>
    <x v="0"/>
    <x v="15"/>
    <x v="3"/>
    <n v="1"/>
    <n v="40"/>
    <s v="00"/>
    <s v="184"/>
    <s v="14000-184"/>
    <s v="French horn production item #184"/>
    <s v="UNIQUE"/>
    <n v="423"/>
    <n v="5"/>
    <n v="676"/>
    <n v="2115"/>
    <n v="3380"/>
  </r>
  <r>
    <x v="0"/>
    <x v="15"/>
    <x v="3"/>
    <n v="1"/>
    <n v="40"/>
    <s v="00"/>
    <s v="185"/>
    <s v="14000-185"/>
    <s v="French horn production item #185"/>
    <s v="UNIQUE"/>
    <n v="0"/>
    <n v="81"/>
    <n v="8000"/>
    <n v="0"/>
    <n v="648000"/>
  </r>
  <r>
    <x v="0"/>
    <x v="15"/>
    <x v="3"/>
    <n v="1"/>
    <n v="40"/>
    <s v="00"/>
    <s v="186"/>
    <s v="14000-186"/>
    <s v="French horn production item #186"/>
    <s v="UNIQUE"/>
    <n v="62"/>
    <n v="343"/>
    <n v="20"/>
    <n v="21266"/>
    <n v="6860"/>
  </r>
  <r>
    <x v="0"/>
    <x v="15"/>
    <x v="3"/>
    <n v="1"/>
    <n v="40"/>
    <s v="00"/>
    <s v="187"/>
    <s v="14000-187"/>
    <s v="French horn production item #187"/>
    <s v="UNIQUE"/>
    <n v="3"/>
    <n v="10"/>
    <n v="30"/>
    <n v="30"/>
    <n v="300"/>
  </r>
  <r>
    <x v="0"/>
    <x v="15"/>
    <x v="3"/>
    <n v="1"/>
    <n v="40"/>
    <s v="00"/>
    <s v="188"/>
    <s v="14000-188"/>
    <s v="French horn production item #188"/>
    <s v="UNIQUE"/>
    <n v="0"/>
    <n v="64"/>
    <n v="6859"/>
    <n v="0"/>
    <n v="438976"/>
  </r>
  <r>
    <x v="0"/>
    <x v="15"/>
    <x v="3"/>
    <n v="1"/>
    <n v="40"/>
    <s v="00"/>
    <s v="189"/>
    <s v="14000-189"/>
    <s v="French horn production item #189"/>
    <s v="UNIQUE"/>
    <n v="0"/>
    <n v="49"/>
    <n v="64"/>
    <n v="0"/>
    <n v="3136"/>
  </r>
  <r>
    <x v="0"/>
    <x v="15"/>
    <x v="3"/>
    <n v="1"/>
    <n v="40"/>
    <s v="00"/>
    <s v="190"/>
    <s v="14000-190"/>
    <s v="French horn production item #190"/>
    <s v="UNIQUE"/>
    <n v="0"/>
    <n v="125"/>
    <n v="26"/>
    <n v="0"/>
    <n v="3250"/>
  </r>
  <r>
    <x v="0"/>
    <x v="15"/>
    <x v="3"/>
    <n v="1"/>
    <n v="40"/>
    <s v="00"/>
    <s v="191"/>
    <s v="14000-191"/>
    <s v="French horn production item #191"/>
    <s v="UNIQUE"/>
    <n v="0"/>
    <n v="64"/>
    <n v="900"/>
    <n v="0"/>
    <n v="57600"/>
  </r>
  <r>
    <x v="0"/>
    <x v="15"/>
    <x v="3"/>
    <n v="1"/>
    <n v="40"/>
    <s v="00"/>
    <s v="192"/>
    <s v="14000-192"/>
    <s v="French horn production item #192"/>
    <s v="UNIQUE"/>
    <n v="0"/>
    <n v="343"/>
    <n v="2744"/>
    <n v="0"/>
    <n v="941192"/>
  </r>
  <r>
    <x v="0"/>
    <x v="15"/>
    <x v="3"/>
    <n v="1"/>
    <n v="40"/>
    <s v="00"/>
    <s v="193"/>
    <s v="14000-193"/>
    <s v="French horn production item #193"/>
    <s v="UNIQUE"/>
    <n v="7"/>
    <n v="25"/>
    <n v="16"/>
    <n v="175"/>
    <n v="400"/>
  </r>
  <r>
    <x v="0"/>
    <x v="15"/>
    <x v="3"/>
    <n v="1"/>
    <n v="40"/>
    <s v="00"/>
    <s v="194"/>
    <s v="14000-194"/>
    <s v="French horn production item #194"/>
    <s v="UNIQUE"/>
    <n v="739"/>
    <n v="3"/>
    <n v="4"/>
    <n v="2217"/>
    <n v="12"/>
  </r>
  <r>
    <x v="0"/>
    <x v="15"/>
    <x v="3"/>
    <n v="1"/>
    <n v="40"/>
    <s v="00"/>
    <s v="195"/>
    <s v="14000-195"/>
    <s v="French horn production item #195"/>
    <s v="UNIQUE"/>
    <n v="1"/>
    <n v="100"/>
    <n v="18"/>
    <n v="100"/>
    <n v="1800"/>
  </r>
  <r>
    <x v="0"/>
    <x v="15"/>
    <x v="3"/>
    <n v="1"/>
    <n v="40"/>
    <s v="00"/>
    <s v="196"/>
    <s v="14000-196"/>
    <s v="French horn production item #196"/>
    <s v="UNIQUE"/>
    <n v="5"/>
    <n v="25"/>
    <n v="19"/>
    <n v="125"/>
    <n v="475"/>
  </r>
  <r>
    <x v="0"/>
    <x v="15"/>
    <x v="3"/>
    <n v="1"/>
    <n v="40"/>
    <s v="00"/>
    <s v="197"/>
    <s v="14000-197"/>
    <s v="French horn production item #197"/>
    <s v="UNIQUE"/>
    <n v="0"/>
    <n v="3"/>
    <n v="24"/>
    <n v="0"/>
    <n v="72"/>
  </r>
  <r>
    <x v="0"/>
    <x v="15"/>
    <x v="3"/>
    <n v="1"/>
    <n v="40"/>
    <s v="00"/>
    <s v="198"/>
    <s v="14000-198"/>
    <s v="French horn production item #198"/>
    <s v="UNIQUE"/>
    <n v="6"/>
    <n v="100"/>
    <n v="19"/>
    <n v="600"/>
    <n v="1900"/>
  </r>
  <r>
    <x v="0"/>
    <x v="15"/>
    <x v="3"/>
    <n v="1"/>
    <n v="40"/>
    <s v="00"/>
    <s v="199"/>
    <s v="14000-199"/>
    <s v="French horn production item #199"/>
    <s v="UNIQUE"/>
    <n v="0"/>
    <n v="4"/>
    <n v="22"/>
    <n v="0"/>
    <n v="88"/>
  </r>
  <r>
    <x v="0"/>
    <x v="16"/>
    <x v="3"/>
    <n v="1"/>
    <n v="41"/>
    <s v="00"/>
    <s v="000"/>
    <s v="14100-000"/>
    <s v="Trumpet production item #000"/>
    <s v="UNIQUE"/>
    <n v="0"/>
    <n v="216"/>
    <n v="49"/>
    <n v="0"/>
    <n v="10584"/>
  </r>
  <r>
    <x v="0"/>
    <x v="16"/>
    <x v="3"/>
    <n v="1"/>
    <n v="41"/>
    <s v="00"/>
    <s v="001"/>
    <s v="14100-001"/>
    <s v="Trumpet production item #001"/>
    <s v="UNIQUE"/>
    <n v="0"/>
    <n v="64"/>
    <n v="19683"/>
    <n v="0"/>
    <n v="1259712"/>
  </r>
  <r>
    <x v="0"/>
    <x v="16"/>
    <x v="3"/>
    <n v="1"/>
    <n v="41"/>
    <s v="00"/>
    <s v="002"/>
    <s v="14100-002"/>
    <s v="Trumpet production item #002"/>
    <s v="UNIQUE"/>
    <n v="0"/>
    <n v="729"/>
    <n v="2197"/>
    <n v="0"/>
    <n v="1601613"/>
  </r>
  <r>
    <x v="0"/>
    <x v="16"/>
    <x v="3"/>
    <n v="1"/>
    <n v="41"/>
    <s v="00"/>
    <s v="003"/>
    <s v="14100-003"/>
    <s v="Trumpet production item #003"/>
    <s v="UNIQUE"/>
    <n v="0"/>
    <n v="1"/>
    <n v="900"/>
    <n v="0"/>
    <n v="900"/>
  </r>
  <r>
    <x v="0"/>
    <x v="16"/>
    <x v="3"/>
    <n v="1"/>
    <n v="41"/>
    <s v="00"/>
    <s v="004"/>
    <s v="14100-004"/>
    <s v="Trumpet production item #004"/>
    <s v="UNIQUE"/>
    <n v="0"/>
    <n v="7"/>
    <n v="8"/>
    <n v="0"/>
    <n v="56"/>
  </r>
  <r>
    <x v="0"/>
    <x v="16"/>
    <x v="3"/>
    <n v="1"/>
    <n v="41"/>
    <s v="00"/>
    <s v="005"/>
    <s v="14100-005"/>
    <s v="Trumpet production item #005"/>
    <s v="UNIQUE"/>
    <n v="510"/>
    <n v="9"/>
    <n v="5832"/>
    <n v="4590"/>
    <n v="52488"/>
  </r>
  <r>
    <x v="0"/>
    <x v="16"/>
    <x v="3"/>
    <n v="1"/>
    <n v="41"/>
    <s v="00"/>
    <s v="006"/>
    <s v="14100-006"/>
    <s v="Trumpet production item #006"/>
    <s v="UNIQUE"/>
    <n v="0"/>
    <n v="1"/>
    <n v="125"/>
    <n v="0"/>
    <n v="125"/>
  </r>
  <r>
    <x v="0"/>
    <x v="16"/>
    <x v="3"/>
    <n v="1"/>
    <n v="41"/>
    <s v="00"/>
    <s v="007"/>
    <s v="14100-007"/>
    <s v="Trumpet production item #007"/>
    <s v="UNIQUE"/>
    <n v="3"/>
    <n v="4"/>
    <n v="64"/>
    <n v="12"/>
    <n v="256"/>
  </r>
  <r>
    <x v="0"/>
    <x v="16"/>
    <x v="3"/>
    <n v="1"/>
    <n v="41"/>
    <s v="00"/>
    <s v="008"/>
    <s v="14100-008"/>
    <s v="Trumpet production item #008"/>
    <s v="UNIQUE"/>
    <n v="0"/>
    <n v="6"/>
    <n v="3"/>
    <n v="0"/>
    <n v="18"/>
  </r>
  <r>
    <x v="0"/>
    <x v="16"/>
    <x v="3"/>
    <n v="1"/>
    <n v="41"/>
    <s v="00"/>
    <s v="009"/>
    <s v="14100-009"/>
    <s v="Trumpet production item #009"/>
    <s v="UNIQUE"/>
    <n v="0"/>
    <n v="64"/>
    <n v="17"/>
    <n v="0"/>
    <n v="1088"/>
  </r>
  <r>
    <x v="0"/>
    <x v="16"/>
    <x v="3"/>
    <n v="1"/>
    <n v="41"/>
    <s v="00"/>
    <s v="010"/>
    <s v="14100-010"/>
    <s v="Trumpet production item #010"/>
    <s v="UNIQUE"/>
    <n v="0"/>
    <n v="100"/>
    <n v="6859"/>
    <n v="0"/>
    <n v="685900"/>
  </r>
  <r>
    <x v="0"/>
    <x v="16"/>
    <x v="3"/>
    <n v="1"/>
    <n v="41"/>
    <s v="00"/>
    <s v="011"/>
    <s v="14100-011"/>
    <s v="Trumpet production item #011"/>
    <s v="UNIQUE"/>
    <n v="8300"/>
    <n v="49"/>
    <n v="9261"/>
    <n v="406700"/>
    <n v="453789"/>
  </r>
  <r>
    <x v="0"/>
    <x v="16"/>
    <x v="3"/>
    <n v="1"/>
    <n v="41"/>
    <s v="00"/>
    <s v="012"/>
    <s v="14100-012"/>
    <s v="Trumpet production item #012"/>
    <s v="UNIQUE"/>
    <n v="4044"/>
    <n v="27"/>
    <n v="49"/>
    <n v="109188"/>
    <n v="1323"/>
  </r>
  <r>
    <x v="0"/>
    <x v="16"/>
    <x v="3"/>
    <n v="1"/>
    <n v="41"/>
    <s v="00"/>
    <s v="013"/>
    <s v="14100-013"/>
    <s v="Trumpet production item #013"/>
    <s v="UNIQUE"/>
    <n v="0"/>
    <n v="9"/>
    <n v="19683"/>
    <n v="0"/>
    <n v="177147"/>
  </r>
  <r>
    <x v="0"/>
    <x v="16"/>
    <x v="3"/>
    <n v="1"/>
    <n v="41"/>
    <s v="00"/>
    <s v="014"/>
    <s v="14100-014"/>
    <s v="Trumpet production item #014"/>
    <s v="UNIQUE"/>
    <n v="0"/>
    <n v="1"/>
    <n v="81"/>
    <n v="0"/>
    <n v="81"/>
  </r>
  <r>
    <x v="0"/>
    <x v="16"/>
    <x v="3"/>
    <n v="1"/>
    <n v="41"/>
    <s v="00"/>
    <s v="015"/>
    <s v="14100-015"/>
    <s v="Trumpet production item #015"/>
    <s v="UNIQUE"/>
    <n v="4727"/>
    <n v="9"/>
    <n v="361"/>
    <n v="42543"/>
    <n v="3249"/>
  </r>
  <r>
    <x v="0"/>
    <x v="16"/>
    <x v="3"/>
    <n v="1"/>
    <n v="41"/>
    <s v="00"/>
    <s v="016"/>
    <s v="14100-016"/>
    <s v="Trumpet production item #016"/>
    <s v="UNIQUE"/>
    <n v="0"/>
    <n v="125"/>
    <n v="9261"/>
    <n v="0"/>
    <n v="1157625"/>
  </r>
  <r>
    <x v="0"/>
    <x v="16"/>
    <x v="3"/>
    <n v="1"/>
    <n v="41"/>
    <s v="00"/>
    <s v="017"/>
    <s v="14100-017"/>
    <s v="Trumpet production item #017"/>
    <s v="UNIQUE"/>
    <n v="658"/>
    <n v="100"/>
    <n v="23"/>
    <n v="65800"/>
    <n v="2300"/>
  </r>
  <r>
    <x v="0"/>
    <x v="16"/>
    <x v="3"/>
    <n v="1"/>
    <n v="41"/>
    <s v="00"/>
    <s v="018"/>
    <s v="14100-018"/>
    <s v="Trumpet production item #018"/>
    <s v="UNIQUE"/>
    <n v="898"/>
    <n v="3"/>
    <n v="27"/>
    <n v="2694"/>
    <n v="81"/>
  </r>
  <r>
    <x v="0"/>
    <x v="16"/>
    <x v="3"/>
    <n v="1"/>
    <n v="41"/>
    <s v="00"/>
    <s v="019"/>
    <s v="14100-019"/>
    <s v="Trumpet production item #019"/>
    <s v="UNIQUE"/>
    <n v="0"/>
    <n v="9"/>
    <n v="100"/>
    <n v="0"/>
    <n v="900"/>
  </r>
  <r>
    <x v="0"/>
    <x v="16"/>
    <x v="3"/>
    <n v="1"/>
    <n v="41"/>
    <s v="00"/>
    <s v="020"/>
    <s v="14100-020"/>
    <s v="Trumpet production item #020"/>
    <s v="UNIQUE"/>
    <n v="14"/>
    <n v="64"/>
    <n v="25"/>
    <n v="896"/>
    <n v="1600"/>
  </r>
  <r>
    <x v="0"/>
    <x v="16"/>
    <x v="3"/>
    <n v="1"/>
    <n v="41"/>
    <s v="00"/>
    <s v="021"/>
    <s v="14100-021"/>
    <s v="Trumpet production item #021"/>
    <s v="UNIQUE"/>
    <n v="0"/>
    <n v="512"/>
    <n v="900"/>
    <n v="0"/>
    <n v="460800"/>
  </r>
  <r>
    <x v="0"/>
    <x v="16"/>
    <x v="3"/>
    <n v="1"/>
    <n v="41"/>
    <s v="00"/>
    <s v="022"/>
    <s v="14100-022"/>
    <s v="Trumpet production item #022"/>
    <s v="UNIQUE"/>
    <n v="2"/>
    <n v="9"/>
    <n v="1"/>
    <n v="18"/>
    <n v="9"/>
  </r>
  <r>
    <x v="0"/>
    <x v="16"/>
    <x v="3"/>
    <n v="1"/>
    <n v="41"/>
    <s v="00"/>
    <s v="023"/>
    <s v="14100-023"/>
    <s v="Trumpet production item #023"/>
    <s v="UNIQUE"/>
    <n v="0"/>
    <n v="1"/>
    <n v="121"/>
    <n v="0"/>
    <n v="121"/>
  </r>
  <r>
    <x v="0"/>
    <x v="16"/>
    <x v="3"/>
    <n v="1"/>
    <n v="41"/>
    <s v="00"/>
    <s v="024"/>
    <s v="14100-024"/>
    <s v="Trumpet production item #024"/>
    <s v="UNIQUE"/>
    <n v="1"/>
    <n v="6"/>
    <n v="3375"/>
    <n v="6"/>
    <n v="20250"/>
  </r>
  <r>
    <x v="0"/>
    <x v="16"/>
    <x v="3"/>
    <n v="1"/>
    <n v="41"/>
    <s v="00"/>
    <s v="025"/>
    <s v="14100-025"/>
    <s v="Trumpet production item #025"/>
    <s v="UNIQUE"/>
    <n v="0"/>
    <n v="10"/>
    <n v="16"/>
    <n v="0"/>
    <n v="160"/>
  </r>
  <r>
    <x v="0"/>
    <x v="16"/>
    <x v="3"/>
    <n v="1"/>
    <n v="41"/>
    <s v="00"/>
    <s v="026"/>
    <s v="14100-026"/>
    <s v="Trumpet production item #026"/>
    <s v="UNIQUE"/>
    <n v="0"/>
    <n v="100"/>
    <n v="2197"/>
    <n v="0"/>
    <n v="219700"/>
  </r>
  <r>
    <x v="0"/>
    <x v="16"/>
    <x v="3"/>
    <n v="1"/>
    <n v="41"/>
    <s v="00"/>
    <s v="027"/>
    <s v="14100-027"/>
    <s v="Trumpet production item #027"/>
    <s v="UNIQUE"/>
    <n v="0"/>
    <n v="25"/>
    <n v="20"/>
    <n v="0"/>
    <n v="500"/>
  </r>
  <r>
    <x v="0"/>
    <x v="16"/>
    <x v="3"/>
    <n v="1"/>
    <n v="41"/>
    <s v="00"/>
    <s v="028"/>
    <s v="14100-028"/>
    <s v="Trumpet production item #028"/>
    <s v="UNIQUE"/>
    <n v="0"/>
    <n v="81"/>
    <n v="512"/>
    <n v="0"/>
    <n v="41472"/>
  </r>
  <r>
    <x v="0"/>
    <x v="16"/>
    <x v="3"/>
    <n v="1"/>
    <n v="41"/>
    <s v="00"/>
    <s v="029"/>
    <s v="14100-029"/>
    <s v="Trumpet production item #029"/>
    <s v="UNIQUE"/>
    <n v="0"/>
    <n v="343"/>
    <n v="9"/>
    <n v="0"/>
    <n v="3087"/>
  </r>
  <r>
    <x v="0"/>
    <x v="16"/>
    <x v="3"/>
    <n v="1"/>
    <n v="41"/>
    <s v="00"/>
    <s v="030"/>
    <s v="14100-030"/>
    <s v="Trumpet production item #030"/>
    <s v="UNIQUE"/>
    <n v="60"/>
    <n v="25"/>
    <n v="324"/>
    <n v="1500"/>
    <n v="8100"/>
  </r>
  <r>
    <x v="0"/>
    <x v="16"/>
    <x v="3"/>
    <n v="1"/>
    <n v="41"/>
    <s v="00"/>
    <s v="031"/>
    <s v="14100-031"/>
    <s v="Trumpet production item #031"/>
    <s v="UNIQUE"/>
    <n v="26"/>
    <n v="8"/>
    <n v="216"/>
    <n v="208"/>
    <n v="1728"/>
  </r>
  <r>
    <x v="0"/>
    <x v="16"/>
    <x v="3"/>
    <n v="1"/>
    <n v="41"/>
    <s v="00"/>
    <s v="032"/>
    <s v="14100-032"/>
    <s v="Trumpet production item #032"/>
    <s v="UNIQUE"/>
    <n v="44"/>
    <n v="8"/>
    <n v="13"/>
    <n v="352"/>
    <n v="104"/>
  </r>
  <r>
    <x v="0"/>
    <x v="16"/>
    <x v="3"/>
    <n v="1"/>
    <n v="41"/>
    <s v="00"/>
    <s v="033"/>
    <s v="14100-033"/>
    <s v="Trumpet production item #033"/>
    <s v="UNIQUE"/>
    <n v="0"/>
    <n v="10"/>
    <n v="13824"/>
    <n v="0"/>
    <n v="138240"/>
  </r>
  <r>
    <x v="0"/>
    <x v="16"/>
    <x v="3"/>
    <n v="1"/>
    <n v="41"/>
    <s v="00"/>
    <s v="034"/>
    <s v="14100-034"/>
    <s v="Trumpet production item #034"/>
    <s v="UNIQUE"/>
    <n v="0"/>
    <n v="9"/>
    <n v="576"/>
    <n v="0"/>
    <n v="5184"/>
  </r>
  <r>
    <x v="0"/>
    <x v="16"/>
    <x v="3"/>
    <n v="1"/>
    <n v="41"/>
    <s v="00"/>
    <s v="035"/>
    <s v="14100-035"/>
    <s v="Trumpet production item #035"/>
    <s v="UNIQUE"/>
    <n v="0"/>
    <n v="36"/>
    <n v="512"/>
    <n v="0"/>
    <n v="18432"/>
  </r>
  <r>
    <x v="0"/>
    <x v="16"/>
    <x v="3"/>
    <n v="1"/>
    <n v="41"/>
    <s v="00"/>
    <s v="036"/>
    <s v="14100-036"/>
    <s v="Trumpet production item #036"/>
    <s v="UNIQUE"/>
    <n v="4"/>
    <n v="729"/>
    <n v="8000"/>
    <n v="2916"/>
    <n v="5832000"/>
  </r>
  <r>
    <x v="0"/>
    <x v="16"/>
    <x v="3"/>
    <n v="1"/>
    <n v="41"/>
    <s v="00"/>
    <s v="037"/>
    <s v="14100-037"/>
    <s v="Trumpet production item #037"/>
    <s v="UNIQUE"/>
    <n v="1"/>
    <n v="5"/>
    <n v="22"/>
    <n v="5"/>
    <n v="110"/>
  </r>
  <r>
    <x v="0"/>
    <x v="16"/>
    <x v="3"/>
    <n v="1"/>
    <n v="41"/>
    <s v="00"/>
    <s v="038"/>
    <s v="14100-038"/>
    <s v="Trumpet production item #038"/>
    <s v="UNIQUE"/>
    <n v="444"/>
    <n v="4"/>
    <n v="729"/>
    <n v="1776"/>
    <n v="2916"/>
  </r>
  <r>
    <x v="0"/>
    <x v="16"/>
    <x v="3"/>
    <n v="1"/>
    <n v="41"/>
    <s v="00"/>
    <s v="039"/>
    <s v="14100-039"/>
    <s v="Trumpet production item #039"/>
    <s v="UNIQUE"/>
    <n v="0"/>
    <n v="64"/>
    <n v="0"/>
    <n v="0"/>
    <n v="0"/>
  </r>
  <r>
    <x v="0"/>
    <x v="16"/>
    <x v="3"/>
    <n v="1"/>
    <n v="41"/>
    <s v="00"/>
    <s v="040"/>
    <s v="14100-040"/>
    <s v="Trumpet production item #040"/>
    <s v="UNIQUE"/>
    <n v="0"/>
    <n v="4"/>
    <n v="11"/>
    <n v="0"/>
    <n v="44"/>
  </r>
  <r>
    <x v="0"/>
    <x v="16"/>
    <x v="3"/>
    <n v="1"/>
    <n v="41"/>
    <s v="00"/>
    <s v="041"/>
    <s v="14100-041"/>
    <s v="Trumpet production item #041"/>
    <s v="UNIQUE"/>
    <n v="0"/>
    <n v="36"/>
    <n v="3"/>
    <n v="0"/>
    <n v="108"/>
  </r>
  <r>
    <x v="0"/>
    <x v="16"/>
    <x v="3"/>
    <n v="1"/>
    <n v="41"/>
    <s v="00"/>
    <s v="042"/>
    <s v="14100-042"/>
    <s v="Trumpet production item #042"/>
    <s v="UNIQUE"/>
    <n v="0"/>
    <n v="2"/>
    <n v="14"/>
    <n v="0"/>
    <n v="28"/>
  </r>
  <r>
    <x v="0"/>
    <x v="16"/>
    <x v="3"/>
    <n v="1"/>
    <n v="41"/>
    <s v="00"/>
    <s v="043"/>
    <s v="14100-043"/>
    <s v="Trumpet production item #043"/>
    <s v="UNIQUE"/>
    <n v="8304"/>
    <n v="125"/>
    <n v="17576"/>
    <n v="1038000"/>
    <n v="2197000"/>
  </r>
  <r>
    <x v="0"/>
    <x v="16"/>
    <x v="3"/>
    <n v="1"/>
    <n v="41"/>
    <s v="00"/>
    <s v="044"/>
    <s v="14100-044"/>
    <s v="Trumpet production item #044"/>
    <s v="UNIQUE"/>
    <n v="0"/>
    <n v="64"/>
    <n v="49"/>
    <n v="0"/>
    <n v="3136"/>
  </r>
  <r>
    <x v="0"/>
    <x v="16"/>
    <x v="3"/>
    <n v="1"/>
    <n v="41"/>
    <s v="00"/>
    <s v="045"/>
    <s v="14100-045"/>
    <s v="Trumpet production item #045"/>
    <s v="UNIQUE"/>
    <n v="88"/>
    <n v="6"/>
    <n v="3"/>
    <n v="528"/>
    <n v="18"/>
  </r>
  <r>
    <x v="0"/>
    <x v="16"/>
    <x v="3"/>
    <n v="1"/>
    <n v="41"/>
    <s v="00"/>
    <s v="046"/>
    <s v="14100-046"/>
    <s v="Trumpet production item #046"/>
    <s v="UNIQUE"/>
    <n v="0"/>
    <n v="16"/>
    <n v="17"/>
    <n v="0"/>
    <n v="272"/>
  </r>
  <r>
    <x v="0"/>
    <x v="16"/>
    <x v="3"/>
    <n v="1"/>
    <n v="41"/>
    <s v="00"/>
    <s v="047"/>
    <s v="14100-047"/>
    <s v="Trumpet production item #047"/>
    <s v="UNIQUE"/>
    <n v="1"/>
    <n v="81"/>
    <n v="28"/>
    <n v="81"/>
    <n v="2268"/>
  </r>
  <r>
    <x v="0"/>
    <x v="16"/>
    <x v="3"/>
    <n v="1"/>
    <n v="41"/>
    <s v="00"/>
    <s v="048"/>
    <s v="14100-048"/>
    <s v="Trumpet production item #048"/>
    <s v="UNIQUE"/>
    <n v="0"/>
    <n v="8"/>
    <n v="576"/>
    <n v="0"/>
    <n v="4608"/>
  </r>
  <r>
    <x v="0"/>
    <x v="16"/>
    <x v="3"/>
    <n v="1"/>
    <n v="41"/>
    <s v="00"/>
    <s v="049"/>
    <s v="14100-049"/>
    <s v="Trumpet production item #049"/>
    <s v="UNIQUE"/>
    <n v="2620"/>
    <n v="1000"/>
    <n v="225"/>
    <n v="2620000"/>
    <n v="225000"/>
  </r>
  <r>
    <x v="0"/>
    <x v="17"/>
    <x v="3"/>
    <n v="1"/>
    <n v="42"/>
    <s v="00"/>
    <s v="000"/>
    <s v="14200-000"/>
    <s v="Trombone production item #000"/>
    <s v="UNIQUE"/>
    <n v="2"/>
    <n v="100"/>
    <n v="14"/>
    <n v="200"/>
    <n v="1400"/>
  </r>
  <r>
    <x v="0"/>
    <x v="17"/>
    <x v="3"/>
    <n v="1"/>
    <n v="42"/>
    <s v="00"/>
    <s v="001"/>
    <s v="14200-001"/>
    <s v="Trombone production item #001"/>
    <s v="UNIQUE"/>
    <n v="0"/>
    <n v="25"/>
    <n v="7"/>
    <n v="0"/>
    <n v="175"/>
  </r>
  <r>
    <x v="0"/>
    <x v="17"/>
    <x v="3"/>
    <n v="1"/>
    <n v="42"/>
    <s v="00"/>
    <s v="002"/>
    <s v="14200-002"/>
    <s v="Trombone production item #002"/>
    <s v="UNIQUE"/>
    <n v="6"/>
    <n v="343"/>
    <n v="27000"/>
    <n v="2058"/>
    <n v="9261000"/>
  </r>
  <r>
    <x v="0"/>
    <x v="17"/>
    <x v="3"/>
    <n v="1"/>
    <n v="42"/>
    <s v="00"/>
    <s v="003"/>
    <s v="14200-003"/>
    <s v="Trombone production item #003"/>
    <s v="UNIQUE"/>
    <n v="98"/>
    <n v="8"/>
    <n v="8"/>
    <n v="784"/>
    <n v="64"/>
  </r>
  <r>
    <x v="0"/>
    <x v="17"/>
    <x v="3"/>
    <n v="1"/>
    <n v="42"/>
    <s v="00"/>
    <s v="004"/>
    <s v="14200-004"/>
    <s v="Trombone production item #004"/>
    <s v="UNIQUE"/>
    <n v="0"/>
    <n v="100"/>
    <n v="1000"/>
    <n v="0"/>
    <n v="100000"/>
  </r>
  <r>
    <x v="0"/>
    <x v="17"/>
    <x v="3"/>
    <n v="1"/>
    <n v="42"/>
    <s v="00"/>
    <s v="005"/>
    <s v="14200-005"/>
    <s v="Trombone production item #005"/>
    <s v="UNIQUE"/>
    <n v="66"/>
    <n v="8"/>
    <n v="13824"/>
    <n v="528"/>
    <n v="110592"/>
  </r>
  <r>
    <x v="0"/>
    <x v="17"/>
    <x v="3"/>
    <n v="1"/>
    <n v="42"/>
    <s v="00"/>
    <s v="006"/>
    <s v="14200-006"/>
    <s v="Trombone production item #006"/>
    <s v="UNIQUE"/>
    <n v="766"/>
    <n v="343"/>
    <n v="64"/>
    <n v="262738"/>
    <n v="21952"/>
  </r>
  <r>
    <x v="0"/>
    <x v="17"/>
    <x v="3"/>
    <n v="1"/>
    <n v="42"/>
    <s v="00"/>
    <s v="007"/>
    <s v="14200-007"/>
    <s v="Trombone production item #007"/>
    <s v="UNIQUE"/>
    <n v="22"/>
    <n v="512"/>
    <n v="441"/>
    <n v="11264"/>
    <n v="225792"/>
  </r>
  <r>
    <x v="0"/>
    <x v="17"/>
    <x v="3"/>
    <n v="1"/>
    <n v="42"/>
    <s v="00"/>
    <s v="008"/>
    <s v="14200-008"/>
    <s v="Trombone production item #008"/>
    <s v="UNIQUE"/>
    <n v="553"/>
    <n v="10"/>
    <n v="24"/>
    <n v="5530"/>
    <n v="240"/>
  </r>
  <r>
    <x v="0"/>
    <x v="17"/>
    <x v="3"/>
    <n v="1"/>
    <n v="42"/>
    <s v="00"/>
    <s v="009"/>
    <s v="14200-009"/>
    <s v="Trombone production item #009"/>
    <s v="UNIQUE"/>
    <n v="99"/>
    <n v="216"/>
    <n v="676"/>
    <n v="21384"/>
    <n v="146016"/>
  </r>
  <r>
    <x v="0"/>
    <x v="17"/>
    <x v="3"/>
    <n v="1"/>
    <n v="42"/>
    <s v="00"/>
    <s v="010"/>
    <s v="14200-010"/>
    <s v="Trombone production item #010"/>
    <s v="UNIQUE"/>
    <n v="67"/>
    <n v="9"/>
    <n v="121"/>
    <n v="603"/>
    <n v="1089"/>
  </r>
  <r>
    <x v="0"/>
    <x v="17"/>
    <x v="3"/>
    <n v="1"/>
    <n v="42"/>
    <s v="00"/>
    <s v="011"/>
    <s v="14200-011"/>
    <s v="Trombone production item #011"/>
    <s v="UNIQUE"/>
    <n v="0"/>
    <n v="49"/>
    <n v="529"/>
    <n v="0"/>
    <n v="25921"/>
  </r>
  <r>
    <x v="0"/>
    <x v="17"/>
    <x v="3"/>
    <n v="1"/>
    <n v="42"/>
    <s v="00"/>
    <s v="012"/>
    <s v="14200-012"/>
    <s v="Trombone production item #012"/>
    <s v="UNIQUE"/>
    <n v="0"/>
    <n v="216"/>
    <n v="13"/>
    <n v="0"/>
    <n v="2808"/>
  </r>
  <r>
    <x v="0"/>
    <x v="17"/>
    <x v="3"/>
    <n v="1"/>
    <n v="42"/>
    <s v="00"/>
    <s v="013"/>
    <s v="14200-013"/>
    <s v="Trombone production item #013"/>
    <s v="UNIQUE"/>
    <n v="0"/>
    <n v="64"/>
    <n v="5832"/>
    <n v="0"/>
    <n v="373248"/>
  </r>
  <r>
    <x v="0"/>
    <x v="17"/>
    <x v="3"/>
    <n v="1"/>
    <n v="42"/>
    <s v="00"/>
    <s v="014"/>
    <s v="14200-014"/>
    <s v="Trombone production item #014"/>
    <s v="UNIQUE"/>
    <n v="0"/>
    <n v="16"/>
    <n v="13824"/>
    <n v="0"/>
    <n v="221184"/>
  </r>
  <r>
    <x v="0"/>
    <x v="17"/>
    <x v="3"/>
    <n v="1"/>
    <n v="42"/>
    <s v="00"/>
    <s v="015"/>
    <s v="14200-015"/>
    <s v="Trombone production item #015"/>
    <s v="UNIQUE"/>
    <n v="0"/>
    <n v="8"/>
    <n v="20"/>
    <n v="0"/>
    <n v="160"/>
  </r>
  <r>
    <x v="0"/>
    <x v="17"/>
    <x v="3"/>
    <n v="1"/>
    <n v="42"/>
    <s v="00"/>
    <s v="016"/>
    <s v="14200-016"/>
    <s v="Trombone production item #016"/>
    <s v="UNIQUE"/>
    <n v="59"/>
    <n v="3"/>
    <n v="4"/>
    <n v="177"/>
    <n v="12"/>
  </r>
  <r>
    <x v="0"/>
    <x v="17"/>
    <x v="3"/>
    <n v="1"/>
    <n v="42"/>
    <s v="00"/>
    <s v="017"/>
    <s v="14200-017"/>
    <s v="Trombone production item #017"/>
    <s v="UNIQUE"/>
    <n v="28"/>
    <n v="125"/>
    <n v="4"/>
    <n v="3500"/>
    <n v="500"/>
  </r>
  <r>
    <x v="0"/>
    <x v="17"/>
    <x v="3"/>
    <n v="1"/>
    <n v="42"/>
    <s v="00"/>
    <s v="018"/>
    <s v="14200-018"/>
    <s v="Trombone production item #018"/>
    <s v="UNIQUE"/>
    <n v="0"/>
    <n v="4"/>
    <n v="28"/>
    <n v="0"/>
    <n v="112"/>
  </r>
  <r>
    <x v="0"/>
    <x v="17"/>
    <x v="3"/>
    <n v="1"/>
    <n v="42"/>
    <s v="00"/>
    <s v="019"/>
    <s v="14200-019"/>
    <s v="Trombone production item #019"/>
    <s v="UNIQUE"/>
    <n v="0"/>
    <n v="125"/>
    <n v="121"/>
    <n v="0"/>
    <n v="15125"/>
  </r>
  <r>
    <x v="0"/>
    <x v="17"/>
    <x v="3"/>
    <n v="1"/>
    <n v="42"/>
    <s v="00"/>
    <s v="020"/>
    <s v="14200-020"/>
    <s v="Trombone production item #020"/>
    <s v="UNIQUE"/>
    <n v="0"/>
    <n v="64"/>
    <n v="2"/>
    <n v="0"/>
    <n v="128"/>
  </r>
  <r>
    <x v="0"/>
    <x v="17"/>
    <x v="3"/>
    <n v="1"/>
    <n v="42"/>
    <s v="00"/>
    <s v="021"/>
    <s v="14200-021"/>
    <s v="Trombone production item #021"/>
    <s v="UNIQUE"/>
    <n v="0"/>
    <n v="9"/>
    <n v="900"/>
    <n v="0"/>
    <n v="8100"/>
  </r>
  <r>
    <x v="0"/>
    <x v="17"/>
    <x v="3"/>
    <n v="1"/>
    <n v="42"/>
    <s v="00"/>
    <s v="022"/>
    <s v="14200-022"/>
    <s v="Trombone production item #022"/>
    <s v="UNIQUE"/>
    <n v="0"/>
    <n v="25"/>
    <n v="8"/>
    <n v="0"/>
    <n v="200"/>
  </r>
  <r>
    <x v="0"/>
    <x v="17"/>
    <x v="3"/>
    <n v="1"/>
    <n v="42"/>
    <s v="00"/>
    <s v="023"/>
    <s v="14200-023"/>
    <s v="Trombone production item #023"/>
    <s v="UNIQUE"/>
    <n v="1581"/>
    <n v="512"/>
    <n v="13"/>
    <n v="809472"/>
    <n v="6656"/>
  </r>
  <r>
    <x v="0"/>
    <x v="17"/>
    <x v="3"/>
    <n v="1"/>
    <n v="42"/>
    <s v="00"/>
    <s v="024"/>
    <s v="14200-024"/>
    <s v="Trombone production item #024"/>
    <s v="UNIQUE"/>
    <n v="0"/>
    <n v="2"/>
    <n v="121"/>
    <n v="0"/>
    <n v="242"/>
  </r>
  <r>
    <x v="0"/>
    <x v="17"/>
    <x v="3"/>
    <n v="1"/>
    <n v="42"/>
    <s v="00"/>
    <s v="025"/>
    <s v="14200-025"/>
    <s v="Trombone production item #025"/>
    <s v="UNIQUE"/>
    <n v="0"/>
    <n v="64"/>
    <n v="1"/>
    <n v="0"/>
    <n v="64"/>
  </r>
  <r>
    <x v="0"/>
    <x v="17"/>
    <x v="3"/>
    <n v="1"/>
    <n v="42"/>
    <s v="00"/>
    <s v="026"/>
    <s v="14200-026"/>
    <s v="Trombone production item #026"/>
    <s v="UNIQUE"/>
    <n v="0"/>
    <n v="100"/>
    <n v="1000"/>
    <n v="0"/>
    <n v="100000"/>
  </r>
  <r>
    <x v="0"/>
    <x v="17"/>
    <x v="3"/>
    <n v="1"/>
    <n v="42"/>
    <s v="00"/>
    <s v="027"/>
    <s v="14200-027"/>
    <s v="Trombone production item #027"/>
    <s v="UNIQUE"/>
    <n v="0"/>
    <n v="16"/>
    <n v="361"/>
    <n v="0"/>
    <n v="5776"/>
  </r>
  <r>
    <x v="0"/>
    <x v="17"/>
    <x v="3"/>
    <n v="1"/>
    <n v="42"/>
    <s v="00"/>
    <s v="028"/>
    <s v="14200-028"/>
    <s v="Trombone production item #028"/>
    <s v="UNIQUE"/>
    <n v="0"/>
    <n v="7"/>
    <n v="4913"/>
    <n v="0"/>
    <n v="34391"/>
  </r>
  <r>
    <x v="0"/>
    <x v="17"/>
    <x v="3"/>
    <n v="1"/>
    <n v="42"/>
    <s v="00"/>
    <s v="029"/>
    <s v="14200-029"/>
    <s v="Trombone production item #029"/>
    <s v="UNIQUE"/>
    <n v="0"/>
    <n v="5"/>
    <n v="9"/>
    <n v="0"/>
    <n v="45"/>
  </r>
  <r>
    <x v="0"/>
    <x v="17"/>
    <x v="3"/>
    <n v="1"/>
    <n v="42"/>
    <s v="00"/>
    <s v="030"/>
    <s v="14200-030"/>
    <s v="Trombone production item #030"/>
    <s v="UNIQUE"/>
    <n v="8"/>
    <n v="36"/>
    <n v="10"/>
    <n v="288"/>
    <n v="360"/>
  </r>
  <r>
    <x v="0"/>
    <x v="17"/>
    <x v="3"/>
    <n v="1"/>
    <n v="42"/>
    <s v="00"/>
    <s v="031"/>
    <s v="14200-031"/>
    <s v="Trombone production item #031"/>
    <s v="UNIQUE"/>
    <n v="0"/>
    <n v="1"/>
    <n v="64"/>
    <n v="0"/>
    <n v="64"/>
  </r>
  <r>
    <x v="0"/>
    <x v="17"/>
    <x v="3"/>
    <n v="1"/>
    <n v="42"/>
    <s v="00"/>
    <s v="032"/>
    <s v="14200-032"/>
    <s v="Trombone production item #032"/>
    <s v="UNIQUE"/>
    <n v="0"/>
    <n v="49"/>
    <n v="1"/>
    <n v="0"/>
    <n v="49"/>
  </r>
  <r>
    <x v="0"/>
    <x v="17"/>
    <x v="3"/>
    <n v="1"/>
    <n v="42"/>
    <s v="00"/>
    <s v="033"/>
    <s v="14200-033"/>
    <s v="Trombone production item #033"/>
    <s v="UNIQUE"/>
    <n v="0"/>
    <n v="27"/>
    <n v="125"/>
    <n v="0"/>
    <n v="3375"/>
  </r>
  <r>
    <x v="0"/>
    <x v="17"/>
    <x v="3"/>
    <n v="1"/>
    <n v="42"/>
    <s v="00"/>
    <s v="034"/>
    <s v="14200-034"/>
    <s v="Trombone production item #034"/>
    <s v="UNIQUE"/>
    <n v="0"/>
    <n v="1"/>
    <n v="3"/>
    <n v="0"/>
    <n v="3"/>
  </r>
  <r>
    <x v="0"/>
    <x v="17"/>
    <x v="3"/>
    <n v="1"/>
    <n v="42"/>
    <s v="00"/>
    <s v="035"/>
    <s v="14200-035"/>
    <s v="Trombone production item #035"/>
    <s v="UNIQUE"/>
    <n v="4458"/>
    <n v="2"/>
    <n v="441"/>
    <n v="8916"/>
    <n v="882"/>
  </r>
  <r>
    <x v="0"/>
    <x v="17"/>
    <x v="3"/>
    <n v="1"/>
    <n v="42"/>
    <s v="00"/>
    <s v="036"/>
    <s v="14200-036"/>
    <s v="Trombone production item #036"/>
    <s v="UNIQUE"/>
    <n v="0"/>
    <n v="4"/>
    <n v="784"/>
    <n v="0"/>
    <n v="3136"/>
  </r>
  <r>
    <x v="0"/>
    <x v="17"/>
    <x v="3"/>
    <n v="1"/>
    <n v="42"/>
    <s v="00"/>
    <s v="037"/>
    <s v="14200-037"/>
    <s v="Trombone production item #037"/>
    <s v="UNIQUE"/>
    <n v="6"/>
    <n v="49"/>
    <n v="841"/>
    <n v="294"/>
    <n v="41209"/>
  </r>
  <r>
    <x v="0"/>
    <x v="17"/>
    <x v="3"/>
    <n v="1"/>
    <n v="42"/>
    <s v="00"/>
    <s v="038"/>
    <s v="14200-038"/>
    <s v="Trombone production item #038"/>
    <s v="UNIQUE"/>
    <n v="1"/>
    <n v="16"/>
    <n v="22"/>
    <n v="16"/>
    <n v="352"/>
  </r>
  <r>
    <x v="0"/>
    <x v="17"/>
    <x v="3"/>
    <n v="1"/>
    <n v="42"/>
    <s v="00"/>
    <s v="039"/>
    <s v="14200-039"/>
    <s v="Trombone production item #039"/>
    <s v="UNIQUE"/>
    <n v="0"/>
    <n v="216"/>
    <n v="0"/>
    <n v="0"/>
    <n v="0"/>
  </r>
  <r>
    <x v="0"/>
    <x v="17"/>
    <x v="3"/>
    <n v="1"/>
    <n v="42"/>
    <s v="00"/>
    <s v="040"/>
    <s v="14200-040"/>
    <s v="Trombone production item #040"/>
    <s v="UNIQUE"/>
    <n v="0"/>
    <n v="3"/>
    <n v="216"/>
    <n v="0"/>
    <n v="648"/>
  </r>
  <r>
    <x v="0"/>
    <x v="17"/>
    <x v="3"/>
    <n v="1"/>
    <n v="42"/>
    <s v="00"/>
    <s v="041"/>
    <s v="14200-041"/>
    <s v="Trombone production item #041"/>
    <s v="UNIQUE"/>
    <n v="4"/>
    <n v="9"/>
    <n v="625"/>
    <n v="36"/>
    <n v="5625"/>
  </r>
  <r>
    <x v="0"/>
    <x v="17"/>
    <x v="3"/>
    <n v="1"/>
    <n v="42"/>
    <s v="00"/>
    <s v="042"/>
    <s v="14200-042"/>
    <s v="Trombone production item #042"/>
    <s v="UNIQUE"/>
    <n v="0"/>
    <n v="125"/>
    <n v="576"/>
    <n v="0"/>
    <n v="72000"/>
  </r>
  <r>
    <x v="0"/>
    <x v="17"/>
    <x v="3"/>
    <n v="1"/>
    <n v="42"/>
    <s v="00"/>
    <s v="043"/>
    <s v="14200-043"/>
    <s v="Trombone production item #043"/>
    <s v="UNIQUE"/>
    <n v="0"/>
    <n v="4"/>
    <n v="169"/>
    <n v="0"/>
    <n v="676"/>
  </r>
  <r>
    <x v="0"/>
    <x v="17"/>
    <x v="3"/>
    <n v="1"/>
    <n v="42"/>
    <s v="00"/>
    <s v="044"/>
    <s v="14200-044"/>
    <s v="Trombone production item #044"/>
    <s v="UNIQUE"/>
    <n v="0"/>
    <n v="100"/>
    <n v="9261"/>
    <n v="0"/>
    <n v="926100"/>
  </r>
  <r>
    <x v="0"/>
    <x v="17"/>
    <x v="3"/>
    <n v="1"/>
    <n v="42"/>
    <s v="00"/>
    <s v="045"/>
    <s v="14200-045"/>
    <s v="Trombone production item #045"/>
    <s v="UNIQUE"/>
    <n v="357"/>
    <n v="64"/>
    <n v="5"/>
    <n v="22848"/>
    <n v="320"/>
  </r>
  <r>
    <x v="0"/>
    <x v="17"/>
    <x v="3"/>
    <n v="1"/>
    <n v="42"/>
    <s v="00"/>
    <s v="046"/>
    <s v="14200-046"/>
    <s v="Trombone production item #046"/>
    <s v="UNIQUE"/>
    <n v="0"/>
    <n v="9"/>
    <n v="1331"/>
    <n v="0"/>
    <n v="11979"/>
  </r>
  <r>
    <x v="0"/>
    <x v="17"/>
    <x v="3"/>
    <n v="1"/>
    <n v="42"/>
    <s v="00"/>
    <s v="047"/>
    <s v="14200-047"/>
    <s v="Trombone production item #047"/>
    <s v="UNIQUE"/>
    <n v="0"/>
    <n v="64"/>
    <n v="196"/>
    <n v="0"/>
    <n v="12544"/>
  </r>
  <r>
    <x v="0"/>
    <x v="17"/>
    <x v="3"/>
    <n v="1"/>
    <n v="42"/>
    <s v="00"/>
    <s v="048"/>
    <s v="14200-048"/>
    <s v="Trombone production item #048"/>
    <s v="UNIQUE"/>
    <n v="353"/>
    <n v="125"/>
    <n v="100"/>
    <n v="44125"/>
    <n v="12500"/>
  </r>
  <r>
    <x v="0"/>
    <x v="17"/>
    <x v="3"/>
    <n v="1"/>
    <n v="42"/>
    <s v="00"/>
    <s v="049"/>
    <s v="14200-049"/>
    <s v="Trombone production item #049"/>
    <s v="UNIQUE"/>
    <n v="0"/>
    <n v="36"/>
    <n v="2197"/>
    <n v="0"/>
    <n v="79092"/>
  </r>
  <r>
    <x v="0"/>
    <x v="18"/>
    <x v="3"/>
    <n v="1"/>
    <n v="43"/>
    <s v="00"/>
    <s v="000"/>
    <s v="14300-000"/>
    <s v="Tuba production item #000"/>
    <s v="UNIQUE"/>
    <n v="0"/>
    <n v="1"/>
    <n v="3375"/>
    <n v="0"/>
    <n v="3375"/>
  </r>
  <r>
    <x v="0"/>
    <x v="18"/>
    <x v="3"/>
    <n v="1"/>
    <n v="43"/>
    <s v="00"/>
    <s v="001"/>
    <s v="14300-001"/>
    <s v="Tuba production item #001"/>
    <s v="UNIQUE"/>
    <n v="263"/>
    <n v="5"/>
    <n v="36"/>
    <n v="1315"/>
    <n v="180"/>
  </r>
  <r>
    <x v="0"/>
    <x v="18"/>
    <x v="3"/>
    <n v="1"/>
    <n v="43"/>
    <s v="00"/>
    <s v="002"/>
    <s v="14300-002"/>
    <s v="Tuba production item #002"/>
    <s v="UNIQUE"/>
    <n v="0"/>
    <n v="216"/>
    <n v="400"/>
    <n v="0"/>
    <n v="86400"/>
  </r>
  <r>
    <x v="0"/>
    <x v="18"/>
    <x v="3"/>
    <n v="1"/>
    <n v="43"/>
    <s v="00"/>
    <s v="003"/>
    <s v="14300-003"/>
    <s v="Tuba production item #003"/>
    <s v="UNIQUE"/>
    <n v="1"/>
    <n v="64"/>
    <n v="18"/>
    <n v="64"/>
    <n v="1152"/>
  </r>
  <r>
    <x v="0"/>
    <x v="18"/>
    <x v="3"/>
    <n v="1"/>
    <n v="43"/>
    <s v="00"/>
    <s v="004"/>
    <s v="14300-004"/>
    <s v="Tuba production item #004"/>
    <s v="UNIQUE"/>
    <n v="0"/>
    <n v="36"/>
    <n v="17"/>
    <n v="0"/>
    <n v="612"/>
  </r>
  <r>
    <x v="0"/>
    <x v="18"/>
    <x v="3"/>
    <n v="1"/>
    <n v="43"/>
    <s v="00"/>
    <s v="005"/>
    <s v="14300-005"/>
    <s v="Tuba production item #005"/>
    <s v="UNIQUE"/>
    <n v="0"/>
    <n v="49"/>
    <n v="15625"/>
    <n v="0"/>
    <n v="765625"/>
  </r>
  <r>
    <x v="0"/>
    <x v="18"/>
    <x v="3"/>
    <n v="1"/>
    <n v="43"/>
    <s v="00"/>
    <s v="006"/>
    <s v="14300-006"/>
    <s v="Tuba production item #006"/>
    <s v="UNIQUE"/>
    <n v="0"/>
    <n v="81"/>
    <n v="22"/>
    <n v="0"/>
    <n v="1782"/>
  </r>
  <r>
    <x v="0"/>
    <x v="18"/>
    <x v="3"/>
    <n v="1"/>
    <n v="43"/>
    <s v="00"/>
    <s v="007"/>
    <s v="14300-007"/>
    <s v="Tuba production item #007"/>
    <s v="UNIQUE"/>
    <n v="2"/>
    <n v="5"/>
    <n v="23"/>
    <n v="10"/>
    <n v="115"/>
  </r>
  <r>
    <x v="0"/>
    <x v="18"/>
    <x v="3"/>
    <n v="1"/>
    <n v="43"/>
    <s v="00"/>
    <s v="008"/>
    <s v="14300-008"/>
    <s v="Tuba production item #008"/>
    <s v="UNIQUE"/>
    <n v="0"/>
    <n v="4"/>
    <n v="4"/>
    <n v="0"/>
    <n v="16"/>
  </r>
  <r>
    <x v="0"/>
    <x v="18"/>
    <x v="3"/>
    <n v="1"/>
    <n v="43"/>
    <s v="00"/>
    <s v="009"/>
    <s v="14300-009"/>
    <s v="Tuba production item #009"/>
    <s v="UNIQUE"/>
    <n v="8595"/>
    <n v="27"/>
    <n v="49"/>
    <n v="232065"/>
    <n v="1323"/>
  </r>
  <r>
    <x v="0"/>
    <x v="18"/>
    <x v="3"/>
    <n v="1"/>
    <n v="43"/>
    <s v="00"/>
    <s v="010"/>
    <s v="14300-010"/>
    <s v="Tuba production item #010"/>
    <s v="UNIQUE"/>
    <n v="0"/>
    <n v="125"/>
    <n v="729"/>
    <n v="0"/>
    <n v="91125"/>
  </r>
  <r>
    <x v="0"/>
    <x v="18"/>
    <x v="3"/>
    <n v="1"/>
    <n v="43"/>
    <s v="00"/>
    <s v="011"/>
    <s v="14300-011"/>
    <s v="Tuba production item #011"/>
    <s v="UNIQUE"/>
    <n v="0"/>
    <n v="25"/>
    <n v="4096"/>
    <n v="0"/>
    <n v="102400"/>
  </r>
  <r>
    <x v="0"/>
    <x v="18"/>
    <x v="3"/>
    <n v="1"/>
    <n v="43"/>
    <s v="00"/>
    <s v="012"/>
    <s v="14300-012"/>
    <s v="Tuba production item #012"/>
    <s v="UNIQUE"/>
    <n v="101"/>
    <n v="512"/>
    <n v="19"/>
    <n v="51712"/>
    <n v="9728"/>
  </r>
  <r>
    <x v="0"/>
    <x v="18"/>
    <x v="3"/>
    <n v="1"/>
    <n v="43"/>
    <s v="00"/>
    <s v="013"/>
    <s v="14300-013"/>
    <s v="Tuba production item #013"/>
    <s v="UNIQUE"/>
    <n v="0"/>
    <n v="4"/>
    <n v="441"/>
    <n v="0"/>
    <n v="1764"/>
  </r>
  <r>
    <x v="0"/>
    <x v="18"/>
    <x v="3"/>
    <n v="1"/>
    <n v="43"/>
    <s v="00"/>
    <s v="014"/>
    <s v="14300-014"/>
    <s v="Tuba production item #014"/>
    <s v="UNIQUE"/>
    <n v="0"/>
    <n v="7"/>
    <n v="24"/>
    <n v="0"/>
    <n v="168"/>
  </r>
  <r>
    <x v="0"/>
    <x v="18"/>
    <x v="3"/>
    <n v="1"/>
    <n v="43"/>
    <s v="00"/>
    <s v="015"/>
    <s v="14300-015"/>
    <s v="Tuba production item #015"/>
    <s v="UNIQUE"/>
    <n v="878"/>
    <n v="1000"/>
    <n v="24"/>
    <n v="878000"/>
    <n v="24000"/>
  </r>
  <r>
    <x v="0"/>
    <x v="18"/>
    <x v="3"/>
    <n v="1"/>
    <n v="43"/>
    <s v="00"/>
    <s v="016"/>
    <s v="14300-016"/>
    <s v="Tuba production item #016"/>
    <s v="UNIQUE"/>
    <n v="0"/>
    <n v="343"/>
    <n v="576"/>
    <n v="0"/>
    <n v="197568"/>
  </r>
  <r>
    <x v="0"/>
    <x v="18"/>
    <x v="3"/>
    <n v="1"/>
    <n v="43"/>
    <s v="00"/>
    <s v="017"/>
    <s v="14300-017"/>
    <s v="Tuba production item #017"/>
    <s v="UNIQUE"/>
    <n v="0"/>
    <n v="7"/>
    <n v="343"/>
    <n v="0"/>
    <n v="2401"/>
  </r>
  <r>
    <x v="0"/>
    <x v="18"/>
    <x v="3"/>
    <n v="1"/>
    <n v="43"/>
    <s v="00"/>
    <s v="018"/>
    <s v="14300-018"/>
    <s v="Tuba production item #018"/>
    <s v="UNIQUE"/>
    <n v="0"/>
    <n v="1000"/>
    <n v="4"/>
    <n v="0"/>
    <n v="4000"/>
  </r>
  <r>
    <x v="0"/>
    <x v="18"/>
    <x v="3"/>
    <n v="1"/>
    <n v="43"/>
    <s v="00"/>
    <s v="019"/>
    <s v="14300-019"/>
    <s v="Tuba production item #019"/>
    <s v="UNIQUE"/>
    <n v="0"/>
    <n v="3"/>
    <n v="27"/>
    <n v="0"/>
    <n v="81"/>
  </r>
  <r>
    <x v="0"/>
    <x v="18"/>
    <x v="3"/>
    <n v="1"/>
    <n v="43"/>
    <s v="00"/>
    <s v="020"/>
    <s v="14300-020"/>
    <s v="Tuba production item #020"/>
    <s v="UNIQUE"/>
    <n v="0"/>
    <n v="1"/>
    <n v="6859"/>
    <n v="0"/>
    <n v="6859"/>
  </r>
  <r>
    <x v="0"/>
    <x v="18"/>
    <x v="3"/>
    <n v="1"/>
    <n v="43"/>
    <s v="00"/>
    <s v="021"/>
    <s v="14300-021"/>
    <s v="Tuba production item #021"/>
    <s v="UNIQUE"/>
    <n v="27"/>
    <n v="8"/>
    <n v="784"/>
    <n v="216"/>
    <n v="6272"/>
  </r>
  <r>
    <x v="0"/>
    <x v="18"/>
    <x v="3"/>
    <n v="1"/>
    <n v="43"/>
    <s v="00"/>
    <s v="022"/>
    <s v="14300-022"/>
    <s v="Tuba production item #022"/>
    <s v="UNIQUE"/>
    <n v="0"/>
    <n v="1"/>
    <n v="17576"/>
    <n v="0"/>
    <n v="17576"/>
  </r>
  <r>
    <x v="0"/>
    <x v="18"/>
    <x v="3"/>
    <n v="1"/>
    <n v="43"/>
    <s v="00"/>
    <s v="023"/>
    <s v="14300-023"/>
    <s v="Tuba production item #023"/>
    <s v="UNIQUE"/>
    <n v="83"/>
    <n v="729"/>
    <n v="841"/>
    <n v="60507"/>
    <n v="613089"/>
  </r>
  <r>
    <x v="0"/>
    <x v="18"/>
    <x v="3"/>
    <n v="1"/>
    <n v="43"/>
    <s v="00"/>
    <s v="024"/>
    <s v="14300-024"/>
    <s v="Tuba production item #024"/>
    <s v="UNIQUE"/>
    <n v="0"/>
    <n v="64"/>
    <n v="13824"/>
    <n v="0"/>
    <n v="884736"/>
  </r>
  <r>
    <x v="0"/>
    <x v="18"/>
    <x v="3"/>
    <n v="1"/>
    <n v="43"/>
    <s v="00"/>
    <s v="025"/>
    <s v="14300-025"/>
    <s v="Tuba production item #025"/>
    <s v="UNIQUE"/>
    <n v="0"/>
    <n v="125"/>
    <n v="225"/>
    <n v="0"/>
    <n v="28125"/>
  </r>
  <r>
    <x v="0"/>
    <x v="18"/>
    <x v="3"/>
    <n v="1"/>
    <n v="43"/>
    <s v="00"/>
    <s v="026"/>
    <s v="14300-026"/>
    <s v="Tuba production item #026"/>
    <s v="UNIQUE"/>
    <n v="6455"/>
    <n v="216"/>
    <n v="400"/>
    <n v="1394280"/>
    <n v="86400"/>
  </r>
  <r>
    <x v="0"/>
    <x v="18"/>
    <x v="3"/>
    <n v="1"/>
    <n v="43"/>
    <s v="00"/>
    <s v="027"/>
    <s v="14300-027"/>
    <s v="Tuba production item #027"/>
    <s v="UNIQUE"/>
    <n v="1"/>
    <n v="8"/>
    <n v="8"/>
    <n v="8"/>
    <n v="64"/>
  </r>
  <r>
    <x v="0"/>
    <x v="18"/>
    <x v="3"/>
    <n v="1"/>
    <n v="43"/>
    <s v="00"/>
    <s v="028"/>
    <s v="14300-028"/>
    <s v="Tuba production item #028"/>
    <s v="UNIQUE"/>
    <n v="1"/>
    <n v="4"/>
    <n v="11"/>
    <n v="4"/>
    <n v="44"/>
  </r>
  <r>
    <x v="0"/>
    <x v="18"/>
    <x v="3"/>
    <n v="1"/>
    <n v="43"/>
    <s v="00"/>
    <s v="029"/>
    <s v="14300-029"/>
    <s v="Tuba production item #029"/>
    <s v="UNIQUE"/>
    <n v="0"/>
    <n v="1"/>
    <n v="3"/>
    <n v="0"/>
    <n v="3"/>
  </r>
  <r>
    <x v="0"/>
    <x v="18"/>
    <x v="3"/>
    <n v="1"/>
    <n v="43"/>
    <s v="00"/>
    <s v="030"/>
    <s v="14300-030"/>
    <s v="Tuba production item #030"/>
    <s v="UNIQUE"/>
    <n v="9261"/>
    <n v="4"/>
    <n v="900"/>
    <n v="37044"/>
    <n v="3600"/>
  </r>
  <r>
    <x v="0"/>
    <x v="18"/>
    <x v="3"/>
    <n v="1"/>
    <n v="43"/>
    <s v="00"/>
    <s v="031"/>
    <s v="14300-031"/>
    <s v="Tuba production item #031"/>
    <s v="UNIQUE"/>
    <n v="0"/>
    <n v="64"/>
    <n v="30"/>
    <n v="0"/>
    <n v="1920"/>
  </r>
  <r>
    <x v="0"/>
    <x v="18"/>
    <x v="3"/>
    <n v="1"/>
    <n v="43"/>
    <s v="00"/>
    <s v="032"/>
    <s v="14300-032"/>
    <s v="Tuba production item #032"/>
    <s v="UNIQUE"/>
    <n v="151"/>
    <n v="4"/>
    <n v="676"/>
    <n v="604"/>
    <n v="2704"/>
  </r>
  <r>
    <x v="0"/>
    <x v="18"/>
    <x v="3"/>
    <n v="1"/>
    <n v="43"/>
    <s v="00"/>
    <s v="033"/>
    <s v="14300-033"/>
    <s v="Tuba production item #033"/>
    <s v="UNIQUE"/>
    <n v="0"/>
    <n v="216"/>
    <n v="3"/>
    <n v="0"/>
    <n v="648"/>
  </r>
  <r>
    <x v="0"/>
    <x v="18"/>
    <x v="3"/>
    <n v="1"/>
    <n v="43"/>
    <s v="00"/>
    <s v="034"/>
    <s v="14300-034"/>
    <s v="Tuba production item #034"/>
    <s v="UNIQUE"/>
    <n v="70"/>
    <n v="9"/>
    <n v="576"/>
    <n v="630"/>
    <n v="5184"/>
  </r>
  <r>
    <x v="0"/>
    <x v="18"/>
    <x v="3"/>
    <n v="1"/>
    <n v="43"/>
    <s v="00"/>
    <s v="035"/>
    <s v="14300-035"/>
    <s v="Tuba production item #035"/>
    <s v="UNIQUE"/>
    <n v="340"/>
    <n v="125"/>
    <n v="12167"/>
    <n v="42500"/>
    <n v="1520875"/>
  </r>
  <r>
    <x v="0"/>
    <x v="18"/>
    <x v="3"/>
    <n v="1"/>
    <n v="43"/>
    <s v="00"/>
    <s v="036"/>
    <s v="14300-036"/>
    <s v="Tuba production item #036"/>
    <s v="UNIQUE"/>
    <n v="645"/>
    <n v="5"/>
    <n v="4"/>
    <n v="3225"/>
    <n v="20"/>
  </r>
  <r>
    <x v="0"/>
    <x v="18"/>
    <x v="3"/>
    <n v="1"/>
    <n v="43"/>
    <s v="00"/>
    <s v="037"/>
    <s v="14300-037"/>
    <s v="Tuba production item #037"/>
    <s v="UNIQUE"/>
    <n v="70"/>
    <n v="512"/>
    <n v="27"/>
    <n v="35840"/>
    <n v="13824"/>
  </r>
  <r>
    <x v="0"/>
    <x v="18"/>
    <x v="3"/>
    <n v="1"/>
    <n v="43"/>
    <s v="00"/>
    <s v="038"/>
    <s v="14300-038"/>
    <s v="Tuba production item #038"/>
    <s v="UNIQUE"/>
    <n v="0"/>
    <n v="25"/>
    <n v="2744"/>
    <n v="0"/>
    <n v="68600"/>
  </r>
  <r>
    <x v="0"/>
    <x v="18"/>
    <x v="3"/>
    <n v="1"/>
    <n v="43"/>
    <s v="00"/>
    <s v="039"/>
    <s v="14300-039"/>
    <s v="Tuba production item #039"/>
    <s v="UNIQUE"/>
    <n v="731"/>
    <n v="9"/>
    <n v="17"/>
    <n v="6579"/>
    <n v="153"/>
  </r>
  <r>
    <x v="0"/>
    <x v="18"/>
    <x v="3"/>
    <n v="1"/>
    <n v="43"/>
    <s v="00"/>
    <s v="040"/>
    <s v="14300-040"/>
    <s v="Tuba production item #040"/>
    <s v="UNIQUE"/>
    <n v="0"/>
    <n v="4"/>
    <n v="3375"/>
    <n v="0"/>
    <n v="13500"/>
  </r>
  <r>
    <x v="0"/>
    <x v="18"/>
    <x v="3"/>
    <n v="1"/>
    <n v="43"/>
    <s v="00"/>
    <s v="041"/>
    <s v="14300-041"/>
    <s v="Tuba production item #041"/>
    <s v="UNIQUE"/>
    <n v="0"/>
    <n v="27"/>
    <n v="289"/>
    <n v="0"/>
    <n v="7803"/>
  </r>
  <r>
    <x v="0"/>
    <x v="18"/>
    <x v="3"/>
    <n v="1"/>
    <n v="43"/>
    <s v="00"/>
    <s v="042"/>
    <s v="14300-042"/>
    <s v="Tuba production item #042"/>
    <s v="UNIQUE"/>
    <n v="3"/>
    <n v="100"/>
    <n v="12167"/>
    <n v="300"/>
    <n v="1216700"/>
  </r>
  <r>
    <x v="0"/>
    <x v="18"/>
    <x v="3"/>
    <n v="1"/>
    <n v="43"/>
    <s v="00"/>
    <s v="043"/>
    <s v="14300-043"/>
    <s v="Tuba production item #043"/>
    <s v="UNIQUE"/>
    <n v="8"/>
    <n v="7"/>
    <n v="21"/>
    <n v="56"/>
    <n v="147"/>
  </r>
  <r>
    <x v="0"/>
    <x v="18"/>
    <x v="3"/>
    <n v="1"/>
    <n v="43"/>
    <s v="00"/>
    <s v="044"/>
    <s v="14300-044"/>
    <s v="Tuba production item #044"/>
    <s v="UNIQUE"/>
    <n v="0"/>
    <n v="125"/>
    <n v="12"/>
    <n v="0"/>
    <n v="1500"/>
  </r>
  <r>
    <x v="0"/>
    <x v="18"/>
    <x v="3"/>
    <n v="1"/>
    <n v="43"/>
    <s v="00"/>
    <s v="045"/>
    <s v="14300-045"/>
    <s v="Tuba production item #045"/>
    <s v="UNIQUE"/>
    <n v="0"/>
    <n v="4"/>
    <n v="17576"/>
    <n v="0"/>
    <n v="70304"/>
  </r>
  <r>
    <x v="0"/>
    <x v="18"/>
    <x v="3"/>
    <n v="1"/>
    <n v="43"/>
    <s v="00"/>
    <s v="046"/>
    <s v="14300-046"/>
    <s v="Tuba production item #046"/>
    <s v="UNIQUE"/>
    <n v="0"/>
    <n v="81"/>
    <n v="15625"/>
    <n v="0"/>
    <n v="1265625"/>
  </r>
  <r>
    <x v="0"/>
    <x v="18"/>
    <x v="3"/>
    <n v="1"/>
    <n v="43"/>
    <s v="00"/>
    <s v="047"/>
    <s v="14300-047"/>
    <s v="Tuba production item #047"/>
    <s v="UNIQUE"/>
    <n v="0"/>
    <n v="4"/>
    <n v="16"/>
    <n v="0"/>
    <n v="64"/>
  </r>
  <r>
    <x v="0"/>
    <x v="18"/>
    <x v="3"/>
    <n v="1"/>
    <n v="43"/>
    <s v="00"/>
    <s v="048"/>
    <s v="14300-048"/>
    <s v="Tuba production item #048"/>
    <s v="UNIQUE"/>
    <n v="66"/>
    <n v="216"/>
    <n v="15625"/>
    <n v="14256"/>
    <n v="3375000"/>
  </r>
  <r>
    <x v="0"/>
    <x v="18"/>
    <x v="3"/>
    <n v="1"/>
    <n v="43"/>
    <s v="00"/>
    <s v="049"/>
    <s v="14300-049"/>
    <s v="Tuba production item #049"/>
    <s v="UNIQUE"/>
    <n v="0"/>
    <n v="1"/>
    <n v="625"/>
    <n v="0"/>
    <n v="625"/>
  </r>
  <r>
    <x v="0"/>
    <x v="19"/>
    <x v="4"/>
    <n v="1"/>
    <n v="50"/>
    <s v="00"/>
    <s v="000"/>
    <s v="15000-000"/>
    <s v="Snare drum production item #000"/>
    <s v="UNIQUE"/>
    <n v="7"/>
    <n v="1000"/>
    <n v="2744"/>
    <n v="7000"/>
    <n v="2744000"/>
  </r>
  <r>
    <x v="0"/>
    <x v="19"/>
    <x v="4"/>
    <n v="1"/>
    <n v="50"/>
    <s v="00"/>
    <s v="001"/>
    <s v="15000-001"/>
    <s v="Snare drum production item #001"/>
    <s v="UNIQUE"/>
    <n v="0"/>
    <n v="8"/>
    <n v="12167"/>
    <n v="0"/>
    <n v="97336"/>
  </r>
  <r>
    <x v="0"/>
    <x v="19"/>
    <x v="4"/>
    <n v="1"/>
    <n v="50"/>
    <s v="00"/>
    <s v="002"/>
    <s v="15000-002"/>
    <s v="Snare drum production item #002"/>
    <s v="UNIQUE"/>
    <n v="1"/>
    <n v="9"/>
    <n v="10648"/>
    <n v="9"/>
    <n v="95832"/>
  </r>
  <r>
    <x v="0"/>
    <x v="19"/>
    <x v="4"/>
    <n v="1"/>
    <n v="50"/>
    <s v="00"/>
    <s v="003"/>
    <s v="15000-003"/>
    <s v="Snare drum production item #003"/>
    <s v="UNIQUE"/>
    <n v="735"/>
    <n v="1"/>
    <n v="441"/>
    <n v="735"/>
    <n v="441"/>
  </r>
  <r>
    <x v="0"/>
    <x v="19"/>
    <x v="4"/>
    <n v="1"/>
    <n v="50"/>
    <s v="00"/>
    <s v="004"/>
    <s v="15000-004"/>
    <s v="Snare drum production item #004"/>
    <s v="UNIQUE"/>
    <n v="0"/>
    <n v="512"/>
    <n v="841"/>
    <n v="0"/>
    <n v="430592"/>
  </r>
  <r>
    <x v="0"/>
    <x v="19"/>
    <x v="4"/>
    <n v="1"/>
    <n v="50"/>
    <s v="00"/>
    <s v="005"/>
    <s v="15000-005"/>
    <s v="Snare drum production item #005"/>
    <s v="UNIQUE"/>
    <n v="4"/>
    <n v="8"/>
    <n v="21952"/>
    <n v="32"/>
    <n v="175616"/>
  </r>
  <r>
    <x v="0"/>
    <x v="19"/>
    <x v="4"/>
    <n v="1"/>
    <n v="50"/>
    <s v="00"/>
    <s v="006"/>
    <s v="15000-006"/>
    <s v="Snare drum production item #006"/>
    <s v="UNIQUE"/>
    <n v="0"/>
    <n v="3"/>
    <n v="625"/>
    <n v="0"/>
    <n v="1875"/>
  </r>
  <r>
    <x v="0"/>
    <x v="19"/>
    <x v="4"/>
    <n v="1"/>
    <n v="50"/>
    <s v="00"/>
    <s v="007"/>
    <s v="15000-007"/>
    <s v="Snare drum production item #007"/>
    <s v="UNIQUE"/>
    <n v="0"/>
    <n v="1"/>
    <n v="1331"/>
    <n v="0"/>
    <n v="1331"/>
  </r>
  <r>
    <x v="0"/>
    <x v="19"/>
    <x v="4"/>
    <n v="1"/>
    <n v="50"/>
    <s v="00"/>
    <s v="008"/>
    <s v="15000-008"/>
    <s v="Snare drum production item #008"/>
    <s v="UNIQUE"/>
    <n v="2"/>
    <n v="25"/>
    <n v="15625"/>
    <n v="50"/>
    <n v="390625"/>
  </r>
  <r>
    <x v="0"/>
    <x v="19"/>
    <x v="4"/>
    <n v="1"/>
    <n v="50"/>
    <s v="00"/>
    <s v="009"/>
    <s v="15000-009"/>
    <s v="Snare drum production item #009"/>
    <s v="UNIQUE"/>
    <n v="0"/>
    <n v="81"/>
    <n v="0"/>
    <n v="0"/>
    <n v="0"/>
  </r>
  <r>
    <x v="0"/>
    <x v="19"/>
    <x v="4"/>
    <n v="1"/>
    <n v="50"/>
    <s v="00"/>
    <s v="010"/>
    <s v="15000-010"/>
    <s v="Snare drum production item #010"/>
    <s v="UNIQUE"/>
    <n v="0"/>
    <n v="36"/>
    <n v="22"/>
    <n v="0"/>
    <n v="792"/>
  </r>
  <r>
    <x v="0"/>
    <x v="19"/>
    <x v="4"/>
    <n v="1"/>
    <n v="50"/>
    <s v="00"/>
    <s v="011"/>
    <s v="15000-011"/>
    <s v="Snare drum production item #011"/>
    <s v="UNIQUE"/>
    <n v="0"/>
    <n v="1"/>
    <n v="1"/>
    <n v="0"/>
    <n v="1"/>
  </r>
  <r>
    <x v="0"/>
    <x v="19"/>
    <x v="4"/>
    <n v="1"/>
    <n v="50"/>
    <s v="00"/>
    <s v="012"/>
    <s v="15000-012"/>
    <s v="Snare drum production item #012"/>
    <s v="UNIQUE"/>
    <n v="3579"/>
    <n v="3"/>
    <n v="18"/>
    <n v="10737"/>
    <n v="54"/>
  </r>
  <r>
    <x v="0"/>
    <x v="19"/>
    <x v="4"/>
    <n v="1"/>
    <n v="50"/>
    <s v="00"/>
    <s v="013"/>
    <s v="15000-013"/>
    <s v="Snare drum production item #013"/>
    <s v="UNIQUE"/>
    <n v="0"/>
    <n v="3"/>
    <n v="12167"/>
    <n v="0"/>
    <n v="36501"/>
  </r>
  <r>
    <x v="0"/>
    <x v="19"/>
    <x v="4"/>
    <n v="1"/>
    <n v="50"/>
    <s v="00"/>
    <s v="014"/>
    <s v="15000-014"/>
    <s v="Snare drum production item #014"/>
    <s v="UNIQUE"/>
    <n v="0"/>
    <n v="4"/>
    <n v="216"/>
    <n v="0"/>
    <n v="864"/>
  </r>
  <r>
    <x v="0"/>
    <x v="19"/>
    <x v="4"/>
    <n v="1"/>
    <n v="50"/>
    <s v="00"/>
    <s v="015"/>
    <s v="15000-015"/>
    <s v="Snare drum production item #015"/>
    <s v="UNIQUE"/>
    <n v="0"/>
    <n v="3"/>
    <n v="18"/>
    <n v="0"/>
    <n v="54"/>
  </r>
  <r>
    <x v="0"/>
    <x v="19"/>
    <x v="4"/>
    <n v="1"/>
    <n v="50"/>
    <s v="00"/>
    <s v="016"/>
    <s v="15000-016"/>
    <s v="Snare drum production item #016"/>
    <s v="UNIQUE"/>
    <n v="0"/>
    <n v="4"/>
    <n v="13824"/>
    <n v="0"/>
    <n v="55296"/>
  </r>
  <r>
    <x v="0"/>
    <x v="19"/>
    <x v="4"/>
    <n v="1"/>
    <n v="50"/>
    <s v="00"/>
    <s v="017"/>
    <s v="15000-017"/>
    <s v="Snare drum production item #017"/>
    <s v="UNIQUE"/>
    <n v="795"/>
    <n v="7"/>
    <n v="28"/>
    <n v="5565"/>
    <n v="196"/>
  </r>
  <r>
    <x v="0"/>
    <x v="19"/>
    <x v="4"/>
    <n v="1"/>
    <n v="50"/>
    <s v="00"/>
    <s v="018"/>
    <s v="15000-018"/>
    <s v="Snare drum production item #018"/>
    <s v="UNIQUE"/>
    <n v="0"/>
    <n v="8"/>
    <n v="2"/>
    <n v="0"/>
    <n v="16"/>
  </r>
  <r>
    <x v="0"/>
    <x v="19"/>
    <x v="4"/>
    <n v="1"/>
    <n v="50"/>
    <s v="00"/>
    <s v="019"/>
    <s v="15000-019"/>
    <s v="Snare drum production item #019"/>
    <s v="UNIQUE"/>
    <n v="3"/>
    <n v="3"/>
    <n v="27"/>
    <n v="9"/>
    <n v="81"/>
  </r>
  <r>
    <x v="0"/>
    <x v="19"/>
    <x v="4"/>
    <n v="1"/>
    <n v="50"/>
    <s v="00"/>
    <s v="020"/>
    <s v="15000-020"/>
    <s v="Snare drum production item #020"/>
    <s v="UNIQUE"/>
    <n v="0"/>
    <n v="8"/>
    <n v="1"/>
    <n v="0"/>
    <n v="8"/>
  </r>
  <r>
    <x v="0"/>
    <x v="19"/>
    <x v="4"/>
    <n v="1"/>
    <n v="50"/>
    <s v="00"/>
    <s v="021"/>
    <s v="15000-021"/>
    <s v="Snare drum production item #021"/>
    <s v="UNIQUE"/>
    <n v="180"/>
    <n v="1000"/>
    <n v="784"/>
    <n v="180000"/>
    <n v="784000"/>
  </r>
  <r>
    <x v="0"/>
    <x v="19"/>
    <x v="4"/>
    <n v="1"/>
    <n v="50"/>
    <s v="00"/>
    <s v="022"/>
    <s v="15000-022"/>
    <s v="Snare drum production item #022"/>
    <s v="UNIQUE"/>
    <n v="800"/>
    <n v="100"/>
    <n v="441"/>
    <n v="80000"/>
    <n v="44100"/>
  </r>
  <r>
    <x v="0"/>
    <x v="19"/>
    <x v="4"/>
    <n v="1"/>
    <n v="50"/>
    <s v="00"/>
    <s v="023"/>
    <s v="15000-023"/>
    <s v="Snare drum production item #023"/>
    <s v="UNIQUE"/>
    <n v="6"/>
    <n v="8"/>
    <n v="5832"/>
    <n v="48"/>
    <n v="46656"/>
  </r>
  <r>
    <x v="0"/>
    <x v="19"/>
    <x v="4"/>
    <n v="1"/>
    <n v="50"/>
    <s v="00"/>
    <s v="024"/>
    <s v="15000-024"/>
    <s v="Snare drum production item #024"/>
    <s v="UNIQUE"/>
    <n v="0"/>
    <n v="125"/>
    <n v="2197"/>
    <n v="0"/>
    <n v="274625"/>
  </r>
  <r>
    <x v="0"/>
    <x v="19"/>
    <x v="4"/>
    <n v="1"/>
    <n v="50"/>
    <s v="00"/>
    <s v="025"/>
    <s v="15000-025"/>
    <s v="Snare drum production item #025"/>
    <s v="UNIQUE"/>
    <n v="10"/>
    <n v="100"/>
    <n v="225"/>
    <n v="1000"/>
    <n v="22500"/>
  </r>
  <r>
    <x v="0"/>
    <x v="19"/>
    <x v="4"/>
    <n v="1"/>
    <n v="50"/>
    <s v="00"/>
    <s v="026"/>
    <s v="15000-026"/>
    <s v="Snare drum production item #026"/>
    <s v="UNIQUE"/>
    <n v="0"/>
    <n v="8"/>
    <n v="49"/>
    <n v="0"/>
    <n v="392"/>
  </r>
  <r>
    <x v="0"/>
    <x v="19"/>
    <x v="4"/>
    <n v="1"/>
    <n v="50"/>
    <s v="00"/>
    <s v="027"/>
    <s v="15000-027"/>
    <s v="Snare drum production item #027"/>
    <s v="UNIQUE"/>
    <n v="0"/>
    <n v="343"/>
    <n v="5832"/>
    <n v="0"/>
    <n v="2000376"/>
  </r>
  <r>
    <x v="0"/>
    <x v="19"/>
    <x v="4"/>
    <n v="1"/>
    <n v="50"/>
    <s v="00"/>
    <s v="028"/>
    <s v="15000-028"/>
    <s v="Snare drum production item #028"/>
    <s v="UNIQUE"/>
    <n v="406"/>
    <n v="5"/>
    <n v="21"/>
    <n v="2030"/>
    <n v="105"/>
  </r>
  <r>
    <x v="0"/>
    <x v="19"/>
    <x v="4"/>
    <n v="1"/>
    <n v="50"/>
    <s v="00"/>
    <s v="029"/>
    <s v="15000-029"/>
    <s v="Snare drum production item #029"/>
    <s v="UNIQUE"/>
    <n v="0"/>
    <n v="49"/>
    <n v="36"/>
    <n v="0"/>
    <n v="1764"/>
  </r>
  <r>
    <x v="0"/>
    <x v="19"/>
    <x v="4"/>
    <n v="1"/>
    <n v="50"/>
    <s v="00"/>
    <s v="030"/>
    <s v="15000-030"/>
    <s v="Snare drum production item #030"/>
    <s v="UNIQUE"/>
    <n v="0"/>
    <n v="16"/>
    <n v="676"/>
    <n v="0"/>
    <n v="10816"/>
  </r>
  <r>
    <x v="0"/>
    <x v="19"/>
    <x v="4"/>
    <n v="1"/>
    <n v="50"/>
    <s v="00"/>
    <s v="031"/>
    <s v="15000-031"/>
    <s v="Snare drum production item #031"/>
    <s v="UNIQUE"/>
    <n v="0"/>
    <n v="5"/>
    <n v="1728"/>
    <n v="0"/>
    <n v="8640"/>
  </r>
  <r>
    <x v="0"/>
    <x v="19"/>
    <x v="4"/>
    <n v="1"/>
    <n v="50"/>
    <s v="00"/>
    <s v="032"/>
    <s v="15000-032"/>
    <s v="Snare drum production item #032"/>
    <s v="UNIQUE"/>
    <n v="1"/>
    <n v="27"/>
    <n v="24"/>
    <n v="27"/>
    <n v="648"/>
  </r>
  <r>
    <x v="0"/>
    <x v="19"/>
    <x v="4"/>
    <n v="1"/>
    <n v="50"/>
    <s v="00"/>
    <s v="033"/>
    <s v="15000-033"/>
    <s v="Snare drum production item #033"/>
    <s v="UNIQUE"/>
    <n v="116"/>
    <n v="64"/>
    <n v="21"/>
    <n v="7424"/>
    <n v="1344"/>
  </r>
  <r>
    <x v="0"/>
    <x v="19"/>
    <x v="4"/>
    <n v="1"/>
    <n v="50"/>
    <s v="00"/>
    <s v="034"/>
    <s v="15000-034"/>
    <s v="Snare drum production item #034"/>
    <s v="UNIQUE"/>
    <n v="8"/>
    <n v="343"/>
    <n v="12"/>
    <n v="2744"/>
    <n v="4116"/>
  </r>
  <r>
    <x v="0"/>
    <x v="19"/>
    <x v="4"/>
    <n v="1"/>
    <n v="50"/>
    <s v="00"/>
    <s v="035"/>
    <s v="15000-035"/>
    <s v="Snare drum production item #035"/>
    <s v="UNIQUE"/>
    <n v="4"/>
    <n v="9"/>
    <n v="9"/>
    <n v="36"/>
    <n v="81"/>
  </r>
  <r>
    <x v="0"/>
    <x v="19"/>
    <x v="4"/>
    <n v="1"/>
    <n v="50"/>
    <s v="00"/>
    <s v="036"/>
    <s v="15000-036"/>
    <s v="Snare drum production item #036"/>
    <s v="UNIQUE"/>
    <n v="5"/>
    <n v="27"/>
    <n v="16"/>
    <n v="135"/>
    <n v="432"/>
  </r>
  <r>
    <x v="0"/>
    <x v="19"/>
    <x v="4"/>
    <n v="1"/>
    <n v="50"/>
    <s v="00"/>
    <s v="037"/>
    <s v="15000-037"/>
    <s v="Snare drum production item #037"/>
    <s v="UNIQUE"/>
    <n v="3779"/>
    <n v="64"/>
    <n v="17"/>
    <n v="241856"/>
    <n v="1088"/>
  </r>
  <r>
    <x v="0"/>
    <x v="19"/>
    <x v="4"/>
    <n v="1"/>
    <n v="50"/>
    <s v="00"/>
    <s v="038"/>
    <s v="15000-038"/>
    <s v="Snare drum production item #038"/>
    <s v="UNIQUE"/>
    <n v="0"/>
    <n v="8"/>
    <n v="121"/>
    <n v="0"/>
    <n v="968"/>
  </r>
  <r>
    <x v="0"/>
    <x v="19"/>
    <x v="4"/>
    <n v="1"/>
    <n v="50"/>
    <s v="00"/>
    <s v="039"/>
    <s v="15000-039"/>
    <s v="Snare drum production item #039"/>
    <s v="UNIQUE"/>
    <n v="8"/>
    <n v="7"/>
    <n v="1"/>
    <n v="56"/>
    <n v="7"/>
  </r>
  <r>
    <x v="0"/>
    <x v="19"/>
    <x v="4"/>
    <n v="1"/>
    <n v="50"/>
    <s v="00"/>
    <s v="040"/>
    <s v="15000-040"/>
    <s v="Snare drum production item #040"/>
    <s v="UNIQUE"/>
    <n v="0"/>
    <n v="10"/>
    <n v="676"/>
    <n v="0"/>
    <n v="6760"/>
  </r>
  <r>
    <x v="0"/>
    <x v="19"/>
    <x v="4"/>
    <n v="1"/>
    <n v="50"/>
    <s v="00"/>
    <s v="041"/>
    <s v="15000-041"/>
    <s v="Snare drum production item #041"/>
    <s v="UNIQUE"/>
    <n v="2"/>
    <n v="343"/>
    <n v="12167"/>
    <n v="686"/>
    <n v="4173281"/>
  </r>
  <r>
    <x v="0"/>
    <x v="19"/>
    <x v="4"/>
    <n v="1"/>
    <n v="50"/>
    <s v="00"/>
    <s v="042"/>
    <s v="15000-042"/>
    <s v="Snare drum production item #042"/>
    <s v="UNIQUE"/>
    <n v="9"/>
    <n v="7"/>
    <n v="900"/>
    <n v="63"/>
    <n v="6300"/>
  </r>
  <r>
    <x v="0"/>
    <x v="19"/>
    <x v="4"/>
    <n v="1"/>
    <n v="50"/>
    <s v="00"/>
    <s v="043"/>
    <s v="15000-043"/>
    <s v="Snare drum production item #043"/>
    <s v="UNIQUE"/>
    <n v="9"/>
    <n v="9"/>
    <n v="16"/>
    <n v="81"/>
    <n v="144"/>
  </r>
  <r>
    <x v="0"/>
    <x v="19"/>
    <x v="4"/>
    <n v="1"/>
    <n v="50"/>
    <s v="00"/>
    <s v="044"/>
    <s v="15000-044"/>
    <s v="Snare drum production item #044"/>
    <s v="UNIQUE"/>
    <n v="0"/>
    <n v="6"/>
    <n v="25"/>
    <n v="0"/>
    <n v="150"/>
  </r>
  <r>
    <x v="0"/>
    <x v="19"/>
    <x v="4"/>
    <n v="1"/>
    <n v="50"/>
    <s v="00"/>
    <s v="045"/>
    <s v="15000-045"/>
    <s v="Snare drum production item #045"/>
    <s v="UNIQUE"/>
    <n v="0"/>
    <n v="8"/>
    <n v="484"/>
    <n v="0"/>
    <n v="3872"/>
  </r>
  <r>
    <x v="0"/>
    <x v="19"/>
    <x v="4"/>
    <n v="1"/>
    <n v="50"/>
    <s v="00"/>
    <s v="046"/>
    <s v="15000-046"/>
    <s v="Snare drum production item #046"/>
    <s v="UNIQUE"/>
    <n v="0"/>
    <n v="16"/>
    <n v="15"/>
    <n v="0"/>
    <n v="240"/>
  </r>
  <r>
    <x v="0"/>
    <x v="19"/>
    <x v="4"/>
    <n v="1"/>
    <n v="50"/>
    <s v="00"/>
    <s v="047"/>
    <s v="15000-047"/>
    <s v="Snare drum production item #047"/>
    <s v="UNIQUE"/>
    <n v="621"/>
    <n v="216"/>
    <n v="4"/>
    <n v="134136"/>
    <n v="864"/>
  </r>
  <r>
    <x v="0"/>
    <x v="19"/>
    <x v="4"/>
    <n v="1"/>
    <n v="50"/>
    <s v="00"/>
    <s v="048"/>
    <s v="15000-048"/>
    <s v="Snare drum production item #048"/>
    <s v="UNIQUE"/>
    <n v="1"/>
    <n v="36"/>
    <n v="21952"/>
    <n v="36"/>
    <n v="790272"/>
  </r>
  <r>
    <x v="0"/>
    <x v="19"/>
    <x v="4"/>
    <n v="1"/>
    <n v="50"/>
    <s v="00"/>
    <s v="049"/>
    <s v="15000-049"/>
    <s v="Snare drum production item #049"/>
    <s v="UNIQUE"/>
    <n v="54"/>
    <n v="36"/>
    <n v="196"/>
    <n v="1944"/>
    <n v="7056"/>
  </r>
  <r>
    <x v="0"/>
    <x v="19"/>
    <x v="4"/>
    <n v="1"/>
    <n v="50"/>
    <s v="00"/>
    <s v="050"/>
    <s v="15000-050"/>
    <s v="Snare drum production item #050"/>
    <s v="UNIQUE"/>
    <n v="3"/>
    <n v="512"/>
    <n v="4"/>
    <n v="1536"/>
    <n v="2048"/>
  </r>
  <r>
    <x v="0"/>
    <x v="19"/>
    <x v="4"/>
    <n v="1"/>
    <n v="50"/>
    <s v="00"/>
    <s v="051"/>
    <s v="15000-051"/>
    <s v="Snare drum production item #051"/>
    <s v="UNIQUE"/>
    <n v="1"/>
    <n v="36"/>
    <n v="3"/>
    <n v="36"/>
    <n v="108"/>
  </r>
  <r>
    <x v="0"/>
    <x v="19"/>
    <x v="4"/>
    <n v="1"/>
    <n v="50"/>
    <s v="00"/>
    <s v="052"/>
    <s v="15000-052"/>
    <s v="Snare drum production item #052"/>
    <s v="UNIQUE"/>
    <n v="0"/>
    <n v="49"/>
    <n v="36"/>
    <n v="0"/>
    <n v="1764"/>
  </r>
  <r>
    <x v="0"/>
    <x v="19"/>
    <x v="4"/>
    <n v="1"/>
    <n v="50"/>
    <s v="00"/>
    <s v="053"/>
    <s v="15000-053"/>
    <s v="Snare drum production item #053"/>
    <s v="UNIQUE"/>
    <n v="0"/>
    <n v="216"/>
    <n v="64"/>
    <n v="0"/>
    <n v="13824"/>
  </r>
  <r>
    <x v="0"/>
    <x v="19"/>
    <x v="4"/>
    <n v="1"/>
    <n v="50"/>
    <s v="00"/>
    <s v="054"/>
    <s v="15000-054"/>
    <s v="Snare drum production item #054"/>
    <s v="UNIQUE"/>
    <n v="5"/>
    <n v="729"/>
    <n v="512"/>
    <n v="3645"/>
    <n v="373248"/>
  </r>
  <r>
    <x v="0"/>
    <x v="19"/>
    <x v="4"/>
    <n v="1"/>
    <n v="50"/>
    <s v="00"/>
    <s v="055"/>
    <s v="15000-055"/>
    <s v="Snare drum production item #055"/>
    <s v="UNIQUE"/>
    <n v="0"/>
    <n v="8"/>
    <n v="7"/>
    <n v="0"/>
    <n v="56"/>
  </r>
  <r>
    <x v="0"/>
    <x v="19"/>
    <x v="4"/>
    <n v="1"/>
    <n v="50"/>
    <s v="00"/>
    <s v="056"/>
    <s v="15000-056"/>
    <s v="Snare drum production item #056"/>
    <s v="UNIQUE"/>
    <n v="18"/>
    <n v="343"/>
    <n v="225"/>
    <n v="6174"/>
    <n v="77175"/>
  </r>
  <r>
    <x v="0"/>
    <x v="19"/>
    <x v="4"/>
    <n v="1"/>
    <n v="50"/>
    <s v="00"/>
    <s v="057"/>
    <s v="15000-057"/>
    <s v="Snare drum production item #057"/>
    <s v="UNIQUE"/>
    <n v="0"/>
    <n v="343"/>
    <n v="256"/>
    <n v="0"/>
    <n v="87808"/>
  </r>
  <r>
    <x v="0"/>
    <x v="19"/>
    <x v="4"/>
    <n v="1"/>
    <n v="50"/>
    <s v="00"/>
    <s v="058"/>
    <s v="15000-058"/>
    <s v="Snare drum production item #058"/>
    <s v="UNIQUE"/>
    <n v="0"/>
    <n v="64"/>
    <n v="216"/>
    <n v="0"/>
    <n v="13824"/>
  </r>
  <r>
    <x v="0"/>
    <x v="19"/>
    <x v="4"/>
    <n v="1"/>
    <n v="50"/>
    <s v="00"/>
    <s v="059"/>
    <s v="15000-059"/>
    <s v="Snare drum production item #059"/>
    <s v="UNIQUE"/>
    <n v="93"/>
    <n v="100"/>
    <n v="676"/>
    <n v="9300"/>
    <n v="67600"/>
  </r>
  <r>
    <x v="0"/>
    <x v="19"/>
    <x v="4"/>
    <n v="1"/>
    <n v="50"/>
    <s v="00"/>
    <s v="060"/>
    <s v="15000-060"/>
    <s v="Snare drum production item #060"/>
    <s v="UNIQUE"/>
    <n v="999"/>
    <n v="16"/>
    <n v="1"/>
    <n v="15984"/>
    <n v="16"/>
  </r>
  <r>
    <x v="0"/>
    <x v="19"/>
    <x v="4"/>
    <n v="1"/>
    <n v="50"/>
    <s v="00"/>
    <s v="061"/>
    <s v="15000-061"/>
    <s v="Snare drum production item #061"/>
    <s v="UNIQUE"/>
    <n v="37"/>
    <n v="64"/>
    <n v="29"/>
    <n v="2368"/>
    <n v="1856"/>
  </r>
  <r>
    <x v="0"/>
    <x v="19"/>
    <x v="4"/>
    <n v="1"/>
    <n v="50"/>
    <s v="00"/>
    <s v="062"/>
    <s v="15000-062"/>
    <s v="Snare drum production item #062"/>
    <s v="UNIQUE"/>
    <n v="1"/>
    <n v="8"/>
    <n v="3375"/>
    <n v="8"/>
    <n v="27000"/>
  </r>
  <r>
    <x v="0"/>
    <x v="19"/>
    <x v="4"/>
    <n v="1"/>
    <n v="50"/>
    <s v="00"/>
    <s v="063"/>
    <s v="15000-063"/>
    <s v="Snare drum production item #063"/>
    <s v="UNIQUE"/>
    <n v="0"/>
    <n v="64"/>
    <n v="13824"/>
    <n v="0"/>
    <n v="884736"/>
  </r>
  <r>
    <x v="0"/>
    <x v="19"/>
    <x v="4"/>
    <n v="1"/>
    <n v="50"/>
    <s v="00"/>
    <s v="064"/>
    <s v="15000-064"/>
    <s v="Snare drum production item #064"/>
    <s v="UNIQUE"/>
    <n v="0"/>
    <n v="8"/>
    <n v="1331"/>
    <n v="0"/>
    <n v="10648"/>
  </r>
  <r>
    <x v="0"/>
    <x v="19"/>
    <x v="4"/>
    <n v="1"/>
    <n v="50"/>
    <s v="00"/>
    <s v="065"/>
    <s v="15000-065"/>
    <s v="Snare drum production item #065"/>
    <s v="UNIQUE"/>
    <n v="4"/>
    <n v="49"/>
    <n v="125"/>
    <n v="196"/>
    <n v="6125"/>
  </r>
  <r>
    <x v="0"/>
    <x v="19"/>
    <x v="4"/>
    <n v="1"/>
    <n v="50"/>
    <s v="00"/>
    <s v="066"/>
    <s v="15000-066"/>
    <s v="Snare drum production item #066"/>
    <s v="UNIQUE"/>
    <n v="0"/>
    <n v="6"/>
    <n v="15"/>
    <n v="0"/>
    <n v="90"/>
  </r>
  <r>
    <x v="0"/>
    <x v="19"/>
    <x v="4"/>
    <n v="1"/>
    <n v="50"/>
    <s v="00"/>
    <s v="067"/>
    <s v="15000-067"/>
    <s v="Snare drum production item #067"/>
    <s v="UNIQUE"/>
    <n v="0"/>
    <n v="8"/>
    <n v="2744"/>
    <n v="0"/>
    <n v="21952"/>
  </r>
  <r>
    <x v="0"/>
    <x v="19"/>
    <x v="4"/>
    <n v="1"/>
    <n v="50"/>
    <s v="00"/>
    <s v="068"/>
    <s v="15000-068"/>
    <s v="Snare drum production item #068"/>
    <s v="UNIQUE"/>
    <n v="0"/>
    <n v="8"/>
    <n v="6859"/>
    <n v="0"/>
    <n v="54872"/>
  </r>
  <r>
    <x v="0"/>
    <x v="19"/>
    <x v="4"/>
    <n v="1"/>
    <n v="50"/>
    <s v="00"/>
    <s v="069"/>
    <s v="15000-069"/>
    <s v="Snare drum production item #069"/>
    <s v="UNIQUE"/>
    <n v="0"/>
    <n v="6"/>
    <n v="24"/>
    <n v="0"/>
    <n v="144"/>
  </r>
  <r>
    <x v="0"/>
    <x v="19"/>
    <x v="4"/>
    <n v="1"/>
    <n v="50"/>
    <s v="00"/>
    <s v="070"/>
    <s v="15000-070"/>
    <s v="Snare drum production item #070"/>
    <s v="UNIQUE"/>
    <n v="0"/>
    <n v="8"/>
    <n v="900"/>
    <n v="0"/>
    <n v="7200"/>
  </r>
  <r>
    <x v="0"/>
    <x v="19"/>
    <x v="4"/>
    <n v="1"/>
    <n v="50"/>
    <s v="00"/>
    <s v="071"/>
    <s v="15000-071"/>
    <s v="Snare drum production item #071"/>
    <s v="UNIQUE"/>
    <n v="0"/>
    <n v="64"/>
    <n v="216"/>
    <n v="0"/>
    <n v="13824"/>
  </r>
  <r>
    <x v="0"/>
    <x v="19"/>
    <x v="4"/>
    <n v="1"/>
    <n v="50"/>
    <s v="00"/>
    <s v="072"/>
    <s v="15000-072"/>
    <s v="Snare drum production item #072"/>
    <s v="UNIQUE"/>
    <n v="0"/>
    <n v="9"/>
    <n v="17"/>
    <n v="0"/>
    <n v="153"/>
  </r>
  <r>
    <x v="0"/>
    <x v="19"/>
    <x v="4"/>
    <n v="1"/>
    <n v="50"/>
    <s v="00"/>
    <s v="073"/>
    <s v="15000-073"/>
    <s v="Snare drum production item #073"/>
    <s v="UNIQUE"/>
    <n v="740"/>
    <n v="7"/>
    <n v="3"/>
    <n v="5180"/>
    <n v="21"/>
  </r>
  <r>
    <x v="0"/>
    <x v="19"/>
    <x v="4"/>
    <n v="1"/>
    <n v="50"/>
    <s v="00"/>
    <s v="074"/>
    <s v="15000-074"/>
    <s v="Snare drum production item #074"/>
    <s v="UNIQUE"/>
    <n v="9"/>
    <n v="10"/>
    <n v="64"/>
    <n v="90"/>
    <n v="640"/>
  </r>
  <r>
    <x v="0"/>
    <x v="19"/>
    <x v="4"/>
    <n v="1"/>
    <n v="50"/>
    <s v="00"/>
    <s v="075"/>
    <s v="15000-075"/>
    <s v="Snare drum production item #075"/>
    <s v="UNIQUE"/>
    <n v="0"/>
    <n v="125"/>
    <n v="100"/>
    <n v="0"/>
    <n v="12500"/>
  </r>
  <r>
    <x v="0"/>
    <x v="19"/>
    <x v="4"/>
    <n v="1"/>
    <n v="50"/>
    <s v="00"/>
    <s v="076"/>
    <s v="15000-076"/>
    <s v="Snare drum production item #076"/>
    <s v="UNIQUE"/>
    <n v="7"/>
    <n v="8"/>
    <n v="625"/>
    <n v="56"/>
    <n v="5000"/>
  </r>
  <r>
    <x v="0"/>
    <x v="19"/>
    <x v="4"/>
    <n v="1"/>
    <n v="50"/>
    <s v="00"/>
    <s v="077"/>
    <s v="15000-077"/>
    <s v="Snare drum production item #077"/>
    <s v="UNIQUE"/>
    <n v="0"/>
    <n v="8"/>
    <n v="13"/>
    <n v="0"/>
    <n v="104"/>
  </r>
  <r>
    <x v="0"/>
    <x v="19"/>
    <x v="4"/>
    <n v="1"/>
    <n v="50"/>
    <s v="00"/>
    <s v="078"/>
    <s v="15000-078"/>
    <s v="Snare drum production item #078"/>
    <s v="UNIQUE"/>
    <n v="0"/>
    <n v="81"/>
    <n v="26"/>
    <n v="0"/>
    <n v="2106"/>
  </r>
  <r>
    <x v="0"/>
    <x v="19"/>
    <x v="4"/>
    <n v="1"/>
    <n v="50"/>
    <s v="00"/>
    <s v="079"/>
    <s v="15000-079"/>
    <s v="Snare drum production item #079"/>
    <s v="UNIQUE"/>
    <n v="0"/>
    <n v="343"/>
    <n v="21952"/>
    <n v="0"/>
    <n v="7529536"/>
  </r>
  <r>
    <x v="0"/>
    <x v="19"/>
    <x v="4"/>
    <n v="1"/>
    <n v="50"/>
    <s v="00"/>
    <s v="080"/>
    <s v="15000-080"/>
    <s v="Snare drum production item #080"/>
    <s v="UNIQUE"/>
    <n v="3464"/>
    <n v="343"/>
    <n v="576"/>
    <n v="1188152"/>
    <n v="197568"/>
  </r>
  <r>
    <x v="0"/>
    <x v="19"/>
    <x v="4"/>
    <n v="1"/>
    <n v="50"/>
    <s v="00"/>
    <s v="081"/>
    <s v="15000-081"/>
    <s v="Snare drum production item #081"/>
    <s v="UNIQUE"/>
    <n v="724"/>
    <n v="8"/>
    <n v="10648"/>
    <n v="5792"/>
    <n v="85184"/>
  </r>
  <r>
    <x v="0"/>
    <x v="19"/>
    <x v="4"/>
    <n v="1"/>
    <n v="50"/>
    <s v="00"/>
    <s v="082"/>
    <s v="15000-082"/>
    <s v="Snare drum production item #082"/>
    <s v="UNIQUE"/>
    <n v="0"/>
    <n v="3"/>
    <n v="144"/>
    <n v="0"/>
    <n v="432"/>
  </r>
  <r>
    <x v="0"/>
    <x v="19"/>
    <x v="4"/>
    <n v="1"/>
    <n v="50"/>
    <s v="00"/>
    <s v="083"/>
    <s v="15000-083"/>
    <s v="Snare drum production item #083"/>
    <s v="UNIQUE"/>
    <n v="0"/>
    <n v="25"/>
    <n v="289"/>
    <n v="0"/>
    <n v="7225"/>
  </r>
  <r>
    <x v="0"/>
    <x v="19"/>
    <x v="4"/>
    <n v="1"/>
    <n v="50"/>
    <s v="00"/>
    <s v="084"/>
    <s v="15000-084"/>
    <s v="Snare drum production item #084"/>
    <s v="UNIQUE"/>
    <n v="0"/>
    <n v="10"/>
    <n v="21952"/>
    <n v="0"/>
    <n v="219520"/>
  </r>
  <r>
    <x v="0"/>
    <x v="19"/>
    <x v="4"/>
    <n v="1"/>
    <n v="50"/>
    <s v="00"/>
    <s v="085"/>
    <s v="15000-085"/>
    <s v="Snare drum production item #085"/>
    <s v="UNIQUE"/>
    <n v="1"/>
    <n v="100"/>
    <n v="6859"/>
    <n v="100"/>
    <n v="685900"/>
  </r>
  <r>
    <x v="0"/>
    <x v="19"/>
    <x v="4"/>
    <n v="1"/>
    <n v="50"/>
    <s v="00"/>
    <s v="086"/>
    <s v="15000-086"/>
    <s v="Snare drum production item #086"/>
    <s v="UNIQUE"/>
    <n v="0"/>
    <n v="25"/>
    <n v="625"/>
    <n v="0"/>
    <n v="15625"/>
  </r>
  <r>
    <x v="0"/>
    <x v="19"/>
    <x v="4"/>
    <n v="1"/>
    <n v="50"/>
    <s v="00"/>
    <s v="087"/>
    <s v="15000-087"/>
    <s v="Snare drum production item #087"/>
    <s v="UNIQUE"/>
    <n v="0"/>
    <n v="81"/>
    <n v="1728"/>
    <n v="0"/>
    <n v="139968"/>
  </r>
  <r>
    <x v="0"/>
    <x v="19"/>
    <x v="4"/>
    <n v="1"/>
    <n v="50"/>
    <s v="00"/>
    <s v="088"/>
    <s v="15000-088"/>
    <s v="Snare drum production item #088"/>
    <s v="UNIQUE"/>
    <n v="5629"/>
    <n v="512"/>
    <n v="27000"/>
    <n v="2882048"/>
    <n v="13824000"/>
  </r>
  <r>
    <x v="0"/>
    <x v="19"/>
    <x v="4"/>
    <n v="1"/>
    <n v="50"/>
    <s v="00"/>
    <s v="089"/>
    <s v="15000-089"/>
    <s v="Snare drum production item #089"/>
    <s v="UNIQUE"/>
    <n v="0"/>
    <n v="49"/>
    <n v="8"/>
    <n v="0"/>
    <n v="392"/>
  </r>
  <r>
    <x v="0"/>
    <x v="19"/>
    <x v="4"/>
    <n v="1"/>
    <n v="50"/>
    <s v="00"/>
    <s v="090"/>
    <s v="15000-090"/>
    <s v="Snare drum production item #090"/>
    <s v="UNIQUE"/>
    <n v="0"/>
    <n v="7"/>
    <n v="81"/>
    <n v="0"/>
    <n v="567"/>
  </r>
  <r>
    <x v="0"/>
    <x v="19"/>
    <x v="4"/>
    <n v="1"/>
    <n v="50"/>
    <s v="00"/>
    <s v="091"/>
    <s v="15000-091"/>
    <s v="Snare drum production item #091"/>
    <s v="UNIQUE"/>
    <n v="0"/>
    <n v="4"/>
    <n v="81"/>
    <n v="0"/>
    <n v="324"/>
  </r>
  <r>
    <x v="0"/>
    <x v="19"/>
    <x v="4"/>
    <n v="1"/>
    <n v="50"/>
    <s v="00"/>
    <s v="092"/>
    <s v="15000-092"/>
    <s v="Snare drum production item #092"/>
    <s v="UNIQUE"/>
    <n v="0"/>
    <n v="9"/>
    <n v="4096"/>
    <n v="0"/>
    <n v="36864"/>
  </r>
  <r>
    <x v="0"/>
    <x v="19"/>
    <x v="4"/>
    <n v="1"/>
    <n v="50"/>
    <s v="00"/>
    <s v="093"/>
    <s v="15000-093"/>
    <s v="Snare drum production item #093"/>
    <s v="UNIQUE"/>
    <n v="31"/>
    <n v="16"/>
    <n v="9"/>
    <n v="496"/>
    <n v="144"/>
  </r>
  <r>
    <x v="0"/>
    <x v="19"/>
    <x v="4"/>
    <n v="1"/>
    <n v="50"/>
    <s v="00"/>
    <s v="094"/>
    <s v="15000-094"/>
    <s v="Snare drum production item #094"/>
    <s v="UNIQUE"/>
    <n v="0"/>
    <n v="4"/>
    <n v="729"/>
    <n v="0"/>
    <n v="2916"/>
  </r>
  <r>
    <x v="0"/>
    <x v="19"/>
    <x v="4"/>
    <n v="1"/>
    <n v="50"/>
    <s v="00"/>
    <s v="095"/>
    <s v="15000-095"/>
    <s v="Snare drum production item #095"/>
    <s v="UNIQUE"/>
    <n v="7874"/>
    <n v="125"/>
    <n v="2744"/>
    <n v="984250"/>
    <n v="343000"/>
  </r>
  <r>
    <x v="0"/>
    <x v="19"/>
    <x v="4"/>
    <n v="1"/>
    <n v="50"/>
    <s v="00"/>
    <s v="096"/>
    <s v="15000-096"/>
    <s v="Snare drum production item #096"/>
    <s v="UNIQUE"/>
    <n v="0"/>
    <n v="4"/>
    <n v="5"/>
    <n v="0"/>
    <n v="20"/>
  </r>
  <r>
    <x v="0"/>
    <x v="19"/>
    <x v="4"/>
    <n v="1"/>
    <n v="50"/>
    <s v="00"/>
    <s v="097"/>
    <s v="15000-097"/>
    <s v="Snare drum production item #097"/>
    <s v="UNIQUE"/>
    <n v="9"/>
    <n v="343"/>
    <n v="625"/>
    <n v="3087"/>
    <n v="214375"/>
  </r>
  <r>
    <x v="0"/>
    <x v="19"/>
    <x v="4"/>
    <n v="1"/>
    <n v="50"/>
    <s v="00"/>
    <s v="098"/>
    <s v="15000-098"/>
    <s v="Snare drum production item #098"/>
    <s v="UNIQUE"/>
    <n v="0"/>
    <n v="9"/>
    <n v="30"/>
    <n v="0"/>
    <n v="270"/>
  </r>
  <r>
    <x v="0"/>
    <x v="19"/>
    <x v="4"/>
    <n v="1"/>
    <n v="50"/>
    <s v="00"/>
    <s v="099"/>
    <s v="15000-099"/>
    <s v="Snare drum production item #099"/>
    <s v="UNIQUE"/>
    <n v="0"/>
    <n v="125"/>
    <n v="576"/>
    <n v="0"/>
    <n v="72000"/>
  </r>
  <r>
    <x v="0"/>
    <x v="19"/>
    <x v="4"/>
    <n v="1"/>
    <n v="50"/>
    <s v="00"/>
    <s v="100"/>
    <s v="15000-100"/>
    <s v="Snare drum production item #100"/>
    <s v="UNIQUE"/>
    <n v="337"/>
    <n v="3"/>
    <n v="30"/>
    <n v="1011"/>
    <n v="90"/>
  </r>
  <r>
    <x v="0"/>
    <x v="19"/>
    <x v="4"/>
    <n v="1"/>
    <n v="50"/>
    <s v="00"/>
    <s v="101"/>
    <s v="15000-101"/>
    <s v="Snare drum production item #101"/>
    <s v="UNIQUE"/>
    <n v="4"/>
    <n v="100"/>
    <n v="256"/>
    <n v="400"/>
    <n v="25600"/>
  </r>
  <r>
    <x v="0"/>
    <x v="19"/>
    <x v="4"/>
    <n v="1"/>
    <n v="50"/>
    <s v="00"/>
    <s v="102"/>
    <s v="15000-102"/>
    <s v="Snare drum production item #102"/>
    <s v="UNIQUE"/>
    <n v="1"/>
    <n v="8"/>
    <n v="676"/>
    <n v="8"/>
    <n v="5408"/>
  </r>
  <r>
    <x v="0"/>
    <x v="19"/>
    <x v="4"/>
    <n v="1"/>
    <n v="50"/>
    <s v="00"/>
    <s v="103"/>
    <s v="15000-103"/>
    <s v="Snare drum production item #103"/>
    <s v="UNIQUE"/>
    <n v="73"/>
    <n v="512"/>
    <n v="256"/>
    <n v="37376"/>
    <n v="131072"/>
  </r>
  <r>
    <x v="0"/>
    <x v="19"/>
    <x v="4"/>
    <n v="1"/>
    <n v="50"/>
    <s v="00"/>
    <s v="104"/>
    <s v="15000-104"/>
    <s v="Snare drum production item #104"/>
    <s v="UNIQUE"/>
    <n v="0"/>
    <n v="81"/>
    <n v="19683"/>
    <n v="0"/>
    <n v="1594323"/>
  </r>
  <r>
    <x v="0"/>
    <x v="19"/>
    <x v="4"/>
    <n v="1"/>
    <n v="50"/>
    <s v="00"/>
    <s v="105"/>
    <s v="15000-105"/>
    <s v="Snare drum production item #105"/>
    <s v="UNIQUE"/>
    <n v="7902"/>
    <n v="64"/>
    <n v="9"/>
    <n v="505728"/>
    <n v="576"/>
  </r>
  <r>
    <x v="0"/>
    <x v="19"/>
    <x v="4"/>
    <n v="1"/>
    <n v="50"/>
    <s v="00"/>
    <s v="106"/>
    <s v="15000-106"/>
    <s v="Snare drum production item #106"/>
    <s v="UNIQUE"/>
    <n v="0"/>
    <n v="8"/>
    <n v="15"/>
    <n v="0"/>
    <n v="120"/>
  </r>
  <r>
    <x v="0"/>
    <x v="19"/>
    <x v="4"/>
    <n v="1"/>
    <n v="50"/>
    <s v="00"/>
    <s v="107"/>
    <s v="15000-107"/>
    <s v="Snare drum production item #107"/>
    <s v="UNIQUE"/>
    <n v="0"/>
    <n v="100"/>
    <n v="576"/>
    <n v="0"/>
    <n v="57600"/>
  </r>
  <r>
    <x v="0"/>
    <x v="19"/>
    <x v="4"/>
    <n v="1"/>
    <n v="50"/>
    <s v="00"/>
    <s v="108"/>
    <s v="15000-108"/>
    <s v="Snare drum production item #108"/>
    <s v="UNIQUE"/>
    <n v="5565"/>
    <n v="343"/>
    <n v="23"/>
    <n v="1908795"/>
    <n v="7889"/>
  </r>
  <r>
    <x v="0"/>
    <x v="19"/>
    <x v="4"/>
    <n v="1"/>
    <n v="50"/>
    <s v="00"/>
    <s v="109"/>
    <s v="15000-109"/>
    <s v="Snare drum production item #109"/>
    <s v="UNIQUE"/>
    <n v="947"/>
    <n v="8"/>
    <n v="6859"/>
    <n v="7576"/>
    <n v="54872"/>
  </r>
  <r>
    <x v="0"/>
    <x v="19"/>
    <x v="4"/>
    <n v="1"/>
    <n v="50"/>
    <s v="00"/>
    <s v="110"/>
    <s v="15000-110"/>
    <s v="Snare drum production item #110"/>
    <s v="UNIQUE"/>
    <n v="0"/>
    <n v="125"/>
    <n v="225"/>
    <n v="0"/>
    <n v="28125"/>
  </r>
  <r>
    <x v="0"/>
    <x v="19"/>
    <x v="4"/>
    <n v="1"/>
    <n v="50"/>
    <s v="00"/>
    <s v="111"/>
    <s v="15000-111"/>
    <s v="Snare drum production item #111"/>
    <s v="UNIQUE"/>
    <n v="0"/>
    <n v="4"/>
    <n v="841"/>
    <n v="0"/>
    <n v="3364"/>
  </r>
  <r>
    <x v="0"/>
    <x v="19"/>
    <x v="4"/>
    <n v="1"/>
    <n v="50"/>
    <s v="00"/>
    <s v="112"/>
    <s v="15000-112"/>
    <s v="Snare drum production item #112"/>
    <s v="UNIQUE"/>
    <n v="35"/>
    <n v="2"/>
    <n v="441"/>
    <n v="70"/>
    <n v="882"/>
  </r>
  <r>
    <x v="0"/>
    <x v="19"/>
    <x v="4"/>
    <n v="1"/>
    <n v="50"/>
    <s v="00"/>
    <s v="113"/>
    <s v="15000-113"/>
    <s v="Snare drum production item #113"/>
    <s v="UNIQUE"/>
    <n v="1"/>
    <n v="8"/>
    <n v="484"/>
    <n v="8"/>
    <n v="3872"/>
  </r>
  <r>
    <x v="0"/>
    <x v="19"/>
    <x v="4"/>
    <n v="1"/>
    <n v="50"/>
    <s v="00"/>
    <s v="114"/>
    <s v="15000-114"/>
    <s v="Snare drum production item #114"/>
    <s v="UNIQUE"/>
    <n v="0"/>
    <n v="512"/>
    <n v="1"/>
    <n v="0"/>
    <n v="512"/>
  </r>
  <r>
    <x v="0"/>
    <x v="19"/>
    <x v="4"/>
    <n v="1"/>
    <n v="50"/>
    <s v="00"/>
    <s v="115"/>
    <s v="15000-115"/>
    <s v="Snare drum production item #115"/>
    <s v="UNIQUE"/>
    <n v="1"/>
    <n v="343"/>
    <n v="900"/>
    <n v="343"/>
    <n v="308700"/>
  </r>
  <r>
    <x v="0"/>
    <x v="19"/>
    <x v="4"/>
    <n v="1"/>
    <n v="50"/>
    <s v="00"/>
    <s v="116"/>
    <s v="15000-116"/>
    <s v="Snare drum production item #116"/>
    <s v="UNIQUE"/>
    <n v="0"/>
    <n v="25"/>
    <n v="15625"/>
    <n v="0"/>
    <n v="390625"/>
  </r>
  <r>
    <x v="0"/>
    <x v="19"/>
    <x v="4"/>
    <n v="1"/>
    <n v="50"/>
    <s v="00"/>
    <s v="117"/>
    <s v="15000-117"/>
    <s v="Snare drum production item #117"/>
    <s v="UNIQUE"/>
    <n v="0"/>
    <n v="100"/>
    <n v="100"/>
    <n v="0"/>
    <n v="10000"/>
  </r>
  <r>
    <x v="0"/>
    <x v="19"/>
    <x v="4"/>
    <n v="1"/>
    <n v="50"/>
    <s v="00"/>
    <s v="118"/>
    <s v="15000-118"/>
    <s v="Snare drum production item #118"/>
    <s v="UNIQUE"/>
    <n v="579"/>
    <n v="125"/>
    <n v="2744"/>
    <n v="72375"/>
    <n v="343000"/>
  </r>
  <r>
    <x v="0"/>
    <x v="19"/>
    <x v="4"/>
    <n v="1"/>
    <n v="50"/>
    <s v="00"/>
    <s v="119"/>
    <s v="15000-119"/>
    <s v="Snare drum production item #119"/>
    <s v="UNIQUE"/>
    <n v="1"/>
    <n v="49"/>
    <n v="361"/>
    <n v="49"/>
    <n v="17689"/>
  </r>
  <r>
    <x v="0"/>
    <x v="19"/>
    <x v="4"/>
    <n v="1"/>
    <n v="50"/>
    <s v="00"/>
    <s v="120"/>
    <s v="15000-120"/>
    <s v="Snare drum production item #120"/>
    <s v="UNIQUE"/>
    <n v="0"/>
    <n v="49"/>
    <n v="100"/>
    <n v="0"/>
    <n v="4900"/>
  </r>
  <r>
    <x v="0"/>
    <x v="19"/>
    <x v="4"/>
    <n v="1"/>
    <n v="50"/>
    <s v="00"/>
    <s v="121"/>
    <s v="15000-121"/>
    <s v="Snare drum production item #121"/>
    <s v="UNIQUE"/>
    <n v="78"/>
    <n v="1"/>
    <n v="729"/>
    <n v="78"/>
    <n v="729"/>
  </r>
  <r>
    <x v="0"/>
    <x v="19"/>
    <x v="4"/>
    <n v="1"/>
    <n v="50"/>
    <s v="00"/>
    <s v="122"/>
    <s v="15000-122"/>
    <s v="Snare drum production item #122"/>
    <s v="UNIQUE"/>
    <n v="486"/>
    <n v="8"/>
    <n v="1000"/>
    <n v="3888"/>
    <n v="8000"/>
  </r>
  <r>
    <x v="0"/>
    <x v="19"/>
    <x v="4"/>
    <n v="1"/>
    <n v="50"/>
    <s v="00"/>
    <s v="123"/>
    <s v="15000-123"/>
    <s v="Snare drum production item #123"/>
    <s v="UNIQUE"/>
    <n v="0"/>
    <n v="1"/>
    <n v="0"/>
    <n v="0"/>
    <n v="0"/>
  </r>
  <r>
    <x v="0"/>
    <x v="19"/>
    <x v="4"/>
    <n v="1"/>
    <n v="50"/>
    <s v="00"/>
    <s v="124"/>
    <s v="15000-124"/>
    <s v="Snare drum production item #124"/>
    <s v="UNIQUE"/>
    <n v="1"/>
    <n v="4"/>
    <n v="8"/>
    <n v="4"/>
    <n v="32"/>
  </r>
  <r>
    <x v="0"/>
    <x v="19"/>
    <x v="4"/>
    <n v="1"/>
    <n v="50"/>
    <s v="00"/>
    <s v="125"/>
    <s v="15000-125"/>
    <s v="Snare drum production item #125"/>
    <s v="UNIQUE"/>
    <n v="388"/>
    <n v="3"/>
    <n v="17576"/>
    <n v="1164"/>
    <n v="52728"/>
  </r>
  <r>
    <x v="0"/>
    <x v="19"/>
    <x v="4"/>
    <n v="1"/>
    <n v="50"/>
    <s v="00"/>
    <s v="126"/>
    <s v="15000-126"/>
    <s v="Snare drum production item #126"/>
    <s v="UNIQUE"/>
    <n v="1"/>
    <n v="25"/>
    <n v="10"/>
    <n v="25"/>
    <n v="250"/>
  </r>
  <r>
    <x v="0"/>
    <x v="19"/>
    <x v="4"/>
    <n v="1"/>
    <n v="50"/>
    <s v="00"/>
    <s v="127"/>
    <s v="15000-127"/>
    <s v="Snare drum production item #127"/>
    <s v="UNIQUE"/>
    <n v="0"/>
    <n v="10"/>
    <n v="8000"/>
    <n v="0"/>
    <n v="80000"/>
  </r>
  <r>
    <x v="0"/>
    <x v="19"/>
    <x v="4"/>
    <n v="1"/>
    <n v="50"/>
    <s v="00"/>
    <s v="128"/>
    <s v="15000-128"/>
    <s v="Snare drum production item #128"/>
    <s v="UNIQUE"/>
    <n v="0"/>
    <n v="49"/>
    <n v="2197"/>
    <n v="0"/>
    <n v="107653"/>
  </r>
  <r>
    <x v="0"/>
    <x v="19"/>
    <x v="4"/>
    <n v="1"/>
    <n v="50"/>
    <s v="00"/>
    <s v="129"/>
    <s v="15000-129"/>
    <s v="Snare drum production item #129"/>
    <s v="UNIQUE"/>
    <n v="0"/>
    <n v="512"/>
    <n v="841"/>
    <n v="0"/>
    <n v="430592"/>
  </r>
  <r>
    <x v="0"/>
    <x v="19"/>
    <x v="4"/>
    <n v="1"/>
    <n v="50"/>
    <s v="00"/>
    <s v="130"/>
    <s v="15000-130"/>
    <s v="Snare drum production item #130"/>
    <s v="UNIQUE"/>
    <n v="11"/>
    <n v="1"/>
    <n v="12167"/>
    <n v="11"/>
    <n v="12167"/>
  </r>
  <r>
    <x v="0"/>
    <x v="19"/>
    <x v="4"/>
    <n v="1"/>
    <n v="50"/>
    <s v="00"/>
    <s v="131"/>
    <s v="15000-131"/>
    <s v="Snare drum production item #131"/>
    <s v="UNIQUE"/>
    <n v="7"/>
    <n v="5"/>
    <n v="0"/>
    <n v="35"/>
    <n v="0"/>
  </r>
  <r>
    <x v="0"/>
    <x v="19"/>
    <x v="4"/>
    <n v="1"/>
    <n v="50"/>
    <s v="00"/>
    <s v="132"/>
    <s v="15000-132"/>
    <s v="Snare drum production item #132"/>
    <s v="UNIQUE"/>
    <n v="0"/>
    <n v="8"/>
    <n v="400"/>
    <n v="0"/>
    <n v="3200"/>
  </r>
  <r>
    <x v="0"/>
    <x v="19"/>
    <x v="4"/>
    <n v="1"/>
    <n v="50"/>
    <s v="00"/>
    <s v="133"/>
    <s v="15000-133"/>
    <s v="Snare drum production item #133"/>
    <s v="UNIQUE"/>
    <n v="0"/>
    <n v="9"/>
    <n v="0"/>
    <n v="0"/>
    <n v="0"/>
  </r>
  <r>
    <x v="0"/>
    <x v="19"/>
    <x v="4"/>
    <n v="1"/>
    <n v="50"/>
    <s v="00"/>
    <s v="134"/>
    <s v="15000-134"/>
    <s v="Snare drum production item #134"/>
    <s v="UNIQUE"/>
    <n v="0"/>
    <n v="729"/>
    <n v="24"/>
    <n v="0"/>
    <n v="17496"/>
  </r>
  <r>
    <x v="0"/>
    <x v="19"/>
    <x v="4"/>
    <n v="1"/>
    <n v="50"/>
    <s v="00"/>
    <s v="135"/>
    <s v="15000-135"/>
    <s v="Snare drum production item #135"/>
    <s v="UNIQUE"/>
    <n v="0"/>
    <n v="9"/>
    <n v="4"/>
    <n v="0"/>
    <n v="36"/>
  </r>
  <r>
    <x v="0"/>
    <x v="19"/>
    <x v="4"/>
    <n v="1"/>
    <n v="50"/>
    <s v="00"/>
    <s v="136"/>
    <s v="15000-136"/>
    <s v="Snare drum production item #136"/>
    <s v="UNIQUE"/>
    <n v="0"/>
    <n v="1000"/>
    <n v="576"/>
    <n v="0"/>
    <n v="576000"/>
  </r>
  <r>
    <x v="0"/>
    <x v="19"/>
    <x v="4"/>
    <n v="1"/>
    <n v="50"/>
    <s v="00"/>
    <s v="137"/>
    <s v="15000-137"/>
    <s v="Snare drum production item #137"/>
    <s v="UNIQUE"/>
    <n v="0"/>
    <n v="25"/>
    <n v="3375"/>
    <n v="0"/>
    <n v="84375"/>
  </r>
  <r>
    <x v="0"/>
    <x v="19"/>
    <x v="4"/>
    <n v="1"/>
    <n v="50"/>
    <s v="00"/>
    <s v="138"/>
    <s v="15000-138"/>
    <s v="Snare drum production item #138"/>
    <s v="UNIQUE"/>
    <n v="0"/>
    <n v="343"/>
    <n v="0"/>
    <n v="0"/>
    <n v="0"/>
  </r>
  <r>
    <x v="0"/>
    <x v="19"/>
    <x v="4"/>
    <n v="1"/>
    <n v="50"/>
    <s v="00"/>
    <s v="139"/>
    <s v="15000-139"/>
    <s v="Snare drum production item #139"/>
    <s v="UNIQUE"/>
    <n v="0"/>
    <n v="27"/>
    <n v="12"/>
    <n v="0"/>
    <n v="324"/>
  </r>
  <r>
    <x v="0"/>
    <x v="19"/>
    <x v="4"/>
    <n v="1"/>
    <n v="50"/>
    <s v="00"/>
    <s v="140"/>
    <s v="15000-140"/>
    <s v="Snare drum production item #140"/>
    <s v="UNIQUE"/>
    <n v="0"/>
    <n v="125"/>
    <n v="24389"/>
    <n v="0"/>
    <n v="3048625"/>
  </r>
  <r>
    <x v="0"/>
    <x v="19"/>
    <x v="4"/>
    <n v="1"/>
    <n v="50"/>
    <s v="00"/>
    <s v="141"/>
    <s v="15000-141"/>
    <s v="Snare drum production item #141"/>
    <s v="UNIQUE"/>
    <n v="804"/>
    <n v="3"/>
    <n v="64"/>
    <n v="2412"/>
    <n v="192"/>
  </r>
  <r>
    <x v="0"/>
    <x v="19"/>
    <x v="4"/>
    <n v="1"/>
    <n v="50"/>
    <s v="00"/>
    <s v="142"/>
    <s v="15000-142"/>
    <s v="Snare drum production item #142"/>
    <s v="UNIQUE"/>
    <n v="0"/>
    <n v="64"/>
    <n v="3"/>
    <n v="0"/>
    <n v="192"/>
  </r>
  <r>
    <x v="0"/>
    <x v="19"/>
    <x v="4"/>
    <n v="1"/>
    <n v="50"/>
    <s v="00"/>
    <s v="143"/>
    <s v="15000-143"/>
    <s v="Snare drum production item #143"/>
    <s v="UNIQUE"/>
    <n v="7"/>
    <n v="216"/>
    <n v="125"/>
    <n v="1512"/>
    <n v="27000"/>
  </r>
  <r>
    <x v="0"/>
    <x v="19"/>
    <x v="4"/>
    <n v="1"/>
    <n v="50"/>
    <s v="00"/>
    <s v="144"/>
    <s v="15000-144"/>
    <s v="Snare drum production item #144"/>
    <s v="UNIQUE"/>
    <n v="0"/>
    <n v="16"/>
    <n v="1000"/>
    <n v="0"/>
    <n v="16000"/>
  </r>
  <r>
    <x v="0"/>
    <x v="19"/>
    <x v="4"/>
    <n v="1"/>
    <n v="50"/>
    <s v="00"/>
    <s v="145"/>
    <s v="15000-145"/>
    <s v="Snare drum production item #145"/>
    <s v="UNIQUE"/>
    <n v="104"/>
    <n v="9"/>
    <n v="10"/>
    <n v="936"/>
    <n v="90"/>
  </r>
  <r>
    <x v="0"/>
    <x v="19"/>
    <x v="4"/>
    <n v="1"/>
    <n v="50"/>
    <s v="00"/>
    <s v="146"/>
    <s v="15000-146"/>
    <s v="Snare drum production item #146"/>
    <s v="UNIQUE"/>
    <n v="5300"/>
    <n v="4"/>
    <n v="28"/>
    <n v="21200"/>
    <n v="112"/>
  </r>
  <r>
    <x v="0"/>
    <x v="19"/>
    <x v="4"/>
    <n v="1"/>
    <n v="50"/>
    <s v="00"/>
    <s v="147"/>
    <s v="15000-147"/>
    <s v="Snare drum production item #147"/>
    <s v="UNIQUE"/>
    <n v="3515"/>
    <n v="27"/>
    <n v="2197"/>
    <n v="94905"/>
    <n v="59319"/>
  </r>
  <r>
    <x v="0"/>
    <x v="19"/>
    <x v="4"/>
    <n v="1"/>
    <n v="50"/>
    <s v="00"/>
    <s v="148"/>
    <s v="15000-148"/>
    <s v="Snare drum production item #148"/>
    <s v="UNIQUE"/>
    <n v="51"/>
    <n v="125"/>
    <n v="27000"/>
    <n v="6375"/>
    <n v="3375000"/>
  </r>
  <r>
    <x v="0"/>
    <x v="19"/>
    <x v="4"/>
    <n v="1"/>
    <n v="50"/>
    <s v="00"/>
    <s v="149"/>
    <s v="15000-149"/>
    <s v="Snare drum production item #149"/>
    <s v="UNIQUE"/>
    <n v="469"/>
    <n v="1"/>
    <n v="10648"/>
    <n v="469"/>
    <n v="10648"/>
  </r>
  <r>
    <x v="0"/>
    <x v="19"/>
    <x v="4"/>
    <n v="1"/>
    <n v="50"/>
    <s v="00"/>
    <s v="150"/>
    <s v="15000-150"/>
    <s v="Snare drum production item #150"/>
    <s v="UNIQUE"/>
    <n v="0"/>
    <n v="5"/>
    <n v="729"/>
    <n v="0"/>
    <n v="3645"/>
  </r>
  <r>
    <x v="0"/>
    <x v="19"/>
    <x v="4"/>
    <n v="1"/>
    <n v="50"/>
    <s v="00"/>
    <s v="151"/>
    <s v="15000-151"/>
    <s v="Snare drum production item #151"/>
    <s v="UNIQUE"/>
    <n v="19"/>
    <n v="81"/>
    <n v="5"/>
    <n v="1539"/>
    <n v="405"/>
  </r>
  <r>
    <x v="0"/>
    <x v="19"/>
    <x v="4"/>
    <n v="1"/>
    <n v="50"/>
    <s v="00"/>
    <s v="152"/>
    <s v="15000-152"/>
    <s v="Snare drum production item #152"/>
    <s v="UNIQUE"/>
    <n v="0"/>
    <n v="10"/>
    <n v="20"/>
    <n v="0"/>
    <n v="200"/>
  </r>
  <r>
    <x v="0"/>
    <x v="19"/>
    <x v="4"/>
    <n v="1"/>
    <n v="50"/>
    <s v="00"/>
    <s v="153"/>
    <s v="15000-153"/>
    <s v="Snare drum production item #153"/>
    <s v="UNIQUE"/>
    <n v="0"/>
    <n v="64"/>
    <n v="121"/>
    <n v="0"/>
    <n v="7744"/>
  </r>
  <r>
    <x v="0"/>
    <x v="19"/>
    <x v="4"/>
    <n v="1"/>
    <n v="50"/>
    <s v="00"/>
    <s v="154"/>
    <s v="15000-154"/>
    <s v="Snare drum production item #154"/>
    <s v="UNIQUE"/>
    <n v="10"/>
    <n v="7"/>
    <n v="900"/>
    <n v="70"/>
    <n v="6300"/>
  </r>
  <r>
    <x v="0"/>
    <x v="19"/>
    <x v="4"/>
    <n v="1"/>
    <n v="50"/>
    <s v="00"/>
    <s v="155"/>
    <s v="15000-155"/>
    <s v="Snare drum production item #155"/>
    <s v="UNIQUE"/>
    <n v="0"/>
    <n v="729"/>
    <n v="26"/>
    <n v="0"/>
    <n v="18954"/>
  </r>
  <r>
    <x v="0"/>
    <x v="19"/>
    <x v="4"/>
    <n v="1"/>
    <n v="50"/>
    <s v="00"/>
    <s v="156"/>
    <s v="15000-156"/>
    <s v="Snare drum production item #156"/>
    <s v="UNIQUE"/>
    <n v="8"/>
    <n v="8"/>
    <n v="17"/>
    <n v="64"/>
    <n v="136"/>
  </r>
  <r>
    <x v="0"/>
    <x v="19"/>
    <x v="4"/>
    <n v="1"/>
    <n v="50"/>
    <s v="00"/>
    <s v="157"/>
    <s v="15000-157"/>
    <s v="Snare drum production item #157"/>
    <s v="UNIQUE"/>
    <n v="0"/>
    <n v="1"/>
    <n v="2197"/>
    <n v="0"/>
    <n v="2197"/>
  </r>
  <r>
    <x v="0"/>
    <x v="19"/>
    <x v="4"/>
    <n v="1"/>
    <n v="50"/>
    <s v="00"/>
    <s v="158"/>
    <s v="15000-158"/>
    <s v="Snare drum production item #158"/>
    <s v="UNIQUE"/>
    <n v="0"/>
    <n v="3"/>
    <n v="10648"/>
    <n v="0"/>
    <n v="31944"/>
  </r>
  <r>
    <x v="0"/>
    <x v="19"/>
    <x v="4"/>
    <n v="1"/>
    <n v="50"/>
    <s v="00"/>
    <s v="159"/>
    <s v="15000-159"/>
    <s v="Snare drum production item #159"/>
    <s v="UNIQUE"/>
    <n v="870"/>
    <n v="64"/>
    <n v="0"/>
    <n v="55680"/>
    <n v="0"/>
  </r>
  <r>
    <x v="0"/>
    <x v="19"/>
    <x v="4"/>
    <n v="1"/>
    <n v="50"/>
    <s v="00"/>
    <s v="160"/>
    <s v="15000-160"/>
    <s v="Snare drum production item #160"/>
    <s v="UNIQUE"/>
    <n v="0"/>
    <n v="25"/>
    <n v="25"/>
    <n v="0"/>
    <n v="625"/>
  </r>
  <r>
    <x v="0"/>
    <x v="19"/>
    <x v="4"/>
    <n v="1"/>
    <n v="50"/>
    <s v="00"/>
    <s v="161"/>
    <s v="15000-161"/>
    <s v="Snare drum production item #161"/>
    <s v="UNIQUE"/>
    <n v="92"/>
    <n v="64"/>
    <n v="144"/>
    <n v="5888"/>
    <n v="9216"/>
  </r>
  <r>
    <x v="0"/>
    <x v="19"/>
    <x v="4"/>
    <n v="1"/>
    <n v="50"/>
    <s v="00"/>
    <s v="162"/>
    <s v="15000-162"/>
    <s v="Snare drum production item #162"/>
    <s v="UNIQUE"/>
    <n v="637"/>
    <n v="16"/>
    <n v="21"/>
    <n v="10192"/>
    <n v="336"/>
  </r>
  <r>
    <x v="0"/>
    <x v="19"/>
    <x v="4"/>
    <n v="1"/>
    <n v="50"/>
    <s v="00"/>
    <s v="163"/>
    <s v="15000-163"/>
    <s v="Snare drum production item #163"/>
    <s v="UNIQUE"/>
    <n v="0"/>
    <n v="6"/>
    <n v="11"/>
    <n v="0"/>
    <n v="66"/>
  </r>
  <r>
    <x v="0"/>
    <x v="19"/>
    <x v="4"/>
    <n v="1"/>
    <n v="50"/>
    <s v="00"/>
    <s v="164"/>
    <s v="15000-164"/>
    <s v="Snare drum production item #164"/>
    <s v="UNIQUE"/>
    <n v="0"/>
    <n v="125"/>
    <n v="16"/>
    <n v="0"/>
    <n v="2000"/>
  </r>
  <r>
    <x v="0"/>
    <x v="19"/>
    <x v="4"/>
    <n v="1"/>
    <n v="50"/>
    <s v="00"/>
    <s v="165"/>
    <s v="15000-165"/>
    <s v="Snare drum production item #165"/>
    <s v="UNIQUE"/>
    <n v="31"/>
    <n v="9"/>
    <n v="6"/>
    <n v="279"/>
    <n v="54"/>
  </r>
  <r>
    <x v="0"/>
    <x v="19"/>
    <x v="4"/>
    <n v="1"/>
    <n v="50"/>
    <s v="00"/>
    <s v="166"/>
    <s v="15000-166"/>
    <s v="Snare drum production item #166"/>
    <s v="UNIQUE"/>
    <n v="0"/>
    <n v="25"/>
    <n v="1000"/>
    <n v="0"/>
    <n v="25000"/>
  </r>
  <r>
    <x v="0"/>
    <x v="19"/>
    <x v="4"/>
    <n v="1"/>
    <n v="50"/>
    <s v="00"/>
    <s v="167"/>
    <s v="15000-167"/>
    <s v="Snare drum production item #167"/>
    <s v="UNIQUE"/>
    <n v="9787"/>
    <n v="3"/>
    <n v="21"/>
    <n v="29361"/>
    <n v="63"/>
  </r>
  <r>
    <x v="0"/>
    <x v="19"/>
    <x v="4"/>
    <n v="1"/>
    <n v="50"/>
    <s v="00"/>
    <s v="168"/>
    <s v="15000-168"/>
    <s v="Snare drum production item #168"/>
    <s v="UNIQUE"/>
    <n v="3503"/>
    <n v="216"/>
    <n v="12167"/>
    <n v="756648"/>
    <n v="2628072"/>
  </r>
  <r>
    <x v="0"/>
    <x v="19"/>
    <x v="4"/>
    <n v="1"/>
    <n v="50"/>
    <s v="00"/>
    <s v="169"/>
    <s v="15000-169"/>
    <s v="Snare drum production item #169"/>
    <s v="UNIQUE"/>
    <n v="0"/>
    <n v="216"/>
    <n v="512"/>
    <n v="0"/>
    <n v="110592"/>
  </r>
  <r>
    <x v="0"/>
    <x v="19"/>
    <x v="4"/>
    <n v="1"/>
    <n v="50"/>
    <s v="00"/>
    <s v="170"/>
    <s v="15000-170"/>
    <s v="Snare drum production item #170"/>
    <s v="UNIQUE"/>
    <n v="379"/>
    <n v="4"/>
    <n v="196"/>
    <n v="1516"/>
    <n v="784"/>
  </r>
  <r>
    <x v="0"/>
    <x v="19"/>
    <x v="4"/>
    <n v="1"/>
    <n v="50"/>
    <s v="00"/>
    <s v="171"/>
    <s v="15000-171"/>
    <s v="Snare drum production item #171"/>
    <s v="UNIQUE"/>
    <n v="5607"/>
    <n v="10"/>
    <n v="12"/>
    <n v="56070"/>
    <n v="120"/>
  </r>
  <r>
    <x v="0"/>
    <x v="19"/>
    <x v="4"/>
    <n v="1"/>
    <n v="50"/>
    <s v="00"/>
    <s v="172"/>
    <s v="15000-172"/>
    <s v="Snare drum production item #172"/>
    <s v="UNIQUE"/>
    <n v="6"/>
    <n v="64"/>
    <n v="289"/>
    <n v="384"/>
    <n v="18496"/>
  </r>
  <r>
    <x v="0"/>
    <x v="19"/>
    <x v="4"/>
    <n v="1"/>
    <n v="50"/>
    <s v="00"/>
    <s v="173"/>
    <s v="15000-173"/>
    <s v="Snare drum production item #173"/>
    <s v="UNIQUE"/>
    <n v="0"/>
    <n v="100"/>
    <n v="26"/>
    <n v="0"/>
    <n v="2600"/>
  </r>
  <r>
    <x v="0"/>
    <x v="19"/>
    <x v="4"/>
    <n v="1"/>
    <n v="50"/>
    <s v="00"/>
    <s v="174"/>
    <s v="15000-174"/>
    <s v="Snare drum production item #174"/>
    <s v="UNIQUE"/>
    <n v="7"/>
    <n v="1"/>
    <n v="3375"/>
    <n v="7"/>
    <n v="3375"/>
  </r>
  <r>
    <x v="0"/>
    <x v="19"/>
    <x v="4"/>
    <n v="1"/>
    <n v="50"/>
    <s v="00"/>
    <s v="175"/>
    <s v="15000-175"/>
    <s v="Snare drum production item #175"/>
    <s v="UNIQUE"/>
    <n v="0"/>
    <n v="5"/>
    <n v="529"/>
    <n v="0"/>
    <n v="2645"/>
  </r>
  <r>
    <x v="0"/>
    <x v="19"/>
    <x v="4"/>
    <n v="1"/>
    <n v="50"/>
    <s v="00"/>
    <s v="176"/>
    <s v="15000-176"/>
    <s v="Snare drum production item #176"/>
    <s v="UNIQUE"/>
    <n v="11"/>
    <n v="8"/>
    <n v="23"/>
    <n v="88"/>
    <n v="184"/>
  </r>
  <r>
    <x v="0"/>
    <x v="19"/>
    <x v="4"/>
    <n v="1"/>
    <n v="50"/>
    <s v="00"/>
    <s v="177"/>
    <s v="15000-177"/>
    <s v="Snare drum production item #177"/>
    <s v="UNIQUE"/>
    <n v="615"/>
    <n v="343"/>
    <n v="9"/>
    <n v="210945"/>
    <n v="3087"/>
  </r>
  <r>
    <x v="0"/>
    <x v="19"/>
    <x v="4"/>
    <n v="1"/>
    <n v="50"/>
    <s v="00"/>
    <s v="178"/>
    <s v="15000-178"/>
    <s v="Snare drum production item #178"/>
    <s v="UNIQUE"/>
    <n v="1116"/>
    <n v="512"/>
    <n v="529"/>
    <n v="571392"/>
    <n v="270848"/>
  </r>
  <r>
    <x v="0"/>
    <x v="19"/>
    <x v="4"/>
    <n v="1"/>
    <n v="50"/>
    <s v="00"/>
    <s v="179"/>
    <s v="15000-179"/>
    <s v="Snare drum production item #179"/>
    <s v="UNIQUE"/>
    <n v="4903"/>
    <n v="7"/>
    <n v="13824"/>
    <n v="34321"/>
    <n v="96768"/>
  </r>
  <r>
    <x v="0"/>
    <x v="19"/>
    <x v="4"/>
    <n v="1"/>
    <n v="50"/>
    <s v="00"/>
    <s v="180"/>
    <s v="15000-180"/>
    <s v="Snare drum production item #180"/>
    <s v="UNIQUE"/>
    <n v="4"/>
    <n v="512"/>
    <n v="9"/>
    <n v="2048"/>
    <n v="4608"/>
  </r>
  <r>
    <x v="0"/>
    <x v="19"/>
    <x v="4"/>
    <n v="1"/>
    <n v="50"/>
    <s v="00"/>
    <s v="181"/>
    <s v="15000-181"/>
    <s v="Snare drum production item #181"/>
    <s v="UNIQUE"/>
    <n v="0"/>
    <n v="8"/>
    <n v="26"/>
    <n v="0"/>
    <n v="208"/>
  </r>
  <r>
    <x v="0"/>
    <x v="19"/>
    <x v="4"/>
    <n v="1"/>
    <n v="50"/>
    <s v="00"/>
    <s v="182"/>
    <s v="15000-182"/>
    <s v="Snare drum production item #182"/>
    <s v="UNIQUE"/>
    <n v="1718"/>
    <n v="4"/>
    <n v="2744"/>
    <n v="6872"/>
    <n v="10976"/>
  </r>
  <r>
    <x v="0"/>
    <x v="19"/>
    <x v="4"/>
    <n v="1"/>
    <n v="50"/>
    <s v="00"/>
    <s v="183"/>
    <s v="15000-183"/>
    <s v="Snare drum production item #183"/>
    <s v="UNIQUE"/>
    <n v="0"/>
    <n v="81"/>
    <n v="28"/>
    <n v="0"/>
    <n v="2268"/>
  </r>
  <r>
    <x v="0"/>
    <x v="19"/>
    <x v="4"/>
    <n v="1"/>
    <n v="50"/>
    <s v="00"/>
    <s v="184"/>
    <s v="15000-184"/>
    <s v="Snare drum production item #184"/>
    <s v="UNIQUE"/>
    <n v="0"/>
    <n v="81"/>
    <n v="216"/>
    <n v="0"/>
    <n v="17496"/>
  </r>
  <r>
    <x v="0"/>
    <x v="19"/>
    <x v="4"/>
    <n v="1"/>
    <n v="50"/>
    <s v="00"/>
    <s v="185"/>
    <s v="15000-185"/>
    <s v="Snare drum production item #185"/>
    <s v="UNIQUE"/>
    <n v="358"/>
    <n v="5"/>
    <n v="4913"/>
    <n v="1790"/>
    <n v="24565"/>
  </r>
  <r>
    <x v="0"/>
    <x v="19"/>
    <x v="4"/>
    <n v="1"/>
    <n v="50"/>
    <s v="00"/>
    <s v="186"/>
    <s v="15000-186"/>
    <s v="Snare drum production item #186"/>
    <s v="UNIQUE"/>
    <n v="0"/>
    <n v="64"/>
    <n v="1"/>
    <n v="0"/>
    <n v="64"/>
  </r>
  <r>
    <x v="0"/>
    <x v="19"/>
    <x v="4"/>
    <n v="1"/>
    <n v="50"/>
    <s v="00"/>
    <s v="187"/>
    <s v="15000-187"/>
    <s v="Snare drum production item #187"/>
    <s v="UNIQUE"/>
    <n v="1"/>
    <n v="3"/>
    <n v="21952"/>
    <n v="3"/>
    <n v="65856"/>
  </r>
  <r>
    <x v="0"/>
    <x v="19"/>
    <x v="4"/>
    <n v="1"/>
    <n v="50"/>
    <s v="00"/>
    <s v="188"/>
    <s v="15000-188"/>
    <s v="Snare drum production item #188"/>
    <s v="UNIQUE"/>
    <n v="8470"/>
    <n v="512"/>
    <n v="64"/>
    <n v="4336640"/>
    <n v="32768"/>
  </r>
  <r>
    <x v="0"/>
    <x v="19"/>
    <x v="4"/>
    <n v="1"/>
    <n v="50"/>
    <s v="00"/>
    <s v="189"/>
    <s v="15000-189"/>
    <s v="Snare drum production item #189"/>
    <s v="UNIQUE"/>
    <n v="0"/>
    <n v="3"/>
    <n v="4096"/>
    <n v="0"/>
    <n v="12288"/>
  </r>
  <r>
    <x v="0"/>
    <x v="19"/>
    <x v="4"/>
    <n v="1"/>
    <n v="50"/>
    <s v="00"/>
    <s v="190"/>
    <s v="15000-190"/>
    <s v="Snare drum production item #190"/>
    <s v="UNIQUE"/>
    <n v="0"/>
    <n v="27"/>
    <n v="324"/>
    <n v="0"/>
    <n v="8748"/>
  </r>
  <r>
    <x v="0"/>
    <x v="19"/>
    <x v="4"/>
    <n v="1"/>
    <n v="50"/>
    <s v="00"/>
    <s v="191"/>
    <s v="15000-191"/>
    <s v="Snare drum production item #191"/>
    <s v="UNIQUE"/>
    <n v="0"/>
    <n v="49"/>
    <n v="216"/>
    <n v="0"/>
    <n v="10584"/>
  </r>
  <r>
    <x v="0"/>
    <x v="19"/>
    <x v="4"/>
    <n v="1"/>
    <n v="50"/>
    <s v="00"/>
    <s v="192"/>
    <s v="15000-192"/>
    <s v="Snare drum production item #192"/>
    <s v="UNIQUE"/>
    <n v="3"/>
    <n v="512"/>
    <n v="121"/>
    <n v="1536"/>
    <n v="61952"/>
  </r>
  <r>
    <x v="0"/>
    <x v="19"/>
    <x v="4"/>
    <n v="1"/>
    <n v="50"/>
    <s v="00"/>
    <s v="193"/>
    <s v="15000-193"/>
    <s v="Snare drum production item #193"/>
    <s v="UNIQUE"/>
    <n v="2218"/>
    <n v="100"/>
    <n v="144"/>
    <n v="221800"/>
    <n v="14400"/>
  </r>
  <r>
    <x v="0"/>
    <x v="19"/>
    <x v="4"/>
    <n v="1"/>
    <n v="50"/>
    <s v="00"/>
    <s v="194"/>
    <s v="15000-194"/>
    <s v="Snare drum production item #194"/>
    <s v="UNIQUE"/>
    <n v="780"/>
    <n v="1000"/>
    <n v="19"/>
    <n v="780000"/>
    <n v="19000"/>
  </r>
  <r>
    <x v="0"/>
    <x v="19"/>
    <x v="4"/>
    <n v="1"/>
    <n v="50"/>
    <s v="00"/>
    <s v="195"/>
    <s v="15000-195"/>
    <s v="Snare drum production item #195"/>
    <s v="UNIQUE"/>
    <n v="3460"/>
    <n v="9"/>
    <n v="14"/>
    <n v="31140"/>
    <n v="126"/>
  </r>
  <r>
    <x v="0"/>
    <x v="19"/>
    <x v="4"/>
    <n v="1"/>
    <n v="50"/>
    <s v="00"/>
    <s v="196"/>
    <s v="15000-196"/>
    <s v="Snare drum production item #196"/>
    <s v="UNIQUE"/>
    <n v="5706"/>
    <n v="10"/>
    <n v="2197"/>
    <n v="57060"/>
    <n v="21970"/>
  </r>
  <r>
    <x v="0"/>
    <x v="19"/>
    <x v="4"/>
    <n v="1"/>
    <n v="50"/>
    <s v="00"/>
    <s v="197"/>
    <s v="15000-197"/>
    <s v="Snare drum production item #197"/>
    <s v="UNIQUE"/>
    <n v="40"/>
    <n v="8"/>
    <n v="0"/>
    <n v="320"/>
    <n v="0"/>
  </r>
  <r>
    <x v="0"/>
    <x v="19"/>
    <x v="4"/>
    <n v="1"/>
    <n v="50"/>
    <s v="00"/>
    <s v="198"/>
    <s v="15000-198"/>
    <s v="Snare drum production item #198"/>
    <s v="UNIQUE"/>
    <n v="490"/>
    <n v="4"/>
    <n v="36"/>
    <n v="1960"/>
    <n v="144"/>
  </r>
  <r>
    <x v="0"/>
    <x v="19"/>
    <x v="4"/>
    <n v="1"/>
    <n v="50"/>
    <s v="00"/>
    <s v="199"/>
    <s v="15000-199"/>
    <s v="Snare drum production item #199"/>
    <s v="UNIQUE"/>
    <n v="0"/>
    <n v="512"/>
    <n v="625"/>
    <n v="0"/>
    <n v="320000"/>
  </r>
  <r>
    <x v="0"/>
    <x v="20"/>
    <x v="4"/>
    <n v="1"/>
    <n v="51"/>
    <s v="00"/>
    <s v="000"/>
    <s v="15100-000"/>
    <s v="Timpani production item #000"/>
    <s v="UNIQUE"/>
    <n v="0"/>
    <n v="16"/>
    <n v="441"/>
    <n v="0"/>
    <n v="7056"/>
  </r>
  <r>
    <x v="0"/>
    <x v="20"/>
    <x v="4"/>
    <n v="1"/>
    <n v="51"/>
    <s v="00"/>
    <s v="001"/>
    <s v="15100-001"/>
    <s v="Timpani production item #001"/>
    <s v="UNIQUE"/>
    <n v="34"/>
    <n v="343"/>
    <n v="343"/>
    <n v="11662"/>
    <n v="117649"/>
  </r>
  <r>
    <x v="0"/>
    <x v="20"/>
    <x v="4"/>
    <n v="1"/>
    <n v="51"/>
    <s v="00"/>
    <s v="002"/>
    <s v="15100-002"/>
    <s v="Timpani production item #002"/>
    <s v="UNIQUE"/>
    <n v="1"/>
    <n v="16"/>
    <n v="12"/>
    <n v="16"/>
    <n v="192"/>
  </r>
  <r>
    <x v="0"/>
    <x v="20"/>
    <x v="4"/>
    <n v="1"/>
    <n v="51"/>
    <s v="00"/>
    <s v="003"/>
    <s v="15100-003"/>
    <s v="Timpani production item #003"/>
    <s v="UNIQUE"/>
    <n v="0"/>
    <n v="10"/>
    <n v="625"/>
    <n v="0"/>
    <n v="6250"/>
  </r>
  <r>
    <x v="0"/>
    <x v="20"/>
    <x v="4"/>
    <n v="1"/>
    <n v="51"/>
    <s v="00"/>
    <s v="004"/>
    <s v="15100-004"/>
    <s v="Timpani production item #004"/>
    <s v="UNIQUE"/>
    <n v="0"/>
    <n v="9"/>
    <n v="1"/>
    <n v="0"/>
    <n v="9"/>
  </r>
  <r>
    <x v="0"/>
    <x v="20"/>
    <x v="4"/>
    <n v="1"/>
    <n v="51"/>
    <s v="00"/>
    <s v="005"/>
    <s v="15100-005"/>
    <s v="Timpani production item #005"/>
    <s v="UNIQUE"/>
    <n v="302"/>
    <n v="64"/>
    <n v="21952"/>
    <n v="19328"/>
    <n v="1404928"/>
  </r>
  <r>
    <x v="0"/>
    <x v="20"/>
    <x v="4"/>
    <n v="1"/>
    <n v="51"/>
    <s v="00"/>
    <s v="006"/>
    <s v="15100-006"/>
    <s v="Timpani production item #006"/>
    <s v="UNIQUE"/>
    <n v="97"/>
    <n v="100"/>
    <n v="529"/>
    <n v="9700"/>
    <n v="52900"/>
  </r>
  <r>
    <x v="0"/>
    <x v="20"/>
    <x v="4"/>
    <n v="1"/>
    <n v="51"/>
    <s v="00"/>
    <s v="007"/>
    <s v="15100-007"/>
    <s v="Timpani production item #007"/>
    <s v="UNIQUE"/>
    <n v="0"/>
    <n v="1000"/>
    <n v="2744"/>
    <n v="0"/>
    <n v="2744000"/>
  </r>
  <r>
    <x v="0"/>
    <x v="20"/>
    <x v="4"/>
    <n v="1"/>
    <n v="51"/>
    <s v="00"/>
    <s v="008"/>
    <s v="15100-008"/>
    <s v="Timpani production item #008"/>
    <s v="UNIQUE"/>
    <n v="0"/>
    <n v="81"/>
    <n v="28"/>
    <n v="0"/>
    <n v="2268"/>
  </r>
  <r>
    <x v="0"/>
    <x v="20"/>
    <x v="4"/>
    <n v="1"/>
    <n v="51"/>
    <s v="00"/>
    <s v="009"/>
    <s v="15100-009"/>
    <s v="Timpani production item #009"/>
    <s v="UNIQUE"/>
    <n v="14"/>
    <n v="2"/>
    <n v="324"/>
    <n v="28"/>
    <n v="648"/>
  </r>
  <r>
    <x v="0"/>
    <x v="20"/>
    <x v="4"/>
    <n v="1"/>
    <n v="51"/>
    <s v="00"/>
    <s v="010"/>
    <s v="15100-010"/>
    <s v="Timpani production item #010"/>
    <s v="UNIQUE"/>
    <n v="75"/>
    <n v="100"/>
    <n v="5832"/>
    <n v="7500"/>
    <n v="583200"/>
  </r>
  <r>
    <x v="0"/>
    <x v="20"/>
    <x v="4"/>
    <n v="1"/>
    <n v="51"/>
    <s v="00"/>
    <s v="011"/>
    <s v="15100-011"/>
    <s v="Timpani production item #011"/>
    <s v="UNIQUE"/>
    <n v="0"/>
    <n v="36"/>
    <n v="26"/>
    <n v="0"/>
    <n v="936"/>
  </r>
  <r>
    <x v="0"/>
    <x v="20"/>
    <x v="4"/>
    <n v="1"/>
    <n v="51"/>
    <s v="00"/>
    <s v="012"/>
    <s v="15100-012"/>
    <s v="Timpani production item #012"/>
    <s v="UNIQUE"/>
    <n v="0"/>
    <n v="125"/>
    <n v="28"/>
    <n v="0"/>
    <n v="3500"/>
  </r>
  <r>
    <x v="0"/>
    <x v="20"/>
    <x v="4"/>
    <n v="1"/>
    <n v="51"/>
    <s v="00"/>
    <s v="013"/>
    <s v="15100-013"/>
    <s v="Timpani production item #013"/>
    <s v="UNIQUE"/>
    <n v="643"/>
    <n v="5"/>
    <n v="8000"/>
    <n v="3215"/>
    <n v="40000"/>
  </r>
  <r>
    <x v="0"/>
    <x v="20"/>
    <x v="4"/>
    <n v="1"/>
    <n v="51"/>
    <s v="00"/>
    <s v="014"/>
    <s v="15100-014"/>
    <s v="Timpani production item #014"/>
    <s v="UNIQUE"/>
    <n v="0"/>
    <n v="9"/>
    <n v="21952"/>
    <n v="0"/>
    <n v="197568"/>
  </r>
  <r>
    <x v="0"/>
    <x v="20"/>
    <x v="4"/>
    <n v="1"/>
    <n v="51"/>
    <s v="00"/>
    <s v="015"/>
    <s v="15100-015"/>
    <s v="Timpani production item #015"/>
    <s v="UNIQUE"/>
    <n v="0"/>
    <n v="64"/>
    <n v="729"/>
    <n v="0"/>
    <n v="46656"/>
  </r>
  <r>
    <x v="0"/>
    <x v="20"/>
    <x v="4"/>
    <n v="1"/>
    <n v="51"/>
    <s v="00"/>
    <s v="016"/>
    <s v="15100-016"/>
    <s v="Timpani production item #016"/>
    <s v="UNIQUE"/>
    <n v="0"/>
    <n v="6"/>
    <n v="4913"/>
    <n v="0"/>
    <n v="29478"/>
  </r>
  <r>
    <x v="0"/>
    <x v="20"/>
    <x v="4"/>
    <n v="1"/>
    <n v="51"/>
    <s v="00"/>
    <s v="017"/>
    <s v="15100-017"/>
    <s v="Timpani production item #017"/>
    <s v="UNIQUE"/>
    <n v="0"/>
    <n v="9"/>
    <n v="49"/>
    <n v="0"/>
    <n v="441"/>
  </r>
  <r>
    <x v="0"/>
    <x v="20"/>
    <x v="4"/>
    <n v="1"/>
    <n v="51"/>
    <s v="00"/>
    <s v="018"/>
    <s v="15100-018"/>
    <s v="Timpani production item #018"/>
    <s v="UNIQUE"/>
    <n v="5"/>
    <n v="64"/>
    <n v="4096"/>
    <n v="320"/>
    <n v="262144"/>
  </r>
  <r>
    <x v="0"/>
    <x v="20"/>
    <x v="4"/>
    <n v="1"/>
    <n v="51"/>
    <s v="00"/>
    <s v="019"/>
    <s v="15100-019"/>
    <s v="Timpani production item #019"/>
    <s v="UNIQUE"/>
    <n v="6027"/>
    <n v="36"/>
    <n v="100"/>
    <n v="216972"/>
    <n v="3600"/>
  </r>
  <r>
    <x v="0"/>
    <x v="20"/>
    <x v="4"/>
    <n v="1"/>
    <n v="51"/>
    <s v="00"/>
    <s v="020"/>
    <s v="15100-020"/>
    <s v="Timpani production item #020"/>
    <s v="UNIQUE"/>
    <n v="0"/>
    <n v="9"/>
    <n v="4096"/>
    <n v="0"/>
    <n v="36864"/>
  </r>
  <r>
    <x v="0"/>
    <x v="20"/>
    <x v="4"/>
    <n v="1"/>
    <n v="51"/>
    <s v="00"/>
    <s v="021"/>
    <s v="15100-021"/>
    <s v="Timpani production item #021"/>
    <s v="UNIQUE"/>
    <n v="0"/>
    <n v="8"/>
    <n v="9"/>
    <n v="0"/>
    <n v="72"/>
  </r>
  <r>
    <x v="0"/>
    <x v="20"/>
    <x v="4"/>
    <n v="1"/>
    <n v="51"/>
    <s v="00"/>
    <s v="022"/>
    <s v="15100-022"/>
    <s v="Timpani production item #022"/>
    <s v="UNIQUE"/>
    <n v="0"/>
    <n v="27"/>
    <n v="30"/>
    <n v="0"/>
    <n v="810"/>
  </r>
  <r>
    <x v="0"/>
    <x v="20"/>
    <x v="4"/>
    <n v="1"/>
    <n v="51"/>
    <s v="00"/>
    <s v="023"/>
    <s v="15100-023"/>
    <s v="Timpani production item #023"/>
    <s v="UNIQUE"/>
    <n v="0"/>
    <n v="3"/>
    <n v="64"/>
    <n v="0"/>
    <n v="192"/>
  </r>
  <r>
    <x v="0"/>
    <x v="20"/>
    <x v="4"/>
    <n v="1"/>
    <n v="51"/>
    <s v="00"/>
    <s v="024"/>
    <s v="15100-024"/>
    <s v="Timpani production item #024"/>
    <s v="UNIQUE"/>
    <n v="1"/>
    <n v="36"/>
    <n v="0"/>
    <n v="36"/>
    <n v="0"/>
  </r>
  <r>
    <x v="0"/>
    <x v="20"/>
    <x v="4"/>
    <n v="1"/>
    <n v="51"/>
    <s v="00"/>
    <s v="025"/>
    <s v="15100-025"/>
    <s v="Timpani production item #025"/>
    <s v="UNIQUE"/>
    <n v="0"/>
    <n v="36"/>
    <n v="25"/>
    <n v="0"/>
    <n v="900"/>
  </r>
  <r>
    <x v="0"/>
    <x v="20"/>
    <x v="4"/>
    <n v="1"/>
    <n v="51"/>
    <s v="00"/>
    <s v="026"/>
    <s v="15100-026"/>
    <s v="Timpani production item #026"/>
    <s v="UNIQUE"/>
    <n v="1"/>
    <n v="49"/>
    <n v="100"/>
    <n v="49"/>
    <n v="4900"/>
  </r>
  <r>
    <x v="0"/>
    <x v="20"/>
    <x v="4"/>
    <n v="1"/>
    <n v="51"/>
    <s v="00"/>
    <s v="027"/>
    <s v="15100-027"/>
    <s v="Timpani production item #027"/>
    <s v="UNIQUE"/>
    <n v="1"/>
    <n v="6"/>
    <n v="4096"/>
    <n v="6"/>
    <n v="24576"/>
  </r>
  <r>
    <x v="0"/>
    <x v="20"/>
    <x v="4"/>
    <n v="1"/>
    <n v="51"/>
    <s v="00"/>
    <s v="028"/>
    <s v="15100-028"/>
    <s v="Timpani production item #028"/>
    <s v="UNIQUE"/>
    <n v="0"/>
    <n v="7"/>
    <n v="784"/>
    <n v="0"/>
    <n v="5488"/>
  </r>
  <r>
    <x v="0"/>
    <x v="20"/>
    <x v="4"/>
    <n v="1"/>
    <n v="51"/>
    <s v="00"/>
    <s v="029"/>
    <s v="15100-029"/>
    <s v="Timpani production item #029"/>
    <s v="UNIQUE"/>
    <n v="0"/>
    <n v="3"/>
    <n v="15"/>
    <n v="0"/>
    <n v="45"/>
  </r>
  <r>
    <x v="0"/>
    <x v="20"/>
    <x v="4"/>
    <n v="1"/>
    <n v="51"/>
    <s v="00"/>
    <s v="030"/>
    <s v="15100-030"/>
    <s v="Timpani production item #030"/>
    <s v="UNIQUE"/>
    <n v="83"/>
    <n v="81"/>
    <n v="169"/>
    <n v="6723"/>
    <n v="13689"/>
  </r>
  <r>
    <x v="0"/>
    <x v="20"/>
    <x v="4"/>
    <n v="1"/>
    <n v="51"/>
    <s v="00"/>
    <s v="031"/>
    <s v="15100-031"/>
    <s v="Timpani production item #031"/>
    <s v="UNIQUE"/>
    <n v="60"/>
    <n v="125"/>
    <n v="1"/>
    <n v="7500"/>
    <n v="125"/>
  </r>
  <r>
    <x v="0"/>
    <x v="20"/>
    <x v="4"/>
    <n v="1"/>
    <n v="51"/>
    <s v="00"/>
    <s v="032"/>
    <s v="15100-032"/>
    <s v="Timpani production item #032"/>
    <s v="UNIQUE"/>
    <n v="78"/>
    <n v="1"/>
    <n v="20"/>
    <n v="78"/>
    <n v="20"/>
  </r>
  <r>
    <x v="0"/>
    <x v="20"/>
    <x v="4"/>
    <n v="1"/>
    <n v="51"/>
    <s v="00"/>
    <s v="033"/>
    <s v="15100-033"/>
    <s v="Timpani production item #033"/>
    <s v="UNIQUE"/>
    <n v="0"/>
    <n v="216"/>
    <n v="36"/>
    <n v="0"/>
    <n v="7776"/>
  </r>
  <r>
    <x v="0"/>
    <x v="20"/>
    <x v="4"/>
    <n v="1"/>
    <n v="51"/>
    <s v="00"/>
    <s v="034"/>
    <s v="15100-034"/>
    <s v="Timpani production item #034"/>
    <s v="UNIQUE"/>
    <n v="7129"/>
    <n v="5"/>
    <n v="16"/>
    <n v="35645"/>
    <n v="80"/>
  </r>
  <r>
    <x v="0"/>
    <x v="20"/>
    <x v="4"/>
    <n v="1"/>
    <n v="51"/>
    <s v="00"/>
    <s v="035"/>
    <s v="15100-035"/>
    <s v="Timpani production item #035"/>
    <s v="UNIQUE"/>
    <n v="66"/>
    <n v="9"/>
    <n v="512"/>
    <n v="594"/>
    <n v="4608"/>
  </r>
  <r>
    <x v="0"/>
    <x v="20"/>
    <x v="4"/>
    <n v="1"/>
    <n v="51"/>
    <s v="00"/>
    <s v="036"/>
    <s v="15100-036"/>
    <s v="Timpani production item #036"/>
    <s v="UNIQUE"/>
    <n v="0"/>
    <n v="3"/>
    <n v="24"/>
    <n v="0"/>
    <n v="72"/>
  </r>
  <r>
    <x v="0"/>
    <x v="20"/>
    <x v="4"/>
    <n v="1"/>
    <n v="51"/>
    <s v="00"/>
    <s v="037"/>
    <s v="15100-037"/>
    <s v="Timpani production item #037"/>
    <s v="UNIQUE"/>
    <n v="4774"/>
    <n v="125"/>
    <n v="12167"/>
    <n v="596750"/>
    <n v="1520875"/>
  </r>
  <r>
    <x v="0"/>
    <x v="20"/>
    <x v="4"/>
    <n v="1"/>
    <n v="51"/>
    <s v="00"/>
    <s v="038"/>
    <s v="15100-038"/>
    <s v="Timpani production item #038"/>
    <s v="UNIQUE"/>
    <n v="0"/>
    <n v="8"/>
    <n v="27"/>
    <n v="0"/>
    <n v="216"/>
  </r>
  <r>
    <x v="0"/>
    <x v="20"/>
    <x v="4"/>
    <n v="1"/>
    <n v="51"/>
    <s v="00"/>
    <s v="039"/>
    <s v="15100-039"/>
    <s v="Timpani production item #039"/>
    <s v="UNIQUE"/>
    <n v="0"/>
    <n v="9"/>
    <n v="13"/>
    <n v="0"/>
    <n v="117"/>
  </r>
  <r>
    <x v="0"/>
    <x v="20"/>
    <x v="4"/>
    <n v="1"/>
    <n v="51"/>
    <s v="00"/>
    <s v="040"/>
    <s v="15100-040"/>
    <s v="Timpani production item #040"/>
    <s v="UNIQUE"/>
    <n v="0"/>
    <n v="81"/>
    <n v="6859"/>
    <n v="0"/>
    <n v="555579"/>
  </r>
  <r>
    <x v="0"/>
    <x v="20"/>
    <x v="4"/>
    <n v="1"/>
    <n v="51"/>
    <s v="00"/>
    <s v="041"/>
    <s v="15100-041"/>
    <s v="Timpani production item #041"/>
    <s v="UNIQUE"/>
    <n v="4759"/>
    <n v="10"/>
    <n v="16"/>
    <n v="47590"/>
    <n v="160"/>
  </r>
  <r>
    <x v="0"/>
    <x v="20"/>
    <x v="4"/>
    <n v="1"/>
    <n v="51"/>
    <s v="00"/>
    <s v="042"/>
    <s v="15100-042"/>
    <s v="Timpani production item #042"/>
    <s v="UNIQUE"/>
    <n v="61"/>
    <n v="6"/>
    <n v="2"/>
    <n v="366"/>
    <n v="12"/>
  </r>
  <r>
    <x v="0"/>
    <x v="20"/>
    <x v="4"/>
    <n v="1"/>
    <n v="51"/>
    <s v="00"/>
    <s v="043"/>
    <s v="15100-043"/>
    <s v="Timpani production item #043"/>
    <s v="UNIQUE"/>
    <n v="0"/>
    <n v="64"/>
    <n v="13824"/>
    <n v="0"/>
    <n v="884736"/>
  </r>
  <r>
    <x v="0"/>
    <x v="20"/>
    <x v="4"/>
    <n v="1"/>
    <n v="51"/>
    <s v="00"/>
    <s v="044"/>
    <s v="15100-044"/>
    <s v="Timpani production item #044"/>
    <s v="UNIQUE"/>
    <n v="6280"/>
    <n v="125"/>
    <n v="49"/>
    <n v="785000"/>
    <n v="6125"/>
  </r>
  <r>
    <x v="0"/>
    <x v="20"/>
    <x v="4"/>
    <n v="1"/>
    <n v="51"/>
    <s v="00"/>
    <s v="045"/>
    <s v="15100-045"/>
    <s v="Timpani production item #045"/>
    <s v="UNIQUE"/>
    <n v="0"/>
    <n v="3"/>
    <n v="216"/>
    <n v="0"/>
    <n v="648"/>
  </r>
  <r>
    <x v="0"/>
    <x v="20"/>
    <x v="4"/>
    <n v="1"/>
    <n v="51"/>
    <s v="00"/>
    <s v="046"/>
    <s v="15100-046"/>
    <s v="Timpani production item #046"/>
    <s v="UNIQUE"/>
    <n v="0"/>
    <n v="4"/>
    <n v="15625"/>
    <n v="0"/>
    <n v="62500"/>
  </r>
  <r>
    <x v="0"/>
    <x v="20"/>
    <x v="4"/>
    <n v="1"/>
    <n v="51"/>
    <s v="00"/>
    <s v="047"/>
    <s v="15100-047"/>
    <s v="Timpani production item #047"/>
    <s v="UNIQUE"/>
    <n v="0"/>
    <n v="100"/>
    <n v="125"/>
    <n v="0"/>
    <n v="12500"/>
  </r>
  <r>
    <x v="0"/>
    <x v="20"/>
    <x v="4"/>
    <n v="1"/>
    <n v="51"/>
    <s v="00"/>
    <s v="048"/>
    <s v="15100-048"/>
    <s v="Timpani production item #048"/>
    <s v="UNIQUE"/>
    <n v="4514"/>
    <n v="216"/>
    <n v="1"/>
    <n v="975024"/>
    <n v="216"/>
  </r>
  <r>
    <x v="0"/>
    <x v="20"/>
    <x v="4"/>
    <n v="1"/>
    <n v="51"/>
    <s v="00"/>
    <s v="049"/>
    <s v="15100-049"/>
    <s v="Timpani production item #049"/>
    <s v="UNIQUE"/>
    <n v="584"/>
    <n v="36"/>
    <n v="8000"/>
    <n v="21024"/>
    <n v="288000"/>
  </r>
  <r>
    <x v="0"/>
    <x v="21"/>
    <x v="4"/>
    <n v="1"/>
    <n v="52"/>
    <s v="00"/>
    <s v="000"/>
    <s v="15200-000"/>
    <s v="Bass drum production item #000"/>
    <s v="UNIQUE"/>
    <n v="4"/>
    <n v="27"/>
    <n v="512"/>
    <n v="108"/>
    <n v="13824"/>
  </r>
  <r>
    <x v="0"/>
    <x v="21"/>
    <x v="4"/>
    <n v="1"/>
    <n v="52"/>
    <s v="00"/>
    <s v="001"/>
    <s v="15200-001"/>
    <s v="Bass drum production item #001"/>
    <s v="UNIQUE"/>
    <n v="0"/>
    <n v="25"/>
    <n v="361"/>
    <n v="0"/>
    <n v="9025"/>
  </r>
  <r>
    <x v="0"/>
    <x v="21"/>
    <x v="4"/>
    <n v="1"/>
    <n v="52"/>
    <s v="00"/>
    <s v="002"/>
    <s v="15200-002"/>
    <s v="Bass drum production item #002"/>
    <s v="UNIQUE"/>
    <n v="1"/>
    <n v="5"/>
    <n v="676"/>
    <n v="5"/>
    <n v="3380"/>
  </r>
  <r>
    <x v="0"/>
    <x v="21"/>
    <x v="4"/>
    <n v="1"/>
    <n v="52"/>
    <s v="00"/>
    <s v="003"/>
    <s v="15200-003"/>
    <s v="Bass drum production item #003"/>
    <s v="UNIQUE"/>
    <n v="0"/>
    <n v="1"/>
    <n v="16"/>
    <n v="0"/>
    <n v="16"/>
  </r>
  <r>
    <x v="0"/>
    <x v="21"/>
    <x v="4"/>
    <n v="1"/>
    <n v="52"/>
    <s v="00"/>
    <s v="004"/>
    <s v="15200-004"/>
    <s v="Bass drum production item #004"/>
    <s v="UNIQUE"/>
    <n v="2"/>
    <n v="216"/>
    <n v="6859"/>
    <n v="432"/>
    <n v="1481544"/>
  </r>
  <r>
    <x v="0"/>
    <x v="21"/>
    <x v="4"/>
    <n v="1"/>
    <n v="52"/>
    <s v="00"/>
    <s v="005"/>
    <s v="15200-005"/>
    <s v="Bass drum production item #005"/>
    <s v="UNIQUE"/>
    <n v="57"/>
    <n v="4"/>
    <n v="400"/>
    <n v="228"/>
    <n v="1600"/>
  </r>
  <r>
    <x v="0"/>
    <x v="21"/>
    <x v="4"/>
    <n v="1"/>
    <n v="52"/>
    <s v="00"/>
    <s v="006"/>
    <s v="15200-006"/>
    <s v="Bass drum production item #006"/>
    <s v="UNIQUE"/>
    <n v="0"/>
    <n v="10"/>
    <n v="576"/>
    <n v="0"/>
    <n v="5760"/>
  </r>
  <r>
    <x v="0"/>
    <x v="21"/>
    <x v="4"/>
    <n v="1"/>
    <n v="52"/>
    <s v="00"/>
    <s v="007"/>
    <s v="15200-007"/>
    <s v="Bass drum production item #007"/>
    <s v="UNIQUE"/>
    <n v="5313"/>
    <n v="10"/>
    <n v="7"/>
    <n v="53130"/>
    <n v="70"/>
  </r>
  <r>
    <x v="0"/>
    <x v="21"/>
    <x v="4"/>
    <n v="1"/>
    <n v="52"/>
    <s v="00"/>
    <s v="008"/>
    <s v="15200-008"/>
    <s v="Bass drum production item #008"/>
    <s v="UNIQUE"/>
    <n v="0"/>
    <n v="7"/>
    <n v="19683"/>
    <n v="0"/>
    <n v="137781"/>
  </r>
  <r>
    <x v="0"/>
    <x v="21"/>
    <x v="4"/>
    <n v="1"/>
    <n v="52"/>
    <s v="00"/>
    <s v="009"/>
    <s v="15200-009"/>
    <s v="Bass drum production item #009"/>
    <s v="UNIQUE"/>
    <n v="121"/>
    <n v="64"/>
    <n v="0"/>
    <n v="7744"/>
    <n v="0"/>
  </r>
  <r>
    <x v="0"/>
    <x v="21"/>
    <x v="4"/>
    <n v="1"/>
    <n v="52"/>
    <s v="00"/>
    <s v="010"/>
    <s v="15200-010"/>
    <s v="Bass drum production item #010"/>
    <s v="UNIQUE"/>
    <n v="0"/>
    <n v="343"/>
    <n v="10648"/>
    <n v="0"/>
    <n v="3652264"/>
  </r>
  <r>
    <x v="0"/>
    <x v="21"/>
    <x v="4"/>
    <n v="1"/>
    <n v="52"/>
    <s v="00"/>
    <s v="011"/>
    <s v="15200-011"/>
    <s v="Bass drum production item #011"/>
    <s v="UNIQUE"/>
    <n v="0"/>
    <n v="9"/>
    <n v="4"/>
    <n v="0"/>
    <n v="36"/>
  </r>
  <r>
    <x v="0"/>
    <x v="21"/>
    <x v="4"/>
    <n v="1"/>
    <n v="52"/>
    <s v="00"/>
    <s v="012"/>
    <s v="15200-012"/>
    <s v="Bass drum production item #012"/>
    <s v="UNIQUE"/>
    <n v="0"/>
    <n v="3"/>
    <n v="25"/>
    <n v="0"/>
    <n v="75"/>
  </r>
  <r>
    <x v="0"/>
    <x v="21"/>
    <x v="4"/>
    <n v="1"/>
    <n v="52"/>
    <s v="00"/>
    <s v="013"/>
    <s v="15200-013"/>
    <s v="Bass drum production item #013"/>
    <s v="UNIQUE"/>
    <n v="0"/>
    <n v="49"/>
    <n v="0"/>
    <n v="0"/>
    <n v="0"/>
  </r>
  <r>
    <x v="0"/>
    <x v="21"/>
    <x v="4"/>
    <n v="1"/>
    <n v="52"/>
    <s v="00"/>
    <s v="014"/>
    <s v="15200-014"/>
    <s v="Bass drum production item #014"/>
    <s v="UNIQUE"/>
    <n v="2"/>
    <n v="343"/>
    <n v="1"/>
    <n v="686"/>
    <n v="343"/>
  </r>
  <r>
    <x v="0"/>
    <x v="21"/>
    <x v="4"/>
    <n v="1"/>
    <n v="52"/>
    <s v="00"/>
    <s v="015"/>
    <s v="15200-015"/>
    <s v="Bass drum production item #015"/>
    <s v="UNIQUE"/>
    <n v="47"/>
    <n v="2"/>
    <n v="8000"/>
    <n v="94"/>
    <n v="16000"/>
  </r>
  <r>
    <x v="0"/>
    <x v="21"/>
    <x v="4"/>
    <n v="1"/>
    <n v="52"/>
    <s v="00"/>
    <s v="016"/>
    <s v="15200-016"/>
    <s v="Bass drum production item #016"/>
    <s v="UNIQUE"/>
    <n v="53"/>
    <n v="9"/>
    <n v="4"/>
    <n v="477"/>
    <n v="36"/>
  </r>
  <r>
    <x v="0"/>
    <x v="21"/>
    <x v="4"/>
    <n v="1"/>
    <n v="52"/>
    <s v="00"/>
    <s v="017"/>
    <s v="15200-017"/>
    <s v="Bass drum production item #017"/>
    <s v="UNIQUE"/>
    <n v="0"/>
    <n v="512"/>
    <n v="8"/>
    <n v="0"/>
    <n v="4096"/>
  </r>
  <r>
    <x v="0"/>
    <x v="21"/>
    <x v="4"/>
    <n v="1"/>
    <n v="52"/>
    <s v="00"/>
    <s v="018"/>
    <s v="15200-018"/>
    <s v="Bass drum production item #018"/>
    <s v="UNIQUE"/>
    <n v="0"/>
    <n v="125"/>
    <n v="13"/>
    <n v="0"/>
    <n v="1625"/>
  </r>
  <r>
    <x v="0"/>
    <x v="21"/>
    <x v="4"/>
    <n v="1"/>
    <n v="52"/>
    <s v="00"/>
    <s v="019"/>
    <s v="15200-019"/>
    <s v="Bass drum production item #019"/>
    <s v="UNIQUE"/>
    <n v="0"/>
    <n v="216"/>
    <n v="5832"/>
    <n v="0"/>
    <n v="1259712"/>
  </r>
  <r>
    <x v="0"/>
    <x v="21"/>
    <x v="4"/>
    <n v="1"/>
    <n v="52"/>
    <s v="00"/>
    <s v="020"/>
    <s v="15200-020"/>
    <s v="Bass drum production item #020"/>
    <s v="UNIQUE"/>
    <n v="0"/>
    <n v="512"/>
    <n v="28"/>
    <n v="0"/>
    <n v="14336"/>
  </r>
  <r>
    <x v="0"/>
    <x v="21"/>
    <x v="4"/>
    <n v="1"/>
    <n v="52"/>
    <s v="00"/>
    <s v="021"/>
    <s v="15200-021"/>
    <s v="Bass drum production item #021"/>
    <s v="UNIQUE"/>
    <n v="7"/>
    <n v="216"/>
    <n v="1"/>
    <n v="1512"/>
    <n v="216"/>
  </r>
  <r>
    <x v="0"/>
    <x v="21"/>
    <x v="4"/>
    <n v="1"/>
    <n v="52"/>
    <s v="00"/>
    <s v="022"/>
    <s v="15200-022"/>
    <s v="Bass drum production item #022"/>
    <s v="UNIQUE"/>
    <n v="1"/>
    <n v="5"/>
    <n v="529"/>
    <n v="5"/>
    <n v="2645"/>
  </r>
  <r>
    <x v="0"/>
    <x v="21"/>
    <x v="4"/>
    <n v="1"/>
    <n v="52"/>
    <s v="00"/>
    <s v="023"/>
    <s v="15200-023"/>
    <s v="Bass drum production item #023"/>
    <s v="UNIQUE"/>
    <n v="910"/>
    <n v="512"/>
    <n v="125"/>
    <n v="465920"/>
    <n v="64000"/>
  </r>
  <r>
    <x v="0"/>
    <x v="21"/>
    <x v="4"/>
    <n v="1"/>
    <n v="52"/>
    <s v="00"/>
    <s v="024"/>
    <s v="15200-024"/>
    <s v="Bass drum production item #024"/>
    <s v="UNIQUE"/>
    <n v="0"/>
    <n v="25"/>
    <n v="361"/>
    <n v="0"/>
    <n v="9025"/>
  </r>
  <r>
    <x v="0"/>
    <x v="21"/>
    <x v="4"/>
    <n v="1"/>
    <n v="52"/>
    <s v="00"/>
    <s v="025"/>
    <s v="15200-025"/>
    <s v="Bass drum production item #025"/>
    <s v="UNIQUE"/>
    <n v="0"/>
    <n v="5"/>
    <n v="12"/>
    <n v="0"/>
    <n v="60"/>
  </r>
  <r>
    <x v="0"/>
    <x v="21"/>
    <x v="4"/>
    <n v="1"/>
    <n v="52"/>
    <s v="00"/>
    <s v="026"/>
    <s v="15200-026"/>
    <s v="Bass drum production item #026"/>
    <s v="UNIQUE"/>
    <n v="0"/>
    <n v="216"/>
    <n v="289"/>
    <n v="0"/>
    <n v="62424"/>
  </r>
  <r>
    <x v="0"/>
    <x v="21"/>
    <x v="4"/>
    <n v="1"/>
    <n v="52"/>
    <s v="00"/>
    <s v="027"/>
    <s v="15200-027"/>
    <s v="Bass drum production item #027"/>
    <s v="UNIQUE"/>
    <n v="0"/>
    <n v="7"/>
    <n v="64"/>
    <n v="0"/>
    <n v="448"/>
  </r>
  <r>
    <x v="0"/>
    <x v="21"/>
    <x v="4"/>
    <n v="1"/>
    <n v="52"/>
    <s v="00"/>
    <s v="028"/>
    <s v="15200-028"/>
    <s v="Bass drum production item #028"/>
    <s v="UNIQUE"/>
    <n v="625"/>
    <n v="3"/>
    <n v="13"/>
    <n v="1875"/>
    <n v="39"/>
  </r>
  <r>
    <x v="0"/>
    <x v="21"/>
    <x v="4"/>
    <n v="1"/>
    <n v="52"/>
    <s v="00"/>
    <s v="029"/>
    <s v="15200-029"/>
    <s v="Bass drum production item #029"/>
    <s v="UNIQUE"/>
    <n v="0"/>
    <n v="27"/>
    <n v="121"/>
    <n v="0"/>
    <n v="3267"/>
  </r>
  <r>
    <x v="0"/>
    <x v="21"/>
    <x v="4"/>
    <n v="1"/>
    <n v="52"/>
    <s v="00"/>
    <s v="030"/>
    <s v="15200-030"/>
    <s v="Bass drum production item #030"/>
    <s v="UNIQUE"/>
    <n v="82"/>
    <n v="64"/>
    <n v="196"/>
    <n v="5248"/>
    <n v="12544"/>
  </r>
  <r>
    <x v="0"/>
    <x v="21"/>
    <x v="4"/>
    <n v="1"/>
    <n v="52"/>
    <s v="00"/>
    <s v="031"/>
    <s v="15200-031"/>
    <s v="Bass drum production item #031"/>
    <s v="UNIQUE"/>
    <n v="6366"/>
    <n v="2"/>
    <n v="169"/>
    <n v="12732"/>
    <n v="338"/>
  </r>
  <r>
    <x v="0"/>
    <x v="21"/>
    <x v="4"/>
    <n v="1"/>
    <n v="52"/>
    <s v="00"/>
    <s v="032"/>
    <s v="15200-032"/>
    <s v="Bass drum production item #032"/>
    <s v="UNIQUE"/>
    <n v="0"/>
    <n v="16"/>
    <n v="16"/>
    <n v="0"/>
    <n v="256"/>
  </r>
  <r>
    <x v="0"/>
    <x v="21"/>
    <x v="4"/>
    <n v="1"/>
    <n v="52"/>
    <s v="00"/>
    <s v="033"/>
    <s v="15200-033"/>
    <s v="Bass drum production item #033"/>
    <s v="UNIQUE"/>
    <n v="0"/>
    <n v="729"/>
    <n v="9261"/>
    <n v="0"/>
    <n v="6751269"/>
  </r>
  <r>
    <x v="0"/>
    <x v="21"/>
    <x v="4"/>
    <n v="1"/>
    <n v="52"/>
    <s v="00"/>
    <s v="034"/>
    <s v="15200-034"/>
    <s v="Bass drum production item #034"/>
    <s v="UNIQUE"/>
    <n v="0"/>
    <n v="216"/>
    <n v="4913"/>
    <n v="0"/>
    <n v="1061208"/>
  </r>
  <r>
    <x v="0"/>
    <x v="21"/>
    <x v="4"/>
    <n v="1"/>
    <n v="52"/>
    <s v="00"/>
    <s v="035"/>
    <s v="15200-035"/>
    <s v="Bass drum production item #035"/>
    <s v="UNIQUE"/>
    <n v="0"/>
    <n v="4"/>
    <n v="21"/>
    <n v="0"/>
    <n v="84"/>
  </r>
  <r>
    <x v="0"/>
    <x v="21"/>
    <x v="4"/>
    <n v="1"/>
    <n v="52"/>
    <s v="00"/>
    <s v="036"/>
    <s v="15200-036"/>
    <s v="Bass drum production item #036"/>
    <s v="UNIQUE"/>
    <n v="0"/>
    <n v="7"/>
    <n v="900"/>
    <n v="0"/>
    <n v="6300"/>
  </r>
  <r>
    <x v="0"/>
    <x v="21"/>
    <x v="4"/>
    <n v="1"/>
    <n v="52"/>
    <s v="00"/>
    <s v="037"/>
    <s v="15200-037"/>
    <s v="Bass drum production item #037"/>
    <s v="UNIQUE"/>
    <n v="439"/>
    <n v="49"/>
    <n v="6"/>
    <n v="21511"/>
    <n v="294"/>
  </r>
  <r>
    <x v="0"/>
    <x v="21"/>
    <x v="4"/>
    <n v="1"/>
    <n v="52"/>
    <s v="00"/>
    <s v="038"/>
    <s v="15200-038"/>
    <s v="Bass drum production item #038"/>
    <s v="UNIQUE"/>
    <n v="0"/>
    <n v="4"/>
    <n v="841"/>
    <n v="0"/>
    <n v="3364"/>
  </r>
  <r>
    <x v="0"/>
    <x v="21"/>
    <x v="4"/>
    <n v="1"/>
    <n v="52"/>
    <s v="00"/>
    <s v="039"/>
    <s v="15200-039"/>
    <s v="Bass drum production item #039"/>
    <s v="UNIQUE"/>
    <n v="0"/>
    <n v="512"/>
    <n v="289"/>
    <n v="0"/>
    <n v="147968"/>
  </r>
  <r>
    <x v="0"/>
    <x v="21"/>
    <x v="4"/>
    <n v="1"/>
    <n v="52"/>
    <s v="00"/>
    <s v="040"/>
    <s v="15200-040"/>
    <s v="Bass drum production item #040"/>
    <s v="UNIQUE"/>
    <n v="0"/>
    <n v="81"/>
    <n v="8000"/>
    <n v="0"/>
    <n v="648000"/>
  </r>
  <r>
    <x v="0"/>
    <x v="21"/>
    <x v="4"/>
    <n v="1"/>
    <n v="52"/>
    <s v="00"/>
    <s v="041"/>
    <s v="15200-041"/>
    <s v="Bass drum production item #041"/>
    <s v="UNIQUE"/>
    <n v="0"/>
    <n v="10"/>
    <n v="4913"/>
    <n v="0"/>
    <n v="49130"/>
  </r>
  <r>
    <x v="0"/>
    <x v="21"/>
    <x v="4"/>
    <n v="1"/>
    <n v="52"/>
    <s v="00"/>
    <s v="042"/>
    <s v="15200-042"/>
    <s v="Bass drum production item #042"/>
    <s v="UNIQUE"/>
    <n v="6131"/>
    <n v="7"/>
    <n v="1"/>
    <n v="42917"/>
    <n v="7"/>
  </r>
  <r>
    <x v="0"/>
    <x v="21"/>
    <x v="4"/>
    <n v="1"/>
    <n v="52"/>
    <s v="00"/>
    <s v="043"/>
    <s v="15200-043"/>
    <s v="Bass drum production item #043"/>
    <s v="UNIQUE"/>
    <n v="25"/>
    <n v="64"/>
    <n v="30"/>
    <n v="1600"/>
    <n v="1920"/>
  </r>
  <r>
    <x v="0"/>
    <x v="21"/>
    <x v="4"/>
    <n v="1"/>
    <n v="52"/>
    <s v="00"/>
    <s v="044"/>
    <s v="15200-044"/>
    <s v="Bass drum production item #044"/>
    <s v="UNIQUE"/>
    <n v="73"/>
    <n v="1"/>
    <n v="1"/>
    <n v="73"/>
    <n v="1"/>
  </r>
  <r>
    <x v="0"/>
    <x v="21"/>
    <x v="4"/>
    <n v="1"/>
    <n v="52"/>
    <s v="00"/>
    <s v="045"/>
    <s v="15200-045"/>
    <s v="Bass drum production item #045"/>
    <s v="UNIQUE"/>
    <n v="0"/>
    <n v="64"/>
    <n v="16"/>
    <n v="0"/>
    <n v="1024"/>
  </r>
  <r>
    <x v="0"/>
    <x v="21"/>
    <x v="4"/>
    <n v="1"/>
    <n v="52"/>
    <s v="00"/>
    <s v="046"/>
    <s v="15200-046"/>
    <s v="Bass drum production item #046"/>
    <s v="UNIQUE"/>
    <n v="233"/>
    <n v="9"/>
    <n v="121"/>
    <n v="2097"/>
    <n v="1089"/>
  </r>
  <r>
    <x v="0"/>
    <x v="21"/>
    <x v="4"/>
    <n v="1"/>
    <n v="52"/>
    <s v="00"/>
    <s v="047"/>
    <s v="15200-047"/>
    <s v="Bass drum production item #047"/>
    <s v="UNIQUE"/>
    <n v="40"/>
    <n v="7"/>
    <n v="3375"/>
    <n v="280"/>
    <n v="23625"/>
  </r>
  <r>
    <x v="0"/>
    <x v="21"/>
    <x v="4"/>
    <n v="1"/>
    <n v="52"/>
    <s v="00"/>
    <s v="048"/>
    <s v="15200-048"/>
    <s v="Bass drum production item #048"/>
    <s v="UNIQUE"/>
    <n v="0"/>
    <n v="729"/>
    <n v="1728"/>
    <n v="0"/>
    <n v="1259712"/>
  </r>
  <r>
    <x v="0"/>
    <x v="21"/>
    <x v="4"/>
    <n v="1"/>
    <n v="52"/>
    <s v="00"/>
    <s v="049"/>
    <s v="15200-049"/>
    <s v="Bass drum production item #049"/>
    <s v="UNIQUE"/>
    <n v="0"/>
    <n v="1"/>
    <n v="169"/>
    <n v="0"/>
    <n v="169"/>
  </r>
  <r>
    <x v="0"/>
    <x v="22"/>
    <x v="4"/>
    <n v="1"/>
    <n v="53"/>
    <s v="00"/>
    <s v="000"/>
    <s v="15300-000"/>
    <s v="Cymbal production item #000"/>
    <s v="UNIQUE"/>
    <n v="383"/>
    <n v="6"/>
    <n v="15625"/>
    <n v="2298"/>
    <n v="93750"/>
  </r>
  <r>
    <x v="0"/>
    <x v="22"/>
    <x v="4"/>
    <n v="1"/>
    <n v="53"/>
    <s v="00"/>
    <s v="001"/>
    <s v="15300-001"/>
    <s v="Cymbal production item #001"/>
    <s v="UNIQUE"/>
    <n v="8"/>
    <n v="512"/>
    <n v="216"/>
    <n v="4096"/>
    <n v="110592"/>
  </r>
  <r>
    <x v="0"/>
    <x v="22"/>
    <x v="4"/>
    <n v="1"/>
    <n v="53"/>
    <s v="00"/>
    <s v="002"/>
    <s v="15300-002"/>
    <s v="Cymbal production item #002"/>
    <s v="UNIQUE"/>
    <n v="267"/>
    <n v="64"/>
    <n v="18"/>
    <n v="17088"/>
    <n v="1152"/>
  </r>
  <r>
    <x v="0"/>
    <x v="22"/>
    <x v="4"/>
    <n v="1"/>
    <n v="53"/>
    <s v="00"/>
    <s v="003"/>
    <s v="15300-003"/>
    <s v="Cymbal production item #003"/>
    <s v="UNIQUE"/>
    <n v="1"/>
    <n v="10"/>
    <n v="21"/>
    <n v="10"/>
    <n v="210"/>
  </r>
  <r>
    <x v="0"/>
    <x v="22"/>
    <x v="4"/>
    <n v="1"/>
    <n v="53"/>
    <s v="00"/>
    <s v="004"/>
    <s v="15300-004"/>
    <s v="Cymbal production item #004"/>
    <s v="UNIQUE"/>
    <n v="0"/>
    <n v="5"/>
    <n v="0"/>
    <n v="0"/>
    <n v="0"/>
  </r>
  <r>
    <x v="0"/>
    <x v="22"/>
    <x v="4"/>
    <n v="1"/>
    <n v="53"/>
    <s v="00"/>
    <s v="005"/>
    <s v="15300-005"/>
    <s v="Cymbal production item #005"/>
    <s v="UNIQUE"/>
    <n v="2"/>
    <n v="64"/>
    <n v="28"/>
    <n v="128"/>
    <n v="1792"/>
  </r>
  <r>
    <x v="0"/>
    <x v="22"/>
    <x v="4"/>
    <n v="1"/>
    <n v="53"/>
    <s v="00"/>
    <s v="006"/>
    <s v="15300-006"/>
    <s v="Cymbal production item #006"/>
    <s v="UNIQUE"/>
    <n v="0"/>
    <n v="81"/>
    <n v="4"/>
    <n v="0"/>
    <n v="324"/>
  </r>
  <r>
    <x v="0"/>
    <x v="22"/>
    <x v="4"/>
    <n v="1"/>
    <n v="53"/>
    <s v="00"/>
    <s v="007"/>
    <s v="15300-007"/>
    <s v="Cymbal production item #007"/>
    <s v="UNIQUE"/>
    <n v="4079"/>
    <n v="216"/>
    <n v="4913"/>
    <n v="881064"/>
    <n v="1061208"/>
  </r>
  <r>
    <x v="0"/>
    <x v="22"/>
    <x v="4"/>
    <n v="1"/>
    <n v="53"/>
    <s v="00"/>
    <s v="008"/>
    <s v="15300-008"/>
    <s v="Cymbal production item #008"/>
    <s v="UNIQUE"/>
    <n v="39"/>
    <n v="512"/>
    <n v="26"/>
    <n v="19968"/>
    <n v="13312"/>
  </r>
  <r>
    <x v="0"/>
    <x v="22"/>
    <x v="4"/>
    <n v="1"/>
    <n v="53"/>
    <s v="00"/>
    <s v="009"/>
    <s v="15300-009"/>
    <s v="Cymbal production item #009"/>
    <s v="UNIQUE"/>
    <n v="0"/>
    <n v="7"/>
    <n v="10"/>
    <n v="0"/>
    <n v="70"/>
  </r>
  <r>
    <x v="0"/>
    <x v="22"/>
    <x v="4"/>
    <n v="1"/>
    <n v="53"/>
    <s v="00"/>
    <s v="010"/>
    <s v="15300-010"/>
    <s v="Cymbal production item #010"/>
    <s v="UNIQUE"/>
    <n v="79"/>
    <n v="125"/>
    <n v="27"/>
    <n v="9875"/>
    <n v="3375"/>
  </r>
  <r>
    <x v="0"/>
    <x v="22"/>
    <x v="4"/>
    <n v="1"/>
    <n v="53"/>
    <s v="00"/>
    <s v="011"/>
    <s v="15300-011"/>
    <s v="Cymbal production item #011"/>
    <s v="UNIQUE"/>
    <n v="0"/>
    <n v="49"/>
    <n v="23"/>
    <n v="0"/>
    <n v="1127"/>
  </r>
  <r>
    <x v="0"/>
    <x v="22"/>
    <x v="4"/>
    <n v="1"/>
    <n v="53"/>
    <s v="00"/>
    <s v="012"/>
    <s v="15300-012"/>
    <s v="Cymbal production item #012"/>
    <s v="UNIQUE"/>
    <n v="0"/>
    <n v="125"/>
    <n v="3375"/>
    <n v="0"/>
    <n v="421875"/>
  </r>
  <r>
    <x v="0"/>
    <x v="22"/>
    <x v="4"/>
    <n v="1"/>
    <n v="53"/>
    <s v="00"/>
    <s v="013"/>
    <s v="15300-013"/>
    <s v="Cymbal production item #013"/>
    <s v="UNIQUE"/>
    <n v="0"/>
    <n v="6"/>
    <n v="36"/>
    <n v="0"/>
    <n v="216"/>
  </r>
  <r>
    <x v="0"/>
    <x v="22"/>
    <x v="4"/>
    <n v="1"/>
    <n v="53"/>
    <s v="00"/>
    <s v="014"/>
    <s v="15300-014"/>
    <s v="Cymbal production item #014"/>
    <s v="UNIQUE"/>
    <n v="270"/>
    <n v="64"/>
    <n v="144"/>
    <n v="17280"/>
    <n v="9216"/>
  </r>
  <r>
    <x v="0"/>
    <x v="22"/>
    <x v="4"/>
    <n v="1"/>
    <n v="53"/>
    <s v="00"/>
    <s v="015"/>
    <s v="15300-015"/>
    <s v="Cymbal production item #015"/>
    <s v="UNIQUE"/>
    <n v="1"/>
    <n v="125"/>
    <n v="343"/>
    <n v="125"/>
    <n v="42875"/>
  </r>
  <r>
    <x v="0"/>
    <x v="22"/>
    <x v="4"/>
    <n v="1"/>
    <n v="53"/>
    <s v="00"/>
    <s v="016"/>
    <s v="15300-016"/>
    <s v="Cymbal production item #016"/>
    <s v="UNIQUE"/>
    <n v="3"/>
    <n v="100"/>
    <n v="30"/>
    <n v="300"/>
    <n v="3000"/>
  </r>
  <r>
    <x v="0"/>
    <x v="22"/>
    <x v="4"/>
    <n v="1"/>
    <n v="53"/>
    <s v="00"/>
    <s v="017"/>
    <s v="15300-017"/>
    <s v="Cymbal production item #017"/>
    <s v="UNIQUE"/>
    <n v="6"/>
    <n v="1"/>
    <n v="100"/>
    <n v="6"/>
    <n v="100"/>
  </r>
  <r>
    <x v="0"/>
    <x v="22"/>
    <x v="4"/>
    <n v="1"/>
    <n v="53"/>
    <s v="00"/>
    <s v="018"/>
    <s v="15300-018"/>
    <s v="Cymbal production item #018"/>
    <s v="UNIQUE"/>
    <n v="0"/>
    <n v="3"/>
    <n v="529"/>
    <n v="0"/>
    <n v="1587"/>
  </r>
  <r>
    <x v="0"/>
    <x v="22"/>
    <x v="4"/>
    <n v="1"/>
    <n v="53"/>
    <s v="00"/>
    <s v="019"/>
    <s v="15300-019"/>
    <s v="Cymbal production item #019"/>
    <s v="UNIQUE"/>
    <n v="0"/>
    <n v="3"/>
    <n v="9"/>
    <n v="0"/>
    <n v="27"/>
  </r>
  <r>
    <x v="0"/>
    <x v="22"/>
    <x v="4"/>
    <n v="1"/>
    <n v="53"/>
    <s v="00"/>
    <s v="020"/>
    <s v="15300-020"/>
    <s v="Cymbal production item #020"/>
    <s v="UNIQUE"/>
    <n v="780"/>
    <n v="5"/>
    <n v="9"/>
    <n v="3900"/>
    <n v="45"/>
  </r>
  <r>
    <x v="0"/>
    <x v="22"/>
    <x v="4"/>
    <n v="1"/>
    <n v="53"/>
    <s v="00"/>
    <s v="021"/>
    <s v="15300-021"/>
    <s v="Cymbal production item #021"/>
    <s v="UNIQUE"/>
    <n v="91"/>
    <n v="100"/>
    <n v="12167"/>
    <n v="9100"/>
    <n v="1216700"/>
  </r>
  <r>
    <x v="0"/>
    <x v="22"/>
    <x v="4"/>
    <n v="1"/>
    <n v="53"/>
    <s v="00"/>
    <s v="022"/>
    <s v="15300-022"/>
    <s v="Cymbal production item #022"/>
    <s v="UNIQUE"/>
    <n v="2"/>
    <n v="2"/>
    <n v="2197"/>
    <n v="4"/>
    <n v="4394"/>
  </r>
  <r>
    <x v="0"/>
    <x v="22"/>
    <x v="4"/>
    <n v="1"/>
    <n v="53"/>
    <s v="00"/>
    <s v="023"/>
    <s v="15300-023"/>
    <s v="Cymbal production item #023"/>
    <s v="UNIQUE"/>
    <n v="7"/>
    <n v="81"/>
    <n v="11"/>
    <n v="567"/>
    <n v="891"/>
  </r>
  <r>
    <x v="0"/>
    <x v="22"/>
    <x v="4"/>
    <n v="1"/>
    <n v="53"/>
    <s v="00"/>
    <s v="024"/>
    <s v="15300-024"/>
    <s v="Cymbal production item #024"/>
    <s v="UNIQUE"/>
    <n v="0"/>
    <n v="1000"/>
    <n v="27000"/>
    <n v="0"/>
    <n v="27000000"/>
  </r>
  <r>
    <x v="0"/>
    <x v="22"/>
    <x v="4"/>
    <n v="1"/>
    <n v="53"/>
    <s v="00"/>
    <s v="025"/>
    <s v="15300-025"/>
    <s v="Cymbal production item #025"/>
    <s v="UNIQUE"/>
    <n v="0"/>
    <n v="512"/>
    <n v="484"/>
    <n v="0"/>
    <n v="247808"/>
  </r>
  <r>
    <x v="0"/>
    <x v="22"/>
    <x v="4"/>
    <n v="1"/>
    <n v="53"/>
    <s v="00"/>
    <s v="026"/>
    <s v="15300-026"/>
    <s v="Cymbal production item #026"/>
    <s v="UNIQUE"/>
    <n v="57"/>
    <n v="8"/>
    <n v="17"/>
    <n v="456"/>
    <n v="136"/>
  </r>
  <r>
    <x v="0"/>
    <x v="22"/>
    <x v="4"/>
    <n v="1"/>
    <n v="53"/>
    <s v="00"/>
    <s v="027"/>
    <s v="15300-027"/>
    <s v="Cymbal production item #027"/>
    <s v="UNIQUE"/>
    <n v="0"/>
    <n v="125"/>
    <n v="28"/>
    <n v="0"/>
    <n v="3500"/>
  </r>
  <r>
    <x v="0"/>
    <x v="22"/>
    <x v="4"/>
    <n v="1"/>
    <n v="53"/>
    <s v="00"/>
    <s v="028"/>
    <s v="15300-028"/>
    <s v="Cymbal production item #028"/>
    <s v="UNIQUE"/>
    <n v="717"/>
    <n v="64"/>
    <n v="64"/>
    <n v="45888"/>
    <n v="4096"/>
  </r>
  <r>
    <x v="0"/>
    <x v="22"/>
    <x v="4"/>
    <n v="1"/>
    <n v="53"/>
    <s v="00"/>
    <s v="029"/>
    <s v="15300-029"/>
    <s v="Cymbal production item #029"/>
    <s v="UNIQUE"/>
    <n v="0"/>
    <n v="25"/>
    <n v="3375"/>
    <n v="0"/>
    <n v="84375"/>
  </r>
  <r>
    <x v="0"/>
    <x v="22"/>
    <x v="4"/>
    <n v="1"/>
    <n v="53"/>
    <s v="00"/>
    <s v="030"/>
    <s v="15300-030"/>
    <s v="Cymbal production item #030"/>
    <s v="UNIQUE"/>
    <n v="74"/>
    <n v="9"/>
    <n v="676"/>
    <n v="666"/>
    <n v="6084"/>
  </r>
  <r>
    <x v="0"/>
    <x v="22"/>
    <x v="4"/>
    <n v="1"/>
    <n v="53"/>
    <s v="00"/>
    <s v="031"/>
    <s v="15300-031"/>
    <s v="Cymbal production item #031"/>
    <s v="UNIQUE"/>
    <n v="0"/>
    <n v="36"/>
    <n v="196"/>
    <n v="0"/>
    <n v="7056"/>
  </r>
  <r>
    <x v="0"/>
    <x v="22"/>
    <x v="4"/>
    <n v="1"/>
    <n v="53"/>
    <s v="00"/>
    <s v="032"/>
    <s v="15300-032"/>
    <s v="Cymbal production item #032"/>
    <s v="UNIQUE"/>
    <n v="558"/>
    <n v="1000"/>
    <n v="19"/>
    <n v="558000"/>
    <n v="19000"/>
  </r>
  <r>
    <x v="0"/>
    <x v="22"/>
    <x v="4"/>
    <n v="1"/>
    <n v="53"/>
    <s v="00"/>
    <s v="033"/>
    <s v="15300-033"/>
    <s v="Cymbal production item #033"/>
    <s v="UNIQUE"/>
    <n v="53"/>
    <n v="64"/>
    <n v="784"/>
    <n v="3392"/>
    <n v="50176"/>
  </r>
  <r>
    <x v="0"/>
    <x v="22"/>
    <x v="4"/>
    <n v="1"/>
    <n v="53"/>
    <s v="00"/>
    <s v="034"/>
    <s v="15300-034"/>
    <s v="Cymbal production item #034"/>
    <s v="UNIQUE"/>
    <n v="0"/>
    <n v="216"/>
    <n v="15625"/>
    <n v="0"/>
    <n v="3375000"/>
  </r>
  <r>
    <x v="0"/>
    <x v="22"/>
    <x v="4"/>
    <n v="1"/>
    <n v="53"/>
    <s v="00"/>
    <s v="035"/>
    <s v="15300-035"/>
    <s v="Cymbal production item #035"/>
    <s v="UNIQUE"/>
    <n v="935"/>
    <n v="100"/>
    <n v="4"/>
    <n v="93500"/>
    <n v="400"/>
  </r>
  <r>
    <x v="0"/>
    <x v="22"/>
    <x v="4"/>
    <n v="1"/>
    <n v="53"/>
    <s v="00"/>
    <s v="036"/>
    <s v="15300-036"/>
    <s v="Cymbal production item #036"/>
    <s v="UNIQUE"/>
    <n v="6"/>
    <n v="6"/>
    <n v="19"/>
    <n v="36"/>
    <n v="114"/>
  </r>
  <r>
    <x v="0"/>
    <x v="22"/>
    <x v="4"/>
    <n v="1"/>
    <n v="53"/>
    <s v="00"/>
    <s v="037"/>
    <s v="15300-037"/>
    <s v="Cymbal production item #037"/>
    <s v="UNIQUE"/>
    <n v="0"/>
    <n v="1"/>
    <n v="4"/>
    <n v="0"/>
    <n v="4"/>
  </r>
  <r>
    <x v="0"/>
    <x v="22"/>
    <x v="4"/>
    <n v="1"/>
    <n v="53"/>
    <s v="00"/>
    <s v="038"/>
    <s v="15300-038"/>
    <s v="Cymbal production item #038"/>
    <s v="UNIQUE"/>
    <n v="0"/>
    <n v="4"/>
    <n v="24"/>
    <n v="0"/>
    <n v="96"/>
  </r>
  <r>
    <x v="0"/>
    <x v="22"/>
    <x v="4"/>
    <n v="1"/>
    <n v="53"/>
    <s v="00"/>
    <s v="039"/>
    <s v="15300-039"/>
    <s v="Cymbal production item #039"/>
    <s v="UNIQUE"/>
    <n v="1"/>
    <n v="100"/>
    <n v="225"/>
    <n v="100"/>
    <n v="22500"/>
  </r>
  <r>
    <x v="0"/>
    <x v="22"/>
    <x v="4"/>
    <n v="1"/>
    <n v="53"/>
    <s v="00"/>
    <s v="040"/>
    <s v="15300-040"/>
    <s v="Cymbal production item #040"/>
    <s v="UNIQUE"/>
    <n v="0"/>
    <n v="64"/>
    <n v="7"/>
    <n v="0"/>
    <n v="448"/>
  </r>
  <r>
    <x v="0"/>
    <x v="22"/>
    <x v="4"/>
    <n v="1"/>
    <n v="53"/>
    <s v="00"/>
    <s v="041"/>
    <s v="15300-041"/>
    <s v="Cymbal production item #041"/>
    <s v="UNIQUE"/>
    <n v="0"/>
    <n v="7"/>
    <n v="529"/>
    <n v="0"/>
    <n v="3703"/>
  </r>
  <r>
    <x v="0"/>
    <x v="22"/>
    <x v="4"/>
    <n v="1"/>
    <n v="53"/>
    <s v="00"/>
    <s v="042"/>
    <s v="15300-042"/>
    <s v="Cymbal production item #042"/>
    <s v="UNIQUE"/>
    <n v="1669"/>
    <n v="100"/>
    <n v="26"/>
    <n v="166900"/>
    <n v="2600"/>
  </r>
  <r>
    <x v="0"/>
    <x v="22"/>
    <x v="4"/>
    <n v="1"/>
    <n v="53"/>
    <s v="00"/>
    <s v="043"/>
    <s v="15300-043"/>
    <s v="Cymbal production item #043"/>
    <s v="UNIQUE"/>
    <n v="0"/>
    <n v="64"/>
    <n v="1000"/>
    <n v="0"/>
    <n v="64000"/>
  </r>
  <r>
    <x v="0"/>
    <x v="22"/>
    <x v="4"/>
    <n v="1"/>
    <n v="53"/>
    <s v="00"/>
    <s v="044"/>
    <s v="15300-044"/>
    <s v="Cymbal production item #044"/>
    <s v="UNIQUE"/>
    <n v="3"/>
    <n v="9"/>
    <n v="2197"/>
    <n v="27"/>
    <n v="19773"/>
  </r>
  <r>
    <x v="0"/>
    <x v="22"/>
    <x v="4"/>
    <n v="1"/>
    <n v="53"/>
    <s v="00"/>
    <s v="045"/>
    <s v="15300-045"/>
    <s v="Cymbal production item #045"/>
    <s v="UNIQUE"/>
    <n v="4399"/>
    <n v="16"/>
    <n v="8"/>
    <n v="70384"/>
    <n v="128"/>
  </r>
  <r>
    <x v="0"/>
    <x v="22"/>
    <x v="4"/>
    <n v="1"/>
    <n v="53"/>
    <s v="00"/>
    <s v="046"/>
    <s v="15300-046"/>
    <s v="Cymbal production item #046"/>
    <s v="UNIQUE"/>
    <n v="7744"/>
    <n v="8"/>
    <n v="20"/>
    <n v="61952"/>
    <n v="160"/>
  </r>
  <r>
    <x v="0"/>
    <x v="22"/>
    <x v="4"/>
    <n v="1"/>
    <n v="53"/>
    <s v="00"/>
    <s v="047"/>
    <s v="15300-047"/>
    <s v="Cymbal production item #047"/>
    <s v="UNIQUE"/>
    <n v="5947"/>
    <n v="5"/>
    <n v="3"/>
    <n v="29735"/>
    <n v="15"/>
  </r>
  <r>
    <x v="0"/>
    <x v="22"/>
    <x v="4"/>
    <n v="1"/>
    <n v="53"/>
    <s v="00"/>
    <s v="048"/>
    <s v="15300-048"/>
    <s v="Cymbal production item #048"/>
    <s v="UNIQUE"/>
    <n v="8321"/>
    <n v="10"/>
    <n v="19683"/>
    <n v="83210"/>
    <n v="196830"/>
  </r>
  <r>
    <x v="0"/>
    <x v="22"/>
    <x v="4"/>
    <n v="1"/>
    <n v="53"/>
    <s v="00"/>
    <s v="049"/>
    <s v="15300-049"/>
    <s v="Cymbal production item #049"/>
    <s v="UNIQUE"/>
    <n v="0"/>
    <n v="216"/>
    <n v="512"/>
    <n v="0"/>
    <n v="110592"/>
  </r>
  <r>
    <x v="0"/>
    <x v="23"/>
    <x v="5"/>
    <n v="1"/>
    <n v="60"/>
    <s v="00"/>
    <s v="000"/>
    <s v="16000-000"/>
    <s v="Theremin production item #000"/>
    <s v="UNIQUE"/>
    <n v="4152"/>
    <n v="8"/>
    <n v="289"/>
    <n v="33216"/>
    <n v="2312"/>
  </r>
  <r>
    <x v="0"/>
    <x v="23"/>
    <x v="5"/>
    <n v="1"/>
    <n v="60"/>
    <s v="00"/>
    <s v="001"/>
    <s v="16000-001"/>
    <s v="Theremin production item #001"/>
    <s v="UNIQUE"/>
    <n v="0"/>
    <n v="81"/>
    <n v="8"/>
    <n v="0"/>
    <n v="648"/>
  </r>
  <r>
    <x v="0"/>
    <x v="23"/>
    <x v="5"/>
    <n v="1"/>
    <n v="60"/>
    <s v="00"/>
    <s v="002"/>
    <s v="16000-002"/>
    <s v="Theremin production item #002"/>
    <s v="UNIQUE"/>
    <n v="6841"/>
    <n v="64"/>
    <n v="17"/>
    <n v="437824"/>
    <n v="1088"/>
  </r>
  <r>
    <x v="0"/>
    <x v="23"/>
    <x v="5"/>
    <n v="1"/>
    <n v="60"/>
    <s v="00"/>
    <s v="003"/>
    <s v="16000-003"/>
    <s v="Theremin production item #003"/>
    <s v="UNIQUE"/>
    <n v="1"/>
    <n v="1"/>
    <n v="2197"/>
    <n v="1"/>
    <n v="2197"/>
  </r>
  <r>
    <x v="0"/>
    <x v="23"/>
    <x v="5"/>
    <n v="1"/>
    <n v="60"/>
    <s v="00"/>
    <s v="004"/>
    <s v="16000-004"/>
    <s v="Theremin production item #004"/>
    <s v="UNIQUE"/>
    <n v="7318"/>
    <n v="64"/>
    <n v="27"/>
    <n v="468352"/>
    <n v="1728"/>
  </r>
  <r>
    <x v="0"/>
    <x v="23"/>
    <x v="5"/>
    <n v="1"/>
    <n v="60"/>
    <s v="00"/>
    <s v="005"/>
    <s v="16000-005"/>
    <s v="Theremin production item #005"/>
    <s v="UNIQUE"/>
    <n v="0"/>
    <n v="8"/>
    <n v="36"/>
    <n v="0"/>
    <n v="288"/>
  </r>
  <r>
    <x v="0"/>
    <x v="23"/>
    <x v="5"/>
    <n v="1"/>
    <n v="60"/>
    <s v="00"/>
    <s v="006"/>
    <s v="16000-006"/>
    <s v="Theremin production item #006"/>
    <s v="UNIQUE"/>
    <n v="3366"/>
    <n v="9"/>
    <n v="2"/>
    <n v="30294"/>
    <n v="18"/>
  </r>
  <r>
    <x v="0"/>
    <x v="23"/>
    <x v="5"/>
    <n v="1"/>
    <n v="60"/>
    <s v="00"/>
    <s v="007"/>
    <s v="16000-007"/>
    <s v="Theremin production item #007"/>
    <s v="UNIQUE"/>
    <n v="1"/>
    <n v="1"/>
    <n v="27"/>
    <n v="1"/>
    <n v="27"/>
  </r>
  <r>
    <x v="0"/>
    <x v="23"/>
    <x v="5"/>
    <n v="1"/>
    <n v="60"/>
    <s v="00"/>
    <s v="008"/>
    <s v="16000-008"/>
    <s v="Theremin production item #008"/>
    <s v="UNIQUE"/>
    <n v="4"/>
    <n v="5"/>
    <n v="19"/>
    <n v="20"/>
    <n v="95"/>
  </r>
  <r>
    <x v="0"/>
    <x v="23"/>
    <x v="5"/>
    <n v="1"/>
    <n v="60"/>
    <s v="00"/>
    <s v="009"/>
    <s v="16000-009"/>
    <s v="Theremin production item #009"/>
    <s v="UNIQUE"/>
    <n v="695"/>
    <n v="49"/>
    <n v="8000"/>
    <n v="34055"/>
    <n v="392000"/>
  </r>
  <r>
    <x v="0"/>
    <x v="23"/>
    <x v="5"/>
    <n v="1"/>
    <n v="60"/>
    <s v="00"/>
    <s v="010"/>
    <s v="16000-010"/>
    <s v="Theremin production item #010"/>
    <s v="UNIQUE"/>
    <n v="799"/>
    <n v="25"/>
    <n v="256"/>
    <n v="19975"/>
    <n v="6400"/>
  </r>
  <r>
    <x v="0"/>
    <x v="23"/>
    <x v="5"/>
    <n v="1"/>
    <n v="60"/>
    <s v="00"/>
    <s v="011"/>
    <s v="16000-011"/>
    <s v="Theremin production item #011"/>
    <s v="UNIQUE"/>
    <n v="3"/>
    <n v="9"/>
    <n v="729"/>
    <n v="27"/>
    <n v="6561"/>
  </r>
  <r>
    <x v="0"/>
    <x v="23"/>
    <x v="5"/>
    <n v="1"/>
    <n v="60"/>
    <s v="00"/>
    <s v="012"/>
    <s v="16000-012"/>
    <s v="Theremin production item #012"/>
    <s v="UNIQUE"/>
    <n v="0"/>
    <n v="25"/>
    <n v="15"/>
    <n v="0"/>
    <n v="375"/>
  </r>
  <r>
    <x v="0"/>
    <x v="23"/>
    <x v="5"/>
    <n v="1"/>
    <n v="60"/>
    <s v="00"/>
    <s v="013"/>
    <s v="16000-013"/>
    <s v="Theremin production item #013"/>
    <s v="UNIQUE"/>
    <n v="0"/>
    <n v="25"/>
    <n v="11"/>
    <n v="0"/>
    <n v="275"/>
  </r>
  <r>
    <x v="0"/>
    <x v="23"/>
    <x v="5"/>
    <n v="1"/>
    <n v="60"/>
    <s v="00"/>
    <s v="014"/>
    <s v="16000-014"/>
    <s v="Theremin production item #014"/>
    <s v="UNIQUE"/>
    <n v="0"/>
    <n v="8"/>
    <n v="1728"/>
    <n v="0"/>
    <n v="13824"/>
  </r>
  <r>
    <x v="0"/>
    <x v="23"/>
    <x v="5"/>
    <n v="1"/>
    <n v="60"/>
    <s v="00"/>
    <s v="015"/>
    <s v="16000-015"/>
    <s v="Theremin production item #015"/>
    <s v="UNIQUE"/>
    <n v="5109"/>
    <n v="25"/>
    <n v="9261"/>
    <n v="127725"/>
    <n v="231525"/>
  </r>
  <r>
    <x v="0"/>
    <x v="23"/>
    <x v="5"/>
    <n v="1"/>
    <n v="60"/>
    <s v="00"/>
    <s v="016"/>
    <s v="16000-016"/>
    <s v="Theremin production item #016"/>
    <s v="UNIQUE"/>
    <n v="7"/>
    <n v="216"/>
    <n v="4096"/>
    <n v="1512"/>
    <n v="884736"/>
  </r>
  <r>
    <x v="0"/>
    <x v="23"/>
    <x v="5"/>
    <n v="1"/>
    <n v="60"/>
    <s v="00"/>
    <s v="017"/>
    <s v="16000-017"/>
    <s v="Theremin production item #017"/>
    <s v="UNIQUE"/>
    <n v="1"/>
    <n v="1"/>
    <n v="441"/>
    <n v="1"/>
    <n v="441"/>
  </r>
  <r>
    <x v="0"/>
    <x v="23"/>
    <x v="5"/>
    <n v="1"/>
    <n v="60"/>
    <s v="00"/>
    <s v="018"/>
    <s v="16000-018"/>
    <s v="Theremin production item #018"/>
    <s v="UNIQUE"/>
    <n v="7"/>
    <n v="27"/>
    <n v="19"/>
    <n v="189"/>
    <n v="513"/>
  </r>
  <r>
    <x v="0"/>
    <x v="23"/>
    <x v="5"/>
    <n v="1"/>
    <n v="60"/>
    <s v="00"/>
    <s v="019"/>
    <s v="16000-019"/>
    <s v="Theremin production item #019"/>
    <s v="UNIQUE"/>
    <n v="0"/>
    <n v="7"/>
    <n v="529"/>
    <n v="0"/>
    <n v="3703"/>
  </r>
  <r>
    <x v="0"/>
    <x v="23"/>
    <x v="5"/>
    <n v="1"/>
    <n v="60"/>
    <s v="00"/>
    <s v="020"/>
    <s v="16000-020"/>
    <s v="Theremin production item #020"/>
    <s v="UNIQUE"/>
    <n v="3"/>
    <n v="1"/>
    <n v="1"/>
    <n v="3"/>
    <n v="1"/>
  </r>
  <r>
    <x v="0"/>
    <x v="23"/>
    <x v="5"/>
    <n v="1"/>
    <n v="60"/>
    <s v="00"/>
    <s v="021"/>
    <s v="16000-021"/>
    <s v="Theremin production item #021"/>
    <s v="UNIQUE"/>
    <n v="0"/>
    <n v="81"/>
    <n v="25"/>
    <n v="0"/>
    <n v="2025"/>
  </r>
  <r>
    <x v="0"/>
    <x v="23"/>
    <x v="5"/>
    <n v="1"/>
    <n v="60"/>
    <s v="00"/>
    <s v="022"/>
    <s v="16000-022"/>
    <s v="Theremin production item #022"/>
    <s v="UNIQUE"/>
    <n v="0"/>
    <n v="16"/>
    <n v="6"/>
    <n v="0"/>
    <n v="96"/>
  </r>
  <r>
    <x v="0"/>
    <x v="23"/>
    <x v="5"/>
    <n v="1"/>
    <n v="60"/>
    <s v="00"/>
    <s v="023"/>
    <s v="16000-023"/>
    <s v="Theremin production item #023"/>
    <s v="UNIQUE"/>
    <n v="0"/>
    <n v="1"/>
    <n v="8000"/>
    <n v="0"/>
    <n v="8000"/>
  </r>
  <r>
    <x v="0"/>
    <x v="23"/>
    <x v="5"/>
    <n v="1"/>
    <n v="60"/>
    <s v="00"/>
    <s v="024"/>
    <s v="16000-024"/>
    <s v="Theremin production item #024"/>
    <s v="UNIQUE"/>
    <n v="6883"/>
    <n v="125"/>
    <n v="16"/>
    <n v="860375"/>
    <n v="2000"/>
  </r>
  <r>
    <x v="0"/>
    <x v="23"/>
    <x v="5"/>
    <n v="1"/>
    <n v="60"/>
    <s v="00"/>
    <s v="025"/>
    <s v="16000-025"/>
    <s v="Theremin production item #025"/>
    <s v="UNIQUE"/>
    <n v="48"/>
    <n v="4"/>
    <n v="10"/>
    <n v="192"/>
    <n v="40"/>
  </r>
  <r>
    <x v="0"/>
    <x v="23"/>
    <x v="5"/>
    <n v="1"/>
    <n v="60"/>
    <s v="00"/>
    <s v="026"/>
    <s v="16000-026"/>
    <s v="Theremin production item #026"/>
    <s v="UNIQUE"/>
    <n v="0"/>
    <n v="6"/>
    <n v="0"/>
    <n v="0"/>
    <n v="0"/>
  </r>
  <r>
    <x v="0"/>
    <x v="23"/>
    <x v="5"/>
    <n v="1"/>
    <n v="60"/>
    <s v="00"/>
    <s v="027"/>
    <s v="16000-027"/>
    <s v="Theremin production item #027"/>
    <s v="UNIQUE"/>
    <n v="0"/>
    <n v="8"/>
    <n v="25"/>
    <n v="0"/>
    <n v="200"/>
  </r>
  <r>
    <x v="0"/>
    <x v="23"/>
    <x v="5"/>
    <n v="1"/>
    <n v="60"/>
    <s v="00"/>
    <s v="028"/>
    <s v="16000-028"/>
    <s v="Theremin production item #028"/>
    <s v="UNIQUE"/>
    <n v="0"/>
    <n v="64"/>
    <n v="4913"/>
    <n v="0"/>
    <n v="314432"/>
  </r>
  <r>
    <x v="0"/>
    <x v="23"/>
    <x v="5"/>
    <n v="1"/>
    <n v="60"/>
    <s v="00"/>
    <s v="029"/>
    <s v="16000-029"/>
    <s v="Theremin production item #029"/>
    <s v="UNIQUE"/>
    <n v="0"/>
    <n v="3"/>
    <n v="29"/>
    <n v="0"/>
    <n v="87"/>
  </r>
  <r>
    <x v="0"/>
    <x v="23"/>
    <x v="5"/>
    <n v="1"/>
    <n v="60"/>
    <s v="00"/>
    <s v="030"/>
    <s v="16000-030"/>
    <s v="Theremin production item #030"/>
    <s v="UNIQUE"/>
    <n v="2"/>
    <n v="27"/>
    <n v="30"/>
    <n v="54"/>
    <n v="810"/>
  </r>
  <r>
    <x v="0"/>
    <x v="23"/>
    <x v="5"/>
    <n v="1"/>
    <n v="60"/>
    <s v="00"/>
    <s v="031"/>
    <s v="16000-031"/>
    <s v="Theremin production item #031"/>
    <s v="UNIQUE"/>
    <n v="6544"/>
    <n v="25"/>
    <n v="19"/>
    <n v="163600"/>
    <n v="475"/>
  </r>
  <r>
    <x v="0"/>
    <x v="23"/>
    <x v="5"/>
    <n v="1"/>
    <n v="60"/>
    <s v="00"/>
    <s v="032"/>
    <s v="16000-032"/>
    <s v="Theremin production item #032"/>
    <s v="UNIQUE"/>
    <n v="5"/>
    <n v="1000"/>
    <n v="17"/>
    <n v="5000"/>
    <n v="17000"/>
  </r>
  <r>
    <x v="0"/>
    <x v="23"/>
    <x v="5"/>
    <n v="1"/>
    <n v="60"/>
    <s v="00"/>
    <s v="033"/>
    <s v="16000-033"/>
    <s v="Theremin production item #033"/>
    <s v="UNIQUE"/>
    <n v="1"/>
    <n v="64"/>
    <n v="676"/>
    <n v="64"/>
    <n v="43264"/>
  </r>
  <r>
    <x v="0"/>
    <x v="23"/>
    <x v="5"/>
    <n v="1"/>
    <n v="60"/>
    <s v="00"/>
    <s v="034"/>
    <s v="16000-034"/>
    <s v="Theremin production item #034"/>
    <s v="UNIQUE"/>
    <n v="285"/>
    <n v="25"/>
    <n v="27"/>
    <n v="7125"/>
    <n v="675"/>
  </r>
  <r>
    <x v="0"/>
    <x v="23"/>
    <x v="5"/>
    <n v="1"/>
    <n v="60"/>
    <s v="00"/>
    <s v="035"/>
    <s v="16000-035"/>
    <s v="Theremin production item #035"/>
    <s v="UNIQUE"/>
    <n v="0"/>
    <n v="125"/>
    <n v="30"/>
    <n v="0"/>
    <n v="3750"/>
  </r>
  <r>
    <x v="0"/>
    <x v="23"/>
    <x v="5"/>
    <n v="1"/>
    <n v="60"/>
    <s v="00"/>
    <s v="036"/>
    <s v="16000-036"/>
    <s v="Theremin production item #036"/>
    <s v="UNIQUE"/>
    <n v="0"/>
    <n v="729"/>
    <n v="27"/>
    <n v="0"/>
    <n v="19683"/>
  </r>
  <r>
    <x v="0"/>
    <x v="23"/>
    <x v="5"/>
    <n v="1"/>
    <n v="60"/>
    <s v="00"/>
    <s v="037"/>
    <s v="16000-037"/>
    <s v="Theremin production item #037"/>
    <s v="UNIQUE"/>
    <n v="83"/>
    <n v="8"/>
    <n v="676"/>
    <n v="664"/>
    <n v="5408"/>
  </r>
  <r>
    <x v="0"/>
    <x v="23"/>
    <x v="5"/>
    <n v="1"/>
    <n v="60"/>
    <s v="00"/>
    <s v="038"/>
    <s v="16000-038"/>
    <s v="Theremin production item #038"/>
    <s v="UNIQUE"/>
    <n v="0"/>
    <n v="1"/>
    <n v="24"/>
    <n v="0"/>
    <n v="24"/>
  </r>
  <r>
    <x v="0"/>
    <x v="23"/>
    <x v="5"/>
    <n v="1"/>
    <n v="60"/>
    <s v="00"/>
    <s v="039"/>
    <s v="16000-039"/>
    <s v="Theremin production item #039"/>
    <s v="UNIQUE"/>
    <n v="0"/>
    <n v="81"/>
    <n v="15625"/>
    <n v="0"/>
    <n v="1265625"/>
  </r>
  <r>
    <x v="0"/>
    <x v="23"/>
    <x v="5"/>
    <n v="1"/>
    <n v="60"/>
    <s v="00"/>
    <s v="040"/>
    <s v="16000-040"/>
    <s v="Theremin production item #040"/>
    <s v="UNIQUE"/>
    <n v="0"/>
    <n v="216"/>
    <n v="1"/>
    <n v="0"/>
    <n v="216"/>
  </r>
  <r>
    <x v="0"/>
    <x v="23"/>
    <x v="5"/>
    <n v="1"/>
    <n v="60"/>
    <s v="00"/>
    <s v="041"/>
    <s v="16000-041"/>
    <s v="Theremin production item #041"/>
    <s v="UNIQUE"/>
    <n v="4413"/>
    <n v="64"/>
    <n v="17576"/>
    <n v="282432"/>
    <n v="1124864"/>
  </r>
  <r>
    <x v="0"/>
    <x v="23"/>
    <x v="5"/>
    <n v="1"/>
    <n v="60"/>
    <s v="00"/>
    <s v="042"/>
    <s v="16000-042"/>
    <s v="Theremin production item #042"/>
    <s v="UNIQUE"/>
    <n v="0"/>
    <n v="729"/>
    <n v="9261"/>
    <n v="0"/>
    <n v="6751269"/>
  </r>
  <r>
    <x v="0"/>
    <x v="23"/>
    <x v="5"/>
    <n v="1"/>
    <n v="60"/>
    <s v="00"/>
    <s v="043"/>
    <s v="16000-043"/>
    <s v="Theremin production item #043"/>
    <s v="UNIQUE"/>
    <n v="0"/>
    <n v="1"/>
    <n v="25"/>
    <n v="0"/>
    <n v="25"/>
  </r>
  <r>
    <x v="0"/>
    <x v="23"/>
    <x v="5"/>
    <n v="1"/>
    <n v="60"/>
    <s v="00"/>
    <s v="044"/>
    <s v="16000-044"/>
    <s v="Theremin production item #044"/>
    <s v="UNIQUE"/>
    <n v="0"/>
    <n v="9"/>
    <n v="18"/>
    <n v="0"/>
    <n v="162"/>
  </r>
  <r>
    <x v="0"/>
    <x v="23"/>
    <x v="5"/>
    <n v="1"/>
    <n v="60"/>
    <s v="00"/>
    <s v="045"/>
    <s v="16000-045"/>
    <s v="Theremin production item #045"/>
    <s v="UNIQUE"/>
    <n v="0"/>
    <n v="729"/>
    <n v="36"/>
    <n v="0"/>
    <n v="26244"/>
  </r>
  <r>
    <x v="0"/>
    <x v="23"/>
    <x v="5"/>
    <n v="1"/>
    <n v="60"/>
    <s v="00"/>
    <s v="046"/>
    <s v="16000-046"/>
    <s v="Theremin production item #046"/>
    <s v="UNIQUE"/>
    <n v="1"/>
    <n v="1"/>
    <n v="26"/>
    <n v="1"/>
    <n v="26"/>
  </r>
  <r>
    <x v="0"/>
    <x v="23"/>
    <x v="5"/>
    <n v="1"/>
    <n v="60"/>
    <s v="00"/>
    <s v="047"/>
    <s v="16000-047"/>
    <s v="Theremin production item #047"/>
    <s v="UNIQUE"/>
    <n v="1"/>
    <n v="729"/>
    <n v="512"/>
    <n v="729"/>
    <n v="373248"/>
  </r>
  <r>
    <x v="0"/>
    <x v="23"/>
    <x v="5"/>
    <n v="1"/>
    <n v="60"/>
    <s v="00"/>
    <s v="048"/>
    <s v="16000-048"/>
    <s v="Theremin production item #048"/>
    <s v="UNIQUE"/>
    <n v="63"/>
    <n v="64"/>
    <n v="9"/>
    <n v="4032"/>
    <n v="576"/>
  </r>
  <r>
    <x v="0"/>
    <x v="23"/>
    <x v="5"/>
    <n v="1"/>
    <n v="60"/>
    <s v="00"/>
    <s v="049"/>
    <s v="16000-049"/>
    <s v="Theremin production item #049"/>
    <s v="UNIQUE"/>
    <n v="898"/>
    <n v="125"/>
    <n v="0"/>
    <n v="112250"/>
    <n v="0"/>
  </r>
  <r>
    <x v="0"/>
    <x v="23"/>
    <x v="5"/>
    <n v="1"/>
    <n v="60"/>
    <s v="00"/>
    <s v="050"/>
    <s v="16000-050"/>
    <s v="Theremin production item #050"/>
    <s v="UNIQUE"/>
    <n v="0"/>
    <n v="343"/>
    <n v="841"/>
    <n v="0"/>
    <n v="288463"/>
  </r>
  <r>
    <x v="0"/>
    <x v="23"/>
    <x v="5"/>
    <n v="1"/>
    <n v="60"/>
    <s v="00"/>
    <s v="051"/>
    <s v="16000-051"/>
    <s v="Theremin production item #051"/>
    <s v="UNIQUE"/>
    <n v="0"/>
    <n v="64"/>
    <n v="17576"/>
    <n v="0"/>
    <n v="1124864"/>
  </r>
  <r>
    <x v="0"/>
    <x v="23"/>
    <x v="5"/>
    <n v="1"/>
    <n v="60"/>
    <s v="00"/>
    <s v="052"/>
    <s v="16000-052"/>
    <s v="Theremin production item #052"/>
    <s v="UNIQUE"/>
    <n v="0"/>
    <n v="9"/>
    <n v="14"/>
    <n v="0"/>
    <n v="126"/>
  </r>
  <r>
    <x v="0"/>
    <x v="23"/>
    <x v="5"/>
    <n v="1"/>
    <n v="60"/>
    <s v="00"/>
    <s v="053"/>
    <s v="16000-053"/>
    <s v="Theremin production item #053"/>
    <s v="UNIQUE"/>
    <n v="0"/>
    <n v="8"/>
    <n v="784"/>
    <n v="0"/>
    <n v="6272"/>
  </r>
  <r>
    <x v="0"/>
    <x v="23"/>
    <x v="5"/>
    <n v="1"/>
    <n v="60"/>
    <s v="00"/>
    <s v="054"/>
    <s v="16000-054"/>
    <s v="Theremin production item #054"/>
    <s v="UNIQUE"/>
    <n v="6159"/>
    <n v="729"/>
    <n v="841"/>
    <n v="4489911"/>
    <n v="613089"/>
  </r>
  <r>
    <x v="0"/>
    <x v="23"/>
    <x v="5"/>
    <n v="1"/>
    <n v="60"/>
    <s v="00"/>
    <s v="055"/>
    <s v="16000-055"/>
    <s v="Theremin production item #055"/>
    <s v="UNIQUE"/>
    <n v="0"/>
    <n v="64"/>
    <n v="36"/>
    <n v="0"/>
    <n v="2304"/>
  </r>
  <r>
    <x v="0"/>
    <x v="23"/>
    <x v="5"/>
    <n v="1"/>
    <n v="60"/>
    <s v="00"/>
    <s v="056"/>
    <s v="16000-056"/>
    <s v="Theremin production item #056"/>
    <s v="UNIQUE"/>
    <n v="0"/>
    <n v="1000"/>
    <n v="10648"/>
    <n v="0"/>
    <n v="10648000"/>
  </r>
  <r>
    <x v="0"/>
    <x v="23"/>
    <x v="5"/>
    <n v="1"/>
    <n v="60"/>
    <s v="00"/>
    <s v="057"/>
    <s v="16000-057"/>
    <s v="Theremin production item #057"/>
    <s v="UNIQUE"/>
    <n v="850"/>
    <n v="3"/>
    <n v="4"/>
    <n v="2550"/>
    <n v="12"/>
  </r>
  <r>
    <x v="0"/>
    <x v="23"/>
    <x v="5"/>
    <n v="1"/>
    <n v="60"/>
    <s v="00"/>
    <s v="058"/>
    <s v="16000-058"/>
    <s v="Theremin production item #058"/>
    <s v="UNIQUE"/>
    <n v="0"/>
    <n v="8"/>
    <n v="0"/>
    <n v="0"/>
    <n v="0"/>
  </r>
  <r>
    <x v="0"/>
    <x v="23"/>
    <x v="5"/>
    <n v="1"/>
    <n v="60"/>
    <s v="00"/>
    <s v="059"/>
    <s v="16000-059"/>
    <s v="Theremin production item #059"/>
    <s v="UNIQUE"/>
    <n v="5553"/>
    <n v="25"/>
    <n v="19683"/>
    <n v="138825"/>
    <n v="492075"/>
  </r>
  <r>
    <x v="0"/>
    <x v="23"/>
    <x v="5"/>
    <n v="1"/>
    <n v="60"/>
    <s v="00"/>
    <s v="060"/>
    <s v="16000-060"/>
    <s v="Theremin production item #060"/>
    <s v="UNIQUE"/>
    <n v="0"/>
    <n v="8"/>
    <n v="30"/>
    <n v="0"/>
    <n v="240"/>
  </r>
  <r>
    <x v="0"/>
    <x v="23"/>
    <x v="5"/>
    <n v="1"/>
    <n v="60"/>
    <s v="00"/>
    <s v="061"/>
    <s v="16000-061"/>
    <s v="Theremin production item #061"/>
    <s v="UNIQUE"/>
    <n v="2"/>
    <n v="9"/>
    <n v="5832"/>
    <n v="18"/>
    <n v="52488"/>
  </r>
  <r>
    <x v="0"/>
    <x v="23"/>
    <x v="5"/>
    <n v="1"/>
    <n v="60"/>
    <s v="00"/>
    <s v="062"/>
    <s v="16000-062"/>
    <s v="Theremin production item #062"/>
    <s v="UNIQUE"/>
    <n v="0"/>
    <n v="25"/>
    <n v="169"/>
    <n v="0"/>
    <n v="4225"/>
  </r>
  <r>
    <x v="0"/>
    <x v="23"/>
    <x v="5"/>
    <n v="1"/>
    <n v="60"/>
    <s v="00"/>
    <s v="063"/>
    <s v="16000-063"/>
    <s v="Theremin production item #063"/>
    <s v="UNIQUE"/>
    <n v="67"/>
    <n v="3"/>
    <n v="1"/>
    <n v="201"/>
    <n v="3"/>
  </r>
  <r>
    <x v="0"/>
    <x v="23"/>
    <x v="5"/>
    <n v="1"/>
    <n v="60"/>
    <s v="00"/>
    <s v="064"/>
    <s v="16000-064"/>
    <s v="Theremin production item #064"/>
    <s v="UNIQUE"/>
    <n v="20"/>
    <n v="7"/>
    <n v="324"/>
    <n v="140"/>
    <n v="2268"/>
  </r>
  <r>
    <x v="0"/>
    <x v="23"/>
    <x v="5"/>
    <n v="1"/>
    <n v="60"/>
    <s v="00"/>
    <s v="065"/>
    <s v="16000-065"/>
    <s v="Theremin production item #065"/>
    <s v="UNIQUE"/>
    <n v="9088"/>
    <n v="8"/>
    <n v="8"/>
    <n v="72704"/>
    <n v="64"/>
  </r>
  <r>
    <x v="0"/>
    <x v="23"/>
    <x v="5"/>
    <n v="1"/>
    <n v="60"/>
    <s v="00"/>
    <s v="066"/>
    <s v="16000-066"/>
    <s v="Theremin production item #066"/>
    <s v="UNIQUE"/>
    <n v="0"/>
    <n v="7"/>
    <n v="4913"/>
    <n v="0"/>
    <n v="34391"/>
  </r>
  <r>
    <x v="0"/>
    <x v="23"/>
    <x v="5"/>
    <n v="1"/>
    <n v="60"/>
    <s v="00"/>
    <s v="067"/>
    <s v="16000-067"/>
    <s v="Theremin production item #067"/>
    <s v="UNIQUE"/>
    <n v="1"/>
    <n v="1"/>
    <n v="24389"/>
    <n v="1"/>
    <n v="24389"/>
  </r>
  <r>
    <x v="0"/>
    <x v="23"/>
    <x v="5"/>
    <n v="1"/>
    <n v="60"/>
    <s v="00"/>
    <s v="068"/>
    <s v="16000-068"/>
    <s v="Theremin production item #068"/>
    <s v="UNIQUE"/>
    <n v="9423"/>
    <n v="25"/>
    <n v="361"/>
    <n v="235575"/>
    <n v="9025"/>
  </r>
  <r>
    <x v="0"/>
    <x v="23"/>
    <x v="5"/>
    <n v="1"/>
    <n v="60"/>
    <s v="00"/>
    <s v="069"/>
    <s v="16000-069"/>
    <s v="Theremin production item #069"/>
    <s v="UNIQUE"/>
    <n v="1"/>
    <n v="2"/>
    <n v="6859"/>
    <n v="2"/>
    <n v="13718"/>
  </r>
  <r>
    <x v="0"/>
    <x v="23"/>
    <x v="5"/>
    <n v="1"/>
    <n v="60"/>
    <s v="00"/>
    <s v="070"/>
    <s v="16000-070"/>
    <s v="Theremin production item #070"/>
    <s v="UNIQUE"/>
    <n v="818"/>
    <n v="9"/>
    <n v="15625"/>
    <n v="7362"/>
    <n v="140625"/>
  </r>
  <r>
    <x v="0"/>
    <x v="23"/>
    <x v="5"/>
    <n v="1"/>
    <n v="60"/>
    <s v="00"/>
    <s v="071"/>
    <s v="16000-071"/>
    <s v="Theremin production item #071"/>
    <s v="UNIQUE"/>
    <n v="7"/>
    <n v="3"/>
    <n v="841"/>
    <n v="21"/>
    <n v="2523"/>
  </r>
  <r>
    <x v="0"/>
    <x v="23"/>
    <x v="5"/>
    <n v="1"/>
    <n v="60"/>
    <s v="00"/>
    <s v="072"/>
    <s v="16000-072"/>
    <s v="Theremin production item #072"/>
    <s v="UNIQUE"/>
    <n v="0"/>
    <n v="8"/>
    <n v="27000"/>
    <n v="0"/>
    <n v="216000"/>
  </r>
  <r>
    <x v="0"/>
    <x v="23"/>
    <x v="5"/>
    <n v="1"/>
    <n v="60"/>
    <s v="00"/>
    <s v="073"/>
    <s v="16000-073"/>
    <s v="Theremin production item #073"/>
    <s v="UNIQUE"/>
    <n v="0"/>
    <n v="27"/>
    <n v="8"/>
    <n v="0"/>
    <n v="216"/>
  </r>
  <r>
    <x v="0"/>
    <x v="23"/>
    <x v="5"/>
    <n v="1"/>
    <n v="60"/>
    <s v="00"/>
    <s v="074"/>
    <s v="16000-074"/>
    <s v="Theremin production item #074"/>
    <s v="UNIQUE"/>
    <n v="747"/>
    <n v="2"/>
    <n v="15"/>
    <n v="1494"/>
    <n v="30"/>
  </r>
  <r>
    <x v="0"/>
    <x v="23"/>
    <x v="5"/>
    <n v="1"/>
    <n v="60"/>
    <s v="00"/>
    <s v="075"/>
    <s v="16000-075"/>
    <s v="Theremin production item #075"/>
    <s v="UNIQUE"/>
    <n v="0"/>
    <n v="2"/>
    <n v="400"/>
    <n v="0"/>
    <n v="800"/>
  </r>
  <r>
    <x v="0"/>
    <x v="23"/>
    <x v="5"/>
    <n v="1"/>
    <n v="60"/>
    <s v="00"/>
    <s v="076"/>
    <s v="16000-076"/>
    <s v="Theremin production item #076"/>
    <s v="UNIQUE"/>
    <n v="0"/>
    <n v="8"/>
    <n v="25"/>
    <n v="0"/>
    <n v="200"/>
  </r>
  <r>
    <x v="0"/>
    <x v="23"/>
    <x v="5"/>
    <n v="1"/>
    <n v="60"/>
    <s v="00"/>
    <s v="077"/>
    <s v="16000-077"/>
    <s v="Theremin production item #077"/>
    <s v="UNIQUE"/>
    <n v="0"/>
    <n v="9"/>
    <n v="12"/>
    <n v="0"/>
    <n v="108"/>
  </r>
  <r>
    <x v="0"/>
    <x v="23"/>
    <x v="5"/>
    <n v="1"/>
    <n v="60"/>
    <s v="00"/>
    <s v="078"/>
    <s v="16000-078"/>
    <s v="Theremin production item #078"/>
    <s v="UNIQUE"/>
    <n v="0"/>
    <n v="9"/>
    <n v="17"/>
    <n v="0"/>
    <n v="153"/>
  </r>
  <r>
    <x v="0"/>
    <x v="23"/>
    <x v="5"/>
    <n v="1"/>
    <n v="60"/>
    <s v="00"/>
    <s v="079"/>
    <s v="16000-079"/>
    <s v="Theremin production item #079"/>
    <s v="UNIQUE"/>
    <n v="45"/>
    <n v="81"/>
    <n v="2197"/>
    <n v="3645"/>
    <n v="177957"/>
  </r>
  <r>
    <x v="0"/>
    <x v="23"/>
    <x v="5"/>
    <n v="1"/>
    <n v="60"/>
    <s v="00"/>
    <s v="080"/>
    <s v="16000-080"/>
    <s v="Theremin production item #080"/>
    <s v="UNIQUE"/>
    <n v="1"/>
    <n v="4"/>
    <n v="18"/>
    <n v="4"/>
    <n v="72"/>
  </r>
  <r>
    <x v="0"/>
    <x v="23"/>
    <x v="5"/>
    <n v="1"/>
    <n v="60"/>
    <s v="00"/>
    <s v="081"/>
    <s v="16000-081"/>
    <s v="Theremin production item #081"/>
    <s v="UNIQUE"/>
    <n v="456"/>
    <n v="8"/>
    <n v="36"/>
    <n v="3648"/>
    <n v="288"/>
  </r>
  <r>
    <x v="0"/>
    <x v="23"/>
    <x v="5"/>
    <n v="1"/>
    <n v="60"/>
    <s v="00"/>
    <s v="082"/>
    <s v="16000-082"/>
    <s v="Theremin production item #082"/>
    <s v="UNIQUE"/>
    <n v="1"/>
    <n v="8"/>
    <n v="100"/>
    <n v="8"/>
    <n v="800"/>
  </r>
  <r>
    <x v="0"/>
    <x v="23"/>
    <x v="5"/>
    <n v="1"/>
    <n v="60"/>
    <s v="00"/>
    <s v="083"/>
    <s v="16000-083"/>
    <s v="Theremin production item #083"/>
    <s v="UNIQUE"/>
    <n v="5"/>
    <n v="1000"/>
    <n v="24389"/>
    <n v="5000"/>
    <n v="24389000"/>
  </r>
  <r>
    <x v="0"/>
    <x v="23"/>
    <x v="5"/>
    <n v="1"/>
    <n v="60"/>
    <s v="00"/>
    <s v="084"/>
    <s v="16000-084"/>
    <s v="Theremin production item #084"/>
    <s v="UNIQUE"/>
    <n v="0"/>
    <n v="729"/>
    <n v="1000"/>
    <n v="0"/>
    <n v="729000"/>
  </r>
  <r>
    <x v="0"/>
    <x v="23"/>
    <x v="5"/>
    <n v="1"/>
    <n v="60"/>
    <s v="00"/>
    <s v="085"/>
    <s v="16000-085"/>
    <s v="Theremin production item #085"/>
    <s v="UNIQUE"/>
    <n v="0"/>
    <n v="6"/>
    <n v="2197"/>
    <n v="0"/>
    <n v="13182"/>
  </r>
  <r>
    <x v="0"/>
    <x v="23"/>
    <x v="5"/>
    <n v="1"/>
    <n v="60"/>
    <s v="00"/>
    <s v="086"/>
    <s v="16000-086"/>
    <s v="Theremin production item #086"/>
    <s v="UNIQUE"/>
    <n v="1"/>
    <n v="5"/>
    <n v="900"/>
    <n v="5"/>
    <n v="4500"/>
  </r>
  <r>
    <x v="0"/>
    <x v="23"/>
    <x v="5"/>
    <n v="1"/>
    <n v="60"/>
    <s v="00"/>
    <s v="087"/>
    <s v="16000-087"/>
    <s v="Theremin production item #087"/>
    <s v="UNIQUE"/>
    <n v="7970"/>
    <n v="49"/>
    <n v="14"/>
    <n v="390530"/>
    <n v="686"/>
  </r>
  <r>
    <x v="0"/>
    <x v="23"/>
    <x v="5"/>
    <n v="1"/>
    <n v="60"/>
    <s v="00"/>
    <s v="088"/>
    <s v="16000-088"/>
    <s v="Theremin production item #088"/>
    <s v="UNIQUE"/>
    <n v="0"/>
    <n v="1"/>
    <n v="1331"/>
    <n v="0"/>
    <n v="1331"/>
  </r>
  <r>
    <x v="0"/>
    <x v="23"/>
    <x v="5"/>
    <n v="1"/>
    <n v="60"/>
    <s v="00"/>
    <s v="089"/>
    <s v="16000-089"/>
    <s v="Theremin production item #089"/>
    <s v="UNIQUE"/>
    <n v="0"/>
    <n v="4"/>
    <n v="0"/>
    <n v="0"/>
    <n v="0"/>
  </r>
  <r>
    <x v="0"/>
    <x v="23"/>
    <x v="5"/>
    <n v="1"/>
    <n v="60"/>
    <s v="00"/>
    <s v="090"/>
    <s v="16000-090"/>
    <s v="Theremin production item #090"/>
    <s v="UNIQUE"/>
    <n v="9"/>
    <n v="512"/>
    <n v="25"/>
    <n v="4608"/>
    <n v="12800"/>
  </r>
  <r>
    <x v="0"/>
    <x v="23"/>
    <x v="5"/>
    <n v="1"/>
    <n v="60"/>
    <s v="00"/>
    <s v="091"/>
    <s v="16000-091"/>
    <s v="Theremin production item #091"/>
    <s v="UNIQUE"/>
    <n v="0"/>
    <n v="512"/>
    <n v="18"/>
    <n v="0"/>
    <n v="9216"/>
  </r>
  <r>
    <x v="0"/>
    <x v="23"/>
    <x v="5"/>
    <n v="1"/>
    <n v="60"/>
    <s v="00"/>
    <s v="092"/>
    <s v="16000-092"/>
    <s v="Theremin production item #092"/>
    <s v="UNIQUE"/>
    <n v="0"/>
    <n v="64"/>
    <n v="676"/>
    <n v="0"/>
    <n v="43264"/>
  </r>
  <r>
    <x v="0"/>
    <x v="23"/>
    <x v="5"/>
    <n v="1"/>
    <n v="60"/>
    <s v="00"/>
    <s v="093"/>
    <s v="16000-093"/>
    <s v="Theremin production item #093"/>
    <s v="UNIQUE"/>
    <n v="989"/>
    <n v="1"/>
    <n v="196"/>
    <n v="989"/>
    <n v="196"/>
  </r>
  <r>
    <x v="0"/>
    <x v="23"/>
    <x v="5"/>
    <n v="1"/>
    <n v="60"/>
    <s v="00"/>
    <s v="094"/>
    <s v="16000-094"/>
    <s v="Theremin production item #094"/>
    <s v="UNIQUE"/>
    <n v="1"/>
    <n v="8"/>
    <n v="4913"/>
    <n v="8"/>
    <n v="39304"/>
  </r>
  <r>
    <x v="0"/>
    <x v="23"/>
    <x v="5"/>
    <n v="1"/>
    <n v="60"/>
    <s v="00"/>
    <s v="095"/>
    <s v="16000-095"/>
    <s v="Theremin production item #095"/>
    <s v="UNIQUE"/>
    <n v="97"/>
    <n v="9"/>
    <n v="21"/>
    <n v="873"/>
    <n v="189"/>
  </r>
  <r>
    <x v="0"/>
    <x v="23"/>
    <x v="5"/>
    <n v="1"/>
    <n v="60"/>
    <s v="00"/>
    <s v="096"/>
    <s v="16000-096"/>
    <s v="Theremin production item #096"/>
    <s v="UNIQUE"/>
    <n v="0"/>
    <n v="125"/>
    <n v="1000"/>
    <n v="0"/>
    <n v="125000"/>
  </r>
  <r>
    <x v="0"/>
    <x v="23"/>
    <x v="5"/>
    <n v="1"/>
    <n v="60"/>
    <s v="00"/>
    <s v="097"/>
    <s v="16000-097"/>
    <s v="Theremin production item #097"/>
    <s v="UNIQUE"/>
    <n v="216"/>
    <n v="10"/>
    <n v="29"/>
    <n v="2160"/>
    <n v="290"/>
  </r>
  <r>
    <x v="0"/>
    <x v="23"/>
    <x v="5"/>
    <n v="1"/>
    <n v="60"/>
    <s v="00"/>
    <s v="098"/>
    <s v="16000-098"/>
    <s v="Theremin production item #098"/>
    <s v="UNIQUE"/>
    <n v="4091"/>
    <n v="10"/>
    <n v="324"/>
    <n v="40910"/>
    <n v="3240"/>
  </r>
  <r>
    <x v="0"/>
    <x v="23"/>
    <x v="5"/>
    <n v="1"/>
    <n v="60"/>
    <s v="00"/>
    <s v="099"/>
    <s v="16000-099"/>
    <s v="Theremin production item #099"/>
    <s v="UNIQUE"/>
    <n v="0"/>
    <n v="4"/>
    <n v="21952"/>
    <n v="0"/>
    <n v="87808"/>
  </r>
  <r>
    <x v="0"/>
    <x v="23"/>
    <x v="5"/>
    <n v="1"/>
    <n v="60"/>
    <s v="00"/>
    <s v="100"/>
    <s v="16000-100"/>
    <s v="Theremin production item #100"/>
    <s v="UNIQUE"/>
    <n v="5"/>
    <n v="64"/>
    <n v="7"/>
    <n v="320"/>
    <n v="448"/>
  </r>
  <r>
    <x v="0"/>
    <x v="23"/>
    <x v="5"/>
    <n v="1"/>
    <n v="60"/>
    <s v="00"/>
    <s v="101"/>
    <s v="16000-101"/>
    <s v="Theremin production item #101"/>
    <s v="UNIQUE"/>
    <n v="0"/>
    <n v="81"/>
    <n v="4913"/>
    <n v="0"/>
    <n v="397953"/>
  </r>
  <r>
    <x v="0"/>
    <x v="23"/>
    <x v="5"/>
    <n v="1"/>
    <n v="60"/>
    <s v="00"/>
    <s v="102"/>
    <s v="16000-102"/>
    <s v="Theremin production item #102"/>
    <s v="UNIQUE"/>
    <n v="0"/>
    <n v="64"/>
    <n v="4"/>
    <n v="0"/>
    <n v="256"/>
  </r>
  <r>
    <x v="0"/>
    <x v="23"/>
    <x v="5"/>
    <n v="1"/>
    <n v="60"/>
    <s v="00"/>
    <s v="103"/>
    <s v="16000-103"/>
    <s v="Theremin production item #103"/>
    <s v="UNIQUE"/>
    <n v="0"/>
    <n v="1"/>
    <n v="6"/>
    <n v="0"/>
    <n v="6"/>
  </r>
  <r>
    <x v="0"/>
    <x v="23"/>
    <x v="5"/>
    <n v="1"/>
    <n v="60"/>
    <s v="00"/>
    <s v="104"/>
    <s v="16000-104"/>
    <s v="Theremin production item #104"/>
    <s v="UNIQUE"/>
    <n v="0"/>
    <n v="4"/>
    <n v="225"/>
    <n v="0"/>
    <n v="900"/>
  </r>
  <r>
    <x v="0"/>
    <x v="23"/>
    <x v="5"/>
    <n v="1"/>
    <n v="60"/>
    <s v="00"/>
    <s v="105"/>
    <s v="16000-105"/>
    <s v="Theremin production item #105"/>
    <s v="UNIQUE"/>
    <n v="0"/>
    <n v="125"/>
    <n v="81"/>
    <n v="0"/>
    <n v="10125"/>
  </r>
  <r>
    <x v="0"/>
    <x v="23"/>
    <x v="5"/>
    <n v="1"/>
    <n v="60"/>
    <s v="00"/>
    <s v="106"/>
    <s v="16000-106"/>
    <s v="Theremin production item #106"/>
    <s v="UNIQUE"/>
    <n v="0"/>
    <n v="49"/>
    <n v="64"/>
    <n v="0"/>
    <n v="3136"/>
  </r>
  <r>
    <x v="0"/>
    <x v="23"/>
    <x v="5"/>
    <n v="1"/>
    <n v="60"/>
    <s v="00"/>
    <s v="107"/>
    <s v="16000-107"/>
    <s v="Theremin production item #107"/>
    <s v="UNIQUE"/>
    <n v="0"/>
    <n v="81"/>
    <n v="24389"/>
    <n v="0"/>
    <n v="1975509"/>
  </r>
  <r>
    <x v="0"/>
    <x v="23"/>
    <x v="5"/>
    <n v="1"/>
    <n v="60"/>
    <s v="00"/>
    <s v="108"/>
    <s v="16000-108"/>
    <s v="Theremin production item #108"/>
    <s v="UNIQUE"/>
    <n v="0"/>
    <n v="216"/>
    <n v="49"/>
    <n v="0"/>
    <n v="10584"/>
  </r>
  <r>
    <x v="0"/>
    <x v="23"/>
    <x v="5"/>
    <n v="1"/>
    <n v="60"/>
    <s v="00"/>
    <s v="109"/>
    <s v="16000-109"/>
    <s v="Theremin production item #109"/>
    <s v="UNIQUE"/>
    <n v="3"/>
    <n v="1"/>
    <n v="0"/>
    <n v="3"/>
    <n v="0"/>
  </r>
  <r>
    <x v="0"/>
    <x v="23"/>
    <x v="5"/>
    <n v="1"/>
    <n v="60"/>
    <s v="00"/>
    <s v="110"/>
    <s v="16000-110"/>
    <s v="Theremin production item #110"/>
    <s v="UNIQUE"/>
    <n v="524"/>
    <n v="27"/>
    <n v="0"/>
    <n v="14148"/>
    <n v="0"/>
  </r>
  <r>
    <x v="0"/>
    <x v="23"/>
    <x v="5"/>
    <n v="1"/>
    <n v="60"/>
    <s v="00"/>
    <s v="111"/>
    <s v="16000-111"/>
    <s v="Theremin production item #111"/>
    <s v="UNIQUE"/>
    <n v="79"/>
    <n v="27"/>
    <n v="21952"/>
    <n v="2133"/>
    <n v="592704"/>
  </r>
  <r>
    <x v="0"/>
    <x v="23"/>
    <x v="5"/>
    <n v="1"/>
    <n v="60"/>
    <s v="00"/>
    <s v="112"/>
    <s v="16000-112"/>
    <s v="Theremin production item #112"/>
    <s v="UNIQUE"/>
    <n v="0"/>
    <n v="1"/>
    <n v="6"/>
    <n v="0"/>
    <n v="6"/>
  </r>
  <r>
    <x v="0"/>
    <x v="23"/>
    <x v="5"/>
    <n v="1"/>
    <n v="60"/>
    <s v="00"/>
    <s v="113"/>
    <s v="16000-113"/>
    <s v="Theremin production item #113"/>
    <s v="UNIQUE"/>
    <n v="0"/>
    <n v="9"/>
    <n v="441"/>
    <n v="0"/>
    <n v="3969"/>
  </r>
  <r>
    <x v="0"/>
    <x v="23"/>
    <x v="5"/>
    <n v="1"/>
    <n v="60"/>
    <s v="00"/>
    <s v="114"/>
    <s v="16000-114"/>
    <s v="Theremin production item #114"/>
    <s v="UNIQUE"/>
    <n v="1"/>
    <n v="4"/>
    <n v="20"/>
    <n v="4"/>
    <n v="80"/>
  </r>
  <r>
    <x v="0"/>
    <x v="23"/>
    <x v="5"/>
    <n v="1"/>
    <n v="60"/>
    <s v="00"/>
    <s v="115"/>
    <s v="16000-115"/>
    <s v="Theremin production item #115"/>
    <s v="UNIQUE"/>
    <n v="0"/>
    <n v="4"/>
    <n v="81"/>
    <n v="0"/>
    <n v="324"/>
  </r>
  <r>
    <x v="0"/>
    <x v="23"/>
    <x v="5"/>
    <n v="1"/>
    <n v="60"/>
    <s v="00"/>
    <s v="116"/>
    <s v="16000-116"/>
    <s v="Theremin production item #116"/>
    <s v="UNIQUE"/>
    <n v="0"/>
    <n v="36"/>
    <n v="10"/>
    <n v="0"/>
    <n v="360"/>
  </r>
  <r>
    <x v="0"/>
    <x v="23"/>
    <x v="5"/>
    <n v="1"/>
    <n v="60"/>
    <s v="00"/>
    <s v="117"/>
    <s v="16000-117"/>
    <s v="Theremin production item #117"/>
    <s v="UNIQUE"/>
    <n v="0"/>
    <n v="10"/>
    <n v="100"/>
    <n v="0"/>
    <n v="1000"/>
  </r>
  <r>
    <x v="0"/>
    <x v="23"/>
    <x v="5"/>
    <n v="1"/>
    <n v="60"/>
    <s v="00"/>
    <s v="118"/>
    <s v="16000-118"/>
    <s v="Theremin production item #118"/>
    <s v="UNIQUE"/>
    <n v="9"/>
    <n v="3"/>
    <n v="4"/>
    <n v="27"/>
    <n v="12"/>
  </r>
  <r>
    <x v="0"/>
    <x v="23"/>
    <x v="5"/>
    <n v="1"/>
    <n v="60"/>
    <s v="00"/>
    <s v="119"/>
    <s v="16000-119"/>
    <s v="Theremin production item #119"/>
    <s v="UNIQUE"/>
    <n v="5"/>
    <n v="4"/>
    <n v="49"/>
    <n v="20"/>
    <n v="196"/>
  </r>
  <r>
    <x v="0"/>
    <x v="23"/>
    <x v="5"/>
    <n v="1"/>
    <n v="60"/>
    <s v="00"/>
    <s v="120"/>
    <s v="16000-120"/>
    <s v="Theremin production item #120"/>
    <s v="UNIQUE"/>
    <n v="712"/>
    <n v="10"/>
    <n v="4096"/>
    <n v="7120"/>
    <n v="40960"/>
  </r>
  <r>
    <x v="0"/>
    <x v="23"/>
    <x v="5"/>
    <n v="1"/>
    <n v="60"/>
    <s v="00"/>
    <s v="121"/>
    <s v="16000-121"/>
    <s v="Theremin production item #121"/>
    <s v="UNIQUE"/>
    <n v="0"/>
    <n v="49"/>
    <n v="900"/>
    <n v="0"/>
    <n v="44100"/>
  </r>
  <r>
    <x v="0"/>
    <x v="23"/>
    <x v="5"/>
    <n v="1"/>
    <n v="60"/>
    <s v="00"/>
    <s v="122"/>
    <s v="16000-122"/>
    <s v="Theremin production item #122"/>
    <s v="UNIQUE"/>
    <n v="0"/>
    <n v="3"/>
    <n v="196"/>
    <n v="0"/>
    <n v="588"/>
  </r>
  <r>
    <x v="0"/>
    <x v="23"/>
    <x v="5"/>
    <n v="1"/>
    <n v="60"/>
    <s v="00"/>
    <s v="123"/>
    <s v="16000-123"/>
    <s v="Theremin production item #123"/>
    <s v="UNIQUE"/>
    <n v="0"/>
    <n v="1"/>
    <n v="22"/>
    <n v="0"/>
    <n v="22"/>
  </r>
  <r>
    <x v="0"/>
    <x v="23"/>
    <x v="5"/>
    <n v="1"/>
    <n v="60"/>
    <s v="00"/>
    <s v="124"/>
    <s v="16000-124"/>
    <s v="Theremin production item #124"/>
    <s v="UNIQUE"/>
    <n v="0"/>
    <n v="1"/>
    <n v="10"/>
    <n v="0"/>
    <n v="10"/>
  </r>
  <r>
    <x v="0"/>
    <x v="23"/>
    <x v="5"/>
    <n v="1"/>
    <n v="60"/>
    <s v="00"/>
    <s v="125"/>
    <s v="16000-125"/>
    <s v="Theremin production item #125"/>
    <s v="UNIQUE"/>
    <n v="7989"/>
    <n v="1"/>
    <n v="2197"/>
    <n v="7989"/>
    <n v="2197"/>
  </r>
  <r>
    <x v="0"/>
    <x v="23"/>
    <x v="5"/>
    <n v="1"/>
    <n v="60"/>
    <s v="00"/>
    <s v="126"/>
    <s v="16000-126"/>
    <s v="Theremin production item #126"/>
    <s v="UNIQUE"/>
    <n v="0"/>
    <n v="6"/>
    <n v="576"/>
    <n v="0"/>
    <n v="3456"/>
  </r>
  <r>
    <x v="0"/>
    <x v="23"/>
    <x v="5"/>
    <n v="1"/>
    <n v="60"/>
    <s v="00"/>
    <s v="127"/>
    <s v="16000-127"/>
    <s v="Theremin production item #127"/>
    <s v="UNIQUE"/>
    <n v="6994"/>
    <n v="5"/>
    <n v="81"/>
    <n v="34970"/>
    <n v="405"/>
  </r>
  <r>
    <x v="0"/>
    <x v="23"/>
    <x v="5"/>
    <n v="1"/>
    <n v="60"/>
    <s v="00"/>
    <s v="128"/>
    <s v="16000-128"/>
    <s v="Theremin production item #128"/>
    <s v="UNIQUE"/>
    <n v="7944"/>
    <n v="4"/>
    <n v="6859"/>
    <n v="31776"/>
    <n v="27436"/>
  </r>
  <r>
    <x v="0"/>
    <x v="23"/>
    <x v="5"/>
    <n v="1"/>
    <n v="60"/>
    <s v="00"/>
    <s v="129"/>
    <s v="16000-129"/>
    <s v="Theremin production item #129"/>
    <s v="UNIQUE"/>
    <n v="0"/>
    <n v="4"/>
    <n v="100"/>
    <n v="0"/>
    <n v="400"/>
  </r>
  <r>
    <x v="0"/>
    <x v="23"/>
    <x v="5"/>
    <n v="1"/>
    <n v="60"/>
    <s v="00"/>
    <s v="130"/>
    <s v="16000-130"/>
    <s v="Theremin production item #130"/>
    <s v="UNIQUE"/>
    <n v="5980"/>
    <n v="512"/>
    <n v="144"/>
    <n v="3061760"/>
    <n v="73728"/>
  </r>
  <r>
    <x v="0"/>
    <x v="23"/>
    <x v="5"/>
    <n v="1"/>
    <n v="60"/>
    <s v="00"/>
    <s v="131"/>
    <s v="16000-131"/>
    <s v="Theremin production item #131"/>
    <s v="UNIQUE"/>
    <n v="0"/>
    <n v="64"/>
    <n v="11"/>
    <n v="0"/>
    <n v="704"/>
  </r>
  <r>
    <x v="0"/>
    <x v="23"/>
    <x v="5"/>
    <n v="1"/>
    <n v="60"/>
    <s v="00"/>
    <s v="132"/>
    <s v="16000-132"/>
    <s v="Theremin production item #132"/>
    <s v="UNIQUE"/>
    <n v="0"/>
    <n v="10"/>
    <n v="16"/>
    <n v="0"/>
    <n v="160"/>
  </r>
  <r>
    <x v="0"/>
    <x v="23"/>
    <x v="5"/>
    <n v="1"/>
    <n v="60"/>
    <s v="00"/>
    <s v="133"/>
    <s v="16000-133"/>
    <s v="Theremin production item #133"/>
    <s v="UNIQUE"/>
    <n v="0"/>
    <n v="125"/>
    <n v="16"/>
    <n v="0"/>
    <n v="2000"/>
  </r>
  <r>
    <x v="0"/>
    <x v="23"/>
    <x v="5"/>
    <n v="1"/>
    <n v="60"/>
    <s v="00"/>
    <s v="134"/>
    <s v="16000-134"/>
    <s v="Theremin production item #134"/>
    <s v="UNIQUE"/>
    <n v="0"/>
    <n v="9"/>
    <n v="13824"/>
    <n v="0"/>
    <n v="124416"/>
  </r>
  <r>
    <x v="0"/>
    <x v="23"/>
    <x v="5"/>
    <n v="1"/>
    <n v="60"/>
    <s v="00"/>
    <s v="135"/>
    <s v="16000-135"/>
    <s v="Theremin production item #135"/>
    <s v="UNIQUE"/>
    <n v="52"/>
    <n v="27"/>
    <n v="3"/>
    <n v="1404"/>
    <n v="81"/>
  </r>
  <r>
    <x v="0"/>
    <x v="23"/>
    <x v="5"/>
    <n v="1"/>
    <n v="60"/>
    <s v="00"/>
    <s v="136"/>
    <s v="16000-136"/>
    <s v="Theremin production item #136"/>
    <s v="UNIQUE"/>
    <n v="63"/>
    <n v="9"/>
    <n v="343"/>
    <n v="567"/>
    <n v="3087"/>
  </r>
  <r>
    <x v="0"/>
    <x v="23"/>
    <x v="5"/>
    <n v="1"/>
    <n v="60"/>
    <s v="00"/>
    <s v="137"/>
    <s v="16000-137"/>
    <s v="Theremin production item #137"/>
    <s v="UNIQUE"/>
    <n v="0"/>
    <n v="4"/>
    <n v="100"/>
    <n v="0"/>
    <n v="400"/>
  </r>
  <r>
    <x v="0"/>
    <x v="23"/>
    <x v="5"/>
    <n v="1"/>
    <n v="60"/>
    <s v="00"/>
    <s v="138"/>
    <s v="16000-138"/>
    <s v="Theremin production item #138"/>
    <s v="UNIQUE"/>
    <n v="0"/>
    <n v="49"/>
    <n v="6"/>
    <n v="0"/>
    <n v="294"/>
  </r>
  <r>
    <x v="0"/>
    <x v="23"/>
    <x v="5"/>
    <n v="1"/>
    <n v="60"/>
    <s v="00"/>
    <s v="139"/>
    <s v="16000-139"/>
    <s v="Theremin production item #139"/>
    <s v="UNIQUE"/>
    <n v="34"/>
    <n v="729"/>
    <n v="441"/>
    <n v="24786"/>
    <n v="321489"/>
  </r>
  <r>
    <x v="0"/>
    <x v="23"/>
    <x v="5"/>
    <n v="1"/>
    <n v="60"/>
    <s v="00"/>
    <s v="140"/>
    <s v="16000-140"/>
    <s v="Theremin production item #140"/>
    <s v="UNIQUE"/>
    <n v="1"/>
    <n v="64"/>
    <n v="512"/>
    <n v="64"/>
    <n v="32768"/>
  </r>
  <r>
    <x v="0"/>
    <x v="23"/>
    <x v="5"/>
    <n v="1"/>
    <n v="60"/>
    <s v="00"/>
    <s v="141"/>
    <s v="16000-141"/>
    <s v="Theremin production item #141"/>
    <s v="UNIQUE"/>
    <n v="0"/>
    <n v="6"/>
    <n v="26"/>
    <n v="0"/>
    <n v="156"/>
  </r>
  <r>
    <x v="0"/>
    <x v="23"/>
    <x v="5"/>
    <n v="1"/>
    <n v="60"/>
    <s v="00"/>
    <s v="142"/>
    <s v="16000-142"/>
    <s v="Theremin production item #142"/>
    <s v="UNIQUE"/>
    <n v="54"/>
    <n v="343"/>
    <n v="8000"/>
    <n v="18522"/>
    <n v="2744000"/>
  </r>
  <r>
    <x v="0"/>
    <x v="23"/>
    <x v="5"/>
    <n v="1"/>
    <n v="60"/>
    <s v="00"/>
    <s v="143"/>
    <s v="16000-143"/>
    <s v="Theremin production item #143"/>
    <s v="UNIQUE"/>
    <n v="8741"/>
    <n v="6"/>
    <n v="13"/>
    <n v="52446"/>
    <n v="78"/>
  </r>
  <r>
    <x v="0"/>
    <x v="23"/>
    <x v="5"/>
    <n v="1"/>
    <n v="60"/>
    <s v="00"/>
    <s v="144"/>
    <s v="16000-144"/>
    <s v="Theremin production item #144"/>
    <s v="UNIQUE"/>
    <n v="39"/>
    <n v="64"/>
    <n v="3"/>
    <n v="2496"/>
    <n v="192"/>
  </r>
  <r>
    <x v="0"/>
    <x v="23"/>
    <x v="5"/>
    <n v="1"/>
    <n v="60"/>
    <s v="00"/>
    <s v="145"/>
    <s v="16000-145"/>
    <s v="Theremin production item #145"/>
    <s v="UNIQUE"/>
    <n v="0"/>
    <n v="8"/>
    <n v="169"/>
    <n v="0"/>
    <n v="1352"/>
  </r>
  <r>
    <x v="0"/>
    <x v="23"/>
    <x v="5"/>
    <n v="1"/>
    <n v="60"/>
    <s v="00"/>
    <s v="146"/>
    <s v="16000-146"/>
    <s v="Theremin production item #146"/>
    <s v="UNIQUE"/>
    <n v="2"/>
    <n v="7"/>
    <n v="1"/>
    <n v="14"/>
    <n v="7"/>
  </r>
  <r>
    <x v="0"/>
    <x v="23"/>
    <x v="5"/>
    <n v="1"/>
    <n v="60"/>
    <s v="00"/>
    <s v="147"/>
    <s v="16000-147"/>
    <s v="Theremin production item #147"/>
    <s v="UNIQUE"/>
    <n v="0"/>
    <n v="100"/>
    <n v="29"/>
    <n v="0"/>
    <n v="2900"/>
  </r>
  <r>
    <x v="0"/>
    <x v="23"/>
    <x v="5"/>
    <n v="1"/>
    <n v="60"/>
    <s v="00"/>
    <s v="148"/>
    <s v="16000-148"/>
    <s v="Theremin production item #148"/>
    <s v="UNIQUE"/>
    <n v="410"/>
    <n v="1"/>
    <n v="1331"/>
    <n v="410"/>
    <n v="1331"/>
  </r>
  <r>
    <x v="0"/>
    <x v="23"/>
    <x v="5"/>
    <n v="1"/>
    <n v="60"/>
    <s v="00"/>
    <s v="149"/>
    <s v="16000-149"/>
    <s v="Theremin production item #149"/>
    <s v="UNIQUE"/>
    <n v="0"/>
    <n v="25"/>
    <n v="16"/>
    <n v="0"/>
    <n v="400"/>
  </r>
  <r>
    <x v="0"/>
    <x v="23"/>
    <x v="5"/>
    <n v="1"/>
    <n v="60"/>
    <s v="00"/>
    <s v="150"/>
    <s v="16000-150"/>
    <s v="Theremin production item #150"/>
    <s v="UNIQUE"/>
    <n v="463"/>
    <n v="64"/>
    <n v="30"/>
    <n v="29632"/>
    <n v="1920"/>
  </r>
  <r>
    <x v="0"/>
    <x v="23"/>
    <x v="5"/>
    <n v="1"/>
    <n v="60"/>
    <s v="00"/>
    <s v="151"/>
    <s v="16000-151"/>
    <s v="Theremin production item #151"/>
    <s v="UNIQUE"/>
    <n v="0"/>
    <n v="8"/>
    <n v="25"/>
    <n v="0"/>
    <n v="200"/>
  </r>
  <r>
    <x v="0"/>
    <x v="23"/>
    <x v="5"/>
    <n v="1"/>
    <n v="60"/>
    <s v="00"/>
    <s v="152"/>
    <s v="16000-152"/>
    <s v="Theremin production item #152"/>
    <s v="UNIQUE"/>
    <n v="0"/>
    <n v="7"/>
    <n v="3375"/>
    <n v="0"/>
    <n v="23625"/>
  </r>
  <r>
    <x v="0"/>
    <x v="23"/>
    <x v="5"/>
    <n v="1"/>
    <n v="60"/>
    <s v="00"/>
    <s v="153"/>
    <s v="16000-153"/>
    <s v="Theremin production item #153"/>
    <s v="UNIQUE"/>
    <n v="71"/>
    <n v="6"/>
    <n v="19"/>
    <n v="426"/>
    <n v="114"/>
  </r>
  <r>
    <x v="0"/>
    <x v="23"/>
    <x v="5"/>
    <n v="1"/>
    <n v="60"/>
    <s v="00"/>
    <s v="154"/>
    <s v="16000-154"/>
    <s v="Theremin production item #154"/>
    <s v="UNIQUE"/>
    <n v="467"/>
    <n v="125"/>
    <n v="144"/>
    <n v="58375"/>
    <n v="18000"/>
  </r>
  <r>
    <x v="0"/>
    <x v="23"/>
    <x v="5"/>
    <n v="1"/>
    <n v="60"/>
    <s v="00"/>
    <s v="155"/>
    <s v="16000-155"/>
    <s v="Theremin production item #155"/>
    <s v="UNIQUE"/>
    <n v="0"/>
    <n v="8"/>
    <n v="24"/>
    <n v="0"/>
    <n v="192"/>
  </r>
  <r>
    <x v="0"/>
    <x v="23"/>
    <x v="5"/>
    <n v="1"/>
    <n v="60"/>
    <s v="00"/>
    <s v="156"/>
    <s v="16000-156"/>
    <s v="Theremin production item #156"/>
    <s v="UNIQUE"/>
    <n v="0"/>
    <n v="7"/>
    <n v="24389"/>
    <n v="0"/>
    <n v="170723"/>
  </r>
  <r>
    <x v="0"/>
    <x v="23"/>
    <x v="5"/>
    <n v="1"/>
    <n v="60"/>
    <s v="00"/>
    <s v="157"/>
    <s v="16000-157"/>
    <s v="Theremin production item #157"/>
    <s v="UNIQUE"/>
    <n v="664"/>
    <n v="9"/>
    <n v="196"/>
    <n v="5976"/>
    <n v="1764"/>
  </r>
  <r>
    <x v="0"/>
    <x v="23"/>
    <x v="5"/>
    <n v="1"/>
    <n v="60"/>
    <s v="00"/>
    <s v="158"/>
    <s v="16000-158"/>
    <s v="Theremin production item #158"/>
    <s v="UNIQUE"/>
    <n v="0"/>
    <n v="1"/>
    <n v="4913"/>
    <n v="0"/>
    <n v="4913"/>
  </r>
  <r>
    <x v="0"/>
    <x v="23"/>
    <x v="5"/>
    <n v="1"/>
    <n v="60"/>
    <s v="00"/>
    <s v="159"/>
    <s v="16000-159"/>
    <s v="Theremin production item #159"/>
    <s v="UNIQUE"/>
    <n v="0"/>
    <n v="49"/>
    <n v="64"/>
    <n v="0"/>
    <n v="3136"/>
  </r>
  <r>
    <x v="0"/>
    <x v="23"/>
    <x v="5"/>
    <n v="1"/>
    <n v="60"/>
    <s v="00"/>
    <s v="160"/>
    <s v="16000-160"/>
    <s v="Theremin production item #160"/>
    <s v="UNIQUE"/>
    <n v="6"/>
    <n v="16"/>
    <n v="125"/>
    <n v="96"/>
    <n v="2000"/>
  </r>
  <r>
    <x v="0"/>
    <x v="23"/>
    <x v="5"/>
    <n v="1"/>
    <n v="60"/>
    <s v="00"/>
    <s v="161"/>
    <s v="16000-161"/>
    <s v="Theremin production item #161"/>
    <s v="UNIQUE"/>
    <n v="0"/>
    <n v="36"/>
    <n v="216"/>
    <n v="0"/>
    <n v="7776"/>
  </r>
  <r>
    <x v="0"/>
    <x v="23"/>
    <x v="5"/>
    <n v="1"/>
    <n v="60"/>
    <s v="00"/>
    <s v="162"/>
    <s v="16000-162"/>
    <s v="Theremin production item #162"/>
    <s v="UNIQUE"/>
    <n v="281"/>
    <n v="10"/>
    <n v="16"/>
    <n v="2810"/>
    <n v="160"/>
  </r>
  <r>
    <x v="0"/>
    <x v="23"/>
    <x v="5"/>
    <n v="1"/>
    <n v="60"/>
    <s v="00"/>
    <s v="163"/>
    <s v="16000-163"/>
    <s v="Theremin production item #163"/>
    <s v="UNIQUE"/>
    <n v="7438"/>
    <n v="3"/>
    <n v="1"/>
    <n v="22314"/>
    <n v="3"/>
  </r>
  <r>
    <x v="0"/>
    <x v="23"/>
    <x v="5"/>
    <n v="1"/>
    <n v="60"/>
    <s v="00"/>
    <s v="164"/>
    <s v="16000-164"/>
    <s v="Theremin production item #164"/>
    <s v="UNIQUE"/>
    <n v="0"/>
    <n v="81"/>
    <n v="25"/>
    <n v="0"/>
    <n v="2025"/>
  </r>
  <r>
    <x v="0"/>
    <x v="23"/>
    <x v="5"/>
    <n v="1"/>
    <n v="60"/>
    <s v="00"/>
    <s v="165"/>
    <s v="16000-165"/>
    <s v="Theremin production item #165"/>
    <s v="UNIQUE"/>
    <n v="815"/>
    <n v="4"/>
    <n v="900"/>
    <n v="3260"/>
    <n v="3600"/>
  </r>
  <r>
    <x v="0"/>
    <x v="23"/>
    <x v="5"/>
    <n v="1"/>
    <n v="60"/>
    <s v="00"/>
    <s v="166"/>
    <s v="16000-166"/>
    <s v="Theremin production item #166"/>
    <s v="UNIQUE"/>
    <n v="0"/>
    <n v="9"/>
    <n v="2197"/>
    <n v="0"/>
    <n v="19773"/>
  </r>
  <r>
    <x v="0"/>
    <x v="23"/>
    <x v="5"/>
    <n v="1"/>
    <n v="60"/>
    <s v="00"/>
    <s v="167"/>
    <s v="16000-167"/>
    <s v="Theremin production item #167"/>
    <s v="UNIQUE"/>
    <n v="729"/>
    <n v="9"/>
    <n v="29"/>
    <n v="6561"/>
    <n v="261"/>
  </r>
  <r>
    <x v="0"/>
    <x v="23"/>
    <x v="5"/>
    <n v="1"/>
    <n v="60"/>
    <s v="00"/>
    <s v="168"/>
    <s v="16000-168"/>
    <s v="Theremin production item #168"/>
    <s v="UNIQUE"/>
    <n v="0"/>
    <n v="125"/>
    <n v="18"/>
    <n v="0"/>
    <n v="2250"/>
  </r>
  <r>
    <x v="0"/>
    <x v="23"/>
    <x v="5"/>
    <n v="1"/>
    <n v="60"/>
    <s v="00"/>
    <s v="169"/>
    <s v="16000-169"/>
    <s v="Theremin production item #169"/>
    <s v="UNIQUE"/>
    <n v="0"/>
    <n v="64"/>
    <n v="343"/>
    <n v="0"/>
    <n v="21952"/>
  </r>
  <r>
    <x v="0"/>
    <x v="23"/>
    <x v="5"/>
    <n v="1"/>
    <n v="60"/>
    <s v="00"/>
    <s v="170"/>
    <s v="16000-170"/>
    <s v="Theremin production item #170"/>
    <s v="UNIQUE"/>
    <n v="0"/>
    <n v="1000"/>
    <n v="64"/>
    <n v="0"/>
    <n v="64000"/>
  </r>
  <r>
    <x v="0"/>
    <x v="23"/>
    <x v="5"/>
    <n v="1"/>
    <n v="60"/>
    <s v="00"/>
    <s v="171"/>
    <s v="16000-171"/>
    <s v="Theremin production item #171"/>
    <s v="UNIQUE"/>
    <n v="9"/>
    <n v="8"/>
    <n v="11"/>
    <n v="72"/>
    <n v="88"/>
  </r>
  <r>
    <x v="0"/>
    <x v="23"/>
    <x v="5"/>
    <n v="1"/>
    <n v="60"/>
    <s v="00"/>
    <s v="172"/>
    <s v="16000-172"/>
    <s v="Theremin production item #172"/>
    <s v="UNIQUE"/>
    <n v="398"/>
    <n v="9"/>
    <n v="9261"/>
    <n v="3582"/>
    <n v="83349"/>
  </r>
  <r>
    <x v="0"/>
    <x v="23"/>
    <x v="5"/>
    <n v="1"/>
    <n v="60"/>
    <s v="00"/>
    <s v="173"/>
    <s v="16000-173"/>
    <s v="Theremin production item #173"/>
    <s v="UNIQUE"/>
    <n v="5238"/>
    <n v="2"/>
    <n v="4913"/>
    <n v="10476"/>
    <n v="9826"/>
  </r>
  <r>
    <x v="0"/>
    <x v="23"/>
    <x v="5"/>
    <n v="1"/>
    <n v="60"/>
    <s v="00"/>
    <s v="174"/>
    <s v="16000-174"/>
    <s v="Theremin production item #174"/>
    <s v="UNIQUE"/>
    <n v="0"/>
    <n v="9"/>
    <n v="841"/>
    <n v="0"/>
    <n v="7569"/>
  </r>
  <r>
    <x v="0"/>
    <x v="23"/>
    <x v="5"/>
    <n v="1"/>
    <n v="60"/>
    <s v="00"/>
    <s v="175"/>
    <s v="16000-175"/>
    <s v="Theremin production item #175"/>
    <s v="UNIQUE"/>
    <n v="4760"/>
    <n v="4"/>
    <n v="11"/>
    <n v="19040"/>
    <n v="44"/>
  </r>
  <r>
    <x v="0"/>
    <x v="23"/>
    <x v="5"/>
    <n v="1"/>
    <n v="60"/>
    <s v="00"/>
    <s v="176"/>
    <s v="16000-176"/>
    <s v="Theremin production item #176"/>
    <s v="UNIQUE"/>
    <n v="4915"/>
    <n v="8"/>
    <n v="17"/>
    <n v="39320"/>
    <n v="136"/>
  </r>
  <r>
    <x v="0"/>
    <x v="23"/>
    <x v="5"/>
    <n v="1"/>
    <n v="60"/>
    <s v="00"/>
    <s v="177"/>
    <s v="16000-177"/>
    <s v="Theremin production item #177"/>
    <s v="UNIQUE"/>
    <n v="8427"/>
    <n v="10"/>
    <n v="11"/>
    <n v="84270"/>
    <n v="110"/>
  </r>
  <r>
    <x v="0"/>
    <x v="23"/>
    <x v="5"/>
    <n v="1"/>
    <n v="60"/>
    <s v="00"/>
    <s v="178"/>
    <s v="16000-178"/>
    <s v="Theremin production item #178"/>
    <s v="UNIQUE"/>
    <n v="0"/>
    <n v="27"/>
    <n v="24"/>
    <n v="0"/>
    <n v="648"/>
  </r>
  <r>
    <x v="0"/>
    <x v="23"/>
    <x v="5"/>
    <n v="1"/>
    <n v="60"/>
    <s v="00"/>
    <s v="179"/>
    <s v="16000-179"/>
    <s v="Theremin production item #179"/>
    <s v="UNIQUE"/>
    <n v="0"/>
    <n v="1000"/>
    <n v="729"/>
    <n v="0"/>
    <n v="729000"/>
  </r>
  <r>
    <x v="0"/>
    <x v="23"/>
    <x v="5"/>
    <n v="1"/>
    <n v="60"/>
    <s v="00"/>
    <s v="180"/>
    <s v="16000-180"/>
    <s v="Theremin production item #180"/>
    <s v="UNIQUE"/>
    <n v="75"/>
    <n v="1000"/>
    <n v="4913"/>
    <n v="75000"/>
    <n v="4913000"/>
  </r>
  <r>
    <x v="0"/>
    <x v="23"/>
    <x v="5"/>
    <n v="1"/>
    <n v="60"/>
    <s v="00"/>
    <s v="181"/>
    <s v="16000-181"/>
    <s v="Theremin production item #181"/>
    <s v="UNIQUE"/>
    <n v="0"/>
    <n v="343"/>
    <n v="0"/>
    <n v="0"/>
    <n v="0"/>
  </r>
  <r>
    <x v="0"/>
    <x v="23"/>
    <x v="5"/>
    <n v="1"/>
    <n v="60"/>
    <s v="00"/>
    <s v="182"/>
    <s v="16000-182"/>
    <s v="Theremin production item #182"/>
    <s v="UNIQUE"/>
    <n v="0"/>
    <n v="64"/>
    <n v="8000"/>
    <n v="0"/>
    <n v="512000"/>
  </r>
  <r>
    <x v="0"/>
    <x v="23"/>
    <x v="5"/>
    <n v="1"/>
    <n v="60"/>
    <s v="00"/>
    <s v="183"/>
    <s v="16000-183"/>
    <s v="Theremin production item #183"/>
    <s v="UNIQUE"/>
    <n v="55"/>
    <n v="512"/>
    <n v="15625"/>
    <n v="28160"/>
    <n v="8000000"/>
  </r>
  <r>
    <x v="0"/>
    <x v="23"/>
    <x v="5"/>
    <n v="1"/>
    <n v="60"/>
    <s v="00"/>
    <s v="184"/>
    <s v="16000-184"/>
    <s v="Theremin production item #184"/>
    <s v="UNIQUE"/>
    <n v="0"/>
    <n v="16"/>
    <n v="784"/>
    <n v="0"/>
    <n v="12544"/>
  </r>
  <r>
    <x v="0"/>
    <x v="23"/>
    <x v="5"/>
    <n v="1"/>
    <n v="60"/>
    <s v="00"/>
    <s v="185"/>
    <s v="16000-185"/>
    <s v="Theremin production item #185"/>
    <s v="UNIQUE"/>
    <n v="0"/>
    <n v="3"/>
    <n v="26"/>
    <n v="0"/>
    <n v="78"/>
  </r>
  <r>
    <x v="0"/>
    <x v="23"/>
    <x v="5"/>
    <n v="1"/>
    <n v="60"/>
    <s v="00"/>
    <s v="186"/>
    <s v="16000-186"/>
    <s v="Theremin production item #186"/>
    <s v="UNIQUE"/>
    <n v="0"/>
    <n v="216"/>
    <n v="512"/>
    <n v="0"/>
    <n v="110592"/>
  </r>
  <r>
    <x v="0"/>
    <x v="23"/>
    <x v="5"/>
    <n v="1"/>
    <n v="60"/>
    <s v="00"/>
    <s v="187"/>
    <s v="16000-187"/>
    <s v="Theremin production item #187"/>
    <s v="UNIQUE"/>
    <n v="0"/>
    <n v="9"/>
    <n v="4"/>
    <n v="0"/>
    <n v="36"/>
  </r>
  <r>
    <x v="0"/>
    <x v="23"/>
    <x v="5"/>
    <n v="1"/>
    <n v="60"/>
    <s v="00"/>
    <s v="188"/>
    <s v="16000-188"/>
    <s v="Theremin production item #188"/>
    <s v="UNIQUE"/>
    <n v="0"/>
    <n v="4"/>
    <n v="26"/>
    <n v="0"/>
    <n v="104"/>
  </r>
  <r>
    <x v="0"/>
    <x v="23"/>
    <x v="5"/>
    <n v="1"/>
    <n v="60"/>
    <s v="00"/>
    <s v="189"/>
    <s v="16000-189"/>
    <s v="Theremin production item #189"/>
    <s v="UNIQUE"/>
    <n v="0"/>
    <n v="9"/>
    <n v="64"/>
    <n v="0"/>
    <n v="576"/>
  </r>
  <r>
    <x v="0"/>
    <x v="23"/>
    <x v="5"/>
    <n v="1"/>
    <n v="60"/>
    <s v="00"/>
    <s v="190"/>
    <s v="16000-190"/>
    <s v="Theremin production item #190"/>
    <s v="UNIQUE"/>
    <n v="1"/>
    <n v="64"/>
    <n v="1"/>
    <n v="64"/>
    <n v="64"/>
  </r>
  <r>
    <x v="0"/>
    <x v="23"/>
    <x v="5"/>
    <n v="1"/>
    <n v="60"/>
    <s v="00"/>
    <s v="191"/>
    <s v="16000-191"/>
    <s v="Theremin production item #191"/>
    <s v="UNIQUE"/>
    <n v="27"/>
    <n v="1"/>
    <n v="729"/>
    <n v="27"/>
    <n v="729"/>
  </r>
  <r>
    <x v="0"/>
    <x v="23"/>
    <x v="5"/>
    <n v="1"/>
    <n v="60"/>
    <s v="00"/>
    <s v="192"/>
    <s v="16000-192"/>
    <s v="Theremin production item #192"/>
    <s v="UNIQUE"/>
    <n v="97"/>
    <n v="1"/>
    <n v="0"/>
    <n v="97"/>
    <n v="0"/>
  </r>
  <r>
    <x v="0"/>
    <x v="23"/>
    <x v="5"/>
    <n v="1"/>
    <n v="60"/>
    <s v="00"/>
    <s v="193"/>
    <s v="16000-193"/>
    <s v="Theremin production item #193"/>
    <s v="UNIQUE"/>
    <n v="0"/>
    <n v="1"/>
    <n v="21952"/>
    <n v="0"/>
    <n v="21952"/>
  </r>
  <r>
    <x v="0"/>
    <x v="23"/>
    <x v="5"/>
    <n v="1"/>
    <n v="60"/>
    <s v="00"/>
    <s v="194"/>
    <s v="16000-194"/>
    <s v="Theremin production item #194"/>
    <s v="UNIQUE"/>
    <n v="0"/>
    <n v="16"/>
    <n v="19"/>
    <n v="0"/>
    <n v="304"/>
  </r>
  <r>
    <x v="0"/>
    <x v="23"/>
    <x v="5"/>
    <n v="1"/>
    <n v="60"/>
    <s v="00"/>
    <s v="195"/>
    <s v="16000-195"/>
    <s v="Theremin production item #195"/>
    <s v="UNIQUE"/>
    <n v="0"/>
    <n v="3"/>
    <n v="8"/>
    <n v="0"/>
    <n v="24"/>
  </r>
  <r>
    <x v="0"/>
    <x v="23"/>
    <x v="5"/>
    <n v="1"/>
    <n v="60"/>
    <s v="00"/>
    <s v="196"/>
    <s v="16000-196"/>
    <s v="Theremin production item #196"/>
    <s v="UNIQUE"/>
    <n v="0"/>
    <n v="1"/>
    <n v="4096"/>
    <n v="0"/>
    <n v="4096"/>
  </r>
  <r>
    <x v="0"/>
    <x v="23"/>
    <x v="5"/>
    <n v="1"/>
    <n v="60"/>
    <s v="00"/>
    <s v="197"/>
    <s v="16000-197"/>
    <s v="Theremin production item #197"/>
    <s v="UNIQUE"/>
    <n v="44"/>
    <n v="4"/>
    <n v="12"/>
    <n v="176"/>
    <n v="48"/>
  </r>
  <r>
    <x v="0"/>
    <x v="23"/>
    <x v="5"/>
    <n v="1"/>
    <n v="60"/>
    <s v="00"/>
    <s v="198"/>
    <s v="16000-198"/>
    <s v="Theremin production item #198"/>
    <s v="UNIQUE"/>
    <n v="3350"/>
    <n v="2"/>
    <n v="6859"/>
    <n v="6700"/>
    <n v="13718"/>
  </r>
  <r>
    <x v="0"/>
    <x v="23"/>
    <x v="5"/>
    <n v="1"/>
    <n v="60"/>
    <s v="00"/>
    <s v="199"/>
    <s v="16000-199"/>
    <s v="Theremin production item #199"/>
    <s v="UNIQUE"/>
    <n v="1"/>
    <n v="3"/>
    <n v="6859"/>
    <n v="3"/>
    <n v="20577"/>
  </r>
  <r>
    <x v="0"/>
    <x v="23"/>
    <x v="5"/>
    <n v="1"/>
    <n v="60"/>
    <s v="00"/>
    <s v="200"/>
    <s v="16000-200"/>
    <s v="Theremin production item #200"/>
    <s v="UNIQUE"/>
    <n v="9"/>
    <n v="10"/>
    <n v="8"/>
    <n v="90"/>
    <n v="80"/>
  </r>
  <r>
    <x v="0"/>
    <x v="23"/>
    <x v="5"/>
    <n v="1"/>
    <n v="60"/>
    <s v="00"/>
    <s v="201"/>
    <s v="16000-201"/>
    <s v="Theremin production item #201"/>
    <s v="UNIQUE"/>
    <n v="0"/>
    <n v="1000"/>
    <n v="144"/>
    <n v="0"/>
    <n v="144000"/>
  </r>
  <r>
    <x v="0"/>
    <x v="23"/>
    <x v="5"/>
    <n v="1"/>
    <n v="60"/>
    <s v="00"/>
    <s v="202"/>
    <s v="16000-202"/>
    <s v="Theremin production item #202"/>
    <s v="UNIQUE"/>
    <n v="75"/>
    <n v="9"/>
    <n v="324"/>
    <n v="675"/>
    <n v="2916"/>
  </r>
  <r>
    <x v="0"/>
    <x v="23"/>
    <x v="5"/>
    <n v="1"/>
    <n v="60"/>
    <s v="00"/>
    <s v="203"/>
    <s v="16000-203"/>
    <s v="Theremin production item #203"/>
    <s v="UNIQUE"/>
    <n v="93"/>
    <n v="81"/>
    <n v="25"/>
    <n v="7533"/>
    <n v="2025"/>
  </r>
  <r>
    <x v="0"/>
    <x v="23"/>
    <x v="5"/>
    <n v="1"/>
    <n v="60"/>
    <s v="00"/>
    <s v="204"/>
    <s v="16000-204"/>
    <s v="Theremin production item #204"/>
    <s v="UNIQUE"/>
    <n v="0"/>
    <n v="8"/>
    <n v="24389"/>
    <n v="0"/>
    <n v="195112"/>
  </r>
  <r>
    <x v="0"/>
    <x v="23"/>
    <x v="5"/>
    <n v="1"/>
    <n v="60"/>
    <s v="00"/>
    <s v="205"/>
    <s v="16000-205"/>
    <s v="Theremin production item #205"/>
    <s v="UNIQUE"/>
    <n v="0"/>
    <n v="6"/>
    <n v="14"/>
    <n v="0"/>
    <n v="84"/>
  </r>
  <r>
    <x v="0"/>
    <x v="23"/>
    <x v="5"/>
    <n v="1"/>
    <n v="60"/>
    <s v="00"/>
    <s v="206"/>
    <s v="16000-206"/>
    <s v="Theremin production item #206"/>
    <s v="UNIQUE"/>
    <n v="103"/>
    <n v="4"/>
    <n v="1"/>
    <n v="412"/>
    <n v="4"/>
  </r>
  <r>
    <x v="0"/>
    <x v="23"/>
    <x v="5"/>
    <n v="1"/>
    <n v="60"/>
    <s v="00"/>
    <s v="207"/>
    <s v="16000-207"/>
    <s v="Theremin production item #207"/>
    <s v="UNIQUE"/>
    <n v="0"/>
    <n v="49"/>
    <n v="12"/>
    <n v="0"/>
    <n v="588"/>
  </r>
  <r>
    <x v="0"/>
    <x v="23"/>
    <x v="5"/>
    <n v="1"/>
    <n v="60"/>
    <s v="00"/>
    <s v="208"/>
    <s v="16000-208"/>
    <s v="Theremin production item #208"/>
    <s v="UNIQUE"/>
    <n v="0"/>
    <n v="81"/>
    <n v="1"/>
    <n v="0"/>
    <n v="81"/>
  </r>
  <r>
    <x v="0"/>
    <x v="23"/>
    <x v="5"/>
    <n v="1"/>
    <n v="60"/>
    <s v="00"/>
    <s v="209"/>
    <s v="16000-209"/>
    <s v="Theremin production item #209"/>
    <s v="UNIQUE"/>
    <n v="0"/>
    <n v="9"/>
    <n v="12167"/>
    <n v="0"/>
    <n v="109503"/>
  </r>
  <r>
    <x v="0"/>
    <x v="23"/>
    <x v="5"/>
    <n v="1"/>
    <n v="60"/>
    <s v="00"/>
    <s v="210"/>
    <s v="16000-210"/>
    <s v="Theremin production item #210"/>
    <s v="UNIQUE"/>
    <n v="6177"/>
    <n v="1"/>
    <n v="441"/>
    <n v="6177"/>
    <n v="441"/>
  </r>
  <r>
    <x v="0"/>
    <x v="23"/>
    <x v="5"/>
    <n v="1"/>
    <n v="60"/>
    <s v="00"/>
    <s v="211"/>
    <s v="16000-211"/>
    <s v="Theremin production item #211"/>
    <s v="UNIQUE"/>
    <n v="9"/>
    <n v="10"/>
    <n v="8"/>
    <n v="90"/>
    <n v="80"/>
  </r>
  <r>
    <x v="0"/>
    <x v="23"/>
    <x v="5"/>
    <n v="1"/>
    <n v="60"/>
    <s v="00"/>
    <s v="212"/>
    <s v="16000-212"/>
    <s v="Theremin production item #212"/>
    <s v="UNIQUE"/>
    <n v="1"/>
    <n v="1000"/>
    <n v="729"/>
    <n v="1000"/>
    <n v="729000"/>
  </r>
  <r>
    <x v="0"/>
    <x v="23"/>
    <x v="5"/>
    <n v="1"/>
    <n v="60"/>
    <s v="00"/>
    <s v="213"/>
    <s v="16000-213"/>
    <s v="Theremin production item #213"/>
    <s v="UNIQUE"/>
    <n v="85"/>
    <n v="25"/>
    <n v="19"/>
    <n v="2125"/>
    <n v="475"/>
  </r>
  <r>
    <x v="0"/>
    <x v="23"/>
    <x v="5"/>
    <n v="1"/>
    <n v="60"/>
    <s v="00"/>
    <s v="214"/>
    <s v="16000-214"/>
    <s v="Theremin production item #214"/>
    <s v="UNIQUE"/>
    <n v="943"/>
    <n v="16"/>
    <n v="169"/>
    <n v="15088"/>
    <n v="2704"/>
  </r>
  <r>
    <x v="0"/>
    <x v="23"/>
    <x v="5"/>
    <n v="1"/>
    <n v="60"/>
    <s v="00"/>
    <s v="215"/>
    <s v="16000-215"/>
    <s v="Theremin production item #215"/>
    <s v="UNIQUE"/>
    <n v="39"/>
    <n v="1"/>
    <n v="343"/>
    <n v="39"/>
    <n v="343"/>
  </r>
  <r>
    <x v="0"/>
    <x v="23"/>
    <x v="5"/>
    <n v="1"/>
    <n v="60"/>
    <s v="00"/>
    <s v="216"/>
    <s v="16000-216"/>
    <s v="Theremin production item #216"/>
    <s v="UNIQUE"/>
    <n v="5"/>
    <n v="1"/>
    <n v="11"/>
    <n v="5"/>
    <n v="11"/>
  </r>
  <r>
    <x v="0"/>
    <x v="23"/>
    <x v="5"/>
    <n v="1"/>
    <n v="60"/>
    <s v="00"/>
    <s v="217"/>
    <s v="16000-217"/>
    <s v="Theremin production item #217"/>
    <s v="UNIQUE"/>
    <n v="77"/>
    <n v="9"/>
    <n v="16"/>
    <n v="693"/>
    <n v="144"/>
  </r>
  <r>
    <x v="0"/>
    <x v="23"/>
    <x v="5"/>
    <n v="1"/>
    <n v="60"/>
    <s v="00"/>
    <s v="218"/>
    <s v="16000-218"/>
    <s v="Theremin production item #218"/>
    <s v="UNIQUE"/>
    <n v="10"/>
    <n v="4"/>
    <n v="100"/>
    <n v="40"/>
    <n v="400"/>
  </r>
  <r>
    <x v="0"/>
    <x v="23"/>
    <x v="5"/>
    <n v="1"/>
    <n v="60"/>
    <s v="00"/>
    <s v="219"/>
    <s v="16000-219"/>
    <s v="Theremin production item #219"/>
    <s v="UNIQUE"/>
    <n v="1"/>
    <n v="3"/>
    <n v="729"/>
    <n v="3"/>
    <n v="2187"/>
  </r>
  <r>
    <x v="0"/>
    <x v="23"/>
    <x v="5"/>
    <n v="1"/>
    <n v="60"/>
    <s v="00"/>
    <s v="220"/>
    <s v="16000-220"/>
    <s v="Theremin production item #220"/>
    <s v="UNIQUE"/>
    <n v="92"/>
    <n v="36"/>
    <n v="169"/>
    <n v="3312"/>
    <n v="6084"/>
  </r>
  <r>
    <x v="0"/>
    <x v="23"/>
    <x v="5"/>
    <n v="1"/>
    <n v="60"/>
    <s v="00"/>
    <s v="221"/>
    <s v="16000-221"/>
    <s v="Theremin production item #221"/>
    <s v="UNIQUE"/>
    <n v="0"/>
    <n v="1"/>
    <n v="324"/>
    <n v="0"/>
    <n v="324"/>
  </r>
  <r>
    <x v="0"/>
    <x v="23"/>
    <x v="5"/>
    <n v="1"/>
    <n v="60"/>
    <s v="00"/>
    <s v="222"/>
    <s v="16000-222"/>
    <s v="Theremin production item #222"/>
    <s v="UNIQUE"/>
    <n v="1"/>
    <n v="8"/>
    <n v="7"/>
    <n v="8"/>
    <n v="56"/>
  </r>
  <r>
    <x v="0"/>
    <x v="23"/>
    <x v="5"/>
    <n v="1"/>
    <n v="60"/>
    <s v="00"/>
    <s v="223"/>
    <s v="16000-223"/>
    <s v="Theremin production item #223"/>
    <s v="UNIQUE"/>
    <n v="7629"/>
    <n v="8"/>
    <n v="4913"/>
    <n v="61032"/>
    <n v="39304"/>
  </r>
  <r>
    <x v="0"/>
    <x v="23"/>
    <x v="5"/>
    <n v="1"/>
    <n v="60"/>
    <s v="00"/>
    <s v="224"/>
    <s v="16000-224"/>
    <s v="Theremin production item #224"/>
    <s v="UNIQUE"/>
    <n v="97"/>
    <n v="729"/>
    <n v="841"/>
    <n v="70713"/>
    <n v="613089"/>
  </r>
  <r>
    <x v="0"/>
    <x v="23"/>
    <x v="5"/>
    <n v="1"/>
    <n v="60"/>
    <s v="00"/>
    <s v="225"/>
    <s v="16000-225"/>
    <s v="Theremin production item #225"/>
    <s v="UNIQUE"/>
    <n v="0"/>
    <n v="9"/>
    <n v="14"/>
    <n v="0"/>
    <n v="126"/>
  </r>
  <r>
    <x v="0"/>
    <x v="23"/>
    <x v="5"/>
    <n v="1"/>
    <n v="60"/>
    <s v="00"/>
    <s v="226"/>
    <s v="16000-226"/>
    <s v="Theremin production item #226"/>
    <s v="UNIQUE"/>
    <n v="1"/>
    <n v="16"/>
    <n v="289"/>
    <n v="16"/>
    <n v="4624"/>
  </r>
  <r>
    <x v="0"/>
    <x v="23"/>
    <x v="5"/>
    <n v="1"/>
    <n v="60"/>
    <s v="00"/>
    <s v="227"/>
    <s v="16000-227"/>
    <s v="Theremin production item #227"/>
    <s v="UNIQUE"/>
    <n v="273"/>
    <n v="81"/>
    <n v="900"/>
    <n v="22113"/>
    <n v="72900"/>
  </r>
  <r>
    <x v="0"/>
    <x v="23"/>
    <x v="5"/>
    <n v="1"/>
    <n v="60"/>
    <s v="00"/>
    <s v="228"/>
    <s v="16000-228"/>
    <s v="Theremin production item #228"/>
    <s v="UNIQUE"/>
    <n v="1"/>
    <n v="125"/>
    <n v="64"/>
    <n v="125"/>
    <n v="8000"/>
  </r>
  <r>
    <x v="0"/>
    <x v="23"/>
    <x v="5"/>
    <n v="1"/>
    <n v="60"/>
    <s v="00"/>
    <s v="229"/>
    <s v="16000-229"/>
    <s v="Theremin production item #229"/>
    <s v="UNIQUE"/>
    <n v="0"/>
    <n v="1000"/>
    <n v="9"/>
    <n v="0"/>
    <n v="9000"/>
  </r>
  <r>
    <x v="0"/>
    <x v="23"/>
    <x v="5"/>
    <n v="1"/>
    <n v="60"/>
    <s v="00"/>
    <s v="230"/>
    <s v="16000-230"/>
    <s v="Theremin production item #230"/>
    <s v="UNIQUE"/>
    <n v="5335"/>
    <n v="512"/>
    <n v="8"/>
    <n v="2731520"/>
    <n v="4096"/>
  </r>
  <r>
    <x v="0"/>
    <x v="23"/>
    <x v="5"/>
    <n v="1"/>
    <n v="60"/>
    <s v="00"/>
    <s v="231"/>
    <s v="16000-231"/>
    <s v="Theremin production item #231"/>
    <s v="UNIQUE"/>
    <n v="0"/>
    <n v="64"/>
    <n v="14"/>
    <n v="0"/>
    <n v="896"/>
  </r>
  <r>
    <x v="0"/>
    <x v="23"/>
    <x v="5"/>
    <n v="1"/>
    <n v="60"/>
    <s v="00"/>
    <s v="232"/>
    <s v="16000-232"/>
    <s v="Theremin production item #232"/>
    <s v="UNIQUE"/>
    <n v="0"/>
    <n v="25"/>
    <n v="9"/>
    <n v="0"/>
    <n v="225"/>
  </r>
  <r>
    <x v="0"/>
    <x v="23"/>
    <x v="5"/>
    <n v="1"/>
    <n v="60"/>
    <s v="00"/>
    <s v="233"/>
    <s v="16000-233"/>
    <s v="Theremin production item #233"/>
    <s v="UNIQUE"/>
    <n v="0"/>
    <n v="729"/>
    <n v="729"/>
    <n v="0"/>
    <n v="531441"/>
  </r>
  <r>
    <x v="0"/>
    <x v="23"/>
    <x v="5"/>
    <n v="1"/>
    <n v="60"/>
    <s v="00"/>
    <s v="234"/>
    <s v="16000-234"/>
    <s v="Theremin production item #234"/>
    <s v="UNIQUE"/>
    <n v="0"/>
    <n v="3"/>
    <n v="6"/>
    <n v="0"/>
    <n v="18"/>
  </r>
  <r>
    <x v="0"/>
    <x v="23"/>
    <x v="5"/>
    <n v="1"/>
    <n v="60"/>
    <s v="00"/>
    <s v="235"/>
    <s v="16000-235"/>
    <s v="Theremin production item #235"/>
    <s v="UNIQUE"/>
    <n v="140"/>
    <n v="64"/>
    <n v="21"/>
    <n v="8960"/>
    <n v="1344"/>
  </r>
  <r>
    <x v="0"/>
    <x v="23"/>
    <x v="5"/>
    <n v="1"/>
    <n v="60"/>
    <s v="00"/>
    <s v="236"/>
    <s v="16000-236"/>
    <s v="Theremin production item #236"/>
    <s v="UNIQUE"/>
    <n v="7377"/>
    <n v="16"/>
    <n v="729"/>
    <n v="118032"/>
    <n v="11664"/>
  </r>
  <r>
    <x v="0"/>
    <x v="23"/>
    <x v="5"/>
    <n v="1"/>
    <n v="60"/>
    <s v="00"/>
    <s v="237"/>
    <s v="16000-237"/>
    <s v="Theremin production item #237"/>
    <s v="UNIQUE"/>
    <n v="0"/>
    <n v="10"/>
    <n v="25"/>
    <n v="0"/>
    <n v="250"/>
  </r>
  <r>
    <x v="0"/>
    <x v="23"/>
    <x v="5"/>
    <n v="1"/>
    <n v="60"/>
    <s v="00"/>
    <s v="238"/>
    <s v="16000-238"/>
    <s v="Theremin production item #238"/>
    <s v="UNIQUE"/>
    <n v="6582"/>
    <n v="4"/>
    <n v="10648"/>
    <n v="26328"/>
    <n v="42592"/>
  </r>
  <r>
    <x v="0"/>
    <x v="23"/>
    <x v="5"/>
    <n v="1"/>
    <n v="60"/>
    <s v="00"/>
    <s v="239"/>
    <s v="16000-239"/>
    <s v="Theremin production item #239"/>
    <s v="UNIQUE"/>
    <n v="5"/>
    <n v="1"/>
    <n v="484"/>
    <n v="5"/>
    <n v="484"/>
  </r>
  <r>
    <x v="0"/>
    <x v="23"/>
    <x v="5"/>
    <n v="1"/>
    <n v="60"/>
    <s v="00"/>
    <s v="240"/>
    <s v="16000-240"/>
    <s v="Theremin production item #240"/>
    <s v="UNIQUE"/>
    <n v="5030"/>
    <n v="216"/>
    <n v="30"/>
    <n v="1086480"/>
    <n v="6480"/>
  </r>
  <r>
    <x v="0"/>
    <x v="23"/>
    <x v="5"/>
    <n v="1"/>
    <n v="60"/>
    <s v="00"/>
    <s v="241"/>
    <s v="16000-241"/>
    <s v="Theremin production item #241"/>
    <s v="UNIQUE"/>
    <n v="25"/>
    <n v="343"/>
    <n v="27"/>
    <n v="8575"/>
    <n v="9261"/>
  </r>
  <r>
    <x v="0"/>
    <x v="23"/>
    <x v="5"/>
    <n v="1"/>
    <n v="60"/>
    <s v="00"/>
    <s v="242"/>
    <s v="16000-242"/>
    <s v="Theremin production item #242"/>
    <s v="UNIQUE"/>
    <n v="0"/>
    <n v="5"/>
    <n v="1000"/>
    <n v="0"/>
    <n v="5000"/>
  </r>
  <r>
    <x v="0"/>
    <x v="23"/>
    <x v="5"/>
    <n v="1"/>
    <n v="60"/>
    <s v="00"/>
    <s v="243"/>
    <s v="16000-243"/>
    <s v="Theremin production item #243"/>
    <s v="UNIQUE"/>
    <n v="0"/>
    <n v="49"/>
    <n v="5832"/>
    <n v="0"/>
    <n v="285768"/>
  </r>
  <r>
    <x v="0"/>
    <x v="23"/>
    <x v="5"/>
    <n v="1"/>
    <n v="60"/>
    <s v="00"/>
    <s v="244"/>
    <s v="16000-244"/>
    <s v="Theremin production item #244"/>
    <s v="UNIQUE"/>
    <n v="872"/>
    <n v="6"/>
    <n v="24"/>
    <n v="5232"/>
    <n v="144"/>
  </r>
  <r>
    <x v="0"/>
    <x v="23"/>
    <x v="5"/>
    <n v="1"/>
    <n v="60"/>
    <s v="00"/>
    <s v="245"/>
    <s v="16000-245"/>
    <s v="Theremin production item #245"/>
    <s v="UNIQUE"/>
    <n v="0"/>
    <n v="10"/>
    <n v="121"/>
    <n v="0"/>
    <n v="1210"/>
  </r>
  <r>
    <x v="0"/>
    <x v="23"/>
    <x v="5"/>
    <n v="1"/>
    <n v="60"/>
    <s v="00"/>
    <s v="246"/>
    <s v="16000-246"/>
    <s v="Theremin production item #246"/>
    <s v="UNIQUE"/>
    <n v="0"/>
    <n v="4"/>
    <n v="343"/>
    <n v="0"/>
    <n v="1372"/>
  </r>
  <r>
    <x v="0"/>
    <x v="23"/>
    <x v="5"/>
    <n v="1"/>
    <n v="60"/>
    <s v="00"/>
    <s v="247"/>
    <s v="16000-247"/>
    <s v="Theremin production item #247"/>
    <s v="UNIQUE"/>
    <n v="846"/>
    <n v="81"/>
    <n v="29"/>
    <n v="68526"/>
    <n v="2349"/>
  </r>
  <r>
    <x v="0"/>
    <x v="23"/>
    <x v="5"/>
    <n v="1"/>
    <n v="60"/>
    <s v="00"/>
    <s v="248"/>
    <s v="16000-248"/>
    <s v="Theremin production item #248"/>
    <s v="UNIQUE"/>
    <n v="6169"/>
    <n v="7"/>
    <n v="5832"/>
    <n v="43183"/>
    <n v="40824"/>
  </r>
  <r>
    <x v="0"/>
    <x v="23"/>
    <x v="5"/>
    <n v="1"/>
    <n v="60"/>
    <s v="00"/>
    <s v="249"/>
    <s v="16000-249"/>
    <s v="Theremin production item #249"/>
    <s v="UNIQUE"/>
    <n v="70"/>
    <n v="36"/>
    <n v="16"/>
    <n v="2520"/>
    <n v="576"/>
  </r>
  <r>
    <x v="0"/>
    <x v="23"/>
    <x v="5"/>
    <n v="1"/>
    <n v="60"/>
    <s v="00"/>
    <s v="250"/>
    <s v="16000-250"/>
    <s v="Theremin production item #250"/>
    <s v="UNIQUE"/>
    <n v="0"/>
    <n v="1"/>
    <n v="21"/>
    <n v="0"/>
    <n v="21"/>
  </r>
  <r>
    <x v="0"/>
    <x v="23"/>
    <x v="5"/>
    <n v="1"/>
    <n v="60"/>
    <s v="00"/>
    <s v="251"/>
    <s v="16000-251"/>
    <s v="Theremin production item #251"/>
    <s v="UNIQUE"/>
    <n v="0"/>
    <n v="9"/>
    <n v="27"/>
    <n v="0"/>
    <n v="243"/>
  </r>
  <r>
    <x v="0"/>
    <x v="23"/>
    <x v="5"/>
    <n v="1"/>
    <n v="60"/>
    <s v="00"/>
    <s v="252"/>
    <s v="16000-252"/>
    <s v="Theremin production item #252"/>
    <s v="UNIQUE"/>
    <n v="0"/>
    <n v="2"/>
    <n v="21952"/>
    <n v="0"/>
    <n v="43904"/>
  </r>
  <r>
    <x v="0"/>
    <x v="23"/>
    <x v="5"/>
    <n v="1"/>
    <n v="60"/>
    <s v="00"/>
    <s v="253"/>
    <s v="16000-253"/>
    <s v="Theremin production item #253"/>
    <s v="UNIQUE"/>
    <n v="0"/>
    <n v="49"/>
    <n v="484"/>
    <n v="0"/>
    <n v="23716"/>
  </r>
  <r>
    <x v="0"/>
    <x v="23"/>
    <x v="5"/>
    <n v="1"/>
    <n v="60"/>
    <s v="00"/>
    <s v="254"/>
    <s v="16000-254"/>
    <s v="Theremin production item #254"/>
    <s v="UNIQUE"/>
    <n v="0"/>
    <n v="64"/>
    <n v="729"/>
    <n v="0"/>
    <n v="46656"/>
  </r>
  <r>
    <x v="0"/>
    <x v="23"/>
    <x v="5"/>
    <n v="1"/>
    <n v="60"/>
    <s v="00"/>
    <s v="255"/>
    <s v="16000-255"/>
    <s v="Theremin production item #255"/>
    <s v="UNIQUE"/>
    <n v="0"/>
    <n v="4"/>
    <n v="30"/>
    <n v="0"/>
    <n v="120"/>
  </r>
  <r>
    <x v="0"/>
    <x v="23"/>
    <x v="5"/>
    <n v="1"/>
    <n v="60"/>
    <s v="00"/>
    <s v="256"/>
    <s v="16000-256"/>
    <s v="Theremin production item #256"/>
    <s v="UNIQUE"/>
    <n v="0"/>
    <n v="81"/>
    <n v="5"/>
    <n v="0"/>
    <n v="405"/>
  </r>
  <r>
    <x v="0"/>
    <x v="23"/>
    <x v="5"/>
    <n v="1"/>
    <n v="60"/>
    <s v="00"/>
    <s v="257"/>
    <s v="16000-257"/>
    <s v="Theremin production item #257"/>
    <s v="UNIQUE"/>
    <n v="0"/>
    <n v="8"/>
    <n v="8"/>
    <n v="0"/>
    <n v="64"/>
  </r>
  <r>
    <x v="0"/>
    <x v="23"/>
    <x v="5"/>
    <n v="1"/>
    <n v="60"/>
    <s v="00"/>
    <s v="258"/>
    <s v="16000-258"/>
    <s v="Theremin production item #258"/>
    <s v="UNIQUE"/>
    <n v="0"/>
    <n v="10"/>
    <n v="24"/>
    <n v="0"/>
    <n v="240"/>
  </r>
  <r>
    <x v="0"/>
    <x v="23"/>
    <x v="5"/>
    <n v="1"/>
    <n v="60"/>
    <s v="00"/>
    <s v="259"/>
    <s v="16000-259"/>
    <s v="Theremin production item #259"/>
    <s v="UNIQUE"/>
    <n v="825"/>
    <n v="512"/>
    <n v="4"/>
    <n v="422400"/>
    <n v="2048"/>
  </r>
  <r>
    <x v="0"/>
    <x v="23"/>
    <x v="5"/>
    <n v="1"/>
    <n v="60"/>
    <s v="00"/>
    <s v="260"/>
    <s v="16000-260"/>
    <s v="Theremin production item #260"/>
    <s v="UNIQUE"/>
    <n v="0"/>
    <n v="64"/>
    <n v="10648"/>
    <n v="0"/>
    <n v="681472"/>
  </r>
  <r>
    <x v="0"/>
    <x v="23"/>
    <x v="5"/>
    <n v="1"/>
    <n v="60"/>
    <s v="00"/>
    <s v="261"/>
    <s v="16000-261"/>
    <s v="Theremin production item #261"/>
    <s v="UNIQUE"/>
    <n v="3"/>
    <n v="343"/>
    <n v="26"/>
    <n v="1029"/>
    <n v="8918"/>
  </r>
  <r>
    <x v="0"/>
    <x v="23"/>
    <x v="5"/>
    <n v="1"/>
    <n v="60"/>
    <s v="00"/>
    <s v="262"/>
    <s v="16000-262"/>
    <s v="Theremin production item #262"/>
    <s v="UNIQUE"/>
    <n v="0"/>
    <n v="64"/>
    <n v="13"/>
    <n v="0"/>
    <n v="832"/>
  </r>
  <r>
    <x v="0"/>
    <x v="23"/>
    <x v="5"/>
    <n v="1"/>
    <n v="60"/>
    <s v="00"/>
    <s v="263"/>
    <s v="16000-263"/>
    <s v="Theremin production item #263"/>
    <s v="UNIQUE"/>
    <n v="0"/>
    <n v="2"/>
    <n v="6"/>
    <n v="0"/>
    <n v="12"/>
  </r>
  <r>
    <x v="0"/>
    <x v="23"/>
    <x v="5"/>
    <n v="1"/>
    <n v="60"/>
    <s v="00"/>
    <s v="264"/>
    <s v="16000-264"/>
    <s v="Theremin production item #264"/>
    <s v="UNIQUE"/>
    <n v="9"/>
    <n v="512"/>
    <n v="0"/>
    <n v="4608"/>
    <n v="0"/>
  </r>
  <r>
    <x v="0"/>
    <x v="23"/>
    <x v="5"/>
    <n v="1"/>
    <n v="60"/>
    <s v="00"/>
    <s v="265"/>
    <s v="16000-265"/>
    <s v="Theremin production item #265"/>
    <s v="UNIQUE"/>
    <n v="10"/>
    <n v="512"/>
    <n v="9"/>
    <n v="5120"/>
    <n v="4608"/>
  </r>
  <r>
    <x v="0"/>
    <x v="23"/>
    <x v="5"/>
    <n v="1"/>
    <n v="60"/>
    <s v="00"/>
    <s v="266"/>
    <s v="16000-266"/>
    <s v="Theremin production item #266"/>
    <s v="UNIQUE"/>
    <n v="5"/>
    <n v="729"/>
    <n v="28"/>
    <n v="3645"/>
    <n v="20412"/>
  </r>
  <r>
    <x v="0"/>
    <x v="23"/>
    <x v="5"/>
    <n v="1"/>
    <n v="60"/>
    <s v="00"/>
    <s v="267"/>
    <s v="16000-267"/>
    <s v="Theremin production item #267"/>
    <s v="UNIQUE"/>
    <n v="9041"/>
    <n v="1"/>
    <n v="6859"/>
    <n v="9041"/>
    <n v="6859"/>
  </r>
  <r>
    <x v="0"/>
    <x v="23"/>
    <x v="5"/>
    <n v="1"/>
    <n v="60"/>
    <s v="00"/>
    <s v="268"/>
    <s v="16000-268"/>
    <s v="Theremin production item #268"/>
    <s v="UNIQUE"/>
    <n v="5648"/>
    <n v="729"/>
    <n v="8"/>
    <n v="4117392"/>
    <n v="5832"/>
  </r>
  <r>
    <x v="0"/>
    <x v="23"/>
    <x v="5"/>
    <n v="1"/>
    <n v="60"/>
    <s v="00"/>
    <s v="269"/>
    <s v="16000-269"/>
    <s v="Theremin production item #269"/>
    <s v="UNIQUE"/>
    <n v="1"/>
    <n v="49"/>
    <n v="25"/>
    <n v="49"/>
    <n v="1225"/>
  </r>
  <r>
    <x v="0"/>
    <x v="23"/>
    <x v="5"/>
    <n v="1"/>
    <n v="60"/>
    <s v="00"/>
    <s v="270"/>
    <s v="16000-270"/>
    <s v="Theremin production item #270"/>
    <s v="UNIQUE"/>
    <n v="0"/>
    <n v="4"/>
    <n v="1"/>
    <n v="0"/>
    <n v="4"/>
  </r>
  <r>
    <x v="0"/>
    <x v="23"/>
    <x v="5"/>
    <n v="1"/>
    <n v="60"/>
    <s v="00"/>
    <s v="271"/>
    <s v="16000-271"/>
    <s v="Theremin production item #271"/>
    <s v="UNIQUE"/>
    <n v="1896"/>
    <n v="64"/>
    <n v="2744"/>
    <n v="121344"/>
    <n v="175616"/>
  </r>
  <r>
    <x v="0"/>
    <x v="23"/>
    <x v="5"/>
    <n v="1"/>
    <n v="60"/>
    <s v="00"/>
    <s v="272"/>
    <s v="16000-272"/>
    <s v="Theremin production item #272"/>
    <s v="UNIQUE"/>
    <n v="591"/>
    <n v="8"/>
    <n v="8"/>
    <n v="4728"/>
    <n v="64"/>
  </r>
  <r>
    <x v="0"/>
    <x v="23"/>
    <x v="5"/>
    <n v="1"/>
    <n v="60"/>
    <s v="00"/>
    <s v="273"/>
    <s v="16000-273"/>
    <s v="Theremin production item #273"/>
    <s v="UNIQUE"/>
    <n v="56"/>
    <n v="36"/>
    <n v="0"/>
    <n v="2016"/>
    <n v="0"/>
  </r>
  <r>
    <x v="0"/>
    <x v="23"/>
    <x v="5"/>
    <n v="1"/>
    <n v="60"/>
    <s v="00"/>
    <s v="274"/>
    <s v="16000-274"/>
    <s v="Theremin production item #274"/>
    <s v="UNIQUE"/>
    <n v="0"/>
    <n v="6"/>
    <n v="9"/>
    <n v="0"/>
    <n v="54"/>
  </r>
  <r>
    <x v="0"/>
    <x v="23"/>
    <x v="5"/>
    <n v="1"/>
    <n v="60"/>
    <s v="00"/>
    <s v="275"/>
    <s v="16000-275"/>
    <s v="Theremin production item #275"/>
    <s v="UNIQUE"/>
    <n v="0"/>
    <n v="25"/>
    <n v="676"/>
    <n v="0"/>
    <n v="16900"/>
  </r>
  <r>
    <x v="0"/>
    <x v="23"/>
    <x v="5"/>
    <n v="1"/>
    <n v="60"/>
    <s v="00"/>
    <s v="276"/>
    <s v="16000-276"/>
    <s v="Theremin production item #276"/>
    <s v="UNIQUE"/>
    <n v="8"/>
    <n v="4"/>
    <n v="2744"/>
    <n v="32"/>
    <n v="10976"/>
  </r>
  <r>
    <x v="0"/>
    <x v="23"/>
    <x v="5"/>
    <n v="1"/>
    <n v="60"/>
    <s v="00"/>
    <s v="277"/>
    <s v="16000-277"/>
    <s v="Theremin production item #277"/>
    <s v="UNIQUE"/>
    <n v="0"/>
    <n v="1000"/>
    <n v="17"/>
    <n v="0"/>
    <n v="17000"/>
  </r>
  <r>
    <x v="0"/>
    <x v="23"/>
    <x v="5"/>
    <n v="1"/>
    <n v="60"/>
    <s v="00"/>
    <s v="278"/>
    <s v="16000-278"/>
    <s v="Theremin production item #278"/>
    <s v="UNIQUE"/>
    <n v="14"/>
    <n v="2"/>
    <n v="25"/>
    <n v="28"/>
    <n v="50"/>
  </r>
  <r>
    <x v="0"/>
    <x v="23"/>
    <x v="5"/>
    <n v="1"/>
    <n v="60"/>
    <s v="00"/>
    <s v="279"/>
    <s v="16000-279"/>
    <s v="Theremin production item #279"/>
    <s v="UNIQUE"/>
    <n v="0"/>
    <n v="3"/>
    <n v="4096"/>
    <n v="0"/>
    <n v="12288"/>
  </r>
  <r>
    <x v="0"/>
    <x v="23"/>
    <x v="5"/>
    <n v="1"/>
    <n v="60"/>
    <s v="00"/>
    <s v="280"/>
    <s v="16000-280"/>
    <s v="Theremin production item #280"/>
    <s v="UNIQUE"/>
    <n v="0"/>
    <n v="81"/>
    <n v="23"/>
    <n v="0"/>
    <n v="1863"/>
  </r>
  <r>
    <x v="0"/>
    <x v="23"/>
    <x v="5"/>
    <n v="1"/>
    <n v="60"/>
    <s v="00"/>
    <s v="281"/>
    <s v="16000-281"/>
    <s v="Theremin production item #281"/>
    <s v="UNIQUE"/>
    <n v="0"/>
    <n v="512"/>
    <n v="289"/>
    <n v="0"/>
    <n v="147968"/>
  </r>
  <r>
    <x v="0"/>
    <x v="23"/>
    <x v="5"/>
    <n v="1"/>
    <n v="60"/>
    <s v="00"/>
    <s v="282"/>
    <s v="16000-282"/>
    <s v="Theremin production item #282"/>
    <s v="UNIQUE"/>
    <n v="0"/>
    <n v="512"/>
    <n v="18"/>
    <n v="0"/>
    <n v="9216"/>
  </r>
  <r>
    <x v="0"/>
    <x v="23"/>
    <x v="5"/>
    <n v="1"/>
    <n v="60"/>
    <s v="00"/>
    <s v="283"/>
    <s v="16000-283"/>
    <s v="Theremin production item #283"/>
    <s v="UNIQUE"/>
    <n v="93"/>
    <n v="8"/>
    <n v="441"/>
    <n v="744"/>
    <n v="3528"/>
  </r>
  <r>
    <x v="0"/>
    <x v="23"/>
    <x v="5"/>
    <n v="1"/>
    <n v="60"/>
    <s v="00"/>
    <s v="284"/>
    <s v="16000-284"/>
    <s v="Theremin production item #284"/>
    <s v="UNIQUE"/>
    <n v="0"/>
    <n v="4"/>
    <n v="8000"/>
    <n v="0"/>
    <n v="32000"/>
  </r>
  <r>
    <x v="0"/>
    <x v="23"/>
    <x v="5"/>
    <n v="1"/>
    <n v="60"/>
    <s v="00"/>
    <s v="285"/>
    <s v="16000-285"/>
    <s v="Theremin production item #285"/>
    <s v="UNIQUE"/>
    <n v="84"/>
    <n v="64"/>
    <n v="4913"/>
    <n v="5376"/>
    <n v="314432"/>
  </r>
  <r>
    <x v="0"/>
    <x v="23"/>
    <x v="5"/>
    <n v="1"/>
    <n v="60"/>
    <s v="00"/>
    <s v="286"/>
    <s v="16000-286"/>
    <s v="Theremin production item #286"/>
    <s v="UNIQUE"/>
    <n v="0"/>
    <n v="7"/>
    <n v="361"/>
    <n v="0"/>
    <n v="2527"/>
  </r>
  <r>
    <x v="0"/>
    <x v="23"/>
    <x v="5"/>
    <n v="1"/>
    <n v="60"/>
    <s v="00"/>
    <s v="287"/>
    <s v="16000-287"/>
    <s v="Theremin production item #287"/>
    <s v="UNIQUE"/>
    <n v="30"/>
    <n v="1"/>
    <n v="7"/>
    <n v="30"/>
    <n v="7"/>
  </r>
  <r>
    <x v="0"/>
    <x v="23"/>
    <x v="5"/>
    <n v="1"/>
    <n v="60"/>
    <s v="00"/>
    <s v="288"/>
    <s v="16000-288"/>
    <s v="Theremin production item #288"/>
    <s v="UNIQUE"/>
    <n v="8"/>
    <n v="1"/>
    <n v="0"/>
    <n v="8"/>
    <n v="0"/>
  </r>
  <r>
    <x v="0"/>
    <x v="23"/>
    <x v="5"/>
    <n v="1"/>
    <n v="60"/>
    <s v="00"/>
    <s v="289"/>
    <s v="16000-289"/>
    <s v="Theremin production item #289"/>
    <s v="UNIQUE"/>
    <n v="0"/>
    <n v="3"/>
    <n v="529"/>
    <n v="0"/>
    <n v="1587"/>
  </r>
  <r>
    <x v="0"/>
    <x v="23"/>
    <x v="5"/>
    <n v="1"/>
    <n v="60"/>
    <s v="00"/>
    <s v="290"/>
    <s v="16000-290"/>
    <s v="Theremin production item #290"/>
    <s v="UNIQUE"/>
    <n v="0"/>
    <n v="9"/>
    <n v="0"/>
    <n v="0"/>
    <n v="0"/>
  </r>
  <r>
    <x v="0"/>
    <x v="23"/>
    <x v="5"/>
    <n v="1"/>
    <n v="60"/>
    <s v="00"/>
    <s v="291"/>
    <s v="16000-291"/>
    <s v="Theremin production item #291"/>
    <s v="UNIQUE"/>
    <n v="0"/>
    <n v="8"/>
    <n v="1"/>
    <n v="0"/>
    <n v="8"/>
  </r>
  <r>
    <x v="0"/>
    <x v="23"/>
    <x v="5"/>
    <n v="1"/>
    <n v="60"/>
    <s v="00"/>
    <s v="292"/>
    <s v="16000-292"/>
    <s v="Theremin production item #292"/>
    <s v="UNIQUE"/>
    <n v="6809"/>
    <n v="9"/>
    <n v="64"/>
    <n v="61281"/>
    <n v="576"/>
  </r>
  <r>
    <x v="0"/>
    <x v="23"/>
    <x v="5"/>
    <n v="1"/>
    <n v="60"/>
    <s v="00"/>
    <s v="293"/>
    <s v="16000-293"/>
    <s v="Theremin production item #293"/>
    <s v="UNIQUE"/>
    <n v="0"/>
    <n v="729"/>
    <n v="24"/>
    <n v="0"/>
    <n v="17496"/>
  </r>
  <r>
    <x v="0"/>
    <x v="23"/>
    <x v="5"/>
    <n v="1"/>
    <n v="60"/>
    <s v="00"/>
    <s v="294"/>
    <s v="16000-294"/>
    <s v="Theremin production item #294"/>
    <s v="UNIQUE"/>
    <n v="1"/>
    <n v="4"/>
    <n v="2197"/>
    <n v="4"/>
    <n v="8788"/>
  </r>
  <r>
    <x v="0"/>
    <x v="23"/>
    <x v="5"/>
    <n v="1"/>
    <n v="60"/>
    <s v="00"/>
    <s v="295"/>
    <s v="16000-295"/>
    <s v="Theremin production item #295"/>
    <s v="UNIQUE"/>
    <n v="1"/>
    <n v="5"/>
    <n v="25"/>
    <n v="5"/>
    <n v="125"/>
  </r>
  <r>
    <x v="0"/>
    <x v="23"/>
    <x v="5"/>
    <n v="1"/>
    <n v="60"/>
    <s v="00"/>
    <s v="296"/>
    <s v="16000-296"/>
    <s v="Theremin production item #296"/>
    <s v="UNIQUE"/>
    <n v="0"/>
    <n v="9"/>
    <n v="324"/>
    <n v="0"/>
    <n v="2916"/>
  </r>
  <r>
    <x v="0"/>
    <x v="23"/>
    <x v="5"/>
    <n v="1"/>
    <n v="60"/>
    <s v="00"/>
    <s v="297"/>
    <s v="16000-297"/>
    <s v="Theremin production item #297"/>
    <s v="UNIQUE"/>
    <n v="0"/>
    <n v="1"/>
    <n v="576"/>
    <n v="0"/>
    <n v="576"/>
  </r>
  <r>
    <x v="0"/>
    <x v="23"/>
    <x v="5"/>
    <n v="1"/>
    <n v="60"/>
    <s v="00"/>
    <s v="298"/>
    <s v="16000-298"/>
    <s v="Theremin production item #298"/>
    <s v="UNIQUE"/>
    <n v="0"/>
    <n v="5"/>
    <n v="24"/>
    <n v="0"/>
    <n v="120"/>
  </r>
  <r>
    <x v="0"/>
    <x v="23"/>
    <x v="5"/>
    <n v="1"/>
    <n v="60"/>
    <s v="00"/>
    <s v="299"/>
    <s v="16000-299"/>
    <s v="Theremin production item #299"/>
    <s v="UNIQUE"/>
    <n v="0"/>
    <n v="25"/>
    <n v="11"/>
    <n v="0"/>
    <n v="275"/>
  </r>
  <r>
    <x v="0"/>
    <x v="24"/>
    <x v="5"/>
    <n v="1"/>
    <n v="61"/>
    <s v="00"/>
    <s v="000"/>
    <s v="16100-000"/>
    <s v="Synthesizer production item #000"/>
    <s v="UNIQUE"/>
    <n v="626"/>
    <n v="64"/>
    <n v="16"/>
    <n v="40064"/>
    <n v="1024"/>
  </r>
  <r>
    <x v="0"/>
    <x v="24"/>
    <x v="5"/>
    <n v="1"/>
    <n v="61"/>
    <s v="00"/>
    <s v="001"/>
    <s v="16100-001"/>
    <s v="Synthesizer production item #001"/>
    <s v="UNIQUE"/>
    <n v="0"/>
    <n v="64"/>
    <n v="1728"/>
    <n v="0"/>
    <n v="110592"/>
  </r>
  <r>
    <x v="0"/>
    <x v="24"/>
    <x v="5"/>
    <n v="1"/>
    <n v="61"/>
    <s v="00"/>
    <s v="002"/>
    <s v="16100-002"/>
    <s v="Synthesizer production item #002"/>
    <s v="UNIQUE"/>
    <n v="718"/>
    <n v="125"/>
    <n v="1728"/>
    <n v="89750"/>
    <n v="216000"/>
  </r>
  <r>
    <x v="0"/>
    <x v="24"/>
    <x v="5"/>
    <n v="1"/>
    <n v="61"/>
    <s v="00"/>
    <s v="003"/>
    <s v="16100-003"/>
    <s v="Synthesizer production item #003"/>
    <s v="UNIQUE"/>
    <n v="51"/>
    <n v="3"/>
    <n v="4096"/>
    <n v="153"/>
    <n v="12288"/>
  </r>
  <r>
    <x v="0"/>
    <x v="24"/>
    <x v="5"/>
    <n v="1"/>
    <n v="61"/>
    <s v="00"/>
    <s v="004"/>
    <s v="16100-004"/>
    <s v="Synthesizer production item #004"/>
    <s v="UNIQUE"/>
    <n v="5886"/>
    <n v="25"/>
    <n v="1000"/>
    <n v="147150"/>
    <n v="25000"/>
  </r>
  <r>
    <x v="0"/>
    <x v="24"/>
    <x v="5"/>
    <n v="1"/>
    <n v="61"/>
    <s v="00"/>
    <s v="005"/>
    <s v="16100-005"/>
    <s v="Synthesizer production item #005"/>
    <s v="UNIQUE"/>
    <n v="0"/>
    <n v="216"/>
    <n v="12167"/>
    <n v="0"/>
    <n v="2628072"/>
  </r>
  <r>
    <x v="0"/>
    <x v="24"/>
    <x v="5"/>
    <n v="1"/>
    <n v="61"/>
    <s v="00"/>
    <s v="006"/>
    <s v="16100-006"/>
    <s v="Synthesizer production item #006"/>
    <s v="UNIQUE"/>
    <n v="49"/>
    <n v="1"/>
    <n v="0"/>
    <n v="49"/>
    <n v="0"/>
  </r>
  <r>
    <x v="0"/>
    <x v="24"/>
    <x v="5"/>
    <n v="1"/>
    <n v="61"/>
    <s v="00"/>
    <s v="007"/>
    <s v="16100-007"/>
    <s v="Synthesizer production item #007"/>
    <s v="UNIQUE"/>
    <n v="1"/>
    <n v="4"/>
    <n v="22"/>
    <n v="4"/>
    <n v="88"/>
  </r>
  <r>
    <x v="0"/>
    <x v="24"/>
    <x v="5"/>
    <n v="1"/>
    <n v="61"/>
    <s v="00"/>
    <s v="008"/>
    <s v="16100-008"/>
    <s v="Synthesizer production item #008"/>
    <s v="UNIQUE"/>
    <n v="54"/>
    <n v="5"/>
    <n v="676"/>
    <n v="270"/>
    <n v="3380"/>
  </r>
  <r>
    <x v="0"/>
    <x v="24"/>
    <x v="5"/>
    <n v="1"/>
    <n v="61"/>
    <s v="00"/>
    <s v="009"/>
    <s v="16100-009"/>
    <s v="Synthesizer production item #009"/>
    <s v="UNIQUE"/>
    <n v="0"/>
    <n v="9"/>
    <n v="49"/>
    <n v="0"/>
    <n v="441"/>
  </r>
  <r>
    <x v="0"/>
    <x v="24"/>
    <x v="5"/>
    <n v="1"/>
    <n v="61"/>
    <s v="00"/>
    <s v="010"/>
    <s v="16100-010"/>
    <s v="Synthesizer production item #010"/>
    <s v="UNIQUE"/>
    <n v="0"/>
    <n v="2"/>
    <n v="324"/>
    <n v="0"/>
    <n v="648"/>
  </r>
  <r>
    <x v="0"/>
    <x v="24"/>
    <x v="5"/>
    <n v="1"/>
    <n v="61"/>
    <s v="00"/>
    <s v="011"/>
    <s v="16100-011"/>
    <s v="Synthesizer production item #011"/>
    <s v="UNIQUE"/>
    <n v="0"/>
    <n v="8"/>
    <n v="784"/>
    <n v="0"/>
    <n v="6272"/>
  </r>
  <r>
    <x v="0"/>
    <x v="24"/>
    <x v="5"/>
    <n v="1"/>
    <n v="61"/>
    <s v="00"/>
    <s v="012"/>
    <s v="16100-012"/>
    <s v="Synthesizer production item #012"/>
    <s v="UNIQUE"/>
    <n v="1"/>
    <n v="1000"/>
    <n v="19"/>
    <n v="1000"/>
    <n v="19000"/>
  </r>
  <r>
    <x v="0"/>
    <x v="24"/>
    <x v="5"/>
    <n v="1"/>
    <n v="61"/>
    <s v="00"/>
    <s v="013"/>
    <s v="16100-013"/>
    <s v="Synthesizer production item #013"/>
    <s v="UNIQUE"/>
    <n v="296"/>
    <n v="25"/>
    <n v="2"/>
    <n v="7400"/>
    <n v="50"/>
  </r>
  <r>
    <x v="0"/>
    <x v="24"/>
    <x v="5"/>
    <n v="1"/>
    <n v="61"/>
    <s v="00"/>
    <s v="014"/>
    <s v="16100-014"/>
    <s v="Synthesizer production item #014"/>
    <s v="UNIQUE"/>
    <n v="0"/>
    <n v="10"/>
    <n v="15"/>
    <n v="0"/>
    <n v="150"/>
  </r>
  <r>
    <x v="0"/>
    <x v="24"/>
    <x v="5"/>
    <n v="1"/>
    <n v="61"/>
    <s v="00"/>
    <s v="015"/>
    <s v="16100-015"/>
    <s v="Synthesizer production item #015"/>
    <s v="UNIQUE"/>
    <n v="0"/>
    <n v="5"/>
    <n v="19683"/>
    <n v="0"/>
    <n v="98415"/>
  </r>
  <r>
    <x v="0"/>
    <x v="24"/>
    <x v="5"/>
    <n v="1"/>
    <n v="61"/>
    <s v="00"/>
    <s v="016"/>
    <s v="16100-016"/>
    <s v="Synthesizer production item #016"/>
    <s v="UNIQUE"/>
    <n v="594"/>
    <n v="49"/>
    <n v="30"/>
    <n v="29106"/>
    <n v="1470"/>
  </r>
  <r>
    <x v="0"/>
    <x v="24"/>
    <x v="5"/>
    <n v="1"/>
    <n v="61"/>
    <s v="00"/>
    <s v="017"/>
    <s v="16100-017"/>
    <s v="Synthesizer production item #017"/>
    <s v="UNIQUE"/>
    <n v="0"/>
    <n v="9"/>
    <n v="16"/>
    <n v="0"/>
    <n v="144"/>
  </r>
  <r>
    <x v="0"/>
    <x v="24"/>
    <x v="5"/>
    <n v="1"/>
    <n v="61"/>
    <s v="00"/>
    <s v="018"/>
    <s v="16100-018"/>
    <s v="Synthesizer production item #018"/>
    <s v="UNIQUE"/>
    <n v="0"/>
    <n v="8"/>
    <n v="576"/>
    <n v="0"/>
    <n v="4608"/>
  </r>
  <r>
    <x v="0"/>
    <x v="24"/>
    <x v="5"/>
    <n v="1"/>
    <n v="61"/>
    <s v="00"/>
    <s v="019"/>
    <s v="16100-019"/>
    <s v="Synthesizer production item #019"/>
    <s v="UNIQUE"/>
    <n v="0"/>
    <n v="100"/>
    <n v="4913"/>
    <n v="0"/>
    <n v="491300"/>
  </r>
  <r>
    <x v="0"/>
    <x v="24"/>
    <x v="5"/>
    <n v="1"/>
    <n v="61"/>
    <s v="00"/>
    <s v="020"/>
    <s v="16100-020"/>
    <s v="Synthesizer production item #020"/>
    <s v="UNIQUE"/>
    <n v="787"/>
    <n v="8"/>
    <n v="17576"/>
    <n v="6296"/>
    <n v="140608"/>
  </r>
  <r>
    <x v="0"/>
    <x v="24"/>
    <x v="5"/>
    <n v="1"/>
    <n v="61"/>
    <s v="00"/>
    <s v="021"/>
    <s v="16100-021"/>
    <s v="Synthesizer production item #021"/>
    <s v="UNIQUE"/>
    <n v="32"/>
    <n v="64"/>
    <n v="676"/>
    <n v="2048"/>
    <n v="43264"/>
  </r>
  <r>
    <x v="0"/>
    <x v="24"/>
    <x v="5"/>
    <n v="1"/>
    <n v="61"/>
    <s v="00"/>
    <s v="022"/>
    <s v="16100-022"/>
    <s v="Synthesizer production item #022"/>
    <s v="UNIQUE"/>
    <n v="0"/>
    <n v="10"/>
    <n v="784"/>
    <n v="0"/>
    <n v="7840"/>
  </r>
  <r>
    <x v="0"/>
    <x v="24"/>
    <x v="5"/>
    <n v="1"/>
    <n v="61"/>
    <s v="00"/>
    <s v="023"/>
    <s v="16100-023"/>
    <s v="Synthesizer production item #023"/>
    <s v="UNIQUE"/>
    <n v="0"/>
    <n v="512"/>
    <n v="400"/>
    <n v="0"/>
    <n v="204800"/>
  </r>
  <r>
    <x v="0"/>
    <x v="24"/>
    <x v="5"/>
    <n v="1"/>
    <n v="61"/>
    <s v="00"/>
    <s v="024"/>
    <s v="16100-024"/>
    <s v="Synthesizer production item #024"/>
    <s v="UNIQUE"/>
    <n v="0"/>
    <n v="3"/>
    <n v="27"/>
    <n v="0"/>
    <n v="81"/>
  </r>
  <r>
    <x v="0"/>
    <x v="24"/>
    <x v="5"/>
    <n v="1"/>
    <n v="61"/>
    <s v="00"/>
    <s v="025"/>
    <s v="16100-025"/>
    <s v="Synthesizer production item #025"/>
    <s v="UNIQUE"/>
    <n v="0"/>
    <n v="512"/>
    <n v="5"/>
    <n v="0"/>
    <n v="2560"/>
  </r>
  <r>
    <x v="0"/>
    <x v="24"/>
    <x v="5"/>
    <n v="1"/>
    <n v="61"/>
    <s v="00"/>
    <s v="026"/>
    <s v="16100-026"/>
    <s v="Synthesizer production item #026"/>
    <s v="UNIQUE"/>
    <n v="0"/>
    <n v="100"/>
    <n v="0"/>
    <n v="0"/>
    <n v="0"/>
  </r>
  <r>
    <x v="0"/>
    <x v="24"/>
    <x v="5"/>
    <n v="1"/>
    <n v="61"/>
    <s v="00"/>
    <s v="027"/>
    <s v="16100-027"/>
    <s v="Synthesizer production item #027"/>
    <s v="UNIQUE"/>
    <n v="66"/>
    <n v="36"/>
    <n v="8000"/>
    <n v="2376"/>
    <n v="288000"/>
  </r>
  <r>
    <x v="0"/>
    <x v="24"/>
    <x v="5"/>
    <n v="1"/>
    <n v="61"/>
    <s v="00"/>
    <s v="028"/>
    <s v="16100-028"/>
    <s v="Synthesizer production item #028"/>
    <s v="UNIQUE"/>
    <n v="8"/>
    <n v="5"/>
    <n v="49"/>
    <n v="40"/>
    <n v="245"/>
  </r>
  <r>
    <x v="0"/>
    <x v="24"/>
    <x v="5"/>
    <n v="1"/>
    <n v="61"/>
    <s v="00"/>
    <s v="029"/>
    <s v="16100-029"/>
    <s v="Synthesizer production item #029"/>
    <s v="UNIQUE"/>
    <n v="0"/>
    <n v="100"/>
    <n v="729"/>
    <n v="0"/>
    <n v="72900"/>
  </r>
  <r>
    <x v="0"/>
    <x v="24"/>
    <x v="5"/>
    <n v="1"/>
    <n v="61"/>
    <s v="00"/>
    <s v="030"/>
    <s v="16100-030"/>
    <s v="Synthesizer production item #030"/>
    <s v="UNIQUE"/>
    <n v="1188"/>
    <n v="6"/>
    <n v="324"/>
    <n v="7128"/>
    <n v="1944"/>
  </r>
  <r>
    <x v="0"/>
    <x v="24"/>
    <x v="5"/>
    <n v="1"/>
    <n v="61"/>
    <s v="00"/>
    <s v="031"/>
    <s v="16100-031"/>
    <s v="Synthesizer production item #031"/>
    <s v="UNIQUE"/>
    <n v="1"/>
    <n v="27"/>
    <n v="900"/>
    <n v="27"/>
    <n v="24300"/>
  </r>
  <r>
    <x v="0"/>
    <x v="24"/>
    <x v="5"/>
    <n v="1"/>
    <n v="61"/>
    <s v="00"/>
    <s v="032"/>
    <s v="16100-032"/>
    <s v="Synthesizer production item #032"/>
    <s v="UNIQUE"/>
    <n v="0"/>
    <n v="216"/>
    <n v="13824"/>
    <n v="0"/>
    <n v="2985984"/>
  </r>
  <r>
    <x v="0"/>
    <x v="24"/>
    <x v="5"/>
    <n v="1"/>
    <n v="61"/>
    <s v="00"/>
    <s v="033"/>
    <s v="16100-033"/>
    <s v="Synthesizer production item #033"/>
    <s v="UNIQUE"/>
    <n v="0"/>
    <n v="25"/>
    <n v="16"/>
    <n v="0"/>
    <n v="400"/>
  </r>
  <r>
    <x v="0"/>
    <x v="24"/>
    <x v="5"/>
    <n v="1"/>
    <n v="61"/>
    <s v="00"/>
    <s v="034"/>
    <s v="16100-034"/>
    <s v="Synthesizer production item #034"/>
    <s v="UNIQUE"/>
    <n v="368"/>
    <n v="5"/>
    <n v="6859"/>
    <n v="1840"/>
    <n v="34295"/>
  </r>
  <r>
    <x v="0"/>
    <x v="24"/>
    <x v="5"/>
    <n v="1"/>
    <n v="61"/>
    <s v="00"/>
    <s v="035"/>
    <s v="16100-035"/>
    <s v="Synthesizer production item #035"/>
    <s v="UNIQUE"/>
    <n v="0"/>
    <n v="8"/>
    <n v="625"/>
    <n v="0"/>
    <n v="5000"/>
  </r>
  <r>
    <x v="0"/>
    <x v="24"/>
    <x v="5"/>
    <n v="1"/>
    <n v="61"/>
    <s v="00"/>
    <s v="036"/>
    <s v="16100-036"/>
    <s v="Synthesizer production item #036"/>
    <s v="UNIQUE"/>
    <n v="2808"/>
    <n v="16"/>
    <n v="9"/>
    <n v="44928"/>
    <n v="144"/>
  </r>
  <r>
    <x v="0"/>
    <x v="24"/>
    <x v="5"/>
    <n v="1"/>
    <n v="61"/>
    <s v="00"/>
    <s v="037"/>
    <s v="16100-037"/>
    <s v="Synthesizer production item #037"/>
    <s v="UNIQUE"/>
    <n v="6007"/>
    <n v="81"/>
    <n v="529"/>
    <n v="486567"/>
    <n v="42849"/>
  </r>
  <r>
    <x v="0"/>
    <x v="24"/>
    <x v="5"/>
    <n v="1"/>
    <n v="61"/>
    <s v="00"/>
    <s v="038"/>
    <s v="16100-038"/>
    <s v="Synthesizer production item #038"/>
    <s v="UNIQUE"/>
    <n v="0"/>
    <n v="7"/>
    <n v="9"/>
    <n v="0"/>
    <n v="63"/>
  </r>
  <r>
    <x v="0"/>
    <x v="24"/>
    <x v="5"/>
    <n v="1"/>
    <n v="61"/>
    <s v="00"/>
    <s v="039"/>
    <s v="16100-039"/>
    <s v="Synthesizer production item #039"/>
    <s v="UNIQUE"/>
    <n v="0"/>
    <n v="343"/>
    <n v="28"/>
    <n v="0"/>
    <n v="9604"/>
  </r>
  <r>
    <x v="0"/>
    <x v="24"/>
    <x v="5"/>
    <n v="1"/>
    <n v="61"/>
    <s v="00"/>
    <s v="040"/>
    <s v="16100-040"/>
    <s v="Synthesizer production item #040"/>
    <s v="UNIQUE"/>
    <n v="0"/>
    <n v="8"/>
    <n v="9261"/>
    <n v="0"/>
    <n v="74088"/>
  </r>
  <r>
    <x v="0"/>
    <x v="24"/>
    <x v="5"/>
    <n v="1"/>
    <n v="61"/>
    <s v="00"/>
    <s v="041"/>
    <s v="16100-041"/>
    <s v="Synthesizer production item #041"/>
    <s v="UNIQUE"/>
    <n v="0"/>
    <n v="3"/>
    <n v="19683"/>
    <n v="0"/>
    <n v="59049"/>
  </r>
  <r>
    <x v="0"/>
    <x v="24"/>
    <x v="5"/>
    <n v="1"/>
    <n v="61"/>
    <s v="00"/>
    <s v="042"/>
    <s v="16100-042"/>
    <s v="Synthesizer production item #042"/>
    <s v="UNIQUE"/>
    <n v="0"/>
    <n v="4"/>
    <n v="4"/>
    <n v="0"/>
    <n v="16"/>
  </r>
  <r>
    <x v="0"/>
    <x v="24"/>
    <x v="5"/>
    <n v="1"/>
    <n v="61"/>
    <s v="00"/>
    <s v="043"/>
    <s v="16100-043"/>
    <s v="Synthesizer production item #043"/>
    <s v="UNIQUE"/>
    <n v="69"/>
    <n v="9"/>
    <n v="7"/>
    <n v="621"/>
    <n v="63"/>
  </r>
  <r>
    <x v="0"/>
    <x v="24"/>
    <x v="5"/>
    <n v="1"/>
    <n v="61"/>
    <s v="00"/>
    <s v="044"/>
    <s v="16100-044"/>
    <s v="Synthesizer production item #044"/>
    <s v="UNIQUE"/>
    <n v="0"/>
    <n v="343"/>
    <n v="11"/>
    <n v="0"/>
    <n v="3773"/>
  </r>
  <r>
    <x v="0"/>
    <x v="24"/>
    <x v="5"/>
    <n v="1"/>
    <n v="61"/>
    <s v="00"/>
    <s v="045"/>
    <s v="16100-045"/>
    <s v="Synthesizer production item #045"/>
    <s v="UNIQUE"/>
    <n v="0"/>
    <n v="25"/>
    <n v="729"/>
    <n v="0"/>
    <n v="18225"/>
  </r>
  <r>
    <x v="0"/>
    <x v="24"/>
    <x v="5"/>
    <n v="1"/>
    <n v="61"/>
    <s v="00"/>
    <s v="046"/>
    <s v="16100-046"/>
    <s v="Synthesizer production item #046"/>
    <s v="UNIQUE"/>
    <n v="0"/>
    <n v="1000"/>
    <n v="121"/>
    <n v="0"/>
    <n v="121000"/>
  </r>
  <r>
    <x v="0"/>
    <x v="24"/>
    <x v="5"/>
    <n v="1"/>
    <n v="61"/>
    <s v="00"/>
    <s v="047"/>
    <s v="16100-047"/>
    <s v="Synthesizer production item #047"/>
    <s v="UNIQUE"/>
    <n v="0"/>
    <n v="64"/>
    <n v="19683"/>
    <n v="0"/>
    <n v="1259712"/>
  </r>
  <r>
    <x v="0"/>
    <x v="24"/>
    <x v="5"/>
    <n v="1"/>
    <n v="61"/>
    <s v="00"/>
    <s v="048"/>
    <s v="16100-048"/>
    <s v="Synthesizer production item #048"/>
    <s v="UNIQUE"/>
    <n v="0"/>
    <n v="25"/>
    <n v="12"/>
    <n v="0"/>
    <n v="300"/>
  </r>
  <r>
    <x v="0"/>
    <x v="24"/>
    <x v="5"/>
    <n v="1"/>
    <n v="61"/>
    <s v="00"/>
    <s v="049"/>
    <s v="16100-049"/>
    <s v="Synthesizer production item #049"/>
    <s v="UNIQUE"/>
    <n v="49"/>
    <n v="8"/>
    <n v="64"/>
    <n v="392"/>
    <n v="512"/>
  </r>
  <r>
    <x v="0"/>
    <x v="24"/>
    <x v="5"/>
    <n v="1"/>
    <n v="61"/>
    <s v="00"/>
    <s v="050"/>
    <s v="16100-050"/>
    <s v="Synthesizer production item #050"/>
    <s v="UNIQUE"/>
    <n v="0"/>
    <n v="10"/>
    <n v="841"/>
    <n v="0"/>
    <n v="8410"/>
  </r>
  <r>
    <x v="0"/>
    <x v="24"/>
    <x v="5"/>
    <n v="1"/>
    <n v="61"/>
    <s v="00"/>
    <s v="051"/>
    <s v="16100-051"/>
    <s v="Synthesizer production item #051"/>
    <s v="UNIQUE"/>
    <n v="0"/>
    <n v="16"/>
    <n v="28"/>
    <n v="0"/>
    <n v="448"/>
  </r>
  <r>
    <x v="0"/>
    <x v="24"/>
    <x v="5"/>
    <n v="1"/>
    <n v="61"/>
    <s v="00"/>
    <s v="052"/>
    <s v="16100-052"/>
    <s v="Synthesizer production item #052"/>
    <s v="UNIQUE"/>
    <n v="86"/>
    <n v="3"/>
    <n v="676"/>
    <n v="258"/>
    <n v="2028"/>
  </r>
  <r>
    <x v="0"/>
    <x v="24"/>
    <x v="5"/>
    <n v="1"/>
    <n v="61"/>
    <s v="00"/>
    <s v="053"/>
    <s v="16100-053"/>
    <s v="Synthesizer production item #053"/>
    <s v="UNIQUE"/>
    <n v="48"/>
    <n v="64"/>
    <n v="25"/>
    <n v="3072"/>
    <n v="1600"/>
  </r>
  <r>
    <x v="0"/>
    <x v="24"/>
    <x v="5"/>
    <n v="1"/>
    <n v="61"/>
    <s v="00"/>
    <s v="054"/>
    <s v="16100-054"/>
    <s v="Synthesizer production item #054"/>
    <s v="UNIQUE"/>
    <n v="0"/>
    <n v="49"/>
    <n v="10648"/>
    <n v="0"/>
    <n v="521752"/>
  </r>
  <r>
    <x v="0"/>
    <x v="24"/>
    <x v="5"/>
    <n v="1"/>
    <n v="61"/>
    <s v="00"/>
    <s v="055"/>
    <s v="16100-055"/>
    <s v="Synthesizer production item #055"/>
    <s v="UNIQUE"/>
    <n v="0"/>
    <n v="81"/>
    <n v="512"/>
    <n v="0"/>
    <n v="41472"/>
  </r>
  <r>
    <x v="0"/>
    <x v="24"/>
    <x v="5"/>
    <n v="1"/>
    <n v="61"/>
    <s v="00"/>
    <s v="056"/>
    <s v="16100-056"/>
    <s v="Synthesizer production item #056"/>
    <s v="UNIQUE"/>
    <n v="862"/>
    <n v="27"/>
    <n v="4096"/>
    <n v="23274"/>
    <n v="110592"/>
  </r>
  <r>
    <x v="0"/>
    <x v="24"/>
    <x v="5"/>
    <n v="1"/>
    <n v="61"/>
    <s v="00"/>
    <s v="057"/>
    <s v="16100-057"/>
    <s v="Synthesizer production item #057"/>
    <s v="UNIQUE"/>
    <n v="0"/>
    <n v="4"/>
    <n v="81"/>
    <n v="0"/>
    <n v="324"/>
  </r>
  <r>
    <x v="0"/>
    <x v="24"/>
    <x v="5"/>
    <n v="1"/>
    <n v="61"/>
    <s v="00"/>
    <s v="058"/>
    <s v="16100-058"/>
    <s v="Synthesizer production item #058"/>
    <s v="UNIQUE"/>
    <n v="0"/>
    <n v="1"/>
    <n v="1"/>
    <n v="0"/>
    <n v="1"/>
  </r>
  <r>
    <x v="0"/>
    <x v="24"/>
    <x v="5"/>
    <n v="1"/>
    <n v="61"/>
    <s v="00"/>
    <s v="059"/>
    <s v="16100-059"/>
    <s v="Synthesizer production item #059"/>
    <s v="UNIQUE"/>
    <n v="0"/>
    <n v="64"/>
    <n v="324"/>
    <n v="0"/>
    <n v="20736"/>
  </r>
  <r>
    <x v="0"/>
    <x v="24"/>
    <x v="5"/>
    <n v="1"/>
    <n v="61"/>
    <s v="00"/>
    <s v="060"/>
    <s v="16100-060"/>
    <s v="Synthesizer production item #060"/>
    <s v="UNIQUE"/>
    <n v="0"/>
    <n v="729"/>
    <n v="11"/>
    <n v="0"/>
    <n v="8019"/>
  </r>
  <r>
    <x v="0"/>
    <x v="24"/>
    <x v="5"/>
    <n v="1"/>
    <n v="61"/>
    <s v="00"/>
    <s v="061"/>
    <s v="16100-061"/>
    <s v="Synthesizer production item #061"/>
    <s v="UNIQUE"/>
    <n v="0"/>
    <n v="64"/>
    <n v="3375"/>
    <n v="0"/>
    <n v="216000"/>
  </r>
  <r>
    <x v="0"/>
    <x v="24"/>
    <x v="5"/>
    <n v="1"/>
    <n v="61"/>
    <s v="00"/>
    <s v="062"/>
    <s v="16100-062"/>
    <s v="Synthesizer production item #062"/>
    <s v="UNIQUE"/>
    <n v="2"/>
    <n v="4"/>
    <n v="400"/>
    <n v="8"/>
    <n v="1600"/>
  </r>
  <r>
    <x v="0"/>
    <x v="24"/>
    <x v="5"/>
    <n v="1"/>
    <n v="61"/>
    <s v="00"/>
    <s v="063"/>
    <s v="16100-063"/>
    <s v="Synthesizer production item #063"/>
    <s v="UNIQUE"/>
    <n v="1"/>
    <n v="64"/>
    <n v="6"/>
    <n v="64"/>
    <n v="384"/>
  </r>
  <r>
    <x v="0"/>
    <x v="24"/>
    <x v="5"/>
    <n v="1"/>
    <n v="61"/>
    <s v="00"/>
    <s v="064"/>
    <s v="16100-064"/>
    <s v="Synthesizer production item #064"/>
    <s v="UNIQUE"/>
    <n v="29"/>
    <n v="9"/>
    <n v="21"/>
    <n v="261"/>
    <n v="189"/>
  </r>
  <r>
    <x v="0"/>
    <x v="24"/>
    <x v="5"/>
    <n v="1"/>
    <n v="61"/>
    <s v="00"/>
    <s v="065"/>
    <s v="16100-065"/>
    <s v="Synthesizer production item #065"/>
    <s v="UNIQUE"/>
    <n v="9"/>
    <n v="9"/>
    <n v="1"/>
    <n v="81"/>
    <n v="9"/>
  </r>
  <r>
    <x v="0"/>
    <x v="24"/>
    <x v="5"/>
    <n v="1"/>
    <n v="61"/>
    <s v="00"/>
    <s v="066"/>
    <s v="16100-066"/>
    <s v="Synthesizer production item #066"/>
    <s v="UNIQUE"/>
    <n v="0"/>
    <n v="9"/>
    <n v="125"/>
    <n v="0"/>
    <n v="1125"/>
  </r>
  <r>
    <x v="0"/>
    <x v="24"/>
    <x v="5"/>
    <n v="1"/>
    <n v="61"/>
    <s v="00"/>
    <s v="067"/>
    <s v="16100-067"/>
    <s v="Synthesizer production item #067"/>
    <s v="UNIQUE"/>
    <n v="586"/>
    <n v="343"/>
    <n v="343"/>
    <n v="200998"/>
    <n v="117649"/>
  </r>
  <r>
    <x v="0"/>
    <x v="24"/>
    <x v="5"/>
    <n v="1"/>
    <n v="61"/>
    <s v="00"/>
    <s v="068"/>
    <s v="16100-068"/>
    <s v="Synthesizer production item #068"/>
    <s v="UNIQUE"/>
    <n v="222"/>
    <n v="9"/>
    <n v="15625"/>
    <n v="1998"/>
    <n v="140625"/>
  </r>
  <r>
    <x v="0"/>
    <x v="24"/>
    <x v="5"/>
    <n v="1"/>
    <n v="61"/>
    <s v="00"/>
    <s v="069"/>
    <s v="16100-069"/>
    <s v="Synthesizer production item #069"/>
    <s v="UNIQUE"/>
    <n v="0"/>
    <n v="729"/>
    <n v="27"/>
    <n v="0"/>
    <n v="19683"/>
  </r>
  <r>
    <x v="0"/>
    <x v="24"/>
    <x v="5"/>
    <n v="1"/>
    <n v="61"/>
    <s v="00"/>
    <s v="070"/>
    <s v="16100-070"/>
    <s v="Synthesizer production item #070"/>
    <s v="UNIQUE"/>
    <n v="0"/>
    <n v="1"/>
    <n v="8000"/>
    <n v="0"/>
    <n v="8000"/>
  </r>
  <r>
    <x v="0"/>
    <x v="24"/>
    <x v="5"/>
    <n v="1"/>
    <n v="61"/>
    <s v="00"/>
    <s v="071"/>
    <s v="16100-071"/>
    <s v="Synthesizer production item #071"/>
    <s v="UNIQUE"/>
    <n v="325"/>
    <n v="16"/>
    <n v="24389"/>
    <n v="5200"/>
    <n v="390224"/>
  </r>
  <r>
    <x v="0"/>
    <x v="24"/>
    <x v="5"/>
    <n v="1"/>
    <n v="61"/>
    <s v="00"/>
    <s v="072"/>
    <s v="16100-072"/>
    <s v="Synthesizer production item #072"/>
    <s v="UNIQUE"/>
    <n v="697"/>
    <n v="343"/>
    <n v="0"/>
    <n v="239071"/>
    <n v="0"/>
  </r>
  <r>
    <x v="0"/>
    <x v="24"/>
    <x v="5"/>
    <n v="1"/>
    <n v="61"/>
    <s v="00"/>
    <s v="073"/>
    <s v="16100-073"/>
    <s v="Synthesizer production item #073"/>
    <s v="UNIQUE"/>
    <n v="152"/>
    <n v="216"/>
    <n v="17"/>
    <n v="32832"/>
    <n v="3672"/>
  </r>
  <r>
    <x v="0"/>
    <x v="24"/>
    <x v="5"/>
    <n v="1"/>
    <n v="61"/>
    <s v="00"/>
    <s v="074"/>
    <s v="16100-074"/>
    <s v="Synthesizer production item #074"/>
    <s v="UNIQUE"/>
    <n v="0"/>
    <n v="343"/>
    <n v="9"/>
    <n v="0"/>
    <n v="3087"/>
  </r>
  <r>
    <x v="0"/>
    <x v="24"/>
    <x v="5"/>
    <n v="1"/>
    <n v="61"/>
    <s v="00"/>
    <s v="075"/>
    <s v="16100-075"/>
    <s v="Synthesizer production item #075"/>
    <s v="UNIQUE"/>
    <n v="8"/>
    <n v="1"/>
    <n v="22"/>
    <n v="8"/>
    <n v="22"/>
  </r>
  <r>
    <x v="0"/>
    <x v="24"/>
    <x v="5"/>
    <n v="1"/>
    <n v="61"/>
    <s v="00"/>
    <s v="076"/>
    <s v="16100-076"/>
    <s v="Synthesizer production item #076"/>
    <s v="UNIQUE"/>
    <n v="693"/>
    <n v="7"/>
    <n v="576"/>
    <n v="4851"/>
    <n v="4032"/>
  </r>
  <r>
    <x v="0"/>
    <x v="24"/>
    <x v="5"/>
    <n v="1"/>
    <n v="61"/>
    <s v="00"/>
    <s v="077"/>
    <s v="16100-077"/>
    <s v="Synthesizer production item #077"/>
    <s v="UNIQUE"/>
    <n v="616"/>
    <n v="4"/>
    <n v="900"/>
    <n v="2464"/>
    <n v="3600"/>
  </r>
  <r>
    <x v="0"/>
    <x v="24"/>
    <x v="5"/>
    <n v="1"/>
    <n v="61"/>
    <s v="00"/>
    <s v="078"/>
    <s v="16100-078"/>
    <s v="Synthesizer production item #078"/>
    <s v="UNIQUE"/>
    <n v="0"/>
    <n v="216"/>
    <n v="256"/>
    <n v="0"/>
    <n v="55296"/>
  </r>
  <r>
    <x v="0"/>
    <x v="24"/>
    <x v="5"/>
    <n v="1"/>
    <n v="61"/>
    <s v="00"/>
    <s v="079"/>
    <s v="16100-079"/>
    <s v="Synthesizer production item #079"/>
    <s v="UNIQUE"/>
    <n v="0"/>
    <n v="1"/>
    <n v="24"/>
    <n v="0"/>
    <n v="24"/>
  </r>
  <r>
    <x v="0"/>
    <x v="24"/>
    <x v="5"/>
    <n v="1"/>
    <n v="61"/>
    <s v="00"/>
    <s v="080"/>
    <s v="16100-080"/>
    <s v="Synthesizer production item #080"/>
    <s v="UNIQUE"/>
    <n v="0"/>
    <n v="2"/>
    <n v="125"/>
    <n v="0"/>
    <n v="250"/>
  </r>
  <r>
    <x v="0"/>
    <x v="24"/>
    <x v="5"/>
    <n v="1"/>
    <n v="61"/>
    <s v="00"/>
    <s v="081"/>
    <s v="16100-081"/>
    <s v="Synthesizer production item #081"/>
    <s v="UNIQUE"/>
    <n v="0"/>
    <n v="6"/>
    <n v="21952"/>
    <n v="0"/>
    <n v="131712"/>
  </r>
  <r>
    <x v="0"/>
    <x v="24"/>
    <x v="5"/>
    <n v="1"/>
    <n v="61"/>
    <s v="00"/>
    <s v="082"/>
    <s v="16100-082"/>
    <s v="Synthesizer production item #082"/>
    <s v="UNIQUE"/>
    <n v="0"/>
    <n v="1000"/>
    <n v="17576"/>
    <n v="0"/>
    <n v="17576000"/>
  </r>
  <r>
    <x v="0"/>
    <x v="24"/>
    <x v="5"/>
    <n v="1"/>
    <n v="61"/>
    <s v="00"/>
    <s v="083"/>
    <s v="16100-083"/>
    <s v="Synthesizer production item #083"/>
    <s v="UNIQUE"/>
    <n v="0"/>
    <n v="8"/>
    <n v="216"/>
    <n v="0"/>
    <n v="1728"/>
  </r>
  <r>
    <x v="0"/>
    <x v="24"/>
    <x v="5"/>
    <n v="1"/>
    <n v="61"/>
    <s v="00"/>
    <s v="084"/>
    <s v="16100-084"/>
    <s v="Synthesizer production item #084"/>
    <s v="UNIQUE"/>
    <n v="0"/>
    <n v="4"/>
    <n v="216"/>
    <n v="0"/>
    <n v="864"/>
  </r>
  <r>
    <x v="0"/>
    <x v="24"/>
    <x v="5"/>
    <n v="1"/>
    <n v="61"/>
    <s v="00"/>
    <s v="085"/>
    <s v="16100-085"/>
    <s v="Synthesizer production item #085"/>
    <s v="UNIQUE"/>
    <n v="0"/>
    <n v="1000"/>
    <n v="512"/>
    <n v="0"/>
    <n v="512000"/>
  </r>
  <r>
    <x v="0"/>
    <x v="24"/>
    <x v="5"/>
    <n v="1"/>
    <n v="61"/>
    <s v="00"/>
    <s v="086"/>
    <s v="16100-086"/>
    <s v="Synthesizer production item #086"/>
    <s v="UNIQUE"/>
    <n v="9"/>
    <n v="1"/>
    <n v="1"/>
    <n v="9"/>
    <n v="1"/>
  </r>
  <r>
    <x v="0"/>
    <x v="24"/>
    <x v="5"/>
    <n v="1"/>
    <n v="61"/>
    <s v="00"/>
    <s v="087"/>
    <s v="16100-087"/>
    <s v="Synthesizer production item #087"/>
    <s v="UNIQUE"/>
    <n v="0"/>
    <n v="4"/>
    <n v="25"/>
    <n v="0"/>
    <n v="100"/>
  </r>
  <r>
    <x v="0"/>
    <x v="24"/>
    <x v="5"/>
    <n v="1"/>
    <n v="61"/>
    <s v="00"/>
    <s v="088"/>
    <s v="16100-088"/>
    <s v="Synthesizer production item #088"/>
    <s v="UNIQUE"/>
    <n v="527"/>
    <n v="81"/>
    <n v="20"/>
    <n v="42687"/>
    <n v="1620"/>
  </r>
  <r>
    <x v="0"/>
    <x v="24"/>
    <x v="5"/>
    <n v="1"/>
    <n v="61"/>
    <s v="00"/>
    <s v="089"/>
    <s v="16100-089"/>
    <s v="Synthesizer production item #089"/>
    <s v="UNIQUE"/>
    <n v="83"/>
    <n v="9"/>
    <n v="441"/>
    <n v="747"/>
    <n v="3969"/>
  </r>
  <r>
    <x v="0"/>
    <x v="24"/>
    <x v="5"/>
    <n v="1"/>
    <n v="61"/>
    <s v="00"/>
    <s v="090"/>
    <s v="16100-090"/>
    <s v="Synthesizer production item #090"/>
    <s v="UNIQUE"/>
    <n v="0"/>
    <n v="81"/>
    <n v="8"/>
    <n v="0"/>
    <n v="648"/>
  </r>
  <r>
    <x v="0"/>
    <x v="24"/>
    <x v="5"/>
    <n v="1"/>
    <n v="61"/>
    <s v="00"/>
    <s v="091"/>
    <s v="16100-091"/>
    <s v="Synthesizer production item #091"/>
    <s v="UNIQUE"/>
    <n v="5"/>
    <n v="9"/>
    <n v="0"/>
    <n v="45"/>
    <n v="0"/>
  </r>
  <r>
    <x v="0"/>
    <x v="24"/>
    <x v="5"/>
    <n v="1"/>
    <n v="61"/>
    <s v="00"/>
    <s v="092"/>
    <s v="16100-092"/>
    <s v="Synthesizer production item #092"/>
    <s v="UNIQUE"/>
    <n v="0"/>
    <n v="5"/>
    <n v="28"/>
    <n v="0"/>
    <n v="140"/>
  </r>
  <r>
    <x v="0"/>
    <x v="24"/>
    <x v="5"/>
    <n v="1"/>
    <n v="61"/>
    <s v="00"/>
    <s v="093"/>
    <s v="16100-093"/>
    <s v="Synthesizer production item #093"/>
    <s v="UNIQUE"/>
    <n v="6"/>
    <n v="3"/>
    <n v="900"/>
    <n v="18"/>
    <n v="2700"/>
  </r>
  <r>
    <x v="0"/>
    <x v="24"/>
    <x v="5"/>
    <n v="1"/>
    <n v="61"/>
    <s v="00"/>
    <s v="094"/>
    <s v="16100-094"/>
    <s v="Synthesizer production item #094"/>
    <s v="UNIQUE"/>
    <n v="5"/>
    <n v="1000"/>
    <n v="29"/>
    <n v="5000"/>
    <n v="29000"/>
  </r>
  <r>
    <x v="0"/>
    <x v="24"/>
    <x v="5"/>
    <n v="1"/>
    <n v="61"/>
    <s v="00"/>
    <s v="095"/>
    <s v="16100-095"/>
    <s v="Synthesizer production item #095"/>
    <s v="UNIQUE"/>
    <n v="789"/>
    <n v="512"/>
    <n v="1"/>
    <n v="403968"/>
    <n v="512"/>
  </r>
  <r>
    <x v="0"/>
    <x v="24"/>
    <x v="5"/>
    <n v="1"/>
    <n v="61"/>
    <s v="00"/>
    <s v="096"/>
    <s v="16100-096"/>
    <s v="Synthesizer production item #096"/>
    <s v="UNIQUE"/>
    <n v="4751"/>
    <n v="9"/>
    <n v="0"/>
    <n v="42759"/>
    <n v="0"/>
  </r>
  <r>
    <x v="0"/>
    <x v="24"/>
    <x v="5"/>
    <n v="1"/>
    <n v="61"/>
    <s v="00"/>
    <s v="097"/>
    <s v="16100-097"/>
    <s v="Synthesizer production item #097"/>
    <s v="UNIQUE"/>
    <n v="6"/>
    <n v="81"/>
    <n v="256"/>
    <n v="486"/>
    <n v="20736"/>
  </r>
  <r>
    <x v="0"/>
    <x v="24"/>
    <x v="5"/>
    <n v="1"/>
    <n v="61"/>
    <s v="00"/>
    <s v="098"/>
    <s v="16100-098"/>
    <s v="Synthesizer production item #098"/>
    <s v="UNIQUE"/>
    <n v="0"/>
    <n v="4"/>
    <n v="7"/>
    <n v="0"/>
    <n v="28"/>
  </r>
  <r>
    <x v="0"/>
    <x v="24"/>
    <x v="5"/>
    <n v="1"/>
    <n v="61"/>
    <s v="00"/>
    <s v="099"/>
    <s v="16100-099"/>
    <s v="Synthesizer production item #099"/>
    <s v="UNIQUE"/>
    <n v="6"/>
    <n v="1000"/>
    <n v="24389"/>
    <n v="6000"/>
    <n v="24389000"/>
  </r>
  <r>
    <x v="0"/>
    <x v="24"/>
    <x v="5"/>
    <n v="1"/>
    <n v="61"/>
    <s v="00"/>
    <s v="100"/>
    <s v="16100-100"/>
    <s v="Synthesizer production item #100"/>
    <s v="UNIQUE"/>
    <n v="0"/>
    <n v="3"/>
    <n v="15625"/>
    <n v="0"/>
    <n v="46875"/>
  </r>
  <r>
    <x v="0"/>
    <x v="24"/>
    <x v="5"/>
    <n v="1"/>
    <n v="61"/>
    <s v="00"/>
    <s v="101"/>
    <s v="16100-101"/>
    <s v="Synthesizer production item #101"/>
    <s v="UNIQUE"/>
    <n v="0"/>
    <n v="4"/>
    <n v="18"/>
    <n v="0"/>
    <n v="72"/>
  </r>
  <r>
    <x v="0"/>
    <x v="24"/>
    <x v="5"/>
    <n v="1"/>
    <n v="61"/>
    <s v="00"/>
    <s v="102"/>
    <s v="16100-102"/>
    <s v="Synthesizer production item #102"/>
    <s v="UNIQUE"/>
    <n v="0"/>
    <n v="27"/>
    <n v="30"/>
    <n v="0"/>
    <n v="810"/>
  </r>
  <r>
    <x v="0"/>
    <x v="24"/>
    <x v="5"/>
    <n v="1"/>
    <n v="61"/>
    <s v="00"/>
    <s v="103"/>
    <s v="16100-103"/>
    <s v="Synthesizer production item #103"/>
    <s v="UNIQUE"/>
    <n v="0"/>
    <n v="5"/>
    <n v="2744"/>
    <n v="0"/>
    <n v="13720"/>
  </r>
  <r>
    <x v="0"/>
    <x v="24"/>
    <x v="5"/>
    <n v="1"/>
    <n v="61"/>
    <s v="00"/>
    <s v="104"/>
    <s v="16100-104"/>
    <s v="Synthesizer production item #104"/>
    <s v="UNIQUE"/>
    <n v="0"/>
    <n v="1"/>
    <n v="729"/>
    <n v="0"/>
    <n v="729"/>
  </r>
  <r>
    <x v="0"/>
    <x v="24"/>
    <x v="5"/>
    <n v="1"/>
    <n v="61"/>
    <s v="00"/>
    <s v="105"/>
    <s v="16100-105"/>
    <s v="Synthesizer production item #105"/>
    <s v="UNIQUE"/>
    <n v="598"/>
    <n v="25"/>
    <n v="216"/>
    <n v="14950"/>
    <n v="5400"/>
  </r>
  <r>
    <x v="0"/>
    <x v="24"/>
    <x v="5"/>
    <n v="1"/>
    <n v="61"/>
    <s v="00"/>
    <s v="106"/>
    <s v="16100-106"/>
    <s v="Synthesizer production item #106"/>
    <s v="UNIQUE"/>
    <n v="6"/>
    <n v="125"/>
    <n v="20"/>
    <n v="750"/>
    <n v="2500"/>
  </r>
  <r>
    <x v="0"/>
    <x v="24"/>
    <x v="5"/>
    <n v="1"/>
    <n v="61"/>
    <s v="00"/>
    <s v="107"/>
    <s v="16100-107"/>
    <s v="Synthesizer production item #107"/>
    <s v="UNIQUE"/>
    <n v="0"/>
    <n v="3"/>
    <n v="28"/>
    <n v="0"/>
    <n v="84"/>
  </r>
  <r>
    <x v="0"/>
    <x v="24"/>
    <x v="5"/>
    <n v="1"/>
    <n v="61"/>
    <s v="00"/>
    <s v="108"/>
    <s v="16100-108"/>
    <s v="Synthesizer production item #108"/>
    <s v="UNIQUE"/>
    <n v="0"/>
    <n v="4"/>
    <n v="729"/>
    <n v="0"/>
    <n v="2916"/>
  </r>
  <r>
    <x v="0"/>
    <x v="24"/>
    <x v="5"/>
    <n v="1"/>
    <n v="61"/>
    <s v="00"/>
    <s v="109"/>
    <s v="16100-109"/>
    <s v="Synthesizer production item #109"/>
    <s v="UNIQUE"/>
    <n v="0"/>
    <n v="1000"/>
    <n v="400"/>
    <n v="0"/>
    <n v="400000"/>
  </r>
  <r>
    <x v="0"/>
    <x v="24"/>
    <x v="5"/>
    <n v="1"/>
    <n v="61"/>
    <s v="00"/>
    <s v="110"/>
    <s v="16100-110"/>
    <s v="Synthesizer production item #110"/>
    <s v="UNIQUE"/>
    <n v="6"/>
    <n v="1"/>
    <n v="10"/>
    <n v="6"/>
    <n v="10"/>
  </r>
  <r>
    <x v="0"/>
    <x v="24"/>
    <x v="5"/>
    <n v="1"/>
    <n v="61"/>
    <s v="00"/>
    <s v="111"/>
    <s v="16100-111"/>
    <s v="Synthesizer production item #111"/>
    <s v="UNIQUE"/>
    <n v="0"/>
    <n v="3"/>
    <n v="484"/>
    <n v="0"/>
    <n v="1452"/>
  </r>
  <r>
    <x v="0"/>
    <x v="24"/>
    <x v="5"/>
    <n v="1"/>
    <n v="61"/>
    <s v="00"/>
    <s v="112"/>
    <s v="16100-112"/>
    <s v="Synthesizer production item #112"/>
    <s v="UNIQUE"/>
    <n v="1"/>
    <n v="3"/>
    <n v="225"/>
    <n v="3"/>
    <n v="675"/>
  </r>
  <r>
    <x v="0"/>
    <x v="24"/>
    <x v="5"/>
    <n v="1"/>
    <n v="61"/>
    <s v="00"/>
    <s v="113"/>
    <s v="16100-113"/>
    <s v="Synthesizer production item #113"/>
    <s v="UNIQUE"/>
    <n v="9579"/>
    <n v="1"/>
    <n v="19683"/>
    <n v="9579"/>
    <n v="19683"/>
  </r>
  <r>
    <x v="0"/>
    <x v="24"/>
    <x v="5"/>
    <n v="1"/>
    <n v="61"/>
    <s v="00"/>
    <s v="114"/>
    <s v="16100-114"/>
    <s v="Synthesizer production item #114"/>
    <s v="UNIQUE"/>
    <n v="60"/>
    <n v="3"/>
    <n v="484"/>
    <n v="180"/>
    <n v="1452"/>
  </r>
  <r>
    <x v="0"/>
    <x v="24"/>
    <x v="5"/>
    <n v="1"/>
    <n v="61"/>
    <s v="00"/>
    <s v="115"/>
    <s v="16100-115"/>
    <s v="Synthesizer production item #115"/>
    <s v="UNIQUE"/>
    <n v="81"/>
    <n v="4"/>
    <n v="0"/>
    <n v="324"/>
    <n v="0"/>
  </r>
  <r>
    <x v="0"/>
    <x v="24"/>
    <x v="5"/>
    <n v="1"/>
    <n v="61"/>
    <s v="00"/>
    <s v="116"/>
    <s v="16100-116"/>
    <s v="Synthesizer production item #116"/>
    <s v="UNIQUE"/>
    <n v="5"/>
    <n v="10"/>
    <n v="484"/>
    <n v="50"/>
    <n v="4840"/>
  </r>
  <r>
    <x v="0"/>
    <x v="24"/>
    <x v="5"/>
    <n v="1"/>
    <n v="61"/>
    <s v="00"/>
    <s v="117"/>
    <s v="16100-117"/>
    <s v="Synthesizer production item #117"/>
    <s v="UNIQUE"/>
    <n v="0"/>
    <n v="10"/>
    <n v="4"/>
    <n v="0"/>
    <n v="40"/>
  </r>
  <r>
    <x v="0"/>
    <x v="24"/>
    <x v="5"/>
    <n v="1"/>
    <n v="61"/>
    <s v="00"/>
    <s v="118"/>
    <s v="16100-118"/>
    <s v="Synthesizer production item #118"/>
    <s v="UNIQUE"/>
    <n v="1"/>
    <n v="8"/>
    <n v="22"/>
    <n v="8"/>
    <n v="176"/>
  </r>
  <r>
    <x v="0"/>
    <x v="24"/>
    <x v="5"/>
    <n v="1"/>
    <n v="61"/>
    <s v="00"/>
    <s v="119"/>
    <s v="16100-119"/>
    <s v="Synthesizer production item #119"/>
    <s v="UNIQUE"/>
    <n v="34"/>
    <n v="16"/>
    <n v="23"/>
    <n v="544"/>
    <n v="368"/>
  </r>
  <r>
    <x v="0"/>
    <x v="24"/>
    <x v="5"/>
    <n v="1"/>
    <n v="61"/>
    <s v="00"/>
    <s v="120"/>
    <s v="16100-120"/>
    <s v="Synthesizer production item #120"/>
    <s v="UNIQUE"/>
    <n v="0"/>
    <n v="36"/>
    <n v="6859"/>
    <n v="0"/>
    <n v="246924"/>
  </r>
  <r>
    <x v="0"/>
    <x v="24"/>
    <x v="5"/>
    <n v="1"/>
    <n v="61"/>
    <s v="00"/>
    <s v="121"/>
    <s v="16100-121"/>
    <s v="Synthesizer production item #121"/>
    <s v="UNIQUE"/>
    <n v="0"/>
    <n v="4"/>
    <n v="361"/>
    <n v="0"/>
    <n v="1444"/>
  </r>
  <r>
    <x v="0"/>
    <x v="24"/>
    <x v="5"/>
    <n v="1"/>
    <n v="61"/>
    <s v="00"/>
    <s v="122"/>
    <s v="16100-122"/>
    <s v="Synthesizer production item #122"/>
    <s v="UNIQUE"/>
    <n v="0"/>
    <n v="36"/>
    <n v="5832"/>
    <n v="0"/>
    <n v="209952"/>
  </r>
  <r>
    <x v="0"/>
    <x v="24"/>
    <x v="5"/>
    <n v="1"/>
    <n v="61"/>
    <s v="00"/>
    <s v="123"/>
    <s v="16100-123"/>
    <s v="Synthesizer production item #123"/>
    <s v="UNIQUE"/>
    <n v="0"/>
    <n v="81"/>
    <n v="27"/>
    <n v="0"/>
    <n v="2187"/>
  </r>
  <r>
    <x v="0"/>
    <x v="24"/>
    <x v="5"/>
    <n v="1"/>
    <n v="61"/>
    <s v="00"/>
    <s v="124"/>
    <s v="16100-124"/>
    <s v="Synthesizer production item #124"/>
    <s v="UNIQUE"/>
    <n v="891"/>
    <n v="25"/>
    <n v="676"/>
    <n v="22275"/>
    <n v="16900"/>
  </r>
  <r>
    <x v="0"/>
    <x v="24"/>
    <x v="5"/>
    <n v="1"/>
    <n v="61"/>
    <s v="00"/>
    <s v="125"/>
    <s v="16100-125"/>
    <s v="Synthesizer production item #125"/>
    <s v="UNIQUE"/>
    <n v="583"/>
    <n v="8"/>
    <n v="49"/>
    <n v="4664"/>
    <n v="392"/>
  </r>
  <r>
    <x v="0"/>
    <x v="24"/>
    <x v="5"/>
    <n v="1"/>
    <n v="61"/>
    <s v="00"/>
    <s v="126"/>
    <s v="16100-126"/>
    <s v="Synthesizer production item #126"/>
    <s v="UNIQUE"/>
    <n v="929"/>
    <n v="343"/>
    <n v="18"/>
    <n v="318647"/>
    <n v="6174"/>
  </r>
  <r>
    <x v="0"/>
    <x v="24"/>
    <x v="5"/>
    <n v="1"/>
    <n v="61"/>
    <s v="00"/>
    <s v="127"/>
    <s v="16100-127"/>
    <s v="Synthesizer production item #127"/>
    <s v="UNIQUE"/>
    <n v="510"/>
    <n v="25"/>
    <n v="196"/>
    <n v="12750"/>
    <n v="4900"/>
  </r>
  <r>
    <x v="0"/>
    <x v="24"/>
    <x v="5"/>
    <n v="1"/>
    <n v="61"/>
    <s v="00"/>
    <s v="128"/>
    <s v="16100-128"/>
    <s v="Synthesizer production item #128"/>
    <s v="UNIQUE"/>
    <n v="5"/>
    <n v="1000"/>
    <n v="27000"/>
    <n v="5000"/>
    <n v="27000000"/>
  </r>
  <r>
    <x v="0"/>
    <x v="24"/>
    <x v="5"/>
    <n v="1"/>
    <n v="61"/>
    <s v="00"/>
    <s v="129"/>
    <s v="16100-129"/>
    <s v="Synthesizer production item #129"/>
    <s v="UNIQUE"/>
    <n v="6461"/>
    <n v="8"/>
    <n v="28"/>
    <n v="51688"/>
    <n v="224"/>
  </r>
  <r>
    <x v="0"/>
    <x v="24"/>
    <x v="5"/>
    <n v="1"/>
    <n v="61"/>
    <s v="00"/>
    <s v="130"/>
    <s v="16100-130"/>
    <s v="Synthesizer production item #130"/>
    <s v="UNIQUE"/>
    <n v="0"/>
    <n v="9"/>
    <n v="169"/>
    <n v="0"/>
    <n v="1521"/>
  </r>
  <r>
    <x v="0"/>
    <x v="24"/>
    <x v="5"/>
    <n v="1"/>
    <n v="61"/>
    <s v="00"/>
    <s v="131"/>
    <s v="16100-131"/>
    <s v="Synthesizer production item #131"/>
    <s v="UNIQUE"/>
    <n v="0"/>
    <n v="49"/>
    <n v="16"/>
    <n v="0"/>
    <n v="784"/>
  </r>
  <r>
    <x v="0"/>
    <x v="24"/>
    <x v="5"/>
    <n v="1"/>
    <n v="61"/>
    <s v="00"/>
    <s v="132"/>
    <s v="16100-132"/>
    <s v="Synthesizer production item #132"/>
    <s v="UNIQUE"/>
    <n v="4527"/>
    <n v="9"/>
    <n v="20"/>
    <n v="40743"/>
    <n v="180"/>
  </r>
  <r>
    <x v="0"/>
    <x v="24"/>
    <x v="5"/>
    <n v="1"/>
    <n v="61"/>
    <s v="00"/>
    <s v="133"/>
    <s v="16100-133"/>
    <s v="Synthesizer production item #133"/>
    <s v="UNIQUE"/>
    <n v="0"/>
    <n v="4"/>
    <n v="3375"/>
    <n v="0"/>
    <n v="13500"/>
  </r>
  <r>
    <x v="0"/>
    <x v="24"/>
    <x v="5"/>
    <n v="1"/>
    <n v="61"/>
    <s v="00"/>
    <s v="134"/>
    <s v="16100-134"/>
    <s v="Synthesizer production item #134"/>
    <s v="UNIQUE"/>
    <n v="460"/>
    <n v="125"/>
    <n v="28"/>
    <n v="57500"/>
    <n v="3500"/>
  </r>
  <r>
    <x v="0"/>
    <x v="24"/>
    <x v="5"/>
    <n v="1"/>
    <n v="61"/>
    <s v="00"/>
    <s v="135"/>
    <s v="16100-135"/>
    <s v="Synthesizer production item #135"/>
    <s v="UNIQUE"/>
    <n v="0"/>
    <n v="8"/>
    <n v="100"/>
    <n v="0"/>
    <n v="800"/>
  </r>
  <r>
    <x v="0"/>
    <x v="24"/>
    <x v="5"/>
    <n v="1"/>
    <n v="61"/>
    <s v="00"/>
    <s v="136"/>
    <s v="16100-136"/>
    <s v="Synthesizer production item #136"/>
    <s v="UNIQUE"/>
    <n v="162"/>
    <n v="216"/>
    <n v="343"/>
    <n v="34992"/>
    <n v="74088"/>
  </r>
  <r>
    <x v="0"/>
    <x v="24"/>
    <x v="5"/>
    <n v="1"/>
    <n v="61"/>
    <s v="00"/>
    <s v="137"/>
    <s v="16100-137"/>
    <s v="Synthesizer production item #137"/>
    <s v="UNIQUE"/>
    <n v="0"/>
    <n v="27"/>
    <n v="8000"/>
    <n v="0"/>
    <n v="216000"/>
  </r>
  <r>
    <x v="0"/>
    <x v="24"/>
    <x v="5"/>
    <n v="1"/>
    <n v="61"/>
    <s v="00"/>
    <s v="138"/>
    <s v="16100-138"/>
    <s v="Synthesizer production item #138"/>
    <s v="UNIQUE"/>
    <n v="348"/>
    <n v="81"/>
    <n v="5832"/>
    <n v="28188"/>
    <n v="472392"/>
  </r>
  <r>
    <x v="0"/>
    <x v="24"/>
    <x v="5"/>
    <n v="1"/>
    <n v="61"/>
    <s v="00"/>
    <s v="139"/>
    <s v="16100-139"/>
    <s v="Synthesizer production item #139"/>
    <s v="UNIQUE"/>
    <n v="0"/>
    <n v="8"/>
    <n v="0"/>
    <n v="0"/>
    <n v="0"/>
  </r>
  <r>
    <x v="0"/>
    <x v="24"/>
    <x v="5"/>
    <n v="1"/>
    <n v="61"/>
    <s v="00"/>
    <s v="140"/>
    <s v="16100-140"/>
    <s v="Synthesizer production item #140"/>
    <s v="UNIQUE"/>
    <n v="1"/>
    <n v="1"/>
    <n v="13824"/>
    <n v="1"/>
    <n v="13824"/>
  </r>
  <r>
    <x v="0"/>
    <x v="24"/>
    <x v="5"/>
    <n v="1"/>
    <n v="61"/>
    <s v="00"/>
    <s v="141"/>
    <s v="16100-141"/>
    <s v="Synthesizer production item #141"/>
    <s v="UNIQUE"/>
    <n v="0"/>
    <n v="1000"/>
    <n v="81"/>
    <n v="0"/>
    <n v="81000"/>
  </r>
  <r>
    <x v="0"/>
    <x v="24"/>
    <x v="5"/>
    <n v="1"/>
    <n v="61"/>
    <s v="00"/>
    <s v="142"/>
    <s v="16100-142"/>
    <s v="Synthesizer production item #142"/>
    <s v="UNIQUE"/>
    <n v="85"/>
    <n v="64"/>
    <n v="14"/>
    <n v="5440"/>
    <n v="896"/>
  </r>
  <r>
    <x v="0"/>
    <x v="24"/>
    <x v="5"/>
    <n v="1"/>
    <n v="61"/>
    <s v="00"/>
    <s v="143"/>
    <s v="16100-143"/>
    <s v="Synthesizer production item #143"/>
    <s v="UNIQUE"/>
    <n v="605"/>
    <n v="100"/>
    <n v="10648"/>
    <n v="60500"/>
    <n v="1064800"/>
  </r>
  <r>
    <x v="0"/>
    <x v="24"/>
    <x v="5"/>
    <n v="1"/>
    <n v="61"/>
    <s v="00"/>
    <s v="144"/>
    <s v="16100-144"/>
    <s v="Synthesizer production item #144"/>
    <s v="UNIQUE"/>
    <n v="308"/>
    <n v="4"/>
    <n v="23"/>
    <n v="1232"/>
    <n v="92"/>
  </r>
  <r>
    <x v="0"/>
    <x v="24"/>
    <x v="5"/>
    <n v="1"/>
    <n v="61"/>
    <s v="00"/>
    <s v="145"/>
    <s v="16100-145"/>
    <s v="Synthesizer production item #145"/>
    <s v="UNIQUE"/>
    <n v="4"/>
    <n v="9"/>
    <n v="529"/>
    <n v="36"/>
    <n v="4761"/>
  </r>
  <r>
    <x v="0"/>
    <x v="24"/>
    <x v="5"/>
    <n v="1"/>
    <n v="61"/>
    <s v="00"/>
    <s v="146"/>
    <s v="16100-146"/>
    <s v="Synthesizer production item #146"/>
    <s v="UNIQUE"/>
    <n v="0"/>
    <n v="49"/>
    <n v="8"/>
    <n v="0"/>
    <n v="392"/>
  </r>
  <r>
    <x v="0"/>
    <x v="24"/>
    <x v="5"/>
    <n v="1"/>
    <n v="61"/>
    <s v="00"/>
    <s v="147"/>
    <s v="16100-147"/>
    <s v="Synthesizer production item #147"/>
    <s v="UNIQUE"/>
    <n v="629"/>
    <n v="1"/>
    <n v="841"/>
    <n v="629"/>
    <n v="841"/>
  </r>
  <r>
    <x v="0"/>
    <x v="24"/>
    <x v="5"/>
    <n v="1"/>
    <n v="61"/>
    <s v="00"/>
    <s v="148"/>
    <s v="16100-148"/>
    <s v="Synthesizer production item #148"/>
    <s v="UNIQUE"/>
    <n v="1"/>
    <n v="1"/>
    <n v="14"/>
    <n v="1"/>
    <n v="14"/>
  </r>
  <r>
    <x v="0"/>
    <x v="24"/>
    <x v="5"/>
    <n v="1"/>
    <n v="61"/>
    <s v="00"/>
    <s v="149"/>
    <s v="16100-149"/>
    <s v="Synthesizer production item #149"/>
    <s v="UNIQUE"/>
    <n v="6"/>
    <n v="6"/>
    <n v="343"/>
    <n v="36"/>
    <n v="2058"/>
  </r>
  <r>
    <x v="0"/>
    <x v="24"/>
    <x v="5"/>
    <n v="1"/>
    <n v="61"/>
    <s v="00"/>
    <s v="150"/>
    <s v="16100-150"/>
    <s v="Synthesizer production item #150"/>
    <s v="UNIQUE"/>
    <n v="19"/>
    <n v="8"/>
    <n v="4096"/>
    <n v="152"/>
    <n v="32768"/>
  </r>
  <r>
    <x v="0"/>
    <x v="24"/>
    <x v="5"/>
    <n v="1"/>
    <n v="61"/>
    <s v="00"/>
    <s v="151"/>
    <s v="16100-151"/>
    <s v="Synthesizer production item #151"/>
    <s v="UNIQUE"/>
    <n v="0"/>
    <n v="8"/>
    <n v="4096"/>
    <n v="0"/>
    <n v="32768"/>
  </r>
  <r>
    <x v="0"/>
    <x v="24"/>
    <x v="5"/>
    <n v="1"/>
    <n v="61"/>
    <s v="00"/>
    <s v="152"/>
    <s v="16100-152"/>
    <s v="Synthesizer production item #152"/>
    <s v="UNIQUE"/>
    <n v="3"/>
    <n v="7"/>
    <n v="64"/>
    <n v="21"/>
    <n v="448"/>
  </r>
  <r>
    <x v="0"/>
    <x v="24"/>
    <x v="5"/>
    <n v="1"/>
    <n v="61"/>
    <s v="00"/>
    <s v="153"/>
    <s v="16100-153"/>
    <s v="Synthesizer production item #153"/>
    <s v="UNIQUE"/>
    <n v="0"/>
    <n v="36"/>
    <n v="169"/>
    <n v="0"/>
    <n v="6084"/>
  </r>
  <r>
    <x v="0"/>
    <x v="24"/>
    <x v="5"/>
    <n v="1"/>
    <n v="61"/>
    <s v="00"/>
    <s v="154"/>
    <s v="16100-154"/>
    <s v="Synthesizer production item #154"/>
    <s v="UNIQUE"/>
    <n v="104"/>
    <n v="100"/>
    <n v="16"/>
    <n v="10400"/>
    <n v="1600"/>
  </r>
  <r>
    <x v="0"/>
    <x v="24"/>
    <x v="5"/>
    <n v="1"/>
    <n v="61"/>
    <s v="00"/>
    <s v="155"/>
    <s v="16100-155"/>
    <s v="Synthesizer production item #155"/>
    <s v="UNIQUE"/>
    <n v="0"/>
    <n v="8"/>
    <n v="9"/>
    <n v="0"/>
    <n v="72"/>
  </r>
  <r>
    <x v="0"/>
    <x v="24"/>
    <x v="5"/>
    <n v="1"/>
    <n v="61"/>
    <s v="00"/>
    <s v="156"/>
    <s v="16100-156"/>
    <s v="Synthesizer production item #156"/>
    <s v="UNIQUE"/>
    <n v="76"/>
    <n v="64"/>
    <n v="26"/>
    <n v="4864"/>
    <n v="1664"/>
  </r>
  <r>
    <x v="0"/>
    <x v="24"/>
    <x v="5"/>
    <n v="1"/>
    <n v="61"/>
    <s v="00"/>
    <s v="157"/>
    <s v="16100-157"/>
    <s v="Synthesizer production item #157"/>
    <s v="UNIQUE"/>
    <n v="0"/>
    <n v="8"/>
    <n v="256"/>
    <n v="0"/>
    <n v="2048"/>
  </r>
  <r>
    <x v="0"/>
    <x v="24"/>
    <x v="5"/>
    <n v="1"/>
    <n v="61"/>
    <s v="00"/>
    <s v="158"/>
    <s v="16100-158"/>
    <s v="Synthesizer production item #158"/>
    <s v="UNIQUE"/>
    <n v="9"/>
    <n v="5"/>
    <n v="529"/>
    <n v="45"/>
    <n v="2645"/>
  </r>
  <r>
    <x v="0"/>
    <x v="24"/>
    <x v="5"/>
    <n v="1"/>
    <n v="61"/>
    <s v="00"/>
    <s v="159"/>
    <s v="16100-159"/>
    <s v="Synthesizer production item #159"/>
    <s v="UNIQUE"/>
    <n v="0"/>
    <n v="10"/>
    <n v="12167"/>
    <n v="0"/>
    <n v="121670"/>
  </r>
  <r>
    <x v="0"/>
    <x v="24"/>
    <x v="5"/>
    <n v="1"/>
    <n v="61"/>
    <s v="00"/>
    <s v="160"/>
    <s v="16100-160"/>
    <s v="Synthesizer production item #160"/>
    <s v="UNIQUE"/>
    <n v="0"/>
    <n v="36"/>
    <n v="17576"/>
    <n v="0"/>
    <n v="632736"/>
  </r>
  <r>
    <x v="0"/>
    <x v="24"/>
    <x v="5"/>
    <n v="1"/>
    <n v="61"/>
    <s v="00"/>
    <s v="161"/>
    <s v="16100-161"/>
    <s v="Synthesizer production item #161"/>
    <s v="UNIQUE"/>
    <n v="0"/>
    <n v="2"/>
    <n v="17576"/>
    <n v="0"/>
    <n v="35152"/>
  </r>
  <r>
    <x v="0"/>
    <x v="24"/>
    <x v="5"/>
    <n v="1"/>
    <n v="61"/>
    <s v="00"/>
    <s v="162"/>
    <s v="16100-162"/>
    <s v="Synthesizer production item #162"/>
    <s v="UNIQUE"/>
    <n v="0"/>
    <n v="27"/>
    <n v="27000"/>
    <n v="0"/>
    <n v="729000"/>
  </r>
  <r>
    <x v="0"/>
    <x v="24"/>
    <x v="5"/>
    <n v="1"/>
    <n v="61"/>
    <s v="00"/>
    <s v="163"/>
    <s v="16100-163"/>
    <s v="Synthesizer production item #163"/>
    <s v="UNIQUE"/>
    <n v="7"/>
    <n v="4"/>
    <n v="3375"/>
    <n v="28"/>
    <n v="13500"/>
  </r>
  <r>
    <x v="0"/>
    <x v="24"/>
    <x v="5"/>
    <n v="1"/>
    <n v="61"/>
    <s v="00"/>
    <s v="164"/>
    <s v="16100-164"/>
    <s v="Synthesizer production item #164"/>
    <s v="UNIQUE"/>
    <n v="5092"/>
    <n v="2"/>
    <n v="20"/>
    <n v="10184"/>
    <n v="40"/>
  </r>
  <r>
    <x v="0"/>
    <x v="24"/>
    <x v="5"/>
    <n v="1"/>
    <n v="61"/>
    <s v="00"/>
    <s v="165"/>
    <s v="16100-165"/>
    <s v="Synthesizer production item #165"/>
    <s v="UNIQUE"/>
    <n v="0"/>
    <n v="4"/>
    <n v="20"/>
    <n v="0"/>
    <n v="80"/>
  </r>
  <r>
    <x v="0"/>
    <x v="24"/>
    <x v="5"/>
    <n v="1"/>
    <n v="61"/>
    <s v="00"/>
    <s v="166"/>
    <s v="16100-166"/>
    <s v="Synthesizer production item #166"/>
    <s v="UNIQUE"/>
    <n v="35"/>
    <n v="125"/>
    <n v="256"/>
    <n v="4375"/>
    <n v="32000"/>
  </r>
  <r>
    <x v="0"/>
    <x v="24"/>
    <x v="5"/>
    <n v="1"/>
    <n v="61"/>
    <s v="00"/>
    <s v="167"/>
    <s v="16100-167"/>
    <s v="Synthesizer production item #167"/>
    <s v="UNIQUE"/>
    <n v="3219"/>
    <n v="64"/>
    <n v="27"/>
    <n v="206016"/>
    <n v="1728"/>
  </r>
  <r>
    <x v="0"/>
    <x v="24"/>
    <x v="5"/>
    <n v="1"/>
    <n v="61"/>
    <s v="00"/>
    <s v="168"/>
    <s v="16100-168"/>
    <s v="Synthesizer production item #168"/>
    <s v="UNIQUE"/>
    <n v="0"/>
    <n v="1"/>
    <n v="8000"/>
    <n v="0"/>
    <n v="8000"/>
  </r>
  <r>
    <x v="0"/>
    <x v="24"/>
    <x v="5"/>
    <n v="1"/>
    <n v="61"/>
    <s v="00"/>
    <s v="169"/>
    <s v="16100-169"/>
    <s v="Synthesizer production item #169"/>
    <s v="UNIQUE"/>
    <n v="0"/>
    <n v="1"/>
    <n v="125"/>
    <n v="0"/>
    <n v="125"/>
  </r>
  <r>
    <x v="0"/>
    <x v="24"/>
    <x v="5"/>
    <n v="1"/>
    <n v="61"/>
    <s v="00"/>
    <s v="170"/>
    <s v="16100-170"/>
    <s v="Synthesizer production item #170"/>
    <s v="UNIQUE"/>
    <n v="0"/>
    <n v="125"/>
    <n v="1"/>
    <n v="0"/>
    <n v="125"/>
  </r>
  <r>
    <x v="0"/>
    <x v="24"/>
    <x v="5"/>
    <n v="1"/>
    <n v="61"/>
    <s v="00"/>
    <s v="171"/>
    <s v="16100-171"/>
    <s v="Synthesizer production item #171"/>
    <s v="UNIQUE"/>
    <n v="0"/>
    <n v="5"/>
    <n v="17"/>
    <n v="0"/>
    <n v="85"/>
  </r>
  <r>
    <x v="0"/>
    <x v="24"/>
    <x v="5"/>
    <n v="1"/>
    <n v="61"/>
    <s v="00"/>
    <s v="172"/>
    <s v="16100-172"/>
    <s v="Synthesizer production item #172"/>
    <s v="UNIQUE"/>
    <n v="0"/>
    <n v="10"/>
    <n v="8000"/>
    <n v="0"/>
    <n v="80000"/>
  </r>
  <r>
    <x v="0"/>
    <x v="24"/>
    <x v="5"/>
    <n v="1"/>
    <n v="61"/>
    <s v="00"/>
    <s v="173"/>
    <s v="16100-173"/>
    <s v="Synthesizer production item #173"/>
    <s v="UNIQUE"/>
    <n v="0"/>
    <n v="9"/>
    <n v="484"/>
    <n v="0"/>
    <n v="4356"/>
  </r>
  <r>
    <x v="0"/>
    <x v="24"/>
    <x v="5"/>
    <n v="1"/>
    <n v="61"/>
    <s v="00"/>
    <s v="174"/>
    <s v="16100-174"/>
    <s v="Synthesizer production item #174"/>
    <s v="UNIQUE"/>
    <n v="0"/>
    <n v="5"/>
    <n v="529"/>
    <n v="0"/>
    <n v="2645"/>
  </r>
  <r>
    <x v="0"/>
    <x v="24"/>
    <x v="5"/>
    <n v="1"/>
    <n v="61"/>
    <s v="00"/>
    <s v="175"/>
    <s v="16100-175"/>
    <s v="Synthesizer production item #175"/>
    <s v="UNIQUE"/>
    <n v="0"/>
    <n v="64"/>
    <n v="30"/>
    <n v="0"/>
    <n v="1920"/>
  </r>
  <r>
    <x v="0"/>
    <x v="24"/>
    <x v="5"/>
    <n v="1"/>
    <n v="61"/>
    <s v="00"/>
    <s v="176"/>
    <s v="16100-176"/>
    <s v="Synthesizer production item #176"/>
    <s v="UNIQUE"/>
    <n v="0"/>
    <n v="64"/>
    <n v="17576"/>
    <n v="0"/>
    <n v="1124864"/>
  </r>
  <r>
    <x v="0"/>
    <x v="24"/>
    <x v="5"/>
    <n v="1"/>
    <n v="61"/>
    <s v="00"/>
    <s v="177"/>
    <s v="16100-177"/>
    <s v="Synthesizer production item #177"/>
    <s v="UNIQUE"/>
    <n v="0"/>
    <n v="9"/>
    <n v="1"/>
    <n v="0"/>
    <n v="9"/>
  </r>
  <r>
    <x v="0"/>
    <x v="24"/>
    <x v="5"/>
    <n v="1"/>
    <n v="61"/>
    <s v="00"/>
    <s v="178"/>
    <s v="16100-178"/>
    <s v="Synthesizer production item #178"/>
    <s v="UNIQUE"/>
    <n v="31"/>
    <n v="27"/>
    <n v="6859"/>
    <n v="837"/>
    <n v="185193"/>
  </r>
  <r>
    <x v="0"/>
    <x v="24"/>
    <x v="5"/>
    <n v="1"/>
    <n v="61"/>
    <s v="00"/>
    <s v="179"/>
    <s v="16100-179"/>
    <s v="Synthesizer production item #179"/>
    <s v="UNIQUE"/>
    <n v="0"/>
    <n v="16"/>
    <n v="5832"/>
    <n v="0"/>
    <n v="93312"/>
  </r>
  <r>
    <x v="0"/>
    <x v="24"/>
    <x v="5"/>
    <n v="1"/>
    <n v="61"/>
    <s v="00"/>
    <s v="180"/>
    <s v="16100-180"/>
    <s v="Synthesizer production item #180"/>
    <s v="UNIQUE"/>
    <n v="0"/>
    <n v="8"/>
    <n v="676"/>
    <n v="0"/>
    <n v="5408"/>
  </r>
  <r>
    <x v="0"/>
    <x v="24"/>
    <x v="5"/>
    <n v="1"/>
    <n v="61"/>
    <s v="00"/>
    <s v="181"/>
    <s v="16100-181"/>
    <s v="Synthesizer production item #181"/>
    <s v="UNIQUE"/>
    <n v="0"/>
    <n v="512"/>
    <n v="21"/>
    <n v="0"/>
    <n v="10752"/>
  </r>
  <r>
    <x v="0"/>
    <x v="24"/>
    <x v="5"/>
    <n v="1"/>
    <n v="61"/>
    <s v="00"/>
    <s v="182"/>
    <s v="16100-182"/>
    <s v="Synthesizer production item #182"/>
    <s v="UNIQUE"/>
    <n v="92"/>
    <n v="125"/>
    <n v="36"/>
    <n v="11500"/>
    <n v="4500"/>
  </r>
  <r>
    <x v="0"/>
    <x v="24"/>
    <x v="5"/>
    <n v="1"/>
    <n v="61"/>
    <s v="00"/>
    <s v="183"/>
    <s v="16100-183"/>
    <s v="Synthesizer production item #183"/>
    <s v="UNIQUE"/>
    <n v="0"/>
    <n v="1"/>
    <n v="324"/>
    <n v="0"/>
    <n v="324"/>
  </r>
  <r>
    <x v="0"/>
    <x v="24"/>
    <x v="5"/>
    <n v="1"/>
    <n v="61"/>
    <s v="00"/>
    <s v="184"/>
    <s v="16100-184"/>
    <s v="Synthesizer production item #184"/>
    <s v="UNIQUE"/>
    <n v="0"/>
    <n v="9"/>
    <n v="512"/>
    <n v="0"/>
    <n v="4608"/>
  </r>
  <r>
    <x v="0"/>
    <x v="24"/>
    <x v="5"/>
    <n v="1"/>
    <n v="61"/>
    <s v="00"/>
    <s v="185"/>
    <s v="16100-185"/>
    <s v="Synthesizer production item #185"/>
    <s v="UNIQUE"/>
    <n v="63"/>
    <n v="9"/>
    <n v="8000"/>
    <n v="567"/>
    <n v="72000"/>
  </r>
  <r>
    <x v="0"/>
    <x v="24"/>
    <x v="5"/>
    <n v="1"/>
    <n v="61"/>
    <s v="00"/>
    <s v="186"/>
    <s v="16100-186"/>
    <s v="Synthesizer production item #186"/>
    <s v="UNIQUE"/>
    <n v="0"/>
    <n v="64"/>
    <n v="64"/>
    <n v="0"/>
    <n v="4096"/>
  </r>
  <r>
    <x v="0"/>
    <x v="24"/>
    <x v="5"/>
    <n v="1"/>
    <n v="61"/>
    <s v="00"/>
    <s v="187"/>
    <s v="16100-187"/>
    <s v="Synthesizer production item #187"/>
    <s v="UNIQUE"/>
    <n v="797"/>
    <n v="343"/>
    <n v="24389"/>
    <n v="273371"/>
    <n v="8365427"/>
  </r>
  <r>
    <x v="0"/>
    <x v="24"/>
    <x v="5"/>
    <n v="1"/>
    <n v="61"/>
    <s v="00"/>
    <s v="188"/>
    <s v="16100-188"/>
    <s v="Synthesizer production item #188"/>
    <s v="UNIQUE"/>
    <n v="0"/>
    <n v="1"/>
    <n v="13824"/>
    <n v="0"/>
    <n v="13824"/>
  </r>
  <r>
    <x v="0"/>
    <x v="24"/>
    <x v="5"/>
    <n v="1"/>
    <n v="61"/>
    <s v="00"/>
    <s v="189"/>
    <s v="16100-189"/>
    <s v="Synthesizer production item #189"/>
    <s v="UNIQUE"/>
    <n v="0"/>
    <n v="125"/>
    <n v="8"/>
    <n v="0"/>
    <n v="1000"/>
  </r>
  <r>
    <x v="0"/>
    <x v="24"/>
    <x v="5"/>
    <n v="1"/>
    <n v="61"/>
    <s v="00"/>
    <s v="190"/>
    <s v="16100-190"/>
    <s v="Synthesizer production item #190"/>
    <s v="UNIQUE"/>
    <n v="0"/>
    <n v="4"/>
    <n v="10648"/>
    <n v="0"/>
    <n v="42592"/>
  </r>
  <r>
    <x v="0"/>
    <x v="24"/>
    <x v="5"/>
    <n v="1"/>
    <n v="61"/>
    <s v="00"/>
    <s v="191"/>
    <s v="16100-191"/>
    <s v="Synthesizer production item #191"/>
    <s v="UNIQUE"/>
    <n v="0"/>
    <n v="6"/>
    <n v="21"/>
    <n v="0"/>
    <n v="126"/>
  </r>
  <r>
    <x v="0"/>
    <x v="24"/>
    <x v="5"/>
    <n v="1"/>
    <n v="61"/>
    <s v="00"/>
    <s v="192"/>
    <s v="16100-192"/>
    <s v="Synthesizer production item #192"/>
    <s v="UNIQUE"/>
    <n v="164"/>
    <n v="125"/>
    <n v="900"/>
    <n v="20500"/>
    <n v="112500"/>
  </r>
  <r>
    <x v="0"/>
    <x v="24"/>
    <x v="5"/>
    <n v="1"/>
    <n v="61"/>
    <s v="00"/>
    <s v="193"/>
    <s v="16100-193"/>
    <s v="Synthesizer production item #193"/>
    <s v="UNIQUE"/>
    <n v="528"/>
    <n v="125"/>
    <n v="729"/>
    <n v="66000"/>
    <n v="91125"/>
  </r>
  <r>
    <x v="0"/>
    <x v="24"/>
    <x v="5"/>
    <n v="1"/>
    <n v="61"/>
    <s v="00"/>
    <s v="194"/>
    <s v="16100-194"/>
    <s v="Synthesizer production item #194"/>
    <s v="UNIQUE"/>
    <n v="0"/>
    <n v="125"/>
    <n v="1331"/>
    <n v="0"/>
    <n v="166375"/>
  </r>
  <r>
    <x v="0"/>
    <x v="24"/>
    <x v="5"/>
    <n v="1"/>
    <n v="61"/>
    <s v="00"/>
    <s v="195"/>
    <s v="16100-195"/>
    <s v="Synthesizer production item #195"/>
    <s v="UNIQUE"/>
    <n v="97"/>
    <n v="16"/>
    <n v="22"/>
    <n v="1552"/>
    <n v="352"/>
  </r>
  <r>
    <x v="0"/>
    <x v="24"/>
    <x v="5"/>
    <n v="1"/>
    <n v="61"/>
    <s v="00"/>
    <s v="196"/>
    <s v="16100-196"/>
    <s v="Synthesizer production item #196"/>
    <s v="UNIQUE"/>
    <n v="4612"/>
    <n v="1"/>
    <n v="8"/>
    <n v="4612"/>
    <n v="8"/>
  </r>
  <r>
    <x v="0"/>
    <x v="24"/>
    <x v="5"/>
    <n v="1"/>
    <n v="61"/>
    <s v="00"/>
    <s v="197"/>
    <s v="16100-197"/>
    <s v="Synthesizer production item #197"/>
    <s v="UNIQUE"/>
    <n v="0"/>
    <n v="3"/>
    <n v="27000"/>
    <n v="0"/>
    <n v="81000"/>
  </r>
  <r>
    <x v="0"/>
    <x v="24"/>
    <x v="5"/>
    <n v="1"/>
    <n v="61"/>
    <s v="00"/>
    <s v="198"/>
    <s v="16100-198"/>
    <s v="Synthesizer production item #198"/>
    <s v="UNIQUE"/>
    <n v="0"/>
    <n v="4"/>
    <n v="841"/>
    <n v="0"/>
    <n v="3364"/>
  </r>
  <r>
    <x v="0"/>
    <x v="24"/>
    <x v="5"/>
    <n v="1"/>
    <n v="61"/>
    <s v="00"/>
    <s v="199"/>
    <s v="16100-199"/>
    <s v="Synthesizer production item #199"/>
    <s v="UNIQUE"/>
    <n v="0"/>
    <n v="10"/>
    <n v="6859"/>
    <n v="0"/>
    <n v="68590"/>
  </r>
  <r>
    <x v="0"/>
    <x v="24"/>
    <x v="5"/>
    <n v="1"/>
    <n v="61"/>
    <s v="00"/>
    <s v="200"/>
    <s v="16100-200"/>
    <s v="Synthesizer production item #200"/>
    <s v="UNIQUE"/>
    <n v="0"/>
    <n v="6"/>
    <n v="17576"/>
    <n v="0"/>
    <n v="105456"/>
  </r>
  <r>
    <x v="0"/>
    <x v="24"/>
    <x v="5"/>
    <n v="1"/>
    <n v="61"/>
    <s v="00"/>
    <s v="201"/>
    <s v="16100-201"/>
    <s v="Synthesizer production item #201"/>
    <s v="UNIQUE"/>
    <n v="89"/>
    <n v="64"/>
    <n v="9"/>
    <n v="5696"/>
    <n v="576"/>
  </r>
  <r>
    <x v="0"/>
    <x v="24"/>
    <x v="5"/>
    <n v="1"/>
    <n v="61"/>
    <s v="00"/>
    <s v="202"/>
    <s v="16100-202"/>
    <s v="Synthesizer production item #202"/>
    <s v="UNIQUE"/>
    <n v="0"/>
    <n v="100"/>
    <n v="0"/>
    <n v="0"/>
    <n v="0"/>
  </r>
  <r>
    <x v="0"/>
    <x v="24"/>
    <x v="5"/>
    <n v="1"/>
    <n v="61"/>
    <s v="00"/>
    <s v="203"/>
    <s v="16100-203"/>
    <s v="Synthesizer production item #203"/>
    <s v="UNIQUE"/>
    <n v="1"/>
    <n v="49"/>
    <n v="2744"/>
    <n v="49"/>
    <n v="134456"/>
  </r>
  <r>
    <x v="0"/>
    <x v="24"/>
    <x v="5"/>
    <n v="1"/>
    <n v="61"/>
    <s v="00"/>
    <s v="204"/>
    <s v="16100-204"/>
    <s v="Synthesizer production item #204"/>
    <s v="UNIQUE"/>
    <n v="1"/>
    <n v="36"/>
    <n v="9"/>
    <n v="36"/>
    <n v="324"/>
  </r>
  <r>
    <x v="0"/>
    <x v="24"/>
    <x v="5"/>
    <n v="1"/>
    <n v="61"/>
    <s v="00"/>
    <s v="205"/>
    <s v="16100-205"/>
    <s v="Synthesizer production item #205"/>
    <s v="UNIQUE"/>
    <n v="0"/>
    <n v="25"/>
    <n v="19"/>
    <n v="0"/>
    <n v="475"/>
  </r>
  <r>
    <x v="0"/>
    <x v="24"/>
    <x v="5"/>
    <n v="1"/>
    <n v="61"/>
    <s v="00"/>
    <s v="206"/>
    <s v="16100-206"/>
    <s v="Synthesizer production item #206"/>
    <s v="UNIQUE"/>
    <n v="0"/>
    <n v="64"/>
    <n v="25"/>
    <n v="0"/>
    <n v="1600"/>
  </r>
  <r>
    <x v="0"/>
    <x v="24"/>
    <x v="5"/>
    <n v="1"/>
    <n v="61"/>
    <s v="00"/>
    <s v="207"/>
    <s v="16100-207"/>
    <s v="Synthesizer production item #207"/>
    <s v="UNIQUE"/>
    <n v="0"/>
    <n v="2"/>
    <n v="10"/>
    <n v="0"/>
    <n v="20"/>
  </r>
  <r>
    <x v="0"/>
    <x v="24"/>
    <x v="5"/>
    <n v="1"/>
    <n v="61"/>
    <s v="00"/>
    <s v="208"/>
    <s v="16100-208"/>
    <s v="Synthesizer production item #208"/>
    <s v="UNIQUE"/>
    <n v="0"/>
    <n v="4"/>
    <n v="21952"/>
    <n v="0"/>
    <n v="87808"/>
  </r>
  <r>
    <x v="0"/>
    <x v="24"/>
    <x v="5"/>
    <n v="1"/>
    <n v="61"/>
    <s v="00"/>
    <s v="209"/>
    <s v="16100-209"/>
    <s v="Synthesizer production item #209"/>
    <s v="UNIQUE"/>
    <n v="0"/>
    <n v="8"/>
    <n v="36"/>
    <n v="0"/>
    <n v="288"/>
  </r>
  <r>
    <x v="0"/>
    <x v="24"/>
    <x v="5"/>
    <n v="1"/>
    <n v="61"/>
    <s v="00"/>
    <s v="210"/>
    <s v="16100-210"/>
    <s v="Synthesizer production item #210"/>
    <s v="UNIQUE"/>
    <n v="81"/>
    <n v="1"/>
    <n v="17"/>
    <n v="81"/>
    <n v="17"/>
  </r>
  <r>
    <x v="0"/>
    <x v="24"/>
    <x v="5"/>
    <n v="1"/>
    <n v="61"/>
    <s v="00"/>
    <s v="211"/>
    <s v="16100-211"/>
    <s v="Synthesizer production item #211"/>
    <s v="UNIQUE"/>
    <n v="551"/>
    <n v="27"/>
    <n v="15"/>
    <n v="14877"/>
    <n v="405"/>
  </r>
  <r>
    <x v="0"/>
    <x v="24"/>
    <x v="5"/>
    <n v="1"/>
    <n v="61"/>
    <s v="00"/>
    <s v="212"/>
    <s v="16100-212"/>
    <s v="Synthesizer production item #212"/>
    <s v="UNIQUE"/>
    <n v="0"/>
    <n v="10"/>
    <n v="8000"/>
    <n v="0"/>
    <n v="80000"/>
  </r>
  <r>
    <x v="0"/>
    <x v="24"/>
    <x v="5"/>
    <n v="1"/>
    <n v="61"/>
    <s v="00"/>
    <s v="213"/>
    <s v="16100-213"/>
    <s v="Synthesizer production item #213"/>
    <s v="UNIQUE"/>
    <n v="0"/>
    <n v="1"/>
    <n v="29"/>
    <n v="0"/>
    <n v="29"/>
  </r>
  <r>
    <x v="0"/>
    <x v="24"/>
    <x v="5"/>
    <n v="1"/>
    <n v="61"/>
    <s v="00"/>
    <s v="214"/>
    <s v="16100-214"/>
    <s v="Synthesizer production item #214"/>
    <s v="UNIQUE"/>
    <n v="552"/>
    <n v="2"/>
    <n v="529"/>
    <n v="1104"/>
    <n v="1058"/>
  </r>
  <r>
    <x v="0"/>
    <x v="24"/>
    <x v="5"/>
    <n v="1"/>
    <n v="61"/>
    <s v="00"/>
    <s v="215"/>
    <s v="16100-215"/>
    <s v="Synthesizer production item #215"/>
    <s v="UNIQUE"/>
    <n v="7326"/>
    <n v="64"/>
    <n v="441"/>
    <n v="468864"/>
    <n v="28224"/>
  </r>
  <r>
    <x v="0"/>
    <x v="24"/>
    <x v="5"/>
    <n v="1"/>
    <n v="61"/>
    <s v="00"/>
    <s v="216"/>
    <s v="16100-216"/>
    <s v="Synthesizer production item #216"/>
    <s v="UNIQUE"/>
    <n v="0"/>
    <n v="4"/>
    <n v="20"/>
    <n v="0"/>
    <n v="80"/>
  </r>
  <r>
    <x v="0"/>
    <x v="24"/>
    <x v="5"/>
    <n v="1"/>
    <n v="61"/>
    <s v="00"/>
    <s v="217"/>
    <s v="16100-217"/>
    <s v="Synthesizer production item #217"/>
    <s v="UNIQUE"/>
    <n v="0"/>
    <n v="4"/>
    <n v="5832"/>
    <n v="0"/>
    <n v="23328"/>
  </r>
  <r>
    <x v="0"/>
    <x v="24"/>
    <x v="5"/>
    <n v="1"/>
    <n v="61"/>
    <s v="00"/>
    <s v="218"/>
    <s v="16100-218"/>
    <s v="Synthesizer production item #218"/>
    <s v="UNIQUE"/>
    <n v="3"/>
    <n v="9"/>
    <n v="21"/>
    <n v="27"/>
    <n v="189"/>
  </r>
  <r>
    <x v="0"/>
    <x v="24"/>
    <x v="5"/>
    <n v="1"/>
    <n v="61"/>
    <s v="00"/>
    <s v="219"/>
    <s v="16100-219"/>
    <s v="Synthesizer production item #219"/>
    <s v="UNIQUE"/>
    <n v="0"/>
    <n v="81"/>
    <n v="1000"/>
    <n v="0"/>
    <n v="81000"/>
  </r>
  <r>
    <x v="0"/>
    <x v="24"/>
    <x v="5"/>
    <n v="1"/>
    <n v="61"/>
    <s v="00"/>
    <s v="220"/>
    <s v="16100-220"/>
    <s v="Synthesizer production item #220"/>
    <s v="UNIQUE"/>
    <n v="0"/>
    <n v="1000"/>
    <n v="216"/>
    <n v="0"/>
    <n v="216000"/>
  </r>
  <r>
    <x v="0"/>
    <x v="24"/>
    <x v="5"/>
    <n v="1"/>
    <n v="61"/>
    <s v="00"/>
    <s v="221"/>
    <s v="16100-221"/>
    <s v="Synthesizer production item #221"/>
    <s v="UNIQUE"/>
    <n v="0"/>
    <n v="1000"/>
    <n v="729"/>
    <n v="0"/>
    <n v="729000"/>
  </r>
  <r>
    <x v="0"/>
    <x v="24"/>
    <x v="5"/>
    <n v="1"/>
    <n v="61"/>
    <s v="00"/>
    <s v="222"/>
    <s v="16100-222"/>
    <s v="Synthesizer production item #222"/>
    <s v="UNIQUE"/>
    <n v="99"/>
    <n v="4"/>
    <n v="14"/>
    <n v="396"/>
    <n v="56"/>
  </r>
  <r>
    <x v="0"/>
    <x v="24"/>
    <x v="5"/>
    <n v="1"/>
    <n v="61"/>
    <s v="00"/>
    <s v="223"/>
    <s v="16100-223"/>
    <s v="Synthesizer production item #223"/>
    <s v="UNIQUE"/>
    <n v="1"/>
    <n v="27"/>
    <n v="13824"/>
    <n v="27"/>
    <n v="373248"/>
  </r>
  <r>
    <x v="0"/>
    <x v="24"/>
    <x v="5"/>
    <n v="1"/>
    <n v="61"/>
    <s v="00"/>
    <s v="224"/>
    <s v="16100-224"/>
    <s v="Synthesizer production item #224"/>
    <s v="UNIQUE"/>
    <n v="66"/>
    <n v="100"/>
    <n v="25"/>
    <n v="6600"/>
    <n v="2500"/>
  </r>
  <r>
    <x v="0"/>
    <x v="24"/>
    <x v="5"/>
    <n v="1"/>
    <n v="61"/>
    <s v="00"/>
    <s v="225"/>
    <s v="16100-225"/>
    <s v="Synthesizer production item #225"/>
    <s v="UNIQUE"/>
    <n v="0"/>
    <n v="64"/>
    <n v="11"/>
    <n v="0"/>
    <n v="704"/>
  </r>
  <r>
    <x v="0"/>
    <x v="24"/>
    <x v="5"/>
    <n v="1"/>
    <n v="61"/>
    <s v="00"/>
    <s v="226"/>
    <s v="16100-226"/>
    <s v="Synthesizer production item #226"/>
    <s v="UNIQUE"/>
    <n v="0"/>
    <n v="64"/>
    <n v="20"/>
    <n v="0"/>
    <n v="1280"/>
  </r>
  <r>
    <x v="0"/>
    <x v="24"/>
    <x v="5"/>
    <n v="1"/>
    <n v="61"/>
    <s v="00"/>
    <s v="227"/>
    <s v="16100-227"/>
    <s v="Synthesizer production item #227"/>
    <s v="UNIQUE"/>
    <n v="0"/>
    <n v="1"/>
    <n v="17"/>
    <n v="0"/>
    <n v="17"/>
  </r>
  <r>
    <x v="0"/>
    <x v="24"/>
    <x v="5"/>
    <n v="1"/>
    <n v="61"/>
    <s v="00"/>
    <s v="228"/>
    <s v="16100-228"/>
    <s v="Synthesizer production item #228"/>
    <s v="UNIQUE"/>
    <n v="5"/>
    <n v="125"/>
    <n v="25"/>
    <n v="625"/>
    <n v="3125"/>
  </r>
  <r>
    <x v="0"/>
    <x v="24"/>
    <x v="5"/>
    <n v="1"/>
    <n v="61"/>
    <s v="00"/>
    <s v="229"/>
    <s v="16100-229"/>
    <s v="Synthesizer production item #229"/>
    <s v="UNIQUE"/>
    <n v="0"/>
    <n v="343"/>
    <n v="36"/>
    <n v="0"/>
    <n v="12348"/>
  </r>
  <r>
    <x v="0"/>
    <x v="24"/>
    <x v="5"/>
    <n v="1"/>
    <n v="61"/>
    <s v="00"/>
    <s v="230"/>
    <s v="16100-230"/>
    <s v="Synthesizer production item #230"/>
    <s v="UNIQUE"/>
    <n v="0"/>
    <n v="1"/>
    <n v="21"/>
    <n v="0"/>
    <n v="21"/>
  </r>
  <r>
    <x v="0"/>
    <x v="24"/>
    <x v="5"/>
    <n v="1"/>
    <n v="61"/>
    <s v="00"/>
    <s v="231"/>
    <s v="16100-231"/>
    <s v="Synthesizer production item #231"/>
    <s v="UNIQUE"/>
    <n v="0"/>
    <n v="81"/>
    <n v="529"/>
    <n v="0"/>
    <n v="42849"/>
  </r>
  <r>
    <x v="0"/>
    <x v="24"/>
    <x v="5"/>
    <n v="1"/>
    <n v="61"/>
    <s v="00"/>
    <s v="232"/>
    <s v="16100-232"/>
    <s v="Synthesizer production item #232"/>
    <s v="UNIQUE"/>
    <n v="6"/>
    <n v="1"/>
    <n v="3375"/>
    <n v="6"/>
    <n v="3375"/>
  </r>
  <r>
    <x v="0"/>
    <x v="24"/>
    <x v="5"/>
    <n v="1"/>
    <n v="61"/>
    <s v="00"/>
    <s v="233"/>
    <s v="16100-233"/>
    <s v="Synthesizer production item #233"/>
    <s v="UNIQUE"/>
    <n v="0"/>
    <n v="1"/>
    <n v="22"/>
    <n v="0"/>
    <n v="22"/>
  </r>
  <r>
    <x v="0"/>
    <x v="24"/>
    <x v="5"/>
    <n v="1"/>
    <n v="61"/>
    <s v="00"/>
    <s v="234"/>
    <s v="16100-234"/>
    <s v="Synthesizer production item #234"/>
    <s v="UNIQUE"/>
    <n v="0"/>
    <n v="25"/>
    <n v="23"/>
    <n v="0"/>
    <n v="575"/>
  </r>
  <r>
    <x v="0"/>
    <x v="24"/>
    <x v="5"/>
    <n v="1"/>
    <n v="61"/>
    <s v="00"/>
    <s v="235"/>
    <s v="16100-235"/>
    <s v="Synthesizer production item #235"/>
    <s v="UNIQUE"/>
    <n v="0"/>
    <n v="125"/>
    <n v="100"/>
    <n v="0"/>
    <n v="12500"/>
  </r>
  <r>
    <x v="0"/>
    <x v="24"/>
    <x v="5"/>
    <n v="1"/>
    <n v="61"/>
    <s v="00"/>
    <s v="236"/>
    <s v="16100-236"/>
    <s v="Synthesizer production item #236"/>
    <s v="UNIQUE"/>
    <n v="0"/>
    <n v="4"/>
    <n v="2"/>
    <n v="0"/>
    <n v="8"/>
  </r>
  <r>
    <x v="0"/>
    <x v="24"/>
    <x v="5"/>
    <n v="1"/>
    <n v="61"/>
    <s v="00"/>
    <s v="237"/>
    <s v="16100-237"/>
    <s v="Synthesizer production item #237"/>
    <s v="UNIQUE"/>
    <n v="0"/>
    <n v="9"/>
    <n v="6"/>
    <n v="0"/>
    <n v="54"/>
  </r>
  <r>
    <x v="0"/>
    <x v="24"/>
    <x v="5"/>
    <n v="1"/>
    <n v="61"/>
    <s v="00"/>
    <s v="238"/>
    <s v="16100-238"/>
    <s v="Synthesizer production item #238"/>
    <s v="UNIQUE"/>
    <n v="62"/>
    <n v="125"/>
    <n v="576"/>
    <n v="7750"/>
    <n v="72000"/>
  </r>
  <r>
    <x v="0"/>
    <x v="24"/>
    <x v="5"/>
    <n v="1"/>
    <n v="61"/>
    <s v="00"/>
    <s v="239"/>
    <s v="16100-239"/>
    <s v="Synthesizer production item #239"/>
    <s v="UNIQUE"/>
    <n v="52"/>
    <n v="9"/>
    <n v="8000"/>
    <n v="468"/>
    <n v="72000"/>
  </r>
  <r>
    <x v="0"/>
    <x v="24"/>
    <x v="5"/>
    <n v="1"/>
    <n v="61"/>
    <s v="00"/>
    <s v="240"/>
    <s v="16100-240"/>
    <s v="Synthesizer production item #240"/>
    <s v="UNIQUE"/>
    <n v="42"/>
    <n v="64"/>
    <n v="625"/>
    <n v="2688"/>
    <n v="40000"/>
  </r>
  <r>
    <x v="0"/>
    <x v="24"/>
    <x v="5"/>
    <n v="1"/>
    <n v="61"/>
    <s v="00"/>
    <s v="241"/>
    <s v="16100-241"/>
    <s v="Synthesizer production item #241"/>
    <s v="UNIQUE"/>
    <n v="5"/>
    <n v="729"/>
    <n v="49"/>
    <n v="3645"/>
    <n v="35721"/>
  </r>
  <r>
    <x v="0"/>
    <x v="24"/>
    <x v="5"/>
    <n v="1"/>
    <n v="61"/>
    <s v="00"/>
    <s v="242"/>
    <s v="16100-242"/>
    <s v="Synthesizer production item #242"/>
    <s v="UNIQUE"/>
    <n v="0"/>
    <n v="1"/>
    <n v="2197"/>
    <n v="0"/>
    <n v="2197"/>
  </r>
  <r>
    <x v="0"/>
    <x v="24"/>
    <x v="5"/>
    <n v="1"/>
    <n v="61"/>
    <s v="00"/>
    <s v="243"/>
    <s v="16100-243"/>
    <s v="Synthesizer production item #243"/>
    <s v="UNIQUE"/>
    <n v="0"/>
    <n v="25"/>
    <n v="2744"/>
    <n v="0"/>
    <n v="68600"/>
  </r>
  <r>
    <x v="0"/>
    <x v="24"/>
    <x v="5"/>
    <n v="1"/>
    <n v="61"/>
    <s v="00"/>
    <s v="244"/>
    <s v="16100-244"/>
    <s v="Synthesizer production item #244"/>
    <s v="UNIQUE"/>
    <n v="1"/>
    <n v="512"/>
    <n v="121"/>
    <n v="512"/>
    <n v="61952"/>
  </r>
  <r>
    <x v="0"/>
    <x v="24"/>
    <x v="5"/>
    <n v="1"/>
    <n v="61"/>
    <s v="00"/>
    <s v="245"/>
    <s v="16100-245"/>
    <s v="Synthesizer production item #245"/>
    <s v="UNIQUE"/>
    <n v="626"/>
    <n v="125"/>
    <n v="13824"/>
    <n v="78250"/>
    <n v="1728000"/>
  </r>
  <r>
    <x v="0"/>
    <x v="24"/>
    <x v="5"/>
    <n v="1"/>
    <n v="61"/>
    <s v="00"/>
    <s v="246"/>
    <s v="16100-246"/>
    <s v="Synthesizer production item #246"/>
    <s v="UNIQUE"/>
    <n v="0"/>
    <n v="729"/>
    <n v="12167"/>
    <n v="0"/>
    <n v="8869743"/>
  </r>
  <r>
    <x v="0"/>
    <x v="24"/>
    <x v="5"/>
    <n v="1"/>
    <n v="61"/>
    <s v="00"/>
    <s v="247"/>
    <s v="16100-247"/>
    <s v="Synthesizer production item #247"/>
    <s v="UNIQUE"/>
    <n v="0"/>
    <n v="1"/>
    <n v="8"/>
    <n v="0"/>
    <n v="8"/>
  </r>
  <r>
    <x v="0"/>
    <x v="24"/>
    <x v="5"/>
    <n v="1"/>
    <n v="61"/>
    <s v="00"/>
    <s v="248"/>
    <s v="16100-248"/>
    <s v="Synthesizer production item #248"/>
    <s v="UNIQUE"/>
    <n v="18"/>
    <n v="125"/>
    <n v="9261"/>
    <n v="2250"/>
    <n v="1157625"/>
  </r>
  <r>
    <x v="0"/>
    <x v="24"/>
    <x v="5"/>
    <n v="1"/>
    <n v="61"/>
    <s v="00"/>
    <s v="249"/>
    <s v="16100-249"/>
    <s v="Synthesizer production item #249"/>
    <s v="UNIQUE"/>
    <n v="423"/>
    <n v="81"/>
    <n v="729"/>
    <n v="34263"/>
    <n v="59049"/>
  </r>
  <r>
    <x v="0"/>
    <x v="25"/>
    <x v="5"/>
    <n v="1"/>
    <n v="62"/>
    <s v="00"/>
    <s v="000"/>
    <s v="16200-000"/>
    <s v="Software production item #000"/>
    <s v="UNIQUE"/>
    <n v="0"/>
    <n v="6"/>
    <n v="15"/>
    <n v="0"/>
    <n v="90"/>
  </r>
  <r>
    <x v="0"/>
    <x v="25"/>
    <x v="5"/>
    <n v="1"/>
    <n v="62"/>
    <s v="00"/>
    <s v="001"/>
    <s v="16200-001"/>
    <s v="Software production item #001"/>
    <s v="UNIQUE"/>
    <n v="51"/>
    <n v="6"/>
    <n v="1000"/>
    <n v="306"/>
    <n v="6000"/>
  </r>
  <r>
    <x v="0"/>
    <x v="25"/>
    <x v="5"/>
    <n v="1"/>
    <n v="62"/>
    <s v="00"/>
    <s v="002"/>
    <s v="16200-002"/>
    <s v="Software production item #002"/>
    <s v="UNIQUE"/>
    <n v="0"/>
    <n v="2"/>
    <n v="4"/>
    <n v="0"/>
    <n v="8"/>
  </r>
  <r>
    <x v="0"/>
    <x v="25"/>
    <x v="5"/>
    <n v="1"/>
    <n v="62"/>
    <s v="00"/>
    <s v="003"/>
    <s v="16200-003"/>
    <s v="Software production item #003"/>
    <s v="UNIQUE"/>
    <n v="56"/>
    <n v="343"/>
    <n v="21"/>
    <n v="19208"/>
    <n v="7203"/>
  </r>
  <r>
    <x v="0"/>
    <x v="25"/>
    <x v="5"/>
    <n v="1"/>
    <n v="62"/>
    <s v="00"/>
    <s v="004"/>
    <s v="16200-004"/>
    <s v="Software production item #004"/>
    <s v="UNIQUE"/>
    <n v="4"/>
    <n v="10"/>
    <n v="625"/>
    <n v="40"/>
    <n v="6250"/>
  </r>
  <r>
    <x v="0"/>
    <x v="25"/>
    <x v="5"/>
    <n v="1"/>
    <n v="62"/>
    <s v="00"/>
    <s v="005"/>
    <s v="16200-005"/>
    <s v="Software production item #005"/>
    <s v="UNIQUE"/>
    <n v="0"/>
    <n v="36"/>
    <n v="0"/>
    <n v="0"/>
    <n v="0"/>
  </r>
  <r>
    <x v="0"/>
    <x v="25"/>
    <x v="5"/>
    <n v="1"/>
    <n v="62"/>
    <s v="00"/>
    <s v="006"/>
    <s v="16200-006"/>
    <s v="Software production item #006"/>
    <s v="UNIQUE"/>
    <n v="0"/>
    <n v="64"/>
    <n v="3"/>
    <n v="0"/>
    <n v="192"/>
  </r>
  <r>
    <x v="0"/>
    <x v="25"/>
    <x v="5"/>
    <n v="1"/>
    <n v="62"/>
    <s v="00"/>
    <s v="007"/>
    <s v="16200-007"/>
    <s v="Software production item #007"/>
    <s v="UNIQUE"/>
    <n v="0"/>
    <n v="1"/>
    <n v="9"/>
    <n v="0"/>
    <n v="9"/>
  </r>
  <r>
    <x v="0"/>
    <x v="25"/>
    <x v="5"/>
    <n v="1"/>
    <n v="62"/>
    <s v="00"/>
    <s v="008"/>
    <s v="16200-008"/>
    <s v="Software production item #008"/>
    <s v="UNIQUE"/>
    <n v="0"/>
    <n v="512"/>
    <n v="225"/>
    <n v="0"/>
    <n v="115200"/>
  </r>
  <r>
    <x v="0"/>
    <x v="25"/>
    <x v="5"/>
    <n v="1"/>
    <n v="62"/>
    <s v="00"/>
    <s v="009"/>
    <s v="16200-009"/>
    <s v="Software production item #009"/>
    <s v="UNIQUE"/>
    <n v="1"/>
    <n v="1"/>
    <n v="6"/>
    <n v="1"/>
    <n v="6"/>
  </r>
  <r>
    <x v="0"/>
    <x v="25"/>
    <x v="5"/>
    <n v="1"/>
    <n v="62"/>
    <s v="00"/>
    <s v="010"/>
    <s v="16200-010"/>
    <s v="Software production item #010"/>
    <s v="UNIQUE"/>
    <n v="663"/>
    <n v="125"/>
    <n v="8"/>
    <n v="82875"/>
    <n v="1000"/>
  </r>
  <r>
    <x v="0"/>
    <x v="25"/>
    <x v="5"/>
    <n v="1"/>
    <n v="62"/>
    <s v="00"/>
    <s v="011"/>
    <s v="16200-011"/>
    <s v="Software production item #011"/>
    <s v="UNIQUE"/>
    <n v="17"/>
    <n v="25"/>
    <n v="169"/>
    <n v="425"/>
    <n v="4225"/>
  </r>
  <r>
    <x v="0"/>
    <x v="25"/>
    <x v="5"/>
    <n v="1"/>
    <n v="62"/>
    <s v="00"/>
    <s v="012"/>
    <s v="16200-012"/>
    <s v="Software production item #012"/>
    <s v="UNIQUE"/>
    <n v="0"/>
    <n v="10"/>
    <n v="17"/>
    <n v="0"/>
    <n v="170"/>
  </r>
  <r>
    <x v="0"/>
    <x v="25"/>
    <x v="5"/>
    <n v="1"/>
    <n v="62"/>
    <s v="00"/>
    <s v="013"/>
    <s v="16200-013"/>
    <s v="Software production item #013"/>
    <s v="UNIQUE"/>
    <n v="0"/>
    <n v="36"/>
    <n v="27"/>
    <n v="0"/>
    <n v="972"/>
  </r>
  <r>
    <x v="0"/>
    <x v="25"/>
    <x v="5"/>
    <n v="1"/>
    <n v="62"/>
    <s v="00"/>
    <s v="014"/>
    <s v="16200-014"/>
    <s v="Software production item #014"/>
    <s v="UNIQUE"/>
    <n v="699"/>
    <n v="10"/>
    <n v="13824"/>
    <n v="6990"/>
    <n v="138240"/>
  </r>
  <r>
    <x v="0"/>
    <x v="25"/>
    <x v="5"/>
    <n v="1"/>
    <n v="62"/>
    <s v="00"/>
    <s v="015"/>
    <s v="16200-015"/>
    <s v="Software production item #015"/>
    <s v="UNIQUE"/>
    <n v="0"/>
    <n v="25"/>
    <n v="27"/>
    <n v="0"/>
    <n v="675"/>
  </r>
  <r>
    <x v="0"/>
    <x v="25"/>
    <x v="5"/>
    <n v="1"/>
    <n v="62"/>
    <s v="00"/>
    <s v="016"/>
    <s v="16200-016"/>
    <s v="Software production item #016"/>
    <s v="UNIQUE"/>
    <n v="0"/>
    <n v="36"/>
    <n v="81"/>
    <n v="0"/>
    <n v="2916"/>
  </r>
  <r>
    <x v="0"/>
    <x v="25"/>
    <x v="5"/>
    <n v="1"/>
    <n v="62"/>
    <s v="00"/>
    <s v="017"/>
    <s v="16200-017"/>
    <s v="Software production item #017"/>
    <s v="UNIQUE"/>
    <n v="0"/>
    <n v="27"/>
    <n v="19683"/>
    <n v="0"/>
    <n v="531441"/>
  </r>
  <r>
    <x v="0"/>
    <x v="25"/>
    <x v="5"/>
    <n v="1"/>
    <n v="62"/>
    <s v="00"/>
    <s v="018"/>
    <s v="16200-018"/>
    <s v="Software production item #018"/>
    <s v="UNIQUE"/>
    <n v="0"/>
    <n v="4"/>
    <n v="16"/>
    <n v="0"/>
    <n v="64"/>
  </r>
  <r>
    <x v="0"/>
    <x v="25"/>
    <x v="5"/>
    <n v="1"/>
    <n v="62"/>
    <s v="00"/>
    <s v="019"/>
    <s v="16200-019"/>
    <s v="Software production item #019"/>
    <s v="UNIQUE"/>
    <n v="440"/>
    <n v="25"/>
    <n v="9"/>
    <n v="11000"/>
    <n v="225"/>
  </r>
  <r>
    <x v="0"/>
    <x v="25"/>
    <x v="5"/>
    <n v="1"/>
    <n v="62"/>
    <s v="00"/>
    <s v="020"/>
    <s v="16200-020"/>
    <s v="Software production item #020"/>
    <s v="UNIQUE"/>
    <n v="0"/>
    <n v="1"/>
    <n v="625"/>
    <n v="0"/>
    <n v="625"/>
  </r>
  <r>
    <x v="0"/>
    <x v="25"/>
    <x v="5"/>
    <n v="1"/>
    <n v="62"/>
    <s v="00"/>
    <s v="021"/>
    <s v="16200-021"/>
    <s v="Software production item #021"/>
    <s v="UNIQUE"/>
    <n v="0"/>
    <n v="10"/>
    <n v="10"/>
    <n v="0"/>
    <n v="100"/>
  </r>
  <r>
    <x v="0"/>
    <x v="25"/>
    <x v="5"/>
    <n v="1"/>
    <n v="62"/>
    <s v="00"/>
    <s v="022"/>
    <s v="16200-022"/>
    <s v="Software production item #022"/>
    <s v="UNIQUE"/>
    <n v="0"/>
    <n v="100"/>
    <n v="256"/>
    <n v="0"/>
    <n v="25600"/>
  </r>
  <r>
    <x v="0"/>
    <x v="25"/>
    <x v="5"/>
    <n v="1"/>
    <n v="62"/>
    <s v="00"/>
    <s v="023"/>
    <s v="16200-023"/>
    <s v="Software production item #023"/>
    <s v="UNIQUE"/>
    <n v="0"/>
    <n v="81"/>
    <n v="729"/>
    <n v="0"/>
    <n v="59049"/>
  </r>
  <r>
    <x v="0"/>
    <x v="25"/>
    <x v="5"/>
    <n v="1"/>
    <n v="62"/>
    <s v="00"/>
    <s v="024"/>
    <s v="16200-024"/>
    <s v="Software production item #024"/>
    <s v="UNIQUE"/>
    <n v="0"/>
    <n v="81"/>
    <n v="169"/>
    <n v="0"/>
    <n v="13689"/>
  </r>
  <r>
    <x v="0"/>
    <x v="25"/>
    <x v="5"/>
    <n v="1"/>
    <n v="62"/>
    <s v="00"/>
    <s v="025"/>
    <s v="16200-025"/>
    <s v="Software production item #025"/>
    <s v="UNIQUE"/>
    <n v="0"/>
    <n v="64"/>
    <n v="14"/>
    <n v="0"/>
    <n v="896"/>
  </r>
  <r>
    <x v="0"/>
    <x v="25"/>
    <x v="5"/>
    <n v="1"/>
    <n v="62"/>
    <s v="00"/>
    <s v="026"/>
    <s v="16200-026"/>
    <s v="Software production item #026"/>
    <s v="UNIQUE"/>
    <n v="0"/>
    <n v="729"/>
    <n v="24389"/>
    <n v="0"/>
    <n v="17779581"/>
  </r>
  <r>
    <x v="0"/>
    <x v="25"/>
    <x v="5"/>
    <n v="1"/>
    <n v="62"/>
    <s v="00"/>
    <s v="027"/>
    <s v="16200-027"/>
    <s v="Software production item #027"/>
    <s v="UNIQUE"/>
    <n v="0"/>
    <n v="5"/>
    <n v="125"/>
    <n v="0"/>
    <n v="625"/>
  </r>
  <r>
    <x v="0"/>
    <x v="25"/>
    <x v="5"/>
    <n v="1"/>
    <n v="62"/>
    <s v="00"/>
    <s v="028"/>
    <s v="16200-028"/>
    <s v="Software production item #028"/>
    <s v="UNIQUE"/>
    <n v="796"/>
    <n v="7"/>
    <n v="3"/>
    <n v="5572"/>
    <n v="21"/>
  </r>
  <r>
    <x v="0"/>
    <x v="25"/>
    <x v="5"/>
    <n v="1"/>
    <n v="62"/>
    <s v="00"/>
    <s v="029"/>
    <s v="16200-029"/>
    <s v="Software production item #029"/>
    <s v="UNIQUE"/>
    <n v="524"/>
    <n v="49"/>
    <n v="14"/>
    <n v="25676"/>
    <n v="686"/>
  </r>
  <r>
    <x v="0"/>
    <x v="25"/>
    <x v="5"/>
    <n v="1"/>
    <n v="62"/>
    <s v="00"/>
    <s v="030"/>
    <s v="16200-030"/>
    <s v="Software production item #030"/>
    <s v="UNIQUE"/>
    <n v="1"/>
    <n v="125"/>
    <n v="64"/>
    <n v="125"/>
    <n v="8000"/>
  </r>
  <r>
    <x v="0"/>
    <x v="25"/>
    <x v="5"/>
    <n v="1"/>
    <n v="62"/>
    <s v="00"/>
    <s v="031"/>
    <s v="16200-031"/>
    <s v="Software production item #031"/>
    <s v="UNIQUE"/>
    <n v="1"/>
    <n v="81"/>
    <n v="144"/>
    <n v="81"/>
    <n v="11664"/>
  </r>
  <r>
    <x v="0"/>
    <x v="25"/>
    <x v="5"/>
    <n v="1"/>
    <n v="62"/>
    <s v="00"/>
    <s v="032"/>
    <s v="16200-032"/>
    <s v="Software production item #032"/>
    <s v="UNIQUE"/>
    <n v="5"/>
    <n v="1000"/>
    <n v="17"/>
    <n v="5000"/>
    <n v="17000"/>
  </r>
  <r>
    <x v="0"/>
    <x v="25"/>
    <x v="5"/>
    <n v="1"/>
    <n v="62"/>
    <s v="00"/>
    <s v="033"/>
    <s v="16200-033"/>
    <s v="Software production item #033"/>
    <s v="UNIQUE"/>
    <n v="2913"/>
    <n v="7"/>
    <n v="19683"/>
    <n v="20391"/>
    <n v="137781"/>
  </r>
  <r>
    <x v="0"/>
    <x v="25"/>
    <x v="5"/>
    <n v="1"/>
    <n v="62"/>
    <s v="00"/>
    <s v="034"/>
    <s v="16200-034"/>
    <s v="Software production item #034"/>
    <s v="UNIQUE"/>
    <n v="0"/>
    <n v="1"/>
    <n v="0"/>
    <n v="0"/>
    <n v="0"/>
  </r>
  <r>
    <x v="0"/>
    <x v="25"/>
    <x v="5"/>
    <n v="1"/>
    <n v="62"/>
    <s v="00"/>
    <s v="035"/>
    <s v="16200-035"/>
    <s v="Software production item #035"/>
    <s v="UNIQUE"/>
    <n v="45"/>
    <n v="4"/>
    <n v="1331"/>
    <n v="180"/>
    <n v="5324"/>
  </r>
  <r>
    <x v="0"/>
    <x v="25"/>
    <x v="5"/>
    <n v="1"/>
    <n v="62"/>
    <s v="00"/>
    <s v="036"/>
    <s v="16200-036"/>
    <s v="Software production item #036"/>
    <s v="UNIQUE"/>
    <n v="0"/>
    <n v="9"/>
    <n v="15"/>
    <n v="0"/>
    <n v="135"/>
  </r>
  <r>
    <x v="0"/>
    <x v="25"/>
    <x v="5"/>
    <n v="1"/>
    <n v="62"/>
    <s v="00"/>
    <s v="037"/>
    <s v="16200-037"/>
    <s v="Software production item #037"/>
    <s v="UNIQUE"/>
    <n v="9419"/>
    <n v="3"/>
    <n v="4"/>
    <n v="28257"/>
    <n v="12"/>
  </r>
  <r>
    <x v="0"/>
    <x v="25"/>
    <x v="5"/>
    <n v="1"/>
    <n v="62"/>
    <s v="00"/>
    <s v="038"/>
    <s v="16200-038"/>
    <s v="Software production item #038"/>
    <s v="UNIQUE"/>
    <n v="1134"/>
    <n v="216"/>
    <n v="19683"/>
    <n v="244944"/>
    <n v="4251528"/>
  </r>
  <r>
    <x v="0"/>
    <x v="25"/>
    <x v="5"/>
    <n v="1"/>
    <n v="62"/>
    <s v="00"/>
    <s v="039"/>
    <s v="16200-039"/>
    <s v="Software production item #039"/>
    <s v="UNIQUE"/>
    <n v="0"/>
    <n v="8"/>
    <n v="64"/>
    <n v="0"/>
    <n v="512"/>
  </r>
  <r>
    <x v="0"/>
    <x v="25"/>
    <x v="5"/>
    <n v="1"/>
    <n v="62"/>
    <s v="00"/>
    <s v="040"/>
    <s v="16200-040"/>
    <s v="Software production item #040"/>
    <s v="UNIQUE"/>
    <n v="672"/>
    <n v="4"/>
    <n v="8"/>
    <n v="2688"/>
    <n v="32"/>
  </r>
  <r>
    <x v="0"/>
    <x v="25"/>
    <x v="5"/>
    <n v="1"/>
    <n v="62"/>
    <s v="00"/>
    <s v="041"/>
    <s v="16200-041"/>
    <s v="Software production item #041"/>
    <s v="UNIQUE"/>
    <n v="0"/>
    <n v="2"/>
    <n v="25"/>
    <n v="0"/>
    <n v="50"/>
  </r>
  <r>
    <x v="0"/>
    <x v="25"/>
    <x v="5"/>
    <n v="1"/>
    <n v="62"/>
    <s v="00"/>
    <s v="042"/>
    <s v="16200-042"/>
    <s v="Software production item #042"/>
    <s v="UNIQUE"/>
    <n v="0"/>
    <n v="343"/>
    <n v="12167"/>
    <n v="0"/>
    <n v="4173281"/>
  </r>
  <r>
    <x v="0"/>
    <x v="25"/>
    <x v="5"/>
    <n v="1"/>
    <n v="62"/>
    <s v="00"/>
    <s v="043"/>
    <s v="16200-043"/>
    <s v="Software production item #043"/>
    <s v="UNIQUE"/>
    <n v="3482"/>
    <n v="25"/>
    <n v="19"/>
    <n v="87050"/>
    <n v="475"/>
  </r>
  <r>
    <x v="0"/>
    <x v="25"/>
    <x v="5"/>
    <n v="1"/>
    <n v="62"/>
    <s v="00"/>
    <s v="044"/>
    <s v="16200-044"/>
    <s v="Software production item #044"/>
    <s v="UNIQUE"/>
    <n v="0"/>
    <n v="125"/>
    <n v="169"/>
    <n v="0"/>
    <n v="21125"/>
  </r>
  <r>
    <x v="0"/>
    <x v="25"/>
    <x v="5"/>
    <n v="1"/>
    <n v="62"/>
    <s v="00"/>
    <s v="045"/>
    <s v="16200-045"/>
    <s v="Software production item #045"/>
    <s v="UNIQUE"/>
    <n v="0"/>
    <n v="16"/>
    <n v="900"/>
    <n v="0"/>
    <n v="14400"/>
  </r>
  <r>
    <x v="0"/>
    <x v="25"/>
    <x v="5"/>
    <n v="1"/>
    <n v="62"/>
    <s v="00"/>
    <s v="046"/>
    <s v="16200-046"/>
    <s v="Software production item #046"/>
    <s v="UNIQUE"/>
    <n v="485"/>
    <n v="4"/>
    <n v="2"/>
    <n v="1940"/>
    <n v="8"/>
  </r>
  <r>
    <x v="0"/>
    <x v="25"/>
    <x v="5"/>
    <n v="1"/>
    <n v="62"/>
    <s v="00"/>
    <s v="047"/>
    <s v="16200-047"/>
    <s v="Software production item #047"/>
    <s v="UNIQUE"/>
    <n v="95"/>
    <n v="3"/>
    <n v="121"/>
    <n v="285"/>
    <n v="363"/>
  </r>
  <r>
    <x v="0"/>
    <x v="25"/>
    <x v="5"/>
    <n v="1"/>
    <n v="62"/>
    <s v="00"/>
    <s v="048"/>
    <s v="16200-048"/>
    <s v="Software production item #048"/>
    <s v="UNIQUE"/>
    <n v="0"/>
    <n v="3"/>
    <n v="196"/>
    <n v="0"/>
    <n v="588"/>
  </r>
  <r>
    <x v="0"/>
    <x v="25"/>
    <x v="5"/>
    <n v="1"/>
    <n v="62"/>
    <s v="00"/>
    <s v="049"/>
    <s v="16200-049"/>
    <s v="Software production item #049"/>
    <s v="UNIQUE"/>
    <n v="0"/>
    <n v="4"/>
    <n v="1"/>
    <n v="0"/>
    <n v="4"/>
  </r>
  <r>
    <x v="0"/>
    <x v="26"/>
    <x v="5"/>
    <n v="1"/>
    <n v="63"/>
    <s v="00"/>
    <s v="000"/>
    <s v="16300-000"/>
    <s v="Instructional material production item #000"/>
    <s v="UNIQUE"/>
    <n v="0"/>
    <n v="10"/>
    <n v="1000"/>
    <n v="0"/>
    <n v="10000"/>
  </r>
  <r>
    <x v="0"/>
    <x v="26"/>
    <x v="5"/>
    <n v="1"/>
    <n v="63"/>
    <s v="00"/>
    <s v="001"/>
    <s v="16300-001"/>
    <s v="Instructional material production item #001"/>
    <s v="UNIQUE"/>
    <n v="0"/>
    <n v="81"/>
    <n v="15"/>
    <n v="0"/>
    <n v="1215"/>
  </r>
  <r>
    <x v="0"/>
    <x v="26"/>
    <x v="5"/>
    <n v="1"/>
    <n v="63"/>
    <s v="00"/>
    <s v="002"/>
    <s v="16300-002"/>
    <s v="Instructional material production item #002"/>
    <s v="UNIQUE"/>
    <n v="0"/>
    <n v="125"/>
    <n v="2197"/>
    <n v="0"/>
    <n v="274625"/>
  </r>
  <r>
    <x v="0"/>
    <x v="26"/>
    <x v="5"/>
    <n v="1"/>
    <n v="63"/>
    <s v="00"/>
    <s v="003"/>
    <s v="16300-003"/>
    <s v="Instructional material production item #003"/>
    <s v="UNIQUE"/>
    <n v="9"/>
    <n v="512"/>
    <n v="27"/>
    <n v="4608"/>
    <n v="13824"/>
  </r>
  <r>
    <x v="0"/>
    <x v="26"/>
    <x v="5"/>
    <n v="1"/>
    <n v="63"/>
    <s v="00"/>
    <s v="004"/>
    <s v="16300-004"/>
    <s v="Instructional material production item #004"/>
    <s v="UNIQUE"/>
    <n v="0"/>
    <n v="10"/>
    <n v="30"/>
    <n v="0"/>
    <n v="300"/>
  </r>
  <r>
    <x v="0"/>
    <x v="26"/>
    <x v="5"/>
    <n v="1"/>
    <n v="63"/>
    <s v="00"/>
    <s v="005"/>
    <s v="16300-005"/>
    <s v="Instructional material production item #005"/>
    <s v="UNIQUE"/>
    <n v="899"/>
    <n v="5"/>
    <n v="8"/>
    <n v="4495"/>
    <n v="40"/>
  </r>
  <r>
    <x v="0"/>
    <x v="26"/>
    <x v="5"/>
    <n v="1"/>
    <n v="63"/>
    <s v="00"/>
    <s v="006"/>
    <s v="16300-006"/>
    <s v="Instructional material production item #006"/>
    <s v="UNIQUE"/>
    <n v="0"/>
    <n v="49"/>
    <n v="26"/>
    <n v="0"/>
    <n v="1274"/>
  </r>
  <r>
    <x v="0"/>
    <x v="26"/>
    <x v="5"/>
    <n v="1"/>
    <n v="63"/>
    <s v="00"/>
    <s v="007"/>
    <s v="16300-007"/>
    <s v="Instructional material production item #007"/>
    <s v="UNIQUE"/>
    <n v="0"/>
    <n v="4"/>
    <n v="256"/>
    <n v="0"/>
    <n v="1024"/>
  </r>
  <r>
    <x v="0"/>
    <x v="26"/>
    <x v="5"/>
    <n v="1"/>
    <n v="63"/>
    <s v="00"/>
    <s v="008"/>
    <s v="16300-008"/>
    <s v="Instructional material production item #008"/>
    <s v="UNIQUE"/>
    <n v="0"/>
    <n v="343"/>
    <n v="0"/>
    <n v="0"/>
    <n v="0"/>
  </r>
  <r>
    <x v="0"/>
    <x v="26"/>
    <x v="5"/>
    <n v="1"/>
    <n v="63"/>
    <s v="00"/>
    <s v="009"/>
    <s v="16300-009"/>
    <s v="Instructional material production item #009"/>
    <s v="UNIQUE"/>
    <n v="9598"/>
    <n v="9"/>
    <n v="28"/>
    <n v="86382"/>
    <n v="252"/>
  </r>
  <r>
    <x v="0"/>
    <x v="26"/>
    <x v="5"/>
    <n v="1"/>
    <n v="63"/>
    <s v="00"/>
    <s v="010"/>
    <s v="16300-010"/>
    <s v="Instructional material production item #010"/>
    <s v="UNIQUE"/>
    <n v="0"/>
    <n v="4"/>
    <n v="5"/>
    <n v="0"/>
    <n v="20"/>
  </r>
  <r>
    <x v="0"/>
    <x v="26"/>
    <x v="5"/>
    <n v="1"/>
    <n v="63"/>
    <s v="00"/>
    <s v="011"/>
    <s v="16300-011"/>
    <s v="Instructional material production item #011"/>
    <s v="UNIQUE"/>
    <n v="811"/>
    <n v="7"/>
    <n v="729"/>
    <n v="5677"/>
    <n v="5103"/>
  </r>
  <r>
    <x v="0"/>
    <x v="26"/>
    <x v="5"/>
    <n v="1"/>
    <n v="63"/>
    <s v="00"/>
    <s v="012"/>
    <s v="16300-012"/>
    <s v="Instructional material production item #012"/>
    <s v="UNIQUE"/>
    <n v="1"/>
    <n v="2"/>
    <n v="18"/>
    <n v="2"/>
    <n v="36"/>
  </r>
  <r>
    <x v="0"/>
    <x v="26"/>
    <x v="5"/>
    <n v="1"/>
    <n v="63"/>
    <s v="00"/>
    <s v="013"/>
    <s v="16300-013"/>
    <s v="Instructional material production item #013"/>
    <s v="UNIQUE"/>
    <n v="0"/>
    <n v="16"/>
    <n v="24389"/>
    <n v="0"/>
    <n v="390224"/>
  </r>
  <r>
    <x v="0"/>
    <x v="26"/>
    <x v="5"/>
    <n v="1"/>
    <n v="63"/>
    <s v="00"/>
    <s v="014"/>
    <s v="16300-014"/>
    <s v="Instructional material production item #014"/>
    <s v="UNIQUE"/>
    <n v="0"/>
    <n v="81"/>
    <n v="26"/>
    <n v="0"/>
    <n v="2106"/>
  </r>
  <r>
    <x v="0"/>
    <x v="26"/>
    <x v="5"/>
    <n v="1"/>
    <n v="63"/>
    <s v="00"/>
    <s v="015"/>
    <s v="16300-015"/>
    <s v="Instructional material production item #015"/>
    <s v="UNIQUE"/>
    <n v="950"/>
    <n v="729"/>
    <n v="900"/>
    <n v="692550"/>
    <n v="656100"/>
  </r>
  <r>
    <x v="0"/>
    <x v="26"/>
    <x v="5"/>
    <n v="1"/>
    <n v="63"/>
    <s v="00"/>
    <s v="016"/>
    <s v="16300-016"/>
    <s v="Instructional material production item #016"/>
    <s v="UNIQUE"/>
    <n v="1532"/>
    <n v="216"/>
    <n v="2197"/>
    <n v="330912"/>
    <n v="474552"/>
  </r>
  <r>
    <x v="0"/>
    <x v="26"/>
    <x v="5"/>
    <n v="1"/>
    <n v="63"/>
    <s v="00"/>
    <s v="017"/>
    <s v="16300-017"/>
    <s v="Instructional material production item #017"/>
    <s v="UNIQUE"/>
    <n v="8"/>
    <n v="125"/>
    <n v="2744"/>
    <n v="1000"/>
    <n v="343000"/>
  </r>
  <r>
    <x v="0"/>
    <x v="26"/>
    <x v="5"/>
    <n v="1"/>
    <n v="63"/>
    <s v="00"/>
    <s v="018"/>
    <s v="16300-018"/>
    <s v="Instructional material production item #018"/>
    <s v="UNIQUE"/>
    <n v="0"/>
    <n v="16"/>
    <n v="8"/>
    <n v="0"/>
    <n v="128"/>
  </r>
  <r>
    <x v="0"/>
    <x v="26"/>
    <x v="5"/>
    <n v="1"/>
    <n v="63"/>
    <s v="00"/>
    <s v="019"/>
    <s v="16300-019"/>
    <s v="Instructional material production item #019"/>
    <s v="UNIQUE"/>
    <n v="0"/>
    <n v="8"/>
    <n v="8000"/>
    <n v="0"/>
    <n v="64000"/>
  </r>
  <r>
    <x v="0"/>
    <x v="26"/>
    <x v="5"/>
    <n v="1"/>
    <n v="63"/>
    <s v="00"/>
    <s v="020"/>
    <s v="16300-020"/>
    <s v="Instructional material production item #020"/>
    <s v="UNIQUE"/>
    <n v="0"/>
    <n v="6"/>
    <n v="900"/>
    <n v="0"/>
    <n v="5400"/>
  </r>
  <r>
    <x v="0"/>
    <x v="26"/>
    <x v="5"/>
    <n v="1"/>
    <n v="63"/>
    <s v="00"/>
    <s v="021"/>
    <s v="16300-021"/>
    <s v="Instructional material production item #021"/>
    <s v="UNIQUE"/>
    <n v="0"/>
    <n v="100"/>
    <n v="25"/>
    <n v="0"/>
    <n v="2500"/>
  </r>
  <r>
    <x v="0"/>
    <x v="26"/>
    <x v="5"/>
    <n v="1"/>
    <n v="63"/>
    <s v="00"/>
    <s v="022"/>
    <s v="16300-022"/>
    <s v="Instructional material production item #022"/>
    <s v="UNIQUE"/>
    <n v="0"/>
    <n v="4"/>
    <n v="9"/>
    <n v="0"/>
    <n v="36"/>
  </r>
  <r>
    <x v="0"/>
    <x v="26"/>
    <x v="5"/>
    <n v="1"/>
    <n v="63"/>
    <s v="00"/>
    <s v="023"/>
    <s v="16300-023"/>
    <s v="Instructional material production item #023"/>
    <s v="UNIQUE"/>
    <n v="76"/>
    <n v="1"/>
    <n v="289"/>
    <n v="76"/>
    <n v="289"/>
  </r>
  <r>
    <x v="0"/>
    <x v="26"/>
    <x v="5"/>
    <n v="1"/>
    <n v="63"/>
    <s v="00"/>
    <s v="024"/>
    <s v="16300-024"/>
    <s v="Instructional material production item #024"/>
    <s v="UNIQUE"/>
    <n v="2561"/>
    <n v="27"/>
    <n v="17"/>
    <n v="69147"/>
    <n v="459"/>
  </r>
  <r>
    <x v="0"/>
    <x v="26"/>
    <x v="5"/>
    <n v="1"/>
    <n v="63"/>
    <s v="00"/>
    <s v="025"/>
    <s v="16300-025"/>
    <s v="Instructional material production item #025"/>
    <s v="UNIQUE"/>
    <n v="37"/>
    <n v="16"/>
    <n v="2197"/>
    <n v="592"/>
    <n v="35152"/>
  </r>
  <r>
    <x v="0"/>
    <x v="26"/>
    <x v="5"/>
    <n v="1"/>
    <n v="63"/>
    <s v="00"/>
    <s v="026"/>
    <s v="16300-026"/>
    <s v="Instructional material production item #026"/>
    <s v="UNIQUE"/>
    <n v="702"/>
    <n v="6"/>
    <n v="9"/>
    <n v="4212"/>
    <n v="54"/>
  </r>
  <r>
    <x v="0"/>
    <x v="26"/>
    <x v="5"/>
    <n v="1"/>
    <n v="63"/>
    <s v="00"/>
    <s v="027"/>
    <s v="16300-027"/>
    <s v="Instructional material production item #027"/>
    <s v="UNIQUE"/>
    <n v="0"/>
    <n v="8"/>
    <n v="13824"/>
    <n v="0"/>
    <n v="110592"/>
  </r>
  <r>
    <x v="0"/>
    <x v="26"/>
    <x v="5"/>
    <n v="1"/>
    <n v="63"/>
    <s v="00"/>
    <s v="028"/>
    <s v="16300-028"/>
    <s v="Instructional material production item #028"/>
    <s v="UNIQUE"/>
    <n v="95"/>
    <n v="125"/>
    <n v="784"/>
    <n v="11875"/>
    <n v="98000"/>
  </r>
  <r>
    <x v="0"/>
    <x v="26"/>
    <x v="5"/>
    <n v="1"/>
    <n v="63"/>
    <s v="00"/>
    <s v="029"/>
    <s v="16300-029"/>
    <s v="Instructional material production item #029"/>
    <s v="UNIQUE"/>
    <n v="2285"/>
    <n v="49"/>
    <n v="4096"/>
    <n v="111965"/>
    <n v="200704"/>
  </r>
  <r>
    <x v="0"/>
    <x v="26"/>
    <x v="5"/>
    <n v="1"/>
    <n v="63"/>
    <s v="00"/>
    <s v="030"/>
    <s v="16300-030"/>
    <s v="Instructional material production item #030"/>
    <s v="UNIQUE"/>
    <n v="0"/>
    <n v="3"/>
    <n v="64"/>
    <n v="0"/>
    <n v="192"/>
  </r>
  <r>
    <x v="0"/>
    <x v="26"/>
    <x v="5"/>
    <n v="1"/>
    <n v="63"/>
    <s v="00"/>
    <s v="031"/>
    <s v="16300-031"/>
    <s v="Instructional material production item #031"/>
    <s v="UNIQUE"/>
    <n v="0"/>
    <n v="4"/>
    <n v="125"/>
    <n v="0"/>
    <n v="500"/>
  </r>
  <r>
    <x v="0"/>
    <x v="26"/>
    <x v="5"/>
    <n v="1"/>
    <n v="63"/>
    <s v="00"/>
    <s v="032"/>
    <s v="16300-032"/>
    <s v="Instructional material production item #032"/>
    <s v="UNIQUE"/>
    <n v="0"/>
    <n v="16"/>
    <n v="1"/>
    <n v="0"/>
    <n v="16"/>
  </r>
  <r>
    <x v="0"/>
    <x v="26"/>
    <x v="5"/>
    <n v="1"/>
    <n v="63"/>
    <s v="00"/>
    <s v="033"/>
    <s v="16300-033"/>
    <s v="Instructional material production item #033"/>
    <s v="UNIQUE"/>
    <n v="0"/>
    <n v="8"/>
    <n v="21"/>
    <n v="0"/>
    <n v="168"/>
  </r>
  <r>
    <x v="0"/>
    <x v="26"/>
    <x v="5"/>
    <n v="1"/>
    <n v="63"/>
    <s v="00"/>
    <s v="034"/>
    <s v="16300-034"/>
    <s v="Instructional material production item #034"/>
    <s v="UNIQUE"/>
    <n v="0"/>
    <n v="64"/>
    <n v="729"/>
    <n v="0"/>
    <n v="46656"/>
  </r>
  <r>
    <x v="0"/>
    <x v="26"/>
    <x v="5"/>
    <n v="1"/>
    <n v="63"/>
    <s v="00"/>
    <s v="035"/>
    <s v="16300-035"/>
    <s v="Instructional material production item #035"/>
    <s v="UNIQUE"/>
    <n v="7"/>
    <n v="100"/>
    <n v="4"/>
    <n v="700"/>
    <n v="400"/>
  </r>
  <r>
    <x v="0"/>
    <x v="26"/>
    <x v="5"/>
    <n v="1"/>
    <n v="63"/>
    <s v="00"/>
    <s v="036"/>
    <s v="16300-036"/>
    <s v="Instructional material production item #036"/>
    <s v="UNIQUE"/>
    <n v="1"/>
    <n v="3"/>
    <n v="324"/>
    <n v="3"/>
    <n v="972"/>
  </r>
  <r>
    <x v="0"/>
    <x v="26"/>
    <x v="5"/>
    <n v="1"/>
    <n v="63"/>
    <s v="00"/>
    <s v="037"/>
    <s v="16300-037"/>
    <s v="Instructional material production item #037"/>
    <s v="UNIQUE"/>
    <n v="0"/>
    <n v="1"/>
    <n v="12167"/>
    <n v="0"/>
    <n v="12167"/>
  </r>
  <r>
    <x v="0"/>
    <x v="26"/>
    <x v="5"/>
    <n v="1"/>
    <n v="63"/>
    <s v="00"/>
    <s v="038"/>
    <s v="16300-038"/>
    <s v="Instructional material production item #038"/>
    <s v="UNIQUE"/>
    <n v="0"/>
    <n v="1000"/>
    <n v="784"/>
    <n v="0"/>
    <n v="784000"/>
  </r>
  <r>
    <x v="0"/>
    <x v="26"/>
    <x v="5"/>
    <n v="1"/>
    <n v="63"/>
    <s v="00"/>
    <s v="039"/>
    <s v="16300-039"/>
    <s v="Instructional material production item #039"/>
    <s v="UNIQUE"/>
    <n v="9"/>
    <n v="10"/>
    <n v="1000"/>
    <n v="90"/>
    <n v="10000"/>
  </r>
  <r>
    <x v="0"/>
    <x v="26"/>
    <x v="5"/>
    <n v="1"/>
    <n v="63"/>
    <s v="00"/>
    <s v="040"/>
    <s v="16300-040"/>
    <s v="Instructional material production item #040"/>
    <s v="UNIQUE"/>
    <n v="1"/>
    <n v="6"/>
    <n v="17576"/>
    <n v="6"/>
    <n v="105456"/>
  </r>
  <r>
    <x v="0"/>
    <x v="26"/>
    <x v="5"/>
    <n v="1"/>
    <n v="63"/>
    <s v="00"/>
    <s v="041"/>
    <s v="16300-041"/>
    <s v="Instructional material production item #041"/>
    <s v="UNIQUE"/>
    <n v="8882"/>
    <n v="1"/>
    <n v="2197"/>
    <n v="8882"/>
    <n v="2197"/>
  </r>
  <r>
    <x v="0"/>
    <x v="26"/>
    <x v="5"/>
    <n v="1"/>
    <n v="63"/>
    <s v="00"/>
    <s v="042"/>
    <s v="16300-042"/>
    <s v="Instructional material production item #042"/>
    <s v="UNIQUE"/>
    <n v="3419"/>
    <n v="100"/>
    <n v="256"/>
    <n v="341900"/>
    <n v="25600"/>
  </r>
  <r>
    <x v="0"/>
    <x v="26"/>
    <x v="5"/>
    <n v="1"/>
    <n v="63"/>
    <s v="00"/>
    <s v="043"/>
    <s v="16300-043"/>
    <s v="Instructional material production item #043"/>
    <s v="UNIQUE"/>
    <n v="0"/>
    <n v="729"/>
    <n v="29"/>
    <n v="0"/>
    <n v="21141"/>
  </r>
  <r>
    <x v="0"/>
    <x v="26"/>
    <x v="5"/>
    <n v="1"/>
    <n v="63"/>
    <s v="00"/>
    <s v="044"/>
    <s v="16300-044"/>
    <s v="Instructional material production item #044"/>
    <s v="UNIQUE"/>
    <n v="0"/>
    <n v="729"/>
    <n v="10"/>
    <n v="0"/>
    <n v="7290"/>
  </r>
  <r>
    <x v="0"/>
    <x v="26"/>
    <x v="5"/>
    <n v="1"/>
    <n v="63"/>
    <s v="00"/>
    <s v="045"/>
    <s v="16300-045"/>
    <s v="Instructional material production item #045"/>
    <s v="UNIQUE"/>
    <n v="0"/>
    <n v="25"/>
    <n v="2197"/>
    <n v="0"/>
    <n v="54925"/>
  </r>
  <r>
    <x v="0"/>
    <x v="26"/>
    <x v="5"/>
    <n v="1"/>
    <n v="63"/>
    <s v="00"/>
    <s v="046"/>
    <s v="16300-046"/>
    <s v="Instructional material production item #046"/>
    <s v="UNIQUE"/>
    <n v="381"/>
    <n v="512"/>
    <n v="1331"/>
    <n v="195072"/>
    <n v="681472"/>
  </r>
  <r>
    <x v="0"/>
    <x v="26"/>
    <x v="5"/>
    <n v="1"/>
    <n v="63"/>
    <s v="00"/>
    <s v="047"/>
    <s v="16300-047"/>
    <s v="Instructional material production item #047"/>
    <s v="UNIQUE"/>
    <n v="97"/>
    <n v="9"/>
    <n v="2744"/>
    <n v="873"/>
    <n v="24696"/>
  </r>
  <r>
    <x v="0"/>
    <x v="26"/>
    <x v="5"/>
    <n v="1"/>
    <n v="63"/>
    <s v="00"/>
    <s v="048"/>
    <s v="16300-048"/>
    <s v="Instructional material production item #048"/>
    <s v="UNIQUE"/>
    <n v="7"/>
    <n v="4"/>
    <n v="512"/>
    <n v="28"/>
    <n v="2048"/>
  </r>
  <r>
    <x v="0"/>
    <x v="26"/>
    <x v="5"/>
    <n v="1"/>
    <n v="63"/>
    <s v="00"/>
    <s v="049"/>
    <s v="16300-049"/>
    <s v="Instructional material production item #049"/>
    <s v="UNIQUE"/>
    <n v="0"/>
    <n v="5"/>
    <n v="16"/>
    <n v="0"/>
    <n v="80"/>
  </r>
  <r>
    <x v="0"/>
    <x v="27"/>
    <x v="5"/>
    <n v="1"/>
    <n v="64"/>
    <s v="00"/>
    <s v="000"/>
    <s v="16400-000"/>
    <s v="Musical accessories production item #000"/>
    <s v="UNIQUE"/>
    <n v="915"/>
    <n v="1"/>
    <n v="121"/>
    <n v="915"/>
    <n v="121"/>
  </r>
  <r>
    <x v="0"/>
    <x v="27"/>
    <x v="5"/>
    <n v="1"/>
    <n v="64"/>
    <s v="00"/>
    <s v="001"/>
    <s v="16400-001"/>
    <s v="Musical accessories production item #001"/>
    <s v="UNIQUE"/>
    <n v="303"/>
    <n v="1"/>
    <n v="8"/>
    <n v="303"/>
    <n v="8"/>
  </r>
  <r>
    <x v="0"/>
    <x v="27"/>
    <x v="5"/>
    <n v="1"/>
    <n v="64"/>
    <s v="00"/>
    <s v="002"/>
    <s v="16400-002"/>
    <s v="Musical accessories production item #002"/>
    <s v="UNIQUE"/>
    <n v="0"/>
    <n v="5"/>
    <n v="28"/>
    <n v="0"/>
    <n v="140"/>
  </r>
  <r>
    <x v="0"/>
    <x v="27"/>
    <x v="5"/>
    <n v="1"/>
    <n v="64"/>
    <s v="00"/>
    <s v="003"/>
    <s v="16400-003"/>
    <s v="Musical accessories production item #003"/>
    <s v="UNIQUE"/>
    <n v="1"/>
    <n v="5"/>
    <n v="841"/>
    <n v="5"/>
    <n v="4205"/>
  </r>
  <r>
    <x v="0"/>
    <x v="27"/>
    <x v="5"/>
    <n v="1"/>
    <n v="64"/>
    <s v="00"/>
    <s v="004"/>
    <s v="16400-004"/>
    <s v="Musical accessories production item #004"/>
    <s v="UNIQUE"/>
    <n v="0"/>
    <n v="125"/>
    <n v="784"/>
    <n v="0"/>
    <n v="98000"/>
  </r>
  <r>
    <x v="0"/>
    <x v="27"/>
    <x v="5"/>
    <n v="1"/>
    <n v="64"/>
    <s v="00"/>
    <s v="005"/>
    <s v="16400-005"/>
    <s v="Musical accessories production item #005"/>
    <s v="UNIQUE"/>
    <n v="0"/>
    <n v="8"/>
    <n v="324"/>
    <n v="0"/>
    <n v="2592"/>
  </r>
  <r>
    <x v="0"/>
    <x v="27"/>
    <x v="5"/>
    <n v="1"/>
    <n v="64"/>
    <s v="00"/>
    <s v="006"/>
    <s v="16400-006"/>
    <s v="Musical accessories production item #006"/>
    <s v="UNIQUE"/>
    <n v="0"/>
    <n v="4"/>
    <n v="29"/>
    <n v="0"/>
    <n v="116"/>
  </r>
  <r>
    <x v="0"/>
    <x v="27"/>
    <x v="5"/>
    <n v="1"/>
    <n v="64"/>
    <s v="00"/>
    <s v="007"/>
    <s v="16400-007"/>
    <s v="Musical accessories production item #007"/>
    <s v="UNIQUE"/>
    <n v="0"/>
    <n v="2"/>
    <n v="676"/>
    <n v="0"/>
    <n v="1352"/>
  </r>
  <r>
    <x v="0"/>
    <x v="27"/>
    <x v="5"/>
    <n v="1"/>
    <n v="64"/>
    <s v="00"/>
    <s v="008"/>
    <s v="16400-008"/>
    <s v="Musical accessories production item #008"/>
    <s v="UNIQUE"/>
    <n v="0"/>
    <n v="81"/>
    <n v="729"/>
    <n v="0"/>
    <n v="59049"/>
  </r>
  <r>
    <x v="0"/>
    <x v="27"/>
    <x v="5"/>
    <n v="1"/>
    <n v="64"/>
    <s v="00"/>
    <s v="009"/>
    <s v="16400-009"/>
    <s v="Musical accessories production item #009"/>
    <s v="UNIQUE"/>
    <n v="0"/>
    <n v="64"/>
    <n v="100"/>
    <n v="0"/>
    <n v="6400"/>
  </r>
  <r>
    <x v="0"/>
    <x v="27"/>
    <x v="5"/>
    <n v="1"/>
    <n v="64"/>
    <s v="00"/>
    <s v="010"/>
    <s v="16400-010"/>
    <s v="Musical accessories production item #010"/>
    <s v="UNIQUE"/>
    <n v="47"/>
    <n v="9"/>
    <n v="0"/>
    <n v="423"/>
    <n v="0"/>
  </r>
  <r>
    <x v="0"/>
    <x v="27"/>
    <x v="5"/>
    <n v="1"/>
    <n v="64"/>
    <s v="00"/>
    <s v="011"/>
    <s v="16400-011"/>
    <s v="Musical accessories production item #011"/>
    <s v="UNIQUE"/>
    <n v="0"/>
    <n v="100"/>
    <n v="729"/>
    <n v="0"/>
    <n v="72900"/>
  </r>
  <r>
    <x v="0"/>
    <x v="27"/>
    <x v="5"/>
    <n v="1"/>
    <n v="64"/>
    <s v="00"/>
    <s v="012"/>
    <s v="16400-012"/>
    <s v="Musical accessories production item #012"/>
    <s v="UNIQUE"/>
    <n v="2"/>
    <n v="25"/>
    <n v="6859"/>
    <n v="50"/>
    <n v="171475"/>
  </r>
  <r>
    <x v="0"/>
    <x v="27"/>
    <x v="5"/>
    <n v="1"/>
    <n v="64"/>
    <s v="00"/>
    <s v="013"/>
    <s v="16400-013"/>
    <s v="Musical accessories production item #013"/>
    <s v="UNIQUE"/>
    <n v="92"/>
    <n v="64"/>
    <n v="27"/>
    <n v="5888"/>
    <n v="1728"/>
  </r>
  <r>
    <x v="0"/>
    <x v="27"/>
    <x v="5"/>
    <n v="1"/>
    <n v="64"/>
    <s v="00"/>
    <s v="014"/>
    <s v="16400-014"/>
    <s v="Musical accessories production item #014"/>
    <s v="UNIQUE"/>
    <n v="637"/>
    <n v="8"/>
    <n v="841"/>
    <n v="5096"/>
    <n v="6728"/>
  </r>
  <r>
    <x v="0"/>
    <x v="27"/>
    <x v="5"/>
    <n v="1"/>
    <n v="64"/>
    <s v="00"/>
    <s v="015"/>
    <s v="16400-015"/>
    <s v="Musical accessories production item #015"/>
    <s v="UNIQUE"/>
    <n v="0"/>
    <n v="3"/>
    <n v="125"/>
    <n v="0"/>
    <n v="375"/>
  </r>
  <r>
    <x v="0"/>
    <x v="27"/>
    <x v="5"/>
    <n v="1"/>
    <n v="64"/>
    <s v="00"/>
    <s v="016"/>
    <s v="16400-016"/>
    <s v="Musical accessories production item #016"/>
    <s v="UNIQUE"/>
    <n v="0"/>
    <n v="8"/>
    <n v="3375"/>
    <n v="0"/>
    <n v="27000"/>
  </r>
  <r>
    <x v="0"/>
    <x v="27"/>
    <x v="5"/>
    <n v="1"/>
    <n v="64"/>
    <s v="00"/>
    <s v="017"/>
    <s v="16400-017"/>
    <s v="Musical accessories production item #017"/>
    <s v="UNIQUE"/>
    <n v="0"/>
    <n v="1"/>
    <n v="324"/>
    <n v="0"/>
    <n v="324"/>
  </r>
  <r>
    <x v="0"/>
    <x v="27"/>
    <x v="5"/>
    <n v="1"/>
    <n v="64"/>
    <s v="00"/>
    <s v="018"/>
    <s v="16400-018"/>
    <s v="Musical accessories production item #018"/>
    <s v="UNIQUE"/>
    <n v="4"/>
    <n v="6"/>
    <n v="9261"/>
    <n v="24"/>
    <n v="55566"/>
  </r>
  <r>
    <x v="0"/>
    <x v="27"/>
    <x v="5"/>
    <n v="1"/>
    <n v="64"/>
    <s v="00"/>
    <s v="019"/>
    <s v="16400-019"/>
    <s v="Musical accessories production item #019"/>
    <s v="UNIQUE"/>
    <n v="0"/>
    <n v="49"/>
    <n v="324"/>
    <n v="0"/>
    <n v="15876"/>
  </r>
  <r>
    <x v="0"/>
    <x v="27"/>
    <x v="5"/>
    <n v="1"/>
    <n v="64"/>
    <s v="00"/>
    <s v="020"/>
    <s v="16400-020"/>
    <s v="Musical accessories production item #020"/>
    <s v="UNIQUE"/>
    <n v="6"/>
    <n v="49"/>
    <n v="784"/>
    <n v="294"/>
    <n v="38416"/>
  </r>
  <r>
    <x v="0"/>
    <x v="27"/>
    <x v="5"/>
    <n v="1"/>
    <n v="64"/>
    <s v="00"/>
    <s v="021"/>
    <s v="16400-021"/>
    <s v="Musical accessories production item #021"/>
    <s v="UNIQUE"/>
    <n v="430"/>
    <n v="8"/>
    <n v="16"/>
    <n v="3440"/>
    <n v="128"/>
  </r>
  <r>
    <x v="0"/>
    <x v="27"/>
    <x v="5"/>
    <n v="1"/>
    <n v="64"/>
    <s v="00"/>
    <s v="022"/>
    <s v="16400-022"/>
    <s v="Musical accessories production item #022"/>
    <s v="UNIQUE"/>
    <n v="0"/>
    <n v="81"/>
    <n v="484"/>
    <n v="0"/>
    <n v="39204"/>
  </r>
  <r>
    <x v="0"/>
    <x v="27"/>
    <x v="5"/>
    <n v="1"/>
    <n v="64"/>
    <s v="00"/>
    <s v="023"/>
    <s v="16400-023"/>
    <s v="Musical accessories production item #023"/>
    <s v="UNIQUE"/>
    <n v="160"/>
    <n v="8"/>
    <n v="841"/>
    <n v="1280"/>
    <n v="6728"/>
  </r>
  <r>
    <x v="0"/>
    <x v="27"/>
    <x v="5"/>
    <n v="1"/>
    <n v="64"/>
    <s v="00"/>
    <s v="024"/>
    <s v="16400-024"/>
    <s v="Musical accessories production item #024"/>
    <s v="UNIQUE"/>
    <n v="79"/>
    <n v="125"/>
    <n v="4"/>
    <n v="9875"/>
    <n v="500"/>
  </r>
  <r>
    <x v="0"/>
    <x v="27"/>
    <x v="5"/>
    <n v="1"/>
    <n v="64"/>
    <s v="00"/>
    <s v="025"/>
    <s v="16400-025"/>
    <s v="Musical accessories production item #025"/>
    <s v="UNIQUE"/>
    <n v="0"/>
    <n v="6"/>
    <n v="5"/>
    <n v="0"/>
    <n v="30"/>
  </r>
  <r>
    <x v="0"/>
    <x v="27"/>
    <x v="5"/>
    <n v="1"/>
    <n v="64"/>
    <s v="00"/>
    <s v="026"/>
    <s v="16400-026"/>
    <s v="Musical accessories production item #026"/>
    <s v="UNIQUE"/>
    <n v="4"/>
    <n v="36"/>
    <n v="24"/>
    <n v="144"/>
    <n v="864"/>
  </r>
  <r>
    <x v="0"/>
    <x v="27"/>
    <x v="5"/>
    <n v="1"/>
    <n v="64"/>
    <s v="00"/>
    <s v="027"/>
    <s v="16400-027"/>
    <s v="Musical accessories production item #027"/>
    <s v="UNIQUE"/>
    <n v="7"/>
    <n v="1000"/>
    <n v="729"/>
    <n v="7000"/>
    <n v="729000"/>
  </r>
  <r>
    <x v="0"/>
    <x v="27"/>
    <x v="5"/>
    <n v="1"/>
    <n v="64"/>
    <s v="00"/>
    <s v="028"/>
    <s v="16400-028"/>
    <s v="Musical accessories production item #028"/>
    <s v="UNIQUE"/>
    <n v="1"/>
    <n v="5"/>
    <n v="17"/>
    <n v="5"/>
    <n v="85"/>
  </r>
  <r>
    <x v="0"/>
    <x v="27"/>
    <x v="5"/>
    <n v="1"/>
    <n v="64"/>
    <s v="00"/>
    <s v="029"/>
    <s v="16400-029"/>
    <s v="Musical accessories production item #029"/>
    <s v="UNIQUE"/>
    <n v="0"/>
    <n v="1"/>
    <n v="100"/>
    <n v="0"/>
    <n v="100"/>
  </r>
  <r>
    <x v="0"/>
    <x v="27"/>
    <x v="5"/>
    <n v="1"/>
    <n v="64"/>
    <s v="00"/>
    <s v="030"/>
    <s v="16400-030"/>
    <s v="Musical accessories production item #030"/>
    <s v="UNIQUE"/>
    <n v="5"/>
    <n v="8"/>
    <n v="1"/>
    <n v="40"/>
    <n v="8"/>
  </r>
  <r>
    <x v="0"/>
    <x v="27"/>
    <x v="5"/>
    <n v="1"/>
    <n v="64"/>
    <s v="00"/>
    <s v="031"/>
    <s v="16400-031"/>
    <s v="Musical accessories production item #031"/>
    <s v="UNIQUE"/>
    <n v="0"/>
    <n v="9"/>
    <n v="289"/>
    <n v="0"/>
    <n v="2601"/>
  </r>
  <r>
    <x v="0"/>
    <x v="27"/>
    <x v="5"/>
    <n v="1"/>
    <n v="64"/>
    <s v="00"/>
    <s v="032"/>
    <s v="16400-032"/>
    <s v="Musical accessories production item #032"/>
    <s v="UNIQUE"/>
    <n v="619"/>
    <n v="49"/>
    <n v="225"/>
    <n v="30331"/>
    <n v="11025"/>
  </r>
  <r>
    <x v="0"/>
    <x v="27"/>
    <x v="5"/>
    <n v="1"/>
    <n v="64"/>
    <s v="00"/>
    <s v="033"/>
    <s v="16400-033"/>
    <s v="Musical accessories production item #033"/>
    <s v="UNIQUE"/>
    <n v="0"/>
    <n v="64"/>
    <n v="4096"/>
    <n v="0"/>
    <n v="262144"/>
  </r>
  <r>
    <x v="0"/>
    <x v="27"/>
    <x v="5"/>
    <n v="1"/>
    <n v="64"/>
    <s v="00"/>
    <s v="034"/>
    <s v="16400-034"/>
    <s v="Musical accessories production item #034"/>
    <s v="UNIQUE"/>
    <n v="0"/>
    <n v="1"/>
    <n v="144"/>
    <n v="0"/>
    <n v="144"/>
  </r>
  <r>
    <x v="0"/>
    <x v="27"/>
    <x v="5"/>
    <n v="1"/>
    <n v="64"/>
    <s v="00"/>
    <s v="035"/>
    <s v="16400-035"/>
    <s v="Musical accessories production item #035"/>
    <s v="UNIQUE"/>
    <n v="0"/>
    <n v="5"/>
    <n v="1"/>
    <n v="0"/>
    <n v="5"/>
  </r>
  <r>
    <x v="0"/>
    <x v="27"/>
    <x v="5"/>
    <n v="1"/>
    <n v="64"/>
    <s v="00"/>
    <s v="036"/>
    <s v="16400-036"/>
    <s v="Musical accessories production item #036"/>
    <s v="UNIQUE"/>
    <n v="0"/>
    <n v="3"/>
    <n v="27000"/>
    <n v="0"/>
    <n v="81000"/>
  </r>
  <r>
    <x v="0"/>
    <x v="27"/>
    <x v="5"/>
    <n v="1"/>
    <n v="64"/>
    <s v="00"/>
    <s v="037"/>
    <s v="16400-037"/>
    <s v="Musical accessories production item #037"/>
    <s v="UNIQUE"/>
    <n v="0"/>
    <n v="3"/>
    <n v="8000"/>
    <n v="0"/>
    <n v="24000"/>
  </r>
  <r>
    <x v="0"/>
    <x v="27"/>
    <x v="5"/>
    <n v="1"/>
    <n v="64"/>
    <s v="00"/>
    <s v="038"/>
    <s v="16400-038"/>
    <s v="Musical accessories production item #038"/>
    <s v="UNIQUE"/>
    <n v="999"/>
    <n v="6"/>
    <n v="1000"/>
    <n v="5994"/>
    <n v="6000"/>
  </r>
  <r>
    <x v="0"/>
    <x v="27"/>
    <x v="5"/>
    <n v="1"/>
    <n v="64"/>
    <s v="00"/>
    <s v="039"/>
    <s v="16400-039"/>
    <s v="Musical accessories production item #039"/>
    <s v="UNIQUE"/>
    <n v="0"/>
    <n v="10"/>
    <n v="121"/>
    <n v="0"/>
    <n v="1210"/>
  </r>
  <r>
    <x v="0"/>
    <x v="27"/>
    <x v="5"/>
    <n v="1"/>
    <n v="64"/>
    <s v="00"/>
    <s v="040"/>
    <s v="16400-040"/>
    <s v="Musical accessories production item #040"/>
    <s v="UNIQUE"/>
    <n v="0"/>
    <n v="27"/>
    <n v="0"/>
    <n v="0"/>
    <n v="0"/>
  </r>
  <r>
    <x v="0"/>
    <x v="27"/>
    <x v="5"/>
    <n v="1"/>
    <n v="64"/>
    <s v="00"/>
    <s v="041"/>
    <s v="16400-041"/>
    <s v="Musical accessories production item #041"/>
    <s v="UNIQUE"/>
    <n v="3"/>
    <n v="9"/>
    <n v="1331"/>
    <n v="27"/>
    <n v="11979"/>
  </r>
  <r>
    <x v="0"/>
    <x v="27"/>
    <x v="5"/>
    <n v="1"/>
    <n v="64"/>
    <s v="00"/>
    <s v="042"/>
    <s v="16400-042"/>
    <s v="Musical accessories production item #042"/>
    <s v="UNIQUE"/>
    <n v="59"/>
    <n v="64"/>
    <n v="784"/>
    <n v="3776"/>
    <n v="50176"/>
  </r>
  <r>
    <x v="0"/>
    <x v="27"/>
    <x v="5"/>
    <n v="1"/>
    <n v="64"/>
    <s v="00"/>
    <s v="043"/>
    <s v="16400-043"/>
    <s v="Musical accessories production item #043"/>
    <s v="UNIQUE"/>
    <n v="1"/>
    <n v="3"/>
    <n v="21952"/>
    <n v="3"/>
    <n v="65856"/>
  </r>
  <r>
    <x v="0"/>
    <x v="27"/>
    <x v="5"/>
    <n v="1"/>
    <n v="64"/>
    <s v="00"/>
    <s v="044"/>
    <s v="16400-044"/>
    <s v="Musical accessories production item #044"/>
    <s v="UNIQUE"/>
    <n v="0"/>
    <n v="1"/>
    <n v="26"/>
    <n v="0"/>
    <n v="26"/>
  </r>
  <r>
    <x v="0"/>
    <x v="27"/>
    <x v="5"/>
    <n v="1"/>
    <n v="64"/>
    <s v="00"/>
    <s v="045"/>
    <s v="16400-045"/>
    <s v="Musical accessories production item #045"/>
    <s v="UNIQUE"/>
    <n v="3"/>
    <n v="9"/>
    <n v="15625"/>
    <n v="27"/>
    <n v="140625"/>
  </r>
  <r>
    <x v="0"/>
    <x v="27"/>
    <x v="5"/>
    <n v="1"/>
    <n v="64"/>
    <s v="00"/>
    <s v="046"/>
    <s v="16400-046"/>
    <s v="Musical accessories production item #046"/>
    <s v="UNIQUE"/>
    <n v="0"/>
    <n v="1"/>
    <n v="4096"/>
    <n v="0"/>
    <n v="4096"/>
  </r>
  <r>
    <x v="0"/>
    <x v="27"/>
    <x v="5"/>
    <n v="1"/>
    <n v="64"/>
    <s v="00"/>
    <s v="047"/>
    <s v="16400-047"/>
    <s v="Musical accessories production item #047"/>
    <s v="UNIQUE"/>
    <n v="51"/>
    <n v="8"/>
    <n v="2197"/>
    <n v="408"/>
    <n v="17576"/>
  </r>
  <r>
    <x v="0"/>
    <x v="27"/>
    <x v="5"/>
    <n v="1"/>
    <n v="64"/>
    <s v="00"/>
    <s v="048"/>
    <s v="16400-048"/>
    <s v="Musical accessories production item #048"/>
    <s v="UNIQUE"/>
    <n v="0"/>
    <n v="16"/>
    <n v="23"/>
    <n v="0"/>
    <n v="368"/>
  </r>
  <r>
    <x v="0"/>
    <x v="27"/>
    <x v="5"/>
    <n v="1"/>
    <n v="64"/>
    <s v="00"/>
    <s v="049"/>
    <s v="16400-049"/>
    <s v="Musical accessories production item #049"/>
    <s v="UNIQUE"/>
    <n v="0"/>
    <n v="100"/>
    <n v="14"/>
    <n v="0"/>
    <n v="1400"/>
  </r>
  <r>
    <x v="0"/>
    <x v="27"/>
    <x v="5"/>
    <n v="1"/>
    <n v="64"/>
    <s v="00"/>
    <s v="050"/>
    <s v="16400-050"/>
    <s v="Musical accessories production item #050"/>
    <s v="UNIQUE"/>
    <n v="64"/>
    <n v="1000"/>
    <n v="5832"/>
    <n v="64000"/>
    <n v="5832000"/>
  </r>
  <r>
    <x v="0"/>
    <x v="27"/>
    <x v="5"/>
    <n v="1"/>
    <n v="64"/>
    <s v="00"/>
    <s v="051"/>
    <s v="16400-051"/>
    <s v="Musical accessories production item #051"/>
    <s v="UNIQUE"/>
    <n v="5457"/>
    <n v="5"/>
    <n v="216"/>
    <n v="27285"/>
    <n v="1080"/>
  </r>
  <r>
    <x v="0"/>
    <x v="27"/>
    <x v="5"/>
    <n v="1"/>
    <n v="64"/>
    <s v="00"/>
    <s v="052"/>
    <s v="16400-052"/>
    <s v="Musical accessories production item #052"/>
    <s v="UNIQUE"/>
    <n v="0"/>
    <n v="10"/>
    <n v="19683"/>
    <n v="0"/>
    <n v="196830"/>
  </r>
  <r>
    <x v="0"/>
    <x v="27"/>
    <x v="5"/>
    <n v="1"/>
    <n v="64"/>
    <s v="00"/>
    <s v="053"/>
    <s v="16400-053"/>
    <s v="Musical accessories production item #053"/>
    <s v="UNIQUE"/>
    <n v="0"/>
    <n v="9"/>
    <n v="30"/>
    <n v="0"/>
    <n v="270"/>
  </r>
  <r>
    <x v="0"/>
    <x v="27"/>
    <x v="5"/>
    <n v="1"/>
    <n v="64"/>
    <s v="00"/>
    <s v="054"/>
    <s v="16400-054"/>
    <s v="Musical accessories production item #054"/>
    <s v="UNIQUE"/>
    <n v="1"/>
    <n v="216"/>
    <n v="7"/>
    <n v="216"/>
    <n v="1512"/>
  </r>
  <r>
    <x v="0"/>
    <x v="27"/>
    <x v="5"/>
    <n v="1"/>
    <n v="64"/>
    <s v="00"/>
    <s v="055"/>
    <s v="16400-055"/>
    <s v="Musical accessories production item #055"/>
    <s v="UNIQUE"/>
    <n v="1"/>
    <n v="512"/>
    <n v="9261"/>
    <n v="512"/>
    <n v="4741632"/>
  </r>
  <r>
    <x v="0"/>
    <x v="27"/>
    <x v="5"/>
    <n v="1"/>
    <n v="64"/>
    <s v="00"/>
    <s v="056"/>
    <s v="16400-056"/>
    <s v="Musical accessories production item #056"/>
    <s v="UNIQUE"/>
    <n v="925"/>
    <n v="36"/>
    <n v="27000"/>
    <n v="33300"/>
    <n v="972000"/>
  </r>
  <r>
    <x v="0"/>
    <x v="27"/>
    <x v="5"/>
    <n v="1"/>
    <n v="64"/>
    <s v="00"/>
    <s v="057"/>
    <s v="16400-057"/>
    <s v="Musical accessories production item #057"/>
    <s v="UNIQUE"/>
    <n v="65"/>
    <n v="3"/>
    <n v="1"/>
    <n v="195"/>
    <n v="3"/>
  </r>
  <r>
    <x v="0"/>
    <x v="27"/>
    <x v="5"/>
    <n v="1"/>
    <n v="64"/>
    <s v="00"/>
    <s v="058"/>
    <s v="16400-058"/>
    <s v="Musical accessories production item #058"/>
    <s v="UNIQUE"/>
    <n v="0"/>
    <n v="49"/>
    <n v="484"/>
    <n v="0"/>
    <n v="23716"/>
  </r>
  <r>
    <x v="0"/>
    <x v="27"/>
    <x v="5"/>
    <n v="1"/>
    <n v="64"/>
    <s v="00"/>
    <s v="059"/>
    <s v="16400-059"/>
    <s v="Musical accessories production item #059"/>
    <s v="UNIQUE"/>
    <n v="5"/>
    <n v="64"/>
    <n v="11"/>
    <n v="320"/>
    <n v="704"/>
  </r>
  <r>
    <x v="0"/>
    <x v="27"/>
    <x v="5"/>
    <n v="1"/>
    <n v="64"/>
    <s v="00"/>
    <s v="060"/>
    <s v="16400-060"/>
    <s v="Musical accessories production item #060"/>
    <s v="UNIQUE"/>
    <n v="0"/>
    <n v="25"/>
    <n v="22"/>
    <n v="0"/>
    <n v="550"/>
  </r>
  <r>
    <x v="0"/>
    <x v="27"/>
    <x v="5"/>
    <n v="1"/>
    <n v="64"/>
    <s v="00"/>
    <s v="061"/>
    <s v="16400-061"/>
    <s v="Musical accessories production item #061"/>
    <s v="UNIQUE"/>
    <n v="952"/>
    <n v="4"/>
    <n v="14"/>
    <n v="3808"/>
    <n v="56"/>
  </r>
  <r>
    <x v="0"/>
    <x v="27"/>
    <x v="5"/>
    <n v="1"/>
    <n v="64"/>
    <s v="00"/>
    <s v="062"/>
    <s v="16400-062"/>
    <s v="Musical accessories production item #062"/>
    <s v="UNIQUE"/>
    <n v="912"/>
    <n v="1"/>
    <n v="3375"/>
    <n v="912"/>
    <n v="3375"/>
  </r>
  <r>
    <x v="0"/>
    <x v="27"/>
    <x v="5"/>
    <n v="1"/>
    <n v="64"/>
    <s v="00"/>
    <s v="063"/>
    <s v="16400-063"/>
    <s v="Musical accessories production item #063"/>
    <s v="UNIQUE"/>
    <n v="3"/>
    <n v="5"/>
    <n v="0"/>
    <n v="15"/>
    <n v="0"/>
  </r>
  <r>
    <x v="0"/>
    <x v="27"/>
    <x v="5"/>
    <n v="1"/>
    <n v="64"/>
    <s v="00"/>
    <s v="064"/>
    <s v="16400-064"/>
    <s v="Musical accessories production item #064"/>
    <s v="UNIQUE"/>
    <n v="671"/>
    <n v="64"/>
    <n v="9"/>
    <n v="42944"/>
    <n v="576"/>
  </r>
  <r>
    <x v="0"/>
    <x v="27"/>
    <x v="5"/>
    <n v="1"/>
    <n v="64"/>
    <s v="00"/>
    <s v="065"/>
    <s v="16400-065"/>
    <s v="Musical accessories production item #065"/>
    <s v="UNIQUE"/>
    <n v="262"/>
    <n v="1"/>
    <n v="25"/>
    <n v="262"/>
    <n v="25"/>
  </r>
  <r>
    <x v="0"/>
    <x v="27"/>
    <x v="5"/>
    <n v="1"/>
    <n v="64"/>
    <s v="00"/>
    <s v="066"/>
    <s v="16400-066"/>
    <s v="Musical accessories production item #066"/>
    <s v="UNIQUE"/>
    <n v="0"/>
    <n v="81"/>
    <n v="4"/>
    <n v="0"/>
    <n v="324"/>
  </r>
  <r>
    <x v="0"/>
    <x v="27"/>
    <x v="5"/>
    <n v="1"/>
    <n v="64"/>
    <s v="00"/>
    <s v="067"/>
    <s v="16400-067"/>
    <s v="Musical accessories production item #067"/>
    <s v="UNIQUE"/>
    <n v="2"/>
    <n v="5"/>
    <n v="4"/>
    <n v="10"/>
    <n v="20"/>
  </r>
  <r>
    <x v="0"/>
    <x v="27"/>
    <x v="5"/>
    <n v="1"/>
    <n v="64"/>
    <s v="00"/>
    <s v="068"/>
    <s v="16400-068"/>
    <s v="Musical accessories production item #068"/>
    <s v="UNIQUE"/>
    <n v="0"/>
    <n v="25"/>
    <n v="625"/>
    <n v="0"/>
    <n v="15625"/>
  </r>
  <r>
    <x v="0"/>
    <x v="27"/>
    <x v="5"/>
    <n v="1"/>
    <n v="64"/>
    <s v="00"/>
    <s v="069"/>
    <s v="16400-069"/>
    <s v="Musical accessories production item #069"/>
    <s v="UNIQUE"/>
    <n v="171"/>
    <n v="16"/>
    <n v="169"/>
    <n v="2736"/>
    <n v="2704"/>
  </r>
  <r>
    <x v="0"/>
    <x v="27"/>
    <x v="5"/>
    <n v="1"/>
    <n v="64"/>
    <s v="00"/>
    <s v="070"/>
    <s v="16400-070"/>
    <s v="Musical accessories production item #070"/>
    <s v="UNIQUE"/>
    <n v="341"/>
    <n v="4"/>
    <n v="64"/>
    <n v="1364"/>
    <n v="256"/>
  </r>
  <r>
    <x v="0"/>
    <x v="27"/>
    <x v="5"/>
    <n v="1"/>
    <n v="64"/>
    <s v="00"/>
    <s v="071"/>
    <s v="16400-071"/>
    <s v="Musical accessories production item #071"/>
    <s v="UNIQUE"/>
    <n v="0"/>
    <n v="100"/>
    <n v="125"/>
    <n v="0"/>
    <n v="12500"/>
  </r>
  <r>
    <x v="0"/>
    <x v="27"/>
    <x v="5"/>
    <n v="1"/>
    <n v="64"/>
    <s v="00"/>
    <s v="072"/>
    <s v="16400-072"/>
    <s v="Musical accessories production item #072"/>
    <s v="UNIQUE"/>
    <n v="22"/>
    <n v="25"/>
    <n v="12167"/>
    <n v="550"/>
    <n v="304175"/>
  </r>
  <r>
    <x v="0"/>
    <x v="27"/>
    <x v="5"/>
    <n v="1"/>
    <n v="64"/>
    <s v="00"/>
    <s v="073"/>
    <s v="16400-073"/>
    <s v="Musical accessories production item #073"/>
    <s v="UNIQUE"/>
    <n v="42"/>
    <n v="4"/>
    <n v="20"/>
    <n v="168"/>
    <n v="80"/>
  </r>
  <r>
    <x v="0"/>
    <x v="27"/>
    <x v="5"/>
    <n v="1"/>
    <n v="64"/>
    <s v="00"/>
    <s v="074"/>
    <s v="16400-074"/>
    <s v="Musical accessories production item #074"/>
    <s v="UNIQUE"/>
    <n v="0"/>
    <n v="64"/>
    <n v="9"/>
    <n v="0"/>
    <n v="576"/>
  </r>
  <r>
    <x v="0"/>
    <x v="27"/>
    <x v="5"/>
    <n v="1"/>
    <n v="64"/>
    <s v="00"/>
    <s v="075"/>
    <s v="16400-075"/>
    <s v="Musical accessories production item #075"/>
    <s v="UNIQUE"/>
    <n v="0"/>
    <n v="4"/>
    <n v="169"/>
    <n v="0"/>
    <n v="676"/>
  </r>
  <r>
    <x v="0"/>
    <x v="27"/>
    <x v="5"/>
    <n v="1"/>
    <n v="64"/>
    <s v="00"/>
    <s v="076"/>
    <s v="16400-076"/>
    <s v="Musical accessories production item #076"/>
    <s v="UNIQUE"/>
    <n v="0"/>
    <n v="5"/>
    <n v="3"/>
    <n v="0"/>
    <n v="15"/>
  </r>
  <r>
    <x v="0"/>
    <x v="27"/>
    <x v="5"/>
    <n v="1"/>
    <n v="64"/>
    <s v="00"/>
    <s v="077"/>
    <s v="16400-077"/>
    <s v="Musical accessories production item #077"/>
    <s v="UNIQUE"/>
    <n v="0"/>
    <n v="64"/>
    <n v="4"/>
    <n v="0"/>
    <n v="256"/>
  </r>
  <r>
    <x v="0"/>
    <x v="27"/>
    <x v="5"/>
    <n v="1"/>
    <n v="64"/>
    <s v="00"/>
    <s v="078"/>
    <s v="16400-078"/>
    <s v="Musical accessories production item #078"/>
    <s v="UNIQUE"/>
    <n v="0"/>
    <n v="64"/>
    <n v="512"/>
    <n v="0"/>
    <n v="32768"/>
  </r>
  <r>
    <x v="0"/>
    <x v="27"/>
    <x v="5"/>
    <n v="1"/>
    <n v="64"/>
    <s v="00"/>
    <s v="079"/>
    <s v="16400-079"/>
    <s v="Musical accessories production item #079"/>
    <s v="UNIQUE"/>
    <n v="0"/>
    <n v="1000"/>
    <n v="24389"/>
    <n v="0"/>
    <n v="24389000"/>
  </r>
  <r>
    <x v="0"/>
    <x v="27"/>
    <x v="5"/>
    <n v="1"/>
    <n v="64"/>
    <s v="00"/>
    <s v="080"/>
    <s v="16400-080"/>
    <s v="Musical accessories production item #080"/>
    <s v="UNIQUE"/>
    <n v="0"/>
    <n v="49"/>
    <n v="1728"/>
    <n v="0"/>
    <n v="84672"/>
  </r>
  <r>
    <x v="0"/>
    <x v="27"/>
    <x v="5"/>
    <n v="1"/>
    <n v="64"/>
    <s v="00"/>
    <s v="081"/>
    <s v="16400-081"/>
    <s v="Musical accessories production item #081"/>
    <s v="UNIQUE"/>
    <n v="1"/>
    <n v="9"/>
    <n v="0"/>
    <n v="9"/>
    <n v="0"/>
  </r>
  <r>
    <x v="0"/>
    <x v="27"/>
    <x v="5"/>
    <n v="1"/>
    <n v="64"/>
    <s v="00"/>
    <s v="082"/>
    <s v="16400-082"/>
    <s v="Musical accessories production item #082"/>
    <s v="UNIQUE"/>
    <n v="0"/>
    <n v="36"/>
    <n v="529"/>
    <n v="0"/>
    <n v="19044"/>
  </r>
  <r>
    <x v="0"/>
    <x v="27"/>
    <x v="5"/>
    <n v="1"/>
    <n v="64"/>
    <s v="00"/>
    <s v="083"/>
    <s v="16400-083"/>
    <s v="Musical accessories production item #083"/>
    <s v="UNIQUE"/>
    <n v="0"/>
    <n v="9"/>
    <n v="6859"/>
    <n v="0"/>
    <n v="61731"/>
  </r>
  <r>
    <x v="0"/>
    <x v="27"/>
    <x v="5"/>
    <n v="1"/>
    <n v="64"/>
    <s v="00"/>
    <s v="084"/>
    <s v="16400-084"/>
    <s v="Musical accessories production item #084"/>
    <s v="UNIQUE"/>
    <n v="0"/>
    <n v="7"/>
    <n v="12"/>
    <n v="0"/>
    <n v="84"/>
  </r>
  <r>
    <x v="0"/>
    <x v="27"/>
    <x v="5"/>
    <n v="1"/>
    <n v="64"/>
    <s v="00"/>
    <s v="085"/>
    <s v="16400-085"/>
    <s v="Musical accessories production item #085"/>
    <s v="UNIQUE"/>
    <n v="700"/>
    <n v="1"/>
    <n v="27"/>
    <n v="700"/>
    <n v="27"/>
  </r>
  <r>
    <x v="0"/>
    <x v="27"/>
    <x v="5"/>
    <n v="1"/>
    <n v="64"/>
    <s v="00"/>
    <s v="086"/>
    <s v="16400-086"/>
    <s v="Musical accessories production item #086"/>
    <s v="UNIQUE"/>
    <n v="96"/>
    <n v="9"/>
    <n v="4"/>
    <n v="864"/>
    <n v="36"/>
  </r>
  <r>
    <x v="0"/>
    <x v="27"/>
    <x v="5"/>
    <n v="1"/>
    <n v="64"/>
    <s v="00"/>
    <s v="087"/>
    <s v="16400-087"/>
    <s v="Musical accessories production item #087"/>
    <s v="UNIQUE"/>
    <n v="1234"/>
    <n v="125"/>
    <n v="343"/>
    <n v="154250"/>
    <n v="42875"/>
  </r>
  <r>
    <x v="0"/>
    <x v="27"/>
    <x v="5"/>
    <n v="1"/>
    <n v="64"/>
    <s v="00"/>
    <s v="088"/>
    <s v="16400-088"/>
    <s v="Musical accessories production item #088"/>
    <s v="UNIQUE"/>
    <n v="0"/>
    <n v="49"/>
    <n v="729"/>
    <n v="0"/>
    <n v="35721"/>
  </r>
  <r>
    <x v="0"/>
    <x v="27"/>
    <x v="5"/>
    <n v="1"/>
    <n v="64"/>
    <s v="00"/>
    <s v="089"/>
    <s v="16400-089"/>
    <s v="Musical accessories production item #089"/>
    <s v="UNIQUE"/>
    <n v="7"/>
    <n v="49"/>
    <n v="4913"/>
    <n v="343"/>
    <n v="240737"/>
  </r>
  <r>
    <x v="0"/>
    <x v="27"/>
    <x v="5"/>
    <n v="1"/>
    <n v="64"/>
    <s v="00"/>
    <s v="090"/>
    <s v="16400-090"/>
    <s v="Musical accessories production item #090"/>
    <s v="UNIQUE"/>
    <n v="0"/>
    <n v="4"/>
    <n v="3"/>
    <n v="0"/>
    <n v="12"/>
  </r>
  <r>
    <x v="0"/>
    <x v="27"/>
    <x v="5"/>
    <n v="1"/>
    <n v="64"/>
    <s v="00"/>
    <s v="091"/>
    <s v="16400-091"/>
    <s v="Musical accessories production item #091"/>
    <s v="UNIQUE"/>
    <n v="0"/>
    <n v="343"/>
    <n v="400"/>
    <n v="0"/>
    <n v="137200"/>
  </r>
  <r>
    <x v="0"/>
    <x v="27"/>
    <x v="5"/>
    <n v="1"/>
    <n v="64"/>
    <s v="00"/>
    <s v="092"/>
    <s v="16400-092"/>
    <s v="Musical accessories production item #092"/>
    <s v="UNIQUE"/>
    <n v="450"/>
    <n v="8"/>
    <n v="28"/>
    <n v="3600"/>
    <n v="224"/>
  </r>
  <r>
    <x v="0"/>
    <x v="27"/>
    <x v="5"/>
    <n v="1"/>
    <n v="64"/>
    <s v="00"/>
    <s v="093"/>
    <s v="16400-093"/>
    <s v="Musical accessories production item #093"/>
    <s v="UNIQUE"/>
    <n v="0"/>
    <n v="8"/>
    <n v="10"/>
    <n v="0"/>
    <n v="80"/>
  </r>
  <r>
    <x v="0"/>
    <x v="27"/>
    <x v="5"/>
    <n v="1"/>
    <n v="64"/>
    <s v="00"/>
    <s v="094"/>
    <s v="16400-094"/>
    <s v="Musical accessories production item #094"/>
    <s v="UNIQUE"/>
    <n v="0"/>
    <n v="25"/>
    <n v="13824"/>
    <n v="0"/>
    <n v="345600"/>
  </r>
  <r>
    <x v="0"/>
    <x v="27"/>
    <x v="5"/>
    <n v="1"/>
    <n v="64"/>
    <s v="00"/>
    <s v="095"/>
    <s v="16400-095"/>
    <s v="Musical accessories production item #095"/>
    <s v="UNIQUE"/>
    <n v="0"/>
    <n v="100"/>
    <n v="169"/>
    <n v="0"/>
    <n v="16900"/>
  </r>
  <r>
    <x v="0"/>
    <x v="27"/>
    <x v="5"/>
    <n v="1"/>
    <n v="64"/>
    <s v="00"/>
    <s v="096"/>
    <s v="16400-096"/>
    <s v="Musical accessories production item #096"/>
    <s v="UNIQUE"/>
    <n v="0"/>
    <n v="27"/>
    <n v="26"/>
    <n v="0"/>
    <n v="702"/>
  </r>
  <r>
    <x v="0"/>
    <x v="27"/>
    <x v="5"/>
    <n v="1"/>
    <n v="64"/>
    <s v="00"/>
    <s v="097"/>
    <s v="16400-097"/>
    <s v="Musical accessories production item #097"/>
    <s v="UNIQUE"/>
    <n v="98"/>
    <n v="4"/>
    <n v="81"/>
    <n v="392"/>
    <n v="324"/>
  </r>
  <r>
    <x v="0"/>
    <x v="27"/>
    <x v="5"/>
    <n v="1"/>
    <n v="64"/>
    <s v="00"/>
    <s v="098"/>
    <s v="16400-098"/>
    <s v="Musical accessories production item #098"/>
    <s v="UNIQUE"/>
    <n v="1"/>
    <n v="1000"/>
    <n v="484"/>
    <n v="1000"/>
    <n v="484000"/>
  </r>
  <r>
    <x v="0"/>
    <x v="27"/>
    <x v="5"/>
    <n v="1"/>
    <n v="64"/>
    <s v="00"/>
    <s v="099"/>
    <s v="16400-099"/>
    <s v="Musical accessories production item #099"/>
    <s v="UNIQUE"/>
    <n v="3677"/>
    <n v="64"/>
    <n v="13824"/>
    <n v="235328"/>
    <n v="884736"/>
  </r>
  <r>
    <x v="0"/>
    <x v="27"/>
    <x v="5"/>
    <n v="1"/>
    <n v="64"/>
    <s v="00"/>
    <s v="100"/>
    <s v="16400-100"/>
    <s v="Musical accessories production item #100"/>
    <s v="UNIQUE"/>
    <n v="66"/>
    <n v="1000"/>
    <n v="0"/>
    <n v="66000"/>
    <n v="0"/>
  </r>
  <r>
    <x v="0"/>
    <x v="27"/>
    <x v="5"/>
    <n v="1"/>
    <n v="64"/>
    <s v="00"/>
    <s v="101"/>
    <s v="16400-101"/>
    <s v="Musical accessories production item #101"/>
    <s v="UNIQUE"/>
    <n v="0"/>
    <n v="9"/>
    <n v="6859"/>
    <n v="0"/>
    <n v="61731"/>
  </r>
  <r>
    <x v="0"/>
    <x v="27"/>
    <x v="5"/>
    <n v="1"/>
    <n v="64"/>
    <s v="00"/>
    <s v="102"/>
    <s v="16400-102"/>
    <s v="Musical accessories production item #102"/>
    <s v="UNIQUE"/>
    <n v="0"/>
    <n v="100"/>
    <n v="11"/>
    <n v="0"/>
    <n v="1100"/>
  </r>
  <r>
    <x v="0"/>
    <x v="27"/>
    <x v="5"/>
    <n v="1"/>
    <n v="64"/>
    <s v="00"/>
    <s v="103"/>
    <s v="16400-103"/>
    <s v="Musical accessories production item #103"/>
    <s v="UNIQUE"/>
    <n v="5663"/>
    <n v="27"/>
    <n v="9261"/>
    <n v="152901"/>
    <n v="250047"/>
  </r>
  <r>
    <x v="0"/>
    <x v="27"/>
    <x v="5"/>
    <n v="1"/>
    <n v="64"/>
    <s v="00"/>
    <s v="104"/>
    <s v="16400-104"/>
    <s v="Musical accessories production item #104"/>
    <s v="UNIQUE"/>
    <n v="7"/>
    <n v="3"/>
    <n v="18"/>
    <n v="21"/>
    <n v="54"/>
  </r>
  <r>
    <x v="0"/>
    <x v="27"/>
    <x v="5"/>
    <n v="1"/>
    <n v="64"/>
    <s v="00"/>
    <s v="105"/>
    <s v="16400-105"/>
    <s v="Musical accessories production item #105"/>
    <s v="UNIQUE"/>
    <n v="9"/>
    <n v="4"/>
    <n v="900"/>
    <n v="36"/>
    <n v="3600"/>
  </r>
  <r>
    <x v="0"/>
    <x v="27"/>
    <x v="5"/>
    <n v="1"/>
    <n v="64"/>
    <s v="00"/>
    <s v="106"/>
    <s v="16400-106"/>
    <s v="Musical accessories production item #106"/>
    <s v="UNIQUE"/>
    <n v="0"/>
    <n v="49"/>
    <n v="841"/>
    <n v="0"/>
    <n v="41209"/>
  </r>
  <r>
    <x v="0"/>
    <x v="27"/>
    <x v="5"/>
    <n v="1"/>
    <n v="64"/>
    <s v="00"/>
    <s v="107"/>
    <s v="16400-107"/>
    <s v="Musical accessories production item #107"/>
    <s v="UNIQUE"/>
    <n v="0"/>
    <n v="216"/>
    <n v="900"/>
    <n v="0"/>
    <n v="194400"/>
  </r>
  <r>
    <x v="0"/>
    <x v="27"/>
    <x v="5"/>
    <n v="1"/>
    <n v="64"/>
    <s v="00"/>
    <s v="108"/>
    <s v="16400-108"/>
    <s v="Musical accessories production item #108"/>
    <s v="UNIQUE"/>
    <n v="130"/>
    <n v="1"/>
    <n v="169"/>
    <n v="130"/>
    <n v="169"/>
  </r>
  <r>
    <x v="0"/>
    <x v="27"/>
    <x v="5"/>
    <n v="1"/>
    <n v="64"/>
    <s v="00"/>
    <s v="109"/>
    <s v="16400-109"/>
    <s v="Musical accessories production item #109"/>
    <s v="UNIQUE"/>
    <n v="1"/>
    <n v="10"/>
    <n v="324"/>
    <n v="10"/>
    <n v="3240"/>
  </r>
  <r>
    <x v="0"/>
    <x v="27"/>
    <x v="5"/>
    <n v="1"/>
    <n v="64"/>
    <s v="00"/>
    <s v="110"/>
    <s v="16400-110"/>
    <s v="Musical accessories production item #110"/>
    <s v="UNIQUE"/>
    <n v="0"/>
    <n v="81"/>
    <n v="0"/>
    <n v="0"/>
    <n v="0"/>
  </r>
  <r>
    <x v="0"/>
    <x v="27"/>
    <x v="5"/>
    <n v="1"/>
    <n v="64"/>
    <s v="00"/>
    <s v="111"/>
    <s v="16400-111"/>
    <s v="Musical accessories production item #111"/>
    <s v="UNIQUE"/>
    <n v="0"/>
    <n v="1"/>
    <n v="25"/>
    <n v="0"/>
    <n v="25"/>
  </r>
  <r>
    <x v="0"/>
    <x v="27"/>
    <x v="5"/>
    <n v="1"/>
    <n v="64"/>
    <s v="00"/>
    <s v="112"/>
    <s v="16400-112"/>
    <s v="Musical accessories production item #112"/>
    <s v="UNIQUE"/>
    <n v="0"/>
    <n v="125"/>
    <n v="17576"/>
    <n v="0"/>
    <n v="2197000"/>
  </r>
  <r>
    <x v="0"/>
    <x v="27"/>
    <x v="5"/>
    <n v="1"/>
    <n v="64"/>
    <s v="00"/>
    <s v="113"/>
    <s v="16400-113"/>
    <s v="Musical accessories production item #113"/>
    <s v="UNIQUE"/>
    <n v="0"/>
    <n v="8"/>
    <n v="1"/>
    <n v="0"/>
    <n v="8"/>
  </r>
  <r>
    <x v="0"/>
    <x v="27"/>
    <x v="5"/>
    <n v="1"/>
    <n v="64"/>
    <s v="00"/>
    <s v="114"/>
    <s v="16400-114"/>
    <s v="Musical accessories production item #114"/>
    <s v="UNIQUE"/>
    <n v="0"/>
    <n v="1"/>
    <n v="27"/>
    <n v="0"/>
    <n v="27"/>
  </r>
  <r>
    <x v="0"/>
    <x v="27"/>
    <x v="5"/>
    <n v="1"/>
    <n v="64"/>
    <s v="00"/>
    <s v="115"/>
    <s v="16400-115"/>
    <s v="Musical accessories production item #115"/>
    <s v="UNIQUE"/>
    <n v="0"/>
    <n v="10"/>
    <n v="17576"/>
    <n v="0"/>
    <n v="175760"/>
  </r>
  <r>
    <x v="0"/>
    <x v="27"/>
    <x v="5"/>
    <n v="1"/>
    <n v="64"/>
    <s v="00"/>
    <s v="116"/>
    <s v="16400-116"/>
    <s v="Musical accessories production item #116"/>
    <s v="UNIQUE"/>
    <n v="5"/>
    <n v="5"/>
    <n v="8000"/>
    <n v="25"/>
    <n v="40000"/>
  </r>
  <r>
    <x v="0"/>
    <x v="27"/>
    <x v="5"/>
    <n v="1"/>
    <n v="64"/>
    <s v="00"/>
    <s v="117"/>
    <s v="16400-117"/>
    <s v="Musical accessories production item #117"/>
    <s v="UNIQUE"/>
    <n v="36"/>
    <n v="6"/>
    <n v="18"/>
    <n v="216"/>
    <n v="108"/>
  </r>
  <r>
    <x v="0"/>
    <x v="27"/>
    <x v="5"/>
    <n v="1"/>
    <n v="64"/>
    <s v="00"/>
    <s v="118"/>
    <s v="16400-118"/>
    <s v="Musical accessories production item #118"/>
    <s v="UNIQUE"/>
    <n v="0"/>
    <n v="5"/>
    <n v="121"/>
    <n v="0"/>
    <n v="605"/>
  </r>
  <r>
    <x v="0"/>
    <x v="27"/>
    <x v="5"/>
    <n v="1"/>
    <n v="64"/>
    <s v="00"/>
    <s v="119"/>
    <s v="16400-119"/>
    <s v="Musical accessories production item #119"/>
    <s v="UNIQUE"/>
    <n v="0"/>
    <n v="64"/>
    <n v="15"/>
    <n v="0"/>
    <n v="960"/>
  </r>
  <r>
    <x v="0"/>
    <x v="27"/>
    <x v="5"/>
    <n v="1"/>
    <n v="64"/>
    <s v="00"/>
    <s v="120"/>
    <s v="16400-120"/>
    <s v="Musical accessories production item #120"/>
    <s v="UNIQUE"/>
    <n v="0"/>
    <n v="10"/>
    <n v="529"/>
    <n v="0"/>
    <n v="5290"/>
  </r>
  <r>
    <x v="0"/>
    <x v="27"/>
    <x v="5"/>
    <n v="1"/>
    <n v="64"/>
    <s v="00"/>
    <s v="121"/>
    <s v="16400-121"/>
    <s v="Musical accessories production item #121"/>
    <s v="UNIQUE"/>
    <n v="0"/>
    <n v="9"/>
    <n v="400"/>
    <n v="0"/>
    <n v="3600"/>
  </r>
  <r>
    <x v="0"/>
    <x v="27"/>
    <x v="5"/>
    <n v="1"/>
    <n v="64"/>
    <s v="00"/>
    <s v="122"/>
    <s v="16400-122"/>
    <s v="Musical accessories production item #122"/>
    <s v="UNIQUE"/>
    <n v="0"/>
    <n v="216"/>
    <n v="5832"/>
    <n v="0"/>
    <n v="1259712"/>
  </r>
  <r>
    <x v="0"/>
    <x v="27"/>
    <x v="5"/>
    <n v="1"/>
    <n v="64"/>
    <s v="00"/>
    <s v="123"/>
    <s v="16400-123"/>
    <s v="Musical accessories production item #123"/>
    <s v="UNIQUE"/>
    <n v="8"/>
    <n v="4"/>
    <n v="729"/>
    <n v="32"/>
    <n v="2916"/>
  </r>
  <r>
    <x v="0"/>
    <x v="27"/>
    <x v="5"/>
    <n v="1"/>
    <n v="64"/>
    <s v="00"/>
    <s v="124"/>
    <s v="16400-124"/>
    <s v="Musical accessories production item #124"/>
    <s v="UNIQUE"/>
    <n v="0"/>
    <n v="6"/>
    <n v="9261"/>
    <n v="0"/>
    <n v="55566"/>
  </r>
  <r>
    <x v="0"/>
    <x v="27"/>
    <x v="5"/>
    <n v="1"/>
    <n v="64"/>
    <s v="00"/>
    <s v="125"/>
    <s v="16400-125"/>
    <s v="Musical accessories production item #125"/>
    <s v="UNIQUE"/>
    <n v="0"/>
    <n v="100"/>
    <n v="27"/>
    <n v="0"/>
    <n v="2700"/>
  </r>
  <r>
    <x v="0"/>
    <x v="27"/>
    <x v="5"/>
    <n v="1"/>
    <n v="64"/>
    <s v="00"/>
    <s v="126"/>
    <s v="16400-126"/>
    <s v="Musical accessories production item #126"/>
    <s v="UNIQUE"/>
    <n v="0"/>
    <n v="9"/>
    <n v="25"/>
    <n v="0"/>
    <n v="225"/>
  </r>
  <r>
    <x v="0"/>
    <x v="27"/>
    <x v="5"/>
    <n v="1"/>
    <n v="64"/>
    <s v="00"/>
    <s v="127"/>
    <s v="16400-127"/>
    <s v="Musical accessories production item #127"/>
    <s v="UNIQUE"/>
    <n v="0"/>
    <n v="4"/>
    <n v="256"/>
    <n v="0"/>
    <n v="1024"/>
  </r>
  <r>
    <x v="0"/>
    <x v="27"/>
    <x v="5"/>
    <n v="1"/>
    <n v="64"/>
    <s v="00"/>
    <s v="128"/>
    <s v="16400-128"/>
    <s v="Musical accessories production item #128"/>
    <s v="UNIQUE"/>
    <n v="0"/>
    <n v="64"/>
    <n v="27"/>
    <n v="0"/>
    <n v="1728"/>
  </r>
  <r>
    <x v="0"/>
    <x v="27"/>
    <x v="5"/>
    <n v="1"/>
    <n v="64"/>
    <s v="00"/>
    <s v="129"/>
    <s v="16400-129"/>
    <s v="Musical accessories production item #129"/>
    <s v="UNIQUE"/>
    <n v="0"/>
    <n v="81"/>
    <n v="9"/>
    <n v="0"/>
    <n v="729"/>
  </r>
  <r>
    <x v="0"/>
    <x v="27"/>
    <x v="5"/>
    <n v="1"/>
    <n v="64"/>
    <s v="00"/>
    <s v="130"/>
    <s v="16400-130"/>
    <s v="Musical accessories production item #130"/>
    <s v="UNIQUE"/>
    <n v="0"/>
    <n v="7"/>
    <n v="12"/>
    <n v="0"/>
    <n v="84"/>
  </r>
  <r>
    <x v="0"/>
    <x v="27"/>
    <x v="5"/>
    <n v="1"/>
    <n v="64"/>
    <s v="00"/>
    <s v="131"/>
    <s v="16400-131"/>
    <s v="Musical accessories production item #131"/>
    <s v="UNIQUE"/>
    <n v="68"/>
    <n v="3"/>
    <n v="2197"/>
    <n v="204"/>
    <n v="6591"/>
  </r>
  <r>
    <x v="0"/>
    <x v="27"/>
    <x v="5"/>
    <n v="1"/>
    <n v="64"/>
    <s v="00"/>
    <s v="132"/>
    <s v="16400-132"/>
    <s v="Musical accessories production item #132"/>
    <s v="UNIQUE"/>
    <n v="0"/>
    <n v="27"/>
    <n v="0"/>
    <n v="0"/>
    <n v="0"/>
  </r>
  <r>
    <x v="0"/>
    <x v="27"/>
    <x v="5"/>
    <n v="1"/>
    <n v="64"/>
    <s v="00"/>
    <s v="133"/>
    <s v="16400-133"/>
    <s v="Musical accessories production item #133"/>
    <s v="UNIQUE"/>
    <n v="3770"/>
    <n v="729"/>
    <n v="529"/>
    <n v="2748330"/>
    <n v="385641"/>
  </r>
  <r>
    <x v="0"/>
    <x v="27"/>
    <x v="5"/>
    <n v="1"/>
    <n v="64"/>
    <s v="00"/>
    <s v="134"/>
    <s v="16400-134"/>
    <s v="Musical accessories production item #134"/>
    <s v="UNIQUE"/>
    <n v="45"/>
    <n v="6"/>
    <n v="400"/>
    <n v="270"/>
    <n v="2400"/>
  </r>
  <r>
    <x v="0"/>
    <x v="27"/>
    <x v="5"/>
    <n v="1"/>
    <n v="64"/>
    <s v="00"/>
    <s v="135"/>
    <s v="16400-135"/>
    <s v="Musical accessories production item #135"/>
    <s v="UNIQUE"/>
    <n v="280"/>
    <n v="64"/>
    <n v="21952"/>
    <n v="17920"/>
    <n v="1404928"/>
  </r>
  <r>
    <x v="0"/>
    <x v="27"/>
    <x v="5"/>
    <n v="1"/>
    <n v="64"/>
    <s v="00"/>
    <s v="136"/>
    <s v="16400-136"/>
    <s v="Musical accessories production item #136"/>
    <s v="UNIQUE"/>
    <n v="0"/>
    <n v="8"/>
    <n v="13"/>
    <n v="0"/>
    <n v="104"/>
  </r>
  <r>
    <x v="0"/>
    <x v="27"/>
    <x v="5"/>
    <n v="1"/>
    <n v="64"/>
    <s v="00"/>
    <s v="137"/>
    <s v="16400-137"/>
    <s v="Musical accessories production item #137"/>
    <s v="UNIQUE"/>
    <n v="0"/>
    <n v="2"/>
    <n v="121"/>
    <n v="0"/>
    <n v="242"/>
  </r>
  <r>
    <x v="0"/>
    <x v="27"/>
    <x v="5"/>
    <n v="1"/>
    <n v="64"/>
    <s v="00"/>
    <s v="138"/>
    <s v="16400-138"/>
    <s v="Musical accessories production item #138"/>
    <s v="UNIQUE"/>
    <n v="0"/>
    <n v="1"/>
    <n v="8"/>
    <n v="0"/>
    <n v="8"/>
  </r>
  <r>
    <x v="0"/>
    <x v="27"/>
    <x v="5"/>
    <n v="1"/>
    <n v="64"/>
    <s v="00"/>
    <s v="139"/>
    <s v="16400-139"/>
    <s v="Musical accessories production item #139"/>
    <s v="UNIQUE"/>
    <n v="0"/>
    <n v="8"/>
    <n v="27"/>
    <n v="0"/>
    <n v="216"/>
  </r>
  <r>
    <x v="0"/>
    <x v="27"/>
    <x v="5"/>
    <n v="1"/>
    <n v="64"/>
    <s v="00"/>
    <s v="140"/>
    <s v="16400-140"/>
    <s v="Musical accessories production item #140"/>
    <s v="UNIQUE"/>
    <n v="0"/>
    <n v="8"/>
    <n v="512"/>
    <n v="0"/>
    <n v="4096"/>
  </r>
  <r>
    <x v="0"/>
    <x v="27"/>
    <x v="5"/>
    <n v="1"/>
    <n v="64"/>
    <s v="00"/>
    <s v="141"/>
    <s v="16400-141"/>
    <s v="Musical accessories production item #141"/>
    <s v="UNIQUE"/>
    <n v="1"/>
    <n v="64"/>
    <n v="27000"/>
    <n v="64"/>
    <n v="1728000"/>
  </r>
  <r>
    <x v="0"/>
    <x v="27"/>
    <x v="5"/>
    <n v="1"/>
    <n v="64"/>
    <s v="00"/>
    <s v="142"/>
    <s v="16400-142"/>
    <s v="Musical accessories production item #142"/>
    <s v="UNIQUE"/>
    <n v="0"/>
    <n v="36"/>
    <n v="13824"/>
    <n v="0"/>
    <n v="497664"/>
  </r>
  <r>
    <x v="0"/>
    <x v="27"/>
    <x v="5"/>
    <n v="1"/>
    <n v="64"/>
    <s v="00"/>
    <s v="143"/>
    <s v="16400-143"/>
    <s v="Musical accessories production item #143"/>
    <s v="UNIQUE"/>
    <n v="1"/>
    <n v="1"/>
    <n v="18"/>
    <n v="1"/>
    <n v="18"/>
  </r>
  <r>
    <x v="0"/>
    <x v="27"/>
    <x v="5"/>
    <n v="1"/>
    <n v="64"/>
    <s v="00"/>
    <s v="144"/>
    <s v="16400-144"/>
    <s v="Musical accessories production item #144"/>
    <s v="UNIQUE"/>
    <n v="50"/>
    <n v="2"/>
    <n v="1000"/>
    <n v="100"/>
    <n v="2000"/>
  </r>
  <r>
    <x v="0"/>
    <x v="27"/>
    <x v="5"/>
    <n v="1"/>
    <n v="64"/>
    <s v="00"/>
    <s v="145"/>
    <s v="16400-145"/>
    <s v="Musical accessories production item #145"/>
    <s v="UNIQUE"/>
    <n v="692"/>
    <n v="64"/>
    <n v="13"/>
    <n v="44288"/>
    <n v="832"/>
  </r>
  <r>
    <x v="0"/>
    <x v="27"/>
    <x v="5"/>
    <n v="1"/>
    <n v="64"/>
    <s v="00"/>
    <s v="146"/>
    <s v="16400-146"/>
    <s v="Musical accessories production item #146"/>
    <s v="UNIQUE"/>
    <n v="4"/>
    <n v="8"/>
    <n v="12"/>
    <n v="32"/>
    <n v="96"/>
  </r>
  <r>
    <x v="0"/>
    <x v="27"/>
    <x v="5"/>
    <n v="1"/>
    <n v="64"/>
    <s v="00"/>
    <s v="147"/>
    <s v="16400-147"/>
    <s v="Musical accessories production item #147"/>
    <s v="UNIQUE"/>
    <n v="1"/>
    <n v="1"/>
    <n v="3"/>
    <n v="1"/>
    <n v="3"/>
  </r>
  <r>
    <x v="0"/>
    <x v="27"/>
    <x v="5"/>
    <n v="1"/>
    <n v="64"/>
    <s v="00"/>
    <s v="148"/>
    <s v="16400-148"/>
    <s v="Musical accessories production item #148"/>
    <s v="UNIQUE"/>
    <n v="0"/>
    <n v="25"/>
    <n v="6859"/>
    <n v="0"/>
    <n v="171475"/>
  </r>
  <r>
    <x v="0"/>
    <x v="27"/>
    <x v="5"/>
    <n v="1"/>
    <n v="64"/>
    <s v="00"/>
    <s v="149"/>
    <s v="16400-149"/>
    <s v="Musical accessories production item #149"/>
    <s v="UNIQUE"/>
    <n v="599"/>
    <n v="729"/>
    <n v="13824"/>
    <n v="436671"/>
    <n v="10077696"/>
  </r>
  <r>
    <x v="0"/>
    <x v="27"/>
    <x v="5"/>
    <n v="1"/>
    <n v="64"/>
    <s v="00"/>
    <s v="150"/>
    <s v="16400-150"/>
    <s v="Musical accessories production item #150"/>
    <s v="UNIQUE"/>
    <n v="0"/>
    <n v="5"/>
    <n v="49"/>
    <n v="0"/>
    <n v="245"/>
  </r>
  <r>
    <x v="0"/>
    <x v="27"/>
    <x v="5"/>
    <n v="1"/>
    <n v="64"/>
    <s v="00"/>
    <s v="151"/>
    <s v="16400-151"/>
    <s v="Musical accessories production item #151"/>
    <s v="UNIQUE"/>
    <n v="78"/>
    <n v="7"/>
    <n v="25"/>
    <n v="546"/>
    <n v="175"/>
  </r>
  <r>
    <x v="0"/>
    <x v="27"/>
    <x v="5"/>
    <n v="1"/>
    <n v="64"/>
    <s v="00"/>
    <s v="152"/>
    <s v="16400-152"/>
    <s v="Musical accessories production item #152"/>
    <s v="UNIQUE"/>
    <n v="0"/>
    <n v="125"/>
    <n v="14"/>
    <n v="0"/>
    <n v="1750"/>
  </r>
  <r>
    <x v="0"/>
    <x v="27"/>
    <x v="5"/>
    <n v="1"/>
    <n v="64"/>
    <s v="00"/>
    <s v="153"/>
    <s v="16400-153"/>
    <s v="Musical accessories production item #153"/>
    <s v="UNIQUE"/>
    <n v="0"/>
    <n v="216"/>
    <n v="1"/>
    <n v="0"/>
    <n v="216"/>
  </r>
  <r>
    <x v="0"/>
    <x v="27"/>
    <x v="5"/>
    <n v="1"/>
    <n v="64"/>
    <s v="00"/>
    <s v="154"/>
    <s v="16400-154"/>
    <s v="Musical accessories production item #154"/>
    <s v="UNIQUE"/>
    <n v="0"/>
    <n v="343"/>
    <n v="729"/>
    <n v="0"/>
    <n v="250047"/>
  </r>
  <r>
    <x v="0"/>
    <x v="27"/>
    <x v="5"/>
    <n v="1"/>
    <n v="64"/>
    <s v="00"/>
    <s v="155"/>
    <s v="16400-155"/>
    <s v="Musical accessories production item #155"/>
    <s v="UNIQUE"/>
    <n v="0"/>
    <n v="81"/>
    <n v="4"/>
    <n v="0"/>
    <n v="324"/>
  </r>
  <r>
    <x v="0"/>
    <x v="27"/>
    <x v="5"/>
    <n v="1"/>
    <n v="64"/>
    <s v="00"/>
    <s v="156"/>
    <s v="16400-156"/>
    <s v="Musical accessories production item #156"/>
    <s v="UNIQUE"/>
    <n v="0"/>
    <n v="8"/>
    <n v="13824"/>
    <n v="0"/>
    <n v="110592"/>
  </r>
  <r>
    <x v="0"/>
    <x v="27"/>
    <x v="5"/>
    <n v="1"/>
    <n v="64"/>
    <s v="00"/>
    <s v="157"/>
    <s v="16400-157"/>
    <s v="Musical accessories production item #157"/>
    <s v="UNIQUE"/>
    <n v="7"/>
    <n v="125"/>
    <n v="4913"/>
    <n v="875"/>
    <n v="614125"/>
  </r>
  <r>
    <x v="0"/>
    <x v="27"/>
    <x v="5"/>
    <n v="1"/>
    <n v="64"/>
    <s v="00"/>
    <s v="158"/>
    <s v="16400-158"/>
    <s v="Musical accessories production item #158"/>
    <s v="UNIQUE"/>
    <n v="0"/>
    <n v="4"/>
    <n v="6"/>
    <n v="0"/>
    <n v="24"/>
  </r>
  <r>
    <x v="0"/>
    <x v="27"/>
    <x v="5"/>
    <n v="1"/>
    <n v="64"/>
    <s v="00"/>
    <s v="159"/>
    <s v="16400-159"/>
    <s v="Musical accessories production item #159"/>
    <s v="UNIQUE"/>
    <n v="7806"/>
    <n v="25"/>
    <n v="21952"/>
    <n v="195150"/>
    <n v="548800"/>
  </r>
  <r>
    <x v="0"/>
    <x v="27"/>
    <x v="5"/>
    <n v="1"/>
    <n v="64"/>
    <s v="00"/>
    <s v="160"/>
    <s v="16400-160"/>
    <s v="Musical accessories production item #160"/>
    <s v="UNIQUE"/>
    <n v="0"/>
    <n v="8"/>
    <n v="18"/>
    <n v="0"/>
    <n v="144"/>
  </r>
  <r>
    <x v="0"/>
    <x v="27"/>
    <x v="5"/>
    <n v="1"/>
    <n v="64"/>
    <s v="00"/>
    <s v="161"/>
    <s v="16400-161"/>
    <s v="Musical accessories production item #161"/>
    <s v="UNIQUE"/>
    <n v="0"/>
    <n v="10"/>
    <n v="8"/>
    <n v="0"/>
    <n v="80"/>
  </r>
  <r>
    <x v="0"/>
    <x v="27"/>
    <x v="5"/>
    <n v="1"/>
    <n v="64"/>
    <s v="00"/>
    <s v="162"/>
    <s v="16400-162"/>
    <s v="Musical accessories production item #162"/>
    <s v="UNIQUE"/>
    <n v="723"/>
    <n v="3"/>
    <n v="27000"/>
    <n v="2169"/>
    <n v="81000"/>
  </r>
  <r>
    <x v="0"/>
    <x v="27"/>
    <x v="5"/>
    <n v="1"/>
    <n v="64"/>
    <s v="00"/>
    <s v="163"/>
    <s v="16400-163"/>
    <s v="Musical accessories production item #163"/>
    <s v="UNIQUE"/>
    <n v="231"/>
    <n v="64"/>
    <n v="10"/>
    <n v="14784"/>
    <n v="640"/>
  </r>
  <r>
    <x v="0"/>
    <x v="27"/>
    <x v="5"/>
    <n v="1"/>
    <n v="64"/>
    <s v="00"/>
    <s v="164"/>
    <s v="16400-164"/>
    <s v="Musical accessories production item #164"/>
    <s v="UNIQUE"/>
    <n v="2074"/>
    <n v="10"/>
    <n v="625"/>
    <n v="20740"/>
    <n v="6250"/>
  </r>
  <r>
    <x v="0"/>
    <x v="27"/>
    <x v="5"/>
    <n v="1"/>
    <n v="64"/>
    <s v="00"/>
    <s v="165"/>
    <s v="16400-165"/>
    <s v="Musical accessories production item #165"/>
    <s v="UNIQUE"/>
    <n v="0"/>
    <n v="10"/>
    <n v="1728"/>
    <n v="0"/>
    <n v="17280"/>
  </r>
  <r>
    <x v="0"/>
    <x v="27"/>
    <x v="5"/>
    <n v="1"/>
    <n v="64"/>
    <s v="00"/>
    <s v="166"/>
    <s v="16400-166"/>
    <s v="Musical accessories production item #166"/>
    <s v="UNIQUE"/>
    <n v="0"/>
    <n v="49"/>
    <n v="484"/>
    <n v="0"/>
    <n v="23716"/>
  </r>
  <r>
    <x v="0"/>
    <x v="27"/>
    <x v="5"/>
    <n v="1"/>
    <n v="64"/>
    <s v="00"/>
    <s v="167"/>
    <s v="16400-167"/>
    <s v="Musical accessories production item #167"/>
    <s v="UNIQUE"/>
    <n v="0"/>
    <n v="216"/>
    <n v="16"/>
    <n v="0"/>
    <n v="3456"/>
  </r>
  <r>
    <x v="0"/>
    <x v="27"/>
    <x v="5"/>
    <n v="1"/>
    <n v="64"/>
    <s v="00"/>
    <s v="168"/>
    <s v="16400-168"/>
    <s v="Musical accessories production item #168"/>
    <s v="UNIQUE"/>
    <n v="1"/>
    <n v="5"/>
    <n v="29"/>
    <n v="5"/>
    <n v="145"/>
  </r>
  <r>
    <x v="0"/>
    <x v="27"/>
    <x v="5"/>
    <n v="1"/>
    <n v="64"/>
    <s v="00"/>
    <s v="169"/>
    <s v="16400-169"/>
    <s v="Musical accessories production item #169"/>
    <s v="UNIQUE"/>
    <n v="9227"/>
    <n v="8"/>
    <n v="64"/>
    <n v="73816"/>
    <n v="512"/>
  </r>
  <r>
    <x v="0"/>
    <x v="27"/>
    <x v="5"/>
    <n v="1"/>
    <n v="64"/>
    <s v="00"/>
    <s v="170"/>
    <s v="16400-170"/>
    <s v="Musical accessories production item #170"/>
    <s v="UNIQUE"/>
    <n v="9"/>
    <n v="512"/>
    <n v="16"/>
    <n v="4608"/>
    <n v="8192"/>
  </r>
  <r>
    <x v="0"/>
    <x v="27"/>
    <x v="5"/>
    <n v="1"/>
    <n v="64"/>
    <s v="00"/>
    <s v="171"/>
    <s v="16400-171"/>
    <s v="Musical accessories production item #171"/>
    <s v="UNIQUE"/>
    <n v="0"/>
    <n v="64"/>
    <n v="15625"/>
    <n v="0"/>
    <n v="1000000"/>
  </r>
  <r>
    <x v="0"/>
    <x v="27"/>
    <x v="5"/>
    <n v="1"/>
    <n v="64"/>
    <s v="00"/>
    <s v="172"/>
    <s v="16400-172"/>
    <s v="Musical accessories production item #172"/>
    <s v="UNIQUE"/>
    <n v="1"/>
    <n v="125"/>
    <n v="125"/>
    <n v="125"/>
    <n v="15625"/>
  </r>
  <r>
    <x v="0"/>
    <x v="27"/>
    <x v="5"/>
    <n v="1"/>
    <n v="64"/>
    <s v="00"/>
    <s v="173"/>
    <s v="16400-173"/>
    <s v="Musical accessories production item #173"/>
    <s v="UNIQUE"/>
    <n v="0"/>
    <n v="2"/>
    <n v="4096"/>
    <n v="0"/>
    <n v="8192"/>
  </r>
  <r>
    <x v="0"/>
    <x v="27"/>
    <x v="5"/>
    <n v="1"/>
    <n v="64"/>
    <s v="00"/>
    <s v="174"/>
    <s v="16400-174"/>
    <s v="Musical accessories production item #174"/>
    <s v="UNIQUE"/>
    <n v="0"/>
    <n v="7"/>
    <n v="144"/>
    <n v="0"/>
    <n v="1008"/>
  </r>
  <r>
    <x v="0"/>
    <x v="27"/>
    <x v="5"/>
    <n v="1"/>
    <n v="64"/>
    <s v="00"/>
    <s v="175"/>
    <s v="16400-175"/>
    <s v="Musical accessories production item #175"/>
    <s v="UNIQUE"/>
    <n v="0"/>
    <n v="343"/>
    <n v="8000"/>
    <n v="0"/>
    <n v="2744000"/>
  </r>
  <r>
    <x v="0"/>
    <x v="27"/>
    <x v="5"/>
    <n v="1"/>
    <n v="64"/>
    <s v="00"/>
    <s v="176"/>
    <s v="16400-176"/>
    <s v="Musical accessories production item #176"/>
    <s v="UNIQUE"/>
    <n v="5389"/>
    <n v="7"/>
    <n v="9261"/>
    <n v="37723"/>
    <n v="64827"/>
  </r>
  <r>
    <x v="0"/>
    <x v="27"/>
    <x v="5"/>
    <n v="1"/>
    <n v="64"/>
    <s v="00"/>
    <s v="177"/>
    <s v="16400-177"/>
    <s v="Musical accessories production item #177"/>
    <s v="UNIQUE"/>
    <n v="1"/>
    <n v="2"/>
    <n v="23"/>
    <n v="2"/>
    <n v="46"/>
  </r>
  <r>
    <x v="0"/>
    <x v="27"/>
    <x v="5"/>
    <n v="1"/>
    <n v="64"/>
    <s v="00"/>
    <s v="178"/>
    <s v="16400-178"/>
    <s v="Musical accessories production item #178"/>
    <s v="UNIQUE"/>
    <n v="0"/>
    <n v="1"/>
    <n v="14"/>
    <n v="0"/>
    <n v="14"/>
  </r>
  <r>
    <x v="0"/>
    <x v="27"/>
    <x v="5"/>
    <n v="1"/>
    <n v="64"/>
    <s v="00"/>
    <s v="179"/>
    <s v="16400-179"/>
    <s v="Musical accessories production item #179"/>
    <s v="UNIQUE"/>
    <n v="0"/>
    <n v="1"/>
    <n v="676"/>
    <n v="0"/>
    <n v="676"/>
  </r>
  <r>
    <x v="0"/>
    <x v="27"/>
    <x v="5"/>
    <n v="1"/>
    <n v="64"/>
    <s v="00"/>
    <s v="180"/>
    <s v="16400-180"/>
    <s v="Musical accessories production item #180"/>
    <s v="UNIQUE"/>
    <n v="0"/>
    <n v="125"/>
    <n v="22"/>
    <n v="0"/>
    <n v="2750"/>
  </r>
  <r>
    <x v="0"/>
    <x v="27"/>
    <x v="5"/>
    <n v="1"/>
    <n v="64"/>
    <s v="00"/>
    <s v="181"/>
    <s v="16400-181"/>
    <s v="Musical accessories production item #181"/>
    <s v="UNIQUE"/>
    <n v="97"/>
    <n v="6"/>
    <n v="19683"/>
    <n v="582"/>
    <n v="118098"/>
  </r>
  <r>
    <x v="0"/>
    <x v="27"/>
    <x v="5"/>
    <n v="1"/>
    <n v="64"/>
    <s v="00"/>
    <s v="182"/>
    <s v="16400-182"/>
    <s v="Musical accessories production item #182"/>
    <s v="UNIQUE"/>
    <n v="0"/>
    <n v="216"/>
    <n v="1728"/>
    <n v="0"/>
    <n v="373248"/>
  </r>
  <r>
    <x v="0"/>
    <x v="27"/>
    <x v="5"/>
    <n v="1"/>
    <n v="64"/>
    <s v="00"/>
    <s v="183"/>
    <s v="16400-183"/>
    <s v="Musical accessories production item #183"/>
    <s v="UNIQUE"/>
    <n v="0"/>
    <n v="4"/>
    <n v="121"/>
    <n v="0"/>
    <n v="484"/>
  </r>
  <r>
    <x v="0"/>
    <x v="27"/>
    <x v="5"/>
    <n v="1"/>
    <n v="64"/>
    <s v="00"/>
    <s v="184"/>
    <s v="16400-184"/>
    <s v="Musical accessories production item #184"/>
    <s v="UNIQUE"/>
    <n v="78"/>
    <n v="9"/>
    <n v="9"/>
    <n v="702"/>
    <n v="81"/>
  </r>
  <r>
    <x v="0"/>
    <x v="27"/>
    <x v="5"/>
    <n v="1"/>
    <n v="64"/>
    <s v="00"/>
    <s v="185"/>
    <s v="16400-185"/>
    <s v="Musical accessories production item #185"/>
    <s v="UNIQUE"/>
    <n v="0"/>
    <n v="64"/>
    <n v="12"/>
    <n v="0"/>
    <n v="768"/>
  </r>
  <r>
    <x v="0"/>
    <x v="27"/>
    <x v="5"/>
    <n v="1"/>
    <n v="64"/>
    <s v="00"/>
    <s v="186"/>
    <s v="16400-186"/>
    <s v="Musical accessories production item #186"/>
    <s v="UNIQUE"/>
    <n v="0"/>
    <n v="64"/>
    <n v="3375"/>
    <n v="0"/>
    <n v="216000"/>
  </r>
  <r>
    <x v="0"/>
    <x v="27"/>
    <x v="5"/>
    <n v="1"/>
    <n v="64"/>
    <s v="00"/>
    <s v="187"/>
    <s v="16400-187"/>
    <s v="Musical accessories production item #187"/>
    <s v="UNIQUE"/>
    <n v="0"/>
    <n v="81"/>
    <n v="9"/>
    <n v="0"/>
    <n v="729"/>
  </r>
  <r>
    <x v="0"/>
    <x v="27"/>
    <x v="5"/>
    <n v="1"/>
    <n v="64"/>
    <s v="00"/>
    <s v="188"/>
    <s v="16400-188"/>
    <s v="Musical accessories production item #188"/>
    <s v="UNIQUE"/>
    <n v="3"/>
    <n v="2"/>
    <n v="343"/>
    <n v="6"/>
    <n v="686"/>
  </r>
  <r>
    <x v="0"/>
    <x v="27"/>
    <x v="5"/>
    <n v="1"/>
    <n v="64"/>
    <s v="00"/>
    <s v="189"/>
    <s v="16400-189"/>
    <s v="Musical accessories production item #189"/>
    <s v="UNIQUE"/>
    <n v="0"/>
    <n v="1"/>
    <n v="19683"/>
    <n v="0"/>
    <n v="19683"/>
  </r>
  <r>
    <x v="0"/>
    <x v="27"/>
    <x v="5"/>
    <n v="1"/>
    <n v="64"/>
    <s v="00"/>
    <s v="190"/>
    <s v="16400-190"/>
    <s v="Musical accessories production item #190"/>
    <s v="UNIQUE"/>
    <n v="0"/>
    <n v="8"/>
    <n v="27"/>
    <n v="0"/>
    <n v="216"/>
  </r>
  <r>
    <x v="0"/>
    <x v="27"/>
    <x v="5"/>
    <n v="1"/>
    <n v="64"/>
    <s v="00"/>
    <s v="191"/>
    <s v="16400-191"/>
    <s v="Musical accessories production item #191"/>
    <s v="UNIQUE"/>
    <n v="0"/>
    <n v="16"/>
    <n v="27000"/>
    <n v="0"/>
    <n v="432000"/>
  </r>
  <r>
    <x v="0"/>
    <x v="27"/>
    <x v="5"/>
    <n v="1"/>
    <n v="64"/>
    <s v="00"/>
    <s v="192"/>
    <s v="16400-192"/>
    <s v="Musical accessories production item #192"/>
    <s v="UNIQUE"/>
    <n v="1"/>
    <n v="1"/>
    <n v="26"/>
    <n v="1"/>
    <n v="26"/>
  </r>
  <r>
    <x v="0"/>
    <x v="27"/>
    <x v="5"/>
    <n v="1"/>
    <n v="64"/>
    <s v="00"/>
    <s v="193"/>
    <s v="16400-193"/>
    <s v="Musical accessories production item #193"/>
    <s v="UNIQUE"/>
    <n v="6935"/>
    <n v="125"/>
    <n v="23"/>
    <n v="866875"/>
    <n v="2875"/>
  </r>
  <r>
    <x v="0"/>
    <x v="27"/>
    <x v="5"/>
    <n v="1"/>
    <n v="64"/>
    <s v="00"/>
    <s v="194"/>
    <s v="16400-194"/>
    <s v="Musical accessories production item #194"/>
    <s v="UNIQUE"/>
    <n v="0"/>
    <n v="64"/>
    <n v="22"/>
    <n v="0"/>
    <n v="1408"/>
  </r>
  <r>
    <x v="0"/>
    <x v="27"/>
    <x v="5"/>
    <n v="1"/>
    <n v="64"/>
    <s v="00"/>
    <s v="195"/>
    <s v="16400-195"/>
    <s v="Musical accessories production item #195"/>
    <s v="UNIQUE"/>
    <n v="0"/>
    <n v="9"/>
    <n v="361"/>
    <n v="0"/>
    <n v="3249"/>
  </r>
  <r>
    <x v="0"/>
    <x v="27"/>
    <x v="5"/>
    <n v="1"/>
    <n v="64"/>
    <s v="00"/>
    <s v="196"/>
    <s v="16400-196"/>
    <s v="Musical accessories production item #196"/>
    <s v="UNIQUE"/>
    <n v="0"/>
    <n v="81"/>
    <n v="576"/>
    <n v="0"/>
    <n v="46656"/>
  </r>
  <r>
    <x v="0"/>
    <x v="27"/>
    <x v="5"/>
    <n v="1"/>
    <n v="64"/>
    <s v="00"/>
    <s v="197"/>
    <s v="16400-197"/>
    <s v="Musical accessories production item #197"/>
    <s v="UNIQUE"/>
    <n v="1794"/>
    <n v="125"/>
    <n v="29"/>
    <n v="224250"/>
    <n v="3625"/>
  </r>
  <r>
    <x v="0"/>
    <x v="27"/>
    <x v="5"/>
    <n v="1"/>
    <n v="64"/>
    <s v="00"/>
    <s v="198"/>
    <s v="16400-198"/>
    <s v="Musical accessories production item #198"/>
    <s v="UNIQUE"/>
    <n v="0"/>
    <n v="3"/>
    <n v="18"/>
    <n v="0"/>
    <n v="54"/>
  </r>
  <r>
    <x v="0"/>
    <x v="27"/>
    <x v="5"/>
    <n v="1"/>
    <n v="64"/>
    <s v="00"/>
    <s v="199"/>
    <s v="16400-199"/>
    <s v="Musical accessories production item #199"/>
    <s v="UNIQUE"/>
    <n v="0"/>
    <n v="64"/>
    <n v="2197"/>
    <n v="0"/>
    <n v="140608"/>
  </r>
  <r>
    <x v="1"/>
    <x v="0"/>
    <x v="0"/>
    <n v="2"/>
    <n v="10"/>
    <s v="00"/>
    <s v="000"/>
    <s v="21000-000"/>
    <s v="Grand piano service item #000"/>
    <s v="UNIQUE"/>
    <n v="0"/>
    <n v="86"/>
    <n v="11"/>
    <n v="0"/>
    <n v="946"/>
  </r>
  <r>
    <x v="1"/>
    <x v="0"/>
    <x v="0"/>
    <n v="2"/>
    <n v="10"/>
    <s v="00"/>
    <s v="001"/>
    <s v="21000-001"/>
    <s v="Grand piano service item #001"/>
    <s v="UNIQUE"/>
    <n v="0"/>
    <n v="61"/>
    <n v="27"/>
    <n v="0"/>
    <n v="1647"/>
  </r>
  <r>
    <x v="1"/>
    <x v="0"/>
    <x v="0"/>
    <n v="2"/>
    <n v="10"/>
    <s v="00"/>
    <s v="002"/>
    <s v="21000-002"/>
    <s v="Grand piano service item #002"/>
    <s v="UNIQUE"/>
    <n v="1"/>
    <n v="3969"/>
    <n v="63"/>
    <n v="3969"/>
    <n v="250047"/>
  </r>
  <r>
    <x v="1"/>
    <x v="0"/>
    <x v="0"/>
    <n v="2"/>
    <n v="10"/>
    <s v="00"/>
    <s v="003"/>
    <s v="21000-003"/>
    <s v="Grand piano service item #003"/>
    <s v="UNIQUE"/>
    <n v="0"/>
    <n v="45"/>
    <n v="64"/>
    <n v="0"/>
    <n v="2880"/>
  </r>
  <r>
    <x v="1"/>
    <x v="0"/>
    <x v="0"/>
    <n v="2"/>
    <n v="10"/>
    <s v="00"/>
    <s v="004"/>
    <s v="21000-004"/>
    <s v="Grand piano service item #004"/>
    <s v="UNIQUE"/>
    <n v="0"/>
    <n v="5329"/>
    <n v="144"/>
    <n v="0"/>
    <n v="767376"/>
  </r>
  <r>
    <x v="1"/>
    <x v="0"/>
    <x v="0"/>
    <n v="2"/>
    <n v="10"/>
    <s v="00"/>
    <s v="005"/>
    <s v="21000-005"/>
    <s v="Grand piano service item #005"/>
    <s v="UNIQUE"/>
    <n v="66"/>
    <n v="6400"/>
    <n v="71"/>
    <n v="422400"/>
    <n v="454400"/>
  </r>
  <r>
    <x v="1"/>
    <x v="0"/>
    <x v="0"/>
    <n v="2"/>
    <n v="10"/>
    <s v="00"/>
    <s v="006"/>
    <s v="21000-006"/>
    <s v="Grand piano service item #006"/>
    <s v="UNIQUE"/>
    <n v="0"/>
    <n v="1"/>
    <n v="95"/>
    <n v="0"/>
    <n v="95"/>
  </r>
  <r>
    <x v="1"/>
    <x v="0"/>
    <x v="0"/>
    <n v="2"/>
    <n v="10"/>
    <s v="00"/>
    <s v="007"/>
    <s v="21000-007"/>
    <s v="Grand piano service item #007"/>
    <s v="UNIQUE"/>
    <n v="1"/>
    <n v="9025"/>
    <n v="29"/>
    <n v="9025"/>
    <n v="261725"/>
  </r>
  <r>
    <x v="1"/>
    <x v="0"/>
    <x v="0"/>
    <n v="2"/>
    <n v="10"/>
    <s v="00"/>
    <s v="008"/>
    <s v="21000-008"/>
    <s v="Grand piano service item #008"/>
    <s v="UNIQUE"/>
    <n v="0"/>
    <n v="13"/>
    <n v="35"/>
    <n v="0"/>
    <n v="455"/>
  </r>
  <r>
    <x v="1"/>
    <x v="0"/>
    <x v="0"/>
    <n v="2"/>
    <n v="10"/>
    <s v="00"/>
    <s v="009"/>
    <s v="21000-009"/>
    <s v="Grand piano service item #009"/>
    <s v="UNIQUE"/>
    <n v="0"/>
    <n v="81"/>
    <n v="5929"/>
    <n v="0"/>
    <n v="480249"/>
  </r>
  <r>
    <x v="1"/>
    <x v="0"/>
    <x v="0"/>
    <n v="2"/>
    <n v="10"/>
    <s v="00"/>
    <s v="010"/>
    <s v="21000-010"/>
    <s v="Grand piano service item #010"/>
    <s v="UNIQUE"/>
    <n v="0"/>
    <n v="79"/>
    <n v="71"/>
    <n v="0"/>
    <n v="5609"/>
  </r>
  <r>
    <x v="1"/>
    <x v="0"/>
    <x v="0"/>
    <n v="2"/>
    <n v="10"/>
    <s v="00"/>
    <s v="011"/>
    <s v="21000-011"/>
    <s v="Grand piano service item #011"/>
    <s v="UNIQUE"/>
    <n v="0"/>
    <n v="3481"/>
    <n v="1225"/>
    <n v="0"/>
    <n v="4264225"/>
  </r>
  <r>
    <x v="1"/>
    <x v="0"/>
    <x v="0"/>
    <n v="2"/>
    <n v="10"/>
    <s v="00"/>
    <s v="012"/>
    <s v="21000-012"/>
    <s v="Grand piano service item #012"/>
    <s v="UNIQUE"/>
    <n v="1"/>
    <n v="5184"/>
    <n v="1936"/>
    <n v="5184"/>
    <n v="10036224"/>
  </r>
  <r>
    <x v="1"/>
    <x v="0"/>
    <x v="0"/>
    <n v="2"/>
    <n v="10"/>
    <s v="00"/>
    <s v="013"/>
    <s v="21000-013"/>
    <s v="Grand piano service item #013"/>
    <s v="UNIQUE"/>
    <n v="0"/>
    <n v="7921"/>
    <n v="6889"/>
    <n v="0"/>
    <n v="54567769"/>
  </r>
  <r>
    <x v="1"/>
    <x v="0"/>
    <x v="0"/>
    <n v="2"/>
    <n v="10"/>
    <s v="00"/>
    <s v="014"/>
    <s v="21000-014"/>
    <s v="Grand piano service item #014"/>
    <s v="UNIQUE"/>
    <n v="0"/>
    <n v="7569"/>
    <n v="66"/>
    <n v="0"/>
    <n v="499554"/>
  </r>
  <r>
    <x v="1"/>
    <x v="0"/>
    <x v="0"/>
    <n v="2"/>
    <n v="10"/>
    <s v="00"/>
    <s v="015"/>
    <s v="21000-015"/>
    <s v="Grand piano service item #015"/>
    <s v="UNIQUE"/>
    <n v="0"/>
    <n v="64"/>
    <n v="20"/>
    <n v="0"/>
    <n v="1280"/>
  </r>
  <r>
    <x v="1"/>
    <x v="0"/>
    <x v="0"/>
    <n v="2"/>
    <n v="10"/>
    <s v="00"/>
    <s v="016"/>
    <s v="21000-016"/>
    <s v="Grand piano service item #016"/>
    <s v="UNIQUE"/>
    <n v="21"/>
    <n v="5041"/>
    <n v="84"/>
    <n v="105861"/>
    <n v="423444"/>
  </r>
  <r>
    <x v="1"/>
    <x v="0"/>
    <x v="0"/>
    <n v="2"/>
    <n v="10"/>
    <s v="00"/>
    <s v="017"/>
    <s v="21000-017"/>
    <s v="Grand piano service item #017"/>
    <s v="UNIQUE"/>
    <n v="2"/>
    <n v="63"/>
    <n v="89"/>
    <n v="126"/>
    <n v="5607"/>
  </r>
  <r>
    <x v="1"/>
    <x v="0"/>
    <x v="0"/>
    <n v="2"/>
    <n v="10"/>
    <s v="00"/>
    <s v="018"/>
    <s v="21000-018"/>
    <s v="Grand piano service item #018"/>
    <s v="UNIQUE"/>
    <n v="0"/>
    <n v="89"/>
    <n v="98"/>
    <n v="0"/>
    <n v="8722"/>
  </r>
  <r>
    <x v="1"/>
    <x v="0"/>
    <x v="0"/>
    <n v="2"/>
    <n v="10"/>
    <s v="00"/>
    <s v="019"/>
    <s v="21000-019"/>
    <s v="Grand piano service item #019"/>
    <s v="UNIQUE"/>
    <n v="0"/>
    <n v="7569"/>
    <n v="1521"/>
    <n v="0"/>
    <n v="11512449"/>
  </r>
  <r>
    <x v="1"/>
    <x v="0"/>
    <x v="0"/>
    <n v="2"/>
    <n v="10"/>
    <s v="00"/>
    <s v="020"/>
    <s v="21000-020"/>
    <s v="Grand piano service item #020"/>
    <s v="UNIQUE"/>
    <n v="0"/>
    <n v="93"/>
    <n v="9409"/>
    <n v="0"/>
    <n v="875037"/>
  </r>
  <r>
    <x v="1"/>
    <x v="0"/>
    <x v="0"/>
    <n v="2"/>
    <n v="10"/>
    <s v="00"/>
    <s v="021"/>
    <s v="21000-021"/>
    <s v="Grand piano service item #021"/>
    <s v="UNIQUE"/>
    <n v="1"/>
    <n v="8100"/>
    <n v="82"/>
    <n v="8100"/>
    <n v="664200"/>
  </r>
  <r>
    <x v="1"/>
    <x v="0"/>
    <x v="0"/>
    <n v="2"/>
    <n v="10"/>
    <s v="00"/>
    <s v="022"/>
    <s v="21000-022"/>
    <s v="Grand piano service item #022"/>
    <s v="UNIQUE"/>
    <n v="0"/>
    <n v="6400"/>
    <n v="7225"/>
    <n v="0"/>
    <n v="46240000"/>
  </r>
  <r>
    <x v="1"/>
    <x v="0"/>
    <x v="0"/>
    <n v="2"/>
    <n v="10"/>
    <s v="00"/>
    <s v="023"/>
    <s v="21000-023"/>
    <s v="Grand piano service item #023"/>
    <s v="UNIQUE"/>
    <n v="4"/>
    <n v="4489"/>
    <n v="3600"/>
    <n v="17956"/>
    <n v="16160400"/>
  </r>
  <r>
    <x v="1"/>
    <x v="0"/>
    <x v="0"/>
    <n v="2"/>
    <n v="10"/>
    <s v="00"/>
    <s v="024"/>
    <s v="21000-024"/>
    <s v="Grand piano service item #024"/>
    <s v="UNIQUE"/>
    <n v="7"/>
    <n v="784"/>
    <n v="74"/>
    <n v="5488"/>
    <n v="58016"/>
  </r>
  <r>
    <x v="1"/>
    <x v="0"/>
    <x v="0"/>
    <n v="2"/>
    <n v="10"/>
    <s v="00"/>
    <s v="025"/>
    <s v="21000-025"/>
    <s v="Grand piano service item #025"/>
    <s v="UNIQUE"/>
    <n v="0"/>
    <n v="2304"/>
    <n v="3364"/>
    <n v="0"/>
    <n v="7750656"/>
  </r>
  <r>
    <x v="1"/>
    <x v="0"/>
    <x v="0"/>
    <n v="2"/>
    <n v="10"/>
    <s v="00"/>
    <s v="026"/>
    <s v="21000-026"/>
    <s v="Grand piano service item #026"/>
    <s v="UNIQUE"/>
    <n v="0"/>
    <n v="23"/>
    <n v="10"/>
    <n v="0"/>
    <n v="230"/>
  </r>
  <r>
    <x v="1"/>
    <x v="0"/>
    <x v="0"/>
    <n v="2"/>
    <n v="10"/>
    <s v="00"/>
    <s v="027"/>
    <s v="21000-027"/>
    <s v="Grand piano service item #027"/>
    <s v="UNIQUE"/>
    <n v="0"/>
    <n v="91"/>
    <n v="8464"/>
    <n v="0"/>
    <n v="770224"/>
  </r>
  <r>
    <x v="1"/>
    <x v="0"/>
    <x v="0"/>
    <n v="2"/>
    <n v="10"/>
    <s v="00"/>
    <s v="028"/>
    <s v="21000-028"/>
    <s v="Grand piano service item #028"/>
    <s v="UNIQUE"/>
    <n v="62"/>
    <n v="1296"/>
    <n v="8464"/>
    <n v="80352"/>
    <n v="10969344"/>
  </r>
  <r>
    <x v="1"/>
    <x v="0"/>
    <x v="0"/>
    <n v="2"/>
    <n v="10"/>
    <s v="00"/>
    <s v="029"/>
    <s v="21000-029"/>
    <s v="Grand piano service item #029"/>
    <s v="UNIQUE"/>
    <n v="0"/>
    <n v="8281"/>
    <n v="55"/>
    <n v="0"/>
    <n v="455455"/>
  </r>
  <r>
    <x v="1"/>
    <x v="0"/>
    <x v="0"/>
    <n v="2"/>
    <n v="10"/>
    <s v="00"/>
    <s v="030"/>
    <s v="21000-030"/>
    <s v="Grand piano service item #030"/>
    <s v="UNIQUE"/>
    <n v="0"/>
    <n v="81"/>
    <n v="10"/>
    <n v="0"/>
    <n v="810"/>
  </r>
  <r>
    <x v="1"/>
    <x v="0"/>
    <x v="0"/>
    <n v="2"/>
    <n v="10"/>
    <s v="00"/>
    <s v="031"/>
    <s v="21000-031"/>
    <s v="Grand piano service item #031"/>
    <s v="UNIQUE"/>
    <n v="26"/>
    <n v="38"/>
    <n v="24"/>
    <n v="988"/>
    <n v="912"/>
  </r>
  <r>
    <x v="1"/>
    <x v="0"/>
    <x v="0"/>
    <n v="2"/>
    <n v="10"/>
    <s v="00"/>
    <s v="032"/>
    <s v="21000-032"/>
    <s v="Grand piano service item #032"/>
    <s v="UNIQUE"/>
    <n v="0"/>
    <n v="35"/>
    <n v="841"/>
    <n v="0"/>
    <n v="29435"/>
  </r>
  <r>
    <x v="1"/>
    <x v="0"/>
    <x v="0"/>
    <n v="2"/>
    <n v="10"/>
    <s v="00"/>
    <s v="033"/>
    <s v="21000-033"/>
    <s v="Grand piano service item #033"/>
    <s v="UNIQUE"/>
    <n v="4"/>
    <n v="89"/>
    <n v="24"/>
    <n v="356"/>
    <n v="2136"/>
  </r>
  <r>
    <x v="1"/>
    <x v="0"/>
    <x v="0"/>
    <n v="2"/>
    <n v="10"/>
    <s v="00"/>
    <s v="034"/>
    <s v="21000-034"/>
    <s v="Grand piano service item #034"/>
    <s v="UNIQUE"/>
    <n v="0"/>
    <n v="169"/>
    <n v="57"/>
    <n v="0"/>
    <n v="9633"/>
  </r>
  <r>
    <x v="1"/>
    <x v="0"/>
    <x v="0"/>
    <n v="2"/>
    <n v="10"/>
    <s v="00"/>
    <s v="035"/>
    <s v="21000-035"/>
    <s v="Grand piano service item #035"/>
    <s v="UNIQUE"/>
    <n v="0"/>
    <n v="8"/>
    <n v="10"/>
    <n v="0"/>
    <n v="80"/>
  </r>
  <r>
    <x v="1"/>
    <x v="0"/>
    <x v="0"/>
    <n v="2"/>
    <n v="10"/>
    <s v="00"/>
    <s v="036"/>
    <s v="21000-036"/>
    <s v="Grand piano service item #036"/>
    <s v="UNIQUE"/>
    <n v="0"/>
    <n v="6889"/>
    <n v="33"/>
    <n v="0"/>
    <n v="227337"/>
  </r>
  <r>
    <x v="1"/>
    <x v="0"/>
    <x v="0"/>
    <n v="2"/>
    <n v="10"/>
    <s v="00"/>
    <s v="037"/>
    <s v="21000-037"/>
    <s v="Grand piano service item #037"/>
    <s v="UNIQUE"/>
    <n v="53"/>
    <n v="1024"/>
    <n v="72"/>
    <n v="54272"/>
    <n v="73728"/>
  </r>
  <r>
    <x v="1"/>
    <x v="0"/>
    <x v="0"/>
    <n v="2"/>
    <n v="10"/>
    <s v="00"/>
    <s v="038"/>
    <s v="21000-038"/>
    <s v="Grand piano service item #038"/>
    <s v="UNIQUE"/>
    <n v="1"/>
    <n v="7569"/>
    <n v="98"/>
    <n v="7569"/>
    <n v="741762"/>
  </r>
  <r>
    <x v="1"/>
    <x v="0"/>
    <x v="0"/>
    <n v="2"/>
    <n v="10"/>
    <s v="00"/>
    <s v="039"/>
    <s v="21000-039"/>
    <s v="Grand piano service item #039"/>
    <s v="UNIQUE"/>
    <n v="50"/>
    <n v="8"/>
    <n v="6889"/>
    <n v="400"/>
    <n v="55112"/>
  </r>
  <r>
    <x v="1"/>
    <x v="0"/>
    <x v="0"/>
    <n v="2"/>
    <n v="10"/>
    <s v="00"/>
    <s v="040"/>
    <s v="21000-040"/>
    <s v="Grand piano service item #040"/>
    <s v="UNIQUE"/>
    <n v="0"/>
    <n v="361"/>
    <n v="35"/>
    <n v="0"/>
    <n v="12635"/>
  </r>
  <r>
    <x v="1"/>
    <x v="0"/>
    <x v="0"/>
    <n v="2"/>
    <n v="10"/>
    <s v="00"/>
    <s v="041"/>
    <s v="21000-041"/>
    <s v="Grand piano service item #041"/>
    <s v="UNIQUE"/>
    <n v="0"/>
    <n v="3481"/>
    <n v="8649"/>
    <n v="0"/>
    <n v="30107169"/>
  </r>
  <r>
    <x v="1"/>
    <x v="0"/>
    <x v="0"/>
    <n v="2"/>
    <n v="10"/>
    <s v="00"/>
    <s v="042"/>
    <s v="21000-042"/>
    <s v="Grand piano service item #042"/>
    <s v="UNIQUE"/>
    <n v="1"/>
    <n v="361"/>
    <n v="36"/>
    <n v="361"/>
    <n v="12996"/>
  </r>
  <r>
    <x v="1"/>
    <x v="0"/>
    <x v="0"/>
    <n v="2"/>
    <n v="10"/>
    <s v="00"/>
    <s v="043"/>
    <s v="21000-043"/>
    <s v="Grand piano service item #043"/>
    <s v="UNIQUE"/>
    <n v="21"/>
    <n v="45"/>
    <n v="64"/>
    <n v="945"/>
    <n v="2880"/>
  </r>
  <r>
    <x v="1"/>
    <x v="0"/>
    <x v="0"/>
    <n v="2"/>
    <n v="10"/>
    <s v="00"/>
    <s v="044"/>
    <s v="21000-044"/>
    <s v="Grand piano service item #044"/>
    <s v="UNIQUE"/>
    <n v="0"/>
    <n v="62"/>
    <n v="8"/>
    <n v="0"/>
    <n v="496"/>
  </r>
  <r>
    <x v="1"/>
    <x v="0"/>
    <x v="0"/>
    <n v="2"/>
    <n v="10"/>
    <s v="00"/>
    <s v="045"/>
    <s v="21000-045"/>
    <s v="Grand piano service item #045"/>
    <s v="UNIQUE"/>
    <n v="55"/>
    <n v="77"/>
    <n v="4225"/>
    <n v="4235"/>
    <n v="325325"/>
  </r>
  <r>
    <x v="1"/>
    <x v="0"/>
    <x v="0"/>
    <n v="2"/>
    <n v="10"/>
    <s v="00"/>
    <s v="046"/>
    <s v="21000-046"/>
    <s v="Grand piano service item #046"/>
    <s v="UNIQUE"/>
    <n v="0"/>
    <n v="8"/>
    <n v="71"/>
    <n v="0"/>
    <n v="568"/>
  </r>
  <r>
    <x v="1"/>
    <x v="0"/>
    <x v="0"/>
    <n v="2"/>
    <n v="10"/>
    <s v="00"/>
    <s v="047"/>
    <s v="21000-047"/>
    <s v="Grand piano service item #047"/>
    <s v="UNIQUE"/>
    <n v="5"/>
    <n v="8281"/>
    <n v="28"/>
    <n v="41405"/>
    <n v="231868"/>
  </r>
  <r>
    <x v="1"/>
    <x v="0"/>
    <x v="0"/>
    <n v="2"/>
    <n v="10"/>
    <s v="00"/>
    <s v="048"/>
    <s v="21000-048"/>
    <s v="Grand piano service item #048"/>
    <s v="UNIQUE"/>
    <n v="54"/>
    <n v="41"/>
    <n v="92"/>
    <n v="2214"/>
    <n v="3772"/>
  </r>
  <r>
    <x v="1"/>
    <x v="0"/>
    <x v="0"/>
    <n v="2"/>
    <n v="10"/>
    <s v="00"/>
    <s v="049"/>
    <s v="21000-049"/>
    <s v="Grand piano service item #049"/>
    <s v="UNIQUE"/>
    <n v="0"/>
    <n v="8"/>
    <n v="36"/>
    <n v="0"/>
    <n v="288"/>
  </r>
  <r>
    <x v="1"/>
    <x v="0"/>
    <x v="0"/>
    <n v="2"/>
    <n v="10"/>
    <s v="00"/>
    <s v="050"/>
    <s v="21000-050"/>
    <s v="Grand piano service item #050"/>
    <s v="UNIQUE"/>
    <n v="0"/>
    <n v="729"/>
    <n v="5929"/>
    <n v="0"/>
    <n v="4322241"/>
  </r>
  <r>
    <x v="1"/>
    <x v="0"/>
    <x v="0"/>
    <n v="2"/>
    <n v="10"/>
    <s v="00"/>
    <s v="051"/>
    <s v="21000-051"/>
    <s v="Grand piano service item #051"/>
    <s v="UNIQUE"/>
    <n v="0"/>
    <n v="19"/>
    <n v="18"/>
    <n v="0"/>
    <n v="342"/>
  </r>
  <r>
    <x v="1"/>
    <x v="0"/>
    <x v="0"/>
    <n v="2"/>
    <n v="10"/>
    <s v="00"/>
    <s v="052"/>
    <s v="21000-052"/>
    <s v="Grand piano service item #052"/>
    <s v="UNIQUE"/>
    <n v="0"/>
    <n v="63"/>
    <n v="88"/>
    <n v="0"/>
    <n v="5544"/>
  </r>
  <r>
    <x v="1"/>
    <x v="0"/>
    <x v="0"/>
    <n v="2"/>
    <n v="10"/>
    <s v="00"/>
    <s v="053"/>
    <s v="21000-053"/>
    <s v="Grand piano service item #053"/>
    <s v="UNIQUE"/>
    <n v="0"/>
    <n v="50"/>
    <n v="50"/>
    <n v="0"/>
    <n v="2500"/>
  </r>
  <r>
    <x v="1"/>
    <x v="0"/>
    <x v="0"/>
    <n v="2"/>
    <n v="10"/>
    <s v="00"/>
    <s v="054"/>
    <s v="21000-054"/>
    <s v="Grand piano service item #054"/>
    <s v="UNIQUE"/>
    <n v="0"/>
    <n v="19"/>
    <n v="21"/>
    <n v="0"/>
    <n v="399"/>
  </r>
  <r>
    <x v="1"/>
    <x v="0"/>
    <x v="0"/>
    <n v="2"/>
    <n v="10"/>
    <s v="00"/>
    <s v="055"/>
    <s v="21000-055"/>
    <s v="Grand piano service item #055"/>
    <s v="UNIQUE"/>
    <n v="0"/>
    <n v="8"/>
    <n v="52"/>
    <n v="0"/>
    <n v="416"/>
  </r>
  <r>
    <x v="1"/>
    <x v="0"/>
    <x v="0"/>
    <n v="2"/>
    <n v="10"/>
    <s v="00"/>
    <s v="056"/>
    <s v="21000-056"/>
    <s v="Grand piano service item #056"/>
    <s v="UNIQUE"/>
    <n v="1"/>
    <n v="70"/>
    <n v="8281"/>
    <n v="70"/>
    <n v="579670"/>
  </r>
  <r>
    <x v="1"/>
    <x v="0"/>
    <x v="0"/>
    <n v="2"/>
    <n v="10"/>
    <s v="00"/>
    <s v="057"/>
    <s v="21000-057"/>
    <s v="Grand piano service item #057"/>
    <s v="UNIQUE"/>
    <n v="51"/>
    <n v="9409"/>
    <n v="57"/>
    <n v="479859"/>
    <n v="536313"/>
  </r>
  <r>
    <x v="1"/>
    <x v="0"/>
    <x v="0"/>
    <n v="2"/>
    <n v="10"/>
    <s v="00"/>
    <s v="058"/>
    <s v="21000-058"/>
    <s v="Grand piano service item #058"/>
    <s v="UNIQUE"/>
    <n v="0"/>
    <n v="289"/>
    <n v="29"/>
    <n v="0"/>
    <n v="8381"/>
  </r>
  <r>
    <x v="1"/>
    <x v="0"/>
    <x v="0"/>
    <n v="2"/>
    <n v="10"/>
    <s v="00"/>
    <s v="059"/>
    <s v="21000-059"/>
    <s v="Grand piano service item #059"/>
    <s v="UNIQUE"/>
    <n v="0"/>
    <n v="82"/>
    <n v="50"/>
    <n v="0"/>
    <n v="4100"/>
  </r>
  <r>
    <x v="1"/>
    <x v="0"/>
    <x v="0"/>
    <n v="2"/>
    <n v="10"/>
    <s v="00"/>
    <s v="060"/>
    <s v="21000-060"/>
    <s v="Grand piano service item #060"/>
    <s v="UNIQUE"/>
    <n v="6"/>
    <n v="2116"/>
    <n v="7921"/>
    <n v="12696"/>
    <n v="16760836"/>
  </r>
  <r>
    <x v="1"/>
    <x v="0"/>
    <x v="0"/>
    <n v="2"/>
    <n v="10"/>
    <s v="00"/>
    <s v="061"/>
    <s v="21000-061"/>
    <s v="Grand piano service item #061"/>
    <s v="UNIQUE"/>
    <n v="8"/>
    <n v="729"/>
    <n v="76"/>
    <n v="5832"/>
    <n v="55404"/>
  </r>
  <r>
    <x v="1"/>
    <x v="0"/>
    <x v="0"/>
    <n v="2"/>
    <n v="10"/>
    <s v="00"/>
    <s v="062"/>
    <s v="21000-062"/>
    <s v="Grand piano service item #062"/>
    <s v="UNIQUE"/>
    <n v="0"/>
    <n v="3969"/>
    <n v="18"/>
    <n v="0"/>
    <n v="71442"/>
  </r>
  <r>
    <x v="1"/>
    <x v="0"/>
    <x v="0"/>
    <n v="2"/>
    <n v="10"/>
    <s v="00"/>
    <s v="063"/>
    <s v="21000-063"/>
    <s v="Grand piano service item #063"/>
    <s v="UNIQUE"/>
    <n v="0"/>
    <n v="4"/>
    <n v="4489"/>
    <n v="0"/>
    <n v="17956"/>
  </r>
  <r>
    <x v="1"/>
    <x v="0"/>
    <x v="0"/>
    <n v="2"/>
    <n v="10"/>
    <s v="00"/>
    <s v="064"/>
    <s v="21000-064"/>
    <s v="Grand piano service item #064"/>
    <s v="UNIQUE"/>
    <n v="0"/>
    <n v="9216"/>
    <n v="90"/>
    <n v="0"/>
    <n v="829440"/>
  </r>
  <r>
    <x v="1"/>
    <x v="0"/>
    <x v="0"/>
    <n v="2"/>
    <n v="10"/>
    <s v="00"/>
    <s v="065"/>
    <s v="21000-065"/>
    <s v="Grand piano service item #065"/>
    <s v="UNIQUE"/>
    <n v="90"/>
    <n v="68"/>
    <n v="9"/>
    <n v="6120"/>
    <n v="612"/>
  </r>
  <r>
    <x v="1"/>
    <x v="0"/>
    <x v="0"/>
    <n v="2"/>
    <n v="10"/>
    <s v="00"/>
    <s v="066"/>
    <s v="21000-066"/>
    <s v="Grand piano service item #066"/>
    <s v="UNIQUE"/>
    <n v="0"/>
    <n v="2304"/>
    <n v="63"/>
    <n v="0"/>
    <n v="145152"/>
  </r>
  <r>
    <x v="1"/>
    <x v="0"/>
    <x v="0"/>
    <n v="2"/>
    <n v="10"/>
    <s v="00"/>
    <s v="067"/>
    <s v="21000-067"/>
    <s v="Grand piano service item #067"/>
    <s v="UNIQUE"/>
    <n v="0"/>
    <n v="5"/>
    <n v="1"/>
    <n v="0"/>
    <n v="5"/>
  </r>
  <r>
    <x v="1"/>
    <x v="0"/>
    <x v="0"/>
    <n v="2"/>
    <n v="10"/>
    <s v="00"/>
    <s v="068"/>
    <s v="21000-068"/>
    <s v="Grand piano service item #068"/>
    <s v="UNIQUE"/>
    <n v="62"/>
    <n v="676"/>
    <n v="1089"/>
    <n v="41912"/>
    <n v="736164"/>
  </r>
  <r>
    <x v="1"/>
    <x v="0"/>
    <x v="0"/>
    <n v="2"/>
    <n v="10"/>
    <s v="00"/>
    <s v="069"/>
    <s v="21000-069"/>
    <s v="Grand piano service item #069"/>
    <s v="UNIQUE"/>
    <n v="0"/>
    <n v="10000"/>
    <n v="83"/>
    <n v="0"/>
    <n v="830000"/>
  </r>
  <r>
    <x v="1"/>
    <x v="1"/>
    <x v="0"/>
    <n v="2"/>
    <n v="11"/>
    <s v="00"/>
    <s v="000"/>
    <s v="21100-000"/>
    <s v="Upright piano service item #000"/>
    <s v="UNIQUE"/>
    <n v="76"/>
    <n v="4096"/>
    <n v="169"/>
    <n v="311296"/>
    <n v="692224"/>
  </r>
  <r>
    <x v="1"/>
    <x v="1"/>
    <x v="0"/>
    <n v="2"/>
    <n v="11"/>
    <s v="00"/>
    <s v="001"/>
    <s v="21100-001"/>
    <s v="Upright piano service item #001"/>
    <s v="UNIQUE"/>
    <n v="0"/>
    <n v="961"/>
    <n v="100"/>
    <n v="0"/>
    <n v="96100"/>
  </r>
  <r>
    <x v="1"/>
    <x v="1"/>
    <x v="0"/>
    <n v="2"/>
    <n v="11"/>
    <s v="00"/>
    <s v="002"/>
    <s v="21100-002"/>
    <s v="Upright piano service item #002"/>
    <s v="UNIQUE"/>
    <n v="0"/>
    <n v="9409"/>
    <n v="9216"/>
    <n v="0"/>
    <n v="86713344"/>
  </r>
  <r>
    <x v="1"/>
    <x v="1"/>
    <x v="0"/>
    <n v="2"/>
    <n v="11"/>
    <s v="00"/>
    <s v="003"/>
    <s v="21100-003"/>
    <s v="Upright piano service item #003"/>
    <s v="UNIQUE"/>
    <n v="47"/>
    <n v="7396"/>
    <n v="8100"/>
    <n v="347612"/>
    <n v="59907600"/>
  </r>
  <r>
    <x v="1"/>
    <x v="1"/>
    <x v="0"/>
    <n v="2"/>
    <n v="11"/>
    <s v="00"/>
    <s v="004"/>
    <s v="21100-004"/>
    <s v="Upright piano service item #004"/>
    <s v="UNIQUE"/>
    <n v="7"/>
    <n v="92"/>
    <n v="576"/>
    <n v="644"/>
    <n v="52992"/>
  </r>
  <r>
    <x v="1"/>
    <x v="1"/>
    <x v="0"/>
    <n v="2"/>
    <n v="11"/>
    <s v="00"/>
    <s v="005"/>
    <s v="21100-005"/>
    <s v="Upright piano service item #005"/>
    <s v="UNIQUE"/>
    <n v="4"/>
    <n v="1444"/>
    <n v="38"/>
    <n v="5776"/>
    <n v="54872"/>
  </r>
  <r>
    <x v="1"/>
    <x v="1"/>
    <x v="0"/>
    <n v="2"/>
    <n v="11"/>
    <s v="00"/>
    <s v="006"/>
    <s v="21100-006"/>
    <s v="Upright piano service item #006"/>
    <s v="UNIQUE"/>
    <n v="0"/>
    <n v="73"/>
    <n v="7744"/>
    <n v="0"/>
    <n v="565312"/>
  </r>
  <r>
    <x v="1"/>
    <x v="1"/>
    <x v="0"/>
    <n v="2"/>
    <n v="11"/>
    <s v="00"/>
    <s v="007"/>
    <s v="21100-007"/>
    <s v="Upright piano service item #007"/>
    <s v="UNIQUE"/>
    <n v="4"/>
    <n v="3600"/>
    <n v="35"/>
    <n v="14400"/>
    <n v="126000"/>
  </r>
  <r>
    <x v="1"/>
    <x v="1"/>
    <x v="0"/>
    <n v="2"/>
    <n v="11"/>
    <s v="00"/>
    <s v="008"/>
    <s v="21100-008"/>
    <s v="Upright piano service item #008"/>
    <s v="UNIQUE"/>
    <n v="9"/>
    <n v="625"/>
    <n v="61"/>
    <n v="5625"/>
    <n v="38125"/>
  </r>
  <r>
    <x v="1"/>
    <x v="1"/>
    <x v="0"/>
    <n v="2"/>
    <n v="11"/>
    <s v="00"/>
    <s v="009"/>
    <s v="21100-009"/>
    <s v="Upright piano service item #009"/>
    <s v="UNIQUE"/>
    <n v="0"/>
    <n v="62"/>
    <n v="67"/>
    <n v="0"/>
    <n v="4154"/>
  </r>
  <r>
    <x v="1"/>
    <x v="1"/>
    <x v="0"/>
    <n v="2"/>
    <n v="11"/>
    <s v="00"/>
    <s v="010"/>
    <s v="21100-010"/>
    <s v="Upright piano service item #010"/>
    <s v="UNIQUE"/>
    <n v="0"/>
    <n v="95"/>
    <n v="30"/>
    <n v="0"/>
    <n v="2850"/>
  </r>
  <r>
    <x v="1"/>
    <x v="1"/>
    <x v="0"/>
    <n v="2"/>
    <n v="11"/>
    <s v="00"/>
    <s v="011"/>
    <s v="21100-011"/>
    <s v="Upright piano service item #011"/>
    <s v="UNIQUE"/>
    <n v="0"/>
    <n v="625"/>
    <n v="324"/>
    <n v="0"/>
    <n v="202500"/>
  </r>
  <r>
    <x v="1"/>
    <x v="1"/>
    <x v="0"/>
    <n v="2"/>
    <n v="11"/>
    <s v="00"/>
    <s v="012"/>
    <s v="21100-012"/>
    <s v="Upright piano service item #012"/>
    <s v="UNIQUE"/>
    <n v="8"/>
    <n v="99"/>
    <n v="95"/>
    <n v="792"/>
    <n v="9405"/>
  </r>
  <r>
    <x v="1"/>
    <x v="1"/>
    <x v="0"/>
    <n v="2"/>
    <n v="11"/>
    <s v="00"/>
    <s v="013"/>
    <s v="21100-013"/>
    <s v="Upright piano service item #013"/>
    <s v="UNIQUE"/>
    <n v="0"/>
    <n v="8"/>
    <n v="3025"/>
    <n v="0"/>
    <n v="24200"/>
  </r>
  <r>
    <x v="1"/>
    <x v="1"/>
    <x v="0"/>
    <n v="2"/>
    <n v="11"/>
    <s v="00"/>
    <s v="014"/>
    <s v="21100-014"/>
    <s v="Upright piano service item #014"/>
    <s v="UNIQUE"/>
    <n v="0"/>
    <n v="2116"/>
    <n v="16"/>
    <n v="0"/>
    <n v="33856"/>
  </r>
  <r>
    <x v="1"/>
    <x v="1"/>
    <x v="0"/>
    <n v="2"/>
    <n v="11"/>
    <s v="00"/>
    <s v="015"/>
    <s v="21100-015"/>
    <s v="Upright piano service item #015"/>
    <s v="UNIQUE"/>
    <n v="20"/>
    <n v="94"/>
    <n v="13"/>
    <n v="1880"/>
    <n v="1222"/>
  </r>
  <r>
    <x v="1"/>
    <x v="1"/>
    <x v="0"/>
    <n v="2"/>
    <n v="11"/>
    <s v="00"/>
    <s v="016"/>
    <s v="21100-016"/>
    <s v="Upright piano service item #016"/>
    <s v="UNIQUE"/>
    <n v="0"/>
    <n v="5041"/>
    <n v="87"/>
    <n v="0"/>
    <n v="438567"/>
  </r>
  <r>
    <x v="1"/>
    <x v="1"/>
    <x v="0"/>
    <n v="2"/>
    <n v="11"/>
    <s v="00"/>
    <s v="017"/>
    <s v="21100-017"/>
    <s v="Upright piano service item #017"/>
    <s v="UNIQUE"/>
    <n v="0"/>
    <n v="2116"/>
    <n v="62"/>
    <n v="0"/>
    <n v="131192"/>
  </r>
  <r>
    <x v="1"/>
    <x v="1"/>
    <x v="0"/>
    <n v="2"/>
    <n v="11"/>
    <s v="00"/>
    <s v="018"/>
    <s v="21100-018"/>
    <s v="Upright piano service item #018"/>
    <s v="UNIQUE"/>
    <n v="0"/>
    <n v="121"/>
    <n v="73"/>
    <n v="0"/>
    <n v="8833"/>
  </r>
  <r>
    <x v="1"/>
    <x v="1"/>
    <x v="0"/>
    <n v="2"/>
    <n v="11"/>
    <s v="00"/>
    <s v="019"/>
    <s v="21100-019"/>
    <s v="Upright piano service item #019"/>
    <s v="UNIQUE"/>
    <n v="59"/>
    <n v="62"/>
    <n v="4"/>
    <n v="3658"/>
    <n v="248"/>
  </r>
  <r>
    <x v="1"/>
    <x v="1"/>
    <x v="0"/>
    <n v="2"/>
    <n v="11"/>
    <s v="00"/>
    <s v="020"/>
    <s v="21100-020"/>
    <s v="Upright piano service item #020"/>
    <s v="UNIQUE"/>
    <n v="0"/>
    <n v="3481"/>
    <n v="24"/>
    <n v="0"/>
    <n v="83544"/>
  </r>
  <r>
    <x v="1"/>
    <x v="1"/>
    <x v="0"/>
    <n v="2"/>
    <n v="11"/>
    <s v="00"/>
    <s v="021"/>
    <s v="21100-021"/>
    <s v="Upright piano service item #021"/>
    <s v="UNIQUE"/>
    <n v="0"/>
    <n v="10"/>
    <n v="841"/>
    <n v="0"/>
    <n v="8410"/>
  </r>
  <r>
    <x v="1"/>
    <x v="1"/>
    <x v="0"/>
    <n v="2"/>
    <n v="11"/>
    <s v="00"/>
    <s v="022"/>
    <s v="21100-022"/>
    <s v="Upright piano service item #022"/>
    <s v="UNIQUE"/>
    <n v="0"/>
    <n v="92"/>
    <n v="2601"/>
    <n v="0"/>
    <n v="239292"/>
  </r>
  <r>
    <x v="1"/>
    <x v="1"/>
    <x v="0"/>
    <n v="2"/>
    <n v="11"/>
    <s v="00"/>
    <s v="023"/>
    <s v="21100-023"/>
    <s v="Upright piano service item #023"/>
    <s v="UNIQUE"/>
    <n v="0"/>
    <n v="48"/>
    <n v="1296"/>
    <n v="0"/>
    <n v="62208"/>
  </r>
  <r>
    <x v="1"/>
    <x v="1"/>
    <x v="0"/>
    <n v="2"/>
    <n v="11"/>
    <s v="00"/>
    <s v="024"/>
    <s v="21100-024"/>
    <s v="Upright piano service item #024"/>
    <s v="UNIQUE"/>
    <n v="6"/>
    <n v="53"/>
    <n v="10"/>
    <n v="318"/>
    <n v="530"/>
  </r>
  <r>
    <x v="1"/>
    <x v="1"/>
    <x v="0"/>
    <n v="2"/>
    <n v="11"/>
    <s v="00"/>
    <s v="025"/>
    <s v="21100-025"/>
    <s v="Upright piano service item #025"/>
    <s v="UNIQUE"/>
    <n v="0"/>
    <n v="2025"/>
    <n v="4624"/>
    <n v="0"/>
    <n v="9363600"/>
  </r>
  <r>
    <x v="1"/>
    <x v="1"/>
    <x v="0"/>
    <n v="2"/>
    <n v="11"/>
    <s v="00"/>
    <s v="026"/>
    <s v="21100-026"/>
    <s v="Upright piano service item #026"/>
    <s v="UNIQUE"/>
    <n v="0"/>
    <n v="100"/>
    <n v="11"/>
    <n v="0"/>
    <n v="1100"/>
  </r>
  <r>
    <x v="1"/>
    <x v="1"/>
    <x v="0"/>
    <n v="2"/>
    <n v="11"/>
    <s v="00"/>
    <s v="027"/>
    <s v="21100-027"/>
    <s v="Upright piano service item #027"/>
    <s v="UNIQUE"/>
    <n v="31"/>
    <n v="86"/>
    <n v="69"/>
    <n v="2666"/>
    <n v="5934"/>
  </r>
  <r>
    <x v="1"/>
    <x v="1"/>
    <x v="0"/>
    <n v="2"/>
    <n v="11"/>
    <s v="00"/>
    <s v="028"/>
    <s v="21100-028"/>
    <s v="Upright piano service item #028"/>
    <s v="UNIQUE"/>
    <n v="1"/>
    <n v="63"/>
    <n v="2704"/>
    <n v="63"/>
    <n v="170352"/>
  </r>
  <r>
    <x v="1"/>
    <x v="1"/>
    <x v="0"/>
    <n v="2"/>
    <n v="11"/>
    <s v="00"/>
    <s v="029"/>
    <s v="21100-029"/>
    <s v="Upright piano service item #029"/>
    <s v="UNIQUE"/>
    <n v="31"/>
    <n v="1225"/>
    <n v="6"/>
    <n v="37975"/>
    <n v="7350"/>
  </r>
  <r>
    <x v="1"/>
    <x v="1"/>
    <x v="0"/>
    <n v="2"/>
    <n v="11"/>
    <s v="00"/>
    <s v="030"/>
    <s v="21100-030"/>
    <s v="Upright piano service item #030"/>
    <s v="UNIQUE"/>
    <n v="0"/>
    <n v="93"/>
    <n v="1"/>
    <n v="0"/>
    <n v="93"/>
  </r>
  <r>
    <x v="1"/>
    <x v="1"/>
    <x v="0"/>
    <n v="2"/>
    <n v="11"/>
    <s v="00"/>
    <s v="031"/>
    <s v="21100-031"/>
    <s v="Upright piano service item #031"/>
    <s v="UNIQUE"/>
    <n v="3"/>
    <n v="25"/>
    <n v="5041"/>
    <n v="75"/>
    <n v="126025"/>
  </r>
  <r>
    <x v="1"/>
    <x v="1"/>
    <x v="0"/>
    <n v="2"/>
    <n v="11"/>
    <s v="00"/>
    <s v="032"/>
    <s v="21100-032"/>
    <s v="Upright piano service item #032"/>
    <s v="UNIQUE"/>
    <n v="36"/>
    <n v="196"/>
    <n v="324"/>
    <n v="7056"/>
    <n v="63504"/>
  </r>
  <r>
    <x v="1"/>
    <x v="1"/>
    <x v="0"/>
    <n v="2"/>
    <n v="11"/>
    <s v="00"/>
    <s v="033"/>
    <s v="21100-033"/>
    <s v="Upright piano service item #033"/>
    <s v="UNIQUE"/>
    <n v="1"/>
    <n v="10"/>
    <n v="44"/>
    <n v="10"/>
    <n v="440"/>
  </r>
  <r>
    <x v="1"/>
    <x v="1"/>
    <x v="0"/>
    <n v="2"/>
    <n v="11"/>
    <s v="00"/>
    <s v="034"/>
    <s v="21100-034"/>
    <s v="Upright piano service item #034"/>
    <s v="UNIQUE"/>
    <n v="0"/>
    <n v="36"/>
    <n v="34"/>
    <n v="0"/>
    <n v="1224"/>
  </r>
  <r>
    <x v="1"/>
    <x v="1"/>
    <x v="0"/>
    <n v="2"/>
    <n v="11"/>
    <s v="00"/>
    <s v="035"/>
    <s v="21100-035"/>
    <s v="Upright piano service item #035"/>
    <s v="UNIQUE"/>
    <n v="0"/>
    <n v="56"/>
    <n v="4225"/>
    <n v="0"/>
    <n v="236600"/>
  </r>
  <r>
    <x v="1"/>
    <x v="1"/>
    <x v="0"/>
    <n v="2"/>
    <n v="11"/>
    <s v="00"/>
    <s v="036"/>
    <s v="21100-036"/>
    <s v="Upright piano service item #036"/>
    <s v="UNIQUE"/>
    <n v="0"/>
    <n v="8649"/>
    <n v="14"/>
    <n v="0"/>
    <n v="121086"/>
  </r>
  <r>
    <x v="1"/>
    <x v="1"/>
    <x v="0"/>
    <n v="2"/>
    <n v="11"/>
    <s v="00"/>
    <s v="037"/>
    <s v="21100-037"/>
    <s v="Upright piano service item #037"/>
    <s v="UNIQUE"/>
    <n v="25"/>
    <n v="57"/>
    <n v="3364"/>
    <n v="1425"/>
    <n v="191748"/>
  </r>
  <r>
    <x v="1"/>
    <x v="1"/>
    <x v="0"/>
    <n v="2"/>
    <n v="11"/>
    <s v="00"/>
    <s v="038"/>
    <s v="21100-038"/>
    <s v="Upright piano service item #038"/>
    <s v="UNIQUE"/>
    <n v="0"/>
    <n v="12"/>
    <n v="16"/>
    <n v="0"/>
    <n v="192"/>
  </r>
  <r>
    <x v="1"/>
    <x v="1"/>
    <x v="0"/>
    <n v="2"/>
    <n v="11"/>
    <s v="00"/>
    <s v="039"/>
    <s v="21100-039"/>
    <s v="Upright piano service item #039"/>
    <s v="UNIQUE"/>
    <n v="0"/>
    <n v="1849"/>
    <n v="7056"/>
    <n v="0"/>
    <n v="13046544"/>
  </r>
  <r>
    <x v="1"/>
    <x v="2"/>
    <x v="0"/>
    <n v="2"/>
    <n v="12"/>
    <s v="00"/>
    <s v="000"/>
    <s v="21200-000"/>
    <s v="Electric keyboard service item #000"/>
    <s v="UNIQUE"/>
    <n v="5"/>
    <n v="92"/>
    <n v="47"/>
    <n v="460"/>
    <n v="4324"/>
  </r>
  <r>
    <x v="1"/>
    <x v="2"/>
    <x v="0"/>
    <n v="2"/>
    <n v="12"/>
    <s v="00"/>
    <s v="001"/>
    <s v="21200-001"/>
    <s v="Electric keyboard service item #001"/>
    <s v="UNIQUE"/>
    <n v="91"/>
    <n v="44"/>
    <n v="2916"/>
    <n v="4004"/>
    <n v="128304"/>
  </r>
  <r>
    <x v="1"/>
    <x v="2"/>
    <x v="0"/>
    <n v="2"/>
    <n v="12"/>
    <s v="00"/>
    <s v="002"/>
    <s v="21200-002"/>
    <s v="Electric keyboard service item #002"/>
    <s v="UNIQUE"/>
    <n v="1"/>
    <n v="5929"/>
    <n v="196"/>
    <n v="5929"/>
    <n v="1162084"/>
  </r>
  <r>
    <x v="1"/>
    <x v="2"/>
    <x v="0"/>
    <n v="2"/>
    <n v="12"/>
    <s v="00"/>
    <s v="003"/>
    <s v="21200-003"/>
    <s v="Electric keyboard service item #003"/>
    <s v="UNIQUE"/>
    <n v="9"/>
    <n v="6561"/>
    <n v="75"/>
    <n v="59049"/>
    <n v="492075"/>
  </r>
  <r>
    <x v="1"/>
    <x v="2"/>
    <x v="0"/>
    <n v="2"/>
    <n v="12"/>
    <s v="00"/>
    <s v="004"/>
    <s v="21200-004"/>
    <s v="Electric keyboard service item #004"/>
    <s v="UNIQUE"/>
    <n v="1"/>
    <n v="44"/>
    <n v="10"/>
    <n v="44"/>
    <n v="440"/>
  </r>
  <r>
    <x v="1"/>
    <x v="2"/>
    <x v="0"/>
    <n v="2"/>
    <n v="12"/>
    <s v="00"/>
    <s v="005"/>
    <s v="21200-005"/>
    <s v="Electric keyboard service item #005"/>
    <s v="UNIQUE"/>
    <n v="0"/>
    <n v="1156"/>
    <n v="25"/>
    <n v="0"/>
    <n v="28900"/>
  </r>
  <r>
    <x v="1"/>
    <x v="2"/>
    <x v="0"/>
    <n v="2"/>
    <n v="12"/>
    <s v="00"/>
    <s v="006"/>
    <s v="21200-006"/>
    <s v="Electric keyboard service item #006"/>
    <s v="UNIQUE"/>
    <n v="0"/>
    <n v="1089"/>
    <n v="6084"/>
    <n v="0"/>
    <n v="6625476"/>
  </r>
  <r>
    <x v="1"/>
    <x v="2"/>
    <x v="0"/>
    <n v="2"/>
    <n v="12"/>
    <s v="00"/>
    <s v="007"/>
    <s v="21200-007"/>
    <s v="Electric keyboard service item #007"/>
    <s v="UNIQUE"/>
    <n v="0"/>
    <n v="52"/>
    <n v="6241"/>
    <n v="0"/>
    <n v="324532"/>
  </r>
  <r>
    <x v="1"/>
    <x v="2"/>
    <x v="0"/>
    <n v="2"/>
    <n v="12"/>
    <s v="00"/>
    <s v="008"/>
    <s v="21200-008"/>
    <s v="Electric keyboard service item #008"/>
    <s v="UNIQUE"/>
    <n v="0"/>
    <n v="1369"/>
    <n v="7744"/>
    <n v="0"/>
    <n v="10601536"/>
  </r>
  <r>
    <x v="1"/>
    <x v="2"/>
    <x v="0"/>
    <n v="2"/>
    <n v="12"/>
    <s v="00"/>
    <s v="009"/>
    <s v="21200-009"/>
    <s v="Electric keyboard service item #009"/>
    <s v="UNIQUE"/>
    <n v="0"/>
    <n v="52"/>
    <n v="70"/>
    <n v="0"/>
    <n v="3640"/>
  </r>
  <r>
    <x v="1"/>
    <x v="2"/>
    <x v="0"/>
    <n v="2"/>
    <n v="12"/>
    <s v="00"/>
    <s v="010"/>
    <s v="21200-010"/>
    <s v="Electric keyboard service item #010"/>
    <s v="UNIQUE"/>
    <n v="0"/>
    <n v="90"/>
    <n v="5776"/>
    <n v="0"/>
    <n v="519840"/>
  </r>
  <r>
    <x v="1"/>
    <x v="2"/>
    <x v="0"/>
    <n v="2"/>
    <n v="12"/>
    <s v="00"/>
    <s v="011"/>
    <s v="21200-011"/>
    <s v="Electric keyboard service item #011"/>
    <s v="UNIQUE"/>
    <n v="0"/>
    <n v="9409"/>
    <n v="1"/>
    <n v="0"/>
    <n v="9409"/>
  </r>
  <r>
    <x v="1"/>
    <x v="2"/>
    <x v="0"/>
    <n v="2"/>
    <n v="12"/>
    <s v="00"/>
    <s v="012"/>
    <s v="21200-012"/>
    <s v="Electric keyboard service item #012"/>
    <s v="UNIQUE"/>
    <n v="0"/>
    <n v="4624"/>
    <n v="24"/>
    <n v="0"/>
    <n v="110976"/>
  </r>
  <r>
    <x v="1"/>
    <x v="2"/>
    <x v="0"/>
    <n v="2"/>
    <n v="12"/>
    <s v="00"/>
    <s v="013"/>
    <s v="21200-013"/>
    <s v="Electric keyboard service item #013"/>
    <s v="UNIQUE"/>
    <n v="5"/>
    <n v="29"/>
    <n v="51"/>
    <n v="145"/>
    <n v="1479"/>
  </r>
  <r>
    <x v="1"/>
    <x v="2"/>
    <x v="0"/>
    <n v="2"/>
    <n v="12"/>
    <s v="00"/>
    <s v="014"/>
    <s v="21200-014"/>
    <s v="Electric keyboard service item #014"/>
    <s v="UNIQUE"/>
    <n v="0"/>
    <n v="529"/>
    <n v="100"/>
    <n v="0"/>
    <n v="52900"/>
  </r>
  <r>
    <x v="1"/>
    <x v="2"/>
    <x v="0"/>
    <n v="2"/>
    <n v="12"/>
    <s v="00"/>
    <s v="015"/>
    <s v="21200-015"/>
    <s v="Electric keyboard service item #015"/>
    <s v="UNIQUE"/>
    <n v="0"/>
    <n v="8464"/>
    <n v="9025"/>
    <n v="0"/>
    <n v="76387600"/>
  </r>
  <r>
    <x v="1"/>
    <x v="2"/>
    <x v="0"/>
    <n v="2"/>
    <n v="12"/>
    <s v="00"/>
    <s v="016"/>
    <s v="21200-016"/>
    <s v="Electric keyboard service item #016"/>
    <s v="UNIQUE"/>
    <n v="3"/>
    <n v="64"/>
    <n v="98"/>
    <n v="192"/>
    <n v="6272"/>
  </r>
  <r>
    <x v="1"/>
    <x v="2"/>
    <x v="0"/>
    <n v="2"/>
    <n v="12"/>
    <s v="00"/>
    <s v="017"/>
    <s v="21200-017"/>
    <s v="Electric keyboard service item #017"/>
    <s v="UNIQUE"/>
    <n v="0"/>
    <n v="576"/>
    <n v="85"/>
    <n v="0"/>
    <n v="48960"/>
  </r>
  <r>
    <x v="1"/>
    <x v="2"/>
    <x v="0"/>
    <n v="2"/>
    <n v="12"/>
    <s v="00"/>
    <s v="018"/>
    <s v="21200-018"/>
    <s v="Electric keyboard service item #018"/>
    <s v="UNIQUE"/>
    <n v="0"/>
    <n v="9801"/>
    <n v="32"/>
    <n v="0"/>
    <n v="313632"/>
  </r>
  <r>
    <x v="1"/>
    <x v="2"/>
    <x v="0"/>
    <n v="2"/>
    <n v="12"/>
    <s v="00"/>
    <s v="019"/>
    <s v="21200-019"/>
    <s v="Electric keyboard service item #019"/>
    <s v="UNIQUE"/>
    <n v="0"/>
    <n v="99"/>
    <n v="37"/>
    <n v="0"/>
    <n v="3663"/>
  </r>
  <r>
    <x v="1"/>
    <x v="3"/>
    <x v="1"/>
    <n v="2"/>
    <n v="20"/>
    <s v="00"/>
    <s v="000"/>
    <s v="22000-000"/>
    <s v="Violin service item #000"/>
    <s v="UNIQUE"/>
    <n v="0"/>
    <n v="33"/>
    <n v="28"/>
    <n v="0"/>
    <n v="924"/>
  </r>
  <r>
    <x v="1"/>
    <x v="3"/>
    <x v="1"/>
    <n v="2"/>
    <n v="20"/>
    <s v="00"/>
    <s v="001"/>
    <s v="22000-001"/>
    <s v="Violin service item #001"/>
    <s v="UNIQUE"/>
    <n v="6"/>
    <n v="81"/>
    <n v="97"/>
    <n v="486"/>
    <n v="7857"/>
  </r>
  <r>
    <x v="1"/>
    <x v="3"/>
    <x v="1"/>
    <n v="2"/>
    <n v="20"/>
    <s v="00"/>
    <s v="002"/>
    <s v="22000-002"/>
    <s v="Violin service item #002"/>
    <s v="UNIQUE"/>
    <n v="100"/>
    <n v="10000"/>
    <n v="7225"/>
    <n v="1000000"/>
    <n v="72250000"/>
  </r>
  <r>
    <x v="1"/>
    <x v="3"/>
    <x v="1"/>
    <n v="2"/>
    <n v="20"/>
    <s v="00"/>
    <s v="003"/>
    <s v="22000-003"/>
    <s v="Violin service item #003"/>
    <s v="UNIQUE"/>
    <n v="1"/>
    <n v="784"/>
    <n v="96"/>
    <n v="784"/>
    <n v="75264"/>
  </r>
  <r>
    <x v="1"/>
    <x v="3"/>
    <x v="1"/>
    <n v="2"/>
    <n v="20"/>
    <s v="00"/>
    <s v="004"/>
    <s v="22000-004"/>
    <s v="Violin service item #004"/>
    <s v="UNIQUE"/>
    <n v="3"/>
    <n v="24"/>
    <n v="400"/>
    <n v="72"/>
    <n v="9600"/>
  </r>
  <r>
    <x v="1"/>
    <x v="3"/>
    <x v="1"/>
    <n v="2"/>
    <n v="20"/>
    <s v="00"/>
    <s v="005"/>
    <s v="22000-005"/>
    <s v="Violin service item #005"/>
    <s v="UNIQUE"/>
    <n v="0"/>
    <n v="1089"/>
    <n v="2304"/>
    <n v="0"/>
    <n v="2509056"/>
  </r>
  <r>
    <x v="1"/>
    <x v="3"/>
    <x v="1"/>
    <n v="2"/>
    <n v="20"/>
    <s v="00"/>
    <s v="006"/>
    <s v="22000-006"/>
    <s v="Violin service item #006"/>
    <s v="UNIQUE"/>
    <n v="1"/>
    <n v="2116"/>
    <n v="63"/>
    <n v="2116"/>
    <n v="133308"/>
  </r>
  <r>
    <x v="1"/>
    <x v="3"/>
    <x v="1"/>
    <n v="2"/>
    <n v="20"/>
    <s v="00"/>
    <s v="007"/>
    <s v="22000-007"/>
    <s v="Violin service item #007"/>
    <s v="UNIQUE"/>
    <n v="0"/>
    <n v="25"/>
    <n v="17"/>
    <n v="0"/>
    <n v="425"/>
  </r>
  <r>
    <x v="1"/>
    <x v="3"/>
    <x v="1"/>
    <n v="2"/>
    <n v="20"/>
    <s v="00"/>
    <s v="008"/>
    <s v="22000-008"/>
    <s v="Violin service item #008"/>
    <s v="UNIQUE"/>
    <n v="0"/>
    <n v="8100"/>
    <n v="3844"/>
    <n v="0"/>
    <n v="31136400"/>
  </r>
  <r>
    <x v="1"/>
    <x v="3"/>
    <x v="1"/>
    <n v="2"/>
    <n v="20"/>
    <s v="00"/>
    <s v="009"/>
    <s v="22000-009"/>
    <s v="Violin service item #009"/>
    <s v="UNIQUE"/>
    <n v="0"/>
    <n v="784"/>
    <n v="17"/>
    <n v="0"/>
    <n v="13328"/>
  </r>
  <r>
    <x v="1"/>
    <x v="3"/>
    <x v="1"/>
    <n v="2"/>
    <n v="20"/>
    <s v="00"/>
    <s v="010"/>
    <s v="22000-010"/>
    <s v="Violin service item #010"/>
    <s v="UNIQUE"/>
    <n v="6"/>
    <n v="69"/>
    <n v="76"/>
    <n v="414"/>
    <n v="5244"/>
  </r>
  <r>
    <x v="1"/>
    <x v="3"/>
    <x v="1"/>
    <n v="2"/>
    <n v="20"/>
    <s v="00"/>
    <s v="011"/>
    <s v="22000-011"/>
    <s v="Violin service item #011"/>
    <s v="UNIQUE"/>
    <n v="0"/>
    <n v="4"/>
    <n v="1681"/>
    <n v="0"/>
    <n v="6724"/>
  </r>
  <r>
    <x v="1"/>
    <x v="3"/>
    <x v="1"/>
    <n v="2"/>
    <n v="20"/>
    <s v="00"/>
    <s v="012"/>
    <s v="22000-012"/>
    <s v="Violin service item #012"/>
    <s v="UNIQUE"/>
    <n v="0"/>
    <n v="24"/>
    <n v="3721"/>
    <n v="0"/>
    <n v="89304"/>
  </r>
  <r>
    <x v="1"/>
    <x v="3"/>
    <x v="1"/>
    <n v="2"/>
    <n v="20"/>
    <s v="00"/>
    <s v="013"/>
    <s v="22000-013"/>
    <s v="Violin service item #013"/>
    <s v="UNIQUE"/>
    <n v="1"/>
    <n v="1225"/>
    <n v="36"/>
    <n v="1225"/>
    <n v="44100"/>
  </r>
  <r>
    <x v="1"/>
    <x v="3"/>
    <x v="1"/>
    <n v="2"/>
    <n v="20"/>
    <s v="00"/>
    <s v="014"/>
    <s v="22000-014"/>
    <s v="Violin service item #014"/>
    <s v="UNIQUE"/>
    <n v="11"/>
    <n v="61"/>
    <n v="31"/>
    <n v="671"/>
    <n v="1891"/>
  </r>
  <r>
    <x v="1"/>
    <x v="3"/>
    <x v="1"/>
    <n v="2"/>
    <n v="20"/>
    <s v="00"/>
    <s v="015"/>
    <s v="22000-015"/>
    <s v="Violin service item #015"/>
    <s v="UNIQUE"/>
    <n v="10"/>
    <n v="81"/>
    <n v="7225"/>
    <n v="810"/>
    <n v="585225"/>
  </r>
  <r>
    <x v="1"/>
    <x v="3"/>
    <x v="1"/>
    <n v="2"/>
    <n v="20"/>
    <s v="00"/>
    <s v="016"/>
    <s v="22000-016"/>
    <s v="Violin service item #016"/>
    <s v="UNIQUE"/>
    <n v="0"/>
    <n v="36"/>
    <n v="1681"/>
    <n v="0"/>
    <n v="60516"/>
  </r>
  <r>
    <x v="1"/>
    <x v="3"/>
    <x v="1"/>
    <n v="2"/>
    <n v="20"/>
    <s v="00"/>
    <s v="017"/>
    <s v="22000-017"/>
    <s v="Violin service item #017"/>
    <s v="UNIQUE"/>
    <n v="3"/>
    <n v="15"/>
    <n v="8464"/>
    <n v="45"/>
    <n v="126960"/>
  </r>
  <r>
    <x v="1"/>
    <x v="3"/>
    <x v="1"/>
    <n v="2"/>
    <n v="20"/>
    <s v="00"/>
    <s v="018"/>
    <s v="22000-018"/>
    <s v="Violin service item #018"/>
    <s v="UNIQUE"/>
    <n v="0"/>
    <n v="6561"/>
    <n v="2025"/>
    <n v="0"/>
    <n v="13286025"/>
  </r>
  <r>
    <x v="1"/>
    <x v="3"/>
    <x v="1"/>
    <n v="2"/>
    <n v="20"/>
    <s v="00"/>
    <s v="019"/>
    <s v="22000-019"/>
    <s v="Violin service item #019"/>
    <s v="UNIQUE"/>
    <n v="0"/>
    <n v="9216"/>
    <n v="961"/>
    <n v="0"/>
    <n v="8856576"/>
  </r>
  <r>
    <x v="1"/>
    <x v="3"/>
    <x v="1"/>
    <n v="2"/>
    <n v="20"/>
    <s v="00"/>
    <s v="020"/>
    <s v="22000-020"/>
    <s v="Violin service item #020"/>
    <s v="UNIQUE"/>
    <n v="0"/>
    <n v="36"/>
    <n v="82"/>
    <n v="0"/>
    <n v="2952"/>
  </r>
  <r>
    <x v="1"/>
    <x v="3"/>
    <x v="1"/>
    <n v="2"/>
    <n v="20"/>
    <s v="00"/>
    <s v="021"/>
    <s v="22000-021"/>
    <s v="Violin service item #021"/>
    <s v="UNIQUE"/>
    <n v="25"/>
    <n v="2704"/>
    <n v="2704"/>
    <n v="67600"/>
    <n v="7311616"/>
  </r>
  <r>
    <x v="1"/>
    <x v="3"/>
    <x v="1"/>
    <n v="2"/>
    <n v="20"/>
    <s v="00"/>
    <s v="022"/>
    <s v="22000-022"/>
    <s v="Violin service item #022"/>
    <s v="UNIQUE"/>
    <n v="3"/>
    <n v="38"/>
    <n v="69"/>
    <n v="114"/>
    <n v="2622"/>
  </r>
  <r>
    <x v="1"/>
    <x v="3"/>
    <x v="1"/>
    <n v="2"/>
    <n v="20"/>
    <s v="00"/>
    <s v="023"/>
    <s v="22000-023"/>
    <s v="Violin service item #023"/>
    <s v="UNIQUE"/>
    <n v="0"/>
    <n v="256"/>
    <n v="289"/>
    <n v="0"/>
    <n v="73984"/>
  </r>
  <r>
    <x v="1"/>
    <x v="3"/>
    <x v="1"/>
    <n v="2"/>
    <n v="20"/>
    <s v="00"/>
    <s v="024"/>
    <s v="22000-024"/>
    <s v="Violin service item #024"/>
    <s v="UNIQUE"/>
    <n v="0"/>
    <n v="16"/>
    <n v="12"/>
    <n v="0"/>
    <n v="192"/>
  </r>
  <r>
    <x v="1"/>
    <x v="3"/>
    <x v="1"/>
    <n v="2"/>
    <n v="20"/>
    <s v="00"/>
    <s v="025"/>
    <s v="22000-025"/>
    <s v="Violin service item #025"/>
    <s v="UNIQUE"/>
    <n v="16"/>
    <n v="72"/>
    <n v="43"/>
    <n v="1152"/>
    <n v="3096"/>
  </r>
  <r>
    <x v="1"/>
    <x v="3"/>
    <x v="1"/>
    <n v="2"/>
    <n v="20"/>
    <s v="00"/>
    <s v="026"/>
    <s v="22000-026"/>
    <s v="Violin service item #026"/>
    <s v="UNIQUE"/>
    <n v="40"/>
    <n v="121"/>
    <n v="529"/>
    <n v="4840"/>
    <n v="64009"/>
  </r>
  <r>
    <x v="1"/>
    <x v="3"/>
    <x v="1"/>
    <n v="2"/>
    <n v="20"/>
    <s v="00"/>
    <s v="027"/>
    <s v="22000-027"/>
    <s v="Violin service item #027"/>
    <s v="UNIQUE"/>
    <n v="0"/>
    <n v="8649"/>
    <n v="3249"/>
    <n v="0"/>
    <n v="28100601"/>
  </r>
  <r>
    <x v="1"/>
    <x v="3"/>
    <x v="1"/>
    <n v="2"/>
    <n v="20"/>
    <s v="00"/>
    <s v="028"/>
    <s v="22000-028"/>
    <s v="Violin service item #028"/>
    <s v="UNIQUE"/>
    <n v="0"/>
    <n v="21"/>
    <n v="484"/>
    <n v="0"/>
    <n v="10164"/>
  </r>
  <r>
    <x v="1"/>
    <x v="3"/>
    <x v="1"/>
    <n v="2"/>
    <n v="20"/>
    <s v="00"/>
    <s v="029"/>
    <s v="22000-029"/>
    <s v="Violin service item #029"/>
    <s v="UNIQUE"/>
    <n v="0"/>
    <n v="95"/>
    <n v="89"/>
    <n v="0"/>
    <n v="8455"/>
  </r>
  <r>
    <x v="1"/>
    <x v="4"/>
    <x v="1"/>
    <n v="2"/>
    <n v="21"/>
    <s v="00"/>
    <s v="000"/>
    <s v="22100-000"/>
    <s v="Viola service item #000"/>
    <s v="UNIQUE"/>
    <n v="0"/>
    <n v="4"/>
    <n v="60"/>
    <n v="0"/>
    <n v="240"/>
  </r>
  <r>
    <x v="1"/>
    <x v="4"/>
    <x v="1"/>
    <n v="2"/>
    <n v="21"/>
    <s v="00"/>
    <s v="001"/>
    <s v="22100-001"/>
    <s v="Viola service item #001"/>
    <s v="UNIQUE"/>
    <n v="0"/>
    <n v="99"/>
    <n v="64"/>
    <n v="0"/>
    <n v="6336"/>
  </r>
  <r>
    <x v="1"/>
    <x v="4"/>
    <x v="1"/>
    <n v="2"/>
    <n v="21"/>
    <s v="00"/>
    <s v="002"/>
    <s v="22100-002"/>
    <s v="Viola service item #002"/>
    <s v="UNIQUE"/>
    <n v="0"/>
    <n v="83"/>
    <n v="87"/>
    <n v="0"/>
    <n v="7221"/>
  </r>
  <r>
    <x v="1"/>
    <x v="4"/>
    <x v="1"/>
    <n v="2"/>
    <n v="21"/>
    <s v="00"/>
    <s v="003"/>
    <s v="22100-003"/>
    <s v="Viola service item #003"/>
    <s v="UNIQUE"/>
    <n v="5"/>
    <n v="7744"/>
    <n v="7744"/>
    <n v="38720"/>
    <n v="59969536"/>
  </r>
  <r>
    <x v="1"/>
    <x v="4"/>
    <x v="1"/>
    <n v="2"/>
    <n v="21"/>
    <s v="00"/>
    <s v="004"/>
    <s v="22100-004"/>
    <s v="Viola service item #004"/>
    <s v="UNIQUE"/>
    <n v="7"/>
    <n v="9"/>
    <n v="961"/>
    <n v="63"/>
    <n v="8649"/>
  </r>
  <r>
    <x v="1"/>
    <x v="4"/>
    <x v="1"/>
    <n v="2"/>
    <n v="21"/>
    <s v="00"/>
    <s v="005"/>
    <s v="22100-005"/>
    <s v="Viola service item #005"/>
    <s v="UNIQUE"/>
    <n v="0"/>
    <n v="5776"/>
    <n v="62"/>
    <n v="0"/>
    <n v="358112"/>
  </r>
  <r>
    <x v="1"/>
    <x v="4"/>
    <x v="1"/>
    <n v="2"/>
    <n v="21"/>
    <s v="00"/>
    <s v="006"/>
    <s v="22100-006"/>
    <s v="Viola service item #006"/>
    <s v="UNIQUE"/>
    <n v="0"/>
    <n v="62"/>
    <n v="1369"/>
    <n v="0"/>
    <n v="84878"/>
  </r>
  <r>
    <x v="1"/>
    <x v="4"/>
    <x v="1"/>
    <n v="2"/>
    <n v="21"/>
    <s v="00"/>
    <s v="007"/>
    <s v="22100-007"/>
    <s v="Viola service item #007"/>
    <s v="UNIQUE"/>
    <n v="0"/>
    <n v="63"/>
    <n v="2500"/>
    <n v="0"/>
    <n v="157500"/>
  </r>
  <r>
    <x v="1"/>
    <x v="4"/>
    <x v="1"/>
    <n v="2"/>
    <n v="21"/>
    <s v="00"/>
    <s v="008"/>
    <s v="22100-008"/>
    <s v="Viola service item #008"/>
    <s v="UNIQUE"/>
    <n v="0"/>
    <n v="7056"/>
    <n v="94"/>
    <n v="0"/>
    <n v="663264"/>
  </r>
  <r>
    <x v="1"/>
    <x v="4"/>
    <x v="1"/>
    <n v="2"/>
    <n v="21"/>
    <s v="00"/>
    <s v="009"/>
    <s v="22100-009"/>
    <s v="Viola service item #009"/>
    <s v="UNIQUE"/>
    <n v="0"/>
    <n v="961"/>
    <n v="1"/>
    <n v="0"/>
    <n v="961"/>
  </r>
  <r>
    <x v="1"/>
    <x v="5"/>
    <x v="1"/>
    <n v="2"/>
    <n v="22"/>
    <s v="00"/>
    <s v="000"/>
    <s v="22200-000"/>
    <s v="Cello service item #000"/>
    <s v="UNIQUE"/>
    <n v="0"/>
    <n v="400"/>
    <n v="9"/>
    <n v="0"/>
    <n v="3600"/>
  </r>
  <r>
    <x v="1"/>
    <x v="5"/>
    <x v="1"/>
    <n v="2"/>
    <n v="22"/>
    <s v="00"/>
    <s v="001"/>
    <s v="22200-001"/>
    <s v="Cello service item #001"/>
    <s v="UNIQUE"/>
    <n v="0"/>
    <n v="784"/>
    <n v="900"/>
    <n v="0"/>
    <n v="705600"/>
  </r>
  <r>
    <x v="1"/>
    <x v="5"/>
    <x v="1"/>
    <n v="2"/>
    <n v="22"/>
    <s v="00"/>
    <s v="002"/>
    <s v="22200-002"/>
    <s v="Cello service item #002"/>
    <s v="UNIQUE"/>
    <n v="0"/>
    <n v="89"/>
    <n v="900"/>
    <n v="0"/>
    <n v="80100"/>
  </r>
  <r>
    <x v="1"/>
    <x v="5"/>
    <x v="1"/>
    <n v="2"/>
    <n v="22"/>
    <s v="00"/>
    <s v="003"/>
    <s v="22200-003"/>
    <s v="Cello service item #003"/>
    <s v="UNIQUE"/>
    <n v="2"/>
    <n v="100"/>
    <n v="900"/>
    <n v="200"/>
    <n v="90000"/>
  </r>
  <r>
    <x v="1"/>
    <x v="5"/>
    <x v="1"/>
    <n v="2"/>
    <n v="22"/>
    <s v="00"/>
    <s v="004"/>
    <s v="22200-004"/>
    <s v="Cello service item #004"/>
    <s v="UNIQUE"/>
    <n v="0"/>
    <n v="3844"/>
    <n v="8836"/>
    <n v="0"/>
    <n v="33965584"/>
  </r>
  <r>
    <x v="1"/>
    <x v="5"/>
    <x v="1"/>
    <n v="2"/>
    <n v="22"/>
    <s v="00"/>
    <s v="005"/>
    <s v="22200-005"/>
    <s v="Cello service item #005"/>
    <s v="UNIQUE"/>
    <n v="0"/>
    <n v="729"/>
    <n v="8464"/>
    <n v="0"/>
    <n v="6170256"/>
  </r>
  <r>
    <x v="1"/>
    <x v="5"/>
    <x v="1"/>
    <n v="2"/>
    <n v="22"/>
    <s v="00"/>
    <s v="006"/>
    <s v="22200-006"/>
    <s v="Cello service item #006"/>
    <s v="UNIQUE"/>
    <n v="8"/>
    <n v="88"/>
    <n v="21"/>
    <n v="704"/>
    <n v="1848"/>
  </r>
  <r>
    <x v="1"/>
    <x v="5"/>
    <x v="1"/>
    <n v="2"/>
    <n v="22"/>
    <s v="00"/>
    <s v="007"/>
    <s v="22200-007"/>
    <s v="Cello service item #007"/>
    <s v="UNIQUE"/>
    <n v="2"/>
    <n v="3844"/>
    <n v="60"/>
    <n v="7688"/>
    <n v="230640"/>
  </r>
  <r>
    <x v="1"/>
    <x v="5"/>
    <x v="1"/>
    <n v="2"/>
    <n v="22"/>
    <s v="00"/>
    <s v="008"/>
    <s v="22200-008"/>
    <s v="Cello service item #008"/>
    <s v="UNIQUE"/>
    <n v="0"/>
    <n v="97"/>
    <n v="5041"/>
    <n v="0"/>
    <n v="488977"/>
  </r>
  <r>
    <x v="1"/>
    <x v="5"/>
    <x v="1"/>
    <n v="2"/>
    <n v="22"/>
    <s v="00"/>
    <s v="009"/>
    <s v="22200-009"/>
    <s v="Cello service item #009"/>
    <s v="UNIQUE"/>
    <n v="0"/>
    <n v="31"/>
    <n v="4489"/>
    <n v="0"/>
    <n v="139159"/>
  </r>
  <r>
    <x v="1"/>
    <x v="6"/>
    <x v="1"/>
    <n v="2"/>
    <n v="23"/>
    <s v="00"/>
    <s v="000"/>
    <s v="22300-000"/>
    <s v="Bass service item #000"/>
    <s v="UNIQUE"/>
    <n v="28"/>
    <n v="1156"/>
    <n v="31"/>
    <n v="32368"/>
    <n v="35836"/>
  </r>
  <r>
    <x v="1"/>
    <x v="6"/>
    <x v="1"/>
    <n v="2"/>
    <n v="23"/>
    <s v="00"/>
    <s v="001"/>
    <s v="22300-001"/>
    <s v="Bass service item #001"/>
    <s v="UNIQUE"/>
    <n v="0"/>
    <n v="1296"/>
    <n v="100"/>
    <n v="0"/>
    <n v="129600"/>
  </r>
  <r>
    <x v="1"/>
    <x v="6"/>
    <x v="1"/>
    <n v="2"/>
    <n v="23"/>
    <s v="00"/>
    <s v="002"/>
    <s v="22300-002"/>
    <s v="Bass service item #002"/>
    <s v="UNIQUE"/>
    <n v="1"/>
    <n v="400"/>
    <n v="14"/>
    <n v="400"/>
    <n v="5600"/>
  </r>
  <r>
    <x v="1"/>
    <x v="6"/>
    <x v="1"/>
    <n v="2"/>
    <n v="23"/>
    <s v="00"/>
    <s v="003"/>
    <s v="22300-003"/>
    <s v="Bass service item #003"/>
    <s v="UNIQUE"/>
    <n v="0"/>
    <n v="14"/>
    <n v="5776"/>
    <n v="0"/>
    <n v="80864"/>
  </r>
  <r>
    <x v="1"/>
    <x v="6"/>
    <x v="1"/>
    <n v="2"/>
    <n v="23"/>
    <s v="00"/>
    <s v="004"/>
    <s v="22300-004"/>
    <s v="Bass service item #004"/>
    <s v="UNIQUE"/>
    <n v="0"/>
    <n v="2809"/>
    <n v="4356"/>
    <n v="0"/>
    <n v="12236004"/>
  </r>
  <r>
    <x v="1"/>
    <x v="6"/>
    <x v="1"/>
    <n v="2"/>
    <n v="23"/>
    <s v="00"/>
    <s v="005"/>
    <s v="22300-005"/>
    <s v="Bass service item #005"/>
    <s v="UNIQUE"/>
    <n v="0"/>
    <n v="6724"/>
    <n v="2704"/>
    <n v="0"/>
    <n v="18181696"/>
  </r>
  <r>
    <x v="1"/>
    <x v="6"/>
    <x v="1"/>
    <n v="2"/>
    <n v="23"/>
    <s v="00"/>
    <s v="006"/>
    <s v="22300-006"/>
    <s v="Bass service item #006"/>
    <s v="UNIQUE"/>
    <n v="62"/>
    <n v="2304"/>
    <n v="5"/>
    <n v="142848"/>
    <n v="11520"/>
  </r>
  <r>
    <x v="1"/>
    <x v="6"/>
    <x v="1"/>
    <n v="2"/>
    <n v="23"/>
    <s v="00"/>
    <s v="007"/>
    <s v="22300-007"/>
    <s v="Bass service item #007"/>
    <s v="UNIQUE"/>
    <n v="7"/>
    <n v="2704"/>
    <n v="61"/>
    <n v="18928"/>
    <n v="164944"/>
  </r>
  <r>
    <x v="1"/>
    <x v="6"/>
    <x v="1"/>
    <n v="2"/>
    <n v="23"/>
    <s v="00"/>
    <s v="008"/>
    <s v="22300-008"/>
    <s v="Bass service item #008"/>
    <s v="UNIQUE"/>
    <n v="1"/>
    <n v="5329"/>
    <n v="784"/>
    <n v="5329"/>
    <n v="4177936"/>
  </r>
  <r>
    <x v="1"/>
    <x v="6"/>
    <x v="1"/>
    <n v="2"/>
    <n v="23"/>
    <s v="00"/>
    <s v="009"/>
    <s v="22300-009"/>
    <s v="Bass service item #009"/>
    <s v="UNIQUE"/>
    <n v="0"/>
    <n v="484"/>
    <n v="3"/>
    <n v="0"/>
    <n v="1452"/>
  </r>
  <r>
    <x v="1"/>
    <x v="7"/>
    <x v="1"/>
    <n v="2"/>
    <n v="24"/>
    <s v="00"/>
    <s v="000"/>
    <s v="22400-000"/>
    <s v="Acoustic guitar service item #000"/>
    <s v="UNIQUE"/>
    <n v="0"/>
    <n v="3025"/>
    <n v="441"/>
    <n v="0"/>
    <n v="1334025"/>
  </r>
  <r>
    <x v="1"/>
    <x v="7"/>
    <x v="1"/>
    <n v="2"/>
    <n v="24"/>
    <s v="00"/>
    <s v="001"/>
    <s v="22400-001"/>
    <s v="Acoustic guitar service item #001"/>
    <s v="UNIQUE"/>
    <n v="1"/>
    <n v="50"/>
    <n v="46"/>
    <n v="50"/>
    <n v="2300"/>
  </r>
  <r>
    <x v="1"/>
    <x v="7"/>
    <x v="1"/>
    <n v="2"/>
    <n v="24"/>
    <s v="00"/>
    <s v="002"/>
    <s v="22400-002"/>
    <s v="Acoustic guitar service item #002"/>
    <s v="UNIQUE"/>
    <n v="0"/>
    <n v="900"/>
    <n v="9801"/>
    <n v="0"/>
    <n v="8820900"/>
  </r>
  <r>
    <x v="1"/>
    <x v="7"/>
    <x v="1"/>
    <n v="2"/>
    <n v="24"/>
    <s v="00"/>
    <s v="003"/>
    <s v="22400-003"/>
    <s v="Acoustic guitar service item #003"/>
    <s v="UNIQUE"/>
    <n v="0"/>
    <n v="256"/>
    <n v="2"/>
    <n v="0"/>
    <n v="512"/>
  </r>
  <r>
    <x v="1"/>
    <x v="7"/>
    <x v="1"/>
    <n v="2"/>
    <n v="24"/>
    <s v="00"/>
    <s v="004"/>
    <s v="22400-004"/>
    <s v="Acoustic guitar service item #004"/>
    <s v="UNIQUE"/>
    <n v="0"/>
    <n v="1225"/>
    <n v="4"/>
    <n v="0"/>
    <n v="4900"/>
  </r>
  <r>
    <x v="1"/>
    <x v="7"/>
    <x v="1"/>
    <n v="2"/>
    <n v="24"/>
    <s v="00"/>
    <s v="005"/>
    <s v="22400-005"/>
    <s v="Acoustic guitar service item #005"/>
    <s v="UNIQUE"/>
    <n v="0"/>
    <n v="29"/>
    <n v="56"/>
    <n v="0"/>
    <n v="1624"/>
  </r>
  <r>
    <x v="1"/>
    <x v="7"/>
    <x v="1"/>
    <n v="2"/>
    <n v="24"/>
    <s v="00"/>
    <s v="006"/>
    <s v="22400-006"/>
    <s v="Acoustic guitar service item #006"/>
    <s v="UNIQUE"/>
    <n v="0"/>
    <n v="961"/>
    <n v="3721"/>
    <n v="0"/>
    <n v="3575881"/>
  </r>
  <r>
    <x v="1"/>
    <x v="7"/>
    <x v="1"/>
    <n v="2"/>
    <n v="24"/>
    <s v="00"/>
    <s v="007"/>
    <s v="22400-007"/>
    <s v="Acoustic guitar service item #007"/>
    <s v="UNIQUE"/>
    <n v="0"/>
    <n v="441"/>
    <n v="98"/>
    <n v="0"/>
    <n v="43218"/>
  </r>
  <r>
    <x v="1"/>
    <x v="7"/>
    <x v="1"/>
    <n v="2"/>
    <n v="24"/>
    <s v="00"/>
    <s v="008"/>
    <s v="22400-008"/>
    <s v="Acoustic guitar service item #008"/>
    <s v="UNIQUE"/>
    <n v="1"/>
    <n v="8"/>
    <n v="1681"/>
    <n v="8"/>
    <n v="13448"/>
  </r>
  <r>
    <x v="1"/>
    <x v="7"/>
    <x v="1"/>
    <n v="2"/>
    <n v="24"/>
    <s v="00"/>
    <s v="009"/>
    <s v="22400-009"/>
    <s v="Acoustic guitar service item #009"/>
    <s v="UNIQUE"/>
    <n v="20"/>
    <n v="74"/>
    <n v="1369"/>
    <n v="1480"/>
    <n v="101306"/>
  </r>
  <r>
    <x v="1"/>
    <x v="7"/>
    <x v="1"/>
    <n v="2"/>
    <n v="24"/>
    <s v="00"/>
    <s v="010"/>
    <s v="22400-010"/>
    <s v="Acoustic guitar service item #010"/>
    <s v="UNIQUE"/>
    <n v="1"/>
    <n v="23"/>
    <n v="29"/>
    <n v="23"/>
    <n v="667"/>
  </r>
  <r>
    <x v="1"/>
    <x v="7"/>
    <x v="1"/>
    <n v="2"/>
    <n v="24"/>
    <s v="00"/>
    <s v="011"/>
    <s v="22400-011"/>
    <s v="Acoustic guitar service item #011"/>
    <s v="UNIQUE"/>
    <n v="6"/>
    <n v="441"/>
    <n v="57"/>
    <n v="2646"/>
    <n v="25137"/>
  </r>
  <r>
    <x v="1"/>
    <x v="7"/>
    <x v="1"/>
    <n v="2"/>
    <n v="24"/>
    <s v="00"/>
    <s v="012"/>
    <s v="22400-012"/>
    <s v="Acoustic guitar service item #012"/>
    <s v="UNIQUE"/>
    <n v="0"/>
    <n v="78"/>
    <n v="5329"/>
    <n v="0"/>
    <n v="415662"/>
  </r>
  <r>
    <x v="1"/>
    <x v="7"/>
    <x v="1"/>
    <n v="2"/>
    <n v="24"/>
    <s v="00"/>
    <s v="013"/>
    <s v="22400-013"/>
    <s v="Acoustic guitar service item #013"/>
    <s v="UNIQUE"/>
    <n v="0"/>
    <n v="576"/>
    <n v="84"/>
    <n v="0"/>
    <n v="48384"/>
  </r>
  <r>
    <x v="1"/>
    <x v="7"/>
    <x v="1"/>
    <n v="2"/>
    <n v="24"/>
    <s v="00"/>
    <s v="014"/>
    <s v="22400-014"/>
    <s v="Acoustic guitar service item #014"/>
    <s v="UNIQUE"/>
    <n v="11"/>
    <n v="99"/>
    <n v="72"/>
    <n v="1089"/>
    <n v="7128"/>
  </r>
  <r>
    <x v="1"/>
    <x v="7"/>
    <x v="1"/>
    <n v="2"/>
    <n v="24"/>
    <s v="00"/>
    <s v="015"/>
    <s v="22400-015"/>
    <s v="Acoustic guitar service item #015"/>
    <s v="UNIQUE"/>
    <n v="0"/>
    <n v="8100"/>
    <n v="9801"/>
    <n v="0"/>
    <n v="79388100"/>
  </r>
  <r>
    <x v="1"/>
    <x v="7"/>
    <x v="1"/>
    <n v="2"/>
    <n v="24"/>
    <s v="00"/>
    <s v="016"/>
    <s v="22400-016"/>
    <s v="Acoustic guitar service item #016"/>
    <s v="UNIQUE"/>
    <n v="5"/>
    <n v="10000"/>
    <n v="3969"/>
    <n v="50000"/>
    <n v="39690000"/>
  </r>
  <r>
    <x v="1"/>
    <x v="7"/>
    <x v="1"/>
    <n v="2"/>
    <n v="24"/>
    <s v="00"/>
    <s v="017"/>
    <s v="22400-017"/>
    <s v="Acoustic guitar service item #017"/>
    <s v="UNIQUE"/>
    <n v="0"/>
    <n v="1369"/>
    <n v="63"/>
    <n v="0"/>
    <n v="86247"/>
  </r>
  <r>
    <x v="1"/>
    <x v="7"/>
    <x v="1"/>
    <n v="2"/>
    <n v="24"/>
    <s v="00"/>
    <s v="018"/>
    <s v="22400-018"/>
    <s v="Acoustic guitar service item #018"/>
    <s v="UNIQUE"/>
    <n v="0"/>
    <n v="77"/>
    <n v="3364"/>
    <n v="0"/>
    <n v="259028"/>
  </r>
  <r>
    <x v="1"/>
    <x v="7"/>
    <x v="1"/>
    <n v="2"/>
    <n v="24"/>
    <s v="00"/>
    <s v="019"/>
    <s v="22400-019"/>
    <s v="Acoustic guitar service item #019"/>
    <s v="UNIQUE"/>
    <n v="0"/>
    <n v="1369"/>
    <n v="95"/>
    <n v="0"/>
    <n v="130055"/>
  </r>
  <r>
    <x v="1"/>
    <x v="8"/>
    <x v="1"/>
    <n v="2"/>
    <n v="25"/>
    <s v="00"/>
    <s v="000"/>
    <s v="22500-000"/>
    <s v="Electric guitar service item #000"/>
    <s v="UNIQUE"/>
    <n v="3"/>
    <n v="1764"/>
    <n v="99"/>
    <n v="5292"/>
    <n v="174636"/>
  </r>
  <r>
    <x v="1"/>
    <x v="8"/>
    <x v="1"/>
    <n v="2"/>
    <n v="25"/>
    <s v="00"/>
    <s v="001"/>
    <s v="22500-001"/>
    <s v="Electric guitar service item #001"/>
    <s v="UNIQUE"/>
    <n v="0"/>
    <n v="22"/>
    <n v="20"/>
    <n v="0"/>
    <n v="440"/>
  </r>
  <r>
    <x v="1"/>
    <x v="8"/>
    <x v="1"/>
    <n v="2"/>
    <n v="25"/>
    <s v="00"/>
    <s v="002"/>
    <s v="22500-002"/>
    <s v="Electric guitar service item #002"/>
    <s v="UNIQUE"/>
    <n v="4"/>
    <n v="53"/>
    <n v="7225"/>
    <n v="212"/>
    <n v="382925"/>
  </r>
  <r>
    <x v="1"/>
    <x v="8"/>
    <x v="1"/>
    <n v="2"/>
    <n v="25"/>
    <s v="00"/>
    <s v="003"/>
    <s v="22500-003"/>
    <s v="Electric guitar service item #003"/>
    <s v="UNIQUE"/>
    <n v="0"/>
    <n v="8836"/>
    <n v="91"/>
    <n v="0"/>
    <n v="804076"/>
  </r>
  <r>
    <x v="1"/>
    <x v="8"/>
    <x v="1"/>
    <n v="2"/>
    <n v="25"/>
    <s v="00"/>
    <s v="004"/>
    <s v="22500-004"/>
    <s v="Electric guitar service item #004"/>
    <s v="UNIQUE"/>
    <n v="0"/>
    <n v="4"/>
    <n v="56"/>
    <n v="0"/>
    <n v="224"/>
  </r>
  <r>
    <x v="1"/>
    <x v="8"/>
    <x v="1"/>
    <n v="2"/>
    <n v="25"/>
    <s v="00"/>
    <s v="005"/>
    <s v="22500-005"/>
    <s v="Electric guitar service item #005"/>
    <s v="UNIQUE"/>
    <n v="0"/>
    <n v="32"/>
    <n v="6084"/>
    <n v="0"/>
    <n v="194688"/>
  </r>
  <r>
    <x v="1"/>
    <x v="8"/>
    <x v="1"/>
    <n v="2"/>
    <n v="25"/>
    <s v="00"/>
    <s v="006"/>
    <s v="22500-006"/>
    <s v="Electric guitar service item #006"/>
    <s v="UNIQUE"/>
    <n v="0"/>
    <n v="6400"/>
    <n v="6400"/>
    <n v="0"/>
    <n v="40960000"/>
  </r>
  <r>
    <x v="1"/>
    <x v="8"/>
    <x v="1"/>
    <n v="2"/>
    <n v="25"/>
    <s v="00"/>
    <s v="007"/>
    <s v="22500-007"/>
    <s v="Electric guitar service item #007"/>
    <s v="UNIQUE"/>
    <n v="0"/>
    <n v="72"/>
    <n v="1764"/>
    <n v="0"/>
    <n v="127008"/>
  </r>
  <r>
    <x v="1"/>
    <x v="8"/>
    <x v="1"/>
    <n v="2"/>
    <n v="25"/>
    <s v="00"/>
    <s v="008"/>
    <s v="22500-008"/>
    <s v="Electric guitar service item #008"/>
    <s v="UNIQUE"/>
    <n v="6"/>
    <n v="324"/>
    <n v="32"/>
    <n v="1944"/>
    <n v="10368"/>
  </r>
  <r>
    <x v="1"/>
    <x v="8"/>
    <x v="1"/>
    <n v="2"/>
    <n v="25"/>
    <s v="00"/>
    <s v="009"/>
    <s v="22500-009"/>
    <s v="Electric guitar service item #009"/>
    <s v="UNIQUE"/>
    <n v="0"/>
    <n v="61"/>
    <n v="21"/>
    <n v="0"/>
    <n v="1281"/>
  </r>
  <r>
    <x v="1"/>
    <x v="8"/>
    <x v="1"/>
    <n v="2"/>
    <n v="25"/>
    <s v="00"/>
    <s v="010"/>
    <s v="22500-010"/>
    <s v="Electric guitar service item #010"/>
    <s v="UNIQUE"/>
    <n v="0"/>
    <n v="15"/>
    <n v="6241"/>
    <n v="0"/>
    <n v="93615"/>
  </r>
  <r>
    <x v="1"/>
    <x v="8"/>
    <x v="1"/>
    <n v="2"/>
    <n v="25"/>
    <s v="00"/>
    <s v="011"/>
    <s v="22500-011"/>
    <s v="Electric guitar service item #011"/>
    <s v="UNIQUE"/>
    <n v="0"/>
    <n v="14"/>
    <n v="8649"/>
    <n v="0"/>
    <n v="121086"/>
  </r>
  <r>
    <x v="1"/>
    <x v="8"/>
    <x v="1"/>
    <n v="2"/>
    <n v="25"/>
    <s v="00"/>
    <s v="012"/>
    <s v="22500-012"/>
    <s v="Electric guitar service item #012"/>
    <s v="UNIQUE"/>
    <n v="3"/>
    <n v="1521"/>
    <n v="121"/>
    <n v="4563"/>
    <n v="184041"/>
  </r>
  <r>
    <x v="1"/>
    <x v="8"/>
    <x v="1"/>
    <n v="2"/>
    <n v="25"/>
    <s v="00"/>
    <s v="013"/>
    <s v="22500-013"/>
    <s v="Electric guitar service item #013"/>
    <s v="UNIQUE"/>
    <n v="0"/>
    <n v="7921"/>
    <n v="30"/>
    <n v="0"/>
    <n v="237630"/>
  </r>
  <r>
    <x v="1"/>
    <x v="8"/>
    <x v="1"/>
    <n v="2"/>
    <n v="25"/>
    <s v="00"/>
    <s v="014"/>
    <s v="22500-014"/>
    <s v="Electric guitar service item #014"/>
    <s v="UNIQUE"/>
    <n v="5"/>
    <n v="36"/>
    <n v="87"/>
    <n v="180"/>
    <n v="3132"/>
  </r>
  <r>
    <x v="1"/>
    <x v="8"/>
    <x v="1"/>
    <n v="2"/>
    <n v="25"/>
    <s v="00"/>
    <s v="015"/>
    <s v="22500-015"/>
    <s v="Electric guitar service item #015"/>
    <s v="UNIQUE"/>
    <n v="0"/>
    <n v="15"/>
    <n v="3600"/>
    <n v="0"/>
    <n v="54000"/>
  </r>
  <r>
    <x v="1"/>
    <x v="8"/>
    <x v="1"/>
    <n v="2"/>
    <n v="25"/>
    <s v="00"/>
    <s v="016"/>
    <s v="22500-016"/>
    <s v="Electric guitar service item #016"/>
    <s v="UNIQUE"/>
    <n v="0"/>
    <n v="4"/>
    <n v="1024"/>
    <n v="0"/>
    <n v="4096"/>
  </r>
  <r>
    <x v="1"/>
    <x v="8"/>
    <x v="1"/>
    <n v="2"/>
    <n v="25"/>
    <s v="00"/>
    <s v="017"/>
    <s v="22500-017"/>
    <s v="Electric guitar service item #017"/>
    <s v="UNIQUE"/>
    <n v="0"/>
    <n v="400"/>
    <n v="3600"/>
    <n v="0"/>
    <n v="1440000"/>
  </r>
  <r>
    <x v="1"/>
    <x v="8"/>
    <x v="1"/>
    <n v="2"/>
    <n v="25"/>
    <s v="00"/>
    <s v="018"/>
    <s v="22500-018"/>
    <s v="Electric guitar service item #018"/>
    <s v="UNIQUE"/>
    <n v="0"/>
    <n v="1156"/>
    <n v="1156"/>
    <n v="0"/>
    <n v="1336336"/>
  </r>
  <r>
    <x v="1"/>
    <x v="8"/>
    <x v="1"/>
    <n v="2"/>
    <n v="25"/>
    <s v="00"/>
    <s v="019"/>
    <s v="22500-019"/>
    <s v="Electric guitar service item #019"/>
    <s v="UNIQUE"/>
    <n v="9"/>
    <n v="23"/>
    <n v="441"/>
    <n v="207"/>
    <n v="10143"/>
  </r>
  <r>
    <x v="1"/>
    <x v="9"/>
    <x v="2"/>
    <n v="2"/>
    <n v="30"/>
    <s v="00"/>
    <s v="000"/>
    <s v="23000-000"/>
    <s v="Clarinet service item #000"/>
    <s v="UNIQUE"/>
    <n v="0"/>
    <n v="81"/>
    <n v="7"/>
    <n v="0"/>
    <n v="567"/>
  </r>
  <r>
    <x v="1"/>
    <x v="9"/>
    <x v="2"/>
    <n v="2"/>
    <n v="30"/>
    <s v="00"/>
    <s v="001"/>
    <s v="23000-001"/>
    <s v="Clarinet service item #001"/>
    <s v="UNIQUE"/>
    <n v="0"/>
    <n v="5041"/>
    <n v="7921"/>
    <n v="0"/>
    <n v="39929761"/>
  </r>
  <r>
    <x v="1"/>
    <x v="9"/>
    <x v="2"/>
    <n v="2"/>
    <n v="30"/>
    <s v="00"/>
    <s v="002"/>
    <s v="23000-002"/>
    <s v="Clarinet service item #002"/>
    <s v="UNIQUE"/>
    <n v="5"/>
    <n v="1521"/>
    <n v="256"/>
    <n v="7605"/>
    <n v="389376"/>
  </r>
  <r>
    <x v="1"/>
    <x v="9"/>
    <x v="2"/>
    <n v="2"/>
    <n v="30"/>
    <s v="00"/>
    <s v="003"/>
    <s v="23000-003"/>
    <s v="Clarinet service item #003"/>
    <s v="UNIQUE"/>
    <n v="0"/>
    <n v="52"/>
    <n v="1681"/>
    <n v="0"/>
    <n v="87412"/>
  </r>
  <r>
    <x v="1"/>
    <x v="9"/>
    <x v="2"/>
    <n v="2"/>
    <n v="30"/>
    <s v="00"/>
    <s v="004"/>
    <s v="23000-004"/>
    <s v="Clarinet service item #004"/>
    <s v="UNIQUE"/>
    <n v="0"/>
    <n v="3600"/>
    <n v="3844"/>
    <n v="0"/>
    <n v="13838400"/>
  </r>
  <r>
    <x v="1"/>
    <x v="9"/>
    <x v="2"/>
    <n v="2"/>
    <n v="30"/>
    <s v="00"/>
    <s v="005"/>
    <s v="23000-005"/>
    <s v="Clarinet service item #005"/>
    <s v="UNIQUE"/>
    <n v="1"/>
    <n v="54"/>
    <n v="12"/>
    <n v="54"/>
    <n v="648"/>
  </r>
  <r>
    <x v="1"/>
    <x v="9"/>
    <x v="2"/>
    <n v="2"/>
    <n v="30"/>
    <s v="00"/>
    <s v="006"/>
    <s v="23000-006"/>
    <s v="Clarinet service item #006"/>
    <s v="UNIQUE"/>
    <n v="0"/>
    <n v="84"/>
    <n v="8100"/>
    <n v="0"/>
    <n v="680400"/>
  </r>
  <r>
    <x v="1"/>
    <x v="9"/>
    <x v="2"/>
    <n v="2"/>
    <n v="30"/>
    <s v="00"/>
    <s v="007"/>
    <s v="23000-007"/>
    <s v="Clarinet service item #007"/>
    <s v="UNIQUE"/>
    <n v="1"/>
    <n v="1681"/>
    <n v="20"/>
    <n v="1681"/>
    <n v="33620"/>
  </r>
  <r>
    <x v="1"/>
    <x v="9"/>
    <x v="2"/>
    <n v="2"/>
    <n v="30"/>
    <s v="00"/>
    <s v="008"/>
    <s v="23000-008"/>
    <s v="Clarinet service item #008"/>
    <s v="UNIQUE"/>
    <n v="0"/>
    <n v="14"/>
    <n v="86"/>
    <n v="0"/>
    <n v="1204"/>
  </r>
  <r>
    <x v="1"/>
    <x v="9"/>
    <x v="2"/>
    <n v="2"/>
    <n v="30"/>
    <s v="00"/>
    <s v="009"/>
    <s v="23000-009"/>
    <s v="Clarinet service item #009"/>
    <s v="UNIQUE"/>
    <n v="0"/>
    <n v="324"/>
    <n v="4356"/>
    <n v="0"/>
    <n v="1411344"/>
  </r>
  <r>
    <x v="1"/>
    <x v="9"/>
    <x v="2"/>
    <n v="2"/>
    <n v="30"/>
    <s v="00"/>
    <s v="010"/>
    <s v="23000-010"/>
    <s v="Clarinet service item #010"/>
    <s v="UNIQUE"/>
    <n v="0"/>
    <n v="35"/>
    <n v="81"/>
    <n v="0"/>
    <n v="2835"/>
  </r>
  <r>
    <x v="1"/>
    <x v="9"/>
    <x v="2"/>
    <n v="2"/>
    <n v="30"/>
    <s v="00"/>
    <s v="011"/>
    <s v="23000-011"/>
    <s v="Clarinet service item #011"/>
    <s v="UNIQUE"/>
    <n v="8"/>
    <n v="80"/>
    <n v="1089"/>
    <n v="640"/>
    <n v="87120"/>
  </r>
  <r>
    <x v="1"/>
    <x v="9"/>
    <x v="2"/>
    <n v="2"/>
    <n v="30"/>
    <s v="00"/>
    <s v="012"/>
    <s v="23000-012"/>
    <s v="Clarinet service item #012"/>
    <s v="UNIQUE"/>
    <n v="0"/>
    <n v="8100"/>
    <n v="324"/>
    <n v="0"/>
    <n v="2624400"/>
  </r>
  <r>
    <x v="1"/>
    <x v="9"/>
    <x v="2"/>
    <n v="2"/>
    <n v="30"/>
    <s v="00"/>
    <s v="013"/>
    <s v="23000-013"/>
    <s v="Clarinet service item #013"/>
    <s v="UNIQUE"/>
    <n v="0"/>
    <n v="36"/>
    <n v="841"/>
    <n v="0"/>
    <n v="30276"/>
  </r>
  <r>
    <x v="1"/>
    <x v="9"/>
    <x v="2"/>
    <n v="2"/>
    <n v="30"/>
    <s v="00"/>
    <s v="014"/>
    <s v="23000-014"/>
    <s v="Clarinet service item #014"/>
    <s v="UNIQUE"/>
    <n v="9"/>
    <n v="20"/>
    <n v="1849"/>
    <n v="180"/>
    <n v="36980"/>
  </r>
  <r>
    <x v="1"/>
    <x v="9"/>
    <x v="2"/>
    <n v="2"/>
    <n v="30"/>
    <s v="00"/>
    <s v="015"/>
    <s v="23000-015"/>
    <s v="Clarinet service item #015"/>
    <s v="UNIQUE"/>
    <n v="5"/>
    <n v="2116"/>
    <n v="5184"/>
    <n v="10580"/>
    <n v="10969344"/>
  </r>
  <r>
    <x v="1"/>
    <x v="9"/>
    <x v="2"/>
    <n v="2"/>
    <n v="30"/>
    <s v="00"/>
    <s v="016"/>
    <s v="23000-016"/>
    <s v="Clarinet service item #016"/>
    <s v="UNIQUE"/>
    <n v="0"/>
    <n v="4624"/>
    <n v="10"/>
    <n v="0"/>
    <n v="46240"/>
  </r>
  <r>
    <x v="1"/>
    <x v="9"/>
    <x v="2"/>
    <n v="2"/>
    <n v="30"/>
    <s v="00"/>
    <s v="017"/>
    <s v="23000-017"/>
    <s v="Clarinet service item #017"/>
    <s v="UNIQUE"/>
    <n v="1"/>
    <n v="6724"/>
    <n v="37"/>
    <n v="6724"/>
    <n v="248788"/>
  </r>
  <r>
    <x v="1"/>
    <x v="9"/>
    <x v="2"/>
    <n v="2"/>
    <n v="30"/>
    <s v="00"/>
    <s v="018"/>
    <s v="23000-018"/>
    <s v="Clarinet service item #018"/>
    <s v="UNIQUE"/>
    <n v="0"/>
    <n v="14"/>
    <n v="31"/>
    <n v="0"/>
    <n v="434"/>
  </r>
  <r>
    <x v="1"/>
    <x v="9"/>
    <x v="2"/>
    <n v="2"/>
    <n v="30"/>
    <s v="00"/>
    <s v="019"/>
    <s v="23000-019"/>
    <s v="Clarinet service item #019"/>
    <s v="UNIQUE"/>
    <n v="13"/>
    <n v="1089"/>
    <n v="8836"/>
    <n v="14157"/>
    <n v="9622404"/>
  </r>
  <r>
    <x v="1"/>
    <x v="9"/>
    <x v="2"/>
    <n v="2"/>
    <n v="30"/>
    <s v="00"/>
    <s v="020"/>
    <s v="23000-020"/>
    <s v="Clarinet service item #020"/>
    <s v="UNIQUE"/>
    <n v="0"/>
    <n v="3844"/>
    <n v="68"/>
    <n v="0"/>
    <n v="261392"/>
  </r>
  <r>
    <x v="1"/>
    <x v="9"/>
    <x v="2"/>
    <n v="2"/>
    <n v="30"/>
    <s v="00"/>
    <s v="021"/>
    <s v="23000-021"/>
    <s v="Clarinet service item #021"/>
    <s v="UNIQUE"/>
    <n v="62"/>
    <n v="99"/>
    <n v="4"/>
    <n v="6138"/>
    <n v="396"/>
  </r>
  <r>
    <x v="1"/>
    <x v="9"/>
    <x v="2"/>
    <n v="2"/>
    <n v="30"/>
    <s v="00"/>
    <s v="022"/>
    <s v="23000-022"/>
    <s v="Clarinet service item #022"/>
    <s v="UNIQUE"/>
    <n v="0"/>
    <n v="91"/>
    <n v="841"/>
    <n v="0"/>
    <n v="76531"/>
  </r>
  <r>
    <x v="1"/>
    <x v="9"/>
    <x v="2"/>
    <n v="2"/>
    <n v="30"/>
    <s v="00"/>
    <s v="023"/>
    <s v="23000-023"/>
    <s v="Clarinet service item #023"/>
    <s v="UNIQUE"/>
    <n v="1"/>
    <n v="100"/>
    <n v="729"/>
    <n v="100"/>
    <n v="72900"/>
  </r>
  <r>
    <x v="1"/>
    <x v="9"/>
    <x v="2"/>
    <n v="2"/>
    <n v="30"/>
    <s v="00"/>
    <s v="024"/>
    <s v="23000-024"/>
    <s v="Clarinet service item #024"/>
    <s v="UNIQUE"/>
    <n v="0"/>
    <n v="2704"/>
    <n v="11"/>
    <n v="0"/>
    <n v="29744"/>
  </r>
  <r>
    <x v="1"/>
    <x v="9"/>
    <x v="2"/>
    <n v="2"/>
    <n v="30"/>
    <s v="00"/>
    <s v="025"/>
    <s v="23000-025"/>
    <s v="Clarinet service item #025"/>
    <s v="UNIQUE"/>
    <n v="0"/>
    <n v="47"/>
    <n v="18"/>
    <n v="0"/>
    <n v="846"/>
  </r>
  <r>
    <x v="1"/>
    <x v="9"/>
    <x v="2"/>
    <n v="2"/>
    <n v="30"/>
    <s v="00"/>
    <s v="026"/>
    <s v="23000-026"/>
    <s v="Clarinet service item #026"/>
    <s v="UNIQUE"/>
    <n v="0"/>
    <n v="4900"/>
    <n v="2304"/>
    <n v="0"/>
    <n v="11289600"/>
  </r>
  <r>
    <x v="1"/>
    <x v="9"/>
    <x v="2"/>
    <n v="2"/>
    <n v="30"/>
    <s v="00"/>
    <s v="027"/>
    <s v="23000-027"/>
    <s v="Clarinet service item #027"/>
    <s v="UNIQUE"/>
    <n v="7"/>
    <n v="441"/>
    <n v="9"/>
    <n v="3087"/>
    <n v="3969"/>
  </r>
  <r>
    <x v="1"/>
    <x v="9"/>
    <x v="2"/>
    <n v="2"/>
    <n v="30"/>
    <s v="00"/>
    <s v="028"/>
    <s v="23000-028"/>
    <s v="Clarinet service item #028"/>
    <s v="UNIQUE"/>
    <n v="0"/>
    <n v="7056"/>
    <n v="28"/>
    <n v="0"/>
    <n v="197568"/>
  </r>
  <r>
    <x v="1"/>
    <x v="9"/>
    <x v="2"/>
    <n v="2"/>
    <n v="30"/>
    <s v="00"/>
    <s v="029"/>
    <s v="23000-029"/>
    <s v="Clarinet service item #029"/>
    <s v="UNIQUE"/>
    <n v="0"/>
    <n v="36"/>
    <n v="18"/>
    <n v="0"/>
    <n v="648"/>
  </r>
  <r>
    <x v="1"/>
    <x v="10"/>
    <x v="2"/>
    <n v="2"/>
    <n v="31"/>
    <s v="00"/>
    <s v="000"/>
    <s v="23100-000"/>
    <s v="Saxophone service item #000"/>
    <s v="UNIQUE"/>
    <n v="9"/>
    <n v="784"/>
    <n v="24"/>
    <n v="7056"/>
    <n v="18816"/>
  </r>
  <r>
    <x v="1"/>
    <x v="10"/>
    <x v="2"/>
    <n v="2"/>
    <n v="31"/>
    <s v="00"/>
    <s v="001"/>
    <s v="23100-001"/>
    <s v="Saxophone service item #001"/>
    <s v="UNIQUE"/>
    <n v="5"/>
    <n v="324"/>
    <n v="11"/>
    <n v="1620"/>
    <n v="3564"/>
  </r>
  <r>
    <x v="1"/>
    <x v="10"/>
    <x v="2"/>
    <n v="2"/>
    <n v="31"/>
    <s v="00"/>
    <s v="002"/>
    <s v="23100-002"/>
    <s v="Saxophone service item #002"/>
    <s v="UNIQUE"/>
    <n v="0"/>
    <n v="14"/>
    <n v="60"/>
    <n v="0"/>
    <n v="840"/>
  </r>
  <r>
    <x v="1"/>
    <x v="10"/>
    <x v="2"/>
    <n v="2"/>
    <n v="31"/>
    <s v="00"/>
    <s v="003"/>
    <s v="23100-003"/>
    <s v="Saxophone service item #003"/>
    <s v="UNIQUE"/>
    <n v="0"/>
    <n v="67"/>
    <n v="25"/>
    <n v="0"/>
    <n v="1675"/>
  </r>
  <r>
    <x v="1"/>
    <x v="10"/>
    <x v="2"/>
    <n v="2"/>
    <n v="31"/>
    <s v="00"/>
    <s v="004"/>
    <s v="23100-004"/>
    <s v="Saxophone service item #004"/>
    <s v="UNIQUE"/>
    <n v="0"/>
    <n v="2916"/>
    <n v="9216"/>
    <n v="0"/>
    <n v="26873856"/>
  </r>
  <r>
    <x v="1"/>
    <x v="10"/>
    <x v="2"/>
    <n v="2"/>
    <n v="31"/>
    <s v="00"/>
    <s v="005"/>
    <s v="23100-005"/>
    <s v="Saxophone service item #005"/>
    <s v="UNIQUE"/>
    <n v="0"/>
    <n v="49"/>
    <n v="67"/>
    <n v="0"/>
    <n v="3283"/>
  </r>
  <r>
    <x v="1"/>
    <x v="10"/>
    <x v="2"/>
    <n v="2"/>
    <n v="31"/>
    <s v="00"/>
    <s v="006"/>
    <s v="23100-006"/>
    <s v="Saxophone service item #006"/>
    <s v="UNIQUE"/>
    <n v="6"/>
    <n v="1"/>
    <n v="6"/>
    <n v="6"/>
    <n v="6"/>
  </r>
  <r>
    <x v="1"/>
    <x v="10"/>
    <x v="2"/>
    <n v="2"/>
    <n v="31"/>
    <s v="00"/>
    <s v="007"/>
    <s v="23100-007"/>
    <s v="Saxophone service item #007"/>
    <s v="UNIQUE"/>
    <n v="0"/>
    <n v="4"/>
    <n v="5"/>
    <n v="0"/>
    <n v="20"/>
  </r>
  <r>
    <x v="1"/>
    <x v="10"/>
    <x v="2"/>
    <n v="2"/>
    <n v="31"/>
    <s v="00"/>
    <s v="008"/>
    <s v="23100-008"/>
    <s v="Saxophone service item #008"/>
    <s v="UNIQUE"/>
    <n v="0"/>
    <n v="1"/>
    <n v="5329"/>
    <n v="0"/>
    <n v="5329"/>
  </r>
  <r>
    <x v="1"/>
    <x v="10"/>
    <x v="2"/>
    <n v="2"/>
    <n v="31"/>
    <s v="00"/>
    <s v="009"/>
    <s v="23100-009"/>
    <s v="Saxophone service item #009"/>
    <s v="UNIQUE"/>
    <n v="57"/>
    <n v="25"/>
    <n v="6889"/>
    <n v="1425"/>
    <n v="172225"/>
  </r>
  <r>
    <x v="1"/>
    <x v="10"/>
    <x v="2"/>
    <n v="2"/>
    <n v="31"/>
    <s v="00"/>
    <s v="010"/>
    <s v="23100-010"/>
    <s v="Saxophone service item #010"/>
    <s v="UNIQUE"/>
    <n v="0"/>
    <n v="6889"/>
    <n v="64"/>
    <n v="0"/>
    <n v="440896"/>
  </r>
  <r>
    <x v="1"/>
    <x v="10"/>
    <x v="2"/>
    <n v="2"/>
    <n v="31"/>
    <s v="00"/>
    <s v="011"/>
    <s v="23100-011"/>
    <s v="Saxophone service item #011"/>
    <s v="UNIQUE"/>
    <n v="0"/>
    <n v="15"/>
    <n v="73"/>
    <n v="0"/>
    <n v="1095"/>
  </r>
  <r>
    <x v="1"/>
    <x v="10"/>
    <x v="2"/>
    <n v="2"/>
    <n v="31"/>
    <s v="00"/>
    <s v="012"/>
    <s v="23100-012"/>
    <s v="Saxophone service item #012"/>
    <s v="UNIQUE"/>
    <n v="0"/>
    <n v="1"/>
    <n v="62"/>
    <n v="0"/>
    <n v="62"/>
  </r>
  <r>
    <x v="1"/>
    <x v="10"/>
    <x v="2"/>
    <n v="2"/>
    <n v="31"/>
    <s v="00"/>
    <s v="013"/>
    <s v="23100-013"/>
    <s v="Saxophone service item #013"/>
    <s v="UNIQUE"/>
    <n v="1"/>
    <n v="14"/>
    <n v="7056"/>
    <n v="14"/>
    <n v="98784"/>
  </r>
  <r>
    <x v="1"/>
    <x v="10"/>
    <x v="2"/>
    <n v="2"/>
    <n v="31"/>
    <s v="00"/>
    <s v="014"/>
    <s v="23100-014"/>
    <s v="Saxophone service item #014"/>
    <s v="UNIQUE"/>
    <n v="0"/>
    <n v="64"/>
    <n v="5329"/>
    <n v="0"/>
    <n v="341056"/>
  </r>
  <r>
    <x v="1"/>
    <x v="10"/>
    <x v="2"/>
    <n v="2"/>
    <n v="31"/>
    <s v="00"/>
    <s v="015"/>
    <s v="23100-015"/>
    <s v="Saxophone service item #015"/>
    <s v="UNIQUE"/>
    <n v="0"/>
    <n v="79"/>
    <n v="3249"/>
    <n v="0"/>
    <n v="256671"/>
  </r>
  <r>
    <x v="1"/>
    <x v="10"/>
    <x v="2"/>
    <n v="2"/>
    <n v="31"/>
    <s v="00"/>
    <s v="016"/>
    <s v="23100-016"/>
    <s v="Saxophone service item #016"/>
    <s v="UNIQUE"/>
    <n v="0"/>
    <n v="1"/>
    <n v="38"/>
    <n v="0"/>
    <n v="38"/>
  </r>
  <r>
    <x v="1"/>
    <x v="10"/>
    <x v="2"/>
    <n v="2"/>
    <n v="31"/>
    <s v="00"/>
    <s v="017"/>
    <s v="23100-017"/>
    <s v="Saxophone service item #017"/>
    <s v="UNIQUE"/>
    <n v="0"/>
    <n v="576"/>
    <n v="6241"/>
    <n v="0"/>
    <n v="3594816"/>
  </r>
  <r>
    <x v="1"/>
    <x v="10"/>
    <x v="2"/>
    <n v="2"/>
    <n v="31"/>
    <s v="00"/>
    <s v="018"/>
    <s v="23100-018"/>
    <s v="Saxophone service item #018"/>
    <s v="UNIQUE"/>
    <n v="0"/>
    <n v="13"/>
    <n v="23"/>
    <n v="0"/>
    <n v="299"/>
  </r>
  <r>
    <x v="1"/>
    <x v="10"/>
    <x v="2"/>
    <n v="2"/>
    <n v="31"/>
    <s v="00"/>
    <s v="019"/>
    <s v="23100-019"/>
    <s v="Saxophone service item #019"/>
    <s v="UNIQUE"/>
    <n v="0"/>
    <n v="80"/>
    <n v="30"/>
    <n v="0"/>
    <n v="2400"/>
  </r>
  <r>
    <x v="1"/>
    <x v="11"/>
    <x v="2"/>
    <n v="2"/>
    <n v="32"/>
    <s v="00"/>
    <s v="000"/>
    <s v="23200-000"/>
    <s v="Flute service item #000"/>
    <s v="UNIQUE"/>
    <n v="8"/>
    <n v="1156"/>
    <n v="3249"/>
    <n v="9248"/>
    <n v="3755844"/>
  </r>
  <r>
    <x v="1"/>
    <x v="11"/>
    <x v="2"/>
    <n v="2"/>
    <n v="32"/>
    <s v="00"/>
    <s v="001"/>
    <s v="23200-001"/>
    <s v="Flute service item #001"/>
    <s v="UNIQUE"/>
    <n v="65"/>
    <n v="4624"/>
    <n v="98"/>
    <n v="300560"/>
    <n v="453152"/>
  </r>
  <r>
    <x v="1"/>
    <x v="11"/>
    <x v="2"/>
    <n v="2"/>
    <n v="32"/>
    <s v="00"/>
    <s v="002"/>
    <s v="23200-002"/>
    <s v="Flute service item #002"/>
    <s v="UNIQUE"/>
    <n v="47"/>
    <n v="33"/>
    <n v="289"/>
    <n v="1551"/>
    <n v="9537"/>
  </r>
  <r>
    <x v="1"/>
    <x v="11"/>
    <x v="2"/>
    <n v="2"/>
    <n v="32"/>
    <s v="00"/>
    <s v="003"/>
    <s v="23200-003"/>
    <s v="Flute service item #003"/>
    <s v="UNIQUE"/>
    <n v="0"/>
    <n v="6084"/>
    <n v="50"/>
    <n v="0"/>
    <n v="304200"/>
  </r>
  <r>
    <x v="1"/>
    <x v="11"/>
    <x v="2"/>
    <n v="2"/>
    <n v="32"/>
    <s v="00"/>
    <s v="004"/>
    <s v="23200-004"/>
    <s v="Flute service item #004"/>
    <s v="UNIQUE"/>
    <n v="6"/>
    <n v="784"/>
    <n v="27"/>
    <n v="4704"/>
    <n v="21168"/>
  </r>
  <r>
    <x v="1"/>
    <x v="12"/>
    <x v="2"/>
    <n v="2"/>
    <n v="33"/>
    <s v="00"/>
    <s v="000"/>
    <s v="23300-000"/>
    <s v="Piccolo service item #000"/>
    <s v="UNIQUE"/>
    <n v="89"/>
    <n v="20"/>
    <n v="84"/>
    <n v="1780"/>
    <n v="1680"/>
  </r>
  <r>
    <x v="1"/>
    <x v="12"/>
    <x v="2"/>
    <n v="2"/>
    <n v="33"/>
    <s v="00"/>
    <s v="001"/>
    <s v="23300-001"/>
    <s v="Piccolo service item #001"/>
    <s v="UNIQUE"/>
    <n v="0"/>
    <n v="96"/>
    <n v="6561"/>
    <n v="0"/>
    <n v="629856"/>
  </r>
  <r>
    <x v="1"/>
    <x v="12"/>
    <x v="2"/>
    <n v="2"/>
    <n v="33"/>
    <s v="00"/>
    <s v="002"/>
    <s v="23300-002"/>
    <s v="Piccolo service item #002"/>
    <s v="UNIQUE"/>
    <n v="56"/>
    <n v="3136"/>
    <n v="9"/>
    <n v="175616"/>
    <n v="28224"/>
  </r>
  <r>
    <x v="1"/>
    <x v="12"/>
    <x v="2"/>
    <n v="2"/>
    <n v="33"/>
    <s v="00"/>
    <s v="003"/>
    <s v="23300-003"/>
    <s v="Piccolo service item #003"/>
    <s v="UNIQUE"/>
    <n v="0"/>
    <n v="7"/>
    <n v="2704"/>
    <n v="0"/>
    <n v="18928"/>
  </r>
  <r>
    <x v="1"/>
    <x v="12"/>
    <x v="2"/>
    <n v="2"/>
    <n v="33"/>
    <s v="00"/>
    <s v="004"/>
    <s v="23300-004"/>
    <s v="Piccolo service item #004"/>
    <s v="UNIQUE"/>
    <n v="0"/>
    <n v="87"/>
    <n v="8281"/>
    <n v="0"/>
    <n v="720447"/>
  </r>
  <r>
    <x v="1"/>
    <x v="13"/>
    <x v="2"/>
    <n v="2"/>
    <n v="34"/>
    <s v="00"/>
    <s v="000"/>
    <s v="23400-000"/>
    <s v="Oboe service item #000"/>
    <s v="UNIQUE"/>
    <n v="23"/>
    <n v="1296"/>
    <n v="9409"/>
    <n v="29808"/>
    <n v="12194064"/>
  </r>
  <r>
    <x v="1"/>
    <x v="13"/>
    <x v="2"/>
    <n v="2"/>
    <n v="34"/>
    <s v="00"/>
    <s v="001"/>
    <s v="23400-001"/>
    <s v="Oboe service item #001"/>
    <s v="UNIQUE"/>
    <n v="0"/>
    <n v="5476"/>
    <n v="53"/>
    <n v="0"/>
    <n v="290228"/>
  </r>
  <r>
    <x v="1"/>
    <x v="13"/>
    <x v="2"/>
    <n v="2"/>
    <n v="34"/>
    <s v="00"/>
    <s v="002"/>
    <s v="23400-002"/>
    <s v="Oboe service item #002"/>
    <s v="UNIQUE"/>
    <n v="1"/>
    <n v="196"/>
    <n v="50"/>
    <n v="196"/>
    <n v="9800"/>
  </r>
  <r>
    <x v="1"/>
    <x v="13"/>
    <x v="2"/>
    <n v="2"/>
    <n v="34"/>
    <s v="00"/>
    <s v="003"/>
    <s v="23400-003"/>
    <s v="Oboe service item #003"/>
    <s v="UNIQUE"/>
    <n v="0"/>
    <n v="99"/>
    <n v="1"/>
    <n v="0"/>
    <n v="99"/>
  </r>
  <r>
    <x v="1"/>
    <x v="13"/>
    <x v="2"/>
    <n v="2"/>
    <n v="34"/>
    <s v="00"/>
    <s v="004"/>
    <s v="23400-004"/>
    <s v="Oboe service item #004"/>
    <s v="UNIQUE"/>
    <n v="0"/>
    <n v="529"/>
    <n v="59"/>
    <n v="0"/>
    <n v="31211"/>
  </r>
  <r>
    <x v="1"/>
    <x v="13"/>
    <x v="2"/>
    <n v="2"/>
    <n v="34"/>
    <s v="00"/>
    <s v="005"/>
    <s v="23400-005"/>
    <s v="Oboe service item #005"/>
    <s v="UNIQUE"/>
    <n v="1"/>
    <n v="94"/>
    <n v="54"/>
    <n v="94"/>
    <n v="5076"/>
  </r>
  <r>
    <x v="1"/>
    <x v="13"/>
    <x v="2"/>
    <n v="2"/>
    <n v="34"/>
    <s v="00"/>
    <s v="006"/>
    <s v="23400-006"/>
    <s v="Oboe service item #006"/>
    <s v="UNIQUE"/>
    <n v="0"/>
    <n v="72"/>
    <n v="1521"/>
    <n v="0"/>
    <n v="109512"/>
  </r>
  <r>
    <x v="1"/>
    <x v="13"/>
    <x v="2"/>
    <n v="2"/>
    <n v="34"/>
    <s v="00"/>
    <s v="007"/>
    <s v="23400-007"/>
    <s v="Oboe service item #007"/>
    <s v="UNIQUE"/>
    <n v="6"/>
    <n v="53"/>
    <n v="8"/>
    <n v="318"/>
    <n v="424"/>
  </r>
  <r>
    <x v="1"/>
    <x v="13"/>
    <x v="2"/>
    <n v="2"/>
    <n v="34"/>
    <s v="00"/>
    <s v="008"/>
    <s v="23400-008"/>
    <s v="Oboe service item #008"/>
    <s v="UNIQUE"/>
    <n v="0"/>
    <n v="5329"/>
    <n v="361"/>
    <n v="0"/>
    <n v="1923769"/>
  </r>
  <r>
    <x v="1"/>
    <x v="13"/>
    <x v="2"/>
    <n v="2"/>
    <n v="34"/>
    <s v="00"/>
    <s v="009"/>
    <s v="23400-009"/>
    <s v="Oboe service item #009"/>
    <s v="UNIQUE"/>
    <n v="0"/>
    <n v="71"/>
    <n v="4900"/>
    <n v="0"/>
    <n v="347900"/>
  </r>
  <r>
    <x v="1"/>
    <x v="14"/>
    <x v="2"/>
    <n v="2"/>
    <n v="35"/>
    <s v="00"/>
    <s v="000"/>
    <s v="23500-000"/>
    <s v="Bassoon service item #000"/>
    <s v="UNIQUE"/>
    <n v="0"/>
    <n v="81"/>
    <n v="1296"/>
    <n v="0"/>
    <n v="104976"/>
  </r>
  <r>
    <x v="1"/>
    <x v="14"/>
    <x v="2"/>
    <n v="2"/>
    <n v="35"/>
    <s v="00"/>
    <s v="001"/>
    <s v="23500-001"/>
    <s v="Bassoon service item #001"/>
    <s v="UNIQUE"/>
    <n v="59"/>
    <n v="2116"/>
    <n v="4356"/>
    <n v="124844"/>
    <n v="9217296"/>
  </r>
  <r>
    <x v="1"/>
    <x v="14"/>
    <x v="2"/>
    <n v="2"/>
    <n v="35"/>
    <s v="00"/>
    <s v="002"/>
    <s v="23500-002"/>
    <s v="Bassoon service item #002"/>
    <s v="UNIQUE"/>
    <n v="0"/>
    <n v="2"/>
    <n v="484"/>
    <n v="0"/>
    <n v="968"/>
  </r>
  <r>
    <x v="1"/>
    <x v="14"/>
    <x v="2"/>
    <n v="2"/>
    <n v="35"/>
    <s v="00"/>
    <s v="003"/>
    <s v="23500-003"/>
    <s v="Bassoon service item #003"/>
    <s v="UNIQUE"/>
    <n v="10"/>
    <n v="4225"/>
    <n v="50"/>
    <n v="42250"/>
    <n v="211250"/>
  </r>
  <r>
    <x v="1"/>
    <x v="14"/>
    <x v="2"/>
    <n v="2"/>
    <n v="35"/>
    <s v="00"/>
    <s v="004"/>
    <s v="23500-004"/>
    <s v="Bassoon service item #004"/>
    <s v="UNIQUE"/>
    <n v="5"/>
    <n v="57"/>
    <n v="77"/>
    <n v="285"/>
    <n v="4389"/>
  </r>
  <r>
    <x v="1"/>
    <x v="14"/>
    <x v="2"/>
    <n v="2"/>
    <n v="35"/>
    <s v="00"/>
    <s v="005"/>
    <s v="23500-005"/>
    <s v="Bassoon service item #005"/>
    <s v="UNIQUE"/>
    <n v="0"/>
    <n v="98"/>
    <n v="52"/>
    <n v="0"/>
    <n v="5096"/>
  </r>
  <r>
    <x v="1"/>
    <x v="14"/>
    <x v="2"/>
    <n v="2"/>
    <n v="35"/>
    <s v="00"/>
    <s v="006"/>
    <s v="23500-006"/>
    <s v="Bassoon service item #006"/>
    <s v="UNIQUE"/>
    <n v="0"/>
    <n v="1024"/>
    <n v="900"/>
    <n v="0"/>
    <n v="921600"/>
  </r>
  <r>
    <x v="1"/>
    <x v="14"/>
    <x v="2"/>
    <n v="2"/>
    <n v="35"/>
    <s v="00"/>
    <s v="007"/>
    <s v="23500-007"/>
    <s v="Bassoon service item #007"/>
    <s v="UNIQUE"/>
    <n v="0"/>
    <n v="2704"/>
    <n v="72"/>
    <n v="0"/>
    <n v="194688"/>
  </r>
  <r>
    <x v="1"/>
    <x v="14"/>
    <x v="2"/>
    <n v="2"/>
    <n v="35"/>
    <s v="00"/>
    <s v="008"/>
    <s v="23500-008"/>
    <s v="Bassoon service item #008"/>
    <s v="UNIQUE"/>
    <n v="0"/>
    <n v="39"/>
    <n v="57"/>
    <n v="0"/>
    <n v="2223"/>
  </r>
  <r>
    <x v="1"/>
    <x v="14"/>
    <x v="2"/>
    <n v="2"/>
    <n v="35"/>
    <s v="00"/>
    <s v="009"/>
    <s v="23500-009"/>
    <s v="Bassoon service item #009"/>
    <s v="UNIQUE"/>
    <n v="0"/>
    <n v="12"/>
    <n v="44"/>
    <n v="0"/>
    <n v="528"/>
  </r>
  <r>
    <x v="1"/>
    <x v="15"/>
    <x v="3"/>
    <n v="2"/>
    <n v="40"/>
    <s v="00"/>
    <s v="000"/>
    <s v="24000-000"/>
    <s v="French horn service item #000"/>
    <s v="UNIQUE"/>
    <n v="0"/>
    <n v="7921"/>
    <n v="49"/>
    <n v="0"/>
    <n v="388129"/>
  </r>
  <r>
    <x v="1"/>
    <x v="15"/>
    <x v="3"/>
    <n v="2"/>
    <n v="40"/>
    <s v="00"/>
    <s v="001"/>
    <s v="24000-001"/>
    <s v="French horn service item #001"/>
    <s v="UNIQUE"/>
    <n v="55"/>
    <n v="54"/>
    <n v="70"/>
    <n v="2970"/>
    <n v="3780"/>
  </r>
  <r>
    <x v="1"/>
    <x v="15"/>
    <x v="3"/>
    <n v="2"/>
    <n v="40"/>
    <s v="00"/>
    <s v="002"/>
    <s v="24000-002"/>
    <s v="French horn service item #002"/>
    <s v="UNIQUE"/>
    <n v="0"/>
    <n v="51"/>
    <n v="70"/>
    <n v="0"/>
    <n v="3570"/>
  </r>
  <r>
    <x v="1"/>
    <x v="15"/>
    <x v="3"/>
    <n v="2"/>
    <n v="40"/>
    <s v="00"/>
    <s v="003"/>
    <s v="24000-003"/>
    <s v="French horn service item #003"/>
    <s v="UNIQUE"/>
    <n v="78"/>
    <n v="26"/>
    <n v="77"/>
    <n v="2028"/>
    <n v="2002"/>
  </r>
  <r>
    <x v="1"/>
    <x v="15"/>
    <x v="3"/>
    <n v="2"/>
    <n v="40"/>
    <s v="00"/>
    <s v="004"/>
    <s v="24000-004"/>
    <s v="French horn service item #004"/>
    <s v="UNIQUE"/>
    <n v="0"/>
    <n v="8649"/>
    <n v="58"/>
    <n v="0"/>
    <n v="501642"/>
  </r>
  <r>
    <x v="1"/>
    <x v="15"/>
    <x v="3"/>
    <n v="2"/>
    <n v="40"/>
    <s v="00"/>
    <s v="005"/>
    <s v="24000-005"/>
    <s v="French horn service item #005"/>
    <s v="UNIQUE"/>
    <n v="0"/>
    <n v="4"/>
    <n v="62"/>
    <n v="0"/>
    <n v="248"/>
  </r>
  <r>
    <x v="1"/>
    <x v="15"/>
    <x v="3"/>
    <n v="2"/>
    <n v="40"/>
    <s v="00"/>
    <s v="006"/>
    <s v="24000-006"/>
    <s v="French horn service item #006"/>
    <s v="UNIQUE"/>
    <n v="0"/>
    <n v="1"/>
    <n v="8464"/>
    <n v="0"/>
    <n v="8464"/>
  </r>
  <r>
    <x v="1"/>
    <x v="15"/>
    <x v="3"/>
    <n v="2"/>
    <n v="40"/>
    <s v="00"/>
    <s v="007"/>
    <s v="24000-007"/>
    <s v="French horn service item #007"/>
    <s v="UNIQUE"/>
    <n v="0"/>
    <n v="27"/>
    <n v="7225"/>
    <n v="0"/>
    <n v="195075"/>
  </r>
  <r>
    <x v="1"/>
    <x v="15"/>
    <x v="3"/>
    <n v="2"/>
    <n v="40"/>
    <s v="00"/>
    <s v="008"/>
    <s v="24000-008"/>
    <s v="French horn service item #008"/>
    <s v="UNIQUE"/>
    <n v="99"/>
    <n v="3025"/>
    <n v="68"/>
    <n v="299475"/>
    <n v="205700"/>
  </r>
  <r>
    <x v="1"/>
    <x v="15"/>
    <x v="3"/>
    <n v="2"/>
    <n v="40"/>
    <s v="00"/>
    <s v="009"/>
    <s v="24000-009"/>
    <s v="French horn service item #009"/>
    <s v="UNIQUE"/>
    <n v="0"/>
    <n v="5776"/>
    <n v="1"/>
    <n v="0"/>
    <n v="5776"/>
  </r>
  <r>
    <x v="1"/>
    <x v="15"/>
    <x v="3"/>
    <n v="2"/>
    <n v="40"/>
    <s v="00"/>
    <s v="010"/>
    <s v="24000-010"/>
    <s v="French horn service item #010"/>
    <s v="UNIQUE"/>
    <n v="1"/>
    <n v="8649"/>
    <n v="25"/>
    <n v="8649"/>
    <n v="216225"/>
  </r>
  <r>
    <x v="1"/>
    <x v="15"/>
    <x v="3"/>
    <n v="2"/>
    <n v="40"/>
    <s v="00"/>
    <s v="011"/>
    <s v="24000-011"/>
    <s v="French horn service item #011"/>
    <s v="UNIQUE"/>
    <n v="5"/>
    <n v="59"/>
    <n v="64"/>
    <n v="295"/>
    <n v="3776"/>
  </r>
  <r>
    <x v="1"/>
    <x v="15"/>
    <x v="3"/>
    <n v="2"/>
    <n v="40"/>
    <s v="00"/>
    <s v="012"/>
    <s v="24000-012"/>
    <s v="French horn service item #012"/>
    <s v="UNIQUE"/>
    <n v="0"/>
    <n v="87"/>
    <n v="5476"/>
    <n v="0"/>
    <n v="476412"/>
  </r>
  <r>
    <x v="1"/>
    <x v="15"/>
    <x v="3"/>
    <n v="2"/>
    <n v="40"/>
    <s v="00"/>
    <s v="013"/>
    <s v="24000-013"/>
    <s v="French horn service item #013"/>
    <s v="UNIQUE"/>
    <n v="5"/>
    <n v="50"/>
    <n v="20"/>
    <n v="250"/>
    <n v="1000"/>
  </r>
  <r>
    <x v="1"/>
    <x v="15"/>
    <x v="3"/>
    <n v="2"/>
    <n v="40"/>
    <s v="00"/>
    <s v="014"/>
    <s v="24000-014"/>
    <s v="French horn service item #014"/>
    <s v="UNIQUE"/>
    <n v="2"/>
    <n v="40"/>
    <n v="3364"/>
    <n v="80"/>
    <n v="134560"/>
  </r>
  <r>
    <x v="1"/>
    <x v="15"/>
    <x v="3"/>
    <n v="2"/>
    <n v="40"/>
    <s v="00"/>
    <s v="015"/>
    <s v="24000-015"/>
    <s v="French horn service item #015"/>
    <s v="UNIQUE"/>
    <n v="0"/>
    <n v="3481"/>
    <n v="4624"/>
    <n v="0"/>
    <n v="16096144"/>
  </r>
  <r>
    <x v="1"/>
    <x v="15"/>
    <x v="3"/>
    <n v="2"/>
    <n v="40"/>
    <s v="00"/>
    <s v="016"/>
    <s v="24000-016"/>
    <s v="French horn service item #016"/>
    <s v="UNIQUE"/>
    <n v="3"/>
    <n v="4"/>
    <n v="3481"/>
    <n v="12"/>
    <n v="13924"/>
  </r>
  <r>
    <x v="1"/>
    <x v="15"/>
    <x v="3"/>
    <n v="2"/>
    <n v="40"/>
    <s v="00"/>
    <s v="017"/>
    <s v="24000-017"/>
    <s v="French horn service item #017"/>
    <s v="UNIQUE"/>
    <n v="0"/>
    <n v="400"/>
    <n v="3136"/>
    <n v="0"/>
    <n v="1254400"/>
  </r>
  <r>
    <x v="1"/>
    <x v="15"/>
    <x v="3"/>
    <n v="2"/>
    <n v="40"/>
    <s v="00"/>
    <s v="018"/>
    <s v="24000-018"/>
    <s v="French horn service item #018"/>
    <s v="UNIQUE"/>
    <n v="1"/>
    <n v="5329"/>
    <n v="40"/>
    <n v="5329"/>
    <n v="213160"/>
  </r>
  <r>
    <x v="1"/>
    <x v="15"/>
    <x v="3"/>
    <n v="2"/>
    <n v="40"/>
    <s v="00"/>
    <s v="019"/>
    <s v="24000-019"/>
    <s v="French horn service item #019"/>
    <s v="UNIQUE"/>
    <n v="1"/>
    <n v="8"/>
    <n v="1024"/>
    <n v="8"/>
    <n v="8192"/>
  </r>
  <r>
    <x v="1"/>
    <x v="16"/>
    <x v="3"/>
    <n v="2"/>
    <n v="41"/>
    <s v="00"/>
    <s v="000"/>
    <s v="24100-000"/>
    <s v="Trumpet service item #000"/>
    <s v="UNIQUE"/>
    <n v="0"/>
    <n v="46"/>
    <n v="23"/>
    <n v="0"/>
    <n v="1058"/>
  </r>
  <r>
    <x v="1"/>
    <x v="16"/>
    <x v="3"/>
    <n v="2"/>
    <n v="41"/>
    <s v="00"/>
    <s v="001"/>
    <s v="24100-001"/>
    <s v="Trumpet service item #001"/>
    <s v="UNIQUE"/>
    <n v="0"/>
    <n v="90"/>
    <n v="2025"/>
    <n v="0"/>
    <n v="182250"/>
  </r>
  <r>
    <x v="1"/>
    <x v="16"/>
    <x v="3"/>
    <n v="2"/>
    <n v="41"/>
    <s v="00"/>
    <s v="002"/>
    <s v="24100-002"/>
    <s v="Trumpet service item #002"/>
    <s v="UNIQUE"/>
    <n v="0"/>
    <n v="4624"/>
    <n v="8464"/>
    <n v="0"/>
    <n v="39137536"/>
  </r>
  <r>
    <x v="1"/>
    <x v="16"/>
    <x v="3"/>
    <n v="2"/>
    <n v="41"/>
    <s v="00"/>
    <s v="003"/>
    <s v="24100-003"/>
    <s v="Trumpet service item #003"/>
    <s v="UNIQUE"/>
    <n v="4"/>
    <n v="10"/>
    <n v="94"/>
    <n v="40"/>
    <n v="940"/>
  </r>
  <r>
    <x v="1"/>
    <x v="16"/>
    <x v="3"/>
    <n v="2"/>
    <n v="41"/>
    <s v="00"/>
    <s v="004"/>
    <s v="24100-004"/>
    <s v="Trumpet service item #004"/>
    <s v="UNIQUE"/>
    <n v="0"/>
    <n v="79"/>
    <n v="2704"/>
    <n v="0"/>
    <n v="213616"/>
  </r>
  <r>
    <x v="1"/>
    <x v="16"/>
    <x v="3"/>
    <n v="2"/>
    <n v="41"/>
    <s v="00"/>
    <s v="005"/>
    <s v="24100-005"/>
    <s v="Trumpet service item #005"/>
    <s v="UNIQUE"/>
    <n v="0"/>
    <n v="43"/>
    <n v="77"/>
    <n v="0"/>
    <n v="3311"/>
  </r>
  <r>
    <x v="1"/>
    <x v="16"/>
    <x v="3"/>
    <n v="2"/>
    <n v="41"/>
    <s v="00"/>
    <s v="006"/>
    <s v="24100-006"/>
    <s v="Trumpet service item #006"/>
    <s v="UNIQUE"/>
    <n v="4"/>
    <n v="8464"/>
    <n v="20"/>
    <n v="33856"/>
    <n v="169280"/>
  </r>
  <r>
    <x v="1"/>
    <x v="16"/>
    <x v="3"/>
    <n v="2"/>
    <n v="41"/>
    <s v="00"/>
    <s v="007"/>
    <s v="24100-007"/>
    <s v="Trumpet service item #007"/>
    <s v="UNIQUE"/>
    <n v="0"/>
    <n v="9"/>
    <n v="121"/>
    <n v="0"/>
    <n v="1089"/>
  </r>
  <r>
    <x v="1"/>
    <x v="16"/>
    <x v="3"/>
    <n v="2"/>
    <n v="41"/>
    <s v="00"/>
    <s v="008"/>
    <s v="24100-008"/>
    <s v="Trumpet service item #008"/>
    <s v="UNIQUE"/>
    <n v="1"/>
    <n v="22"/>
    <n v="73"/>
    <n v="22"/>
    <n v="1606"/>
  </r>
  <r>
    <x v="1"/>
    <x v="16"/>
    <x v="3"/>
    <n v="2"/>
    <n v="41"/>
    <s v="00"/>
    <s v="009"/>
    <s v="24100-009"/>
    <s v="Trumpet service item #009"/>
    <s v="UNIQUE"/>
    <n v="0"/>
    <n v="13"/>
    <n v="361"/>
    <n v="0"/>
    <n v="4693"/>
  </r>
  <r>
    <x v="1"/>
    <x v="17"/>
    <x v="3"/>
    <n v="2"/>
    <n v="42"/>
    <s v="00"/>
    <s v="000"/>
    <s v="24200-000"/>
    <s v="Trombone service item #000"/>
    <s v="UNIQUE"/>
    <n v="0"/>
    <n v="16"/>
    <n v="1225"/>
    <n v="0"/>
    <n v="19600"/>
  </r>
  <r>
    <x v="1"/>
    <x v="17"/>
    <x v="3"/>
    <n v="2"/>
    <n v="42"/>
    <s v="00"/>
    <s v="001"/>
    <s v="24200-001"/>
    <s v="Trombone service item #001"/>
    <s v="UNIQUE"/>
    <n v="11"/>
    <n v="17"/>
    <n v="1024"/>
    <n v="187"/>
    <n v="17408"/>
  </r>
  <r>
    <x v="1"/>
    <x v="17"/>
    <x v="3"/>
    <n v="2"/>
    <n v="42"/>
    <s v="00"/>
    <s v="002"/>
    <s v="24200-002"/>
    <s v="Trombone service item #002"/>
    <s v="UNIQUE"/>
    <n v="0"/>
    <n v="289"/>
    <n v="361"/>
    <n v="0"/>
    <n v="104329"/>
  </r>
  <r>
    <x v="1"/>
    <x v="17"/>
    <x v="3"/>
    <n v="2"/>
    <n v="42"/>
    <s v="00"/>
    <s v="003"/>
    <s v="24200-003"/>
    <s v="Trombone service item #003"/>
    <s v="UNIQUE"/>
    <n v="1"/>
    <n v="7569"/>
    <n v="5929"/>
    <n v="7569"/>
    <n v="44876601"/>
  </r>
  <r>
    <x v="1"/>
    <x v="17"/>
    <x v="3"/>
    <n v="2"/>
    <n v="42"/>
    <s v="00"/>
    <s v="004"/>
    <s v="24200-004"/>
    <s v="Trombone service item #004"/>
    <s v="UNIQUE"/>
    <n v="0"/>
    <n v="19"/>
    <n v="2401"/>
    <n v="0"/>
    <n v="45619"/>
  </r>
  <r>
    <x v="1"/>
    <x v="17"/>
    <x v="3"/>
    <n v="2"/>
    <n v="42"/>
    <s v="00"/>
    <s v="005"/>
    <s v="24200-005"/>
    <s v="Trombone service item #005"/>
    <s v="UNIQUE"/>
    <n v="6"/>
    <n v="4"/>
    <n v="5329"/>
    <n v="24"/>
    <n v="21316"/>
  </r>
  <r>
    <x v="1"/>
    <x v="17"/>
    <x v="3"/>
    <n v="2"/>
    <n v="42"/>
    <s v="00"/>
    <s v="006"/>
    <s v="24200-006"/>
    <s v="Trombone service item #006"/>
    <s v="UNIQUE"/>
    <n v="0"/>
    <n v="22"/>
    <n v="10"/>
    <n v="0"/>
    <n v="220"/>
  </r>
  <r>
    <x v="1"/>
    <x v="17"/>
    <x v="3"/>
    <n v="2"/>
    <n v="42"/>
    <s v="00"/>
    <s v="007"/>
    <s v="24200-007"/>
    <s v="Trombone service item #007"/>
    <s v="UNIQUE"/>
    <n v="1"/>
    <n v="29"/>
    <n v="5625"/>
    <n v="29"/>
    <n v="163125"/>
  </r>
  <r>
    <x v="1"/>
    <x v="17"/>
    <x v="3"/>
    <n v="2"/>
    <n v="42"/>
    <s v="00"/>
    <s v="008"/>
    <s v="24200-008"/>
    <s v="Trombone service item #008"/>
    <s v="UNIQUE"/>
    <n v="64"/>
    <n v="58"/>
    <n v="6241"/>
    <n v="3712"/>
    <n v="361978"/>
  </r>
  <r>
    <x v="1"/>
    <x v="17"/>
    <x v="3"/>
    <n v="2"/>
    <n v="42"/>
    <s v="00"/>
    <s v="009"/>
    <s v="24200-009"/>
    <s v="Trombone service item #009"/>
    <s v="UNIQUE"/>
    <n v="70"/>
    <n v="225"/>
    <n v="729"/>
    <n v="15750"/>
    <n v="164025"/>
  </r>
  <r>
    <x v="1"/>
    <x v="18"/>
    <x v="3"/>
    <n v="2"/>
    <n v="43"/>
    <s v="00"/>
    <s v="000"/>
    <s v="24300-000"/>
    <s v="Tuba service item #000"/>
    <s v="UNIQUE"/>
    <n v="3"/>
    <n v="6"/>
    <n v="26"/>
    <n v="18"/>
    <n v="156"/>
  </r>
  <r>
    <x v="1"/>
    <x v="18"/>
    <x v="3"/>
    <n v="2"/>
    <n v="43"/>
    <s v="00"/>
    <s v="001"/>
    <s v="24300-001"/>
    <s v="Tuba service item #001"/>
    <s v="UNIQUE"/>
    <n v="26"/>
    <n v="1600"/>
    <n v="77"/>
    <n v="41600"/>
    <n v="123200"/>
  </r>
  <r>
    <x v="1"/>
    <x v="18"/>
    <x v="3"/>
    <n v="2"/>
    <n v="43"/>
    <s v="00"/>
    <s v="002"/>
    <s v="24300-002"/>
    <s v="Tuba service item #002"/>
    <s v="UNIQUE"/>
    <n v="0"/>
    <n v="6561"/>
    <n v="58"/>
    <n v="0"/>
    <n v="380538"/>
  </r>
  <r>
    <x v="1"/>
    <x v="18"/>
    <x v="3"/>
    <n v="2"/>
    <n v="43"/>
    <s v="00"/>
    <s v="003"/>
    <s v="24300-003"/>
    <s v="Tuba service item #003"/>
    <s v="UNIQUE"/>
    <n v="0"/>
    <n v="6084"/>
    <n v="45"/>
    <n v="0"/>
    <n v="273780"/>
  </r>
  <r>
    <x v="1"/>
    <x v="18"/>
    <x v="3"/>
    <n v="2"/>
    <n v="43"/>
    <s v="00"/>
    <s v="004"/>
    <s v="24300-004"/>
    <s v="Tuba service item #004"/>
    <s v="UNIQUE"/>
    <n v="0"/>
    <n v="1369"/>
    <n v="5476"/>
    <n v="0"/>
    <n v="7496644"/>
  </r>
  <r>
    <x v="1"/>
    <x v="18"/>
    <x v="3"/>
    <n v="2"/>
    <n v="43"/>
    <s v="00"/>
    <s v="005"/>
    <s v="24300-005"/>
    <s v="Tuba service item #005"/>
    <s v="UNIQUE"/>
    <n v="1"/>
    <n v="26"/>
    <n v="7569"/>
    <n v="26"/>
    <n v="196794"/>
  </r>
  <r>
    <x v="1"/>
    <x v="18"/>
    <x v="3"/>
    <n v="2"/>
    <n v="43"/>
    <s v="00"/>
    <s v="006"/>
    <s v="24300-006"/>
    <s v="Tuba service item #006"/>
    <s v="UNIQUE"/>
    <n v="1"/>
    <n v="61"/>
    <n v="1369"/>
    <n v="61"/>
    <n v="83509"/>
  </r>
  <r>
    <x v="1"/>
    <x v="18"/>
    <x v="3"/>
    <n v="2"/>
    <n v="43"/>
    <s v="00"/>
    <s v="007"/>
    <s v="24300-007"/>
    <s v="Tuba service item #007"/>
    <s v="UNIQUE"/>
    <n v="0"/>
    <n v="54"/>
    <n v="32"/>
    <n v="0"/>
    <n v="1728"/>
  </r>
  <r>
    <x v="1"/>
    <x v="18"/>
    <x v="3"/>
    <n v="2"/>
    <n v="43"/>
    <s v="00"/>
    <s v="008"/>
    <s v="24300-008"/>
    <s v="Tuba service item #008"/>
    <s v="UNIQUE"/>
    <n v="0"/>
    <n v="33"/>
    <n v="45"/>
    <n v="0"/>
    <n v="1485"/>
  </r>
  <r>
    <x v="1"/>
    <x v="18"/>
    <x v="3"/>
    <n v="2"/>
    <n v="43"/>
    <s v="00"/>
    <s v="009"/>
    <s v="24300-009"/>
    <s v="Tuba service item #009"/>
    <s v="UNIQUE"/>
    <n v="0"/>
    <n v="47"/>
    <n v="91"/>
    <n v="0"/>
    <n v="4277"/>
  </r>
  <r>
    <x v="1"/>
    <x v="19"/>
    <x v="4"/>
    <n v="2"/>
    <n v="50"/>
    <s v="00"/>
    <s v="000"/>
    <s v="25000-000"/>
    <s v="Snare drum service item #000"/>
    <s v="UNIQUE"/>
    <n v="0"/>
    <n v="12"/>
    <n v="361"/>
    <n v="0"/>
    <n v="4332"/>
  </r>
  <r>
    <x v="1"/>
    <x v="19"/>
    <x v="4"/>
    <n v="2"/>
    <n v="50"/>
    <s v="00"/>
    <s v="001"/>
    <s v="25000-001"/>
    <s v="Snare drum service item #001"/>
    <s v="UNIQUE"/>
    <n v="40"/>
    <n v="6561"/>
    <n v="55"/>
    <n v="262440"/>
    <n v="360855"/>
  </r>
  <r>
    <x v="1"/>
    <x v="19"/>
    <x v="4"/>
    <n v="2"/>
    <n v="50"/>
    <s v="00"/>
    <s v="002"/>
    <s v="25000-002"/>
    <s v="Snare drum service item #002"/>
    <s v="UNIQUE"/>
    <n v="0"/>
    <n v="5041"/>
    <n v="47"/>
    <n v="0"/>
    <n v="236927"/>
  </r>
  <r>
    <x v="1"/>
    <x v="19"/>
    <x v="4"/>
    <n v="2"/>
    <n v="50"/>
    <s v="00"/>
    <s v="003"/>
    <s v="25000-003"/>
    <s v="Snare drum service item #003"/>
    <s v="UNIQUE"/>
    <n v="0"/>
    <n v="50"/>
    <n v="1849"/>
    <n v="0"/>
    <n v="92450"/>
  </r>
  <r>
    <x v="1"/>
    <x v="19"/>
    <x v="4"/>
    <n v="2"/>
    <n v="50"/>
    <s v="00"/>
    <s v="004"/>
    <s v="25000-004"/>
    <s v="Snare drum service item #004"/>
    <s v="UNIQUE"/>
    <n v="0"/>
    <n v="8464"/>
    <n v="4624"/>
    <n v="0"/>
    <n v="39137536"/>
  </r>
  <r>
    <x v="1"/>
    <x v="19"/>
    <x v="4"/>
    <n v="2"/>
    <n v="50"/>
    <s v="00"/>
    <s v="005"/>
    <s v="25000-005"/>
    <s v="Snare drum service item #005"/>
    <s v="UNIQUE"/>
    <n v="0"/>
    <n v="83"/>
    <n v="2601"/>
    <n v="0"/>
    <n v="215883"/>
  </r>
  <r>
    <x v="1"/>
    <x v="19"/>
    <x v="4"/>
    <n v="2"/>
    <n v="50"/>
    <s v="00"/>
    <s v="006"/>
    <s v="25000-006"/>
    <s v="Snare drum service item #006"/>
    <s v="UNIQUE"/>
    <n v="73"/>
    <n v="6"/>
    <n v="8649"/>
    <n v="438"/>
    <n v="51894"/>
  </r>
  <r>
    <x v="1"/>
    <x v="19"/>
    <x v="4"/>
    <n v="2"/>
    <n v="50"/>
    <s v="00"/>
    <s v="007"/>
    <s v="25000-007"/>
    <s v="Snare drum service item #007"/>
    <s v="UNIQUE"/>
    <n v="5"/>
    <n v="43"/>
    <n v="2916"/>
    <n v="215"/>
    <n v="125388"/>
  </r>
  <r>
    <x v="1"/>
    <x v="19"/>
    <x v="4"/>
    <n v="2"/>
    <n v="50"/>
    <s v="00"/>
    <s v="008"/>
    <s v="25000-008"/>
    <s v="Snare drum service item #008"/>
    <s v="UNIQUE"/>
    <n v="0"/>
    <n v="841"/>
    <n v="8281"/>
    <n v="0"/>
    <n v="6964321"/>
  </r>
  <r>
    <x v="1"/>
    <x v="19"/>
    <x v="4"/>
    <n v="2"/>
    <n v="50"/>
    <s v="00"/>
    <s v="009"/>
    <s v="25000-009"/>
    <s v="Snare drum service item #009"/>
    <s v="UNIQUE"/>
    <n v="0"/>
    <n v="4096"/>
    <n v="33"/>
    <n v="0"/>
    <n v="135168"/>
  </r>
  <r>
    <x v="1"/>
    <x v="19"/>
    <x v="4"/>
    <n v="2"/>
    <n v="50"/>
    <s v="00"/>
    <s v="010"/>
    <s v="25000-010"/>
    <s v="Snare drum service item #010"/>
    <s v="UNIQUE"/>
    <n v="0"/>
    <n v="11"/>
    <n v="14"/>
    <n v="0"/>
    <n v="154"/>
  </r>
  <r>
    <x v="1"/>
    <x v="19"/>
    <x v="4"/>
    <n v="2"/>
    <n v="50"/>
    <s v="00"/>
    <s v="011"/>
    <s v="25000-011"/>
    <s v="Snare drum service item #011"/>
    <s v="UNIQUE"/>
    <n v="0"/>
    <n v="5329"/>
    <n v="19"/>
    <n v="0"/>
    <n v="101251"/>
  </r>
  <r>
    <x v="1"/>
    <x v="19"/>
    <x v="4"/>
    <n v="2"/>
    <n v="50"/>
    <s v="00"/>
    <s v="012"/>
    <s v="25000-012"/>
    <s v="Snare drum service item #012"/>
    <s v="UNIQUE"/>
    <n v="0"/>
    <n v="17"/>
    <n v="62"/>
    <n v="0"/>
    <n v="1054"/>
  </r>
  <r>
    <x v="1"/>
    <x v="19"/>
    <x v="4"/>
    <n v="2"/>
    <n v="50"/>
    <s v="00"/>
    <s v="013"/>
    <s v="25000-013"/>
    <s v="Snare drum service item #013"/>
    <s v="UNIQUE"/>
    <n v="2"/>
    <n v="144"/>
    <n v="1764"/>
    <n v="288"/>
    <n v="254016"/>
  </r>
  <r>
    <x v="1"/>
    <x v="19"/>
    <x v="4"/>
    <n v="2"/>
    <n v="50"/>
    <s v="00"/>
    <s v="014"/>
    <s v="25000-014"/>
    <s v="Snare drum service item #014"/>
    <s v="UNIQUE"/>
    <n v="5"/>
    <n v="71"/>
    <n v="676"/>
    <n v="355"/>
    <n v="47996"/>
  </r>
  <r>
    <x v="1"/>
    <x v="19"/>
    <x v="4"/>
    <n v="2"/>
    <n v="50"/>
    <s v="00"/>
    <s v="015"/>
    <s v="25000-015"/>
    <s v="Snare drum service item #015"/>
    <s v="UNIQUE"/>
    <n v="0"/>
    <n v="72"/>
    <n v="67"/>
    <n v="0"/>
    <n v="4824"/>
  </r>
  <r>
    <x v="1"/>
    <x v="19"/>
    <x v="4"/>
    <n v="2"/>
    <n v="50"/>
    <s v="00"/>
    <s v="016"/>
    <s v="25000-016"/>
    <s v="Snare drum service item #016"/>
    <s v="UNIQUE"/>
    <n v="8"/>
    <n v="729"/>
    <n v="225"/>
    <n v="5832"/>
    <n v="164025"/>
  </r>
  <r>
    <x v="1"/>
    <x v="19"/>
    <x v="4"/>
    <n v="2"/>
    <n v="50"/>
    <s v="00"/>
    <s v="017"/>
    <s v="25000-017"/>
    <s v="Snare drum service item #017"/>
    <s v="UNIQUE"/>
    <n v="0"/>
    <n v="4096"/>
    <n v="1296"/>
    <n v="0"/>
    <n v="5308416"/>
  </r>
  <r>
    <x v="1"/>
    <x v="19"/>
    <x v="4"/>
    <n v="2"/>
    <n v="50"/>
    <s v="00"/>
    <s v="018"/>
    <s v="25000-018"/>
    <s v="Snare drum service item #018"/>
    <s v="UNIQUE"/>
    <n v="1"/>
    <n v="47"/>
    <n v="13"/>
    <n v="47"/>
    <n v="611"/>
  </r>
  <r>
    <x v="1"/>
    <x v="19"/>
    <x v="4"/>
    <n v="2"/>
    <n v="50"/>
    <s v="00"/>
    <s v="019"/>
    <s v="25000-019"/>
    <s v="Snare drum service item #019"/>
    <s v="UNIQUE"/>
    <n v="0"/>
    <n v="64"/>
    <n v="1296"/>
    <n v="0"/>
    <n v="82944"/>
  </r>
  <r>
    <x v="1"/>
    <x v="20"/>
    <x v="4"/>
    <n v="2"/>
    <n v="51"/>
    <s v="00"/>
    <s v="000"/>
    <s v="25100-000"/>
    <s v="Timpani service item #000"/>
    <s v="UNIQUE"/>
    <n v="0"/>
    <n v="50"/>
    <n v="4225"/>
    <n v="0"/>
    <n v="211250"/>
  </r>
  <r>
    <x v="1"/>
    <x v="20"/>
    <x v="4"/>
    <n v="2"/>
    <n v="51"/>
    <s v="00"/>
    <s v="001"/>
    <s v="25100-001"/>
    <s v="Timpani service item #001"/>
    <s v="UNIQUE"/>
    <n v="0"/>
    <n v="5476"/>
    <n v="1764"/>
    <n v="0"/>
    <n v="9659664"/>
  </r>
  <r>
    <x v="1"/>
    <x v="20"/>
    <x v="4"/>
    <n v="2"/>
    <n v="51"/>
    <s v="00"/>
    <s v="002"/>
    <s v="25100-002"/>
    <s v="Timpani service item #002"/>
    <s v="UNIQUE"/>
    <n v="0"/>
    <n v="1936"/>
    <n v="10"/>
    <n v="0"/>
    <n v="19360"/>
  </r>
  <r>
    <x v="1"/>
    <x v="20"/>
    <x v="4"/>
    <n v="2"/>
    <n v="51"/>
    <s v="00"/>
    <s v="003"/>
    <s v="25100-003"/>
    <s v="Timpani service item #003"/>
    <s v="UNIQUE"/>
    <n v="0"/>
    <n v="441"/>
    <n v="841"/>
    <n v="0"/>
    <n v="370881"/>
  </r>
  <r>
    <x v="1"/>
    <x v="20"/>
    <x v="4"/>
    <n v="2"/>
    <n v="51"/>
    <s v="00"/>
    <s v="004"/>
    <s v="25100-004"/>
    <s v="Timpani service item #004"/>
    <s v="UNIQUE"/>
    <n v="84"/>
    <n v="35"/>
    <n v="17"/>
    <n v="2940"/>
    <n v="595"/>
  </r>
  <r>
    <x v="1"/>
    <x v="20"/>
    <x v="4"/>
    <n v="2"/>
    <n v="51"/>
    <s v="00"/>
    <s v="005"/>
    <s v="25100-005"/>
    <s v="Timpani service item #005"/>
    <s v="UNIQUE"/>
    <n v="0"/>
    <n v="2809"/>
    <n v="38"/>
    <n v="0"/>
    <n v="106742"/>
  </r>
  <r>
    <x v="1"/>
    <x v="20"/>
    <x v="4"/>
    <n v="2"/>
    <n v="51"/>
    <s v="00"/>
    <s v="006"/>
    <s v="25100-006"/>
    <s v="Timpani service item #006"/>
    <s v="UNIQUE"/>
    <n v="43"/>
    <n v="6084"/>
    <n v="81"/>
    <n v="261612"/>
    <n v="492804"/>
  </r>
  <r>
    <x v="1"/>
    <x v="20"/>
    <x v="4"/>
    <n v="2"/>
    <n v="51"/>
    <s v="00"/>
    <s v="007"/>
    <s v="25100-007"/>
    <s v="Timpani service item #007"/>
    <s v="UNIQUE"/>
    <n v="10"/>
    <n v="4489"/>
    <n v="3600"/>
    <n v="44890"/>
    <n v="16160400"/>
  </r>
  <r>
    <x v="1"/>
    <x v="20"/>
    <x v="4"/>
    <n v="2"/>
    <n v="51"/>
    <s v="00"/>
    <s v="008"/>
    <s v="25100-008"/>
    <s v="Timpani service item #008"/>
    <s v="UNIQUE"/>
    <n v="0"/>
    <n v="9409"/>
    <n v="68"/>
    <n v="0"/>
    <n v="639812"/>
  </r>
  <r>
    <x v="1"/>
    <x v="20"/>
    <x v="4"/>
    <n v="2"/>
    <n v="51"/>
    <s v="00"/>
    <s v="009"/>
    <s v="25100-009"/>
    <s v="Timpani service item #009"/>
    <s v="UNIQUE"/>
    <n v="10"/>
    <n v="1849"/>
    <n v="2704"/>
    <n v="18490"/>
    <n v="4999696"/>
  </r>
  <r>
    <x v="1"/>
    <x v="21"/>
    <x v="4"/>
    <n v="2"/>
    <n v="52"/>
    <s v="00"/>
    <s v="000"/>
    <s v="25200-000"/>
    <s v="Bass drum service item #000"/>
    <s v="UNIQUE"/>
    <n v="0"/>
    <n v="62"/>
    <n v="93"/>
    <n v="0"/>
    <n v="5766"/>
  </r>
  <r>
    <x v="1"/>
    <x v="21"/>
    <x v="4"/>
    <n v="2"/>
    <n v="52"/>
    <s v="00"/>
    <s v="001"/>
    <s v="25200-001"/>
    <s v="Bass drum service item #001"/>
    <s v="UNIQUE"/>
    <n v="0"/>
    <n v="5329"/>
    <n v="961"/>
    <n v="0"/>
    <n v="5121169"/>
  </r>
  <r>
    <x v="1"/>
    <x v="21"/>
    <x v="4"/>
    <n v="2"/>
    <n v="52"/>
    <s v="00"/>
    <s v="002"/>
    <s v="25200-002"/>
    <s v="Bass drum service item #002"/>
    <s v="UNIQUE"/>
    <n v="0"/>
    <n v="1"/>
    <n v="3025"/>
    <n v="0"/>
    <n v="3025"/>
  </r>
  <r>
    <x v="1"/>
    <x v="21"/>
    <x v="4"/>
    <n v="2"/>
    <n v="52"/>
    <s v="00"/>
    <s v="003"/>
    <s v="25200-003"/>
    <s v="Bass drum service item #003"/>
    <s v="UNIQUE"/>
    <n v="7"/>
    <n v="45"/>
    <n v="70"/>
    <n v="315"/>
    <n v="3150"/>
  </r>
  <r>
    <x v="1"/>
    <x v="21"/>
    <x v="4"/>
    <n v="2"/>
    <n v="52"/>
    <s v="00"/>
    <s v="004"/>
    <s v="25200-004"/>
    <s v="Bass drum service item #004"/>
    <s v="UNIQUE"/>
    <n v="0"/>
    <n v="83"/>
    <n v="3844"/>
    <n v="0"/>
    <n v="319052"/>
  </r>
  <r>
    <x v="1"/>
    <x v="21"/>
    <x v="4"/>
    <n v="2"/>
    <n v="52"/>
    <s v="00"/>
    <s v="005"/>
    <s v="25200-005"/>
    <s v="Bass drum service item #005"/>
    <s v="UNIQUE"/>
    <n v="0"/>
    <n v="576"/>
    <n v="1764"/>
    <n v="0"/>
    <n v="1016064"/>
  </r>
  <r>
    <x v="1"/>
    <x v="21"/>
    <x v="4"/>
    <n v="2"/>
    <n v="52"/>
    <s v="00"/>
    <s v="006"/>
    <s v="25200-006"/>
    <s v="Bass drum service item #006"/>
    <s v="UNIQUE"/>
    <n v="0"/>
    <n v="71"/>
    <n v="52"/>
    <n v="0"/>
    <n v="3692"/>
  </r>
  <r>
    <x v="1"/>
    <x v="21"/>
    <x v="4"/>
    <n v="2"/>
    <n v="52"/>
    <s v="00"/>
    <s v="007"/>
    <s v="25200-007"/>
    <s v="Bass drum service item #007"/>
    <s v="UNIQUE"/>
    <n v="75"/>
    <n v="79"/>
    <n v="68"/>
    <n v="5925"/>
    <n v="5372"/>
  </r>
  <r>
    <x v="1"/>
    <x v="21"/>
    <x v="4"/>
    <n v="2"/>
    <n v="52"/>
    <s v="00"/>
    <s v="008"/>
    <s v="25200-008"/>
    <s v="Bass drum service item #008"/>
    <s v="UNIQUE"/>
    <n v="1"/>
    <n v="41"/>
    <n v="10"/>
    <n v="41"/>
    <n v="410"/>
  </r>
  <r>
    <x v="1"/>
    <x v="21"/>
    <x v="4"/>
    <n v="2"/>
    <n v="52"/>
    <s v="00"/>
    <s v="009"/>
    <s v="25200-009"/>
    <s v="Bass drum service item #009"/>
    <s v="UNIQUE"/>
    <n v="0"/>
    <n v="3600"/>
    <n v="15"/>
    <n v="0"/>
    <n v="54000"/>
  </r>
  <r>
    <x v="1"/>
    <x v="22"/>
    <x v="4"/>
    <n v="2"/>
    <n v="53"/>
    <s v="00"/>
    <s v="000"/>
    <s v="25300-000"/>
    <s v="Cymbal service item #000"/>
    <s v="UNIQUE"/>
    <n v="0"/>
    <n v="5184"/>
    <n v="81"/>
    <n v="0"/>
    <n v="419904"/>
  </r>
  <r>
    <x v="1"/>
    <x v="22"/>
    <x v="4"/>
    <n v="2"/>
    <n v="53"/>
    <s v="00"/>
    <s v="001"/>
    <s v="25300-001"/>
    <s v="Cymbal service item #001"/>
    <s v="UNIQUE"/>
    <n v="9"/>
    <n v="64"/>
    <n v="121"/>
    <n v="576"/>
    <n v="7744"/>
  </r>
  <r>
    <x v="1"/>
    <x v="22"/>
    <x v="4"/>
    <n v="2"/>
    <n v="53"/>
    <s v="00"/>
    <s v="002"/>
    <s v="25300-002"/>
    <s v="Cymbal service item #002"/>
    <s v="UNIQUE"/>
    <n v="2"/>
    <n v="70"/>
    <n v="81"/>
    <n v="140"/>
    <n v="5670"/>
  </r>
  <r>
    <x v="1"/>
    <x v="22"/>
    <x v="4"/>
    <n v="2"/>
    <n v="53"/>
    <s v="00"/>
    <s v="003"/>
    <s v="25300-003"/>
    <s v="Cymbal service item #003"/>
    <s v="UNIQUE"/>
    <n v="3"/>
    <n v="400"/>
    <n v="484"/>
    <n v="1200"/>
    <n v="193600"/>
  </r>
  <r>
    <x v="1"/>
    <x v="22"/>
    <x v="4"/>
    <n v="2"/>
    <n v="53"/>
    <s v="00"/>
    <s v="004"/>
    <s v="25300-004"/>
    <s v="Cymbal service item #004"/>
    <s v="UNIQUE"/>
    <n v="42"/>
    <n v="57"/>
    <n v="36"/>
    <n v="2394"/>
    <n v="2052"/>
  </r>
  <r>
    <x v="1"/>
    <x v="22"/>
    <x v="4"/>
    <n v="2"/>
    <n v="53"/>
    <s v="00"/>
    <s v="005"/>
    <s v="25300-005"/>
    <s v="Cymbal service item #005"/>
    <s v="UNIQUE"/>
    <n v="10"/>
    <n v="7225"/>
    <n v="5"/>
    <n v="72250"/>
    <n v="36125"/>
  </r>
  <r>
    <x v="1"/>
    <x v="22"/>
    <x v="4"/>
    <n v="2"/>
    <n v="53"/>
    <s v="00"/>
    <s v="006"/>
    <s v="25300-006"/>
    <s v="Cymbal service item #006"/>
    <s v="UNIQUE"/>
    <n v="0"/>
    <n v="4225"/>
    <n v="4096"/>
    <n v="0"/>
    <n v="17305600"/>
  </r>
  <r>
    <x v="1"/>
    <x v="22"/>
    <x v="4"/>
    <n v="2"/>
    <n v="53"/>
    <s v="00"/>
    <s v="007"/>
    <s v="25300-007"/>
    <s v="Cymbal service item #007"/>
    <s v="UNIQUE"/>
    <n v="7"/>
    <n v="66"/>
    <n v="99"/>
    <n v="462"/>
    <n v="6534"/>
  </r>
  <r>
    <x v="1"/>
    <x v="22"/>
    <x v="4"/>
    <n v="2"/>
    <n v="53"/>
    <s v="00"/>
    <s v="008"/>
    <s v="25300-008"/>
    <s v="Cymbal service item #008"/>
    <s v="UNIQUE"/>
    <n v="81"/>
    <n v="1296"/>
    <n v="86"/>
    <n v="104976"/>
    <n v="111456"/>
  </r>
  <r>
    <x v="1"/>
    <x v="22"/>
    <x v="4"/>
    <n v="2"/>
    <n v="53"/>
    <s v="00"/>
    <s v="009"/>
    <s v="25300-009"/>
    <s v="Cymbal service item #009"/>
    <s v="UNIQUE"/>
    <n v="0"/>
    <n v="5"/>
    <n v="576"/>
    <n v="0"/>
    <n v="2880"/>
  </r>
  <r>
    <x v="1"/>
    <x v="23"/>
    <x v="5"/>
    <n v="2"/>
    <n v="60"/>
    <s v="00"/>
    <s v="000"/>
    <s v="26000-000"/>
    <s v="Theremin service item #000"/>
    <s v="UNIQUE"/>
    <n v="0"/>
    <n v="100"/>
    <n v="2401"/>
    <n v="0"/>
    <n v="240100"/>
  </r>
  <r>
    <x v="1"/>
    <x v="23"/>
    <x v="5"/>
    <n v="2"/>
    <n v="60"/>
    <s v="00"/>
    <s v="001"/>
    <s v="26000-001"/>
    <s v="Theremin service item #001"/>
    <s v="UNIQUE"/>
    <n v="1"/>
    <n v="52"/>
    <n v="1296"/>
    <n v="52"/>
    <n v="67392"/>
  </r>
  <r>
    <x v="1"/>
    <x v="23"/>
    <x v="5"/>
    <n v="2"/>
    <n v="60"/>
    <s v="00"/>
    <s v="002"/>
    <s v="26000-002"/>
    <s v="Theremin service item #002"/>
    <s v="UNIQUE"/>
    <n v="63"/>
    <n v="4225"/>
    <n v="40"/>
    <n v="266175"/>
    <n v="169000"/>
  </r>
  <r>
    <x v="1"/>
    <x v="23"/>
    <x v="5"/>
    <n v="2"/>
    <n v="60"/>
    <s v="00"/>
    <s v="003"/>
    <s v="26000-003"/>
    <s v="Theremin service item #003"/>
    <s v="UNIQUE"/>
    <n v="1"/>
    <n v="41"/>
    <n v="92"/>
    <n v="41"/>
    <n v="3772"/>
  </r>
  <r>
    <x v="1"/>
    <x v="23"/>
    <x v="5"/>
    <n v="2"/>
    <n v="60"/>
    <s v="00"/>
    <s v="004"/>
    <s v="26000-004"/>
    <s v="Theremin service item #004"/>
    <s v="UNIQUE"/>
    <n v="23"/>
    <n v="81"/>
    <n v="5184"/>
    <n v="1863"/>
    <n v="419904"/>
  </r>
  <r>
    <x v="1"/>
    <x v="23"/>
    <x v="5"/>
    <n v="2"/>
    <n v="60"/>
    <s v="00"/>
    <s v="005"/>
    <s v="26000-005"/>
    <s v="Theremin service item #005"/>
    <s v="UNIQUE"/>
    <n v="5"/>
    <n v="3364"/>
    <n v="196"/>
    <n v="16820"/>
    <n v="659344"/>
  </r>
  <r>
    <x v="1"/>
    <x v="23"/>
    <x v="5"/>
    <n v="2"/>
    <n v="60"/>
    <s v="00"/>
    <s v="006"/>
    <s v="26000-006"/>
    <s v="Theremin service item #006"/>
    <s v="UNIQUE"/>
    <n v="0"/>
    <n v="2401"/>
    <n v="5625"/>
    <n v="0"/>
    <n v="13505625"/>
  </r>
  <r>
    <x v="1"/>
    <x v="23"/>
    <x v="5"/>
    <n v="2"/>
    <n v="60"/>
    <s v="00"/>
    <s v="007"/>
    <s v="26000-007"/>
    <s v="Theremin service item #007"/>
    <s v="UNIQUE"/>
    <n v="0"/>
    <n v="6889"/>
    <n v="4096"/>
    <n v="0"/>
    <n v="28217344"/>
  </r>
  <r>
    <x v="1"/>
    <x v="23"/>
    <x v="5"/>
    <n v="2"/>
    <n v="60"/>
    <s v="00"/>
    <s v="008"/>
    <s v="26000-008"/>
    <s v="Theremin service item #008"/>
    <s v="UNIQUE"/>
    <n v="0"/>
    <n v="1681"/>
    <n v="51"/>
    <n v="0"/>
    <n v="85731"/>
  </r>
  <r>
    <x v="1"/>
    <x v="23"/>
    <x v="5"/>
    <n v="2"/>
    <n v="60"/>
    <s v="00"/>
    <s v="009"/>
    <s v="26000-009"/>
    <s v="Theremin service item #009"/>
    <s v="UNIQUE"/>
    <n v="26"/>
    <n v="1681"/>
    <n v="89"/>
    <n v="43706"/>
    <n v="149609"/>
  </r>
  <r>
    <x v="1"/>
    <x v="23"/>
    <x v="5"/>
    <n v="2"/>
    <n v="60"/>
    <s v="00"/>
    <s v="010"/>
    <s v="26000-010"/>
    <s v="Theremin service item #010"/>
    <s v="UNIQUE"/>
    <n v="20"/>
    <n v="256"/>
    <n v="78"/>
    <n v="5120"/>
    <n v="19968"/>
  </r>
  <r>
    <x v="1"/>
    <x v="23"/>
    <x v="5"/>
    <n v="2"/>
    <n v="60"/>
    <s v="00"/>
    <s v="011"/>
    <s v="26000-011"/>
    <s v="Theremin service item #011"/>
    <s v="UNIQUE"/>
    <n v="3"/>
    <n v="71"/>
    <n v="79"/>
    <n v="213"/>
    <n v="5609"/>
  </r>
  <r>
    <x v="1"/>
    <x v="23"/>
    <x v="5"/>
    <n v="2"/>
    <n v="60"/>
    <s v="00"/>
    <s v="012"/>
    <s v="26000-012"/>
    <s v="Theremin service item #012"/>
    <s v="UNIQUE"/>
    <n v="1"/>
    <n v="38"/>
    <n v="57"/>
    <n v="38"/>
    <n v="2166"/>
  </r>
  <r>
    <x v="1"/>
    <x v="23"/>
    <x v="5"/>
    <n v="2"/>
    <n v="60"/>
    <s v="00"/>
    <s v="013"/>
    <s v="26000-013"/>
    <s v="Theremin service item #013"/>
    <s v="UNIQUE"/>
    <n v="0"/>
    <n v="5184"/>
    <n v="2116"/>
    <n v="0"/>
    <n v="10969344"/>
  </r>
  <r>
    <x v="1"/>
    <x v="23"/>
    <x v="5"/>
    <n v="2"/>
    <n v="60"/>
    <s v="00"/>
    <s v="014"/>
    <s v="26000-014"/>
    <s v="Theremin service item #014"/>
    <s v="UNIQUE"/>
    <n v="7"/>
    <n v="7"/>
    <n v="21"/>
    <n v="49"/>
    <n v="147"/>
  </r>
  <r>
    <x v="1"/>
    <x v="23"/>
    <x v="5"/>
    <n v="2"/>
    <n v="60"/>
    <s v="00"/>
    <s v="015"/>
    <s v="26000-015"/>
    <s v="Theremin service item #015"/>
    <s v="UNIQUE"/>
    <n v="4"/>
    <n v="41"/>
    <n v="98"/>
    <n v="164"/>
    <n v="4018"/>
  </r>
  <r>
    <x v="1"/>
    <x v="23"/>
    <x v="5"/>
    <n v="2"/>
    <n v="60"/>
    <s v="00"/>
    <s v="016"/>
    <s v="26000-016"/>
    <s v="Theremin service item #016"/>
    <s v="UNIQUE"/>
    <n v="0"/>
    <n v="42"/>
    <n v="18"/>
    <n v="0"/>
    <n v="756"/>
  </r>
  <r>
    <x v="1"/>
    <x v="23"/>
    <x v="5"/>
    <n v="2"/>
    <n v="60"/>
    <s v="00"/>
    <s v="017"/>
    <s v="26000-017"/>
    <s v="Theremin service item #017"/>
    <s v="UNIQUE"/>
    <n v="65"/>
    <n v="3249"/>
    <n v="63"/>
    <n v="211185"/>
    <n v="204687"/>
  </r>
  <r>
    <x v="1"/>
    <x v="23"/>
    <x v="5"/>
    <n v="2"/>
    <n v="60"/>
    <s v="00"/>
    <s v="018"/>
    <s v="26000-018"/>
    <s v="Theremin service item #018"/>
    <s v="UNIQUE"/>
    <n v="0"/>
    <n v="8100"/>
    <n v="69"/>
    <n v="0"/>
    <n v="558900"/>
  </r>
  <r>
    <x v="1"/>
    <x v="23"/>
    <x v="5"/>
    <n v="2"/>
    <n v="60"/>
    <s v="00"/>
    <s v="019"/>
    <s v="26000-019"/>
    <s v="Theremin service item #019"/>
    <s v="UNIQUE"/>
    <n v="0"/>
    <n v="79"/>
    <n v="42"/>
    <n v="0"/>
    <n v="3318"/>
  </r>
  <r>
    <x v="1"/>
    <x v="23"/>
    <x v="5"/>
    <n v="2"/>
    <n v="60"/>
    <s v="00"/>
    <s v="020"/>
    <s v="26000-020"/>
    <s v="Theremin service item #020"/>
    <s v="UNIQUE"/>
    <n v="0"/>
    <n v="55"/>
    <n v="26"/>
    <n v="0"/>
    <n v="1430"/>
  </r>
  <r>
    <x v="1"/>
    <x v="23"/>
    <x v="5"/>
    <n v="2"/>
    <n v="60"/>
    <s v="00"/>
    <s v="021"/>
    <s v="26000-021"/>
    <s v="Theremin service item #021"/>
    <s v="UNIQUE"/>
    <n v="0"/>
    <n v="3481"/>
    <n v="100"/>
    <n v="0"/>
    <n v="348100"/>
  </r>
  <r>
    <x v="1"/>
    <x v="23"/>
    <x v="5"/>
    <n v="2"/>
    <n v="60"/>
    <s v="00"/>
    <s v="022"/>
    <s v="26000-022"/>
    <s v="Theremin service item #022"/>
    <s v="UNIQUE"/>
    <n v="0"/>
    <n v="57"/>
    <n v="7225"/>
    <n v="0"/>
    <n v="411825"/>
  </r>
  <r>
    <x v="1"/>
    <x v="23"/>
    <x v="5"/>
    <n v="2"/>
    <n v="60"/>
    <s v="00"/>
    <s v="023"/>
    <s v="26000-023"/>
    <s v="Theremin service item #023"/>
    <s v="UNIQUE"/>
    <n v="7"/>
    <n v="62"/>
    <n v="1849"/>
    <n v="434"/>
    <n v="114638"/>
  </r>
  <r>
    <x v="1"/>
    <x v="23"/>
    <x v="5"/>
    <n v="2"/>
    <n v="60"/>
    <s v="00"/>
    <s v="024"/>
    <s v="26000-024"/>
    <s v="Theremin service item #024"/>
    <s v="UNIQUE"/>
    <n v="0"/>
    <n v="4900"/>
    <n v="68"/>
    <n v="0"/>
    <n v="333200"/>
  </r>
  <r>
    <x v="1"/>
    <x v="23"/>
    <x v="5"/>
    <n v="2"/>
    <n v="60"/>
    <s v="00"/>
    <s v="025"/>
    <s v="26000-025"/>
    <s v="Theremin service item #025"/>
    <s v="UNIQUE"/>
    <n v="0"/>
    <n v="45"/>
    <n v="43"/>
    <n v="0"/>
    <n v="1935"/>
  </r>
  <r>
    <x v="1"/>
    <x v="23"/>
    <x v="5"/>
    <n v="2"/>
    <n v="60"/>
    <s v="00"/>
    <s v="026"/>
    <s v="26000-026"/>
    <s v="Theremin service item #026"/>
    <s v="UNIQUE"/>
    <n v="0"/>
    <n v="52"/>
    <n v="45"/>
    <n v="0"/>
    <n v="2340"/>
  </r>
  <r>
    <x v="1"/>
    <x v="23"/>
    <x v="5"/>
    <n v="2"/>
    <n v="60"/>
    <s v="00"/>
    <s v="027"/>
    <s v="26000-027"/>
    <s v="Theremin service item #027"/>
    <s v="UNIQUE"/>
    <n v="30"/>
    <n v="41"/>
    <n v="83"/>
    <n v="1230"/>
    <n v="3403"/>
  </r>
  <r>
    <x v="1"/>
    <x v="23"/>
    <x v="5"/>
    <n v="2"/>
    <n v="60"/>
    <s v="00"/>
    <s v="028"/>
    <s v="26000-028"/>
    <s v="Theremin service item #028"/>
    <s v="UNIQUE"/>
    <n v="7"/>
    <n v="14"/>
    <n v="3025"/>
    <n v="98"/>
    <n v="42350"/>
  </r>
  <r>
    <x v="1"/>
    <x v="23"/>
    <x v="5"/>
    <n v="2"/>
    <n v="60"/>
    <s v="00"/>
    <s v="029"/>
    <s v="26000-029"/>
    <s v="Theremin service item #029"/>
    <s v="UNIQUE"/>
    <n v="77"/>
    <n v="54"/>
    <n v="1764"/>
    <n v="4158"/>
    <n v="95256"/>
  </r>
  <r>
    <x v="1"/>
    <x v="23"/>
    <x v="5"/>
    <n v="2"/>
    <n v="60"/>
    <s v="00"/>
    <s v="030"/>
    <s v="26000-030"/>
    <s v="Theremin service item #030"/>
    <s v="UNIQUE"/>
    <n v="0"/>
    <n v="87"/>
    <n v="70"/>
    <n v="0"/>
    <n v="6090"/>
  </r>
  <r>
    <x v="1"/>
    <x v="23"/>
    <x v="5"/>
    <n v="2"/>
    <n v="60"/>
    <s v="00"/>
    <s v="031"/>
    <s v="26000-031"/>
    <s v="Theremin service item #031"/>
    <s v="UNIQUE"/>
    <n v="7"/>
    <n v="3364"/>
    <n v="50"/>
    <n v="23548"/>
    <n v="168200"/>
  </r>
  <r>
    <x v="1"/>
    <x v="23"/>
    <x v="5"/>
    <n v="2"/>
    <n v="60"/>
    <s v="00"/>
    <s v="032"/>
    <s v="26000-032"/>
    <s v="Theremin service item #032"/>
    <s v="UNIQUE"/>
    <n v="8"/>
    <n v="76"/>
    <n v="85"/>
    <n v="608"/>
    <n v="6460"/>
  </r>
  <r>
    <x v="1"/>
    <x v="23"/>
    <x v="5"/>
    <n v="2"/>
    <n v="60"/>
    <s v="00"/>
    <s v="033"/>
    <s v="26000-033"/>
    <s v="Theremin service item #033"/>
    <s v="UNIQUE"/>
    <n v="0"/>
    <n v="8"/>
    <n v="6084"/>
    <n v="0"/>
    <n v="48672"/>
  </r>
  <r>
    <x v="1"/>
    <x v="23"/>
    <x v="5"/>
    <n v="2"/>
    <n v="60"/>
    <s v="00"/>
    <s v="034"/>
    <s v="26000-034"/>
    <s v="Theremin service item #034"/>
    <s v="UNIQUE"/>
    <n v="0"/>
    <n v="361"/>
    <n v="9"/>
    <n v="0"/>
    <n v="3249"/>
  </r>
  <r>
    <x v="1"/>
    <x v="23"/>
    <x v="5"/>
    <n v="2"/>
    <n v="60"/>
    <s v="00"/>
    <s v="035"/>
    <s v="26000-035"/>
    <s v="Theremin service item #035"/>
    <s v="UNIQUE"/>
    <n v="0"/>
    <n v="6"/>
    <n v="42"/>
    <n v="0"/>
    <n v="252"/>
  </r>
  <r>
    <x v="1"/>
    <x v="23"/>
    <x v="5"/>
    <n v="2"/>
    <n v="60"/>
    <s v="00"/>
    <s v="036"/>
    <s v="26000-036"/>
    <s v="Theremin service item #036"/>
    <s v="UNIQUE"/>
    <n v="37"/>
    <n v="1156"/>
    <n v="3844"/>
    <n v="42772"/>
    <n v="4443664"/>
  </r>
  <r>
    <x v="1"/>
    <x v="23"/>
    <x v="5"/>
    <n v="2"/>
    <n v="60"/>
    <s v="00"/>
    <s v="037"/>
    <s v="26000-037"/>
    <s v="Theremin service item #037"/>
    <s v="UNIQUE"/>
    <n v="0"/>
    <n v="1849"/>
    <n v="58"/>
    <n v="0"/>
    <n v="107242"/>
  </r>
  <r>
    <x v="1"/>
    <x v="23"/>
    <x v="5"/>
    <n v="2"/>
    <n v="60"/>
    <s v="00"/>
    <s v="038"/>
    <s v="26000-038"/>
    <s v="Theremin service item #038"/>
    <s v="UNIQUE"/>
    <n v="8"/>
    <n v="59"/>
    <n v="20"/>
    <n v="472"/>
    <n v="1180"/>
  </r>
  <r>
    <x v="1"/>
    <x v="23"/>
    <x v="5"/>
    <n v="2"/>
    <n v="60"/>
    <s v="00"/>
    <s v="039"/>
    <s v="26000-039"/>
    <s v="Theremin service item #039"/>
    <s v="UNIQUE"/>
    <n v="87"/>
    <n v="83"/>
    <n v="80"/>
    <n v="7221"/>
    <n v="6640"/>
  </r>
  <r>
    <x v="1"/>
    <x v="23"/>
    <x v="5"/>
    <n v="2"/>
    <n v="60"/>
    <s v="00"/>
    <s v="040"/>
    <s v="26000-040"/>
    <s v="Theremin service item #040"/>
    <s v="UNIQUE"/>
    <n v="0"/>
    <n v="48"/>
    <n v="5184"/>
    <n v="0"/>
    <n v="248832"/>
  </r>
  <r>
    <x v="1"/>
    <x v="23"/>
    <x v="5"/>
    <n v="2"/>
    <n v="60"/>
    <s v="00"/>
    <s v="041"/>
    <s v="26000-041"/>
    <s v="Theremin service item #041"/>
    <s v="UNIQUE"/>
    <n v="0"/>
    <n v="30"/>
    <n v="47"/>
    <n v="0"/>
    <n v="1410"/>
  </r>
  <r>
    <x v="1"/>
    <x v="23"/>
    <x v="5"/>
    <n v="2"/>
    <n v="60"/>
    <s v="00"/>
    <s v="042"/>
    <s v="26000-042"/>
    <s v="Theremin service item #042"/>
    <s v="UNIQUE"/>
    <n v="0"/>
    <n v="7056"/>
    <n v="50"/>
    <n v="0"/>
    <n v="352800"/>
  </r>
  <r>
    <x v="1"/>
    <x v="23"/>
    <x v="5"/>
    <n v="2"/>
    <n v="60"/>
    <s v="00"/>
    <s v="043"/>
    <s v="26000-043"/>
    <s v="Theremin service item #043"/>
    <s v="UNIQUE"/>
    <n v="0"/>
    <n v="12"/>
    <n v="71"/>
    <n v="0"/>
    <n v="852"/>
  </r>
  <r>
    <x v="1"/>
    <x v="23"/>
    <x v="5"/>
    <n v="2"/>
    <n v="60"/>
    <s v="00"/>
    <s v="044"/>
    <s v="26000-044"/>
    <s v="Theremin service item #044"/>
    <s v="UNIQUE"/>
    <n v="1"/>
    <n v="4096"/>
    <n v="32"/>
    <n v="4096"/>
    <n v="131072"/>
  </r>
  <r>
    <x v="1"/>
    <x v="23"/>
    <x v="5"/>
    <n v="2"/>
    <n v="60"/>
    <s v="00"/>
    <s v="045"/>
    <s v="26000-045"/>
    <s v="Theremin service item #045"/>
    <s v="UNIQUE"/>
    <n v="12"/>
    <n v="3600"/>
    <n v="4225"/>
    <n v="43200"/>
    <n v="15210000"/>
  </r>
  <r>
    <x v="1"/>
    <x v="23"/>
    <x v="5"/>
    <n v="2"/>
    <n v="60"/>
    <s v="00"/>
    <s v="046"/>
    <s v="26000-046"/>
    <s v="Theremin service item #046"/>
    <s v="UNIQUE"/>
    <n v="53"/>
    <n v="8464"/>
    <n v="7921"/>
    <n v="448592"/>
    <n v="67043344"/>
  </r>
  <r>
    <x v="1"/>
    <x v="23"/>
    <x v="5"/>
    <n v="2"/>
    <n v="60"/>
    <s v="00"/>
    <s v="047"/>
    <s v="26000-047"/>
    <s v="Theremin service item #047"/>
    <s v="UNIQUE"/>
    <n v="0"/>
    <n v="100"/>
    <n v="18"/>
    <n v="0"/>
    <n v="1800"/>
  </r>
  <r>
    <x v="1"/>
    <x v="23"/>
    <x v="5"/>
    <n v="2"/>
    <n v="60"/>
    <s v="00"/>
    <s v="048"/>
    <s v="26000-048"/>
    <s v="Theremin service item #048"/>
    <s v="UNIQUE"/>
    <n v="3"/>
    <n v="74"/>
    <n v="529"/>
    <n v="222"/>
    <n v="39146"/>
  </r>
  <r>
    <x v="1"/>
    <x v="23"/>
    <x v="5"/>
    <n v="2"/>
    <n v="60"/>
    <s v="00"/>
    <s v="049"/>
    <s v="26000-049"/>
    <s v="Theremin service item #049"/>
    <s v="UNIQUE"/>
    <n v="1"/>
    <n v="729"/>
    <n v="3"/>
    <n v="729"/>
    <n v="2187"/>
  </r>
  <r>
    <x v="1"/>
    <x v="24"/>
    <x v="5"/>
    <n v="2"/>
    <n v="61"/>
    <s v="00"/>
    <s v="000"/>
    <s v="26100-000"/>
    <s v="Synthesizer service item #000"/>
    <s v="UNIQUE"/>
    <n v="9"/>
    <n v="26"/>
    <n v="14"/>
    <n v="234"/>
    <n v="364"/>
  </r>
  <r>
    <x v="1"/>
    <x v="24"/>
    <x v="5"/>
    <n v="2"/>
    <n v="61"/>
    <s v="00"/>
    <s v="001"/>
    <s v="26100-001"/>
    <s v="Synthesizer service item #001"/>
    <s v="UNIQUE"/>
    <n v="0"/>
    <n v="76"/>
    <n v="8100"/>
    <n v="0"/>
    <n v="615600"/>
  </r>
  <r>
    <x v="1"/>
    <x v="24"/>
    <x v="5"/>
    <n v="2"/>
    <n v="61"/>
    <s v="00"/>
    <s v="002"/>
    <s v="26100-002"/>
    <s v="Synthesizer service item #002"/>
    <s v="UNIQUE"/>
    <n v="3"/>
    <n v="4624"/>
    <n v="10000"/>
    <n v="13872"/>
    <n v="46240000"/>
  </r>
  <r>
    <x v="1"/>
    <x v="24"/>
    <x v="5"/>
    <n v="2"/>
    <n v="61"/>
    <s v="00"/>
    <s v="003"/>
    <s v="26100-003"/>
    <s v="Synthesizer service item #003"/>
    <s v="UNIQUE"/>
    <n v="34"/>
    <n v="9"/>
    <n v="60"/>
    <n v="306"/>
    <n v="540"/>
  </r>
  <r>
    <x v="1"/>
    <x v="24"/>
    <x v="5"/>
    <n v="2"/>
    <n v="61"/>
    <s v="00"/>
    <s v="004"/>
    <s v="26100-004"/>
    <s v="Synthesizer service item #004"/>
    <s v="UNIQUE"/>
    <n v="0"/>
    <n v="37"/>
    <n v="7225"/>
    <n v="0"/>
    <n v="267325"/>
  </r>
  <r>
    <x v="1"/>
    <x v="24"/>
    <x v="5"/>
    <n v="2"/>
    <n v="61"/>
    <s v="00"/>
    <s v="005"/>
    <s v="26100-005"/>
    <s v="Synthesizer service item #005"/>
    <s v="UNIQUE"/>
    <n v="0"/>
    <n v="16"/>
    <n v="43"/>
    <n v="0"/>
    <n v="688"/>
  </r>
  <r>
    <x v="1"/>
    <x v="24"/>
    <x v="5"/>
    <n v="2"/>
    <n v="61"/>
    <s v="00"/>
    <s v="006"/>
    <s v="26100-006"/>
    <s v="Synthesizer service item #006"/>
    <s v="UNIQUE"/>
    <n v="85"/>
    <n v="5476"/>
    <n v="34"/>
    <n v="465460"/>
    <n v="186184"/>
  </r>
  <r>
    <x v="1"/>
    <x v="24"/>
    <x v="5"/>
    <n v="2"/>
    <n v="61"/>
    <s v="00"/>
    <s v="007"/>
    <s v="26100-007"/>
    <s v="Synthesizer service item #007"/>
    <s v="UNIQUE"/>
    <n v="0"/>
    <n v="20"/>
    <n v="64"/>
    <n v="0"/>
    <n v="1280"/>
  </r>
  <r>
    <x v="1"/>
    <x v="24"/>
    <x v="5"/>
    <n v="2"/>
    <n v="61"/>
    <s v="00"/>
    <s v="008"/>
    <s v="26100-008"/>
    <s v="Synthesizer service item #008"/>
    <s v="UNIQUE"/>
    <n v="0"/>
    <n v="88"/>
    <n v="12"/>
    <n v="0"/>
    <n v="1056"/>
  </r>
  <r>
    <x v="1"/>
    <x v="24"/>
    <x v="5"/>
    <n v="2"/>
    <n v="61"/>
    <s v="00"/>
    <s v="009"/>
    <s v="26100-009"/>
    <s v="Synthesizer service item #009"/>
    <s v="UNIQUE"/>
    <n v="3"/>
    <n v="1521"/>
    <n v="11"/>
    <n v="4563"/>
    <n v="16731"/>
  </r>
  <r>
    <x v="1"/>
    <x v="24"/>
    <x v="5"/>
    <n v="2"/>
    <n v="61"/>
    <s v="00"/>
    <s v="010"/>
    <s v="26100-010"/>
    <s v="Synthesizer service item #010"/>
    <s v="UNIQUE"/>
    <n v="96"/>
    <n v="18"/>
    <n v="7569"/>
    <n v="1728"/>
    <n v="136242"/>
  </r>
  <r>
    <x v="1"/>
    <x v="24"/>
    <x v="5"/>
    <n v="2"/>
    <n v="61"/>
    <s v="00"/>
    <s v="011"/>
    <s v="26100-011"/>
    <s v="Synthesizer service item #011"/>
    <s v="UNIQUE"/>
    <n v="0"/>
    <n v="21"/>
    <n v="2601"/>
    <n v="0"/>
    <n v="54621"/>
  </r>
  <r>
    <x v="1"/>
    <x v="24"/>
    <x v="5"/>
    <n v="2"/>
    <n v="61"/>
    <s v="00"/>
    <s v="012"/>
    <s v="26100-012"/>
    <s v="Synthesizer service item #012"/>
    <s v="UNIQUE"/>
    <n v="0"/>
    <n v="5184"/>
    <n v="1296"/>
    <n v="0"/>
    <n v="6718464"/>
  </r>
  <r>
    <x v="1"/>
    <x v="24"/>
    <x v="5"/>
    <n v="2"/>
    <n v="61"/>
    <s v="00"/>
    <s v="013"/>
    <s v="26100-013"/>
    <s v="Synthesizer service item #013"/>
    <s v="UNIQUE"/>
    <n v="0"/>
    <n v="31"/>
    <n v="2"/>
    <n v="0"/>
    <n v="62"/>
  </r>
  <r>
    <x v="1"/>
    <x v="24"/>
    <x v="5"/>
    <n v="2"/>
    <n v="61"/>
    <s v="00"/>
    <s v="014"/>
    <s v="26100-014"/>
    <s v="Synthesizer service item #014"/>
    <s v="UNIQUE"/>
    <n v="0"/>
    <n v="2209"/>
    <n v="1"/>
    <n v="0"/>
    <n v="2209"/>
  </r>
  <r>
    <x v="1"/>
    <x v="24"/>
    <x v="5"/>
    <n v="2"/>
    <n v="61"/>
    <s v="00"/>
    <s v="015"/>
    <s v="26100-015"/>
    <s v="Synthesizer service item #015"/>
    <s v="UNIQUE"/>
    <n v="0"/>
    <n v="625"/>
    <n v="441"/>
    <n v="0"/>
    <n v="275625"/>
  </r>
  <r>
    <x v="1"/>
    <x v="24"/>
    <x v="5"/>
    <n v="2"/>
    <n v="61"/>
    <s v="00"/>
    <s v="016"/>
    <s v="26100-016"/>
    <s v="Synthesizer service item #016"/>
    <s v="UNIQUE"/>
    <n v="0"/>
    <n v="8836"/>
    <n v="961"/>
    <n v="0"/>
    <n v="8491396"/>
  </r>
  <r>
    <x v="1"/>
    <x v="24"/>
    <x v="5"/>
    <n v="2"/>
    <n v="61"/>
    <s v="00"/>
    <s v="017"/>
    <s v="26100-017"/>
    <s v="Synthesizer service item #017"/>
    <s v="UNIQUE"/>
    <n v="47"/>
    <n v="35"/>
    <n v="7744"/>
    <n v="1645"/>
    <n v="271040"/>
  </r>
  <r>
    <x v="1"/>
    <x v="24"/>
    <x v="5"/>
    <n v="2"/>
    <n v="61"/>
    <s v="00"/>
    <s v="018"/>
    <s v="26100-018"/>
    <s v="Synthesizer service item #018"/>
    <s v="UNIQUE"/>
    <n v="0"/>
    <n v="25"/>
    <n v="56"/>
    <n v="0"/>
    <n v="1400"/>
  </r>
  <r>
    <x v="1"/>
    <x v="24"/>
    <x v="5"/>
    <n v="2"/>
    <n v="61"/>
    <s v="00"/>
    <s v="019"/>
    <s v="26100-019"/>
    <s v="Synthesizer service item #019"/>
    <s v="UNIQUE"/>
    <n v="50"/>
    <n v="79"/>
    <n v="21"/>
    <n v="3950"/>
    <n v="1659"/>
  </r>
  <r>
    <x v="1"/>
    <x v="24"/>
    <x v="5"/>
    <n v="2"/>
    <n v="61"/>
    <s v="00"/>
    <s v="020"/>
    <s v="26100-020"/>
    <s v="Synthesizer service item #020"/>
    <s v="UNIQUE"/>
    <n v="0"/>
    <n v="100"/>
    <n v="4761"/>
    <n v="0"/>
    <n v="476100"/>
  </r>
  <r>
    <x v="1"/>
    <x v="24"/>
    <x v="5"/>
    <n v="2"/>
    <n v="61"/>
    <s v="00"/>
    <s v="021"/>
    <s v="26100-021"/>
    <s v="Synthesizer service item #021"/>
    <s v="UNIQUE"/>
    <n v="8"/>
    <n v="44"/>
    <n v="91"/>
    <n v="352"/>
    <n v="4004"/>
  </r>
  <r>
    <x v="1"/>
    <x v="24"/>
    <x v="5"/>
    <n v="2"/>
    <n v="61"/>
    <s v="00"/>
    <s v="022"/>
    <s v="26100-022"/>
    <s v="Synthesizer service item #022"/>
    <s v="UNIQUE"/>
    <n v="0"/>
    <n v="25"/>
    <n v="7225"/>
    <n v="0"/>
    <n v="180625"/>
  </r>
  <r>
    <x v="1"/>
    <x v="24"/>
    <x v="5"/>
    <n v="2"/>
    <n v="61"/>
    <s v="00"/>
    <s v="023"/>
    <s v="26100-023"/>
    <s v="Synthesizer service item #023"/>
    <s v="UNIQUE"/>
    <n v="94"/>
    <n v="6889"/>
    <n v="47"/>
    <n v="647566"/>
    <n v="323783"/>
  </r>
  <r>
    <x v="1"/>
    <x v="24"/>
    <x v="5"/>
    <n v="2"/>
    <n v="61"/>
    <s v="00"/>
    <s v="024"/>
    <s v="26100-024"/>
    <s v="Synthesizer service item #024"/>
    <s v="UNIQUE"/>
    <n v="42"/>
    <n v="24"/>
    <n v="11"/>
    <n v="1008"/>
    <n v="264"/>
  </r>
  <r>
    <x v="1"/>
    <x v="24"/>
    <x v="5"/>
    <n v="2"/>
    <n v="61"/>
    <s v="00"/>
    <s v="025"/>
    <s v="26100-025"/>
    <s v="Synthesizer service item #025"/>
    <s v="UNIQUE"/>
    <n v="84"/>
    <n v="67"/>
    <n v="3600"/>
    <n v="5628"/>
    <n v="241200"/>
  </r>
  <r>
    <x v="1"/>
    <x v="24"/>
    <x v="5"/>
    <n v="2"/>
    <n v="61"/>
    <s v="00"/>
    <s v="026"/>
    <s v="26100-026"/>
    <s v="Synthesizer service item #026"/>
    <s v="UNIQUE"/>
    <n v="0"/>
    <n v="29"/>
    <n v="324"/>
    <n v="0"/>
    <n v="9396"/>
  </r>
  <r>
    <x v="1"/>
    <x v="24"/>
    <x v="5"/>
    <n v="2"/>
    <n v="61"/>
    <s v="00"/>
    <s v="027"/>
    <s v="26100-027"/>
    <s v="Synthesizer service item #027"/>
    <s v="UNIQUE"/>
    <n v="7"/>
    <n v="28"/>
    <n v="1600"/>
    <n v="196"/>
    <n v="44800"/>
  </r>
  <r>
    <x v="1"/>
    <x v="24"/>
    <x v="5"/>
    <n v="2"/>
    <n v="61"/>
    <s v="00"/>
    <s v="028"/>
    <s v="26100-028"/>
    <s v="Synthesizer service item #028"/>
    <s v="UNIQUE"/>
    <n v="1"/>
    <n v="94"/>
    <n v="4096"/>
    <n v="94"/>
    <n v="385024"/>
  </r>
  <r>
    <x v="1"/>
    <x v="24"/>
    <x v="5"/>
    <n v="2"/>
    <n v="61"/>
    <s v="00"/>
    <s v="029"/>
    <s v="26100-029"/>
    <s v="Synthesizer service item #029"/>
    <s v="UNIQUE"/>
    <n v="60"/>
    <n v="3"/>
    <n v="961"/>
    <n v="180"/>
    <n v="2883"/>
  </r>
  <r>
    <x v="1"/>
    <x v="24"/>
    <x v="5"/>
    <n v="2"/>
    <n v="61"/>
    <s v="00"/>
    <s v="030"/>
    <s v="26100-030"/>
    <s v="Synthesizer service item #030"/>
    <s v="UNIQUE"/>
    <n v="66"/>
    <n v="3721"/>
    <n v="45"/>
    <n v="245586"/>
    <n v="167445"/>
  </r>
  <r>
    <x v="1"/>
    <x v="24"/>
    <x v="5"/>
    <n v="2"/>
    <n v="61"/>
    <s v="00"/>
    <s v="031"/>
    <s v="26100-031"/>
    <s v="Synthesizer service item #031"/>
    <s v="UNIQUE"/>
    <n v="0"/>
    <n v="4624"/>
    <n v="95"/>
    <n v="0"/>
    <n v="439280"/>
  </r>
  <r>
    <x v="1"/>
    <x v="24"/>
    <x v="5"/>
    <n v="2"/>
    <n v="61"/>
    <s v="00"/>
    <s v="032"/>
    <s v="26100-032"/>
    <s v="Synthesizer service item #032"/>
    <s v="UNIQUE"/>
    <n v="0"/>
    <n v="78"/>
    <n v="99"/>
    <n v="0"/>
    <n v="7722"/>
  </r>
  <r>
    <x v="1"/>
    <x v="24"/>
    <x v="5"/>
    <n v="2"/>
    <n v="61"/>
    <s v="00"/>
    <s v="033"/>
    <s v="26100-033"/>
    <s v="Synthesizer service item #033"/>
    <s v="UNIQUE"/>
    <n v="0"/>
    <n v="5184"/>
    <n v="400"/>
    <n v="0"/>
    <n v="2073600"/>
  </r>
  <r>
    <x v="1"/>
    <x v="24"/>
    <x v="5"/>
    <n v="2"/>
    <n v="61"/>
    <s v="00"/>
    <s v="034"/>
    <s v="26100-034"/>
    <s v="Synthesizer service item #034"/>
    <s v="UNIQUE"/>
    <n v="0"/>
    <n v="35"/>
    <n v="51"/>
    <n v="0"/>
    <n v="1785"/>
  </r>
  <r>
    <x v="1"/>
    <x v="24"/>
    <x v="5"/>
    <n v="2"/>
    <n v="61"/>
    <s v="00"/>
    <s v="035"/>
    <s v="26100-035"/>
    <s v="Synthesizer service item #035"/>
    <s v="UNIQUE"/>
    <n v="86"/>
    <n v="18"/>
    <n v="94"/>
    <n v="1548"/>
    <n v="1692"/>
  </r>
  <r>
    <x v="1"/>
    <x v="24"/>
    <x v="5"/>
    <n v="2"/>
    <n v="61"/>
    <s v="00"/>
    <s v="036"/>
    <s v="26100-036"/>
    <s v="Synthesizer service item #036"/>
    <s v="UNIQUE"/>
    <n v="0"/>
    <n v="84"/>
    <n v="23"/>
    <n v="0"/>
    <n v="1932"/>
  </r>
  <r>
    <x v="1"/>
    <x v="24"/>
    <x v="5"/>
    <n v="2"/>
    <n v="61"/>
    <s v="00"/>
    <s v="037"/>
    <s v="26100-037"/>
    <s v="Synthesizer service item #037"/>
    <s v="UNIQUE"/>
    <n v="1"/>
    <n v="83"/>
    <n v="64"/>
    <n v="83"/>
    <n v="5312"/>
  </r>
  <r>
    <x v="1"/>
    <x v="24"/>
    <x v="5"/>
    <n v="2"/>
    <n v="61"/>
    <s v="00"/>
    <s v="038"/>
    <s v="26100-038"/>
    <s v="Synthesizer service item #038"/>
    <s v="UNIQUE"/>
    <n v="0"/>
    <n v="38"/>
    <n v="3481"/>
    <n v="0"/>
    <n v="132278"/>
  </r>
  <r>
    <x v="1"/>
    <x v="24"/>
    <x v="5"/>
    <n v="2"/>
    <n v="61"/>
    <s v="00"/>
    <s v="039"/>
    <s v="26100-039"/>
    <s v="Synthesizer service item #039"/>
    <s v="UNIQUE"/>
    <n v="0"/>
    <n v="5625"/>
    <n v="86"/>
    <n v="0"/>
    <n v="483750"/>
  </r>
  <r>
    <x v="2"/>
    <x v="0"/>
    <x v="0"/>
    <n v="3"/>
    <n v="10"/>
    <s v="01"/>
    <s v="000"/>
    <s v="31001-000"/>
    <s v="Grand piano model #01"/>
    <s v="UNIQUE"/>
    <n v="0"/>
    <n v="704969"/>
    <n v="54"/>
    <n v="0"/>
    <n v="38068326"/>
  </r>
  <r>
    <x v="2"/>
    <x v="0"/>
    <x v="0"/>
    <n v="3"/>
    <n v="10"/>
    <s v="02"/>
    <s v="000"/>
    <s v="31002-000"/>
    <s v="Grand piano model #02"/>
    <s v="UNIQUE"/>
    <n v="0"/>
    <n v="2916"/>
    <n v="48"/>
    <n v="0"/>
    <n v="139968"/>
  </r>
  <r>
    <x v="2"/>
    <x v="0"/>
    <x v="0"/>
    <n v="3"/>
    <n v="10"/>
    <s v="03"/>
    <s v="000"/>
    <s v="31003-000"/>
    <s v="Grand piano model #03"/>
    <s v="UNIQUE"/>
    <n v="0"/>
    <n v="1296"/>
    <n v="58"/>
    <n v="0"/>
    <n v="75168"/>
  </r>
  <r>
    <x v="2"/>
    <x v="0"/>
    <x v="0"/>
    <n v="3"/>
    <n v="10"/>
    <s v="04"/>
    <s v="000"/>
    <s v="31004-000"/>
    <s v="Grand piano model #04"/>
    <s v="UNIQUE"/>
    <n v="8"/>
    <n v="3136"/>
    <n v="9"/>
    <n v="25088"/>
    <n v="28224"/>
  </r>
  <r>
    <x v="2"/>
    <x v="0"/>
    <x v="0"/>
    <n v="3"/>
    <n v="10"/>
    <s v="05"/>
    <s v="000"/>
    <s v="31005-000"/>
    <s v="Grand piano model #05"/>
    <s v="UNIQUE"/>
    <n v="73"/>
    <n v="97"/>
    <n v="91"/>
    <n v="7081"/>
    <n v="8827"/>
  </r>
  <r>
    <x v="2"/>
    <x v="0"/>
    <x v="0"/>
    <n v="3"/>
    <n v="10"/>
    <s v="00"/>
    <s v="000"/>
    <s v="31000-000"/>
    <s v="Grand piano retail item #000"/>
    <s v="UNIQUE"/>
    <n v="0"/>
    <n v="324"/>
    <n v="52"/>
    <n v="0"/>
    <n v="16848"/>
  </r>
  <r>
    <x v="2"/>
    <x v="0"/>
    <x v="0"/>
    <n v="3"/>
    <n v="10"/>
    <s v="00"/>
    <s v="001"/>
    <s v="31000-001"/>
    <s v="Grand piano retail item #001"/>
    <s v="UNIQUE"/>
    <n v="57"/>
    <n v="4356"/>
    <n v="45"/>
    <n v="248292"/>
    <n v="196020"/>
  </r>
  <r>
    <x v="2"/>
    <x v="0"/>
    <x v="0"/>
    <n v="3"/>
    <n v="10"/>
    <s v="00"/>
    <s v="002"/>
    <s v="31000-002"/>
    <s v="Grand piano retail item #002"/>
    <s v="UNIQUE"/>
    <n v="0"/>
    <n v="2"/>
    <n v="46"/>
    <n v="0"/>
    <n v="92"/>
  </r>
  <r>
    <x v="2"/>
    <x v="0"/>
    <x v="0"/>
    <n v="3"/>
    <n v="10"/>
    <s v="00"/>
    <s v="003"/>
    <s v="31000-003"/>
    <s v="Grand piano retail item #003"/>
    <s v="UNIQUE"/>
    <n v="0"/>
    <n v="1728"/>
    <n v="86"/>
    <n v="0"/>
    <n v="148608"/>
  </r>
  <r>
    <x v="2"/>
    <x v="0"/>
    <x v="0"/>
    <n v="3"/>
    <n v="10"/>
    <s v="00"/>
    <s v="004"/>
    <s v="31000-004"/>
    <s v="Grand piano retail item #004"/>
    <s v="UNIQUE"/>
    <n v="0"/>
    <n v="1156"/>
    <n v="6"/>
    <n v="0"/>
    <n v="6936"/>
  </r>
  <r>
    <x v="2"/>
    <x v="0"/>
    <x v="0"/>
    <n v="3"/>
    <n v="10"/>
    <s v="00"/>
    <s v="005"/>
    <s v="31000-005"/>
    <s v="Grand piano retail item #005"/>
    <s v="UNIQUE"/>
    <n v="0"/>
    <n v="614125"/>
    <n v="15"/>
    <n v="0"/>
    <n v="9211875"/>
  </r>
  <r>
    <x v="2"/>
    <x v="0"/>
    <x v="0"/>
    <n v="3"/>
    <n v="10"/>
    <s v="00"/>
    <s v="006"/>
    <s v="31000-006"/>
    <s v="Grand piano retail item #006"/>
    <s v="UNIQUE"/>
    <n v="0"/>
    <n v="56"/>
    <n v="6"/>
    <n v="0"/>
    <n v="336"/>
  </r>
  <r>
    <x v="2"/>
    <x v="0"/>
    <x v="0"/>
    <n v="3"/>
    <n v="10"/>
    <s v="00"/>
    <s v="007"/>
    <s v="31000-007"/>
    <s v="Grand piano retail item #007"/>
    <s v="UNIQUE"/>
    <n v="3"/>
    <n v="9409"/>
    <n v="11"/>
    <n v="28227"/>
    <n v="103499"/>
  </r>
  <r>
    <x v="2"/>
    <x v="0"/>
    <x v="0"/>
    <n v="3"/>
    <n v="10"/>
    <s v="00"/>
    <s v="008"/>
    <s v="31000-008"/>
    <s v="Grand piano retail item #008"/>
    <s v="UNIQUE"/>
    <n v="76"/>
    <n v="729"/>
    <n v="70"/>
    <n v="55404"/>
    <n v="51030"/>
  </r>
  <r>
    <x v="2"/>
    <x v="0"/>
    <x v="0"/>
    <n v="3"/>
    <n v="10"/>
    <s v="00"/>
    <s v="009"/>
    <s v="31000-009"/>
    <s v="Grand piano retail item #009"/>
    <s v="UNIQUE"/>
    <n v="0"/>
    <n v="95"/>
    <n v="10"/>
    <n v="0"/>
    <n v="950"/>
  </r>
  <r>
    <x v="2"/>
    <x v="1"/>
    <x v="0"/>
    <n v="3"/>
    <n v="11"/>
    <s v="01"/>
    <s v="000"/>
    <s v="31101-000"/>
    <s v="Upright piano model #01"/>
    <s v="UNIQUE"/>
    <n v="0"/>
    <n v="216"/>
    <n v="18"/>
    <n v="0"/>
    <n v="3888"/>
  </r>
  <r>
    <x v="2"/>
    <x v="1"/>
    <x v="0"/>
    <n v="3"/>
    <n v="11"/>
    <s v="02"/>
    <s v="000"/>
    <s v="31102-000"/>
    <s v="Upright piano model #02"/>
    <s v="UNIQUE"/>
    <n v="93"/>
    <n v="169"/>
    <n v="14"/>
    <n v="15717"/>
    <n v="2366"/>
  </r>
  <r>
    <x v="2"/>
    <x v="1"/>
    <x v="0"/>
    <n v="3"/>
    <n v="11"/>
    <s v="03"/>
    <s v="000"/>
    <s v="31103-000"/>
    <s v="Upright piano model #03"/>
    <s v="UNIQUE"/>
    <n v="0"/>
    <n v="5476"/>
    <n v="64"/>
    <n v="0"/>
    <n v="350464"/>
  </r>
  <r>
    <x v="2"/>
    <x v="1"/>
    <x v="0"/>
    <n v="3"/>
    <n v="11"/>
    <s v="04"/>
    <s v="000"/>
    <s v="31104-000"/>
    <s v="Upright piano model #04"/>
    <s v="UNIQUE"/>
    <n v="0"/>
    <n v="10"/>
    <n v="33"/>
    <n v="0"/>
    <n v="330"/>
  </r>
  <r>
    <x v="2"/>
    <x v="1"/>
    <x v="0"/>
    <n v="3"/>
    <n v="11"/>
    <s v="05"/>
    <s v="000"/>
    <s v="31105-000"/>
    <s v="Upright piano model #05"/>
    <s v="UNIQUE"/>
    <n v="43"/>
    <n v="1296"/>
    <n v="82"/>
    <n v="55728"/>
    <n v="106272"/>
  </r>
  <r>
    <x v="2"/>
    <x v="1"/>
    <x v="0"/>
    <n v="3"/>
    <n v="11"/>
    <s v="00"/>
    <s v="000"/>
    <s v="31100-000"/>
    <s v="Upright piano retail item #000"/>
    <s v="UNIQUE"/>
    <n v="0"/>
    <n v="72"/>
    <n v="90"/>
    <n v="0"/>
    <n v="6480"/>
  </r>
  <r>
    <x v="2"/>
    <x v="1"/>
    <x v="0"/>
    <n v="3"/>
    <n v="11"/>
    <s v="00"/>
    <s v="001"/>
    <s v="31100-001"/>
    <s v="Upright piano retail item #001"/>
    <s v="UNIQUE"/>
    <n v="76"/>
    <n v="1600"/>
    <n v="38"/>
    <n v="121600"/>
    <n v="60800"/>
  </r>
  <r>
    <x v="2"/>
    <x v="1"/>
    <x v="0"/>
    <n v="3"/>
    <n v="11"/>
    <s v="00"/>
    <s v="002"/>
    <s v="31100-002"/>
    <s v="Upright piano retail item #002"/>
    <s v="UNIQUE"/>
    <n v="71"/>
    <n v="78"/>
    <n v="53"/>
    <n v="5538"/>
    <n v="4134"/>
  </r>
  <r>
    <x v="2"/>
    <x v="1"/>
    <x v="0"/>
    <n v="3"/>
    <n v="11"/>
    <s v="00"/>
    <s v="003"/>
    <s v="31100-003"/>
    <s v="Upright piano retail item #003"/>
    <s v="UNIQUE"/>
    <n v="61"/>
    <n v="841"/>
    <n v="77"/>
    <n v="51301"/>
    <n v="64757"/>
  </r>
  <r>
    <x v="2"/>
    <x v="1"/>
    <x v="0"/>
    <n v="3"/>
    <n v="11"/>
    <s v="00"/>
    <s v="004"/>
    <s v="31100-004"/>
    <s v="Upright piano retail item #004"/>
    <s v="UNIQUE"/>
    <n v="0"/>
    <n v="19"/>
    <n v="66"/>
    <n v="0"/>
    <n v="1254"/>
  </r>
  <r>
    <x v="2"/>
    <x v="1"/>
    <x v="0"/>
    <n v="3"/>
    <n v="11"/>
    <s v="00"/>
    <s v="005"/>
    <s v="31100-005"/>
    <s v="Upright piano retail item #005"/>
    <s v="UNIQUE"/>
    <n v="0"/>
    <n v="1"/>
    <n v="98"/>
    <n v="0"/>
    <n v="98"/>
  </r>
  <r>
    <x v="2"/>
    <x v="1"/>
    <x v="0"/>
    <n v="3"/>
    <n v="11"/>
    <s v="00"/>
    <s v="006"/>
    <s v="31100-006"/>
    <s v="Upright piano retail item #006"/>
    <s v="UNIQUE"/>
    <n v="26"/>
    <n v="76"/>
    <n v="94"/>
    <n v="1976"/>
    <n v="7144"/>
  </r>
  <r>
    <x v="2"/>
    <x v="1"/>
    <x v="0"/>
    <n v="3"/>
    <n v="11"/>
    <s v="00"/>
    <s v="007"/>
    <s v="31100-007"/>
    <s v="Upright piano retail item #007"/>
    <s v="UNIQUE"/>
    <n v="0"/>
    <n v="15"/>
    <n v="47"/>
    <n v="0"/>
    <n v="705"/>
  </r>
  <r>
    <x v="2"/>
    <x v="1"/>
    <x v="0"/>
    <n v="3"/>
    <n v="11"/>
    <s v="00"/>
    <s v="008"/>
    <s v="31100-008"/>
    <s v="Upright piano retail item #008"/>
    <s v="UNIQUE"/>
    <n v="57"/>
    <n v="52"/>
    <n v="39"/>
    <n v="2964"/>
    <n v="2028"/>
  </r>
  <r>
    <x v="2"/>
    <x v="1"/>
    <x v="0"/>
    <n v="3"/>
    <n v="11"/>
    <s v="00"/>
    <s v="009"/>
    <s v="31100-009"/>
    <s v="Upright piano retail item #009"/>
    <s v="UNIQUE"/>
    <n v="0"/>
    <n v="121"/>
    <n v="95"/>
    <n v="0"/>
    <n v="11495"/>
  </r>
  <r>
    <x v="2"/>
    <x v="2"/>
    <x v="0"/>
    <n v="3"/>
    <n v="12"/>
    <s v="01"/>
    <s v="000"/>
    <s v="31201-000"/>
    <s v="Electric keyboard model #01"/>
    <s v="UNIQUE"/>
    <n v="0"/>
    <n v="9"/>
    <n v="55"/>
    <n v="0"/>
    <n v="495"/>
  </r>
  <r>
    <x v="2"/>
    <x v="2"/>
    <x v="0"/>
    <n v="3"/>
    <n v="12"/>
    <s v="02"/>
    <s v="000"/>
    <s v="31202-000"/>
    <s v="Electric keyboard model #02"/>
    <s v="UNIQUE"/>
    <n v="0"/>
    <n v="81"/>
    <n v="59"/>
    <n v="0"/>
    <n v="4779"/>
  </r>
  <r>
    <x v="2"/>
    <x v="2"/>
    <x v="0"/>
    <n v="3"/>
    <n v="12"/>
    <s v="03"/>
    <s v="000"/>
    <s v="31203-000"/>
    <s v="Electric keyboard model #03"/>
    <s v="UNIQUE"/>
    <n v="0"/>
    <n v="53"/>
    <n v="4"/>
    <n v="0"/>
    <n v="212"/>
  </r>
  <r>
    <x v="2"/>
    <x v="2"/>
    <x v="0"/>
    <n v="3"/>
    <n v="12"/>
    <s v="04"/>
    <s v="000"/>
    <s v="31204-000"/>
    <s v="Electric keyboard model #04"/>
    <s v="UNIQUE"/>
    <n v="35"/>
    <n v="400"/>
    <n v="3"/>
    <n v="14000"/>
    <n v="1200"/>
  </r>
  <r>
    <x v="2"/>
    <x v="2"/>
    <x v="0"/>
    <n v="3"/>
    <n v="12"/>
    <s v="05"/>
    <s v="000"/>
    <s v="31205-000"/>
    <s v="Electric keyboard model #05"/>
    <s v="UNIQUE"/>
    <n v="35"/>
    <n v="571787"/>
    <n v="33"/>
    <n v="20012545"/>
    <n v="18868971"/>
  </r>
  <r>
    <x v="2"/>
    <x v="2"/>
    <x v="0"/>
    <n v="3"/>
    <n v="12"/>
    <s v="00"/>
    <s v="000"/>
    <s v="31200-000"/>
    <s v="Electric keyboard retail item #000"/>
    <s v="UNIQUE"/>
    <n v="2"/>
    <n v="55"/>
    <n v="100"/>
    <n v="110"/>
    <n v="5500"/>
  </r>
  <r>
    <x v="2"/>
    <x v="2"/>
    <x v="0"/>
    <n v="3"/>
    <n v="12"/>
    <s v="00"/>
    <s v="001"/>
    <s v="31200-001"/>
    <s v="Electric keyboard retail item #001"/>
    <s v="UNIQUE"/>
    <n v="0"/>
    <n v="2197"/>
    <n v="53"/>
    <n v="0"/>
    <n v="116441"/>
  </r>
  <r>
    <x v="2"/>
    <x v="2"/>
    <x v="0"/>
    <n v="3"/>
    <n v="12"/>
    <s v="00"/>
    <s v="002"/>
    <s v="31200-002"/>
    <s v="Electric keyboard retail item #002"/>
    <s v="UNIQUE"/>
    <n v="0"/>
    <n v="97336"/>
    <n v="43"/>
    <n v="0"/>
    <n v="4185448"/>
  </r>
  <r>
    <x v="2"/>
    <x v="2"/>
    <x v="0"/>
    <n v="3"/>
    <n v="12"/>
    <s v="00"/>
    <s v="003"/>
    <s v="31200-003"/>
    <s v="Electric keyboard retail item #003"/>
    <s v="UNIQUE"/>
    <n v="0"/>
    <n v="103823"/>
    <n v="37"/>
    <n v="0"/>
    <n v="3841451"/>
  </r>
  <r>
    <x v="2"/>
    <x v="2"/>
    <x v="0"/>
    <n v="3"/>
    <n v="12"/>
    <s v="00"/>
    <s v="004"/>
    <s v="31200-004"/>
    <s v="Electric keyboard retail item #004"/>
    <s v="UNIQUE"/>
    <n v="3"/>
    <n v="314432"/>
    <n v="30"/>
    <n v="943296"/>
    <n v="9432960"/>
  </r>
  <r>
    <x v="2"/>
    <x v="2"/>
    <x v="0"/>
    <n v="3"/>
    <n v="12"/>
    <s v="00"/>
    <s v="005"/>
    <s v="31200-005"/>
    <s v="Electric keyboard retail item #005"/>
    <s v="UNIQUE"/>
    <n v="0"/>
    <n v="71"/>
    <n v="97"/>
    <n v="0"/>
    <n v="6887"/>
  </r>
  <r>
    <x v="2"/>
    <x v="2"/>
    <x v="0"/>
    <n v="3"/>
    <n v="12"/>
    <s v="00"/>
    <s v="006"/>
    <s v="31200-006"/>
    <s v="Electric keyboard retail item #006"/>
    <s v="UNIQUE"/>
    <n v="7"/>
    <n v="961"/>
    <n v="39"/>
    <n v="6727"/>
    <n v="37479"/>
  </r>
  <r>
    <x v="2"/>
    <x v="2"/>
    <x v="0"/>
    <n v="3"/>
    <n v="12"/>
    <s v="00"/>
    <s v="007"/>
    <s v="31200-007"/>
    <s v="Electric keyboard retail item #007"/>
    <s v="UNIQUE"/>
    <n v="0"/>
    <n v="38"/>
    <n v="1"/>
    <n v="0"/>
    <n v="38"/>
  </r>
  <r>
    <x v="2"/>
    <x v="2"/>
    <x v="0"/>
    <n v="3"/>
    <n v="12"/>
    <s v="00"/>
    <s v="008"/>
    <s v="31200-008"/>
    <s v="Electric keyboard retail item #008"/>
    <s v="UNIQUE"/>
    <n v="0"/>
    <n v="636056"/>
    <n v="15"/>
    <n v="0"/>
    <n v="9540840"/>
  </r>
  <r>
    <x v="2"/>
    <x v="2"/>
    <x v="0"/>
    <n v="3"/>
    <n v="12"/>
    <s v="00"/>
    <s v="009"/>
    <s v="31200-009"/>
    <s v="Electric keyboard retail item #009"/>
    <s v="UNIQUE"/>
    <n v="5"/>
    <n v="6724"/>
    <n v="38"/>
    <n v="33620"/>
    <n v="255512"/>
  </r>
  <r>
    <x v="2"/>
    <x v="3"/>
    <x v="1"/>
    <n v="3"/>
    <n v="20"/>
    <s v="01"/>
    <s v="000"/>
    <s v="32001-000"/>
    <s v="Violin model #01"/>
    <s v="UNIQUE"/>
    <n v="6"/>
    <n v="4"/>
    <n v="62"/>
    <n v="24"/>
    <n v="248"/>
  </r>
  <r>
    <x v="2"/>
    <x v="3"/>
    <x v="1"/>
    <n v="3"/>
    <n v="20"/>
    <s v="02"/>
    <s v="000"/>
    <s v="32002-000"/>
    <s v="Violin model #02"/>
    <s v="UNIQUE"/>
    <n v="0"/>
    <n v="7"/>
    <n v="64"/>
    <n v="0"/>
    <n v="448"/>
  </r>
  <r>
    <x v="2"/>
    <x v="3"/>
    <x v="1"/>
    <n v="3"/>
    <n v="20"/>
    <s v="03"/>
    <s v="000"/>
    <s v="32003-000"/>
    <s v="Violin model #03"/>
    <s v="UNIQUE"/>
    <n v="0"/>
    <n v="96"/>
    <n v="1"/>
    <n v="0"/>
    <n v="96"/>
  </r>
  <r>
    <x v="2"/>
    <x v="3"/>
    <x v="1"/>
    <n v="3"/>
    <n v="20"/>
    <s v="04"/>
    <s v="000"/>
    <s v="32004-000"/>
    <s v="Violin model #04"/>
    <s v="UNIQUE"/>
    <n v="6"/>
    <n v="625"/>
    <n v="87"/>
    <n v="3750"/>
    <n v="54375"/>
  </r>
  <r>
    <x v="2"/>
    <x v="3"/>
    <x v="1"/>
    <n v="3"/>
    <n v="20"/>
    <s v="05"/>
    <s v="000"/>
    <s v="32005-000"/>
    <s v="Violin model #05"/>
    <s v="UNIQUE"/>
    <n v="0"/>
    <n v="65"/>
    <n v="90"/>
    <n v="0"/>
    <n v="5850"/>
  </r>
  <r>
    <x v="2"/>
    <x v="3"/>
    <x v="1"/>
    <n v="3"/>
    <n v="20"/>
    <s v="00"/>
    <s v="000"/>
    <s v="32000-000"/>
    <s v="Violin retail item #000"/>
    <s v="UNIQUE"/>
    <n v="0"/>
    <n v="441"/>
    <n v="62"/>
    <n v="0"/>
    <n v="27342"/>
  </r>
  <r>
    <x v="2"/>
    <x v="3"/>
    <x v="1"/>
    <n v="3"/>
    <n v="20"/>
    <s v="00"/>
    <s v="001"/>
    <s v="32000-001"/>
    <s v="Violin retail item #001"/>
    <s v="UNIQUE"/>
    <n v="0"/>
    <n v="6400"/>
    <n v="11"/>
    <n v="0"/>
    <n v="70400"/>
  </r>
  <r>
    <x v="2"/>
    <x v="3"/>
    <x v="1"/>
    <n v="3"/>
    <n v="20"/>
    <s v="00"/>
    <s v="002"/>
    <s v="32000-002"/>
    <s v="Violin retail item #002"/>
    <s v="UNIQUE"/>
    <n v="30"/>
    <n v="9409"/>
    <n v="17"/>
    <n v="282270"/>
    <n v="159953"/>
  </r>
  <r>
    <x v="2"/>
    <x v="3"/>
    <x v="1"/>
    <n v="3"/>
    <n v="20"/>
    <s v="00"/>
    <s v="003"/>
    <s v="32000-003"/>
    <s v="Violin retail item #003"/>
    <s v="UNIQUE"/>
    <n v="0"/>
    <n v="68"/>
    <n v="40"/>
    <n v="0"/>
    <n v="2720"/>
  </r>
  <r>
    <x v="2"/>
    <x v="3"/>
    <x v="1"/>
    <n v="3"/>
    <n v="20"/>
    <s v="00"/>
    <s v="004"/>
    <s v="32000-004"/>
    <s v="Violin retail item #004"/>
    <s v="UNIQUE"/>
    <n v="0"/>
    <n v="68"/>
    <n v="21"/>
    <n v="0"/>
    <n v="1428"/>
  </r>
  <r>
    <x v="2"/>
    <x v="4"/>
    <x v="1"/>
    <n v="3"/>
    <n v="21"/>
    <s v="01"/>
    <s v="000"/>
    <s v="32101-000"/>
    <s v="Viola model #01"/>
    <s v="UNIQUE"/>
    <n v="0"/>
    <n v="63"/>
    <n v="18"/>
    <n v="0"/>
    <n v="1134"/>
  </r>
  <r>
    <x v="2"/>
    <x v="4"/>
    <x v="1"/>
    <n v="3"/>
    <n v="21"/>
    <s v="02"/>
    <s v="000"/>
    <s v="32102-000"/>
    <s v="Viola model #02"/>
    <s v="UNIQUE"/>
    <n v="0"/>
    <n v="69"/>
    <n v="35"/>
    <n v="0"/>
    <n v="2415"/>
  </r>
  <r>
    <x v="2"/>
    <x v="4"/>
    <x v="1"/>
    <n v="3"/>
    <n v="21"/>
    <s v="03"/>
    <s v="000"/>
    <s v="32103-000"/>
    <s v="Viola model #03"/>
    <s v="UNIQUE"/>
    <n v="81"/>
    <n v="63"/>
    <n v="69"/>
    <n v="5103"/>
    <n v="4347"/>
  </r>
  <r>
    <x v="2"/>
    <x v="4"/>
    <x v="1"/>
    <n v="3"/>
    <n v="21"/>
    <s v="04"/>
    <s v="000"/>
    <s v="32104-000"/>
    <s v="Viola model #04"/>
    <s v="UNIQUE"/>
    <n v="0"/>
    <n v="3969"/>
    <n v="51"/>
    <n v="0"/>
    <n v="202419"/>
  </r>
  <r>
    <x v="2"/>
    <x v="4"/>
    <x v="1"/>
    <n v="3"/>
    <n v="21"/>
    <s v="05"/>
    <s v="000"/>
    <s v="32105-000"/>
    <s v="Viola model #05"/>
    <s v="UNIQUE"/>
    <n v="0"/>
    <n v="72"/>
    <n v="74"/>
    <n v="0"/>
    <n v="5328"/>
  </r>
  <r>
    <x v="2"/>
    <x v="4"/>
    <x v="1"/>
    <n v="3"/>
    <n v="21"/>
    <s v="00"/>
    <s v="000"/>
    <s v="32100-000"/>
    <s v="Viola retail item #000"/>
    <s v="UNIQUE"/>
    <n v="91"/>
    <n v="3136"/>
    <n v="58"/>
    <n v="285376"/>
    <n v="181888"/>
  </r>
  <r>
    <x v="2"/>
    <x v="4"/>
    <x v="1"/>
    <n v="3"/>
    <n v="21"/>
    <s v="00"/>
    <s v="001"/>
    <s v="32100-001"/>
    <s v="Viola retail item #001"/>
    <s v="UNIQUE"/>
    <n v="0"/>
    <n v="8464"/>
    <n v="8"/>
    <n v="0"/>
    <n v="67712"/>
  </r>
  <r>
    <x v="2"/>
    <x v="4"/>
    <x v="1"/>
    <n v="3"/>
    <n v="21"/>
    <s v="00"/>
    <s v="002"/>
    <s v="32100-002"/>
    <s v="Viola retail item #002"/>
    <s v="UNIQUE"/>
    <n v="30"/>
    <n v="28"/>
    <n v="16"/>
    <n v="840"/>
    <n v="448"/>
  </r>
  <r>
    <x v="2"/>
    <x v="4"/>
    <x v="1"/>
    <n v="3"/>
    <n v="21"/>
    <s v="00"/>
    <s v="003"/>
    <s v="32100-003"/>
    <s v="Viola retail item #003"/>
    <s v="UNIQUE"/>
    <n v="0"/>
    <n v="300763"/>
    <n v="10"/>
    <n v="0"/>
    <n v="3007630"/>
  </r>
  <r>
    <x v="2"/>
    <x v="4"/>
    <x v="1"/>
    <n v="3"/>
    <n v="21"/>
    <s v="00"/>
    <s v="004"/>
    <s v="32100-004"/>
    <s v="Viola retail item #004"/>
    <s v="UNIQUE"/>
    <n v="1"/>
    <n v="2116"/>
    <n v="81"/>
    <n v="2116"/>
    <n v="171396"/>
  </r>
  <r>
    <x v="2"/>
    <x v="5"/>
    <x v="1"/>
    <n v="3"/>
    <n v="22"/>
    <s v="01"/>
    <s v="000"/>
    <s v="32201-000"/>
    <s v="Cello model #01"/>
    <s v="UNIQUE"/>
    <n v="0"/>
    <n v="2401"/>
    <n v="4"/>
    <n v="0"/>
    <n v="9604"/>
  </r>
  <r>
    <x v="2"/>
    <x v="5"/>
    <x v="1"/>
    <n v="3"/>
    <n v="22"/>
    <s v="02"/>
    <s v="000"/>
    <s v="32202-000"/>
    <s v="Cello model #02"/>
    <s v="UNIQUE"/>
    <n v="0"/>
    <n v="92"/>
    <n v="43"/>
    <n v="0"/>
    <n v="3956"/>
  </r>
  <r>
    <x v="2"/>
    <x v="5"/>
    <x v="1"/>
    <n v="3"/>
    <n v="22"/>
    <s v="03"/>
    <s v="000"/>
    <s v="32203-000"/>
    <s v="Cello model #03"/>
    <s v="UNIQUE"/>
    <n v="0"/>
    <n v="804357"/>
    <n v="9"/>
    <n v="0"/>
    <n v="7239213"/>
  </r>
  <r>
    <x v="2"/>
    <x v="5"/>
    <x v="1"/>
    <n v="3"/>
    <n v="22"/>
    <s v="04"/>
    <s v="000"/>
    <s v="32204-000"/>
    <s v="Cello model #04"/>
    <s v="UNIQUE"/>
    <n v="0"/>
    <n v="125"/>
    <n v="23"/>
    <n v="0"/>
    <n v="2875"/>
  </r>
  <r>
    <x v="2"/>
    <x v="5"/>
    <x v="1"/>
    <n v="3"/>
    <n v="22"/>
    <s v="05"/>
    <s v="000"/>
    <s v="32205-000"/>
    <s v="Cello model #05"/>
    <s v="UNIQUE"/>
    <n v="68"/>
    <n v="4356"/>
    <n v="91"/>
    <n v="296208"/>
    <n v="396396"/>
  </r>
  <r>
    <x v="2"/>
    <x v="5"/>
    <x v="1"/>
    <n v="3"/>
    <n v="22"/>
    <s v="00"/>
    <s v="000"/>
    <s v="32200-000"/>
    <s v="Cello retail item #000"/>
    <s v="UNIQUE"/>
    <n v="0"/>
    <n v="474552"/>
    <n v="10"/>
    <n v="0"/>
    <n v="4745520"/>
  </r>
  <r>
    <x v="2"/>
    <x v="5"/>
    <x v="1"/>
    <n v="3"/>
    <n v="22"/>
    <s v="00"/>
    <s v="001"/>
    <s v="32200-001"/>
    <s v="Cello retail item #001"/>
    <s v="UNIQUE"/>
    <n v="80"/>
    <n v="1936"/>
    <n v="86"/>
    <n v="154880"/>
    <n v="166496"/>
  </r>
  <r>
    <x v="2"/>
    <x v="5"/>
    <x v="1"/>
    <n v="3"/>
    <n v="22"/>
    <s v="00"/>
    <s v="002"/>
    <s v="32200-002"/>
    <s v="Cello retail item #002"/>
    <s v="UNIQUE"/>
    <n v="0"/>
    <n v="1444"/>
    <n v="45"/>
    <n v="0"/>
    <n v="64980"/>
  </r>
  <r>
    <x v="2"/>
    <x v="5"/>
    <x v="1"/>
    <n v="3"/>
    <n v="22"/>
    <s v="00"/>
    <s v="003"/>
    <s v="32200-003"/>
    <s v="Cello retail item #003"/>
    <s v="UNIQUE"/>
    <n v="51"/>
    <n v="32"/>
    <n v="14"/>
    <n v="1632"/>
    <n v="448"/>
  </r>
  <r>
    <x v="2"/>
    <x v="5"/>
    <x v="1"/>
    <n v="3"/>
    <n v="22"/>
    <s v="00"/>
    <s v="004"/>
    <s v="32200-004"/>
    <s v="Cello retail item #004"/>
    <s v="UNIQUE"/>
    <n v="0"/>
    <n v="389017"/>
    <n v="37"/>
    <n v="0"/>
    <n v="14393629"/>
  </r>
  <r>
    <x v="2"/>
    <x v="6"/>
    <x v="1"/>
    <n v="3"/>
    <n v="23"/>
    <s v="01"/>
    <s v="000"/>
    <s v="32301-000"/>
    <s v="Bass model #01"/>
    <s v="UNIQUE"/>
    <n v="0"/>
    <n v="841"/>
    <n v="19"/>
    <n v="0"/>
    <n v="15979"/>
  </r>
  <r>
    <x v="2"/>
    <x v="6"/>
    <x v="1"/>
    <n v="3"/>
    <n v="23"/>
    <s v="02"/>
    <s v="000"/>
    <s v="32302-000"/>
    <s v="Bass model #02"/>
    <s v="UNIQUE"/>
    <n v="0"/>
    <n v="5832"/>
    <n v="41"/>
    <n v="0"/>
    <n v="239112"/>
  </r>
  <r>
    <x v="2"/>
    <x v="6"/>
    <x v="1"/>
    <n v="3"/>
    <n v="23"/>
    <s v="03"/>
    <s v="000"/>
    <s v="32303-000"/>
    <s v="Bass model #03"/>
    <s v="UNIQUE"/>
    <n v="31"/>
    <n v="81"/>
    <n v="6"/>
    <n v="2511"/>
    <n v="486"/>
  </r>
  <r>
    <x v="2"/>
    <x v="6"/>
    <x v="1"/>
    <n v="3"/>
    <n v="23"/>
    <s v="04"/>
    <s v="000"/>
    <s v="32304-000"/>
    <s v="Bass model #04"/>
    <s v="UNIQUE"/>
    <n v="0"/>
    <n v="103823"/>
    <n v="63"/>
    <n v="0"/>
    <n v="6540849"/>
  </r>
  <r>
    <x v="2"/>
    <x v="6"/>
    <x v="1"/>
    <n v="3"/>
    <n v="23"/>
    <s v="05"/>
    <s v="000"/>
    <s v="32305-000"/>
    <s v="Bass model #05"/>
    <s v="UNIQUE"/>
    <n v="0"/>
    <n v="71"/>
    <n v="32"/>
    <n v="0"/>
    <n v="2272"/>
  </r>
  <r>
    <x v="2"/>
    <x v="6"/>
    <x v="1"/>
    <n v="3"/>
    <n v="23"/>
    <s v="00"/>
    <s v="000"/>
    <s v="32300-000"/>
    <s v="Bass retail item #000"/>
    <s v="UNIQUE"/>
    <n v="0"/>
    <n v="658503"/>
    <n v="47"/>
    <n v="0"/>
    <n v="30949641"/>
  </r>
  <r>
    <x v="2"/>
    <x v="6"/>
    <x v="1"/>
    <n v="3"/>
    <n v="23"/>
    <s v="00"/>
    <s v="001"/>
    <s v="32300-001"/>
    <s v="Bass retail item #001"/>
    <s v="UNIQUE"/>
    <n v="0"/>
    <n v="34"/>
    <n v="48"/>
    <n v="0"/>
    <n v="1632"/>
  </r>
  <r>
    <x v="2"/>
    <x v="6"/>
    <x v="1"/>
    <n v="3"/>
    <n v="23"/>
    <s v="00"/>
    <s v="002"/>
    <s v="32300-002"/>
    <s v="Bass retail item #002"/>
    <s v="UNIQUE"/>
    <n v="0"/>
    <n v="3136"/>
    <n v="96"/>
    <n v="0"/>
    <n v="301056"/>
  </r>
  <r>
    <x v="2"/>
    <x v="6"/>
    <x v="1"/>
    <n v="3"/>
    <n v="23"/>
    <s v="00"/>
    <s v="003"/>
    <s v="32300-003"/>
    <s v="Bass retail item #003"/>
    <s v="UNIQUE"/>
    <n v="0"/>
    <n v="4096"/>
    <n v="21"/>
    <n v="0"/>
    <n v="86016"/>
  </r>
  <r>
    <x v="2"/>
    <x v="6"/>
    <x v="1"/>
    <n v="3"/>
    <n v="23"/>
    <s v="00"/>
    <s v="004"/>
    <s v="32300-004"/>
    <s v="Bass retail item #004"/>
    <s v="UNIQUE"/>
    <n v="31"/>
    <n v="54872"/>
    <n v="61"/>
    <n v="1701032"/>
    <n v="3347192"/>
  </r>
  <r>
    <x v="2"/>
    <x v="7"/>
    <x v="1"/>
    <n v="3"/>
    <n v="24"/>
    <s v="01"/>
    <s v="000"/>
    <s v="32401-000"/>
    <s v="Acoustic guitar model #01"/>
    <s v="UNIQUE"/>
    <n v="0"/>
    <n v="625"/>
    <n v="74"/>
    <n v="0"/>
    <n v="46250"/>
  </r>
  <r>
    <x v="2"/>
    <x v="7"/>
    <x v="1"/>
    <n v="3"/>
    <n v="24"/>
    <s v="02"/>
    <s v="000"/>
    <s v="32402-000"/>
    <s v="Acoustic guitar model #02"/>
    <s v="UNIQUE"/>
    <n v="1"/>
    <n v="96"/>
    <n v="81"/>
    <n v="96"/>
    <n v="7776"/>
  </r>
  <r>
    <x v="2"/>
    <x v="7"/>
    <x v="1"/>
    <n v="3"/>
    <n v="24"/>
    <s v="03"/>
    <s v="000"/>
    <s v="32403-000"/>
    <s v="Acoustic guitar model #03"/>
    <s v="UNIQUE"/>
    <n v="5"/>
    <n v="85"/>
    <n v="51"/>
    <n v="425"/>
    <n v="4335"/>
  </r>
  <r>
    <x v="2"/>
    <x v="7"/>
    <x v="1"/>
    <n v="3"/>
    <n v="24"/>
    <s v="04"/>
    <s v="000"/>
    <s v="32404-000"/>
    <s v="Acoustic guitar model #04"/>
    <s v="UNIQUE"/>
    <n v="0"/>
    <n v="72"/>
    <n v="50"/>
    <n v="0"/>
    <n v="3600"/>
  </r>
  <r>
    <x v="2"/>
    <x v="7"/>
    <x v="1"/>
    <n v="3"/>
    <n v="24"/>
    <s v="05"/>
    <s v="000"/>
    <s v="32405-000"/>
    <s v="Acoustic guitar model #05"/>
    <s v="UNIQUE"/>
    <n v="1"/>
    <n v="70"/>
    <n v="15"/>
    <n v="70"/>
    <n v="1050"/>
  </r>
  <r>
    <x v="2"/>
    <x v="7"/>
    <x v="1"/>
    <n v="3"/>
    <n v="24"/>
    <s v="06"/>
    <s v="000"/>
    <s v="32406-000"/>
    <s v="Acoustic guitar model #06"/>
    <s v="UNIQUE"/>
    <n v="0"/>
    <n v="36"/>
    <n v="34"/>
    <n v="0"/>
    <n v="1224"/>
  </r>
  <r>
    <x v="2"/>
    <x v="7"/>
    <x v="1"/>
    <n v="3"/>
    <n v="24"/>
    <s v="07"/>
    <s v="000"/>
    <s v="32407-000"/>
    <s v="Acoustic guitar model #07"/>
    <s v="UNIQUE"/>
    <n v="0"/>
    <n v="64"/>
    <n v="42"/>
    <n v="0"/>
    <n v="2688"/>
  </r>
  <r>
    <x v="2"/>
    <x v="7"/>
    <x v="1"/>
    <n v="3"/>
    <n v="24"/>
    <s v="08"/>
    <s v="000"/>
    <s v="32408-000"/>
    <s v="Acoustic guitar model #08"/>
    <s v="UNIQUE"/>
    <n v="0"/>
    <n v="571787"/>
    <n v="41"/>
    <n v="0"/>
    <n v="23443267"/>
  </r>
  <r>
    <x v="2"/>
    <x v="7"/>
    <x v="1"/>
    <n v="3"/>
    <n v="24"/>
    <s v="09"/>
    <s v="000"/>
    <s v="32409-000"/>
    <s v="Acoustic guitar model #09"/>
    <s v="UNIQUE"/>
    <n v="4"/>
    <n v="1369"/>
    <n v="79"/>
    <n v="5476"/>
    <n v="108151"/>
  </r>
  <r>
    <x v="2"/>
    <x v="7"/>
    <x v="1"/>
    <n v="3"/>
    <n v="24"/>
    <s v="10"/>
    <s v="000"/>
    <s v="32410-000"/>
    <s v="Acoustic guitar model #10"/>
    <s v="UNIQUE"/>
    <n v="0"/>
    <n v="804357"/>
    <n v="6"/>
    <n v="0"/>
    <n v="4826142"/>
  </r>
  <r>
    <x v="2"/>
    <x v="7"/>
    <x v="1"/>
    <n v="3"/>
    <n v="24"/>
    <s v="11"/>
    <s v="000"/>
    <s v="32411-000"/>
    <s v="Acoustic guitar model #11"/>
    <s v="UNIQUE"/>
    <n v="0"/>
    <n v="704969"/>
    <n v="53"/>
    <n v="0"/>
    <n v="37363357"/>
  </r>
  <r>
    <x v="2"/>
    <x v="7"/>
    <x v="1"/>
    <n v="3"/>
    <n v="24"/>
    <s v="12"/>
    <s v="000"/>
    <s v="32412-000"/>
    <s v="Acoustic guitar model #12"/>
    <s v="UNIQUE"/>
    <n v="37"/>
    <n v="1"/>
    <n v="63"/>
    <n v="37"/>
    <n v="63"/>
  </r>
  <r>
    <x v="2"/>
    <x v="7"/>
    <x v="1"/>
    <n v="3"/>
    <n v="24"/>
    <s v="13"/>
    <s v="000"/>
    <s v="32413-000"/>
    <s v="Acoustic guitar model #13"/>
    <s v="UNIQUE"/>
    <n v="0"/>
    <n v="10"/>
    <n v="25"/>
    <n v="0"/>
    <n v="250"/>
  </r>
  <r>
    <x v="2"/>
    <x v="7"/>
    <x v="1"/>
    <n v="3"/>
    <n v="24"/>
    <s v="14"/>
    <s v="000"/>
    <s v="32414-000"/>
    <s v="Acoustic guitar model #14"/>
    <s v="UNIQUE"/>
    <n v="9"/>
    <n v="5"/>
    <n v="73"/>
    <n v="45"/>
    <n v="365"/>
  </r>
  <r>
    <x v="2"/>
    <x v="7"/>
    <x v="1"/>
    <n v="3"/>
    <n v="24"/>
    <s v="15"/>
    <s v="000"/>
    <s v="32415-000"/>
    <s v="Acoustic guitar model #15"/>
    <s v="UNIQUE"/>
    <n v="0"/>
    <n v="5329"/>
    <n v="79"/>
    <n v="0"/>
    <n v="420991"/>
  </r>
  <r>
    <x v="2"/>
    <x v="7"/>
    <x v="1"/>
    <n v="3"/>
    <n v="24"/>
    <s v="00"/>
    <s v="000"/>
    <s v="32400-000"/>
    <s v="Acoustic guitar retail item #000"/>
    <s v="UNIQUE"/>
    <n v="0"/>
    <n v="6241"/>
    <n v="97"/>
    <n v="0"/>
    <n v="605377"/>
  </r>
  <r>
    <x v="2"/>
    <x v="7"/>
    <x v="1"/>
    <n v="3"/>
    <n v="24"/>
    <s v="00"/>
    <s v="001"/>
    <s v="32400-001"/>
    <s v="Acoustic guitar retail item #001"/>
    <s v="UNIQUE"/>
    <n v="0"/>
    <n v="4096"/>
    <n v="69"/>
    <n v="0"/>
    <n v="282624"/>
  </r>
  <r>
    <x v="2"/>
    <x v="7"/>
    <x v="1"/>
    <n v="3"/>
    <n v="24"/>
    <s v="00"/>
    <s v="002"/>
    <s v="32400-002"/>
    <s v="Acoustic guitar retail item #002"/>
    <s v="UNIQUE"/>
    <n v="0"/>
    <n v="2500"/>
    <n v="87"/>
    <n v="0"/>
    <n v="217500"/>
  </r>
  <r>
    <x v="2"/>
    <x v="7"/>
    <x v="1"/>
    <n v="3"/>
    <n v="24"/>
    <s v="00"/>
    <s v="003"/>
    <s v="32400-003"/>
    <s v="Acoustic guitar retail item #003"/>
    <s v="UNIQUE"/>
    <n v="0"/>
    <n v="1"/>
    <n v="87"/>
    <n v="0"/>
    <n v="87"/>
  </r>
  <r>
    <x v="2"/>
    <x v="7"/>
    <x v="1"/>
    <n v="3"/>
    <n v="24"/>
    <s v="00"/>
    <s v="004"/>
    <s v="32400-004"/>
    <s v="Acoustic guitar retail item #004"/>
    <s v="UNIQUE"/>
    <n v="0"/>
    <n v="441"/>
    <n v="89"/>
    <n v="0"/>
    <n v="39249"/>
  </r>
  <r>
    <x v="2"/>
    <x v="8"/>
    <x v="1"/>
    <n v="3"/>
    <n v="25"/>
    <s v="01"/>
    <s v="000"/>
    <s v="32501-000"/>
    <s v="Electric guitar model #01"/>
    <s v="UNIQUE"/>
    <n v="0"/>
    <n v="51"/>
    <n v="90"/>
    <n v="0"/>
    <n v="4590"/>
  </r>
  <r>
    <x v="2"/>
    <x v="8"/>
    <x v="1"/>
    <n v="3"/>
    <n v="25"/>
    <s v="02"/>
    <s v="000"/>
    <s v="32502-000"/>
    <s v="Electric guitar model #02"/>
    <s v="UNIQUE"/>
    <n v="0"/>
    <n v="1"/>
    <n v="100"/>
    <n v="0"/>
    <n v="100"/>
  </r>
  <r>
    <x v="2"/>
    <x v="8"/>
    <x v="1"/>
    <n v="3"/>
    <n v="25"/>
    <s v="03"/>
    <s v="000"/>
    <s v="32503-000"/>
    <s v="Electric guitar model #03"/>
    <s v="UNIQUE"/>
    <n v="25"/>
    <n v="87"/>
    <n v="94"/>
    <n v="2175"/>
    <n v="8178"/>
  </r>
  <r>
    <x v="2"/>
    <x v="8"/>
    <x v="1"/>
    <n v="3"/>
    <n v="25"/>
    <s v="04"/>
    <s v="000"/>
    <s v="32504-000"/>
    <s v="Electric guitar model #04"/>
    <s v="UNIQUE"/>
    <n v="0"/>
    <n v="3844"/>
    <n v="74"/>
    <n v="0"/>
    <n v="284456"/>
  </r>
  <r>
    <x v="2"/>
    <x v="8"/>
    <x v="1"/>
    <n v="3"/>
    <n v="25"/>
    <s v="05"/>
    <s v="000"/>
    <s v="32505-000"/>
    <s v="Electric guitar model #05"/>
    <s v="UNIQUE"/>
    <n v="9"/>
    <n v="6889"/>
    <n v="90"/>
    <n v="62001"/>
    <n v="620010"/>
  </r>
  <r>
    <x v="2"/>
    <x v="8"/>
    <x v="1"/>
    <n v="3"/>
    <n v="25"/>
    <s v="06"/>
    <s v="000"/>
    <s v="32506-000"/>
    <s v="Electric guitar model #06"/>
    <s v="UNIQUE"/>
    <n v="0"/>
    <n v="83"/>
    <n v="9"/>
    <n v="0"/>
    <n v="747"/>
  </r>
  <r>
    <x v="2"/>
    <x v="8"/>
    <x v="1"/>
    <n v="3"/>
    <n v="25"/>
    <s v="07"/>
    <s v="000"/>
    <s v="32507-000"/>
    <s v="Electric guitar model #07"/>
    <s v="UNIQUE"/>
    <n v="9"/>
    <n v="474552"/>
    <n v="90"/>
    <n v="4270968"/>
    <n v="42709680"/>
  </r>
  <r>
    <x v="2"/>
    <x v="8"/>
    <x v="1"/>
    <n v="3"/>
    <n v="25"/>
    <s v="08"/>
    <s v="000"/>
    <s v="32508-000"/>
    <s v="Electric guitar model #08"/>
    <s v="UNIQUE"/>
    <n v="0"/>
    <n v="62"/>
    <n v="57"/>
    <n v="0"/>
    <n v="3534"/>
  </r>
  <r>
    <x v="2"/>
    <x v="8"/>
    <x v="1"/>
    <n v="3"/>
    <n v="25"/>
    <s v="09"/>
    <s v="000"/>
    <s v="32509-000"/>
    <s v="Electric guitar model #09"/>
    <s v="UNIQUE"/>
    <n v="0"/>
    <n v="1444"/>
    <n v="74"/>
    <n v="0"/>
    <n v="106856"/>
  </r>
  <r>
    <x v="2"/>
    <x v="8"/>
    <x v="1"/>
    <n v="3"/>
    <n v="25"/>
    <s v="10"/>
    <s v="000"/>
    <s v="32510-000"/>
    <s v="Electric guitar model #10"/>
    <s v="UNIQUE"/>
    <n v="0"/>
    <n v="100"/>
    <n v="92"/>
    <n v="0"/>
    <n v="9200"/>
  </r>
  <r>
    <x v="2"/>
    <x v="8"/>
    <x v="1"/>
    <n v="3"/>
    <n v="25"/>
    <s v="11"/>
    <s v="000"/>
    <s v="32511-000"/>
    <s v="Electric guitar model #11"/>
    <s v="UNIQUE"/>
    <n v="1"/>
    <n v="614125"/>
    <n v="28"/>
    <n v="614125"/>
    <n v="17195500"/>
  </r>
  <r>
    <x v="2"/>
    <x v="8"/>
    <x v="1"/>
    <n v="3"/>
    <n v="25"/>
    <s v="12"/>
    <s v="000"/>
    <s v="32512-000"/>
    <s v="Electric guitar model #12"/>
    <s v="UNIQUE"/>
    <n v="0"/>
    <n v="15625"/>
    <n v="10"/>
    <n v="0"/>
    <n v="156250"/>
  </r>
  <r>
    <x v="2"/>
    <x v="8"/>
    <x v="1"/>
    <n v="3"/>
    <n v="25"/>
    <s v="13"/>
    <s v="000"/>
    <s v="32513-000"/>
    <s v="Electric guitar model #13"/>
    <s v="UNIQUE"/>
    <n v="0"/>
    <n v="85"/>
    <n v="29"/>
    <n v="0"/>
    <n v="2465"/>
  </r>
  <r>
    <x v="2"/>
    <x v="8"/>
    <x v="1"/>
    <n v="3"/>
    <n v="25"/>
    <s v="14"/>
    <s v="000"/>
    <s v="32514-000"/>
    <s v="Electric guitar model #14"/>
    <s v="UNIQUE"/>
    <n v="7"/>
    <n v="3136"/>
    <n v="69"/>
    <n v="21952"/>
    <n v="216384"/>
  </r>
  <r>
    <x v="2"/>
    <x v="8"/>
    <x v="1"/>
    <n v="3"/>
    <n v="25"/>
    <s v="15"/>
    <s v="000"/>
    <s v="32515-000"/>
    <s v="Electric guitar model #15"/>
    <s v="UNIQUE"/>
    <n v="0"/>
    <n v="3"/>
    <n v="67"/>
    <n v="0"/>
    <n v="201"/>
  </r>
  <r>
    <x v="2"/>
    <x v="8"/>
    <x v="1"/>
    <n v="3"/>
    <n v="25"/>
    <s v="16"/>
    <s v="000"/>
    <s v="32516-000"/>
    <s v="Electric guitar model #16"/>
    <s v="UNIQUE"/>
    <n v="0"/>
    <n v="1000000"/>
    <n v="57"/>
    <n v="0"/>
    <n v="57000000"/>
  </r>
  <r>
    <x v="2"/>
    <x v="8"/>
    <x v="1"/>
    <n v="3"/>
    <n v="25"/>
    <s v="17"/>
    <s v="000"/>
    <s v="32517-000"/>
    <s v="Electric guitar model #17"/>
    <s v="UNIQUE"/>
    <n v="0"/>
    <n v="5929"/>
    <n v="42"/>
    <n v="0"/>
    <n v="249018"/>
  </r>
  <r>
    <x v="2"/>
    <x v="8"/>
    <x v="1"/>
    <n v="3"/>
    <n v="25"/>
    <s v="18"/>
    <s v="000"/>
    <s v="32518-000"/>
    <s v="Electric guitar model #18"/>
    <s v="UNIQUE"/>
    <n v="0"/>
    <n v="49"/>
    <n v="87"/>
    <n v="0"/>
    <n v="4263"/>
  </r>
  <r>
    <x v="2"/>
    <x v="8"/>
    <x v="1"/>
    <n v="3"/>
    <n v="25"/>
    <s v="19"/>
    <s v="000"/>
    <s v="32519-000"/>
    <s v="Electric guitar model #19"/>
    <s v="UNIQUE"/>
    <n v="75"/>
    <n v="56"/>
    <n v="68"/>
    <n v="4200"/>
    <n v="3808"/>
  </r>
  <r>
    <x v="2"/>
    <x v="8"/>
    <x v="1"/>
    <n v="3"/>
    <n v="25"/>
    <s v="20"/>
    <s v="000"/>
    <s v="32520-000"/>
    <s v="Electric guitar model #20"/>
    <s v="UNIQUE"/>
    <n v="18"/>
    <n v="205379"/>
    <n v="42"/>
    <n v="3696822"/>
    <n v="8625918"/>
  </r>
  <r>
    <x v="2"/>
    <x v="8"/>
    <x v="1"/>
    <n v="3"/>
    <n v="25"/>
    <s v="21"/>
    <s v="000"/>
    <s v="32521-000"/>
    <s v="Electric guitar model #21"/>
    <s v="UNIQUE"/>
    <n v="0"/>
    <n v="5"/>
    <n v="88"/>
    <n v="0"/>
    <n v="440"/>
  </r>
  <r>
    <x v="2"/>
    <x v="8"/>
    <x v="1"/>
    <n v="3"/>
    <n v="25"/>
    <s v="22"/>
    <s v="000"/>
    <s v="32522-000"/>
    <s v="Electric guitar model #22"/>
    <s v="UNIQUE"/>
    <n v="2"/>
    <n v="125"/>
    <n v="98"/>
    <n v="250"/>
    <n v="12250"/>
  </r>
  <r>
    <x v="2"/>
    <x v="8"/>
    <x v="1"/>
    <n v="3"/>
    <n v="25"/>
    <s v="23"/>
    <s v="000"/>
    <s v="32523-000"/>
    <s v="Electric guitar model #23"/>
    <s v="UNIQUE"/>
    <n v="1"/>
    <n v="88"/>
    <n v="26"/>
    <n v="88"/>
    <n v="2288"/>
  </r>
  <r>
    <x v="2"/>
    <x v="8"/>
    <x v="1"/>
    <n v="3"/>
    <n v="25"/>
    <s v="24"/>
    <s v="000"/>
    <s v="32524-000"/>
    <s v="Electric guitar model #24"/>
    <s v="UNIQUE"/>
    <n v="0"/>
    <n v="8"/>
    <n v="5"/>
    <n v="0"/>
    <n v="40"/>
  </r>
  <r>
    <x v="2"/>
    <x v="8"/>
    <x v="1"/>
    <n v="3"/>
    <n v="25"/>
    <s v="25"/>
    <s v="000"/>
    <s v="32525-000"/>
    <s v="Electric guitar model #25"/>
    <s v="UNIQUE"/>
    <n v="0"/>
    <n v="1"/>
    <n v="98"/>
    <n v="0"/>
    <n v="98"/>
  </r>
  <r>
    <x v="2"/>
    <x v="8"/>
    <x v="1"/>
    <n v="3"/>
    <n v="25"/>
    <s v="00"/>
    <s v="000"/>
    <s v="32500-000"/>
    <s v="Electric guitar retail item #000"/>
    <s v="UNIQUE"/>
    <n v="1"/>
    <n v="49"/>
    <n v="23"/>
    <n v="49"/>
    <n v="1127"/>
  </r>
  <r>
    <x v="2"/>
    <x v="8"/>
    <x v="1"/>
    <n v="3"/>
    <n v="25"/>
    <s v="00"/>
    <s v="001"/>
    <s v="32500-001"/>
    <s v="Electric guitar retail item #001"/>
    <s v="UNIQUE"/>
    <n v="0"/>
    <n v="9604"/>
    <n v="28"/>
    <n v="0"/>
    <n v="268912"/>
  </r>
  <r>
    <x v="2"/>
    <x v="8"/>
    <x v="1"/>
    <n v="3"/>
    <n v="25"/>
    <s v="00"/>
    <s v="002"/>
    <s v="32500-002"/>
    <s v="Electric guitar retail item #002"/>
    <s v="UNIQUE"/>
    <n v="1"/>
    <n v="31"/>
    <n v="25"/>
    <n v="31"/>
    <n v="775"/>
  </r>
  <r>
    <x v="2"/>
    <x v="8"/>
    <x v="1"/>
    <n v="3"/>
    <n v="25"/>
    <s v="00"/>
    <s v="003"/>
    <s v="32500-003"/>
    <s v="Electric guitar retail item #003"/>
    <s v="UNIQUE"/>
    <n v="0"/>
    <n v="157464"/>
    <n v="60"/>
    <n v="0"/>
    <n v="9447840"/>
  </r>
  <r>
    <x v="2"/>
    <x v="8"/>
    <x v="1"/>
    <n v="3"/>
    <n v="25"/>
    <s v="00"/>
    <s v="004"/>
    <s v="32500-004"/>
    <s v="Electric guitar retail item #004"/>
    <s v="UNIQUE"/>
    <n v="0"/>
    <n v="28"/>
    <n v="2"/>
    <n v="0"/>
    <n v="56"/>
  </r>
  <r>
    <x v="2"/>
    <x v="8"/>
    <x v="1"/>
    <n v="3"/>
    <n v="25"/>
    <s v="00"/>
    <s v="005"/>
    <s v="32500-005"/>
    <s v="Electric guitar retail item #005"/>
    <s v="UNIQUE"/>
    <n v="5"/>
    <n v="8100"/>
    <n v="94"/>
    <n v="40500"/>
    <n v="761400"/>
  </r>
  <r>
    <x v="2"/>
    <x v="8"/>
    <x v="1"/>
    <n v="3"/>
    <n v="25"/>
    <s v="00"/>
    <s v="006"/>
    <s v="32500-006"/>
    <s v="Electric guitar retail item #006"/>
    <s v="UNIQUE"/>
    <n v="0"/>
    <n v="97336"/>
    <n v="95"/>
    <n v="0"/>
    <n v="9246920"/>
  </r>
  <r>
    <x v="2"/>
    <x v="8"/>
    <x v="1"/>
    <n v="3"/>
    <n v="25"/>
    <s v="00"/>
    <s v="007"/>
    <s v="32500-007"/>
    <s v="Electric guitar retail item #007"/>
    <s v="UNIQUE"/>
    <n v="0"/>
    <n v="68921"/>
    <n v="22"/>
    <n v="0"/>
    <n v="1516262"/>
  </r>
  <r>
    <x v="2"/>
    <x v="8"/>
    <x v="1"/>
    <n v="3"/>
    <n v="25"/>
    <s v="00"/>
    <s v="008"/>
    <s v="32500-008"/>
    <s v="Electric guitar retail item #008"/>
    <s v="UNIQUE"/>
    <n v="0"/>
    <n v="64"/>
    <n v="82"/>
    <n v="0"/>
    <n v="5248"/>
  </r>
  <r>
    <x v="2"/>
    <x v="8"/>
    <x v="1"/>
    <n v="3"/>
    <n v="25"/>
    <s v="00"/>
    <s v="009"/>
    <s v="32500-009"/>
    <s v="Electric guitar retail item #009"/>
    <s v="UNIQUE"/>
    <n v="0"/>
    <n v="17"/>
    <n v="22"/>
    <n v="0"/>
    <n v="374"/>
  </r>
  <r>
    <x v="2"/>
    <x v="9"/>
    <x v="2"/>
    <n v="3"/>
    <n v="30"/>
    <s v="01"/>
    <s v="000"/>
    <s v="33001-000"/>
    <s v="Clarinet model #01"/>
    <s v="UNIQUE"/>
    <n v="15"/>
    <n v="9604"/>
    <n v="61"/>
    <n v="144060"/>
    <n v="585844"/>
  </r>
  <r>
    <x v="2"/>
    <x v="9"/>
    <x v="2"/>
    <n v="3"/>
    <n v="30"/>
    <s v="02"/>
    <s v="000"/>
    <s v="33002-000"/>
    <s v="Clarinet model #02"/>
    <s v="UNIQUE"/>
    <n v="0"/>
    <n v="250047"/>
    <n v="9"/>
    <n v="0"/>
    <n v="2250423"/>
  </r>
  <r>
    <x v="2"/>
    <x v="9"/>
    <x v="2"/>
    <n v="3"/>
    <n v="30"/>
    <s v="03"/>
    <s v="000"/>
    <s v="33003-000"/>
    <s v="Clarinet model #03"/>
    <s v="UNIQUE"/>
    <n v="49"/>
    <n v="3"/>
    <n v="8"/>
    <n v="147"/>
    <n v="24"/>
  </r>
  <r>
    <x v="2"/>
    <x v="9"/>
    <x v="2"/>
    <n v="3"/>
    <n v="30"/>
    <s v="04"/>
    <s v="000"/>
    <s v="33004-000"/>
    <s v="Clarinet model #04"/>
    <s v="UNIQUE"/>
    <n v="0"/>
    <n v="31"/>
    <n v="84"/>
    <n v="0"/>
    <n v="2604"/>
  </r>
  <r>
    <x v="2"/>
    <x v="9"/>
    <x v="2"/>
    <n v="3"/>
    <n v="30"/>
    <s v="05"/>
    <s v="000"/>
    <s v="33005-000"/>
    <s v="Clarinet model #05"/>
    <s v="UNIQUE"/>
    <n v="1"/>
    <n v="484"/>
    <n v="37"/>
    <n v="484"/>
    <n v="17908"/>
  </r>
  <r>
    <x v="2"/>
    <x v="9"/>
    <x v="2"/>
    <n v="3"/>
    <n v="30"/>
    <s v="06"/>
    <s v="000"/>
    <s v="33006-000"/>
    <s v="Clarinet model #06"/>
    <s v="UNIQUE"/>
    <n v="0"/>
    <n v="6859"/>
    <n v="15"/>
    <n v="0"/>
    <n v="102885"/>
  </r>
  <r>
    <x v="2"/>
    <x v="9"/>
    <x v="2"/>
    <n v="3"/>
    <n v="30"/>
    <s v="00"/>
    <s v="000"/>
    <s v="33000-000"/>
    <s v="Clarinet retail item #000"/>
    <s v="UNIQUE"/>
    <n v="0"/>
    <n v="226981"/>
    <n v="67"/>
    <n v="0"/>
    <n v="15207727"/>
  </r>
  <r>
    <x v="2"/>
    <x v="9"/>
    <x v="2"/>
    <n v="3"/>
    <n v="30"/>
    <s v="00"/>
    <s v="001"/>
    <s v="33000-001"/>
    <s v="Clarinet retail item #001"/>
    <s v="UNIQUE"/>
    <n v="0"/>
    <n v="8281"/>
    <n v="91"/>
    <n v="0"/>
    <n v="753571"/>
  </r>
  <r>
    <x v="2"/>
    <x v="9"/>
    <x v="2"/>
    <n v="3"/>
    <n v="30"/>
    <s v="00"/>
    <s v="002"/>
    <s v="33000-002"/>
    <s v="Clarinet retail item #002"/>
    <s v="UNIQUE"/>
    <n v="0"/>
    <n v="5"/>
    <n v="17"/>
    <n v="0"/>
    <n v="85"/>
  </r>
  <r>
    <x v="2"/>
    <x v="9"/>
    <x v="2"/>
    <n v="3"/>
    <n v="30"/>
    <s v="00"/>
    <s v="003"/>
    <s v="33000-003"/>
    <s v="Clarinet retail item #003"/>
    <s v="UNIQUE"/>
    <n v="0"/>
    <n v="2116"/>
    <n v="31"/>
    <n v="0"/>
    <n v="65596"/>
  </r>
  <r>
    <x v="2"/>
    <x v="9"/>
    <x v="2"/>
    <n v="3"/>
    <n v="30"/>
    <s v="00"/>
    <s v="004"/>
    <s v="33000-004"/>
    <s v="Clarinet retail item #004"/>
    <s v="UNIQUE"/>
    <n v="0"/>
    <n v="41"/>
    <n v="99"/>
    <n v="0"/>
    <n v="4059"/>
  </r>
  <r>
    <x v="2"/>
    <x v="9"/>
    <x v="2"/>
    <n v="3"/>
    <n v="30"/>
    <s v="00"/>
    <s v="005"/>
    <s v="33000-005"/>
    <s v="Clarinet retail item #005"/>
    <s v="UNIQUE"/>
    <n v="0"/>
    <n v="34"/>
    <n v="52"/>
    <n v="0"/>
    <n v="1768"/>
  </r>
  <r>
    <x v="2"/>
    <x v="9"/>
    <x v="2"/>
    <n v="3"/>
    <n v="30"/>
    <s v="00"/>
    <s v="006"/>
    <s v="33000-006"/>
    <s v="Clarinet retail item #006"/>
    <s v="UNIQUE"/>
    <n v="42"/>
    <n v="778688"/>
    <n v="53"/>
    <n v="32704896"/>
    <n v="41270464"/>
  </r>
  <r>
    <x v="2"/>
    <x v="9"/>
    <x v="2"/>
    <n v="3"/>
    <n v="30"/>
    <s v="00"/>
    <s v="007"/>
    <s v="33000-007"/>
    <s v="Clarinet retail item #007"/>
    <s v="UNIQUE"/>
    <n v="2"/>
    <n v="23"/>
    <n v="61"/>
    <n v="46"/>
    <n v="1403"/>
  </r>
  <r>
    <x v="2"/>
    <x v="9"/>
    <x v="2"/>
    <n v="3"/>
    <n v="30"/>
    <s v="00"/>
    <s v="008"/>
    <s v="33000-008"/>
    <s v="Clarinet retail item #008"/>
    <s v="UNIQUE"/>
    <n v="7"/>
    <n v="33"/>
    <n v="20"/>
    <n v="231"/>
    <n v="660"/>
  </r>
  <r>
    <x v="2"/>
    <x v="9"/>
    <x v="2"/>
    <n v="3"/>
    <n v="30"/>
    <s v="00"/>
    <s v="009"/>
    <s v="33000-009"/>
    <s v="Clarinet retail item #009"/>
    <s v="UNIQUE"/>
    <n v="7"/>
    <n v="256"/>
    <n v="96"/>
    <n v="1792"/>
    <n v="24576"/>
  </r>
  <r>
    <x v="2"/>
    <x v="10"/>
    <x v="2"/>
    <n v="3"/>
    <n v="31"/>
    <s v="01"/>
    <s v="000"/>
    <s v="33101-000"/>
    <s v="Saxophone model #01"/>
    <s v="UNIQUE"/>
    <n v="0"/>
    <n v="3136"/>
    <n v="55"/>
    <n v="0"/>
    <n v="172480"/>
  </r>
  <r>
    <x v="2"/>
    <x v="10"/>
    <x v="2"/>
    <n v="3"/>
    <n v="31"/>
    <s v="02"/>
    <s v="000"/>
    <s v="33102-000"/>
    <s v="Saxophone model #02"/>
    <s v="UNIQUE"/>
    <n v="5"/>
    <n v="3481"/>
    <n v="95"/>
    <n v="17405"/>
    <n v="330695"/>
  </r>
  <r>
    <x v="2"/>
    <x v="10"/>
    <x v="2"/>
    <n v="3"/>
    <n v="31"/>
    <s v="03"/>
    <s v="000"/>
    <s v="33103-000"/>
    <s v="Saxophone model #03"/>
    <s v="UNIQUE"/>
    <n v="0"/>
    <n v="42"/>
    <n v="67"/>
    <n v="0"/>
    <n v="2814"/>
  </r>
  <r>
    <x v="2"/>
    <x v="10"/>
    <x v="2"/>
    <n v="3"/>
    <n v="31"/>
    <s v="04"/>
    <s v="000"/>
    <s v="33104-000"/>
    <s v="Saxophone model #04"/>
    <s v="UNIQUE"/>
    <n v="26"/>
    <n v="7744"/>
    <n v="64"/>
    <n v="201344"/>
    <n v="495616"/>
  </r>
  <r>
    <x v="2"/>
    <x v="10"/>
    <x v="2"/>
    <n v="3"/>
    <n v="31"/>
    <s v="05"/>
    <s v="000"/>
    <s v="33105-000"/>
    <s v="Saxophone model #05"/>
    <s v="UNIQUE"/>
    <n v="1"/>
    <n v="216000"/>
    <n v="21"/>
    <n v="216000"/>
    <n v="4536000"/>
  </r>
  <r>
    <x v="2"/>
    <x v="10"/>
    <x v="2"/>
    <n v="3"/>
    <n v="31"/>
    <s v="06"/>
    <s v="000"/>
    <s v="33106-000"/>
    <s v="Saxophone model #06"/>
    <s v="UNIQUE"/>
    <n v="0"/>
    <n v="1089"/>
    <n v="4"/>
    <n v="0"/>
    <n v="4356"/>
  </r>
  <r>
    <x v="2"/>
    <x v="10"/>
    <x v="2"/>
    <n v="3"/>
    <n v="31"/>
    <s v="00"/>
    <s v="000"/>
    <s v="33100-000"/>
    <s v="Saxophone retail item #000"/>
    <s v="UNIQUE"/>
    <n v="0"/>
    <n v="512000"/>
    <n v="39"/>
    <n v="0"/>
    <n v="19968000"/>
  </r>
  <r>
    <x v="2"/>
    <x v="10"/>
    <x v="2"/>
    <n v="3"/>
    <n v="31"/>
    <s v="00"/>
    <s v="001"/>
    <s v="33100-001"/>
    <s v="Saxophone retail item #001"/>
    <s v="UNIQUE"/>
    <n v="0"/>
    <n v="1000"/>
    <n v="82"/>
    <n v="0"/>
    <n v="82000"/>
  </r>
  <r>
    <x v="2"/>
    <x v="10"/>
    <x v="2"/>
    <n v="3"/>
    <n v="31"/>
    <s v="00"/>
    <s v="002"/>
    <s v="33100-002"/>
    <s v="Saxophone retail item #002"/>
    <s v="UNIQUE"/>
    <n v="0"/>
    <n v="5329"/>
    <n v="56"/>
    <n v="0"/>
    <n v="298424"/>
  </r>
  <r>
    <x v="2"/>
    <x v="10"/>
    <x v="2"/>
    <n v="3"/>
    <n v="31"/>
    <s v="00"/>
    <s v="003"/>
    <s v="33100-003"/>
    <s v="Saxophone retail item #003"/>
    <s v="UNIQUE"/>
    <n v="99"/>
    <n v="185193"/>
    <n v="15"/>
    <n v="18334107"/>
    <n v="2777895"/>
  </r>
  <r>
    <x v="2"/>
    <x v="10"/>
    <x v="2"/>
    <n v="3"/>
    <n v="31"/>
    <s v="00"/>
    <s v="004"/>
    <s v="33100-004"/>
    <s v="Saxophone retail item #004"/>
    <s v="UNIQUE"/>
    <n v="0"/>
    <n v="22"/>
    <n v="23"/>
    <n v="0"/>
    <n v="506"/>
  </r>
  <r>
    <x v="2"/>
    <x v="10"/>
    <x v="2"/>
    <n v="3"/>
    <n v="31"/>
    <s v="00"/>
    <s v="005"/>
    <s v="33100-005"/>
    <s v="Saxophone retail item #005"/>
    <s v="UNIQUE"/>
    <n v="0"/>
    <n v="8100"/>
    <n v="18"/>
    <n v="0"/>
    <n v="145800"/>
  </r>
  <r>
    <x v="2"/>
    <x v="10"/>
    <x v="2"/>
    <n v="3"/>
    <n v="31"/>
    <s v="00"/>
    <s v="006"/>
    <s v="33100-006"/>
    <s v="Saxophone retail item #006"/>
    <s v="UNIQUE"/>
    <n v="0"/>
    <n v="1764"/>
    <n v="86"/>
    <n v="0"/>
    <n v="151704"/>
  </r>
  <r>
    <x v="2"/>
    <x v="10"/>
    <x v="2"/>
    <n v="3"/>
    <n v="31"/>
    <s v="00"/>
    <s v="007"/>
    <s v="33100-007"/>
    <s v="Saxophone retail item #007"/>
    <s v="UNIQUE"/>
    <n v="0"/>
    <n v="110592"/>
    <n v="82"/>
    <n v="0"/>
    <n v="9068544"/>
  </r>
  <r>
    <x v="2"/>
    <x v="10"/>
    <x v="2"/>
    <n v="3"/>
    <n v="31"/>
    <s v="00"/>
    <s v="008"/>
    <s v="33100-008"/>
    <s v="Saxophone retail item #008"/>
    <s v="UNIQUE"/>
    <n v="0"/>
    <n v="405224"/>
    <n v="70"/>
    <n v="0"/>
    <n v="28365680"/>
  </r>
  <r>
    <x v="2"/>
    <x v="10"/>
    <x v="2"/>
    <n v="3"/>
    <n v="31"/>
    <s v="00"/>
    <s v="009"/>
    <s v="33100-009"/>
    <s v="Saxophone retail item #009"/>
    <s v="UNIQUE"/>
    <n v="0"/>
    <n v="328509"/>
    <n v="71"/>
    <n v="0"/>
    <n v="23324139"/>
  </r>
  <r>
    <x v="2"/>
    <x v="11"/>
    <x v="2"/>
    <n v="3"/>
    <n v="32"/>
    <s v="01"/>
    <s v="000"/>
    <s v="33201-000"/>
    <s v="Flute model #01"/>
    <s v="UNIQUE"/>
    <n v="0"/>
    <n v="10000"/>
    <n v="78"/>
    <n v="0"/>
    <n v="780000"/>
  </r>
  <r>
    <x v="2"/>
    <x v="11"/>
    <x v="2"/>
    <n v="3"/>
    <n v="32"/>
    <s v="02"/>
    <s v="000"/>
    <s v="33202-000"/>
    <s v="Flute model #02"/>
    <s v="UNIQUE"/>
    <n v="1"/>
    <n v="3969"/>
    <n v="42"/>
    <n v="3969"/>
    <n v="166698"/>
  </r>
  <r>
    <x v="2"/>
    <x v="11"/>
    <x v="2"/>
    <n v="3"/>
    <n v="32"/>
    <s v="03"/>
    <s v="000"/>
    <s v="33203-000"/>
    <s v="Flute model #03"/>
    <s v="UNIQUE"/>
    <n v="0"/>
    <n v="33"/>
    <n v="44"/>
    <n v="0"/>
    <n v="1452"/>
  </r>
  <r>
    <x v="2"/>
    <x v="11"/>
    <x v="2"/>
    <n v="3"/>
    <n v="32"/>
    <s v="00"/>
    <s v="000"/>
    <s v="33200-000"/>
    <s v="Flute retail item #000"/>
    <s v="UNIQUE"/>
    <n v="4"/>
    <n v="21952"/>
    <n v="74"/>
    <n v="87808"/>
    <n v="1624448"/>
  </r>
  <r>
    <x v="2"/>
    <x v="11"/>
    <x v="2"/>
    <n v="3"/>
    <n v="32"/>
    <s v="00"/>
    <s v="001"/>
    <s v="33200-001"/>
    <s v="Flute retail item #001"/>
    <s v="UNIQUE"/>
    <n v="0"/>
    <n v="83"/>
    <n v="81"/>
    <n v="0"/>
    <n v="6723"/>
  </r>
  <r>
    <x v="2"/>
    <x v="11"/>
    <x v="2"/>
    <n v="3"/>
    <n v="32"/>
    <s v="00"/>
    <s v="002"/>
    <s v="33200-002"/>
    <s v="Flute retail item #002"/>
    <s v="UNIQUE"/>
    <n v="0"/>
    <n v="456533"/>
    <n v="52"/>
    <n v="0"/>
    <n v="23739716"/>
  </r>
  <r>
    <x v="2"/>
    <x v="11"/>
    <x v="2"/>
    <n v="3"/>
    <n v="32"/>
    <s v="00"/>
    <s v="003"/>
    <s v="33200-003"/>
    <s v="Flute retail item #003"/>
    <s v="UNIQUE"/>
    <n v="1"/>
    <n v="25"/>
    <n v="92"/>
    <n v="25"/>
    <n v="2300"/>
  </r>
  <r>
    <x v="2"/>
    <x v="11"/>
    <x v="2"/>
    <n v="3"/>
    <n v="32"/>
    <s v="00"/>
    <s v="004"/>
    <s v="33200-004"/>
    <s v="Flute retail item #004"/>
    <s v="UNIQUE"/>
    <n v="33"/>
    <n v="36"/>
    <n v="56"/>
    <n v="1188"/>
    <n v="2016"/>
  </r>
  <r>
    <x v="2"/>
    <x v="12"/>
    <x v="2"/>
    <n v="3"/>
    <n v="33"/>
    <s v="01"/>
    <s v="000"/>
    <s v="33301-000"/>
    <s v="Piccolo model #01"/>
    <s v="UNIQUE"/>
    <n v="0"/>
    <n v="10648"/>
    <n v="13"/>
    <n v="0"/>
    <n v="138424"/>
  </r>
  <r>
    <x v="2"/>
    <x v="12"/>
    <x v="2"/>
    <n v="3"/>
    <n v="33"/>
    <s v="02"/>
    <s v="000"/>
    <s v="33302-000"/>
    <s v="Piccolo model #02"/>
    <s v="UNIQUE"/>
    <n v="62"/>
    <n v="125000"/>
    <n v="23"/>
    <n v="7750000"/>
    <n v="2875000"/>
  </r>
  <r>
    <x v="2"/>
    <x v="12"/>
    <x v="2"/>
    <n v="3"/>
    <n v="33"/>
    <s v="03"/>
    <s v="000"/>
    <s v="33303-000"/>
    <s v="Piccolo model #03"/>
    <s v="UNIQUE"/>
    <n v="4"/>
    <n v="157464"/>
    <n v="15"/>
    <n v="629856"/>
    <n v="2361960"/>
  </r>
  <r>
    <x v="2"/>
    <x v="12"/>
    <x v="2"/>
    <n v="3"/>
    <n v="33"/>
    <s v="00"/>
    <s v="000"/>
    <s v="33300-000"/>
    <s v="Piccolo retail item #000"/>
    <s v="UNIQUE"/>
    <n v="7"/>
    <n v="8100"/>
    <n v="78"/>
    <n v="56700"/>
    <n v="631800"/>
  </r>
  <r>
    <x v="2"/>
    <x v="12"/>
    <x v="2"/>
    <n v="3"/>
    <n v="33"/>
    <s v="00"/>
    <s v="001"/>
    <s v="33300-001"/>
    <s v="Piccolo retail item #001"/>
    <s v="UNIQUE"/>
    <n v="0"/>
    <n v="31"/>
    <n v="27"/>
    <n v="0"/>
    <n v="837"/>
  </r>
  <r>
    <x v="2"/>
    <x v="12"/>
    <x v="2"/>
    <n v="3"/>
    <n v="33"/>
    <s v="00"/>
    <s v="002"/>
    <s v="33300-002"/>
    <s v="Piccolo retail item #002"/>
    <s v="UNIQUE"/>
    <n v="0"/>
    <n v="970299"/>
    <n v="97"/>
    <n v="0"/>
    <n v="94119003"/>
  </r>
  <r>
    <x v="2"/>
    <x v="12"/>
    <x v="2"/>
    <n v="3"/>
    <n v="33"/>
    <s v="00"/>
    <s v="003"/>
    <s v="33300-003"/>
    <s v="Piccolo retail item #003"/>
    <s v="UNIQUE"/>
    <n v="0"/>
    <n v="5776"/>
    <n v="81"/>
    <n v="0"/>
    <n v="467856"/>
  </r>
  <r>
    <x v="2"/>
    <x v="12"/>
    <x v="2"/>
    <n v="3"/>
    <n v="33"/>
    <s v="00"/>
    <s v="004"/>
    <s v="33300-004"/>
    <s v="Piccolo retail item #004"/>
    <s v="UNIQUE"/>
    <n v="0"/>
    <n v="42875"/>
    <n v="27"/>
    <n v="0"/>
    <n v="1157625"/>
  </r>
  <r>
    <x v="2"/>
    <x v="13"/>
    <x v="2"/>
    <n v="3"/>
    <n v="34"/>
    <s v="01"/>
    <s v="000"/>
    <s v="33401-000"/>
    <s v="Oboe model #01"/>
    <s v="UNIQUE"/>
    <n v="0"/>
    <n v="1521"/>
    <n v="57"/>
    <n v="0"/>
    <n v="86697"/>
  </r>
  <r>
    <x v="2"/>
    <x v="13"/>
    <x v="2"/>
    <n v="3"/>
    <n v="34"/>
    <s v="02"/>
    <s v="000"/>
    <s v="33402-000"/>
    <s v="Oboe model #02"/>
    <s v="UNIQUE"/>
    <n v="4"/>
    <n v="21"/>
    <n v="62"/>
    <n v="84"/>
    <n v="1302"/>
  </r>
  <r>
    <x v="2"/>
    <x v="13"/>
    <x v="2"/>
    <n v="3"/>
    <n v="34"/>
    <s v="03"/>
    <s v="000"/>
    <s v="33403-000"/>
    <s v="Oboe model #03"/>
    <s v="UNIQUE"/>
    <n v="0"/>
    <n v="2197"/>
    <n v="13"/>
    <n v="0"/>
    <n v="28561"/>
  </r>
  <r>
    <x v="2"/>
    <x v="13"/>
    <x v="2"/>
    <n v="3"/>
    <n v="34"/>
    <s v="00"/>
    <s v="000"/>
    <s v="33400-000"/>
    <s v="Oboe retail item #000"/>
    <s v="UNIQUE"/>
    <n v="27"/>
    <n v="830584"/>
    <n v="13"/>
    <n v="22425768"/>
    <n v="10797592"/>
  </r>
  <r>
    <x v="2"/>
    <x v="13"/>
    <x v="2"/>
    <n v="3"/>
    <n v="34"/>
    <s v="00"/>
    <s v="001"/>
    <s v="33400-001"/>
    <s v="Oboe retail item #001"/>
    <s v="UNIQUE"/>
    <n v="1"/>
    <n v="15"/>
    <n v="64"/>
    <n v="15"/>
    <n v="960"/>
  </r>
  <r>
    <x v="2"/>
    <x v="13"/>
    <x v="2"/>
    <n v="3"/>
    <n v="34"/>
    <s v="00"/>
    <s v="002"/>
    <s v="33400-002"/>
    <s v="Oboe retail item #002"/>
    <s v="UNIQUE"/>
    <n v="0"/>
    <n v="205379"/>
    <n v="80"/>
    <n v="0"/>
    <n v="16430320"/>
  </r>
  <r>
    <x v="2"/>
    <x v="13"/>
    <x v="2"/>
    <n v="3"/>
    <n v="34"/>
    <s v="00"/>
    <s v="003"/>
    <s v="33400-003"/>
    <s v="Oboe retail item #003"/>
    <s v="UNIQUE"/>
    <n v="1"/>
    <n v="7921"/>
    <n v="38"/>
    <n v="7921"/>
    <n v="300998"/>
  </r>
  <r>
    <x v="2"/>
    <x v="13"/>
    <x v="2"/>
    <n v="3"/>
    <n v="34"/>
    <s v="00"/>
    <s v="004"/>
    <s v="33400-004"/>
    <s v="Oboe retail item #004"/>
    <s v="UNIQUE"/>
    <n v="96"/>
    <n v="44"/>
    <n v="52"/>
    <n v="4224"/>
    <n v="2288"/>
  </r>
  <r>
    <x v="2"/>
    <x v="13"/>
    <x v="2"/>
    <n v="3"/>
    <n v="34"/>
    <s v="00"/>
    <s v="005"/>
    <s v="33400-005"/>
    <s v="Oboe retail item #005"/>
    <s v="UNIQUE"/>
    <n v="10"/>
    <n v="250047"/>
    <n v="63"/>
    <n v="2500470"/>
    <n v="15752961"/>
  </r>
  <r>
    <x v="2"/>
    <x v="13"/>
    <x v="2"/>
    <n v="3"/>
    <n v="34"/>
    <s v="00"/>
    <s v="006"/>
    <s v="33400-006"/>
    <s v="Oboe retail item #006"/>
    <s v="UNIQUE"/>
    <n v="0"/>
    <n v="16"/>
    <n v="83"/>
    <n v="0"/>
    <n v="1328"/>
  </r>
  <r>
    <x v="2"/>
    <x v="13"/>
    <x v="2"/>
    <n v="3"/>
    <n v="34"/>
    <s v="00"/>
    <s v="007"/>
    <s v="33400-007"/>
    <s v="Oboe retail item #007"/>
    <s v="UNIQUE"/>
    <n v="0"/>
    <n v="2197"/>
    <n v="46"/>
    <n v="0"/>
    <n v="101062"/>
  </r>
  <r>
    <x v="2"/>
    <x v="13"/>
    <x v="2"/>
    <n v="3"/>
    <n v="34"/>
    <s v="00"/>
    <s v="008"/>
    <s v="33400-008"/>
    <s v="Oboe retail item #008"/>
    <s v="UNIQUE"/>
    <n v="0"/>
    <n v="4"/>
    <n v="87"/>
    <n v="0"/>
    <n v="348"/>
  </r>
  <r>
    <x v="2"/>
    <x v="13"/>
    <x v="2"/>
    <n v="3"/>
    <n v="34"/>
    <s v="00"/>
    <s v="009"/>
    <s v="33400-009"/>
    <s v="Oboe retail item #009"/>
    <s v="UNIQUE"/>
    <n v="94"/>
    <n v="23"/>
    <n v="96"/>
    <n v="2162"/>
    <n v="2208"/>
  </r>
  <r>
    <x v="2"/>
    <x v="14"/>
    <x v="2"/>
    <n v="3"/>
    <n v="35"/>
    <s v="01"/>
    <s v="000"/>
    <s v="33501-000"/>
    <s v="Bassoon model #01"/>
    <s v="UNIQUE"/>
    <n v="90"/>
    <n v="59319"/>
    <n v="34"/>
    <n v="5338710"/>
    <n v="2016846"/>
  </r>
  <r>
    <x v="2"/>
    <x v="14"/>
    <x v="2"/>
    <n v="3"/>
    <n v="35"/>
    <s v="02"/>
    <s v="000"/>
    <s v="33502-000"/>
    <s v="Bassoon model #02"/>
    <s v="UNIQUE"/>
    <n v="0"/>
    <n v="121"/>
    <n v="46"/>
    <n v="0"/>
    <n v="5566"/>
  </r>
  <r>
    <x v="2"/>
    <x v="14"/>
    <x v="2"/>
    <n v="3"/>
    <n v="35"/>
    <s v="03"/>
    <s v="000"/>
    <s v="33503-000"/>
    <s v="Bassoon model #03"/>
    <s v="UNIQUE"/>
    <n v="0"/>
    <n v="175616"/>
    <n v="19"/>
    <n v="0"/>
    <n v="3336704"/>
  </r>
  <r>
    <x v="2"/>
    <x v="14"/>
    <x v="2"/>
    <n v="3"/>
    <n v="35"/>
    <s v="00"/>
    <s v="000"/>
    <s v="33500-000"/>
    <s v="Bassoon retail item #000"/>
    <s v="UNIQUE"/>
    <n v="46"/>
    <n v="225"/>
    <n v="87"/>
    <n v="10350"/>
    <n v="19575"/>
  </r>
  <r>
    <x v="2"/>
    <x v="14"/>
    <x v="2"/>
    <n v="3"/>
    <n v="35"/>
    <s v="00"/>
    <s v="001"/>
    <s v="33500-001"/>
    <s v="Bassoon retail item #001"/>
    <s v="UNIQUE"/>
    <n v="0"/>
    <n v="67"/>
    <n v="30"/>
    <n v="0"/>
    <n v="2010"/>
  </r>
  <r>
    <x v="2"/>
    <x v="14"/>
    <x v="2"/>
    <n v="3"/>
    <n v="35"/>
    <s v="00"/>
    <s v="002"/>
    <s v="33500-002"/>
    <s v="Bassoon retail item #002"/>
    <s v="UNIQUE"/>
    <n v="0"/>
    <n v="46656"/>
    <n v="79"/>
    <n v="0"/>
    <n v="3685824"/>
  </r>
  <r>
    <x v="2"/>
    <x v="14"/>
    <x v="2"/>
    <n v="3"/>
    <n v="35"/>
    <s v="00"/>
    <s v="003"/>
    <s v="33500-003"/>
    <s v="Bassoon retail item #003"/>
    <s v="UNIQUE"/>
    <n v="1"/>
    <n v="658503"/>
    <n v="96"/>
    <n v="658503"/>
    <n v="63216288"/>
  </r>
  <r>
    <x v="2"/>
    <x v="14"/>
    <x v="2"/>
    <n v="3"/>
    <n v="35"/>
    <s v="00"/>
    <s v="004"/>
    <s v="33500-004"/>
    <s v="Bassoon retail item #004"/>
    <s v="UNIQUE"/>
    <n v="0"/>
    <n v="1000000"/>
    <n v="34"/>
    <n v="0"/>
    <n v="34000000"/>
  </r>
  <r>
    <x v="2"/>
    <x v="14"/>
    <x v="2"/>
    <n v="3"/>
    <n v="35"/>
    <s v="00"/>
    <s v="005"/>
    <s v="33500-005"/>
    <s v="Bassoon retail item #005"/>
    <s v="UNIQUE"/>
    <n v="10"/>
    <n v="95"/>
    <n v="62"/>
    <n v="950"/>
    <n v="5890"/>
  </r>
  <r>
    <x v="2"/>
    <x v="14"/>
    <x v="2"/>
    <n v="3"/>
    <n v="35"/>
    <s v="00"/>
    <s v="006"/>
    <s v="33500-006"/>
    <s v="Bassoon retail item #006"/>
    <s v="UNIQUE"/>
    <n v="0"/>
    <n v="45"/>
    <n v="24"/>
    <n v="0"/>
    <n v="1080"/>
  </r>
  <r>
    <x v="2"/>
    <x v="14"/>
    <x v="2"/>
    <n v="3"/>
    <n v="35"/>
    <s v="00"/>
    <s v="007"/>
    <s v="33500-007"/>
    <s v="Bassoon retail item #007"/>
    <s v="UNIQUE"/>
    <n v="0"/>
    <n v="3844"/>
    <n v="68"/>
    <n v="0"/>
    <n v="261392"/>
  </r>
  <r>
    <x v="2"/>
    <x v="14"/>
    <x v="2"/>
    <n v="3"/>
    <n v="35"/>
    <s v="00"/>
    <s v="008"/>
    <s v="33500-008"/>
    <s v="Bassoon retail item #008"/>
    <s v="UNIQUE"/>
    <n v="0"/>
    <n v="97336"/>
    <n v="99"/>
    <n v="0"/>
    <n v="9636264"/>
  </r>
  <r>
    <x v="2"/>
    <x v="14"/>
    <x v="2"/>
    <n v="3"/>
    <n v="35"/>
    <s v="00"/>
    <s v="009"/>
    <s v="33500-009"/>
    <s v="Bassoon retail item #009"/>
    <s v="UNIQUE"/>
    <n v="1"/>
    <n v="778688"/>
    <n v="72"/>
    <n v="778688"/>
    <n v="56065536"/>
  </r>
  <r>
    <x v="2"/>
    <x v="15"/>
    <x v="3"/>
    <n v="3"/>
    <n v="40"/>
    <s v="01"/>
    <s v="000"/>
    <s v="34001-000"/>
    <s v="French horn model #01"/>
    <s v="UNIQUE"/>
    <n v="1"/>
    <n v="681472"/>
    <n v="70"/>
    <n v="681472"/>
    <n v="47703040"/>
  </r>
  <r>
    <x v="2"/>
    <x v="15"/>
    <x v="3"/>
    <n v="3"/>
    <n v="40"/>
    <s v="02"/>
    <s v="000"/>
    <s v="34002-000"/>
    <s v="French horn model #02"/>
    <s v="UNIQUE"/>
    <n v="7"/>
    <n v="84"/>
    <n v="83"/>
    <n v="588"/>
    <n v="6972"/>
  </r>
  <r>
    <x v="2"/>
    <x v="15"/>
    <x v="3"/>
    <n v="3"/>
    <n v="40"/>
    <s v="00"/>
    <s v="000"/>
    <s v="34000-000"/>
    <s v="French horn retail item #000"/>
    <s v="UNIQUE"/>
    <n v="89"/>
    <n v="9025"/>
    <n v="89"/>
    <n v="803225"/>
    <n v="803225"/>
  </r>
  <r>
    <x v="2"/>
    <x v="15"/>
    <x v="3"/>
    <n v="3"/>
    <n v="40"/>
    <s v="00"/>
    <s v="001"/>
    <s v="34000-001"/>
    <s v="French horn retail item #001"/>
    <s v="UNIQUE"/>
    <n v="0"/>
    <n v="1681"/>
    <n v="49"/>
    <n v="0"/>
    <n v="82369"/>
  </r>
  <r>
    <x v="2"/>
    <x v="15"/>
    <x v="3"/>
    <n v="3"/>
    <n v="40"/>
    <s v="00"/>
    <s v="002"/>
    <s v="34000-002"/>
    <s v="French horn retail item #002"/>
    <s v="UNIQUE"/>
    <n v="0"/>
    <n v="357911"/>
    <n v="73"/>
    <n v="0"/>
    <n v="26127503"/>
  </r>
  <r>
    <x v="2"/>
    <x v="15"/>
    <x v="3"/>
    <n v="3"/>
    <n v="40"/>
    <s v="00"/>
    <s v="003"/>
    <s v="34000-003"/>
    <s v="French horn retail item #003"/>
    <s v="UNIQUE"/>
    <n v="83"/>
    <n v="512000"/>
    <n v="14"/>
    <n v="42496000"/>
    <n v="7168000"/>
  </r>
  <r>
    <x v="2"/>
    <x v="15"/>
    <x v="3"/>
    <n v="3"/>
    <n v="40"/>
    <s v="00"/>
    <s v="004"/>
    <s v="34000-004"/>
    <s v="French horn retail item #004"/>
    <s v="UNIQUE"/>
    <n v="8"/>
    <n v="31"/>
    <n v="42"/>
    <n v="248"/>
    <n v="1302"/>
  </r>
  <r>
    <x v="2"/>
    <x v="16"/>
    <x v="3"/>
    <n v="3"/>
    <n v="41"/>
    <s v="01"/>
    <s v="000"/>
    <s v="34101-000"/>
    <s v="Trumpet model #01"/>
    <s v="UNIQUE"/>
    <n v="0"/>
    <n v="8"/>
    <n v="44"/>
    <n v="0"/>
    <n v="352"/>
  </r>
  <r>
    <x v="2"/>
    <x v="16"/>
    <x v="3"/>
    <n v="3"/>
    <n v="41"/>
    <s v="02"/>
    <s v="000"/>
    <s v="34102-000"/>
    <s v="Trumpet model #02"/>
    <s v="UNIQUE"/>
    <n v="0"/>
    <n v="4624"/>
    <n v="31"/>
    <n v="0"/>
    <n v="143344"/>
  </r>
  <r>
    <x v="2"/>
    <x v="16"/>
    <x v="3"/>
    <n v="3"/>
    <n v="41"/>
    <s v="00"/>
    <s v="000"/>
    <s v="34100-000"/>
    <s v="Trumpet retail item #000"/>
    <s v="UNIQUE"/>
    <n v="26"/>
    <n v="46656"/>
    <n v="26"/>
    <n v="1213056"/>
    <n v="1213056"/>
  </r>
  <r>
    <x v="2"/>
    <x v="16"/>
    <x v="3"/>
    <n v="3"/>
    <n v="41"/>
    <s v="00"/>
    <s v="001"/>
    <s v="34100-001"/>
    <s v="Trumpet retail item #001"/>
    <s v="UNIQUE"/>
    <n v="1"/>
    <n v="7744"/>
    <n v="81"/>
    <n v="7744"/>
    <n v="627264"/>
  </r>
  <r>
    <x v="2"/>
    <x v="16"/>
    <x v="3"/>
    <n v="3"/>
    <n v="41"/>
    <s v="00"/>
    <s v="002"/>
    <s v="34100-002"/>
    <s v="Trumpet retail item #002"/>
    <s v="UNIQUE"/>
    <n v="0"/>
    <n v="69"/>
    <n v="45"/>
    <n v="0"/>
    <n v="3105"/>
  </r>
  <r>
    <x v="2"/>
    <x v="16"/>
    <x v="3"/>
    <n v="3"/>
    <n v="41"/>
    <s v="00"/>
    <s v="003"/>
    <s v="34100-003"/>
    <s v="Trumpet retail item #003"/>
    <s v="UNIQUE"/>
    <n v="0"/>
    <n v="175616"/>
    <n v="15"/>
    <n v="0"/>
    <n v="2634240"/>
  </r>
  <r>
    <x v="2"/>
    <x v="16"/>
    <x v="3"/>
    <n v="3"/>
    <n v="41"/>
    <s v="00"/>
    <s v="004"/>
    <s v="34100-004"/>
    <s v="Trumpet retail item #004"/>
    <s v="UNIQUE"/>
    <n v="0"/>
    <n v="357911"/>
    <n v="78"/>
    <n v="0"/>
    <n v="27917058"/>
  </r>
  <r>
    <x v="2"/>
    <x v="17"/>
    <x v="3"/>
    <n v="3"/>
    <n v="42"/>
    <s v="01"/>
    <s v="000"/>
    <s v="34201-000"/>
    <s v="Trombone model #01"/>
    <s v="UNIQUE"/>
    <n v="8"/>
    <n v="531441"/>
    <n v="95"/>
    <n v="4251528"/>
    <n v="50486895"/>
  </r>
  <r>
    <x v="2"/>
    <x v="17"/>
    <x v="3"/>
    <n v="3"/>
    <n v="42"/>
    <s v="02"/>
    <s v="000"/>
    <s v="34202-000"/>
    <s v="Trombone model #02"/>
    <s v="UNIQUE"/>
    <n v="20"/>
    <n v="39304"/>
    <n v="100"/>
    <n v="786080"/>
    <n v="3930400"/>
  </r>
  <r>
    <x v="2"/>
    <x v="17"/>
    <x v="3"/>
    <n v="3"/>
    <n v="42"/>
    <s v="00"/>
    <s v="000"/>
    <s v="34200-000"/>
    <s v="Trombone retail item #000"/>
    <s v="UNIQUE"/>
    <n v="86"/>
    <n v="82"/>
    <n v="47"/>
    <n v="7052"/>
    <n v="3854"/>
  </r>
  <r>
    <x v="2"/>
    <x v="17"/>
    <x v="3"/>
    <n v="3"/>
    <n v="42"/>
    <s v="00"/>
    <s v="001"/>
    <s v="34200-001"/>
    <s v="Trombone retail item #001"/>
    <s v="UNIQUE"/>
    <n v="0"/>
    <n v="36"/>
    <n v="74"/>
    <n v="0"/>
    <n v="2664"/>
  </r>
  <r>
    <x v="2"/>
    <x v="17"/>
    <x v="3"/>
    <n v="3"/>
    <n v="42"/>
    <s v="00"/>
    <s v="002"/>
    <s v="34200-002"/>
    <s v="Trombone retail item #002"/>
    <s v="UNIQUE"/>
    <n v="1"/>
    <n v="4356"/>
    <n v="77"/>
    <n v="4356"/>
    <n v="335412"/>
  </r>
  <r>
    <x v="2"/>
    <x v="17"/>
    <x v="3"/>
    <n v="3"/>
    <n v="42"/>
    <s v="00"/>
    <s v="003"/>
    <s v="34200-003"/>
    <s v="Trombone retail item #003"/>
    <s v="UNIQUE"/>
    <n v="0"/>
    <n v="185193"/>
    <n v="97"/>
    <n v="0"/>
    <n v="17963721"/>
  </r>
  <r>
    <x v="2"/>
    <x v="17"/>
    <x v="3"/>
    <n v="3"/>
    <n v="42"/>
    <s v="00"/>
    <s v="004"/>
    <s v="34200-004"/>
    <s v="Trombone retail item #004"/>
    <s v="UNIQUE"/>
    <n v="0"/>
    <n v="77"/>
    <n v="61"/>
    <n v="0"/>
    <n v="4697"/>
  </r>
  <r>
    <x v="2"/>
    <x v="18"/>
    <x v="3"/>
    <n v="3"/>
    <n v="43"/>
    <s v="01"/>
    <s v="000"/>
    <s v="34301-000"/>
    <s v="Tuba model #01"/>
    <s v="UNIQUE"/>
    <n v="2"/>
    <n v="78"/>
    <n v="41"/>
    <n v="156"/>
    <n v="3198"/>
  </r>
  <r>
    <x v="2"/>
    <x v="18"/>
    <x v="3"/>
    <n v="3"/>
    <n v="43"/>
    <s v="02"/>
    <s v="000"/>
    <s v="34302-000"/>
    <s v="Tuba model #02"/>
    <s v="UNIQUE"/>
    <n v="0"/>
    <n v="58"/>
    <n v="76"/>
    <n v="0"/>
    <n v="4408"/>
  </r>
  <r>
    <x v="2"/>
    <x v="18"/>
    <x v="3"/>
    <n v="3"/>
    <n v="43"/>
    <s v="00"/>
    <s v="000"/>
    <s v="34300-000"/>
    <s v="Tuba retail item #000"/>
    <s v="UNIQUE"/>
    <n v="1"/>
    <n v="8100"/>
    <n v="24"/>
    <n v="8100"/>
    <n v="194400"/>
  </r>
  <r>
    <x v="2"/>
    <x v="18"/>
    <x v="3"/>
    <n v="3"/>
    <n v="43"/>
    <s v="00"/>
    <s v="001"/>
    <s v="34300-001"/>
    <s v="Tuba retail item #001"/>
    <s v="UNIQUE"/>
    <n v="82"/>
    <n v="1331"/>
    <n v="33"/>
    <n v="109142"/>
    <n v="43923"/>
  </r>
  <r>
    <x v="2"/>
    <x v="18"/>
    <x v="3"/>
    <n v="3"/>
    <n v="43"/>
    <s v="00"/>
    <s v="002"/>
    <s v="34300-002"/>
    <s v="Tuba retail item #002"/>
    <s v="UNIQUE"/>
    <n v="0"/>
    <n v="11"/>
    <n v="10"/>
    <n v="0"/>
    <n v="110"/>
  </r>
  <r>
    <x v="2"/>
    <x v="18"/>
    <x v="3"/>
    <n v="3"/>
    <n v="43"/>
    <s v="00"/>
    <s v="003"/>
    <s v="34300-003"/>
    <s v="Tuba retail item #003"/>
    <s v="UNIQUE"/>
    <n v="0"/>
    <n v="53"/>
    <n v="89"/>
    <n v="0"/>
    <n v="4717"/>
  </r>
  <r>
    <x v="2"/>
    <x v="18"/>
    <x v="3"/>
    <n v="3"/>
    <n v="43"/>
    <s v="00"/>
    <s v="004"/>
    <s v="34300-004"/>
    <s v="Tuba retail item #004"/>
    <s v="UNIQUE"/>
    <n v="0"/>
    <n v="238328"/>
    <n v="10"/>
    <n v="0"/>
    <n v="2383280"/>
  </r>
  <r>
    <x v="2"/>
    <x v="19"/>
    <x v="4"/>
    <n v="3"/>
    <n v="50"/>
    <s v="01"/>
    <s v="000"/>
    <s v="35001-000"/>
    <s v="Snare drum model #01"/>
    <s v="UNIQUE"/>
    <n v="0"/>
    <n v="531441"/>
    <n v="16"/>
    <n v="0"/>
    <n v="8503056"/>
  </r>
  <r>
    <x v="2"/>
    <x v="19"/>
    <x v="4"/>
    <n v="3"/>
    <n v="50"/>
    <s v="02"/>
    <s v="000"/>
    <s v="35002-000"/>
    <s v="Snare drum model #02"/>
    <s v="UNIQUE"/>
    <n v="53"/>
    <n v="148877"/>
    <n v="86"/>
    <n v="7890481"/>
    <n v="12803422"/>
  </r>
  <r>
    <x v="2"/>
    <x v="19"/>
    <x v="4"/>
    <n v="3"/>
    <n v="50"/>
    <s v="00"/>
    <s v="000"/>
    <s v="35000-000"/>
    <s v="Snare drum retail item #000"/>
    <s v="UNIQUE"/>
    <n v="28"/>
    <n v="34"/>
    <n v="3"/>
    <n v="952"/>
    <n v="102"/>
  </r>
  <r>
    <x v="2"/>
    <x v="19"/>
    <x v="4"/>
    <n v="3"/>
    <n v="50"/>
    <s v="00"/>
    <s v="001"/>
    <s v="35000-001"/>
    <s v="Snare drum retail item #001"/>
    <s v="UNIQUE"/>
    <n v="0"/>
    <n v="681472"/>
    <n v="59"/>
    <n v="0"/>
    <n v="40206848"/>
  </r>
  <r>
    <x v="2"/>
    <x v="19"/>
    <x v="4"/>
    <n v="3"/>
    <n v="50"/>
    <s v="00"/>
    <s v="002"/>
    <s v="35000-002"/>
    <s v="Snare drum retail item #002"/>
    <s v="UNIQUE"/>
    <n v="0"/>
    <n v="30"/>
    <n v="38"/>
    <n v="0"/>
    <n v="1140"/>
  </r>
  <r>
    <x v="2"/>
    <x v="19"/>
    <x v="4"/>
    <n v="3"/>
    <n v="50"/>
    <s v="00"/>
    <s v="003"/>
    <s v="35000-003"/>
    <s v="Snare drum retail item #003"/>
    <s v="UNIQUE"/>
    <n v="0"/>
    <n v="1296"/>
    <n v="65"/>
    <n v="0"/>
    <n v="84240"/>
  </r>
  <r>
    <x v="2"/>
    <x v="19"/>
    <x v="4"/>
    <n v="3"/>
    <n v="50"/>
    <s v="00"/>
    <s v="004"/>
    <s v="35000-004"/>
    <s v="Snare drum retail item #004"/>
    <s v="UNIQUE"/>
    <n v="0"/>
    <n v="30"/>
    <n v="13"/>
    <n v="0"/>
    <n v="390"/>
  </r>
  <r>
    <x v="2"/>
    <x v="19"/>
    <x v="4"/>
    <n v="3"/>
    <n v="50"/>
    <s v="00"/>
    <s v="005"/>
    <s v="35000-005"/>
    <s v="Snare drum retail item #005"/>
    <s v="UNIQUE"/>
    <n v="0"/>
    <n v="93"/>
    <n v="95"/>
    <n v="0"/>
    <n v="8835"/>
  </r>
  <r>
    <x v="2"/>
    <x v="19"/>
    <x v="4"/>
    <n v="3"/>
    <n v="50"/>
    <s v="00"/>
    <s v="006"/>
    <s v="35000-006"/>
    <s v="Snare drum retail item #006"/>
    <s v="UNIQUE"/>
    <n v="34"/>
    <n v="3375"/>
    <n v="74"/>
    <n v="114750"/>
    <n v="249750"/>
  </r>
  <r>
    <x v="2"/>
    <x v="19"/>
    <x v="4"/>
    <n v="3"/>
    <n v="50"/>
    <s v="00"/>
    <s v="007"/>
    <s v="35000-007"/>
    <s v="Snare drum retail item #007"/>
    <s v="UNIQUE"/>
    <n v="96"/>
    <n v="3136"/>
    <n v="14"/>
    <n v="301056"/>
    <n v="43904"/>
  </r>
  <r>
    <x v="2"/>
    <x v="19"/>
    <x v="4"/>
    <n v="3"/>
    <n v="50"/>
    <s v="00"/>
    <s v="008"/>
    <s v="35000-008"/>
    <s v="Snare drum retail item #008"/>
    <s v="UNIQUE"/>
    <n v="1"/>
    <n v="289"/>
    <n v="81"/>
    <n v="289"/>
    <n v="23409"/>
  </r>
  <r>
    <x v="2"/>
    <x v="19"/>
    <x v="4"/>
    <n v="3"/>
    <n v="50"/>
    <s v="00"/>
    <s v="009"/>
    <s v="35000-009"/>
    <s v="Snare drum retail item #009"/>
    <s v="UNIQUE"/>
    <n v="0"/>
    <n v="29791"/>
    <n v="9"/>
    <n v="0"/>
    <n v="268119"/>
  </r>
  <r>
    <x v="2"/>
    <x v="20"/>
    <x v="4"/>
    <n v="3"/>
    <n v="51"/>
    <s v="01"/>
    <s v="000"/>
    <s v="35101-000"/>
    <s v="Timpani model #01"/>
    <s v="UNIQUE"/>
    <n v="0"/>
    <n v="88"/>
    <n v="54"/>
    <n v="0"/>
    <n v="4752"/>
  </r>
  <r>
    <x v="2"/>
    <x v="20"/>
    <x v="4"/>
    <n v="3"/>
    <n v="51"/>
    <s v="02"/>
    <s v="000"/>
    <s v="35102-000"/>
    <s v="Timpani model #02"/>
    <s v="UNIQUE"/>
    <n v="8"/>
    <n v="8"/>
    <n v="72"/>
    <n v="64"/>
    <n v="576"/>
  </r>
  <r>
    <x v="2"/>
    <x v="20"/>
    <x v="4"/>
    <n v="3"/>
    <n v="51"/>
    <s v="00"/>
    <s v="000"/>
    <s v="35100-000"/>
    <s v="Timpani retail item #000"/>
    <s v="UNIQUE"/>
    <n v="62"/>
    <n v="56"/>
    <n v="14"/>
    <n v="3472"/>
    <n v="784"/>
  </r>
  <r>
    <x v="2"/>
    <x v="20"/>
    <x v="4"/>
    <n v="3"/>
    <n v="51"/>
    <s v="00"/>
    <s v="001"/>
    <s v="35100-001"/>
    <s v="Timpani retail item #001"/>
    <s v="UNIQUE"/>
    <n v="8"/>
    <n v="1"/>
    <n v="42"/>
    <n v="8"/>
    <n v="42"/>
  </r>
  <r>
    <x v="2"/>
    <x v="20"/>
    <x v="4"/>
    <n v="3"/>
    <n v="51"/>
    <s v="00"/>
    <s v="002"/>
    <s v="35100-002"/>
    <s v="Timpani retail item #002"/>
    <s v="UNIQUE"/>
    <n v="0"/>
    <n v="148877"/>
    <n v="36"/>
    <n v="0"/>
    <n v="5359572"/>
  </r>
  <r>
    <x v="2"/>
    <x v="20"/>
    <x v="4"/>
    <n v="3"/>
    <n v="51"/>
    <s v="00"/>
    <s v="003"/>
    <s v="35100-003"/>
    <s v="Timpani retail item #003"/>
    <s v="UNIQUE"/>
    <n v="43"/>
    <n v="11"/>
    <n v="15"/>
    <n v="473"/>
    <n v="165"/>
  </r>
  <r>
    <x v="2"/>
    <x v="20"/>
    <x v="4"/>
    <n v="3"/>
    <n v="51"/>
    <s v="00"/>
    <s v="004"/>
    <s v="35100-004"/>
    <s v="Timpani retail item #004"/>
    <s v="UNIQUE"/>
    <n v="0"/>
    <n v="132651"/>
    <n v="32"/>
    <n v="0"/>
    <n v="4244832"/>
  </r>
  <r>
    <x v="2"/>
    <x v="21"/>
    <x v="4"/>
    <n v="3"/>
    <n v="52"/>
    <s v="01"/>
    <s v="000"/>
    <s v="35201-000"/>
    <s v="Bass drum model #01"/>
    <s v="UNIQUE"/>
    <n v="0"/>
    <n v="5041"/>
    <n v="9"/>
    <n v="0"/>
    <n v="45369"/>
  </r>
  <r>
    <x v="2"/>
    <x v="21"/>
    <x v="4"/>
    <n v="3"/>
    <n v="52"/>
    <s v="02"/>
    <s v="000"/>
    <s v="35202-000"/>
    <s v="Bass drum model #02"/>
    <s v="UNIQUE"/>
    <n v="6"/>
    <n v="94"/>
    <n v="12"/>
    <n v="564"/>
    <n v="1128"/>
  </r>
  <r>
    <x v="2"/>
    <x v="21"/>
    <x v="4"/>
    <n v="3"/>
    <n v="52"/>
    <s v="00"/>
    <s v="000"/>
    <s v="35200-000"/>
    <s v="Bass drum retail item #000"/>
    <s v="UNIQUE"/>
    <n v="5"/>
    <n v="25"/>
    <n v="25"/>
    <n v="125"/>
    <n v="625"/>
  </r>
  <r>
    <x v="2"/>
    <x v="21"/>
    <x v="4"/>
    <n v="3"/>
    <n v="52"/>
    <s v="00"/>
    <s v="001"/>
    <s v="35200-001"/>
    <s v="Bass drum retail item #001"/>
    <s v="UNIQUE"/>
    <n v="23"/>
    <n v="1728"/>
    <n v="35"/>
    <n v="39744"/>
    <n v="60480"/>
  </r>
  <r>
    <x v="2"/>
    <x v="21"/>
    <x v="4"/>
    <n v="3"/>
    <n v="52"/>
    <s v="00"/>
    <s v="002"/>
    <s v="35200-002"/>
    <s v="Bass drum retail item #002"/>
    <s v="UNIQUE"/>
    <n v="78"/>
    <n v="17"/>
    <n v="10"/>
    <n v="1326"/>
    <n v="170"/>
  </r>
  <r>
    <x v="2"/>
    <x v="21"/>
    <x v="4"/>
    <n v="3"/>
    <n v="52"/>
    <s v="00"/>
    <s v="003"/>
    <s v="35200-003"/>
    <s v="Bass drum retail item #003"/>
    <s v="UNIQUE"/>
    <n v="0"/>
    <n v="7396"/>
    <n v="98"/>
    <n v="0"/>
    <n v="724808"/>
  </r>
  <r>
    <x v="2"/>
    <x v="21"/>
    <x v="4"/>
    <n v="3"/>
    <n v="52"/>
    <s v="00"/>
    <s v="004"/>
    <s v="35200-004"/>
    <s v="Bass drum retail item #004"/>
    <s v="UNIQUE"/>
    <n v="0"/>
    <n v="7056"/>
    <n v="85"/>
    <n v="0"/>
    <n v="599760"/>
  </r>
  <r>
    <x v="2"/>
    <x v="22"/>
    <x v="4"/>
    <n v="3"/>
    <n v="53"/>
    <s v="01"/>
    <s v="000"/>
    <s v="35301-000"/>
    <s v="Cymbal model #01"/>
    <s v="UNIQUE"/>
    <n v="59"/>
    <n v="12167"/>
    <n v="46"/>
    <n v="717853"/>
    <n v="559682"/>
  </r>
  <r>
    <x v="2"/>
    <x v="22"/>
    <x v="4"/>
    <n v="3"/>
    <n v="53"/>
    <s v="02"/>
    <s v="000"/>
    <s v="35302-000"/>
    <s v="Cymbal model #02"/>
    <s v="UNIQUE"/>
    <n v="7"/>
    <n v="8000"/>
    <n v="7"/>
    <n v="56000"/>
    <n v="56000"/>
  </r>
  <r>
    <x v="2"/>
    <x v="22"/>
    <x v="4"/>
    <n v="3"/>
    <n v="53"/>
    <s v="03"/>
    <s v="000"/>
    <s v="35303-000"/>
    <s v="Cymbal model #03"/>
    <s v="UNIQUE"/>
    <n v="0"/>
    <n v="205379"/>
    <n v="94"/>
    <n v="0"/>
    <n v="19305626"/>
  </r>
  <r>
    <x v="2"/>
    <x v="22"/>
    <x v="4"/>
    <n v="3"/>
    <n v="53"/>
    <s v="04"/>
    <s v="000"/>
    <s v="35304-000"/>
    <s v="Cymbal model #04"/>
    <s v="UNIQUE"/>
    <n v="0"/>
    <n v="73"/>
    <n v="7"/>
    <n v="0"/>
    <n v="511"/>
  </r>
  <r>
    <x v="2"/>
    <x v="22"/>
    <x v="4"/>
    <n v="3"/>
    <n v="53"/>
    <s v="05"/>
    <s v="000"/>
    <s v="35305-000"/>
    <s v="Cymbal model #05"/>
    <s v="UNIQUE"/>
    <n v="26"/>
    <n v="166375"/>
    <n v="62"/>
    <n v="4325750"/>
    <n v="10315250"/>
  </r>
  <r>
    <x v="2"/>
    <x v="22"/>
    <x v="4"/>
    <n v="3"/>
    <n v="53"/>
    <s v="00"/>
    <s v="000"/>
    <s v="35300-000"/>
    <s v="Cymbal retail item #000"/>
    <s v="UNIQUE"/>
    <n v="0"/>
    <n v="29791"/>
    <n v="73"/>
    <n v="0"/>
    <n v="2174743"/>
  </r>
  <r>
    <x v="2"/>
    <x v="22"/>
    <x v="4"/>
    <n v="3"/>
    <n v="53"/>
    <s v="00"/>
    <s v="001"/>
    <s v="35300-001"/>
    <s v="Cymbal retail item #001"/>
    <s v="UNIQUE"/>
    <n v="0"/>
    <n v="5"/>
    <n v="25"/>
    <n v="0"/>
    <n v="125"/>
  </r>
  <r>
    <x v="2"/>
    <x v="22"/>
    <x v="4"/>
    <n v="3"/>
    <n v="53"/>
    <s v="00"/>
    <s v="002"/>
    <s v="35300-002"/>
    <s v="Cymbal retail item #002"/>
    <s v="UNIQUE"/>
    <n v="3"/>
    <n v="9216"/>
    <n v="44"/>
    <n v="27648"/>
    <n v="405504"/>
  </r>
  <r>
    <x v="2"/>
    <x v="22"/>
    <x v="4"/>
    <n v="3"/>
    <n v="53"/>
    <s v="00"/>
    <s v="003"/>
    <s v="35300-003"/>
    <s v="Cymbal retail item #003"/>
    <s v="UNIQUE"/>
    <n v="0"/>
    <n v="1444"/>
    <n v="89"/>
    <n v="0"/>
    <n v="128516"/>
  </r>
  <r>
    <x v="2"/>
    <x v="22"/>
    <x v="4"/>
    <n v="3"/>
    <n v="53"/>
    <s v="00"/>
    <s v="004"/>
    <s v="35300-004"/>
    <s v="Cymbal retail item #004"/>
    <s v="UNIQUE"/>
    <n v="0"/>
    <n v="20"/>
    <n v="93"/>
    <n v="0"/>
    <n v="1860"/>
  </r>
  <r>
    <x v="2"/>
    <x v="23"/>
    <x v="5"/>
    <n v="3"/>
    <n v="60"/>
    <s v="01"/>
    <s v="000"/>
    <s v="36001-000"/>
    <s v="Theremin model #01"/>
    <s v="UNIQUE"/>
    <n v="0"/>
    <n v="373248"/>
    <n v="61"/>
    <n v="0"/>
    <n v="22768128"/>
  </r>
  <r>
    <x v="2"/>
    <x v="23"/>
    <x v="5"/>
    <n v="3"/>
    <n v="60"/>
    <s v="00"/>
    <s v="000"/>
    <s v="36000-000"/>
    <s v="Theremin retail item #000"/>
    <s v="UNIQUE"/>
    <n v="2"/>
    <n v="2401"/>
    <n v="76"/>
    <n v="4802"/>
    <n v="182476"/>
  </r>
  <r>
    <x v="2"/>
    <x v="23"/>
    <x v="5"/>
    <n v="3"/>
    <n v="60"/>
    <s v="00"/>
    <s v="001"/>
    <s v="36000-001"/>
    <s v="Theremin retail item #001"/>
    <s v="UNIQUE"/>
    <n v="13"/>
    <n v="27000"/>
    <n v="36"/>
    <n v="351000"/>
    <n v="972000"/>
  </r>
  <r>
    <x v="2"/>
    <x v="23"/>
    <x v="5"/>
    <n v="3"/>
    <n v="60"/>
    <s v="00"/>
    <s v="002"/>
    <s v="36000-002"/>
    <s v="Theremin retail item #002"/>
    <s v="UNIQUE"/>
    <n v="0"/>
    <n v="67"/>
    <n v="70"/>
    <n v="0"/>
    <n v="4690"/>
  </r>
  <r>
    <x v="2"/>
    <x v="23"/>
    <x v="5"/>
    <n v="3"/>
    <n v="60"/>
    <s v="00"/>
    <s v="003"/>
    <s v="36000-003"/>
    <s v="Theremin retail item #003"/>
    <s v="UNIQUE"/>
    <n v="1"/>
    <n v="4761"/>
    <n v="39"/>
    <n v="4761"/>
    <n v="185679"/>
  </r>
  <r>
    <x v="2"/>
    <x v="23"/>
    <x v="5"/>
    <n v="3"/>
    <n v="60"/>
    <s v="00"/>
    <s v="004"/>
    <s v="36000-004"/>
    <s v="Theremin retail item #004"/>
    <s v="UNIQUE"/>
    <n v="5"/>
    <n v="88"/>
    <n v="44"/>
    <n v="440"/>
    <n v="3872"/>
  </r>
  <r>
    <x v="2"/>
    <x v="23"/>
    <x v="5"/>
    <n v="3"/>
    <n v="60"/>
    <s v="00"/>
    <s v="005"/>
    <s v="36000-005"/>
    <s v="Theremin retail item #005"/>
    <s v="UNIQUE"/>
    <n v="79"/>
    <n v="72"/>
    <n v="73"/>
    <n v="5688"/>
    <n v="5256"/>
  </r>
  <r>
    <x v="2"/>
    <x v="23"/>
    <x v="5"/>
    <n v="3"/>
    <n v="60"/>
    <s v="00"/>
    <s v="006"/>
    <s v="36000-006"/>
    <s v="Theremin retail item #006"/>
    <s v="UNIQUE"/>
    <n v="5"/>
    <n v="438976"/>
    <n v="36"/>
    <n v="2194880"/>
    <n v="15803136"/>
  </r>
  <r>
    <x v="2"/>
    <x v="23"/>
    <x v="5"/>
    <n v="3"/>
    <n v="60"/>
    <s v="00"/>
    <s v="007"/>
    <s v="36000-007"/>
    <s v="Theremin retail item #007"/>
    <s v="UNIQUE"/>
    <n v="0"/>
    <n v="287496"/>
    <n v="74"/>
    <n v="0"/>
    <n v="21274704"/>
  </r>
  <r>
    <x v="2"/>
    <x v="23"/>
    <x v="5"/>
    <n v="3"/>
    <n v="60"/>
    <s v="00"/>
    <s v="008"/>
    <s v="36000-008"/>
    <s v="Theremin retail item #008"/>
    <s v="UNIQUE"/>
    <n v="0"/>
    <n v="59"/>
    <n v="56"/>
    <n v="0"/>
    <n v="3304"/>
  </r>
  <r>
    <x v="2"/>
    <x v="23"/>
    <x v="5"/>
    <n v="3"/>
    <n v="60"/>
    <s v="00"/>
    <s v="009"/>
    <s v="36000-009"/>
    <s v="Theremin retail item #009"/>
    <s v="UNIQUE"/>
    <n v="0"/>
    <n v="857375"/>
    <n v="81"/>
    <n v="0"/>
    <n v="69447375"/>
  </r>
  <r>
    <x v="2"/>
    <x v="23"/>
    <x v="5"/>
    <n v="3"/>
    <n v="60"/>
    <s v="00"/>
    <s v="010"/>
    <s v="36000-010"/>
    <s v="Theremin retail item #010"/>
    <s v="UNIQUE"/>
    <n v="0"/>
    <n v="12"/>
    <n v="8"/>
    <n v="0"/>
    <n v="96"/>
  </r>
  <r>
    <x v="2"/>
    <x v="23"/>
    <x v="5"/>
    <n v="3"/>
    <n v="60"/>
    <s v="00"/>
    <s v="011"/>
    <s v="36000-011"/>
    <s v="Theremin retail item #011"/>
    <s v="UNIQUE"/>
    <n v="50"/>
    <n v="1764"/>
    <n v="100"/>
    <n v="88200"/>
    <n v="176400"/>
  </r>
  <r>
    <x v="2"/>
    <x v="23"/>
    <x v="5"/>
    <n v="3"/>
    <n v="60"/>
    <s v="00"/>
    <s v="012"/>
    <s v="36000-012"/>
    <s v="Theremin retail item #012"/>
    <s v="UNIQUE"/>
    <n v="0"/>
    <n v="79"/>
    <n v="13"/>
    <n v="0"/>
    <n v="1027"/>
  </r>
  <r>
    <x v="2"/>
    <x v="23"/>
    <x v="5"/>
    <n v="3"/>
    <n v="60"/>
    <s v="00"/>
    <s v="013"/>
    <s v="36000-013"/>
    <s v="Theremin retail item #013"/>
    <s v="UNIQUE"/>
    <n v="0"/>
    <n v="16"/>
    <n v="14"/>
    <n v="0"/>
    <n v="224"/>
  </r>
  <r>
    <x v="2"/>
    <x v="23"/>
    <x v="5"/>
    <n v="3"/>
    <n v="60"/>
    <s v="00"/>
    <s v="014"/>
    <s v="36000-014"/>
    <s v="Theremin retail item #014"/>
    <s v="UNIQUE"/>
    <n v="4"/>
    <n v="287496"/>
    <n v="48"/>
    <n v="1149984"/>
    <n v="13799808"/>
  </r>
  <r>
    <x v="2"/>
    <x v="23"/>
    <x v="5"/>
    <n v="3"/>
    <n v="60"/>
    <s v="00"/>
    <s v="015"/>
    <s v="36000-015"/>
    <s v="Theremin retail item #015"/>
    <s v="UNIQUE"/>
    <n v="22"/>
    <n v="6561"/>
    <n v="30"/>
    <n v="144342"/>
    <n v="196830"/>
  </r>
  <r>
    <x v="2"/>
    <x v="23"/>
    <x v="5"/>
    <n v="3"/>
    <n v="60"/>
    <s v="00"/>
    <s v="016"/>
    <s v="36000-016"/>
    <s v="Theremin retail item #016"/>
    <s v="UNIQUE"/>
    <n v="0"/>
    <n v="389017"/>
    <n v="82"/>
    <n v="0"/>
    <n v="31899394"/>
  </r>
  <r>
    <x v="2"/>
    <x v="23"/>
    <x v="5"/>
    <n v="3"/>
    <n v="60"/>
    <s v="00"/>
    <s v="017"/>
    <s v="36000-017"/>
    <s v="Theremin retail item #017"/>
    <s v="UNIQUE"/>
    <n v="67"/>
    <n v="25"/>
    <n v="42"/>
    <n v="1675"/>
    <n v="1050"/>
  </r>
  <r>
    <x v="2"/>
    <x v="23"/>
    <x v="5"/>
    <n v="3"/>
    <n v="60"/>
    <s v="00"/>
    <s v="018"/>
    <s v="36000-018"/>
    <s v="Theremin retail item #018"/>
    <s v="UNIQUE"/>
    <n v="29"/>
    <n v="42"/>
    <n v="84"/>
    <n v="1218"/>
    <n v="3528"/>
  </r>
  <r>
    <x v="2"/>
    <x v="23"/>
    <x v="5"/>
    <n v="3"/>
    <n v="60"/>
    <s v="00"/>
    <s v="019"/>
    <s v="36000-019"/>
    <s v="Theremin retail item #019"/>
    <s v="UNIQUE"/>
    <n v="1"/>
    <n v="4096"/>
    <n v="56"/>
    <n v="4096"/>
    <n v="229376"/>
  </r>
  <r>
    <x v="2"/>
    <x v="24"/>
    <x v="5"/>
    <n v="3"/>
    <n v="61"/>
    <s v="01"/>
    <s v="000"/>
    <s v="36101-000"/>
    <s v="Synthesizer model #01"/>
    <s v="UNIQUE"/>
    <n v="9"/>
    <n v="6084"/>
    <n v="61"/>
    <n v="54756"/>
    <n v="371124"/>
  </r>
  <r>
    <x v="2"/>
    <x v="24"/>
    <x v="5"/>
    <n v="3"/>
    <n v="61"/>
    <s v="00"/>
    <s v="000"/>
    <s v="36100-000"/>
    <s v="Synthesizer retail item #000"/>
    <s v="UNIQUE"/>
    <n v="0"/>
    <n v="83"/>
    <n v="49"/>
    <n v="0"/>
    <n v="4067"/>
  </r>
  <r>
    <x v="2"/>
    <x v="24"/>
    <x v="5"/>
    <n v="3"/>
    <n v="61"/>
    <s v="00"/>
    <s v="001"/>
    <s v="36100-001"/>
    <s v="Synthesizer retail item #001"/>
    <s v="UNIQUE"/>
    <n v="0"/>
    <n v="81"/>
    <n v="72"/>
    <n v="0"/>
    <n v="5832"/>
  </r>
  <r>
    <x v="2"/>
    <x v="24"/>
    <x v="5"/>
    <n v="3"/>
    <n v="61"/>
    <s v="00"/>
    <s v="002"/>
    <s v="36100-002"/>
    <s v="Synthesizer retail item #002"/>
    <s v="UNIQUE"/>
    <n v="1"/>
    <n v="100"/>
    <n v="89"/>
    <n v="100"/>
    <n v="8900"/>
  </r>
  <r>
    <x v="2"/>
    <x v="24"/>
    <x v="5"/>
    <n v="3"/>
    <n v="61"/>
    <s v="00"/>
    <s v="003"/>
    <s v="36100-003"/>
    <s v="Synthesizer retail item #003"/>
    <s v="UNIQUE"/>
    <n v="0"/>
    <n v="21"/>
    <n v="11"/>
    <n v="0"/>
    <n v="231"/>
  </r>
  <r>
    <x v="2"/>
    <x v="24"/>
    <x v="5"/>
    <n v="3"/>
    <n v="61"/>
    <s v="00"/>
    <s v="004"/>
    <s v="36100-004"/>
    <s v="Synthesizer retail item #004"/>
    <s v="UNIQUE"/>
    <n v="0"/>
    <n v="343000"/>
    <n v="42"/>
    <n v="0"/>
    <n v="14406000"/>
  </r>
  <r>
    <x v="2"/>
    <x v="24"/>
    <x v="5"/>
    <n v="3"/>
    <n v="61"/>
    <s v="00"/>
    <s v="005"/>
    <s v="36100-005"/>
    <s v="Synthesizer retail item #005"/>
    <s v="UNIQUE"/>
    <n v="7"/>
    <n v="729000"/>
    <n v="35"/>
    <n v="5103000"/>
    <n v="25515000"/>
  </r>
  <r>
    <x v="2"/>
    <x v="24"/>
    <x v="5"/>
    <n v="3"/>
    <n v="61"/>
    <s v="00"/>
    <s v="006"/>
    <s v="36100-006"/>
    <s v="Synthesizer retail item #006"/>
    <s v="UNIQUE"/>
    <n v="0"/>
    <n v="26"/>
    <n v="100"/>
    <n v="0"/>
    <n v="2600"/>
  </r>
  <r>
    <x v="2"/>
    <x v="24"/>
    <x v="5"/>
    <n v="3"/>
    <n v="61"/>
    <s v="00"/>
    <s v="007"/>
    <s v="36100-007"/>
    <s v="Synthesizer retail item #007"/>
    <s v="UNIQUE"/>
    <n v="2"/>
    <n v="8100"/>
    <n v="79"/>
    <n v="16200"/>
    <n v="639900"/>
  </r>
  <r>
    <x v="2"/>
    <x v="24"/>
    <x v="5"/>
    <n v="3"/>
    <n v="61"/>
    <s v="00"/>
    <s v="008"/>
    <s v="36100-008"/>
    <s v="Synthesizer retail item #008"/>
    <s v="UNIQUE"/>
    <n v="9"/>
    <n v="96"/>
    <n v="37"/>
    <n v="864"/>
    <n v="3552"/>
  </r>
  <r>
    <x v="2"/>
    <x v="24"/>
    <x v="5"/>
    <n v="3"/>
    <n v="61"/>
    <s v="00"/>
    <s v="009"/>
    <s v="36100-009"/>
    <s v="Synthesizer retail item #009"/>
    <s v="UNIQUE"/>
    <n v="89"/>
    <n v="175616"/>
    <n v="97"/>
    <n v="15629824"/>
    <n v="17034752"/>
  </r>
  <r>
    <x v="2"/>
    <x v="24"/>
    <x v="5"/>
    <n v="3"/>
    <n v="61"/>
    <s v="00"/>
    <s v="010"/>
    <s v="36100-010"/>
    <s v="Synthesizer retail item #010"/>
    <s v="UNIQUE"/>
    <n v="0"/>
    <n v="357911"/>
    <n v="61"/>
    <n v="0"/>
    <n v="21832571"/>
  </r>
  <r>
    <x v="2"/>
    <x v="24"/>
    <x v="5"/>
    <n v="3"/>
    <n v="61"/>
    <s v="00"/>
    <s v="011"/>
    <s v="36100-011"/>
    <s v="Synthesizer retail item #011"/>
    <s v="UNIQUE"/>
    <n v="0"/>
    <n v="226981"/>
    <n v="39"/>
    <n v="0"/>
    <n v="8852259"/>
  </r>
  <r>
    <x v="2"/>
    <x v="24"/>
    <x v="5"/>
    <n v="3"/>
    <n v="61"/>
    <s v="00"/>
    <s v="012"/>
    <s v="36100-012"/>
    <s v="Synthesizer retail item #012"/>
    <s v="UNIQUE"/>
    <n v="47"/>
    <n v="81"/>
    <n v="35"/>
    <n v="3807"/>
    <n v="2835"/>
  </r>
  <r>
    <x v="2"/>
    <x v="24"/>
    <x v="5"/>
    <n v="3"/>
    <n v="61"/>
    <s v="00"/>
    <s v="013"/>
    <s v="36100-013"/>
    <s v="Synthesizer retail item #013"/>
    <s v="UNIQUE"/>
    <n v="0"/>
    <n v="74"/>
    <n v="36"/>
    <n v="0"/>
    <n v="2664"/>
  </r>
  <r>
    <x v="2"/>
    <x v="24"/>
    <x v="5"/>
    <n v="3"/>
    <n v="61"/>
    <s v="00"/>
    <s v="014"/>
    <s v="36100-014"/>
    <s v="Synthesizer retail item #014"/>
    <s v="UNIQUE"/>
    <n v="1"/>
    <n v="576"/>
    <n v="11"/>
    <n v="576"/>
    <n v="6336"/>
  </r>
  <r>
    <x v="2"/>
    <x v="24"/>
    <x v="5"/>
    <n v="3"/>
    <n v="61"/>
    <s v="00"/>
    <s v="015"/>
    <s v="36100-015"/>
    <s v="Synthesizer retail item #015"/>
    <s v="UNIQUE"/>
    <n v="0"/>
    <n v="27"/>
    <n v="4"/>
    <n v="0"/>
    <n v="108"/>
  </r>
  <r>
    <x v="2"/>
    <x v="24"/>
    <x v="5"/>
    <n v="3"/>
    <n v="61"/>
    <s v="00"/>
    <s v="016"/>
    <s v="36100-016"/>
    <s v="Synthesizer retail item #016"/>
    <s v="UNIQUE"/>
    <n v="0"/>
    <n v="3481"/>
    <n v="28"/>
    <n v="0"/>
    <n v="97468"/>
  </r>
  <r>
    <x v="2"/>
    <x v="24"/>
    <x v="5"/>
    <n v="3"/>
    <n v="61"/>
    <s v="00"/>
    <s v="017"/>
    <s v="36100-017"/>
    <s v="Synthesizer retail item #017"/>
    <s v="UNIQUE"/>
    <n v="0"/>
    <n v="6400"/>
    <n v="58"/>
    <n v="0"/>
    <n v="371200"/>
  </r>
  <r>
    <x v="2"/>
    <x v="24"/>
    <x v="5"/>
    <n v="3"/>
    <n v="61"/>
    <s v="00"/>
    <s v="018"/>
    <s v="36100-018"/>
    <s v="Synthesizer retail item #018"/>
    <s v="UNIQUE"/>
    <n v="0"/>
    <n v="87"/>
    <n v="88"/>
    <n v="0"/>
    <n v="7656"/>
  </r>
  <r>
    <x v="2"/>
    <x v="24"/>
    <x v="5"/>
    <n v="3"/>
    <n v="61"/>
    <s v="00"/>
    <s v="019"/>
    <s v="36100-019"/>
    <s v="Synthesizer retail item #019"/>
    <s v="UNIQUE"/>
    <n v="68"/>
    <n v="100"/>
    <n v="90"/>
    <n v="6800"/>
    <n v="9000"/>
  </r>
  <r>
    <x v="2"/>
    <x v="25"/>
    <x v="5"/>
    <n v="3"/>
    <n v="62"/>
    <s v="01"/>
    <s v="000"/>
    <s v="36201-000"/>
    <s v="Software model #01"/>
    <s v="UNIQUE"/>
    <n v="91"/>
    <n v="7744"/>
    <n v="23"/>
    <n v="704704"/>
    <n v="178112"/>
  </r>
  <r>
    <x v="2"/>
    <x v="25"/>
    <x v="5"/>
    <n v="3"/>
    <n v="62"/>
    <s v="02"/>
    <s v="000"/>
    <s v="36202-000"/>
    <s v="Software model #02"/>
    <s v="UNIQUE"/>
    <n v="0"/>
    <n v="343000"/>
    <n v="38"/>
    <n v="0"/>
    <n v="13034000"/>
  </r>
  <r>
    <x v="2"/>
    <x v="25"/>
    <x v="5"/>
    <n v="3"/>
    <n v="62"/>
    <s v="03"/>
    <s v="000"/>
    <s v="36203-000"/>
    <s v="Software model #03"/>
    <s v="UNIQUE"/>
    <n v="0"/>
    <n v="1728"/>
    <n v="17"/>
    <n v="0"/>
    <n v="29376"/>
  </r>
  <r>
    <x v="2"/>
    <x v="25"/>
    <x v="5"/>
    <n v="3"/>
    <n v="62"/>
    <s v="04"/>
    <s v="000"/>
    <s v="36204-000"/>
    <s v="Software model #04"/>
    <s v="UNIQUE"/>
    <n v="0"/>
    <n v="89"/>
    <n v="79"/>
    <n v="0"/>
    <n v="7031"/>
  </r>
  <r>
    <x v="2"/>
    <x v="25"/>
    <x v="5"/>
    <n v="3"/>
    <n v="62"/>
    <s v="05"/>
    <s v="000"/>
    <s v="36205-000"/>
    <s v="Software model #05"/>
    <s v="UNIQUE"/>
    <n v="0"/>
    <n v="8000"/>
    <n v="25"/>
    <n v="0"/>
    <n v="200000"/>
  </r>
  <r>
    <x v="2"/>
    <x v="25"/>
    <x v="5"/>
    <n v="3"/>
    <n v="62"/>
    <s v="06"/>
    <s v="000"/>
    <s v="36206-000"/>
    <s v="Software model #06"/>
    <s v="UNIQUE"/>
    <n v="0"/>
    <n v="256"/>
    <n v="31"/>
    <n v="0"/>
    <n v="7936"/>
  </r>
  <r>
    <x v="2"/>
    <x v="25"/>
    <x v="5"/>
    <n v="3"/>
    <n v="62"/>
    <s v="07"/>
    <s v="000"/>
    <s v="36207-000"/>
    <s v="Software model #07"/>
    <s v="UNIQUE"/>
    <n v="0"/>
    <n v="3844"/>
    <n v="26"/>
    <n v="0"/>
    <n v="99944"/>
  </r>
  <r>
    <x v="2"/>
    <x v="25"/>
    <x v="5"/>
    <n v="3"/>
    <n v="62"/>
    <s v="08"/>
    <s v="000"/>
    <s v="36208-000"/>
    <s v="Software model #08"/>
    <s v="UNIQUE"/>
    <n v="1"/>
    <n v="53"/>
    <n v="76"/>
    <n v="53"/>
    <n v="4028"/>
  </r>
  <r>
    <x v="2"/>
    <x v="25"/>
    <x v="5"/>
    <n v="3"/>
    <n v="62"/>
    <s v="09"/>
    <s v="000"/>
    <s v="36209-000"/>
    <s v="Software model #09"/>
    <s v="UNIQUE"/>
    <n v="17"/>
    <n v="64"/>
    <n v="59"/>
    <n v="1088"/>
    <n v="3776"/>
  </r>
  <r>
    <x v="2"/>
    <x v="25"/>
    <x v="5"/>
    <n v="3"/>
    <n v="62"/>
    <s v="10"/>
    <s v="000"/>
    <s v="36210-000"/>
    <s v="Software model #10"/>
    <s v="UNIQUE"/>
    <n v="0"/>
    <n v="3844"/>
    <n v="15"/>
    <n v="0"/>
    <n v="57660"/>
  </r>
  <r>
    <x v="2"/>
    <x v="25"/>
    <x v="5"/>
    <n v="3"/>
    <n v="62"/>
    <s v="11"/>
    <s v="000"/>
    <s v="36211-000"/>
    <s v="Software model #11"/>
    <s v="UNIQUE"/>
    <n v="0"/>
    <n v="4900"/>
    <n v="7"/>
    <n v="0"/>
    <n v="34300"/>
  </r>
  <r>
    <x v="2"/>
    <x v="25"/>
    <x v="5"/>
    <n v="3"/>
    <n v="62"/>
    <s v="12"/>
    <s v="000"/>
    <s v="36212-000"/>
    <s v="Software model #12"/>
    <s v="UNIQUE"/>
    <n v="0"/>
    <n v="900"/>
    <n v="65"/>
    <n v="0"/>
    <n v="58500"/>
  </r>
  <r>
    <x v="2"/>
    <x v="25"/>
    <x v="5"/>
    <n v="3"/>
    <n v="62"/>
    <s v="13"/>
    <s v="000"/>
    <s v="36213-000"/>
    <s v="Software model #13"/>
    <s v="UNIQUE"/>
    <n v="0"/>
    <n v="32"/>
    <n v="77"/>
    <n v="0"/>
    <n v="2464"/>
  </r>
  <r>
    <x v="2"/>
    <x v="25"/>
    <x v="5"/>
    <n v="3"/>
    <n v="62"/>
    <s v="14"/>
    <s v="000"/>
    <s v="36214-000"/>
    <s v="Software model #14"/>
    <s v="UNIQUE"/>
    <n v="0"/>
    <n v="82"/>
    <n v="91"/>
    <n v="0"/>
    <n v="7462"/>
  </r>
  <r>
    <x v="2"/>
    <x v="25"/>
    <x v="5"/>
    <n v="3"/>
    <n v="62"/>
    <s v="15"/>
    <s v="000"/>
    <s v="36215-000"/>
    <s v="Software model #15"/>
    <s v="UNIQUE"/>
    <n v="0"/>
    <n v="226981"/>
    <n v="31"/>
    <n v="0"/>
    <n v="7036411"/>
  </r>
  <r>
    <x v="2"/>
    <x v="25"/>
    <x v="5"/>
    <n v="3"/>
    <n v="62"/>
    <s v="16"/>
    <s v="000"/>
    <s v="36216-000"/>
    <s v="Software model #16"/>
    <s v="UNIQUE"/>
    <n v="22"/>
    <n v="43"/>
    <n v="33"/>
    <n v="946"/>
    <n v="1419"/>
  </r>
  <r>
    <x v="2"/>
    <x v="25"/>
    <x v="5"/>
    <n v="3"/>
    <n v="62"/>
    <s v="17"/>
    <s v="000"/>
    <s v="36217-000"/>
    <s v="Software model #17"/>
    <s v="UNIQUE"/>
    <n v="0"/>
    <n v="33"/>
    <n v="58"/>
    <n v="0"/>
    <n v="1914"/>
  </r>
  <r>
    <x v="2"/>
    <x v="25"/>
    <x v="5"/>
    <n v="3"/>
    <n v="62"/>
    <s v="18"/>
    <s v="000"/>
    <s v="36218-000"/>
    <s v="Software model #18"/>
    <s v="UNIQUE"/>
    <n v="0"/>
    <n v="1024"/>
    <n v="42"/>
    <n v="0"/>
    <n v="43008"/>
  </r>
  <r>
    <x v="2"/>
    <x v="25"/>
    <x v="5"/>
    <n v="3"/>
    <n v="62"/>
    <s v="19"/>
    <s v="000"/>
    <s v="36219-000"/>
    <s v="Software model #19"/>
    <s v="UNIQUE"/>
    <n v="8"/>
    <n v="9801"/>
    <n v="16"/>
    <n v="78408"/>
    <n v="156816"/>
  </r>
  <r>
    <x v="2"/>
    <x v="25"/>
    <x v="5"/>
    <n v="3"/>
    <n v="62"/>
    <s v="20"/>
    <s v="000"/>
    <s v="36220-000"/>
    <s v="Software model #20"/>
    <s v="UNIQUE"/>
    <n v="1"/>
    <n v="81"/>
    <n v="7"/>
    <n v="81"/>
    <n v="567"/>
  </r>
  <r>
    <x v="2"/>
    <x v="25"/>
    <x v="5"/>
    <n v="3"/>
    <n v="62"/>
    <s v="21"/>
    <s v="000"/>
    <s v="36221-000"/>
    <s v="Software model #21"/>
    <s v="UNIQUE"/>
    <n v="55"/>
    <n v="64"/>
    <n v="88"/>
    <n v="3520"/>
    <n v="5632"/>
  </r>
  <r>
    <x v="2"/>
    <x v="25"/>
    <x v="5"/>
    <n v="3"/>
    <n v="62"/>
    <s v="22"/>
    <s v="000"/>
    <s v="36222-000"/>
    <s v="Software model #22"/>
    <s v="UNIQUE"/>
    <n v="6"/>
    <n v="1444"/>
    <n v="66"/>
    <n v="8664"/>
    <n v="95304"/>
  </r>
  <r>
    <x v="2"/>
    <x v="25"/>
    <x v="5"/>
    <n v="3"/>
    <n v="62"/>
    <s v="23"/>
    <s v="000"/>
    <s v="36223-000"/>
    <s v="Software model #23"/>
    <s v="UNIQUE"/>
    <n v="0"/>
    <n v="23"/>
    <n v="13"/>
    <n v="0"/>
    <n v="299"/>
  </r>
  <r>
    <x v="2"/>
    <x v="25"/>
    <x v="5"/>
    <n v="3"/>
    <n v="62"/>
    <s v="24"/>
    <s v="000"/>
    <s v="36224-000"/>
    <s v="Software model #24"/>
    <s v="UNIQUE"/>
    <n v="2"/>
    <n v="23"/>
    <n v="71"/>
    <n v="46"/>
    <n v="1633"/>
  </r>
  <r>
    <x v="2"/>
    <x v="25"/>
    <x v="5"/>
    <n v="3"/>
    <n v="62"/>
    <s v="25"/>
    <s v="000"/>
    <s v="36225-000"/>
    <s v="Software model #25"/>
    <s v="UNIQUE"/>
    <n v="0"/>
    <n v="41"/>
    <n v="59"/>
    <n v="0"/>
    <n v="2419"/>
  </r>
  <r>
    <x v="2"/>
    <x v="25"/>
    <x v="5"/>
    <n v="3"/>
    <n v="62"/>
    <s v="26"/>
    <s v="000"/>
    <s v="36226-000"/>
    <s v="Software model #26"/>
    <s v="UNIQUE"/>
    <n v="6"/>
    <n v="17"/>
    <n v="9"/>
    <n v="102"/>
    <n v="153"/>
  </r>
  <r>
    <x v="2"/>
    <x v="25"/>
    <x v="5"/>
    <n v="3"/>
    <n v="62"/>
    <s v="27"/>
    <s v="000"/>
    <s v="36227-000"/>
    <s v="Software model #27"/>
    <s v="UNIQUE"/>
    <n v="0"/>
    <n v="94"/>
    <n v="57"/>
    <n v="0"/>
    <n v="5358"/>
  </r>
  <r>
    <x v="2"/>
    <x v="25"/>
    <x v="5"/>
    <n v="3"/>
    <n v="62"/>
    <s v="28"/>
    <s v="000"/>
    <s v="36228-000"/>
    <s v="Software model #28"/>
    <s v="UNIQUE"/>
    <n v="1"/>
    <n v="4489"/>
    <n v="38"/>
    <n v="4489"/>
    <n v="170582"/>
  </r>
  <r>
    <x v="2"/>
    <x v="25"/>
    <x v="5"/>
    <n v="3"/>
    <n v="62"/>
    <s v="29"/>
    <s v="000"/>
    <s v="36229-000"/>
    <s v="Software model #29"/>
    <s v="UNIQUE"/>
    <n v="0"/>
    <n v="961"/>
    <n v="7"/>
    <n v="0"/>
    <n v="6727"/>
  </r>
  <r>
    <x v="2"/>
    <x v="25"/>
    <x v="5"/>
    <n v="3"/>
    <n v="62"/>
    <s v="30"/>
    <s v="000"/>
    <s v="36230-000"/>
    <s v="Software model #30"/>
    <s v="UNIQUE"/>
    <n v="37"/>
    <n v="18"/>
    <n v="48"/>
    <n v="666"/>
    <n v="864"/>
  </r>
  <r>
    <x v="2"/>
    <x v="25"/>
    <x v="5"/>
    <n v="3"/>
    <n v="62"/>
    <s v="31"/>
    <s v="000"/>
    <s v="36231-000"/>
    <s v="Software model #31"/>
    <s v="UNIQUE"/>
    <n v="0"/>
    <n v="95"/>
    <n v="23"/>
    <n v="0"/>
    <n v="2185"/>
  </r>
  <r>
    <x v="2"/>
    <x v="25"/>
    <x v="5"/>
    <n v="3"/>
    <n v="62"/>
    <s v="32"/>
    <s v="000"/>
    <s v="36232-000"/>
    <s v="Software model #32"/>
    <s v="UNIQUE"/>
    <n v="0"/>
    <n v="4913"/>
    <n v="100"/>
    <n v="0"/>
    <n v="491300"/>
  </r>
  <r>
    <x v="2"/>
    <x v="25"/>
    <x v="5"/>
    <n v="3"/>
    <n v="62"/>
    <s v="33"/>
    <s v="000"/>
    <s v="36233-000"/>
    <s v="Software model #33"/>
    <s v="UNIQUE"/>
    <n v="0"/>
    <n v="5"/>
    <n v="65"/>
    <n v="0"/>
    <n v="325"/>
  </r>
  <r>
    <x v="2"/>
    <x v="25"/>
    <x v="5"/>
    <n v="3"/>
    <n v="62"/>
    <s v="34"/>
    <s v="000"/>
    <s v="36234-000"/>
    <s v="Software model #34"/>
    <s v="UNIQUE"/>
    <n v="0"/>
    <n v="841"/>
    <n v="29"/>
    <n v="0"/>
    <n v="24389"/>
  </r>
  <r>
    <x v="2"/>
    <x v="25"/>
    <x v="5"/>
    <n v="3"/>
    <n v="62"/>
    <s v="35"/>
    <s v="000"/>
    <s v="36235-000"/>
    <s v="Software model #35"/>
    <s v="UNIQUE"/>
    <n v="0"/>
    <n v="76"/>
    <n v="19"/>
    <n v="0"/>
    <n v="1444"/>
  </r>
  <r>
    <x v="2"/>
    <x v="25"/>
    <x v="5"/>
    <n v="3"/>
    <n v="62"/>
    <s v="36"/>
    <s v="000"/>
    <s v="36236-000"/>
    <s v="Software model #36"/>
    <s v="UNIQUE"/>
    <n v="8"/>
    <n v="5184"/>
    <n v="94"/>
    <n v="41472"/>
    <n v="487296"/>
  </r>
  <r>
    <x v="2"/>
    <x v="25"/>
    <x v="5"/>
    <n v="3"/>
    <n v="62"/>
    <s v="37"/>
    <s v="000"/>
    <s v="36237-000"/>
    <s v="Software model #37"/>
    <s v="UNIQUE"/>
    <n v="1"/>
    <n v="78"/>
    <n v="47"/>
    <n v="78"/>
    <n v="3666"/>
  </r>
  <r>
    <x v="2"/>
    <x v="25"/>
    <x v="5"/>
    <n v="3"/>
    <n v="62"/>
    <s v="38"/>
    <s v="000"/>
    <s v="36238-000"/>
    <s v="Software model #38"/>
    <s v="UNIQUE"/>
    <n v="9"/>
    <n v="54872"/>
    <n v="97"/>
    <n v="493848"/>
    <n v="5322584"/>
  </r>
  <r>
    <x v="2"/>
    <x v="25"/>
    <x v="5"/>
    <n v="3"/>
    <n v="62"/>
    <s v="39"/>
    <s v="000"/>
    <s v="36239-000"/>
    <s v="Software model #39"/>
    <s v="UNIQUE"/>
    <n v="0"/>
    <n v="71"/>
    <n v="6"/>
    <n v="0"/>
    <n v="426"/>
  </r>
  <r>
    <x v="2"/>
    <x v="25"/>
    <x v="5"/>
    <n v="3"/>
    <n v="62"/>
    <s v="40"/>
    <s v="000"/>
    <s v="36240-000"/>
    <s v="Software model #40"/>
    <s v="UNIQUE"/>
    <n v="0"/>
    <n v="92"/>
    <n v="91"/>
    <n v="0"/>
    <n v="8372"/>
  </r>
  <r>
    <x v="2"/>
    <x v="26"/>
    <x v="5"/>
    <n v="3"/>
    <n v="63"/>
    <s v="01"/>
    <s v="000"/>
    <s v="36301-000"/>
    <s v="Instructional material model #01"/>
    <s v="UNIQUE"/>
    <n v="0"/>
    <n v="80"/>
    <n v="85"/>
    <n v="0"/>
    <n v="6800"/>
  </r>
  <r>
    <x v="2"/>
    <x v="26"/>
    <x v="5"/>
    <n v="3"/>
    <n v="63"/>
    <s v="02"/>
    <s v="000"/>
    <s v="36302-000"/>
    <s v="Instructional material model #02"/>
    <s v="UNIQUE"/>
    <n v="55"/>
    <n v="3721"/>
    <n v="100"/>
    <n v="204655"/>
    <n v="372100"/>
  </r>
  <r>
    <x v="2"/>
    <x v="26"/>
    <x v="5"/>
    <n v="3"/>
    <n v="63"/>
    <s v="03"/>
    <s v="000"/>
    <s v="36303-000"/>
    <s v="Instructional material model #03"/>
    <s v="UNIQUE"/>
    <n v="2"/>
    <n v="2809"/>
    <n v="39"/>
    <n v="5618"/>
    <n v="109551"/>
  </r>
  <r>
    <x v="2"/>
    <x v="26"/>
    <x v="5"/>
    <n v="3"/>
    <n v="63"/>
    <s v="04"/>
    <s v="000"/>
    <s v="36304-000"/>
    <s v="Instructional material model #04"/>
    <s v="UNIQUE"/>
    <n v="0"/>
    <n v="1296"/>
    <n v="7"/>
    <n v="0"/>
    <n v="9072"/>
  </r>
  <r>
    <x v="2"/>
    <x v="26"/>
    <x v="5"/>
    <n v="3"/>
    <n v="63"/>
    <s v="05"/>
    <s v="000"/>
    <s v="36305-000"/>
    <s v="Instructional material model #05"/>
    <s v="UNIQUE"/>
    <n v="0"/>
    <n v="57"/>
    <n v="84"/>
    <n v="0"/>
    <n v="4788"/>
  </r>
  <r>
    <x v="2"/>
    <x v="26"/>
    <x v="5"/>
    <n v="3"/>
    <n v="63"/>
    <s v="06"/>
    <s v="000"/>
    <s v="36306-000"/>
    <s v="Instructional material model #06"/>
    <s v="UNIQUE"/>
    <n v="3"/>
    <n v="85"/>
    <n v="53"/>
    <n v="255"/>
    <n v="4505"/>
  </r>
  <r>
    <x v="2"/>
    <x v="26"/>
    <x v="5"/>
    <n v="3"/>
    <n v="63"/>
    <s v="07"/>
    <s v="000"/>
    <s v="36307-000"/>
    <s v="Instructional material model #07"/>
    <s v="UNIQUE"/>
    <n v="92"/>
    <n v="2601"/>
    <n v="69"/>
    <n v="239292"/>
    <n v="179469"/>
  </r>
  <r>
    <x v="2"/>
    <x v="26"/>
    <x v="5"/>
    <n v="3"/>
    <n v="63"/>
    <s v="08"/>
    <s v="000"/>
    <s v="36308-000"/>
    <s v="Instructional material model #08"/>
    <s v="UNIQUE"/>
    <n v="70"/>
    <n v="76"/>
    <n v="31"/>
    <n v="5320"/>
    <n v="2356"/>
  </r>
  <r>
    <x v="2"/>
    <x v="26"/>
    <x v="5"/>
    <n v="3"/>
    <n v="63"/>
    <s v="09"/>
    <s v="000"/>
    <s v="36309-000"/>
    <s v="Instructional material model #09"/>
    <s v="UNIQUE"/>
    <n v="0"/>
    <n v="5776"/>
    <n v="36"/>
    <n v="0"/>
    <n v="207936"/>
  </r>
  <r>
    <x v="2"/>
    <x v="26"/>
    <x v="5"/>
    <n v="3"/>
    <n v="63"/>
    <s v="10"/>
    <s v="000"/>
    <s v="36310-000"/>
    <s v="Instructional material model #10"/>
    <s v="UNIQUE"/>
    <n v="0"/>
    <n v="9409"/>
    <n v="11"/>
    <n v="0"/>
    <n v="103499"/>
  </r>
  <r>
    <x v="2"/>
    <x v="26"/>
    <x v="5"/>
    <n v="3"/>
    <n v="63"/>
    <s v="11"/>
    <s v="000"/>
    <s v="36311-000"/>
    <s v="Instructional material model #11"/>
    <s v="UNIQUE"/>
    <n v="0"/>
    <n v="9409"/>
    <n v="31"/>
    <n v="0"/>
    <n v="291679"/>
  </r>
  <r>
    <x v="2"/>
    <x v="26"/>
    <x v="5"/>
    <n v="3"/>
    <n v="63"/>
    <s v="12"/>
    <s v="000"/>
    <s v="36312-000"/>
    <s v="Instructional material model #12"/>
    <s v="UNIQUE"/>
    <n v="0"/>
    <n v="4225"/>
    <n v="82"/>
    <n v="0"/>
    <n v="346450"/>
  </r>
  <r>
    <x v="2"/>
    <x v="26"/>
    <x v="5"/>
    <n v="3"/>
    <n v="63"/>
    <s v="13"/>
    <s v="000"/>
    <s v="36313-000"/>
    <s v="Instructional material model #13"/>
    <s v="UNIQUE"/>
    <n v="6"/>
    <n v="36"/>
    <n v="31"/>
    <n v="216"/>
    <n v="1116"/>
  </r>
  <r>
    <x v="2"/>
    <x v="26"/>
    <x v="5"/>
    <n v="3"/>
    <n v="63"/>
    <s v="14"/>
    <s v="000"/>
    <s v="36314-000"/>
    <s v="Instructional material model #14"/>
    <s v="UNIQUE"/>
    <n v="0"/>
    <n v="90"/>
    <n v="82"/>
    <n v="0"/>
    <n v="7380"/>
  </r>
  <r>
    <x v="2"/>
    <x v="26"/>
    <x v="5"/>
    <n v="3"/>
    <n v="63"/>
    <s v="15"/>
    <s v="000"/>
    <s v="36315-000"/>
    <s v="Instructional material model #15"/>
    <s v="UNIQUE"/>
    <n v="0"/>
    <n v="9025"/>
    <n v="62"/>
    <n v="0"/>
    <n v="559550"/>
  </r>
  <r>
    <x v="2"/>
    <x v="26"/>
    <x v="5"/>
    <n v="3"/>
    <n v="63"/>
    <s v="16"/>
    <s v="000"/>
    <s v="36316-000"/>
    <s v="Instructional material model #16"/>
    <s v="UNIQUE"/>
    <n v="0"/>
    <n v="13824"/>
    <n v="11"/>
    <n v="0"/>
    <n v="152064"/>
  </r>
  <r>
    <x v="2"/>
    <x v="26"/>
    <x v="5"/>
    <n v="3"/>
    <n v="63"/>
    <s v="17"/>
    <s v="000"/>
    <s v="36317-000"/>
    <s v="Instructional material model #17"/>
    <s v="UNIQUE"/>
    <n v="0"/>
    <n v="1728"/>
    <n v="20"/>
    <n v="0"/>
    <n v="34560"/>
  </r>
  <r>
    <x v="2"/>
    <x v="26"/>
    <x v="5"/>
    <n v="3"/>
    <n v="63"/>
    <s v="18"/>
    <s v="000"/>
    <s v="36318-000"/>
    <s v="Instructional material model #18"/>
    <s v="UNIQUE"/>
    <n v="7"/>
    <n v="205379"/>
    <n v="99"/>
    <n v="1437653"/>
    <n v="20332521"/>
  </r>
  <r>
    <x v="2"/>
    <x v="26"/>
    <x v="5"/>
    <n v="3"/>
    <n v="63"/>
    <s v="19"/>
    <s v="000"/>
    <s v="36319-000"/>
    <s v="Instructional material model #19"/>
    <s v="UNIQUE"/>
    <n v="7"/>
    <n v="80"/>
    <n v="2"/>
    <n v="560"/>
    <n v="160"/>
  </r>
  <r>
    <x v="2"/>
    <x v="26"/>
    <x v="5"/>
    <n v="3"/>
    <n v="63"/>
    <s v="20"/>
    <s v="000"/>
    <s v="36320-000"/>
    <s v="Instructional material model #20"/>
    <s v="UNIQUE"/>
    <n v="1"/>
    <n v="4913"/>
    <n v="64"/>
    <n v="4913"/>
    <n v="314432"/>
  </r>
  <r>
    <x v="2"/>
    <x v="26"/>
    <x v="5"/>
    <n v="3"/>
    <n v="63"/>
    <s v="21"/>
    <s v="000"/>
    <s v="36321-000"/>
    <s v="Instructional material model #21"/>
    <s v="UNIQUE"/>
    <n v="25"/>
    <n v="1681"/>
    <n v="73"/>
    <n v="42025"/>
    <n v="122713"/>
  </r>
  <r>
    <x v="2"/>
    <x v="26"/>
    <x v="5"/>
    <n v="3"/>
    <n v="63"/>
    <s v="22"/>
    <s v="000"/>
    <s v="36322-000"/>
    <s v="Instructional material model #22"/>
    <s v="UNIQUE"/>
    <n v="0"/>
    <n v="729000"/>
    <n v="43"/>
    <n v="0"/>
    <n v="31347000"/>
  </r>
  <r>
    <x v="2"/>
    <x v="26"/>
    <x v="5"/>
    <n v="3"/>
    <n v="63"/>
    <s v="23"/>
    <s v="000"/>
    <s v="36323-000"/>
    <s v="Instructional material model #23"/>
    <s v="UNIQUE"/>
    <n v="30"/>
    <n v="3249"/>
    <n v="33"/>
    <n v="97470"/>
    <n v="107217"/>
  </r>
  <r>
    <x v="2"/>
    <x v="26"/>
    <x v="5"/>
    <n v="3"/>
    <n v="63"/>
    <s v="24"/>
    <s v="000"/>
    <s v="36324-000"/>
    <s v="Instructional material model #24"/>
    <s v="UNIQUE"/>
    <n v="2"/>
    <n v="1225"/>
    <n v="45"/>
    <n v="2450"/>
    <n v="55125"/>
  </r>
  <r>
    <x v="2"/>
    <x v="26"/>
    <x v="5"/>
    <n v="3"/>
    <n v="63"/>
    <s v="25"/>
    <s v="000"/>
    <s v="36325-000"/>
    <s v="Instructional material model #25"/>
    <s v="UNIQUE"/>
    <n v="73"/>
    <n v="4356"/>
    <n v="5"/>
    <n v="317988"/>
    <n v="21780"/>
  </r>
  <r>
    <x v="2"/>
    <x v="26"/>
    <x v="5"/>
    <n v="3"/>
    <n v="63"/>
    <s v="26"/>
    <s v="000"/>
    <s v="36326-000"/>
    <s v="Instructional material model #26"/>
    <s v="UNIQUE"/>
    <n v="1"/>
    <n v="21952"/>
    <n v="2"/>
    <n v="21952"/>
    <n v="43904"/>
  </r>
  <r>
    <x v="2"/>
    <x v="26"/>
    <x v="5"/>
    <n v="3"/>
    <n v="63"/>
    <s v="27"/>
    <s v="000"/>
    <s v="36327-000"/>
    <s v="Instructional material model #27"/>
    <s v="UNIQUE"/>
    <n v="14"/>
    <n v="300763"/>
    <n v="18"/>
    <n v="4210682"/>
    <n v="5413734"/>
  </r>
  <r>
    <x v="2"/>
    <x v="26"/>
    <x v="5"/>
    <n v="3"/>
    <n v="63"/>
    <s v="28"/>
    <s v="000"/>
    <s v="36328-000"/>
    <s v="Instructional material model #28"/>
    <s v="UNIQUE"/>
    <n v="5"/>
    <n v="5"/>
    <n v="48"/>
    <n v="25"/>
    <n v="240"/>
  </r>
  <r>
    <x v="2"/>
    <x v="26"/>
    <x v="5"/>
    <n v="3"/>
    <n v="63"/>
    <s v="29"/>
    <s v="000"/>
    <s v="36329-000"/>
    <s v="Instructional material model #29"/>
    <s v="UNIQUE"/>
    <n v="0"/>
    <n v="8649"/>
    <n v="22"/>
    <n v="0"/>
    <n v="190278"/>
  </r>
  <r>
    <x v="2"/>
    <x v="26"/>
    <x v="5"/>
    <n v="3"/>
    <n v="63"/>
    <s v="30"/>
    <s v="000"/>
    <s v="36330-000"/>
    <s v="Instructional material model #30"/>
    <s v="UNIQUE"/>
    <n v="0"/>
    <n v="551368"/>
    <n v="52"/>
    <n v="0"/>
    <n v="28671136"/>
  </r>
  <r>
    <x v="2"/>
    <x v="26"/>
    <x v="5"/>
    <n v="3"/>
    <n v="63"/>
    <s v="31"/>
    <s v="000"/>
    <s v="36331-000"/>
    <s v="Instructional material model #31"/>
    <s v="UNIQUE"/>
    <n v="0"/>
    <n v="15625"/>
    <n v="8"/>
    <n v="0"/>
    <n v="125000"/>
  </r>
  <r>
    <x v="2"/>
    <x v="26"/>
    <x v="5"/>
    <n v="3"/>
    <n v="63"/>
    <s v="32"/>
    <s v="000"/>
    <s v="36332-000"/>
    <s v="Instructional material model #32"/>
    <s v="UNIQUE"/>
    <n v="3"/>
    <n v="2116"/>
    <n v="10"/>
    <n v="6348"/>
    <n v="21160"/>
  </r>
  <r>
    <x v="2"/>
    <x v="26"/>
    <x v="5"/>
    <n v="3"/>
    <n v="63"/>
    <s v="33"/>
    <s v="000"/>
    <s v="36333-000"/>
    <s v="Instructional material model #33"/>
    <s v="UNIQUE"/>
    <n v="0"/>
    <n v="361"/>
    <n v="35"/>
    <n v="0"/>
    <n v="12635"/>
  </r>
  <r>
    <x v="2"/>
    <x v="26"/>
    <x v="5"/>
    <n v="3"/>
    <n v="63"/>
    <s v="34"/>
    <s v="000"/>
    <s v="36334-000"/>
    <s v="Instructional material model #34"/>
    <s v="UNIQUE"/>
    <n v="19"/>
    <n v="5"/>
    <n v="94"/>
    <n v="95"/>
    <n v="470"/>
  </r>
  <r>
    <x v="2"/>
    <x v="26"/>
    <x v="5"/>
    <n v="3"/>
    <n v="63"/>
    <s v="35"/>
    <s v="000"/>
    <s v="36335-000"/>
    <s v="Instructional material model #35"/>
    <s v="UNIQUE"/>
    <n v="5"/>
    <n v="49"/>
    <n v="60"/>
    <n v="245"/>
    <n v="2940"/>
  </r>
  <r>
    <x v="2"/>
    <x v="26"/>
    <x v="5"/>
    <n v="3"/>
    <n v="63"/>
    <s v="36"/>
    <s v="000"/>
    <s v="36336-000"/>
    <s v="Instructional material model #36"/>
    <s v="UNIQUE"/>
    <n v="0"/>
    <n v="27"/>
    <n v="60"/>
    <n v="0"/>
    <n v="1620"/>
  </r>
  <r>
    <x v="2"/>
    <x v="26"/>
    <x v="5"/>
    <n v="3"/>
    <n v="63"/>
    <s v="37"/>
    <s v="000"/>
    <s v="36337-000"/>
    <s v="Instructional material model #37"/>
    <s v="UNIQUE"/>
    <n v="2"/>
    <n v="6889"/>
    <n v="28"/>
    <n v="13778"/>
    <n v="192892"/>
  </r>
  <r>
    <x v="2"/>
    <x v="26"/>
    <x v="5"/>
    <n v="3"/>
    <n v="63"/>
    <s v="38"/>
    <s v="000"/>
    <s v="36338-000"/>
    <s v="Instructional material model #38"/>
    <s v="UNIQUE"/>
    <n v="1"/>
    <n v="148877"/>
    <n v="100"/>
    <n v="148877"/>
    <n v="14887700"/>
  </r>
  <r>
    <x v="2"/>
    <x v="26"/>
    <x v="5"/>
    <n v="3"/>
    <n v="63"/>
    <s v="39"/>
    <s v="000"/>
    <s v="36339-000"/>
    <s v="Instructional material model #39"/>
    <s v="UNIQUE"/>
    <n v="0"/>
    <n v="19683"/>
    <n v="10"/>
    <n v="0"/>
    <n v="196830"/>
  </r>
  <r>
    <x v="2"/>
    <x v="26"/>
    <x v="5"/>
    <n v="3"/>
    <n v="63"/>
    <s v="40"/>
    <s v="000"/>
    <s v="36340-000"/>
    <s v="Instructional material model #40"/>
    <s v="UNIQUE"/>
    <n v="1"/>
    <n v="46656"/>
    <n v="83"/>
    <n v="46656"/>
    <n v="3872448"/>
  </r>
  <r>
    <x v="2"/>
    <x v="26"/>
    <x v="5"/>
    <n v="3"/>
    <n v="63"/>
    <s v="41"/>
    <s v="000"/>
    <s v="36341-000"/>
    <s v="Instructional material model #41"/>
    <s v="UNIQUE"/>
    <n v="0"/>
    <n v="238328"/>
    <n v="64"/>
    <n v="0"/>
    <n v="15252992"/>
  </r>
  <r>
    <x v="2"/>
    <x v="26"/>
    <x v="5"/>
    <n v="3"/>
    <n v="63"/>
    <s v="42"/>
    <s v="000"/>
    <s v="36342-000"/>
    <s v="Instructional material model #42"/>
    <s v="UNIQUE"/>
    <n v="0"/>
    <n v="26"/>
    <n v="10"/>
    <n v="0"/>
    <n v="260"/>
  </r>
  <r>
    <x v="2"/>
    <x v="26"/>
    <x v="5"/>
    <n v="3"/>
    <n v="63"/>
    <s v="43"/>
    <s v="000"/>
    <s v="36343-000"/>
    <s v="Instructional material model #43"/>
    <s v="UNIQUE"/>
    <n v="0"/>
    <n v="64"/>
    <n v="17"/>
    <n v="0"/>
    <n v="1088"/>
  </r>
  <r>
    <x v="2"/>
    <x v="26"/>
    <x v="5"/>
    <n v="3"/>
    <n v="63"/>
    <s v="44"/>
    <s v="000"/>
    <s v="36344-000"/>
    <s v="Instructional material model #44"/>
    <s v="UNIQUE"/>
    <n v="99"/>
    <n v="2209"/>
    <n v="38"/>
    <n v="218691"/>
    <n v="83942"/>
  </r>
  <r>
    <x v="2"/>
    <x v="26"/>
    <x v="5"/>
    <n v="3"/>
    <n v="63"/>
    <s v="45"/>
    <s v="000"/>
    <s v="36345-000"/>
    <s v="Instructional material model #45"/>
    <s v="UNIQUE"/>
    <n v="0"/>
    <n v="4"/>
    <n v="33"/>
    <n v="0"/>
    <n v="132"/>
  </r>
  <r>
    <x v="2"/>
    <x v="26"/>
    <x v="5"/>
    <n v="3"/>
    <n v="63"/>
    <s v="46"/>
    <s v="000"/>
    <s v="36346-000"/>
    <s v="Instructional material model #46"/>
    <s v="UNIQUE"/>
    <n v="0"/>
    <n v="12167"/>
    <n v="7"/>
    <n v="0"/>
    <n v="85169"/>
  </r>
  <r>
    <x v="2"/>
    <x v="26"/>
    <x v="5"/>
    <n v="3"/>
    <n v="63"/>
    <s v="47"/>
    <s v="000"/>
    <s v="36347-000"/>
    <s v="Instructional material model #47"/>
    <s v="UNIQUE"/>
    <n v="86"/>
    <n v="21952"/>
    <n v="16"/>
    <n v="1887872"/>
    <n v="351232"/>
  </r>
  <r>
    <x v="2"/>
    <x v="26"/>
    <x v="5"/>
    <n v="3"/>
    <n v="63"/>
    <s v="48"/>
    <s v="000"/>
    <s v="36348-000"/>
    <s v="Instructional material model #48"/>
    <s v="UNIQUE"/>
    <n v="0"/>
    <n v="5041"/>
    <n v="16"/>
    <n v="0"/>
    <n v="80656"/>
  </r>
  <r>
    <x v="2"/>
    <x v="26"/>
    <x v="5"/>
    <n v="3"/>
    <n v="63"/>
    <s v="49"/>
    <s v="000"/>
    <s v="36349-000"/>
    <s v="Instructional material model #49"/>
    <s v="UNIQUE"/>
    <n v="6"/>
    <n v="19683"/>
    <n v="40"/>
    <n v="118098"/>
    <n v="787320"/>
  </r>
  <r>
    <x v="2"/>
    <x v="26"/>
    <x v="5"/>
    <n v="3"/>
    <n v="63"/>
    <s v="50"/>
    <s v="000"/>
    <s v="36350-000"/>
    <s v="Instructional material model #50"/>
    <s v="UNIQUE"/>
    <n v="8"/>
    <n v="15625"/>
    <n v="83"/>
    <n v="125000"/>
    <n v="1296875"/>
  </r>
  <r>
    <x v="2"/>
    <x v="26"/>
    <x v="5"/>
    <n v="3"/>
    <n v="63"/>
    <s v="51"/>
    <s v="000"/>
    <s v="36351-000"/>
    <s v="Instructional material model #51"/>
    <s v="UNIQUE"/>
    <n v="0"/>
    <n v="169"/>
    <n v="5"/>
    <n v="0"/>
    <n v="845"/>
  </r>
  <r>
    <x v="2"/>
    <x v="26"/>
    <x v="5"/>
    <n v="3"/>
    <n v="63"/>
    <s v="52"/>
    <s v="000"/>
    <s v="36352-000"/>
    <s v="Instructional material model #52"/>
    <s v="UNIQUE"/>
    <n v="10"/>
    <n v="42875"/>
    <n v="71"/>
    <n v="428750"/>
    <n v="3044125"/>
  </r>
  <r>
    <x v="2"/>
    <x v="26"/>
    <x v="5"/>
    <n v="3"/>
    <n v="63"/>
    <s v="53"/>
    <s v="000"/>
    <s v="36353-000"/>
    <s v="Instructional material model #53"/>
    <s v="UNIQUE"/>
    <n v="4"/>
    <n v="47"/>
    <n v="28"/>
    <n v="188"/>
    <n v="1316"/>
  </r>
  <r>
    <x v="2"/>
    <x v="26"/>
    <x v="5"/>
    <n v="3"/>
    <n v="63"/>
    <s v="54"/>
    <s v="000"/>
    <s v="36354-000"/>
    <s v="Instructional material model #54"/>
    <s v="UNIQUE"/>
    <n v="1"/>
    <n v="614125"/>
    <n v="6"/>
    <n v="614125"/>
    <n v="3684750"/>
  </r>
  <r>
    <x v="2"/>
    <x v="26"/>
    <x v="5"/>
    <n v="3"/>
    <n v="63"/>
    <s v="55"/>
    <s v="000"/>
    <s v="36355-000"/>
    <s v="Instructional material model #55"/>
    <s v="UNIQUE"/>
    <n v="0"/>
    <n v="17576"/>
    <n v="69"/>
    <n v="0"/>
    <n v="1212744"/>
  </r>
  <r>
    <x v="2"/>
    <x v="26"/>
    <x v="5"/>
    <n v="3"/>
    <n v="63"/>
    <s v="56"/>
    <s v="000"/>
    <s v="36356-000"/>
    <s v="Instructional material model #56"/>
    <s v="UNIQUE"/>
    <n v="0"/>
    <n v="27"/>
    <n v="92"/>
    <n v="0"/>
    <n v="2484"/>
  </r>
  <r>
    <x v="2"/>
    <x v="26"/>
    <x v="5"/>
    <n v="3"/>
    <n v="63"/>
    <s v="57"/>
    <s v="000"/>
    <s v="36357-000"/>
    <s v="Instructional material model #57"/>
    <s v="UNIQUE"/>
    <n v="0"/>
    <n v="7569"/>
    <n v="83"/>
    <n v="0"/>
    <n v="628227"/>
  </r>
  <r>
    <x v="2"/>
    <x v="26"/>
    <x v="5"/>
    <n v="3"/>
    <n v="63"/>
    <s v="58"/>
    <s v="000"/>
    <s v="36358-000"/>
    <s v="Instructional material model #58"/>
    <s v="UNIQUE"/>
    <n v="7"/>
    <n v="91125"/>
    <n v="64"/>
    <n v="637875"/>
    <n v="5832000"/>
  </r>
  <r>
    <x v="2"/>
    <x v="26"/>
    <x v="5"/>
    <n v="3"/>
    <n v="63"/>
    <s v="59"/>
    <s v="000"/>
    <s v="36359-000"/>
    <s v="Instructional material model #59"/>
    <s v="UNIQUE"/>
    <n v="13"/>
    <n v="830584"/>
    <n v="4"/>
    <n v="10797592"/>
    <n v="3322336"/>
  </r>
  <r>
    <x v="2"/>
    <x v="26"/>
    <x v="5"/>
    <n v="3"/>
    <n v="63"/>
    <s v="60"/>
    <s v="000"/>
    <s v="36360-000"/>
    <s v="Instructional material model #60"/>
    <s v="UNIQUE"/>
    <n v="79"/>
    <n v="287496"/>
    <n v="61"/>
    <n v="22712184"/>
    <n v="17537256"/>
  </r>
  <r>
    <x v="2"/>
    <x v="27"/>
    <x v="5"/>
    <n v="3"/>
    <n v="64"/>
    <s v="01"/>
    <s v="000"/>
    <s v="36401-000"/>
    <s v="Musical accessories model #01"/>
    <s v="UNIQUE"/>
    <n v="65"/>
    <n v="73"/>
    <n v="98"/>
    <n v="4745"/>
    <n v="7154"/>
  </r>
  <r>
    <x v="2"/>
    <x v="27"/>
    <x v="5"/>
    <n v="3"/>
    <n v="64"/>
    <s v="02"/>
    <s v="000"/>
    <s v="36402-000"/>
    <s v="Musical accessories model #02"/>
    <s v="UNIQUE"/>
    <n v="0"/>
    <n v="24389"/>
    <n v="7"/>
    <n v="0"/>
    <n v="170723"/>
  </r>
  <r>
    <x v="2"/>
    <x v="27"/>
    <x v="5"/>
    <n v="3"/>
    <n v="64"/>
    <s v="03"/>
    <s v="000"/>
    <s v="36403-000"/>
    <s v="Musical accessories model #03"/>
    <s v="UNIQUE"/>
    <n v="0"/>
    <n v="18"/>
    <n v="40"/>
    <n v="0"/>
    <n v="720"/>
  </r>
  <r>
    <x v="2"/>
    <x v="27"/>
    <x v="5"/>
    <n v="3"/>
    <n v="64"/>
    <s v="04"/>
    <s v="000"/>
    <s v="36404-000"/>
    <s v="Musical accessories model #04"/>
    <s v="UNIQUE"/>
    <n v="1"/>
    <n v="76"/>
    <n v="7"/>
    <n v="76"/>
    <n v="532"/>
  </r>
  <r>
    <x v="2"/>
    <x v="27"/>
    <x v="5"/>
    <n v="3"/>
    <n v="64"/>
    <s v="05"/>
    <s v="000"/>
    <s v="36405-000"/>
    <s v="Musical accessories model #05"/>
    <s v="UNIQUE"/>
    <n v="99"/>
    <n v="7921"/>
    <n v="27"/>
    <n v="784179"/>
    <n v="213867"/>
  </r>
  <r>
    <x v="2"/>
    <x v="27"/>
    <x v="5"/>
    <n v="3"/>
    <n v="64"/>
    <s v="06"/>
    <s v="000"/>
    <s v="36406-000"/>
    <s v="Musical accessories model #06"/>
    <s v="UNIQUE"/>
    <n v="0"/>
    <n v="64"/>
    <n v="31"/>
    <n v="0"/>
    <n v="1984"/>
  </r>
  <r>
    <x v="2"/>
    <x v="27"/>
    <x v="5"/>
    <n v="3"/>
    <n v="64"/>
    <s v="07"/>
    <s v="000"/>
    <s v="36407-000"/>
    <s v="Musical accessories model #07"/>
    <s v="UNIQUE"/>
    <n v="5"/>
    <n v="76"/>
    <n v="18"/>
    <n v="380"/>
    <n v="1368"/>
  </r>
  <r>
    <x v="2"/>
    <x v="27"/>
    <x v="5"/>
    <n v="3"/>
    <n v="64"/>
    <s v="08"/>
    <s v="000"/>
    <s v="36408-000"/>
    <s v="Musical accessories model #08"/>
    <s v="UNIQUE"/>
    <n v="0"/>
    <n v="512000"/>
    <n v="56"/>
    <n v="0"/>
    <n v="28672000"/>
  </r>
  <r>
    <x v="2"/>
    <x v="27"/>
    <x v="5"/>
    <n v="3"/>
    <n v="64"/>
    <s v="09"/>
    <s v="000"/>
    <s v="36409-000"/>
    <s v="Musical accessories model #09"/>
    <s v="UNIQUE"/>
    <n v="0"/>
    <n v="625"/>
    <n v="8"/>
    <n v="0"/>
    <n v="5000"/>
  </r>
  <r>
    <x v="2"/>
    <x v="27"/>
    <x v="5"/>
    <n v="3"/>
    <n v="64"/>
    <s v="10"/>
    <s v="000"/>
    <s v="36410-000"/>
    <s v="Musical accessories model #10"/>
    <s v="UNIQUE"/>
    <n v="0"/>
    <n v="40"/>
    <n v="83"/>
    <n v="0"/>
    <n v="3320"/>
  </r>
  <r>
    <x v="2"/>
    <x v="27"/>
    <x v="5"/>
    <n v="3"/>
    <n v="64"/>
    <s v="11"/>
    <s v="000"/>
    <s v="36411-000"/>
    <s v="Musical accessories model #11"/>
    <s v="UNIQUE"/>
    <n v="1"/>
    <n v="59319"/>
    <n v="61"/>
    <n v="59319"/>
    <n v="3618459"/>
  </r>
  <r>
    <x v="2"/>
    <x v="27"/>
    <x v="5"/>
    <n v="3"/>
    <n v="64"/>
    <s v="12"/>
    <s v="000"/>
    <s v="36412-000"/>
    <s v="Musical accessories model #12"/>
    <s v="UNIQUE"/>
    <n v="10"/>
    <n v="4913"/>
    <n v="54"/>
    <n v="49130"/>
    <n v="265302"/>
  </r>
  <r>
    <x v="2"/>
    <x v="27"/>
    <x v="5"/>
    <n v="3"/>
    <n v="64"/>
    <s v="13"/>
    <s v="000"/>
    <s v="36413-000"/>
    <s v="Musical accessories model #13"/>
    <s v="UNIQUE"/>
    <n v="1"/>
    <n v="78"/>
    <n v="5"/>
    <n v="78"/>
    <n v="390"/>
  </r>
  <r>
    <x v="2"/>
    <x v="27"/>
    <x v="5"/>
    <n v="3"/>
    <n v="64"/>
    <s v="14"/>
    <s v="000"/>
    <s v="36414-000"/>
    <s v="Musical accessories model #14"/>
    <s v="UNIQUE"/>
    <n v="0"/>
    <n v="125"/>
    <n v="67"/>
    <n v="0"/>
    <n v="8375"/>
  </r>
  <r>
    <x v="2"/>
    <x v="27"/>
    <x v="5"/>
    <n v="3"/>
    <n v="64"/>
    <s v="15"/>
    <s v="000"/>
    <s v="36415-000"/>
    <s v="Musical accessories model #15"/>
    <s v="UNIQUE"/>
    <n v="0"/>
    <n v="4096"/>
    <n v="3"/>
    <n v="0"/>
    <n v="12288"/>
  </r>
  <r>
    <x v="2"/>
    <x v="27"/>
    <x v="5"/>
    <n v="3"/>
    <n v="64"/>
    <s v="16"/>
    <s v="000"/>
    <s v="36416-000"/>
    <s v="Musical accessories model #16"/>
    <s v="UNIQUE"/>
    <n v="0"/>
    <n v="24"/>
    <n v="46"/>
    <n v="0"/>
    <n v="1104"/>
  </r>
  <r>
    <x v="2"/>
    <x v="27"/>
    <x v="5"/>
    <n v="3"/>
    <n v="64"/>
    <s v="17"/>
    <s v="000"/>
    <s v="36417-000"/>
    <s v="Musical accessories model #17"/>
    <s v="UNIQUE"/>
    <n v="0"/>
    <n v="6241"/>
    <n v="20"/>
    <n v="0"/>
    <n v="124820"/>
  </r>
  <r>
    <x v="2"/>
    <x v="27"/>
    <x v="5"/>
    <n v="3"/>
    <n v="64"/>
    <s v="18"/>
    <s v="000"/>
    <s v="36418-000"/>
    <s v="Musical accessories model #18"/>
    <s v="UNIQUE"/>
    <n v="0"/>
    <n v="195112"/>
    <n v="61"/>
    <n v="0"/>
    <n v="11901832"/>
  </r>
  <r>
    <x v="2"/>
    <x v="27"/>
    <x v="5"/>
    <n v="3"/>
    <n v="64"/>
    <s v="19"/>
    <s v="000"/>
    <s v="36419-000"/>
    <s v="Musical accessories model #19"/>
    <s v="UNIQUE"/>
    <n v="0"/>
    <n v="125"/>
    <n v="14"/>
    <n v="0"/>
    <n v="1750"/>
  </r>
  <r>
    <x v="2"/>
    <x v="27"/>
    <x v="5"/>
    <n v="3"/>
    <n v="64"/>
    <s v="20"/>
    <s v="000"/>
    <s v="36420-000"/>
    <s v="Musical accessories model #20"/>
    <s v="UNIQUE"/>
    <n v="0"/>
    <n v="1521"/>
    <n v="88"/>
    <n v="0"/>
    <n v="133848"/>
  </r>
  <r>
    <x v="2"/>
    <x v="27"/>
    <x v="5"/>
    <n v="3"/>
    <n v="64"/>
    <s v="21"/>
    <s v="000"/>
    <s v="36421-000"/>
    <s v="Musical accessories model #21"/>
    <s v="UNIQUE"/>
    <n v="90"/>
    <n v="289"/>
    <n v="86"/>
    <n v="26010"/>
    <n v="24854"/>
  </r>
  <r>
    <x v="2"/>
    <x v="27"/>
    <x v="5"/>
    <n v="3"/>
    <n v="64"/>
    <s v="22"/>
    <s v="000"/>
    <s v="36422-000"/>
    <s v="Musical accessories model #22"/>
    <s v="UNIQUE"/>
    <n v="1"/>
    <n v="681472"/>
    <n v="55"/>
    <n v="681472"/>
    <n v="37480960"/>
  </r>
  <r>
    <x v="2"/>
    <x v="27"/>
    <x v="5"/>
    <n v="3"/>
    <n v="64"/>
    <s v="23"/>
    <s v="000"/>
    <s v="36423-000"/>
    <s v="Musical accessories model #23"/>
    <s v="UNIQUE"/>
    <n v="77"/>
    <n v="62"/>
    <n v="4"/>
    <n v="4774"/>
    <n v="248"/>
  </r>
  <r>
    <x v="2"/>
    <x v="27"/>
    <x v="5"/>
    <n v="3"/>
    <n v="64"/>
    <s v="24"/>
    <s v="000"/>
    <s v="36424-000"/>
    <s v="Musical accessories model #24"/>
    <s v="UNIQUE"/>
    <n v="0"/>
    <n v="80"/>
    <n v="22"/>
    <n v="0"/>
    <n v="1760"/>
  </r>
  <r>
    <x v="2"/>
    <x v="27"/>
    <x v="5"/>
    <n v="3"/>
    <n v="64"/>
    <s v="25"/>
    <s v="000"/>
    <s v="36425-000"/>
    <s v="Musical accessories model #25"/>
    <s v="UNIQUE"/>
    <n v="0"/>
    <n v="6859"/>
    <n v="64"/>
    <n v="0"/>
    <n v="438976"/>
  </r>
  <r>
    <x v="2"/>
    <x v="27"/>
    <x v="5"/>
    <n v="3"/>
    <n v="64"/>
    <s v="26"/>
    <s v="000"/>
    <s v="36426-000"/>
    <s v="Musical accessories model #26"/>
    <s v="UNIQUE"/>
    <n v="97"/>
    <n v="1156"/>
    <n v="85"/>
    <n v="112132"/>
    <n v="98260"/>
  </r>
  <r>
    <x v="2"/>
    <x v="27"/>
    <x v="5"/>
    <n v="3"/>
    <n v="64"/>
    <s v="27"/>
    <s v="000"/>
    <s v="36427-000"/>
    <s v="Musical accessories model #27"/>
    <s v="UNIQUE"/>
    <n v="0"/>
    <n v="19"/>
    <n v="11"/>
    <n v="0"/>
    <n v="209"/>
  </r>
  <r>
    <x v="2"/>
    <x v="27"/>
    <x v="5"/>
    <n v="3"/>
    <n v="64"/>
    <s v="28"/>
    <s v="000"/>
    <s v="36428-000"/>
    <s v="Musical accessories model #28"/>
    <s v="UNIQUE"/>
    <n v="0"/>
    <n v="1728"/>
    <n v="52"/>
    <n v="0"/>
    <n v="89856"/>
  </r>
  <r>
    <x v="2"/>
    <x v="27"/>
    <x v="5"/>
    <n v="3"/>
    <n v="64"/>
    <s v="29"/>
    <s v="000"/>
    <s v="36429-000"/>
    <s v="Musical accessories model #29"/>
    <s v="UNIQUE"/>
    <n v="0"/>
    <n v="48"/>
    <n v="23"/>
    <n v="0"/>
    <n v="1104"/>
  </r>
  <r>
    <x v="2"/>
    <x v="27"/>
    <x v="5"/>
    <n v="3"/>
    <n v="64"/>
    <s v="30"/>
    <s v="000"/>
    <s v="36430-000"/>
    <s v="Musical accessories model #30"/>
    <s v="UNIQUE"/>
    <n v="0"/>
    <n v="2304"/>
    <n v="13"/>
    <n v="0"/>
    <n v="29952"/>
  </r>
  <r>
    <x v="2"/>
    <x v="27"/>
    <x v="5"/>
    <n v="3"/>
    <n v="64"/>
    <s v="31"/>
    <s v="000"/>
    <s v="36431-000"/>
    <s v="Musical accessories model #31"/>
    <s v="UNIQUE"/>
    <n v="0"/>
    <n v="841"/>
    <n v="81"/>
    <n v="0"/>
    <n v="68121"/>
  </r>
  <r>
    <x v="2"/>
    <x v="27"/>
    <x v="5"/>
    <n v="3"/>
    <n v="64"/>
    <s v="32"/>
    <s v="000"/>
    <s v="36432-000"/>
    <s v="Musical accessories model #32"/>
    <s v="UNIQUE"/>
    <n v="0"/>
    <n v="35"/>
    <n v="95"/>
    <n v="0"/>
    <n v="3325"/>
  </r>
  <r>
    <x v="2"/>
    <x v="27"/>
    <x v="5"/>
    <n v="3"/>
    <n v="64"/>
    <s v="33"/>
    <s v="000"/>
    <s v="36433-000"/>
    <s v="Musical accessories model #33"/>
    <s v="UNIQUE"/>
    <n v="0"/>
    <n v="48"/>
    <n v="35"/>
    <n v="0"/>
    <n v="1680"/>
  </r>
  <r>
    <x v="2"/>
    <x v="27"/>
    <x v="5"/>
    <n v="3"/>
    <n v="64"/>
    <s v="34"/>
    <s v="000"/>
    <s v="36434-000"/>
    <s v="Musical accessories model #34"/>
    <s v="UNIQUE"/>
    <n v="0"/>
    <n v="50653"/>
    <n v="90"/>
    <n v="0"/>
    <n v="4558770"/>
  </r>
  <r>
    <x v="2"/>
    <x v="27"/>
    <x v="5"/>
    <n v="3"/>
    <n v="64"/>
    <s v="35"/>
    <s v="000"/>
    <s v="36435-000"/>
    <s v="Musical accessories model #35"/>
    <s v="UNIQUE"/>
    <n v="0"/>
    <n v="7056"/>
    <n v="53"/>
    <n v="0"/>
    <n v="373968"/>
  </r>
  <r>
    <x v="2"/>
    <x v="27"/>
    <x v="5"/>
    <n v="3"/>
    <n v="64"/>
    <s v="36"/>
    <s v="000"/>
    <s v="36436-000"/>
    <s v="Musical accessories model #36"/>
    <s v="UNIQUE"/>
    <n v="0"/>
    <n v="324"/>
    <n v="61"/>
    <n v="0"/>
    <n v="19764"/>
  </r>
  <r>
    <x v="2"/>
    <x v="27"/>
    <x v="5"/>
    <n v="3"/>
    <n v="64"/>
    <s v="37"/>
    <s v="000"/>
    <s v="36437-000"/>
    <s v="Musical accessories model #37"/>
    <s v="UNIQUE"/>
    <n v="47"/>
    <n v="28"/>
    <n v="85"/>
    <n v="1316"/>
    <n v="2380"/>
  </r>
  <r>
    <x v="2"/>
    <x v="27"/>
    <x v="5"/>
    <n v="3"/>
    <n v="64"/>
    <s v="38"/>
    <s v="000"/>
    <s v="36438-000"/>
    <s v="Musical accessories model #38"/>
    <s v="UNIQUE"/>
    <n v="96"/>
    <n v="373248"/>
    <n v="94"/>
    <n v="35831808"/>
    <n v="35085312"/>
  </r>
  <r>
    <x v="2"/>
    <x v="27"/>
    <x v="5"/>
    <n v="3"/>
    <n v="64"/>
    <s v="39"/>
    <s v="000"/>
    <s v="36439-000"/>
    <s v="Musical accessories model #39"/>
    <s v="UNIQUE"/>
    <n v="0"/>
    <n v="28"/>
    <n v="64"/>
    <n v="0"/>
    <n v="1792"/>
  </r>
  <r>
    <x v="2"/>
    <x v="27"/>
    <x v="5"/>
    <n v="3"/>
    <n v="64"/>
    <s v="40"/>
    <s v="000"/>
    <s v="36440-000"/>
    <s v="Musical accessories model #40"/>
    <s v="UNIQUE"/>
    <n v="0"/>
    <n v="6"/>
    <n v="92"/>
    <n v="0"/>
    <n v="552"/>
  </r>
  <r>
    <x v="2"/>
    <x v="27"/>
    <x v="5"/>
    <n v="3"/>
    <n v="64"/>
    <s v="41"/>
    <s v="000"/>
    <s v="36441-000"/>
    <s v="Musical accessories model #41"/>
    <s v="UNIQUE"/>
    <n v="0"/>
    <n v="1331"/>
    <n v="76"/>
    <n v="0"/>
    <n v="101156"/>
  </r>
  <r>
    <x v="2"/>
    <x v="27"/>
    <x v="5"/>
    <n v="3"/>
    <n v="64"/>
    <s v="42"/>
    <s v="000"/>
    <s v="36442-000"/>
    <s v="Musical accessories model #42"/>
    <s v="UNIQUE"/>
    <n v="0"/>
    <n v="49"/>
    <n v="15"/>
    <n v="0"/>
    <n v="735"/>
  </r>
  <r>
    <x v="2"/>
    <x v="27"/>
    <x v="5"/>
    <n v="3"/>
    <n v="64"/>
    <s v="43"/>
    <s v="000"/>
    <s v="36443-000"/>
    <s v="Musical accessories model #43"/>
    <s v="UNIQUE"/>
    <n v="39"/>
    <n v="25"/>
    <n v="19"/>
    <n v="975"/>
    <n v="475"/>
  </r>
  <r>
    <x v="2"/>
    <x v="27"/>
    <x v="5"/>
    <n v="3"/>
    <n v="64"/>
    <s v="44"/>
    <s v="000"/>
    <s v="36444-000"/>
    <s v="Musical accessories model #44"/>
    <s v="UNIQUE"/>
    <n v="81"/>
    <n v="37"/>
    <n v="6"/>
    <n v="2997"/>
    <n v="222"/>
  </r>
  <r>
    <x v="2"/>
    <x v="27"/>
    <x v="5"/>
    <n v="3"/>
    <n v="64"/>
    <s v="45"/>
    <s v="000"/>
    <s v="36445-000"/>
    <s v="Musical accessories model #45"/>
    <s v="UNIQUE"/>
    <n v="0"/>
    <n v="97"/>
    <n v="43"/>
    <n v="0"/>
    <n v="4171"/>
  </r>
  <r>
    <x v="2"/>
    <x v="27"/>
    <x v="5"/>
    <n v="3"/>
    <n v="64"/>
    <s v="46"/>
    <s v="000"/>
    <s v="36446-000"/>
    <s v="Musical accessories model #46"/>
    <s v="UNIQUE"/>
    <n v="0"/>
    <n v="80"/>
    <n v="55"/>
    <n v="0"/>
    <n v="4400"/>
  </r>
  <r>
    <x v="2"/>
    <x v="27"/>
    <x v="5"/>
    <n v="3"/>
    <n v="64"/>
    <s v="47"/>
    <s v="000"/>
    <s v="36447-000"/>
    <s v="Musical accessories model #47"/>
    <s v="UNIQUE"/>
    <n v="0"/>
    <n v="6724"/>
    <n v="42"/>
    <n v="0"/>
    <n v="282408"/>
  </r>
  <r>
    <x v="2"/>
    <x v="27"/>
    <x v="5"/>
    <n v="3"/>
    <n v="64"/>
    <s v="48"/>
    <s v="000"/>
    <s v="36448-000"/>
    <s v="Musical accessories model #48"/>
    <s v="UNIQUE"/>
    <n v="0"/>
    <n v="24389"/>
    <n v="57"/>
    <n v="0"/>
    <n v="1390173"/>
  </r>
  <r>
    <x v="2"/>
    <x v="27"/>
    <x v="5"/>
    <n v="3"/>
    <n v="64"/>
    <s v="49"/>
    <s v="000"/>
    <s v="36449-000"/>
    <s v="Musical accessories model #49"/>
    <s v="UNIQUE"/>
    <n v="0"/>
    <n v="21952"/>
    <n v="44"/>
    <n v="0"/>
    <n v="965888"/>
  </r>
  <r>
    <x v="2"/>
    <x v="27"/>
    <x v="5"/>
    <n v="3"/>
    <n v="64"/>
    <s v="50"/>
    <s v="000"/>
    <s v="36450-000"/>
    <s v="Musical accessories model #50"/>
    <s v="UNIQUE"/>
    <n v="0"/>
    <n v="4900"/>
    <n v="99"/>
    <n v="0"/>
    <n v="485100"/>
  </r>
  <r>
    <x v="2"/>
    <x v="27"/>
    <x v="5"/>
    <n v="3"/>
    <n v="64"/>
    <s v="51"/>
    <s v="000"/>
    <s v="36451-000"/>
    <s v="Musical accessories model #51"/>
    <s v="UNIQUE"/>
    <n v="0"/>
    <n v="50"/>
    <n v="8"/>
    <n v="0"/>
    <n v="400"/>
  </r>
  <r>
    <x v="2"/>
    <x v="27"/>
    <x v="5"/>
    <n v="3"/>
    <n v="64"/>
    <s v="52"/>
    <s v="000"/>
    <s v="36452-000"/>
    <s v="Musical accessories model #52"/>
    <s v="UNIQUE"/>
    <n v="1"/>
    <n v="884736"/>
    <n v="86"/>
    <n v="884736"/>
    <n v="76087296"/>
  </r>
  <r>
    <x v="2"/>
    <x v="27"/>
    <x v="5"/>
    <n v="3"/>
    <n v="64"/>
    <s v="53"/>
    <s v="000"/>
    <s v="36453-000"/>
    <s v="Musical accessories model #53"/>
    <s v="UNIQUE"/>
    <n v="0"/>
    <n v="512000"/>
    <n v="64"/>
    <n v="0"/>
    <n v="32768000"/>
  </r>
  <r>
    <x v="2"/>
    <x v="27"/>
    <x v="5"/>
    <n v="3"/>
    <n v="64"/>
    <s v="54"/>
    <s v="000"/>
    <s v="36454-000"/>
    <s v="Musical accessories model #54"/>
    <s v="UNIQUE"/>
    <n v="33"/>
    <n v="36"/>
    <n v="79"/>
    <n v="1188"/>
    <n v="2844"/>
  </r>
  <r>
    <x v="2"/>
    <x v="27"/>
    <x v="5"/>
    <n v="3"/>
    <n v="64"/>
    <s v="55"/>
    <s v="000"/>
    <s v="36455-000"/>
    <s v="Musical accessories model #55"/>
    <s v="UNIQUE"/>
    <n v="0"/>
    <n v="357911"/>
    <n v="71"/>
    <n v="0"/>
    <n v="25411681"/>
  </r>
  <r>
    <x v="2"/>
    <x v="27"/>
    <x v="5"/>
    <n v="3"/>
    <n v="64"/>
    <s v="56"/>
    <s v="000"/>
    <s v="36456-000"/>
    <s v="Musical accessories model #56"/>
    <s v="UNIQUE"/>
    <n v="0"/>
    <n v="1"/>
    <n v="4"/>
    <n v="0"/>
    <n v="4"/>
  </r>
  <r>
    <x v="2"/>
    <x v="27"/>
    <x v="5"/>
    <n v="3"/>
    <n v="64"/>
    <s v="57"/>
    <s v="000"/>
    <s v="36457-000"/>
    <s v="Musical accessories model #57"/>
    <s v="UNIQUE"/>
    <n v="0"/>
    <n v="47"/>
    <n v="3"/>
    <n v="0"/>
    <n v="141"/>
  </r>
  <r>
    <x v="2"/>
    <x v="27"/>
    <x v="5"/>
    <n v="3"/>
    <n v="64"/>
    <s v="58"/>
    <s v="000"/>
    <s v="36458-000"/>
    <s v="Musical accessories model #58"/>
    <s v="UNIQUE"/>
    <n v="0"/>
    <n v="60"/>
    <n v="8"/>
    <n v="0"/>
    <n v="480"/>
  </r>
  <r>
    <x v="2"/>
    <x v="27"/>
    <x v="5"/>
    <n v="3"/>
    <n v="64"/>
    <s v="59"/>
    <s v="000"/>
    <s v="36459-000"/>
    <s v="Musical accessories model #59"/>
    <s v="UNIQUE"/>
    <n v="12"/>
    <n v="484"/>
    <n v="23"/>
    <n v="5808"/>
    <n v="11132"/>
  </r>
  <r>
    <x v="2"/>
    <x v="27"/>
    <x v="5"/>
    <n v="3"/>
    <n v="64"/>
    <s v="60"/>
    <s v="000"/>
    <s v="36460-000"/>
    <s v="Musical accessories model #60"/>
    <s v="UNIQUE"/>
    <n v="48"/>
    <n v="20"/>
    <n v="72"/>
    <n v="960"/>
    <n v="1440"/>
  </r>
  <r>
    <x v="2"/>
    <x v="27"/>
    <x v="5"/>
    <n v="3"/>
    <n v="64"/>
    <s v="61"/>
    <s v="000"/>
    <s v="36461-000"/>
    <s v="Musical accessories model #61"/>
    <s v="UNIQUE"/>
    <n v="10"/>
    <n v="59"/>
    <n v="17"/>
    <n v="590"/>
    <n v="1003"/>
  </r>
  <r>
    <x v="2"/>
    <x v="27"/>
    <x v="5"/>
    <n v="3"/>
    <n v="64"/>
    <s v="62"/>
    <s v="000"/>
    <s v="36462-000"/>
    <s v="Musical accessories model #62"/>
    <s v="UNIQUE"/>
    <n v="0"/>
    <n v="4"/>
    <n v="55"/>
    <n v="0"/>
    <n v="220"/>
  </r>
  <r>
    <x v="2"/>
    <x v="27"/>
    <x v="5"/>
    <n v="3"/>
    <n v="64"/>
    <s v="63"/>
    <s v="000"/>
    <s v="36463-000"/>
    <s v="Musical accessories model #63"/>
    <s v="UNIQUE"/>
    <n v="1"/>
    <n v="74"/>
    <n v="72"/>
    <n v="74"/>
    <n v="5328"/>
  </r>
  <r>
    <x v="2"/>
    <x v="27"/>
    <x v="5"/>
    <n v="3"/>
    <n v="64"/>
    <s v="64"/>
    <s v="000"/>
    <s v="36464-000"/>
    <s v="Musical accessories model #64"/>
    <s v="UNIQUE"/>
    <n v="0"/>
    <n v="91125"/>
    <n v="62"/>
    <n v="0"/>
    <n v="5649750"/>
  </r>
  <r>
    <x v="2"/>
    <x v="27"/>
    <x v="5"/>
    <n v="3"/>
    <n v="64"/>
    <s v="65"/>
    <s v="000"/>
    <s v="36465-000"/>
    <s v="Musical accessories model #65"/>
    <s v="UNIQUE"/>
    <n v="0"/>
    <n v="4913"/>
    <n v="85"/>
    <n v="0"/>
    <n v="417605"/>
  </r>
  <r>
    <x v="2"/>
    <x v="27"/>
    <x v="5"/>
    <n v="3"/>
    <n v="64"/>
    <s v="66"/>
    <s v="000"/>
    <s v="36466-000"/>
    <s v="Musical accessories model #66"/>
    <s v="UNIQUE"/>
    <n v="3"/>
    <n v="110592"/>
    <n v="92"/>
    <n v="331776"/>
    <n v="10174464"/>
  </r>
  <r>
    <x v="2"/>
    <x v="27"/>
    <x v="5"/>
    <n v="3"/>
    <n v="64"/>
    <s v="67"/>
    <s v="000"/>
    <s v="36467-000"/>
    <s v="Musical accessories model #67"/>
    <s v="UNIQUE"/>
    <n v="0"/>
    <n v="970299"/>
    <n v="1"/>
    <n v="0"/>
    <n v="970299"/>
  </r>
  <r>
    <x v="2"/>
    <x v="27"/>
    <x v="5"/>
    <n v="3"/>
    <n v="64"/>
    <s v="68"/>
    <s v="000"/>
    <s v="36468-000"/>
    <s v="Musical accessories model #68"/>
    <s v="UNIQUE"/>
    <n v="8"/>
    <n v="9216"/>
    <n v="20"/>
    <n v="73728"/>
    <n v="184320"/>
  </r>
  <r>
    <x v="2"/>
    <x v="27"/>
    <x v="5"/>
    <n v="3"/>
    <n v="64"/>
    <s v="69"/>
    <s v="000"/>
    <s v="36469-000"/>
    <s v="Musical accessories model #69"/>
    <s v="UNIQUE"/>
    <n v="0"/>
    <n v="125"/>
    <n v="61"/>
    <n v="0"/>
    <n v="7625"/>
  </r>
  <r>
    <x v="2"/>
    <x v="27"/>
    <x v="5"/>
    <n v="3"/>
    <n v="64"/>
    <s v="70"/>
    <s v="000"/>
    <s v="36470-000"/>
    <s v="Musical accessories model #70"/>
    <s v="UNIQUE"/>
    <n v="0"/>
    <n v="551368"/>
    <n v="42"/>
    <n v="0"/>
    <n v="23157456"/>
  </r>
  <r>
    <x v="2"/>
    <x v="27"/>
    <x v="5"/>
    <n v="3"/>
    <n v="64"/>
    <s v="71"/>
    <s v="000"/>
    <s v="36471-000"/>
    <s v="Musical accessories model #71"/>
    <s v="UNIQUE"/>
    <n v="0"/>
    <n v="125000"/>
    <n v="98"/>
    <n v="0"/>
    <n v="12250000"/>
  </r>
  <r>
    <x v="2"/>
    <x v="27"/>
    <x v="5"/>
    <n v="3"/>
    <n v="64"/>
    <s v="72"/>
    <s v="000"/>
    <s v="36472-000"/>
    <s v="Musical accessories model #72"/>
    <s v="UNIQUE"/>
    <n v="0"/>
    <n v="1521"/>
    <n v="10"/>
    <n v="0"/>
    <n v="15210"/>
  </r>
  <r>
    <x v="2"/>
    <x v="27"/>
    <x v="5"/>
    <n v="3"/>
    <n v="64"/>
    <s v="73"/>
    <s v="000"/>
    <s v="36473-000"/>
    <s v="Musical accessories model #73"/>
    <s v="UNIQUE"/>
    <n v="0"/>
    <n v="216000"/>
    <n v="28"/>
    <n v="0"/>
    <n v="6048000"/>
  </r>
  <r>
    <x v="2"/>
    <x v="27"/>
    <x v="5"/>
    <n v="3"/>
    <n v="64"/>
    <s v="74"/>
    <s v="000"/>
    <s v="36474-000"/>
    <s v="Musical accessories model #74"/>
    <s v="UNIQUE"/>
    <n v="9"/>
    <n v="6889"/>
    <n v="3"/>
    <n v="62001"/>
    <n v="20667"/>
  </r>
  <r>
    <x v="2"/>
    <x v="27"/>
    <x v="5"/>
    <n v="3"/>
    <n v="64"/>
    <s v="75"/>
    <s v="000"/>
    <s v="36475-000"/>
    <s v="Musical accessories model #75"/>
    <s v="UNIQUE"/>
    <n v="0"/>
    <n v="6859"/>
    <n v="87"/>
    <n v="0"/>
    <n v="596733"/>
  </r>
  <r>
    <x v="2"/>
    <x v="27"/>
    <x v="5"/>
    <n v="3"/>
    <n v="64"/>
    <s v="76"/>
    <s v="000"/>
    <s v="36476-000"/>
    <s v="Musical accessories model #76"/>
    <s v="UNIQUE"/>
    <n v="1"/>
    <n v="15"/>
    <n v="13"/>
    <n v="15"/>
    <n v="195"/>
  </r>
  <r>
    <x v="2"/>
    <x v="27"/>
    <x v="5"/>
    <n v="3"/>
    <n v="64"/>
    <s v="77"/>
    <s v="000"/>
    <s v="36477-000"/>
    <s v="Musical accessories model #77"/>
    <s v="UNIQUE"/>
    <n v="0"/>
    <n v="784"/>
    <n v="87"/>
    <n v="0"/>
    <n v="68208"/>
  </r>
  <r>
    <x v="2"/>
    <x v="27"/>
    <x v="5"/>
    <n v="3"/>
    <n v="64"/>
    <s v="78"/>
    <s v="000"/>
    <s v="36478-000"/>
    <s v="Musical accessories model #78"/>
    <s v="UNIQUE"/>
    <n v="0"/>
    <n v="676"/>
    <n v="36"/>
    <n v="0"/>
    <n v="24336"/>
  </r>
  <r>
    <x v="2"/>
    <x v="27"/>
    <x v="5"/>
    <n v="3"/>
    <n v="64"/>
    <s v="79"/>
    <s v="000"/>
    <s v="36479-000"/>
    <s v="Musical accessories model #79"/>
    <s v="UNIQUE"/>
    <n v="0"/>
    <n v="729"/>
    <n v="24"/>
    <n v="0"/>
    <n v="17496"/>
  </r>
  <r>
    <x v="2"/>
    <x v="27"/>
    <x v="5"/>
    <n v="3"/>
    <n v="64"/>
    <s v="80"/>
    <s v="000"/>
    <s v="36480-000"/>
    <s v="Musical accessories model #80"/>
    <s v="UNIQUE"/>
    <n v="0"/>
    <n v="64"/>
    <n v="25"/>
    <n v="0"/>
    <n v="16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D0E81-651F-44EF-9982-82B536C52B7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E12" firstHeaderRow="0" firstDataRow="1" firstDataCol="1" rowPageCount="2" colPageCount="1"/>
  <pivotFields count="15">
    <pivotField axis="axisRow" showAll="0">
      <items count="4">
        <item x="0"/>
        <item x="1"/>
        <item x="2"/>
        <item t="default"/>
      </items>
    </pivotField>
    <pivotField axis="axisPage" showAll="0">
      <items count="29">
        <item x="7"/>
        <item x="6"/>
        <item x="21"/>
        <item x="14"/>
        <item x="5"/>
        <item x="9"/>
        <item x="22"/>
        <item x="8"/>
        <item x="2"/>
        <item x="11"/>
        <item x="15"/>
        <item x="0"/>
        <item x="26"/>
        <item x="27"/>
        <item x="13"/>
        <item x="12"/>
        <item x="10"/>
        <item x="19"/>
        <item x="25"/>
        <item x="24"/>
        <item x="23"/>
        <item x="20"/>
        <item x="17"/>
        <item x="16"/>
        <item x="18"/>
        <item x="1"/>
        <item x="4"/>
        <item x="3"/>
        <item t="default"/>
      </items>
    </pivotField>
    <pivotField axis="axisPage" showAll="0">
      <items count="7">
        <item x="3"/>
        <item x="5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7" showAll="0"/>
    <pivotField dataField="1" numFmtId="44" showAll="0"/>
    <pivotField numFmtId="37" showAll="0"/>
    <pivotField dataField="1" numFmtId="44" showAll="0"/>
    <pivotField dataField="1" numFmtId="44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" hier="-1"/>
    <pageField fld="1" hier="-1"/>
  </pageFields>
  <dataFields count="4">
    <dataField name="Sum of Inventory" fld="10" baseField="0" baseItem="0" numFmtId="164"/>
    <dataField name="Average of Standard Cost" fld="11" subtotal="average" baseField="3" baseItem="0" numFmtId="165"/>
    <dataField name="Sum of Inventory Value" fld="13" baseField="0" baseItem="0" numFmtId="166"/>
    <dataField name="Sum of Consumption Value" fld="14" baseField="0" baseItem="0" numFmtId="166"/>
  </dataFields>
  <formats count="5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17B67-447F-4E2A-ADB9-8E1D0DC3B38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E25" firstHeaderRow="0" firstDataRow="1" firstDataCol="1" rowPageCount="1" colPageCount="1"/>
  <pivotFields count="15">
    <pivotField axis="axisPage" showAll="0">
      <items count="4">
        <item x="0"/>
        <item x="1"/>
        <item x="2"/>
        <item t="default"/>
      </items>
    </pivotField>
    <pivotField showAll="0"/>
    <pivotField axis="axisRow" showAll="0">
      <items count="7">
        <item x="3"/>
        <item x="5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7" showAll="0"/>
    <pivotField dataField="1" numFmtId="44" showAll="0"/>
    <pivotField numFmtId="37" showAll="0"/>
    <pivotField dataField="1" numFmtId="44" showAll="0"/>
    <pivotField dataField="1" numFmtId="44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Inventory" fld="10" baseField="0" baseItem="0" numFmtId="164"/>
    <dataField name="Average of Standard Cost" fld="11" subtotal="average" baseField="3" baseItem="0" numFmtId="165"/>
    <dataField name="Sum of Inventory Value" fld="13" baseField="0" baseItem="0" numFmtId="166"/>
    <dataField name="Sum of Consumption Value" fld="14" baseField="0" baseItem="0" numFmtId="166"/>
  </dataFields>
  <formats count="5"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  <format dxfId="6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5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9C26F-C40B-4645-969A-E3E0DF4EE6D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E60" firstHeaderRow="0" firstDataRow="1" firstDataCol="1" rowPageCount="1" colPageCount="1"/>
  <pivotFields count="15">
    <pivotField showAll="0"/>
    <pivotField axis="axisRow" showAll="0">
      <items count="29">
        <item x="7"/>
        <item x="6"/>
        <item x="21"/>
        <item x="14"/>
        <item x="5"/>
        <item x="9"/>
        <item x="22"/>
        <item x="8"/>
        <item x="2"/>
        <item x="11"/>
        <item x="15"/>
        <item x="0"/>
        <item x="26"/>
        <item x="27"/>
        <item x="13"/>
        <item x="12"/>
        <item x="10"/>
        <item x="19"/>
        <item x="25"/>
        <item x="24"/>
        <item x="23"/>
        <item x="20"/>
        <item x="17"/>
        <item x="16"/>
        <item x="18"/>
        <item x="1"/>
        <item x="4"/>
        <item x="3"/>
        <item t="default"/>
      </items>
    </pivotField>
    <pivotField axis="axisPage" showAll="0">
      <items count="7">
        <item x="3"/>
        <item x="5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7" showAll="0"/>
    <pivotField dataField="1" numFmtId="44" showAll="0"/>
    <pivotField numFmtId="37" showAll="0"/>
    <pivotField dataField="1" numFmtId="44" showAll="0"/>
    <pivotField dataField="1" numFmtId="44" showAl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Sum of Inventory" fld="10" baseField="0" baseItem="0" numFmtId="164"/>
    <dataField name="Average of Standard Cost" fld="11" subtotal="average" baseField="3" baseItem="0" numFmtId="165"/>
    <dataField name="Sum of Inventory Value" fld="13" baseField="0" baseItem="0" numFmtId="166"/>
    <dataField name="Sum of Consumption Value" fld="14" baseField="0" baseItem="0" numFmtId="166"/>
  </dataFields>
  <formats count="5"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  <format dxfId="11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BC_analysi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038C-4A09-4FD5-BD26-1881C90345BD}">
  <dimension ref="A1:S31"/>
  <sheetViews>
    <sheetView tabSelected="1" workbookViewId="0">
      <selection activeCell="E22" sqref="E22"/>
    </sheetView>
  </sheetViews>
  <sheetFormatPr defaultRowHeight="15" x14ac:dyDescent="0.25"/>
  <cols>
    <col min="1" max="1" width="2.140625" style="1" customWidth="1"/>
    <col min="2" max="2" width="5.5703125" style="1" customWidth="1"/>
    <col min="3" max="3" width="10.42578125" style="1" customWidth="1"/>
    <col min="4" max="4" width="3.7109375" style="1" customWidth="1"/>
    <col min="5" max="5" width="17" style="22" customWidth="1"/>
    <col min="6" max="6" width="17.140625" style="22" customWidth="1"/>
    <col min="7" max="7" width="3.7109375" style="1" customWidth="1"/>
    <col min="8" max="8" width="9.85546875" style="22" customWidth="1"/>
    <col min="9" max="9" width="14.5703125" style="56" customWidth="1"/>
    <col min="10" max="10" width="15.85546875" style="56" customWidth="1"/>
    <col min="11" max="11" width="3.7109375" style="1" customWidth="1"/>
    <col min="12" max="12" width="14.42578125" style="32" customWidth="1"/>
    <col min="13" max="13" width="14.42578125" style="1" customWidth="1"/>
    <col min="14" max="14" width="3.7109375" style="1" customWidth="1"/>
    <col min="15" max="15" width="17.85546875" style="1" customWidth="1"/>
    <col min="16" max="16" width="17.140625" style="1" customWidth="1"/>
    <col min="17" max="17" width="9.140625" style="1"/>
    <col min="18" max="18" width="13.28515625" style="1" customWidth="1"/>
    <col min="19" max="19" width="12.85546875" style="1" customWidth="1"/>
    <col min="20" max="16384" width="9.140625" style="1"/>
  </cols>
  <sheetData>
    <row r="1" spans="1:19" x14ac:dyDescent="0.25">
      <c r="A1" s="3" t="s">
        <v>103</v>
      </c>
      <c r="E1" s="1"/>
      <c r="F1" s="48" t="s">
        <v>104</v>
      </c>
    </row>
    <row r="2" spans="1:19" x14ac:dyDescent="0.25">
      <c r="A2" s="4" t="s">
        <v>107</v>
      </c>
      <c r="E2" s="1"/>
      <c r="F2" s="1"/>
    </row>
    <row r="3" spans="1:19" x14ac:dyDescent="0.25">
      <c r="E3" s="1"/>
      <c r="F3" s="1"/>
    </row>
    <row r="4" spans="1:19" ht="15.75" thickBot="1" x14ac:dyDescent="0.3">
      <c r="E4" s="1"/>
      <c r="F4" s="1"/>
    </row>
    <row r="5" spans="1:19" x14ac:dyDescent="0.25">
      <c r="A5" s="26" t="s">
        <v>69</v>
      </c>
      <c r="B5" s="2" t="s">
        <v>105</v>
      </c>
      <c r="D5" s="34">
        <v>12</v>
      </c>
      <c r="E5" s="55" t="s">
        <v>101</v>
      </c>
      <c r="F5" s="2" t="s">
        <v>72</v>
      </c>
    </row>
    <row r="6" spans="1:19" x14ac:dyDescent="0.25">
      <c r="A6" s="26" t="s">
        <v>70</v>
      </c>
      <c r="B6" s="1" t="s">
        <v>105</v>
      </c>
      <c r="D6" s="35">
        <v>6</v>
      </c>
      <c r="E6" s="55" t="s">
        <v>101</v>
      </c>
      <c r="F6" s="2" t="s">
        <v>73</v>
      </c>
    </row>
    <row r="7" spans="1:19" ht="15.75" thickBot="1" x14ac:dyDescent="0.3">
      <c r="A7" s="26" t="s">
        <v>71</v>
      </c>
      <c r="B7" s="1" t="s">
        <v>105</v>
      </c>
      <c r="D7" s="36">
        <v>1</v>
      </c>
      <c r="E7" s="55" t="s">
        <v>102</v>
      </c>
      <c r="F7" s="2" t="s">
        <v>74</v>
      </c>
    </row>
    <row r="8" spans="1:19" ht="15.75" thickBot="1" x14ac:dyDescent="0.3">
      <c r="A8" s="21"/>
      <c r="B8" s="21"/>
      <c r="C8" s="21"/>
      <c r="D8" s="21"/>
      <c r="E8" s="21"/>
      <c r="F8" s="21"/>
      <c r="G8" s="21"/>
      <c r="H8" s="24"/>
      <c r="I8" s="57"/>
      <c r="J8" s="57"/>
      <c r="K8" s="21"/>
      <c r="L8" s="33"/>
      <c r="M8" s="21"/>
      <c r="N8" s="21"/>
    </row>
    <row r="9" spans="1:19" ht="15.75" thickTop="1" x14ac:dyDescent="0.25"/>
    <row r="10" spans="1:19" x14ac:dyDescent="0.25">
      <c r="A10" s="3" t="s">
        <v>75</v>
      </c>
    </row>
    <row r="11" spans="1:19" x14ac:dyDescent="0.25">
      <c r="A11" s="4" t="s">
        <v>76</v>
      </c>
    </row>
    <row r="12" spans="1:19" ht="15.75" thickBot="1" x14ac:dyDescent="0.3"/>
    <row r="13" spans="1:19" ht="15.75" thickBot="1" x14ac:dyDescent="0.3">
      <c r="B13" s="66">
        <v>250</v>
      </c>
      <c r="C13" s="2" t="s">
        <v>100</v>
      </c>
    </row>
    <row r="15" spans="1:19" x14ac:dyDescent="0.25">
      <c r="B15" s="4" t="s">
        <v>111</v>
      </c>
    </row>
    <row r="16" spans="1:19" s="49" customFormat="1" ht="33.75" customHeight="1" thickBot="1" x14ac:dyDescent="0.3">
      <c r="C16" s="44" t="s">
        <v>77</v>
      </c>
      <c r="D16" s="44"/>
      <c r="E16" s="43" t="s">
        <v>97</v>
      </c>
      <c r="F16" s="44" t="s">
        <v>98</v>
      </c>
      <c r="G16" s="50"/>
      <c r="H16" s="44" t="s">
        <v>113</v>
      </c>
      <c r="I16" s="58" t="s">
        <v>90</v>
      </c>
      <c r="J16" s="58" t="s">
        <v>112</v>
      </c>
      <c r="K16" s="50"/>
      <c r="L16" s="51" t="s">
        <v>109</v>
      </c>
      <c r="M16" s="44" t="s">
        <v>108</v>
      </c>
      <c r="O16" s="44" t="s">
        <v>115</v>
      </c>
      <c r="P16" s="44" t="s">
        <v>116</v>
      </c>
      <c r="R16" s="67"/>
      <c r="S16" s="67"/>
    </row>
    <row r="17" spans="2:19" s="22" customFormat="1" ht="15.75" thickTop="1" x14ac:dyDescent="0.25">
      <c r="C17" s="22" t="s">
        <v>69</v>
      </c>
      <c r="E17" s="40">
        <v>0.05</v>
      </c>
      <c r="F17" s="29">
        <f>$I17 / $I$20</f>
        <v>0.63750600174397065</v>
      </c>
      <c r="H17" s="22">
        <f>E17*H$20</f>
        <v>250</v>
      </c>
      <c r="I17" s="56">
        <f>SUMIFS('Item Master'!$P:$P, 'Item Master'!$Q:$Q, "&lt;=" &amp; $H17)</f>
        <v>118925381</v>
      </c>
      <c r="J17" s="56">
        <f>SUMIFS('Item Master'!$O:$O, 'Item Master'!$Q:$Q, "&lt;=" &amp; $H17)</f>
        <v>90450711</v>
      </c>
      <c r="L17" s="52">
        <f>$H17 * $D5</f>
        <v>3000</v>
      </c>
      <c r="M17" s="22">
        <f>ROUND($L17 / $B$13, 0)</f>
        <v>12</v>
      </c>
      <c r="O17" s="61">
        <f>I17 * L17 / H17</f>
        <v>1427104572</v>
      </c>
      <c r="P17" s="61">
        <f>J17 * L17 / H17</f>
        <v>1085408532</v>
      </c>
      <c r="R17" s="68"/>
      <c r="S17" s="70"/>
    </row>
    <row r="18" spans="2:19" s="22" customFormat="1" x14ac:dyDescent="0.25">
      <c r="C18" s="22" t="s">
        <v>70</v>
      </c>
      <c r="E18" s="41">
        <v>0.15</v>
      </c>
      <c r="F18" s="29">
        <f>$I18 / $I$20</f>
        <v>0.25531707919181129</v>
      </c>
      <c r="H18" s="22">
        <f>E18*H$20</f>
        <v>750</v>
      </c>
      <c r="I18" s="56">
        <f>SUMIFS('Item Master'!$P:$P, 'Item Master'!$Q:$Q, "&lt;=" &amp; SUM($H17:$H18)) - SUMIFS('Item Master'!$P:$P, 'Item Master'!$Q:$Q, "&lt;=" &amp; $H17)</f>
        <v>47628855</v>
      </c>
      <c r="J18" s="56">
        <f>SUMIFS('Item Master'!$O:$O, 'Item Master'!$Q:$Q, "&lt;=" &amp; SUM($H17:$H18)) - SUMIFS('Item Master'!$O:$O, 'Item Master'!$Q:$Q, "&lt;=" &amp; $H17)</f>
        <v>50974532</v>
      </c>
      <c r="L18" s="52">
        <f>$H18 * $D6</f>
        <v>4500</v>
      </c>
      <c r="M18" s="22">
        <f>ROUND($L18 / $B$13, 0)</f>
        <v>18</v>
      </c>
      <c r="O18" s="61">
        <f t="shared" ref="O18:O19" si="0">I18 * L18 / H18</f>
        <v>285773130</v>
      </c>
      <c r="P18" s="61">
        <f t="shared" ref="P18:P19" si="1">J18 * L18 / H18</f>
        <v>305847192</v>
      </c>
      <c r="R18" s="68"/>
      <c r="S18" s="70"/>
    </row>
    <row r="19" spans="2:19" s="22" customFormat="1" ht="15.75" thickBot="1" x14ac:dyDescent="0.3">
      <c r="C19" s="46" t="s">
        <v>71</v>
      </c>
      <c r="D19" s="46"/>
      <c r="E19" s="42">
        <v>0.8</v>
      </c>
      <c r="F19" s="47">
        <f>$I19 / $I$20</f>
        <v>0.10717691906421806</v>
      </c>
      <c r="G19" s="46"/>
      <c r="H19" s="46">
        <f>E19*H$20</f>
        <v>4000</v>
      </c>
      <c r="I19" s="59">
        <f>SUMIFS('Item Master'!$P:$P, 'Item Master'!$Q:$Q, "&lt;=" &amp; SUM($H17:$H19)) - SUMIFS('Item Master'!$P:$P, 'Item Master'!$Q:$Q, "&lt;=" &amp; SUM($H17:$H18))</f>
        <v>19993625</v>
      </c>
      <c r="J19" s="59">
        <f>SUMIFS('Item Master'!$O:$O, 'Item Master'!$Q:$Q, "&lt;=" &amp; SUM($H17:$H19)) - SUMIFS('Item Master'!$O:$O, 'Item Master'!$Q:$Q, "&lt;=" &amp; SUM($H17:$H18))</f>
        <v>2399602</v>
      </c>
      <c r="K19" s="46"/>
      <c r="L19" s="53">
        <f t="shared" ref="L19" si="2">$H19 * $D7</f>
        <v>4000</v>
      </c>
      <c r="M19" s="46">
        <f>ROUND($L19 / $B$13, 0)</f>
        <v>16</v>
      </c>
      <c r="O19" s="62">
        <f t="shared" si="0"/>
        <v>19993625</v>
      </c>
      <c r="P19" s="62">
        <f t="shared" si="1"/>
        <v>2399602</v>
      </c>
      <c r="R19" s="68"/>
      <c r="S19" s="69"/>
    </row>
    <row r="20" spans="2:19" s="22" customFormat="1" x14ac:dyDescent="0.25">
      <c r="C20" s="26" t="s">
        <v>78</v>
      </c>
      <c r="D20" s="26"/>
      <c r="E20" s="25">
        <f>SUM(E17:E19)</f>
        <v>1</v>
      </c>
      <c r="F20" s="25">
        <f>SUM(F17:F19)</f>
        <v>1</v>
      </c>
      <c r="G20" s="26"/>
      <c r="H20" s="26">
        <f>COUNTA('Item Master'!$I:$I) - 1</f>
        <v>5000</v>
      </c>
      <c r="I20" s="60">
        <f>SUM(I17:I19)</f>
        <v>186547861</v>
      </c>
      <c r="J20" s="60">
        <f>SUM(J17:J19)</f>
        <v>143824845</v>
      </c>
      <c r="K20" s="26"/>
      <c r="L20" s="54">
        <f>SUM(L17:L19)</f>
        <v>11500</v>
      </c>
      <c r="M20" s="54">
        <f>SUM(M17:M19)</f>
        <v>46</v>
      </c>
      <c r="O20" s="60">
        <f>SUM(O17:O19)</f>
        <v>1732871327</v>
      </c>
      <c r="P20" s="72">
        <f>SUM(P17:P19)</f>
        <v>1393655326</v>
      </c>
      <c r="R20" s="69"/>
      <c r="S20" s="69"/>
    </row>
    <row r="21" spans="2:19" s="22" customFormat="1" x14ac:dyDescent="0.25">
      <c r="I21" s="56"/>
      <c r="J21" s="56"/>
      <c r="L21" s="52"/>
      <c r="R21" s="69"/>
      <c r="S21" s="69"/>
    </row>
    <row r="22" spans="2:19" s="22" customFormat="1" x14ac:dyDescent="0.25">
      <c r="I22" s="56"/>
      <c r="J22" s="56"/>
      <c r="L22" s="52"/>
      <c r="R22" s="69"/>
      <c r="S22" s="69"/>
    </row>
    <row r="23" spans="2:19" s="22" customFormat="1" x14ac:dyDescent="0.25">
      <c r="B23" s="4" t="s">
        <v>110</v>
      </c>
      <c r="I23" s="56"/>
      <c r="J23" s="56"/>
      <c r="L23" s="52"/>
      <c r="R23" s="69"/>
      <c r="S23" s="69"/>
    </row>
    <row r="24" spans="2:19" s="49" customFormat="1" ht="30.75" thickBot="1" x14ac:dyDescent="0.3">
      <c r="C24" s="44" t="s">
        <v>77</v>
      </c>
      <c r="D24" s="44"/>
      <c r="E24" s="44" t="s">
        <v>96</v>
      </c>
      <c r="F24" s="43" t="s">
        <v>99</v>
      </c>
      <c r="G24" s="50"/>
      <c r="H24" s="44" t="s">
        <v>113</v>
      </c>
      <c r="I24" s="58" t="s">
        <v>90</v>
      </c>
      <c r="J24" s="58" t="s">
        <v>112</v>
      </c>
      <c r="K24" s="50"/>
      <c r="L24" s="51" t="s">
        <v>109</v>
      </c>
      <c r="M24" s="44" t="s">
        <v>108</v>
      </c>
      <c r="O24" s="44" t="s">
        <v>115</v>
      </c>
      <c r="P24" s="44" t="s">
        <v>116</v>
      </c>
      <c r="R24" s="67"/>
      <c r="S24" s="67"/>
    </row>
    <row r="25" spans="2:19" s="22" customFormat="1" ht="15.75" thickTop="1" x14ac:dyDescent="0.25">
      <c r="C25" s="22" t="s">
        <v>69</v>
      </c>
      <c r="E25" s="31">
        <f>$H25 / $H$28</f>
        <v>9.3200000000000005E-2</v>
      </c>
      <c r="F25" s="37">
        <v>0.8</v>
      </c>
      <c r="H25" s="22">
        <f>COUNTIFS('Item Master'!$S:$S, "&lt;=" &amp; SUM($I$25:$I25))</f>
        <v>466</v>
      </c>
      <c r="I25" s="56">
        <f>$F25 * $I$28</f>
        <v>149238288.80000001</v>
      </c>
      <c r="J25" s="56">
        <f>SUMIFS('Item Master'!$O:$O, 'Item Master'!$Q:$Q, "&lt;=" &amp; $H25)</f>
        <v>130488111</v>
      </c>
      <c r="L25" s="52">
        <f>$H25 * $D5</f>
        <v>5592</v>
      </c>
      <c r="M25" s="22">
        <f>ROUND($L25 / $B$13, 0)</f>
        <v>22</v>
      </c>
      <c r="O25" s="61">
        <f t="shared" ref="O25:O27" si="3">I25 * L25 / H25</f>
        <v>1790859465.6000001</v>
      </c>
      <c r="P25" s="61">
        <f>J25 * L25 / H25</f>
        <v>1565857332</v>
      </c>
      <c r="R25" s="68"/>
      <c r="S25" s="70"/>
    </row>
    <row r="26" spans="2:19" s="22" customFormat="1" x14ac:dyDescent="0.25">
      <c r="C26" s="22" t="s">
        <v>70</v>
      </c>
      <c r="E26" s="31">
        <f t="shared" ref="E26:E27" si="4">$H26 / $H$28</f>
        <v>0.247</v>
      </c>
      <c r="F26" s="38">
        <v>0.15</v>
      </c>
      <c r="H26" s="22">
        <f>COUNTIFS('Item Master'!$S:$S, "&lt;=" &amp; SUM($I$25:$I26)) - COUNTIFS('Item Master'!$S:$S, "&lt;=" &amp; SUM($I$25:$I25))</f>
        <v>1235</v>
      </c>
      <c r="I26" s="56">
        <f>$F26 * $I$28</f>
        <v>27982179.149999999</v>
      </c>
      <c r="J26" s="56">
        <f>SUMIFS('Item Master'!$O:$O, 'Item Master'!$Q:$Q, "&lt;=" &amp; SUM($H25:$H26)) - SUMIFS('Item Master'!$O:$O, 'Item Master'!$Q:$Q, "&lt;=" &amp; $H25)</f>
        <v>12058465</v>
      </c>
      <c r="L26" s="52">
        <f t="shared" ref="L26:L27" si="5">$H26 * $D6</f>
        <v>7410</v>
      </c>
      <c r="M26" s="22">
        <f>ROUND($L26 / $B$13, 0)</f>
        <v>30</v>
      </c>
      <c r="O26" s="61">
        <f t="shared" si="3"/>
        <v>167893074.90000001</v>
      </c>
      <c r="P26" s="61">
        <f t="shared" ref="P26:P27" si="6">J26 * L26 / H26</f>
        <v>72350790</v>
      </c>
      <c r="R26" s="68"/>
      <c r="S26" s="70"/>
    </row>
    <row r="27" spans="2:19" s="22" customFormat="1" ht="15.75" thickBot="1" x14ac:dyDescent="0.3">
      <c r="C27" s="46" t="s">
        <v>71</v>
      </c>
      <c r="D27" s="46"/>
      <c r="E27" s="45">
        <f t="shared" si="4"/>
        <v>0.65980000000000005</v>
      </c>
      <c r="F27" s="39">
        <v>0.05</v>
      </c>
      <c r="G27" s="46"/>
      <c r="H27" s="46">
        <f>COUNTIFS('Item Master'!$S:$S, "&lt;=" &amp; SUM($I$25:$I27)) - COUNTIFS('Item Master'!$S:$S, "&lt;=" &amp; SUM($I$25:$I26))</f>
        <v>3299</v>
      </c>
      <c r="I27" s="59">
        <f>$F27 * $I$28</f>
        <v>9327393.0500000007</v>
      </c>
      <c r="J27" s="59">
        <f>SUMIFS('Item Master'!$O:$O, 'Item Master'!$Q:$Q, "&lt;=" &amp; SUM($H25:$H27)) - SUMIFS('Item Master'!$O:$O, 'Item Master'!$Q:$Q, "&lt;=" &amp; SUM($H25:$H26))</f>
        <v>1278269</v>
      </c>
      <c r="K27" s="46"/>
      <c r="L27" s="53">
        <f t="shared" si="5"/>
        <v>3299</v>
      </c>
      <c r="M27" s="46">
        <f>ROUND($L27 / $B$13, 0)</f>
        <v>13</v>
      </c>
      <c r="O27" s="62">
        <f t="shared" si="3"/>
        <v>9327393.0500000007</v>
      </c>
      <c r="P27" s="62">
        <f t="shared" si="6"/>
        <v>1278269</v>
      </c>
      <c r="R27" s="29"/>
    </row>
    <row r="28" spans="2:19" s="22" customFormat="1" x14ac:dyDescent="0.25">
      <c r="C28" s="26" t="s">
        <v>78</v>
      </c>
      <c r="D28" s="26"/>
      <c r="E28" s="25">
        <f>SUM(E25:E27)</f>
        <v>1</v>
      </c>
      <c r="F28" s="25">
        <f>SUM(F25:F27)</f>
        <v>1</v>
      </c>
      <c r="G28" s="26"/>
      <c r="H28" s="26">
        <f>SUM(H25:H27)</f>
        <v>5000</v>
      </c>
      <c r="I28" s="60">
        <f>SUM('Item Master'!$P:$P)</f>
        <v>186547861</v>
      </c>
      <c r="J28" s="60">
        <f>SUM(J25:J27)</f>
        <v>143824845</v>
      </c>
      <c r="L28" s="54">
        <f>SUM(L25:L27)</f>
        <v>16301</v>
      </c>
      <c r="M28" s="54">
        <f>SUM(M25:M27)</f>
        <v>65</v>
      </c>
      <c r="O28" s="60">
        <f>SUM(O25:O27)</f>
        <v>1968079933.5500002</v>
      </c>
      <c r="P28" s="72">
        <f>SUM(P25:P27)</f>
        <v>1639486391</v>
      </c>
    </row>
    <row r="30" spans="2:19" x14ac:dyDescent="0.25">
      <c r="C30" s="71" t="s">
        <v>114</v>
      </c>
    </row>
    <row r="31" spans="2:19" x14ac:dyDescent="0.25">
      <c r="H31" s="65"/>
    </row>
  </sheetData>
  <hyperlinks>
    <hyperlink ref="F1" r:id="rId1" xr:uid="{FDBBF5B5-0CA3-4050-870A-7A459E75BC63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4150-A990-436A-BD7B-02FBA68CBFB9}">
  <dimension ref="A1:S5005"/>
  <sheetViews>
    <sheetView workbookViewId="0">
      <pane ySplit="5" topLeftCell="A6" activePane="bottomLeft" state="frozen"/>
      <selection pane="bottomLeft" activeCell="Q2" sqref="Q2"/>
    </sheetView>
  </sheetViews>
  <sheetFormatPr defaultRowHeight="15" x14ac:dyDescent="0.25"/>
  <cols>
    <col min="1" max="1" width="9.140625" style="1"/>
    <col min="2" max="2" width="18.140625" style="1" customWidth="1"/>
    <col min="3" max="3" width="30.140625" style="1" customWidth="1"/>
    <col min="4" max="4" width="19.42578125" style="1" customWidth="1"/>
    <col min="5" max="5" width="12.7109375" style="1" customWidth="1"/>
    <col min="6" max="6" width="18.140625" style="1" customWidth="1"/>
    <col min="7" max="7" width="15" style="1" customWidth="1"/>
    <col min="8" max="8" width="11.5703125" style="1" customWidth="1"/>
    <col min="9" max="9" width="14.85546875" style="1" customWidth="1"/>
    <col min="10" max="10" width="40" style="1" customWidth="1"/>
    <col min="11" max="11" width="9.140625" style="1"/>
    <col min="12" max="12" width="12.85546875" style="18" customWidth="1"/>
    <col min="13" max="13" width="17.28515625" style="5" customWidth="1"/>
    <col min="14" max="14" width="25" style="1" customWidth="1"/>
    <col min="15" max="15" width="19.28515625" style="1" customWidth="1"/>
    <col min="16" max="16" width="19.5703125" style="1" customWidth="1"/>
    <col min="17" max="17" width="21" style="1" customWidth="1"/>
    <col min="18" max="18" width="13.42578125" style="63" customWidth="1"/>
    <col min="19" max="19" width="24.140625" style="1" customWidth="1"/>
    <col min="20" max="16384" width="9.140625" style="1"/>
  </cols>
  <sheetData>
    <row r="1" spans="1:19" x14ac:dyDescent="0.25">
      <c r="A1" s="3" t="s">
        <v>63</v>
      </c>
      <c r="L1" s="20" t="s">
        <v>118</v>
      </c>
    </row>
    <row r="2" spans="1:19" x14ac:dyDescent="0.25">
      <c r="A2" s="4" t="s">
        <v>64</v>
      </c>
    </row>
    <row r="3" spans="1:19" ht="15.75" thickBot="1" x14ac:dyDescent="0.3"/>
    <row r="4" spans="1:19" ht="15.75" thickBot="1" x14ac:dyDescent="0.3">
      <c r="B4" s="2"/>
      <c r="C4" s="2"/>
      <c r="D4" s="2"/>
      <c r="G4" s="2"/>
      <c r="L4" s="73" t="s">
        <v>92</v>
      </c>
      <c r="M4" s="74" t="s">
        <v>93</v>
      </c>
      <c r="N4" s="75" t="s">
        <v>94</v>
      </c>
      <c r="O4" s="2" t="s">
        <v>117</v>
      </c>
      <c r="P4" s="2"/>
    </row>
    <row r="5" spans="1:19" s="3" customFormat="1" ht="15.75" thickBot="1" x14ac:dyDescent="0.3">
      <c r="A5" s="7" t="s">
        <v>0</v>
      </c>
      <c r="B5" s="7" t="s">
        <v>1</v>
      </c>
      <c r="C5" s="7" t="s">
        <v>54</v>
      </c>
      <c r="D5" s="7" t="s">
        <v>13</v>
      </c>
      <c r="E5" s="7" t="s">
        <v>56</v>
      </c>
      <c r="F5" s="7" t="s">
        <v>57</v>
      </c>
      <c r="G5" s="7" t="s">
        <v>61</v>
      </c>
      <c r="H5" s="7" t="s">
        <v>60</v>
      </c>
      <c r="I5" s="7" t="s">
        <v>58</v>
      </c>
      <c r="J5" s="7" t="s">
        <v>59</v>
      </c>
      <c r="K5" s="7" t="s">
        <v>62</v>
      </c>
      <c r="L5" s="19" t="s">
        <v>65</v>
      </c>
      <c r="M5" s="16" t="s">
        <v>66</v>
      </c>
      <c r="N5" s="17" t="s">
        <v>67</v>
      </c>
      <c r="O5" s="17" t="s">
        <v>85</v>
      </c>
      <c r="P5" s="17" t="s">
        <v>86</v>
      </c>
      <c r="Q5" s="27" t="s">
        <v>91</v>
      </c>
      <c r="R5" s="64" t="s">
        <v>106</v>
      </c>
      <c r="S5" s="27" t="s">
        <v>95</v>
      </c>
    </row>
    <row r="6" spans="1:19" ht="15.75" thickTop="1" x14ac:dyDescent="0.25">
      <c r="A6" s="1">
        <v>1</v>
      </c>
      <c r="B6" s="1" t="s">
        <v>2</v>
      </c>
      <c r="C6" s="1" t="str">
        <f>IF($B6 = "Production Item", _xlfn.XLOOKUP($A6, 'Instrument Table'!$J:$J, 'Instrument Table'!$B:$B, $C5), IF($B6 = "Service Item", _xlfn.XLOOKUP($A6, 'Instrument Table'!$I:$I, 'Instrument Table'!$B:$B, $C5), _xlfn.XLOOKUP($A6, 'Instrument Table'!$H:$H, 'Instrument Table'!$B:$B, $C5)))</f>
        <v>Grand Piano</v>
      </c>
      <c r="D6" s="1" t="str">
        <f>VLOOKUP($C6, 'Instrument Table'!$B:$C, 2, FALSE)</f>
        <v>Pianos</v>
      </c>
      <c r="E6" s="1">
        <f>IF($B6 = "Production Item", 1, IF($B6 = "Service Item", 2, IF($B6 = "Retail Item", 3, "")))</f>
        <v>1</v>
      </c>
      <c r="F6" s="1">
        <f>_xlfn.XLOOKUP($C6, 'Instrument Table'!$B:$B, 'Instrument Table'!$A:$A, "")</f>
        <v>10</v>
      </c>
      <c r="G6" s="1" t="str">
        <f>TEXT(IF($B6 = "Retail Item", IF((ROW($A6) - 4504 - _xlfn.XMATCH($C6, $C$4506:$C$5005, 0, 1)) &lt;= VLOOKUP($C6, 'Instrument Table'!$B:$D, 3, FALSE), ROW($A6) - 4504 - _xlfn.XMATCH($C6, $C$4506:$C$5005, 0, 1), 0), 0), "00")</f>
        <v>00</v>
      </c>
      <c r="H6" s="1" t="str">
        <f>TEXT(IF($E6 &amp; $F6 &amp; $G6 = $E5 &amp; $F5 &amp; $G5, 1 + H5, 0), "000")</f>
        <v>000</v>
      </c>
      <c r="I6" s="1" t="str">
        <f xml:space="preserve"> _xlfn.CONCAT($E6, $F6, $G6, "-", H6)</f>
        <v>11000-000</v>
      </c>
      <c r="J6" s="1" t="str">
        <f>LEFT($C6, 1) &amp; LOWER(RIGHT($C6, LEN($C6) - 1)) &amp; IF(AND($G6 &lt;&gt; "00", $B6 = "Retail Item"), " model #" &amp; $G6, " " &amp; LOWER($B6) &amp; " #" &amp; $H6)</f>
        <v>Grand piano production item #000</v>
      </c>
      <c r="K6" s="1" t="str">
        <f>IF(SUM(COUNTIFS(I:I, I6)) &gt; 1, "DUPLICATE", "UNIQUE")</f>
        <v>UNIQUE</v>
      </c>
      <c r="L6" s="18">
        <v>2</v>
      </c>
      <c r="M6" s="28">
        <v>25</v>
      </c>
      <c r="N6" s="6">
        <v>144</v>
      </c>
      <c r="O6" s="30">
        <f>$L6 * $M6</f>
        <v>50</v>
      </c>
      <c r="P6" s="30">
        <f>$N6 * $M6</f>
        <v>3600</v>
      </c>
      <c r="Q6" s="1">
        <f>COUNTIFS($P:$P, "&gt;" &amp; $P6) + 1</f>
        <v>2737</v>
      </c>
      <c r="R6" s="63">
        <f>(COUNTIFS($P:$P, "&gt;" &amp; $P6) + 1) / (COUNTA($I:$I) - 1)</f>
        <v>0.5474</v>
      </c>
      <c r="S6" s="23">
        <f>SUMIFS($P:$P, $Q:$Q, "&lt;" &amp; $Q6)</f>
        <v>184104041</v>
      </c>
    </row>
    <row r="7" spans="1:19" x14ac:dyDescent="0.25">
      <c r="A7" s="1">
        <v>2</v>
      </c>
      <c r="B7" s="1" t="s">
        <v>2</v>
      </c>
      <c r="C7" s="1" t="str">
        <f>IF($B7 = "Production Item", _xlfn.XLOOKUP($A7, 'Instrument Table'!$J:$J, 'Instrument Table'!$B:$B, $C6), IF($B7 = "Service Item", _xlfn.XLOOKUP($A7, 'Instrument Table'!$I:$I, 'Instrument Table'!$B:$B, $C6), _xlfn.XLOOKUP($A7, 'Instrument Table'!$H:$H, 'Instrument Table'!$B:$B, $C6)))</f>
        <v>Grand Piano</v>
      </c>
      <c r="D7" s="1" t="str">
        <f>VLOOKUP($C7, 'Instrument Table'!$B:$C, 2, FALSE)</f>
        <v>Pianos</v>
      </c>
      <c r="E7" s="1">
        <f t="shared" ref="E7:E70" si="0">IF($B7 = "Production Item", 1, IF($B7 = "Service Item", 2, IF($B7 = "Retail Item", 3, "")))</f>
        <v>1</v>
      </c>
      <c r="F7" s="1">
        <f>_xlfn.XLOOKUP($C7, 'Instrument Table'!$B:$B, 'Instrument Table'!$A:$A, "")</f>
        <v>10</v>
      </c>
      <c r="G7" s="1" t="str">
        <f>TEXT(IF($B7 = "Retail Item", IF((ROW($A7) - 4504 - _xlfn.XMATCH($C7, $C$4506:$C$5005, 0, 1)) &lt;= VLOOKUP($C7, 'Instrument Table'!$B:$D, 3, FALSE), ROW($A7) - 4504 - _xlfn.XMATCH($C7, $C$4506:$C$5005, 0, 1), 0), 0), "00")</f>
        <v>00</v>
      </c>
      <c r="H7" s="1" t="str">
        <f t="shared" ref="H7:H70" si="1">TEXT(IF($E7 &amp; $F7 &amp; $G7 = $E6 &amp; $F6 &amp; $G6, 1 + H6, 0), "000")</f>
        <v>001</v>
      </c>
      <c r="I7" s="1" t="str">
        <f t="shared" ref="I7:I70" si="2" xml:space="preserve"> _xlfn.CONCAT($E7, $F7, $G7, "-", H7)</f>
        <v>11000-001</v>
      </c>
      <c r="J7" s="1" t="str">
        <f t="shared" ref="J7:J70" si="3">LEFT($C7, 1) &amp; LOWER(RIGHT($C7, LEN($C7) - 1)) &amp; IF(AND($G7 &lt;&gt; "00", $B7 = "Retail Item"), " model #" &amp; $G7, " " &amp; LOWER($B7) &amp; " #" &amp; $H7)</f>
        <v>Grand piano production item #001</v>
      </c>
      <c r="K7" s="1" t="str">
        <f>IF(SUM(COUNTIFS(I:I, I7)) &gt; 1, "DUPLICATE", "UNIQUE")</f>
        <v>UNIQUE</v>
      </c>
      <c r="L7" s="18">
        <v>0</v>
      </c>
      <c r="M7" s="28">
        <v>56</v>
      </c>
      <c r="N7" s="6">
        <v>121</v>
      </c>
      <c r="O7" s="30">
        <f t="shared" ref="O7:O70" si="4">$L7 * $M7</f>
        <v>0</v>
      </c>
      <c r="P7" s="30">
        <f t="shared" ref="P7:P70" si="5">$N7 * $M7</f>
        <v>6776</v>
      </c>
      <c r="Q7" s="1">
        <f>COUNTIFS($P:$P, "&gt;" &amp; $P7) + 1</f>
        <v>2171</v>
      </c>
      <c r="R7" s="63">
        <f>(COUNTIFS($P:$P, "&gt;" &amp; $P7) + 1) / (COUNTA($I:$I) - 1)</f>
        <v>0.43419999999999997</v>
      </c>
      <c r="S7" s="23">
        <f>SUMIFS($P:$P, $Q:$Q, "&lt;" &amp; $Q7)</f>
        <v>181257492</v>
      </c>
    </row>
    <row r="8" spans="1:19" x14ac:dyDescent="0.25">
      <c r="A8" s="1">
        <v>3</v>
      </c>
      <c r="B8" s="1" t="s">
        <v>2</v>
      </c>
      <c r="C8" s="1" t="str">
        <f>IF($B8 = "Production Item", _xlfn.XLOOKUP($A8, 'Instrument Table'!$J:$J, 'Instrument Table'!$B:$B, $C7), IF($B8 = "Service Item", _xlfn.XLOOKUP($A8, 'Instrument Table'!$I:$I, 'Instrument Table'!$B:$B, $C7), _xlfn.XLOOKUP($A8, 'Instrument Table'!$H:$H, 'Instrument Table'!$B:$B, $C7)))</f>
        <v>Grand Piano</v>
      </c>
      <c r="D8" s="1" t="str">
        <f>VLOOKUP($C8, 'Instrument Table'!$B:$C, 2, FALSE)</f>
        <v>Pianos</v>
      </c>
      <c r="E8" s="1">
        <f t="shared" si="0"/>
        <v>1</v>
      </c>
      <c r="F8" s="1">
        <f>_xlfn.XLOOKUP($C8, 'Instrument Table'!$B:$B, 'Instrument Table'!$A:$A, "")</f>
        <v>10</v>
      </c>
      <c r="G8" s="1" t="str">
        <f>TEXT(IF($B8 = "Retail Item", IF((ROW($A8) - 4504 - _xlfn.XMATCH($C8, $C$4506:$C$5005, 0, 1)) &lt;= VLOOKUP($C8, 'Instrument Table'!$B:$D, 3, FALSE), ROW($A8) - 4504 - _xlfn.XMATCH($C8, $C$4506:$C$5005, 0, 1), 0), 0), "00")</f>
        <v>00</v>
      </c>
      <c r="H8" s="1" t="str">
        <f t="shared" si="1"/>
        <v>002</v>
      </c>
      <c r="I8" s="1" t="str">
        <f t="shared" si="2"/>
        <v>11000-002</v>
      </c>
      <c r="J8" s="1" t="str">
        <f t="shared" si="3"/>
        <v>Grand piano production item #002</v>
      </c>
      <c r="K8" s="1" t="str">
        <f>IF(SUM(COUNTIFS(I:I, I8)) &gt; 1, "DUPLICATE", "UNIQUE")</f>
        <v>UNIQUE</v>
      </c>
      <c r="L8" s="18">
        <v>0</v>
      </c>
      <c r="M8" s="28">
        <v>89</v>
      </c>
      <c r="N8" s="6">
        <v>9</v>
      </c>
      <c r="O8" s="30">
        <f t="shared" si="4"/>
        <v>0</v>
      </c>
      <c r="P8" s="30">
        <f t="shared" si="5"/>
        <v>801</v>
      </c>
      <c r="Q8" s="1">
        <f>COUNTIFS($P:$P, "&gt;" &amp; $P8) + 1</f>
        <v>3788</v>
      </c>
      <c r="R8" s="63">
        <f>(COUNTIFS($P:$P, "&gt;" &amp; $P8) + 1) / (COUNTA($I:$I) - 1)</f>
        <v>0.75760000000000005</v>
      </c>
      <c r="S8" s="23">
        <f>SUMIFS($P:$P, $Q:$Q, "&lt;" &amp; $Q8)</f>
        <v>186256080</v>
      </c>
    </row>
    <row r="9" spans="1:19" x14ac:dyDescent="0.25">
      <c r="A9" s="1">
        <v>4</v>
      </c>
      <c r="B9" s="1" t="s">
        <v>2</v>
      </c>
      <c r="C9" s="1" t="str">
        <f>IF($B9 = "Production Item", _xlfn.XLOOKUP($A9, 'Instrument Table'!$J:$J, 'Instrument Table'!$B:$B, $C8), IF($B9 = "Service Item", _xlfn.XLOOKUP($A9, 'Instrument Table'!$I:$I, 'Instrument Table'!$B:$B, $C8), _xlfn.XLOOKUP($A9, 'Instrument Table'!$H:$H, 'Instrument Table'!$B:$B, $C8)))</f>
        <v>Grand Piano</v>
      </c>
      <c r="D9" s="1" t="str">
        <f>VLOOKUP($C9, 'Instrument Table'!$B:$C, 2, FALSE)</f>
        <v>Pianos</v>
      </c>
      <c r="E9" s="1">
        <f t="shared" si="0"/>
        <v>1</v>
      </c>
      <c r="F9" s="1">
        <f>_xlfn.XLOOKUP($C9, 'Instrument Table'!$B:$B, 'Instrument Table'!$A:$A, "")</f>
        <v>10</v>
      </c>
      <c r="G9" s="1" t="str">
        <f>TEXT(IF($B9 = "Retail Item", IF((ROW($A9) - 4504 - _xlfn.XMATCH($C9, $C$4506:$C$5005, 0, 1)) &lt;= VLOOKUP($C9, 'Instrument Table'!$B:$D, 3, FALSE), ROW($A9) - 4504 - _xlfn.XMATCH($C9, $C$4506:$C$5005, 0, 1), 0), 0), "00")</f>
        <v>00</v>
      </c>
      <c r="H9" s="1" t="str">
        <f t="shared" si="1"/>
        <v>003</v>
      </c>
      <c r="I9" s="1" t="str">
        <f t="shared" si="2"/>
        <v>11000-003</v>
      </c>
      <c r="J9" s="1" t="str">
        <f t="shared" si="3"/>
        <v>Grand piano production item #003</v>
      </c>
      <c r="K9" s="1" t="str">
        <f>IF(SUM(COUNTIFS(I:I, I9)) &gt; 1, "DUPLICATE", "UNIQUE")</f>
        <v>UNIQUE</v>
      </c>
      <c r="L9" s="18">
        <v>1</v>
      </c>
      <c r="M9" s="28">
        <v>51</v>
      </c>
      <c r="N9" s="6">
        <v>144</v>
      </c>
      <c r="O9" s="30">
        <f t="shared" si="4"/>
        <v>51</v>
      </c>
      <c r="P9" s="30">
        <f t="shared" si="5"/>
        <v>7344</v>
      </c>
      <c r="Q9" s="1">
        <f>COUNTIFS($P:$P, "&gt;" &amp; $P9) + 1</f>
        <v>2092</v>
      </c>
      <c r="R9" s="63">
        <f>(COUNTIFS($P:$P, "&gt;" &amp; $P9) + 1) / (COUNTA($I:$I) - 1)</f>
        <v>0.41839999999999999</v>
      </c>
      <c r="S9" s="23">
        <f>SUMIFS($P:$P, $Q:$Q, "&lt;" &amp; $Q9)</f>
        <v>180700193</v>
      </c>
    </row>
    <row r="10" spans="1:19" x14ac:dyDescent="0.25">
      <c r="A10" s="1">
        <v>5</v>
      </c>
      <c r="B10" s="1" t="s">
        <v>2</v>
      </c>
      <c r="C10" s="1" t="str">
        <f>IF($B10 = "Production Item", _xlfn.XLOOKUP($A10, 'Instrument Table'!$J:$J, 'Instrument Table'!$B:$B, $C9), IF($B10 = "Service Item", _xlfn.XLOOKUP($A10, 'Instrument Table'!$I:$I, 'Instrument Table'!$B:$B, $C9), _xlfn.XLOOKUP($A10, 'Instrument Table'!$H:$H, 'Instrument Table'!$B:$B, $C9)))</f>
        <v>Grand Piano</v>
      </c>
      <c r="D10" s="1" t="str">
        <f>VLOOKUP($C10, 'Instrument Table'!$B:$C, 2, FALSE)</f>
        <v>Pianos</v>
      </c>
      <c r="E10" s="1">
        <f t="shared" si="0"/>
        <v>1</v>
      </c>
      <c r="F10" s="1">
        <f>_xlfn.XLOOKUP($C10, 'Instrument Table'!$B:$B, 'Instrument Table'!$A:$A, "")</f>
        <v>10</v>
      </c>
      <c r="G10" s="1" t="str">
        <f>TEXT(IF($B10 = "Retail Item", IF((ROW($A10) - 4504 - _xlfn.XMATCH($C10, $C$4506:$C$5005, 0, 1)) &lt;= VLOOKUP($C10, 'Instrument Table'!$B:$D, 3, FALSE), ROW($A10) - 4504 - _xlfn.XMATCH($C10, $C$4506:$C$5005, 0, 1), 0), 0), "00")</f>
        <v>00</v>
      </c>
      <c r="H10" s="1" t="str">
        <f t="shared" si="1"/>
        <v>004</v>
      </c>
      <c r="I10" s="1" t="str">
        <f t="shared" si="2"/>
        <v>11000-004</v>
      </c>
      <c r="J10" s="1" t="str">
        <f t="shared" si="3"/>
        <v>Grand piano production item #004</v>
      </c>
      <c r="K10" s="1" t="str">
        <f>IF(SUM(COUNTIFS(I:I, I10)) &gt; 1, "DUPLICATE", "UNIQUE")</f>
        <v>UNIQUE</v>
      </c>
      <c r="L10" s="18">
        <v>0</v>
      </c>
      <c r="M10" s="28">
        <v>24</v>
      </c>
      <c r="N10" s="6">
        <v>4</v>
      </c>
      <c r="O10" s="30">
        <f t="shared" si="4"/>
        <v>0</v>
      </c>
      <c r="P10" s="30">
        <f t="shared" si="5"/>
        <v>96</v>
      </c>
      <c r="Q10" s="1">
        <f>COUNTIFS($P:$P, "&gt;" &amp; $P10) + 1</f>
        <v>4466</v>
      </c>
      <c r="R10" s="63">
        <f>(COUNTIFS($P:$P, "&gt;" &amp; $P10) + 1) / (COUNTA($I:$I) - 1)</f>
        <v>0.89319999999999999</v>
      </c>
      <c r="S10" s="23">
        <f>SUMIFS($P:$P, $Q:$Q, "&lt;" &amp; $Q10)</f>
        <v>186533802</v>
      </c>
    </row>
    <row r="11" spans="1:19" x14ac:dyDescent="0.25">
      <c r="A11" s="1">
        <v>6</v>
      </c>
      <c r="B11" s="1" t="s">
        <v>2</v>
      </c>
      <c r="C11" s="1" t="str">
        <f>IF($B11 = "Production Item", _xlfn.XLOOKUP($A11, 'Instrument Table'!$J:$J, 'Instrument Table'!$B:$B, $C10), IF($B11 = "Service Item", _xlfn.XLOOKUP($A11, 'Instrument Table'!$I:$I, 'Instrument Table'!$B:$B, $C10), _xlfn.XLOOKUP($A11, 'Instrument Table'!$H:$H, 'Instrument Table'!$B:$B, $C10)))</f>
        <v>Grand Piano</v>
      </c>
      <c r="D11" s="1" t="str">
        <f>VLOOKUP($C11, 'Instrument Table'!$B:$C, 2, FALSE)</f>
        <v>Pianos</v>
      </c>
      <c r="E11" s="1">
        <f t="shared" si="0"/>
        <v>1</v>
      </c>
      <c r="F11" s="1">
        <f>_xlfn.XLOOKUP($C11, 'Instrument Table'!$B:$B, 'Instrument Table'!$A:$A, "")</f>
        <v>10</v>
      </c>
      <c r="G11" s="1" t="str">
        <f>TEXT(IF($B11 = "Retail Item", IF((ROW($A11) - 4504 - _xlfn.XMATCH($C11, $C$4506:$C$5005, 0, 1)) &lt;= VLOOKUP($C11, 'Instrument Table'!$B:$D, 3, FALSE), ROW($A11) - 4504 - _xlfn.XMATCH($C11, $C$4506:$C$5005, 0, 1), 0), 0), "00")</f>
        <v>00</v>
      </c>
      <c r="H11" s="1" t="str">
        <f t="shared" si="1"/>
        <v>005</v>
      </c>
      <c r="I11" s="1" t="str">
        <f t="shared" si="2"/>
        <v>11000-005</v>
      </c>
      <c r="J11" s="1" t="str">
        <f t="shared" si="3"/>
        <v>Grand piano production item #005</v>
      </c>
      <c r="K11" s="1" t="str">
        <f>IF(SUM(COUNTIFS(I:I, I11)) &gt; 1, "DUPLICATE", "UNIQUE")</f>
        <v>UNIQUE</v>
      </c>
      <c r="L11" s="18">
        <v>0</v>
      </c>
      <c r="M11" s="28">
        <v>69</v>
      </c>
      <c r="N11" s="6">
        <v>400</v>
      </c>
      <c r="O11" s="30">
        <f t="shared" si="4"/>
        <v>0</v>
      </c>
      <c r="P11" s="30">
        <f t="shared" si="5"/>
        <v>27600</v>
      </c>
      <c r="Q11" s="1">
        <f>COUNTIFS($P:$P, "&gt;" &amp; $P11) + 1</f>
        <v>736</v>
      </c>
      <c r="R11" s="63">
        <f>(COUNTIFS($P:$P, "&gt;" &amp; $P11) + 1) / (COUNTA($I:$I) - 1)</f>
        <v>0.1472</v>
      </c>
      <c r="S11" s="23">
        <f>SUMIFS($P:$P, $Q:$Q, "&lt;" &amp; $Q11)</f>
        <v>160122999</v>
      </c>
    </row>
    <row r="12" spans="1:19" x14ac:dyDescent="0.25">
      <c r="A12" s="1">
        <v>7</v>
      </c>
      <c r="B12" s="1" t="s">
        <v>2</v>
      </c>
      <c r="C12" s="1" t="str">
        <f>IF($B12 = "Production Item", _xlfn.XLOOKUP($A12, 'Instrument Table'!$J:$J, 'Instrument Table'!$B:$B, $C11), IF($B12 = "Service Item", _xlfn.XLOOKUP($A12, 'Instrument Table'!$I:$I, 'Instrument Table'!$B:$B, $C11), _xlfn.XLOOKUP($A12, 'Instrument Table'!$H:$H, 'Instrument Table'!$B:$B, $C11)))</f>
        <v>Grand Piano</v>
      </c>
      <c r="D12" s="1" t="str">
        <f>VLOOKUP($C12, 'Instrument Table'!$B:$C, 2, FALSE)</f>
        <v>Pianos</v>
      </c>
      <c r="E12" s="1">
        <f t="shared" si="0"/>
        <v>1</v>
      </c>
      <c r="F12" s="1">
        <f>_xlfn.XLOOKUP($C12, 'Instrument Table'!$B:$B, 'Instrument Table'!$A:$A, "")</f>
        <v>10</v>
      </c>
      <c r="G12" s="1" t="str">
        <f>TEXT(IF($B12 = "Retail Item", IF((ROW($A12) - 4504 - _xlfn.XMATCH($C12, $C$4506:$C$5005, 0, 1)) &lt;= VLOOKUP($C12, 'Instrument Table'!$B:$D, 3, FALSE), ROW($A12) - 4504 - _xlfn.XMATCH($C12, $C$4506:$C$5005, 0, 1), 0), 0), "00")</f>
        <v>00</v>
      </c>
      <c r="H12" s="1" t="str">
        <f t="shared" si="1"/>
        <v>006</v>
      </c>
      <c r="I12" s="1" t="str">
        <f t="shared" si="2"/>
        <v>11000-006</v>
      </c>
      <c r="J12" s="1" t="str">
        <f t="shared" si="3"/>
        <v>Grand piano production item #006</v>
      </c>
      <c r="K12" s="1" t="str">
        <f>IF(SUM(COUNTIFS(I:I, I12)) &gt; 1, "DUPLICATE", "UNIQUE")</f>
        <v>UNIQUE</v>
      </c>
      <c r="L12" s="18">
        <v>1</v>
      </c>
      <c r="M12" s="28">
        <v>7</v>
      </c>
      <c r="N12" s="6">
        <v>1</v>
      </c>
      <c r="O12" s="30">
        <f t="shared" si="4"/>
        <v>7</v>
      </c>
      <c r="P12" s="30">
        <f t="shared" si="5"/>
        <v>7</v>
      </c>
      <c r="Q12" s="1">
        <f>COUNTIFS($P:$P, "&gt;" &amp; $P12) + 1</f>
        <v>4733</v>
      </c>
      <c r="R12" s="63">
        <f>(COUNTIFS($P:$P, "&gt;" &amp; $P12) + 1) / (COUNTA($I:$I) - 1)</f>
        <v>0.9466</v>
      </c>
      <c r="S12" s="23">
        <f>SUMIFS($P:$P, $Q:$Q, "&lt;" &amp; $Q12)</f>
        <v>186547809</v>
      </c>
    </row>
    <row r="13" spans="1:19" x14ac:dyDescent="0.25">
      <c r="A13" s="1">
        <v>8</v>
      </c>
      <c r="B13" s="1" t="s">
        <v>2</v>
      </c>
      <c r="C13" s="1" t="str">
        <f>IF($B13 = "Production Item", _xlfn.XLOOKUP($A13, 'Instrument Table'!$J:$J, 'Instrument Table'!$B:$B, $C12), IF($B13 = "Service Item", _xlfn.XLOOKUP($A13, 'Instrument Table'!$I:$I, 'Instrument Table'!$B:$B, $C12), _xlfn.XLOOKUP($A13, 'Instrument Table'!$H:$H, 'Instrument Table'!$B:$B, $C12)))</f>
        <v>Grand Piano</v>
      </c>
      <c r="D13" s="1" t="str">
        <f>VLOOKUP($C13, 'Instrument Table'!$B:$C, 2, FALSE)</f>
        <v>Pianos</v>
      </c>
      <c r="E13" s="1">
        <f t="shared" si="0"/>
        <v>1</v>
      </c>
      <c r="F13" s="1">
        <f>_xlfn.XLOOKUP($C13, 'Instrument Table'!$B:$B, 'Instrument Table'!$A:$A, "")</f>
        <v>10</v>
      </c>
      <c r="G13" s="1" t="str">
        <f>TEXT(IF($B13 = "Retail Item", IF((ROW($A13) - 4504 - _xlfn.XMATCH($C13, $C$4506:$C$5005, 0, 1)) &lt;= VLOOKUP($C13, 'Instrument Table'!$B:$D, 3, FALSE), ROW($A13) - 4504 - _xlfn.XMATCH($C13, $C$4506:$C$5005, 0, 1), 0), 0), "00")</f>
        <v>00</v>
      </c>
      <c r="H13" s="1" t="str">
        <f t="shared" si="1"/>
        <v>007</v>
      </c>
      <c r="I13" s="1" t="str">
        <f t="shared" si="2"/>
        <v>11000-007</v>
      </c>
      <c r="J13" s="1" t="str">
        <f t="shared" si="3"/>
        <v>Grand piano production item #007</v>
      </c>
      <c r="K13" s="1" t="str">
        <f>IF(SUM(COUNTIFS(I:I, I13)) &gt; 1, "DUPLICATE", "UNIQUE")</f>
        <v>UNIQUE</v>
      </c>
      <c r="L13" s="18">
        <v>32</v>
      </c>
      <c r="M13" s="28">
        <v>74</v>
      </c>
      <c r="N13" s="6">
        <v>400</v>
      </c>
      <c r="O13" s="30">
        <f t="shared" si="4"/>
        <v>2368</v>
      </c>
      <c r="P13" s="30">
        <f t="shared" si="5"/>
        <v>29600</v>
      </c>
      <c r="Q13" s="1">
        <f>COUNTIFS($P:$P, "&gt;" &amp; $P13) + 1</f>
        <v>699</v>
      </c>
      <c r="R13" s="63">
        <f>(COUNTIFS($P:$P, "&gt;" &amp; $P13) + 1) / (COUNTA($I:$I) - 1)</f>
        <v>0.13980000000000001</v>
      </c>
      <c r="S13" s="23">
        <f>SUMIFS($P:$P, $Q:$Q, "&lt;" &amp; $Q13)</f>
        <v>159057302</v>
      </c>
    </row>
    <row r="14" spans="1:19" x14ac:dyDescent="0.25">
      <c r="A14" s="1">
        <v>9</v>
      </c>
      <c r="B14" s="1" t="s">
        <v>2</v>
      </c>
      <c r="C14" s="1" t="str">
        <f>IF($B14 = "Production Item", _xlfn.XLOOKUP($A14, 'Instrument Table'!$J:$J, 'Instrument Table'!$B:$B, $C13), IF($B14 = "Service Item", _xlfn.XLOOKUP($A14, 'Instrument Table'!$I:$I, 'Instrument Table'!$B:$B, $C13), _xlfn.XLOOKUP($A14, 'Instrument Table'!$H:$H, 'Instrument Table'!$B:$B, $C13)))</f>
        <v>Grand Piano</v>
      </c>
      <c r="D14" s="1" t="str">
        <f>VLOOKUP($C14, 'Instrument Table'!$B:$C, 2, FALSE)</f>
        <v>Pianos</v>
      </c>
      <c r="E14" s="1">
        <f t="shared" si="0"/>
        <v>1</v>
      </c>
      <c r="F14" s="1">
        <f>_xlfn.XLOOKUP($C14, 'Instrument Table'!$B:$B, 'Instrument Table'!$A:$A, "")</f>
        <v>10</v>
      </c>
      <c r="G14" s="1" t="str">
        <f>TEXT(IF($B14 = "Retail Item", IF((ROW($A14) - 4504 - _xlfn.XMATCH($C14, $C$4506:$C$5005, 0, 1)) &lt;= VLOOKUP($C14, 'Instrument Table'!$B:$D, 3, FALSE), ROW($A14) - 4504 - _xlfn.XMATCH($C14, $C$4506:$C$5005, 0, 1), 0), 0), "00")</f>
        <v>00</v>
      </c>
      <c r="H14" s="1" t="str">
        <f t="shared" si="1"/>
        <v>008</v>
      </c>
      <c r="I14" s="1" t="str">
        <f t="shared" si="2"/>
        <v>11000-008</v>
      </c>
      <c r="J14" s="1" t="str">
        <f t="shared" si="3"/>
        <v>Grand piano production item #008</v>
      </c>
      <c r="K14" s="1" t="str">
        <f>IF(SUM(COUNTIFS(I:I, I14)) &gt; 1, "DUPLICATE", "UNIQUE")</f>
        <v>UNIQUE</v>
      </c>
      <c r="L14" s="18">
        <v>0</v>
      </c>
      <c r="M14" s="28">
        <v>32</v>
      </c>
      <c r="N14" s="6">
        <v>64</v>
      </c>
      <c r="O14" s="30">
        <f t="shared" si="4"/>
        <v>0</v>
      </c>
      <c r="P14" s="30">
        <f t="shared" si="5"/>
        <v>2048</v>
      </c>
      <c r="Q14" s="1">
        <f>COUNTIFS($P:$P, "&gt;" &amp; $P14) + 1</f>
        <v>3234</v>
      </c>
      <c r="R14" s="63">
        <f>(COUNTIFS($P:$P, "&gt;" &amp; $P14) + 1) / (COUNTA($I:$I) - 1)</f>
        <v>0.64680000000000004</v>
      </c>
      <c r="S14" s="23">
        <f>SUMIFS($P:$P, $Q:$Q, "&lt;" &amp; $Q14)</f>
        <v>185478555</v>
      </c>
    </row>
    <row r="15" spans="1:19" x14ac:dyDescent="0.25">
      <c r="A15" s="1">
        <v>10</v>
      </c>
      <c r="B15" s="1" t="s">
        <v>2</v>
      </c>
      <c r="C15" s="1" t="str">
        <f>IF($B15 = "Production Item", _xlfn.XLOOKUP($A15, 'Instrument Table'!$J:$J, 'Instrument Table'!$B:$B, $C14), IF($B15 = "Service Item", _xlfn.XLOOKUP($A15, 'Instrument Table'!$I:$I, 'Instrument Table'!$B:$B, $C14), _xlfn.XLOOKUP($A15, 'Instrument Table'!$H:$H, 'Instrument Table'!$B:$B, $C14)))</f>
        <v>Grand Piano</v>
      </c>
      <c r="D15" s="1" t="str">
        <f>VLOOKUP($C15, 'Instrument Table'!$B:$C, 2, FALSE)</f>
        <v>Pianos</v>
      </c>
      <c r="E15" s="1">
        <f t="shared" si="0"/>
        <v>1</v>
      </c>
      <c r="F15" s="1">
        <f>_xlfn.XLOOKUP($C15, 'Instrument Table'!$B:$B, 'Instrument Table'!$A:$A, "")</f>
        <v>10</v>
      </c>
      <c r="G15" s="1" t="str">
        <f>TEXT(IF($B15 = "Retail Item", IF((ROW($A15) - 4504 - _xlfn.XMATCH($C15, $C$4506:$C$5005, 0, 1)) &lt;= VLOOKUP($C15, 'Instrument Table'!$B:$D, 3, FALSE), ROW($A15) - 4504 - _xlfn.XMATCH($C15, $C$4506:$C$5005, 0, 1), 0), 0), "00")</f>
        <v>00</v>
      </c>
      <c r="H15" s="1" t="str">
        <f t="shared" si="1"/>
        <v>009</v>
      </c>
      <c r="I15" s="1" t="str">
        <f t="shared" si="2"/>
        <v>11000-009</v>
      </c>
      <c r="J15" s="1" t="str">
        <f t="shared" si="3"/>
        <v>Grand piano production item #009</v>
      </c>
      <c r="K15" s="1" t="str">
        <f>IF(SUM(COUNTIFS(I:I, I15)) &gt; 1, "DUPLICATE", "UNIQUE")</f>
        <v>UNIQUE</v>
      </c>
      <c r="L15" s="18">
        <v>32</v>
      </c>
      <c r="M15" s="28">
        <v>26</v>
      </c>
      <c r="N15" s="6">
        <v>4</v>
      </c>
      <c r="O15" s="30">
        <f t="shared" si="4"/>
        <v>832</v>
      </c>
      <c r="P15" s="30">
        <f t="shared" si="5"/>
        <v>104</v>
      </c>
      <c r="Q15" s="1">
        <f>COUNTIFS($P:$P, "&gt;" &amp; $P15) + 1</f>
        <v>4449</v>
      </c>
      <c r="R15" s="63">
        <f>(COUNTIFS($P:$P, "&gt;" &amp; $P15) + 1) / (COUNTA($I:$I) - 1)</f>
        <v>0.88980000000000004</v>
      </c>
      <c r="S15" s="23">
        <f>SUMIFS($P:$P, $Q:$Q, "&lt;" &amp; $Q15)</f>
        <v>186532107</v>
      </c>
    </row>
    <row r="16" spans="1:19" x14ac:dyDescent="0.25">
      <c r="A16" s="1">
        <v>11</v>
      </c>
      <c r="B16" s="1" t="s">
        <v>2</v>
      </c>
      <c r="C16" s="1" t="str">
        <f>IF($B16 = "Production Item", _xlfn.XLOOKUP($A16, 'Instrument Table'!$J:$J, 'Instrument Table'!$B:$B, $C15), IF($B16 = "Service Item", _xlfn.XLOOKUP($A16, 'Instrument Table'!$I:$I, 'Instrument Table'!$B:$B, $C15), _xlfn.XLOOKUP($A16, 'Instrument Table'!$H:$H, 'Instrument Table'!$B:$B, $C15)))</f>
        <v>Grand Piano</v>
      </c>
      <c r="D16" s="1" t="str">
        <f>VLOOKUP($C16, 'Instrument Table'!$B:$C, 2, FALSE)</f>
        <v>Pianos</v>
      </c>
      <c r="E16" s="1">
        <f t="shared" si="0"/>
        <v>1</v>
      </c>
      <c r="F16" s="1">
        <f>_xlfn.XLOOKUP($C16, 'Instrument Table'!$B:$B, 'Instrument Table'!$A:$A, "")</f>
        <v>10</v>
      </c>
      <c r="G16" s="1" t="str">
        <f>TEXT(IF($B16 = "Retail Item", IF((ROW($A16) - 4504 - _xlfn.XMATCH($C16, $C$4506:$C$5005, 0, 1)) &lt;= VLOOKUP($C16, 'Instrument Table'!$B:$D, 3, FALSE), ROW($A16) - 4504 - _xlfn.XMATCH($C16, $C$4506:$C$5005, 0, 1), 0), 0), "00")</f>
        <v>00</v>
      </c>
      <c r="H16" s="1" t="str">
        <f t="shared" si="1"/>
        <v>010</v>
      </c>
      <c r="I16" s="1" t="str">
        <f t="shared" si="2"/>
        <v>11000-010</v>
      </c>
      <c r="J16" s="1" t="str">
        <f t="shared" si="3"/>
        <v>Grand piano production item #010</v>
      </c>
      <c r="K16" s="1" t="str">
        <f>IF(SUM(COUNTIFS(I:I, I16)) &gt; 1, "DUPLICATE", "UNIQUE")</f>
        <v>UNIQUE</v>
      </c>
      <c r="L16" s="18">
        <v>0</v>
      </c>
      <c r="M16" s="28">
        <v>62</v>
      </c>
      <c r="N16" s="6">
        <v>0</v>
      </c>
      <c r="O16" s="30">
        <f t="shared" si="4"/>
        <v>0</v>
      </c>
      <c r="P16" s="30">
        <f t="shared" si="5"/>
        <v>0</v>
      </c>
      <c r="Q16" s="1">
        <f>COUNTIFS($P:$P, "&gt;" &amp; $P16) + 1</f>
        <v>4746</v>
      </c>
      <c r="R16" s="63">
        <f>(COUNTIFS($P:$P, "&gt;" &amp; $P16) + 1) / (COUNTA($I:$I) - 1)</f>
        <v>0.94920000000000004</v>
      </c>
      <c r="S16" s="23">
        <f>SUMIFS($P:$P, $Q:$Q, "&lt;" &amp; $Q16)</f>
        <v>186547861</v>
      </c>
    </row>
    <row r="17" spans="1:19" x14ac:dyDescent="0.25">
      <c r="A17" s="1">
        <v>12</v>
      </c>
      <c r="B17" s="1" t="s">
        <v>2</v>
      </c>
      <c r="C17" s="1" t="str">
        <f>IF($B17 = "Production Item", _xlfn.XLOOKUP($A17, 'Instrument Table'!$J:$J, 'Instrument Table'!$B:$B, $C16), IF($B17 = "Service Item", _xlfn.XLOOKUP($A17, 'Instrument Table'!$I:$I, 'Instrument Table'!$B:$B, $C16), _xlfn.XLOOKUP($A17, 'Instrument Table'!$H:$H, 'Instrument Table'!$B:$B, $C16)))</f>
        <v>Grand Piano</v>
      </c>
      <c r="D17" s="1" t="str">
        <f>VLOOKUP($C17, 'Instrument Table'!$B:$C, 2, FALSE)</f>
        <v>Pianos</v>
      </c>
      <c r="E17" s="1">
        <f t="shared" si="0"/>
        <v>1</v>
      </c>
      <c r="F17" s="1">
        <f>_xlfn.XLOOKUP($C17, 'Instrument Table'!$B:$B, 'Instrument Table'!$A:$A, "")</f>
        <v>10</v>
      </c>
      <c r="G17" s="1" t="str">
        <f>TEXT(IF($B17 = "Retail Item", IF((ROW($A17) - 4504 - _xlfn.XMATCH($C17, $C$4506:$C$5005, 0, 1)) &lt;= VLOOKUP($C17, 'Instrument Table'!$B:$D, 3, FALSE), ROW($A17) - 4504 - _xlfn.XMATCH($C17, $C$4506:$C$5005, 0, 1), 0), 0), "00")</f>
        <v>00</v>
      </c>
      <c r="H17" s="1" t="str">
        <f t="shared" si="1"/>
        <v>011</v>
      </c>
      <c r="I17" s="1" t="str">
        <f t="shared" si="2"/>
        <v>11000-011</v>
      </c>
      <c r="J17" s="1" t="str">
        <f t="shared" si="3"/>
        <v>Grand piano production item #011</v>
      </c>
      <c r="K17" s="1" t="str">
        <f>IF(SUM(COUNTIFS(I:I, I17)) &gt; 1, "DUPLICATE", "UNIQUE")</f>
        <v>UNIQUE</v>
      </c>
      <c r="L17" s="18">
        <v>1</v>
      </c>
      <c r="M17" s="28">
        <v>2</v>
      </c>
      <c r="N17" s="6">
        <v>196</v>
      </c>
      <c r="O17" s="30">
        <f t="shared" si="4"/>
        <v>2</v>
      </c>
      <c r="P17" s="30">
        <f t="shared" si="5"/>
        <v>392</v>
      </c>
      <c r="Q17" s="1">
        <f>COUNTIFS($P:$P, "&gt;" &amp; $P17) + 1</f>
        <v>4108</v>
      </c>
      <c r="R17" s="63">
        <f>(COUNTIFS($P:$P, "&gt;" &amp; $P17) + 1) / (COUNTA($I:$I) - 1)</f>
        <v>0.8216</v>
      </c>
      <c r="S17" s="23">
        <f>SUMIFS($P:$P, $Q:$Q, "&lt;" &amp; $Q17)</f>
        <v>186448050</v>
      </c>
    </row>
    <row r="18" spans="1:19" x14ac:dyDescent="0.25">
      <c r="A18" s="1">
        <v>13</v>
      </c>
      <c r="B18" s="1" t="s">
        <v>2</v>
      </c>
      <c r="C18" s="1" t="str">
        <f>IF($B18 = "Production Item", _xlfn.XLOOKUP($A18, 'Instrument Table'!$J:$J, 'Instrument Table'!$B:$B, $C17), IF($B18 = "Service Item", _xlfn.XLOOKUP($A18, 'Instrument Table'!$I:$I, 'Instrument Table'!$B:$B, $C17), _xlfn.XLOOKUP($A18, 'Instrument Table'!$H:$H, 'Instrument Table'!$B:$B, $C17)))</f>
        <v>Grand Piano</v>
      </c>
      <c r="D18" s="1" t="str">
        <f>VLOOKUP($C18, 'Instrument Table'!$B:$C, 2, FALSE)</f>
        <v>Pianos</v>
      </c>
      <c r="E18" s="1">
        <f t="shared" si="0"/>
        <v>1</v>
      </c>
      <c r="F18" s="1">
        <f>_xlfn.XLOOKUP($C18, 'Instrument Table'!$B:$B, 'Instrument Table'!$A:$A, "")</f>
        <v>10</v>
      </c>
      <c r="G18" s="1" t="str">
        <f>TEXT(IF($B18 = "Retail Item", IF((ROW($A18) - 4504 - _xlfn.XMATCH($C18, $C$4506:$C$5005, 0, 1)) &lt;= VLOOKUP($C18, 'Instrument Table'!$B:$D, 3, FALSE), ROW($A18) - 4504 - _xlfn.XMATCH($C18, $C$4506:$C$5005, 0, 1), 0), 0), "00")</f>
        <v>00</v>
      </c>
      <c r="H18" s="1" t="str">
        <f t="shared" si="1"/>
        <v>012</v>
      </c>
      <c r="I18" s="1" t="str">
        <f t="shared" si="2"/>
        <v>11000-012</v>
      </c>
      <c r="J18" s="1" t="str">
        <f t="shared" si="3"/>
        <v>Grand piano production item #012</v>
      </c>
      <c r="K18" s="1" t="str">
        <f>IF(SUM(COUNTIFS(I:I, I18)) &gt; 1, "DUPLICATE", "UNIQUE")</f>
        <v>UNIQUE</v>
      </c>
      <c r="L18" s="18">
        <v>0</v>
      </c>
      <c r="M18" s="28">
        <v>69</v>
      </c>
      <c r="N18" s="6">
        <v>169</v>
      </c>
      <c r="O18" s="30">
        <f t="shared" si="4"/>
        <v>0</v>
      </c>
      <c r="P18" s="30">
        <f t="shared" si="5"/>
        <v>11661</v>
      </c>
      <c r="Q18" s="1">
        <f>COUNTIFS($P:$P, "&gt;" &amp; $P18) + 1</f>
        <v>1616</v>
      </c>
      <c r="R18" s="63">
        <f>(COUNTIFS($P:$P, "&gt;" &amp; $P18) + 1) / (COUNTA($I:$I) - 1)</f>
        <v>0.32319999999999999</v>
      </c>
      <c r="S18" s="23">
        <f>SUMIFS($P:$P, $Q:$Q, "&lt;" &amp; $Q18)</f>
        <v>176265691</v>
      </c>
    </row>
    <row r="19" spans="1:19" x14ac:dyDescent="0.25">
      <c r="A19" s="1">
        <v>14</v>
      </c>
      <c r="B19" s="1" t="s">
        <v>2</v>
      </c>
      <c r="C19" s="1" t="str">
        <f>IF($B19 = "Production Item", _xlfn.XLOOKUP($A19, 'Instrument Table'!$J:$J, 'Instrument Table'!$B:$B, $C18), IF($B19 = "Service Item", _xlfn.XLOOKUP($A19, 'Instrument Table'!$I:$I, 'Instrument Table'!$B:$B, $C18), _xlfn.XLOOKUP($A19, 'Instrument Table'!$H:$H, 'Instrument Table'!$B:$B, $C18)))</f>
        <v>Grand Piano</v>
      </c>
      <c r="D19" s="1" t="str">
        <f>VLOOKUP($C19, 'Instrument Table'!$B:$C, 2, FALSE)</f>
        <v>Pianos</v>
      </c>
      <c r="E19" s="1">
        <f t="shared" si="0"/>
        <v>1</v>
      </c>
      <c r="F19" s="1">
        <f>_xlfn.XLOOKUP($C19, 'Instrument Table'!$B:$B, 'Instrument Table'!$A:$A, "")</f>
        <v>10</v>
      </c>
      <c r="G19" s="1" t="str">
        <f>TEXT(IF($B19 = "Retail Item", IF((ROW($A19) - 4504 - _xlfn.XMATCH($C19, $C$4506:$C$5005, 0, 1)) &lt;= VLOOKUP($C19, 'Instrument Table'!$B:$D, 3, FALSE), ROW($A19) - 4504 - _xlfn.XMATCH($C19, $C$4506:$C$5005, 0, 1), 0), 0), "00")</f>
        <v>00</v>
      </c>
      <c r="H19" s="1" t="str">
        <f t="shared" si="1"/>
        <v>013</v>
      </c>
      <c r="I19" s="1" t="str">
        <f t="shared" si="2"/>
        <v>11000-013</v>
      </c>
      <c r="J19" s="1" t="str">
        <f t="shared" si="3"/>
        <v>Grand piano production item #013</v>
      </c>
      <c r="K19" s="1" t="str">
        <f>IF(SUM(COUNTIFS(I:I, I19)) &gt; 1, "DUPLICATE", "UNIQUE")</f>
        <v>UNIQUE</v>
      </c>
      <c r="L19" s="18">
        <v>0</v>
      </c>
      <c r="M19" s="28">
        <v>49</v>
      </c>
      <c r="N19" s="6">
        <v>49</v>
      </c>
      <c r="O19" s="30">
        <f t="shared" si="4"/>
        <v>0</v>
      </c>
      <c r="P19" s="30">
        <f t="shared" si="5"/>
        <v>2401</v>
      </c>
      <c r="Q19" s="1">
        <f>COUNTIFS($P:$P, "&gt;" &amp; $P19) + 1</f>
        <v>3088</v>
      </c>
      <c r="R19" s="63">
        <f>(COUNTIFS($P:$P, "&gt;" &amp; $P19) + 1) / (COUNTA($I:$I) - 1)</f>
        <v>0.61760000000000004</v>
      </c>
      <c r="S19" s="23">
        <f>SUMIFS($P:$P, $Q:$Q, "&lt;" &amp; $Q19)</f>
        <v>185153820</v>
      </c>
    </row>
    <row r="20" spans="1:19" x14ac:dyDescent="0.25">
      <c r="A20" s="1">
        <v>15</v>
      </c>
      <c r="B20" s="1" t="s">
        <v>2</v>
      </c>
      <c r="C20" s="1" t="str">
        <f>IF($B20 = "Production Item", _xlfn.XLOOKUP($A20, 'Instrument Table'!$J:$J, 'Instrument Table'!$B:$B, $C19), IF($B20 = "Service Item", _xlfn.XLOOKUP($A20, 'Instrument Table'!$I:$I, 'Instrument Table'!$B:$B, $C19), _xlfn.XLOOKUP($A20, 'Instrument Table'!$H:$H, 'Instrument Table'!$B:$B, $C19)))</f>
        <v>Grand Piano</v>
      </c>
      <c r="D20" s="1" t="str">
        <f>VLOOKUP($C20, 'Instrument Table'!$B:$C, 2, FALSE)</f>
        <v>Pianos</v>
      </c>
      <c r="E20" s="1">
        <f t="shared" si="0"/>
        <v>1</v>
      </c>
      <c r="F20" s="1">
        <f>_xlfn.XLOOKUP($C20, 'Instrument Table'!$B:$B, 'Instrument Table'!$A:$A, "")</f>
        <v>10</v>
      </c>
      <c r="G20" s="1" t="str">
        <f>TEXT(IF($B20 = "Retail Item", IF((ROW($A20) - 4504 - _xlfn.XMATCH($C20, $C$4506:$C$5005, 0, 1)) &lt;= VLOOKUP($C20, 'Instrument Table'!$B:$D, 3, FALSE), ROW($A20) - 4504 - _xlfn.XMATCH($C20, $C$4506:$C$5005, 0, 1), 0), 0), "00")</f>
        <v>00</v>
      </c>
      <c r="H20" s="1" t="str">
        <f t="shared" si="1"/>
        <v>014</v>
      </c>
      <c r="I20" s="1" t="str">
        <f t="shared" si="2"/>
        <v>11000-014</v>
      </c>
      <c r="J20" s="1" t="str">
        <f t="shared" si="3"/>
        <v>Grand piano production item #014</v>
      </c>
      <c r="K20" s="1" t="str">
        <f>IF(SUM(COUNTIFS(I:I, I20)) &gt; 1, "DUPLICATE", "UNIQUE")</f>
        <v>UNIQUE</v>
      </c>
      <c r="L20" s="18">
        <v>1</v>
      </c>
      <c r="M20" s="28">
        <v>23</v>
      </c>
      <c r="N20" s="6">
        <v>100</v>
      </c>
      <c r="O20" s="30">
        <f t="shared" si="4"/>
        <v>23</v>
      </c>
      <c r="P20" s="30">
        <f t="shared" si="5"/>
        <v>2300</v>
      </c>
      <c r="Q20" s="1">
        <f>COUNTIFS($P:$P, "&gt;" &amp; $P20) + 1</f>
        <v>3131</v>
      </c>
      <c r="R20" s="63">
        <f>(COUNTIFS($P:$P, "&gt;" &amp; $P20) + 1) / (COUNTA($I:$I) - 1)</f>
        <v>0.62619999999999998</v>
      </c>
      <c r="S20" s="23">
        <f>SUMIFS($P:$P, $Q:$Q, "&lt;" &amp; $Q20)</f>
        <v>185254605</v>
      </c>
    </row>
    <row r="21" spans="1:19" x14ac:dyDescent="0.25">
      <c r="A21" s="1">
        <v>16</v>
      </c>
      <c r="B21" s="1" t="s">
        <v>2</v>
      </c>
      <c r="C21" s="1" t="str">
        <f>IF($B21 = "Production Item", _xlfn.XLOOKUP($A21, 'Instrument Table'!$J:$J, 'Instrument Table'!$B:$B, $C20), IF($B21 = "Service Item", _xlfn.XLOOKUP($A21, 'Instrument Table'!$I:$I, 'Instrument Table'!$B:$B, $C20), _xlfn.XLOOKUP($A21, 'Instrument Table'!$H:$H, 'Instrument Table'!$B:$B, $C20)))</f>
        <v>Grand Piano</v>
      </c>
      <c r="D21" s="1" t="str">
        <f>VLOOKUP($C21, 'Instrument Table'!$B:$C, 2, FALSE)</f>
        <v>Pianos</v>
      </c>
      <c r="E21" s="1">
        <f t="shared" si="0"/>
        <v>1</v>
      </c>
      <c r="F21" s="1">
        <f>_xlfn.XLOOKUP($C21, 'Instrument Table'!$B:$B, 'Instrument Table'!$A:$A, "")</f>
        <v>10</v>
      </c>
      <c r="G21" s="1" t="str">
        <f>TEXT(IF($B21 = "Retail Item", IF((ROW($A21) - 4504 - _xlfn.XMATCH($C21, $C$4506:$C$5005, 0, 1)) &lt;= VLOOKUP($C21, 'Instrument Table'!$B:$D, 3, FALSE), ROW($A21) - 4504 - _xlfn.XMATCH($C21, $C$4506:$C$5005, 0, 1), 0), 0), "00")</f>
        <v>00</v>
      </c>
      <c r="H21" s="1" t="str">
        <f t="shared" si="1"/>
        <v>015</v>
      </c>
      <c r="I21" s="1" t="str">
        <f t="shared" si="2"/>
        <v>11000-015</v>
      </c>
      <c r="J21" s="1" t="str">
        <f t="shared" si="3"/>
        <v>Grand piano production item #015</v>
      </c>
      <c r="K21" s="1" t="str">
        <f>IF(SUM(COUNTIFS(I:I, I21)) &gt; 1, "DUPLICATE", "UNIQUE")</f>
        <v>UNIQUE</v>
      </c>
      <c r="L21" s="18">
        <v>1</v>
      </c>
      <c r="M21" s="28">
        <v>59</v>
      </c>
      <c r="N21" s="6">
        <v>225</v>
      </c>
      <c r="O21" s="30">
        <f t="shared" si="4"/>
        <v>59</v>
      </c>
      <c r="P21" s="30">
        <f t="shared" si="5"/>
        <v>13275</v>
      </c>
      <c r="Q21" s="1">
        <f>COUNTIFS($P:$P, "&gt;" &amp; $P21) + 1</f>
        <v>1485</v>
      </c>
      <c r="R21" s="63">
        <f>(COUNTIFS($P:$P, "&gt;" &amp; $P21) + 1) / (COUNTA($I:$I) - 1)</f>
        <v>0.29699999999999999</v>
      </c>
      <c r="S21" s="23">
        <f>SUMIFS($P:$P, $Q:$Q, "&lt;" &amp; $Q21)</f>
        <v>174642910</v>
      </c>
    </row>
    <row r="22" spans="1:19" x14ac:dyDescent="0.25">
      <c r="A22" s="1">
        <v>17</v>
      </c>
      <c r="B22" s="1" t="s">
        <v>2</v>
      </c>
      <c r="C22" s="1" t="str">
        <f>IF($B22 = "Production Item", _xlfn.XLOOKUP($A22, 'Instrument Table'!$J:$J, 'Instrument Table'!$B:$B, $C21), IF($B22 = "Service Item", _xlfn.XLOOKUP($A22, 'Instrument Table'!$I:$I, 'Instrument Table'!$B:$B, $C21), _xlfn.XLOOKUP($A22, 'Instrument Table'!$H:$H, 'Instrument Table'!$B:$B, $C21)))</f>
        <v>Grand Piano</v>
      </c>
      <c r="D22" s="1" t="str">
        <f>VLOOKUP($C22, 'Instrument Table'!$B:$C, 2, FALSE)</f>
        <v>Pianos</v>
      </c>
      <c r="E22" s="1">
        <f t="shared" si="0"/>
        <v>1</v>
      </c>
      <c r="F22" s="1">
        <f>_xlfn.XLOOKUP($C22, 'Instrument Table'!$B:$B, 'Instrument Table'!$A:$A, "")</f>
        <v>10</v>
      </c>
      <c r="G22" s="1" t="str">
        <f>TEXT(IF($B22 = "Retail Item", IF((ROW($A22) - 4504 - _xlfn.XMATCH($C22, $C$4506:$C$5005, 0, 1)) &lt;= VLOOKUP($C22, 'Instrument Table'!$B:$D, 3, FALSE), ROW($A22) - 4504 - _xlfn.XMATCH($C22, $C$4506:$C$5005, 0, 1), 0), 0), "00")</f>
        <v>00</v>
      </c>
      <c r="H22" s="1" t="str">
        <f t="shared" si="1"/>
        <v>016</v>
      </c>
      <c r="I22" s="1" t="str">
        <f t="shared" si="2"/>
        <v>11000-016</v>
      </c>
      <c r="J22" s="1" t="str">
        <f t="shared" si="3"/>
        <v>Grand piano production item #016</v>
      </c>
      <c r="K22" s="1" t="str">
        <f>IF(SUM(COUNTIFS(I:I, I22)) &gt; 1, "DUPLICATE", "UNIQUE")</f>
        <v>UNIQUE</v>
      </c>
      <c r="L22" s="18">
        <v>32</v>
      </c>
      <c r="M22" s="28">
        <v>16</v>
      </c>
      <c r="N22" s="6">
        <v>361</v>
      </c>
      <c r="O22" s="30">
        <f t="shared" si="4"/>
        <v>512</v>
      </c>
      <c r="P22" s="30">
        <f t="shared" si="5"/>
        <v>5776</v>
      </c>
      <c r="Q22" s="1">
        <f>COUNTIFS($P:$P, "&gt;" &amp; $P22) + 1</f>
        <v>2306</v>
      </c>
      <c r="R22" s="63">
        <f>(COUNTIFS($P:$P, "&gt;" &amp; $P22) + 1) / (COUNTA($I:$I) - 1)</f>
        <v>0.4612</v>
      </c>
      <c r="S22" s="23">
        <f>SUMIFS($P:$P, $Q:$Q, "&lt;" &amp; $Q22)</f>
        <v>182098979</v>
      </c>
    </row>
    <row r="23" spans="1:19" x14ac:dyDescent="0.25">
      <c r="A23" s="1">
        <v>18</v>
      </c>
      <c r="B23" s="1" t="s">
        <v>2</v>
      </c>
      <c r="C23" s="1" t="str">
        <f>IF($B23 = "Production Item", _xlfn.XLOOKUP($A23, 'Instrument Table'!$J:$J, 'Instrument Table'!$B:$B, $C22), IF($B23 = "Service Item", _xlfn.XLOOKUP($A23, 'Instrument Table'!$I:$I, 'Instrument Table'!$B:$B, $C22), _xlfn.XLOOKUP($A23, 'Instrument Table'!$H:$H, 'Instrument Table'!$B:$B, $C22)))</f>
        <v>Grand Piano</v>
      </c>
      <c r="D23" s="1" t="str">
        <f>VLOOKUP($C23, 'Instrument Table'!$B:$C, 2, FALSE)</f>
        <v>Pianos</v>
      </c>
      <c r="E23" s="1">
        <f t="shared" si="0"/>
        <v>1</v>
      </c>
      <c r="F23" s="1">
        <f>_xlfn.XLOOKUP($C23, 'Instrument Table'!$B:$B, 'Instrument Table'!$A:$A, "")</f>
        <v>10</v>
      </c>
      <c r="G23" s="1" t="str">
        <f>TEXT(IF($B23 = "Retail Item", IF((ROW($A23) - 4504 - _xlfn.XMATCH($C23, $C$4506:$C$5005, 0, 1)) &lt;= VLOOKUP($C23, 'Instrument Table'!$B:$D, 3, FALSE), ROW($A23) - 4504 - _xlfn.XMATCH($C23, $C$4506:$C$5005, 0, 1), 0), 0), "00")</f>
        <v>00</v>
      </c>
      <c r="H23" s="1" t="str">
        <f t="shared" si="1"/>
        <v>017</v>
      </c>
      <c r="I23" s="1" t="str">
        <f t="shared" si="2"/>
        <v>11000-017</v>
      </c>
      <c r="J23" s="1" t="str">
        <f t="shared" si="3"/>
        <v>Grand piano production item #017</v>
      </c>
      <c r="K23" s="1" t="str">
        <f>IF(SUM(COUNTIFS(I:I, I23)) &gt; 1, "DUPLICATE", "UNIQUE")</f>
        <v>UNIQUE</v>
      </c>
      <c r="L23" s="18">
        <v>0</v>
      </c>
      <c r="M23" s="28">
        <v>79</v>
      </c>
      <c r="N23" s="6">
        <v>289</v>
      </c>
      <c r="O23" s="30">
        <f t="shared" si="4"/>
        <v>0</v>
      </c>
      <c r="P23" s="30">
        <f t="shared" si="5"/>
        <v>22831</v>
      </c>
      <c r="Q23" s="1">
        <f>COUNTIFS($P:$P, "&gt;" &amp; $P23) + 1</f>
        <v>909</v>
      </c>
      <c r="R23" s="63">
        <f>(COUNTIFS($P:$P, "&gt;" &amp; $P23) + 1) / (COUNTA($I:$I) - 1)</f>
        <v>0.18179999999999999</v>
      </c>
      <c r="S23" s="23">
        <f>SUMIFS($P:$P, $Q:$Q, "&lt;" &amp; $Q23)</f>
        <v>164488143</v>
      </c>
    </row>
    <row r="24" spans="1:19" x14ac:dyDescent="0.25">
      <c r="A24" s="1">
        <v>19</v>
      </c>
      <c r="B24" s="1" t="s">
        <v>2</v>
      </c>
      <c r="C24" s="1" t="str">
        <f>IF($B24 = "Production Item", _xlfn.XLOOKUP($A24, 'Instrument Table'!$J:$J, 'Instrument Table'!$B:$B, $C23), IF($B24 = "Service Item", _xlfn.XLOOKUP($A24, 'Instrument Table'!$I:$I, 'Instrument Table'!$B:$B, $C23), _xlfn.XLOOKUP($A24, 'Instrument Table'!$H:$H, 'Instrument Table'!$B:$B, $C23)))</f>
        <v>Grand Piano</v>
      </c>
      <c r="D24" s="1" t="str">
        <f>VLOOKUP($C24, 'Instrument Table'!$B:$C, 2, FALSE)</f>
        <v>Pianos</v>
      </c>
      <c r="E24" s="1">
        <f t="shared" si="0"/>
        <v>1</v>
      </c>
      <c r="F24" s="1">
        <f>_xlfn.XLOOKUP($C24, 'Instrument Table'!$B:$B, 'Instrument Table'!$A:$A, "")</f>
        <v>10</v>
      </c>
      <c r="G24" s="1" t="str">
        <f>TEXT(IF($B24 = "Retail Item", IF((ROW($A24) - 4504 - _xlfn.XMATCH($C24, $C$4506:$C$5005, 0, 1)) &lt;= VLOOKUP($C24, 'Instrument Table'!$B:$D, 3, FALSE), ROW($A24) - 4504 - _xlfn.XMATCH($C24, $C$4506:$C$5005, 0, 1), 0), 0), "00")</f>
        <v>00</v>
      </c>
      <c r="H24" s="1" t="str">
        <f t="shared" si="1"/>
        <v>018</v>
      </c>
      <c r="I24" s="1" t="str">
        <f t="shared" si="2"/>
        <v>11000-018</v>
      </c>
      <c r="J24" s="1" t="str">
        <f t="shared" si="3"/>
        <v>Grand piano production item #018</v>
      </c>
      <c r="K24" s="1" t="str">
        <f>IF(SUM(COUNTIFS(I:I, I24)) &gt; 1, "DUPLICATE", "UNIQUE")</f>
        <v>UNIQUE</v>
      </c>
      <c r="L24" s="18">
        <v>8</v>
      </c>
      <c r="M24" s="28">
        <v>33</v>
      </c>
      <c r="N24" s="6">
        <v>169</v>
      </c>
      <c r="O24" s="30">
        <f t="shared" si="4"/>
        <v>264</v>
      </c>
      <c r="P24" s="30">
        <f t="shared" si="5"/>
        <v>5577</v>
      </c>
      <c r="Q24" s="1">
        <f>COUNTIFS($P:$P, "&gt;" &amp; $P24) + 1</f>
        <v>2340</v>
      </c>
      <c r="R24" s="63">
        <f>(COUNTIFS($P:$P, "&gt;" &amp; $P24) + 1) / (COUNTA($I:$I) - 1)</f>
        <v>0.46800000000000003</v>
      </c>
      <c r="S24" s="23">
        <f>SUMIFS($P:$P, $Q:$Q, "&lt;" &amp; $Q24)</f>
        <v>182292087</v>
      </c>
    </row>
    <row r="25" spans="1:19" x14ac:dyDescent="0.25">
      <c r="A25" s="1">
        <v>20</v>
      </c>
      <c r="B25" s="1" t="s">
        <v>2</v>
      </c>
      <c r="C25" s="1" t="str">
        <f>IF($B25 = "Production Item", _xlfn.XLOOKUP($A25, 'Instrument Table'!$J:$J, 'Instrument Table'!$B:$B, $C24), IF($B25 = "Service Item", _xlfn.XLOOKUP($A25, 'Instrument Table'!$I:$I, 'Instrument Table'!$B:$B, $C24), _xlfn.XLOOKUP($A25, 'Instrument Table'!$H:$H, 'Instrument Table'!$B:$B, $C24)))</f>
        <v>Grand Piano</v>
      </c>
      <c r="D25" s="1" t="str">
        <f>VLOOKUP($C25, 'Instrument Table'!$B:$C, 2, FALSE)</f>
        <v>Pianos</v>
      </c>
      <c r="E25" s="1">
        <f t="shared" si="0"/>
        <v>1</v>
      </c>
      <c r="F25" s="1">
        <f>_xlfn.XLOOKUP($C25, 'Instrument Table'!$B:$B, 'Instrument Table'!$A:$A, "")</f>
        <v>10</v>
      </c>
      <c r="G25" s="1" t="str">
        <f>TEXT(IF($B25 = "Retail Item", IF((ROW($A25) - 4504 - _xlfn.XMATCH($C25, $C$4506:$C$5005, 0, 1)) &lt;= VLOOKUP($C25, 'Instrument Table'!$B:$D, 3, FALSE), ROW($A25) - 4504 - _xlfn.XMATCH($C25, $C$4506:$C$5005, 0, 1), 0), 0), "00")</f>
        <v>00</v>
      </c>
      <c r="H25" s="1" t="str">
        <f t="shared" si="1"/>
        <v>019</v>
      </c>
      <c r="I25" s="1" t="str">
        <f t="shared" si="2"/>
        <v>11000-019</v>
      </c>
      <c r="J25" s="1" t="str">
        <f t="shared" si="3"/>
        <v>Grand piano production item #019</v>
      </c>
      <c r="K25" s="1" t="str">
        <f>IF(SUM(COUNTIFS(I:I, I25)) &gt; 1, "DUPLICATE", "UNIQUE")</f>
        <v>UNIQUE</v>
      </c>
      <c r="L25" s="18">
        <v>0</v>
      </c>
      <c r="M25" s="28">
        <v>9</v>
      </c>
      <c r="N25" s="6">
        <v>169</v>
      </c>
      <c r="O25" s="30">
        <f t="shared" si="4"/>
        <v>0</v>
      </c>
      <c r="P25" s="30">
        <f t="shared" si="5"/>
        <v>1521</v>
      </c>
      <c r="Q25" s="1">
        <f>COUNTIFS($P:$P, "&gt;" &amp; $P25) + 1</f>
        <v>3451</v>
      </c>
      <c r="R25" s="63">
        <f>(COUNTIFS($P:$P, "&gt;" &amp; $P25) + 1) / (COUNTA($I:$I) - 1)</f>
        <v>0.69020000000000004</v>
      </c>
      <c r="S25" s="23">
        <f>SUMIFS($P:$P, $Q:$Q, "&lt;" &amp; $Q25)</f>
        <v>185865347</v>
      </c>
    </row>
    <row r="26" spans="1:19" x14ac:dyDescent="0.25">
      <c r="A26" s="1">
        <v>21</v>
      </c>
      <c r="B26" s="1" t="s">
        <v>2</v>
      </c>
      <c r="C26" s="1" t="str">
        <f>IF($B26 = "Production Item", _xlfn.XLOOKUP($A26, 'Instrument Table'!$J:$J, 'Instrument Table'!$B:$B, $C25), IF($B26 = "Service Item", _xlfn.XLOOKUP($A26, 'Instrument Table'!$I:$I, 'Instrument Table'!$B:$B, $C25), _xlfn.XLOOKUP($A26, 'Instrument Table'!$H:$H, 'Instrument Table'!$B:$B, $C25)))</f>
        <v>Grand Piano</v>
      </c>
      <c r="D26" s="1" t="str">
        <f>VLOOKUP($C26, 'Instrument Table'!$B:$C, 2, FALSE)</f>
        <v>Pianos</v>
      </c>
      <c r="E26" s="1">
        <f t="shared" si="0"/>
        <v>1</v>
      </c>
      <c r="F26" s="1">
        <f>_xlfn.XLOOKUP($C26, 'Instrument Table'!$B:$B, 'Instrument Table'!$A:$A, "")</f>
        <v>10</v>
      </c>
      <c r="G26" s="1" t="str">
        <f>TEXT(IF($B26 = "Retail Item", IF((ROW($A26) - 4504 - _xlfn.XMATCH($C26, $C$4506:$C$5005, 0, 1)) &lt;= VLOOKUP($C26, 'Instrument Table'!$B:$D, 3, FALSE), ROW($A26) - 4504 - _xlfn.XMATCH($C26, $C$4506:$C$5005, 0, 1), 0), 0), "00")</f>
        <v>00</v>
      </c>
      <c r="H26" s="1" t="str">
        <f t="shared" si="1"/>
        <v>020</v>
      </c>
      <c r="I26" s="1" t="str">
        <f t="shared" si="2"/>
        <v>11000-020</v>
      </c>
      <c r="J26" s="1" t="str">
        <f t="shared" si="3"/>
        <v>Grand piano production item #020</v>
      </c>
      <c r="K26" s="1" t="str">
        <f>IF(SUM(COUNTIFS(I:I, I26)) &gt; 1, "DUPLICATE", "UNIQUE")</f>
        <v>UNIQUE</v>
      </c>
      <c r="L26" s="18">
        <v>1</v>
      </c>
      <c r="M26" s="28">
        <v>96</v>
      </c>
      <c r="N26" s="6">
        <v>49</v>
      </c>
      <c r="O26" s="30">
        <f t="shared" si="4"/>
        <v>96</v>
      </c>
      <c r="P26" s="30">
        <f t="shared" si="5"/>
        <v>4704</v>
      </c>
      <c r="Q26" s="1">
        <f>COUNTIFS($P:$P, "&gt;" &amp; $P26) + 1</f>
        <v>2500</v>
      </c>
      <c r="R26" s="63">
        <f>(COUNTIFS($P:$P, "&gt;" &amp; $P26) + 1) / (COUNTA($I:$I) - 1)</f>
        <v>0.5</v>
      </c>
      <c r="S26" s="23">
        <f>SUMIFS($P:$P, $Q:$Q, "&lt;" &amp; $Q26)</f>
        <v>183115244</v>
      </c>
    </row>
    <row r="27" spans="1:19" x14ac:dyDescent="0.25">
      <c r="A27" s="1">
        <v>22</v>
      </c>
      <c r="B27" s="1" t="s">
        <v>2</v>
      </c>
      <c r="C27" s="1" t="str">
        <f>IF($B27 = "Production Item", _xlfn.XLOOKUP($A27, 'Instrument Table'!$J:$J, 'Instrument Table'!$B:$B, $C26), IF($B27 = "Service Item", _xlfn.XLOOKUP($A27, 'Instrument Table'!$I:$I, 'Instrument Table'!$B:$B, $C26), _xlfn.XLOOKUP($A27, 'Instrument Table'!$H:$H, 'Instrument Table'!$B:$B, $C26)))</f>
        <v>Grand Piano</v>
      </c>
      <c r="D27" s="1" t="str">
        <f>VLOOKUP($C27, 'Instrument Table'!$B:$C, 2, FALSE)</f>
        <v>Pianos</v>
      </c>
      <c r="E27" s="1">
        <f t="shared" si="0"/>
        <v>1</v>
      </c>
      <c r="F27" s="1">
        <f>_xlfn.XLOOKUP($C27, 'Instrument Table'!$B:$B, 'Instrument Table'!$A:$A, "")</f>
        <v>10</v>
      </c>
      <c r="G27" s="1" t="str">
        <f>TEXT(IF($B27 = "Retail Item", IF((ROW($A27) - 4504 - _xlfn.XMATCH($C27, $C$4506:$C$5005, 0, 1)) &lt;= VLOOKUP($C27, 'Instrument Table'!$B:$D, 3, FALSE), ROW($A27) - 4504 - _xlfn.XMATCH($C27, $C$4506:$C$5005, 0, 1), 0), 0), "00")</f>
        <v>00</v>
      </c>
      <c r="H27" s="1" t="str">
        <f t="shared" si="1"/>
        <v>021</v>
      </c>
      <c r="I27" s="1" t="str">
        <f t="shared" si="2"/>
        <v>11000-021</v>
      </c>
      <c r="J27" s="1" t="str">
        <f t="shared" si="3"/>
        <v>Grand piano production item #021</v>
      </c>
      <c r="K27" s="1" t="str">
        <f>IF(SUM(COUNTIFS(I:I, I27)) &gt; 1, "DUPLICATE", "UNIQUE")</f>
        <v>UNIQUE</v>
      </c>
      <c r="L27" s="18">
        <v>1</v>
      </c>
      <c r="M27" s="28">
        <v>10</v>
      </c>
      <c r="N27" s="6">
        <v>121</v>
      </c>
      <c r="O27" s="30">
        <f t="shared" si="4"/>
        <v>10</v>
      </c>
      <c r="P27" s="30">
        <f t="shared" si="5"/>
        <v>1210</v>
      </c>
      <c r="Q27" s="1">
        <f>COUNTIFS($P:$P, "&gt;" &amp; $P27) + 1</f>
        <v>3603</v>
      </c>
      <c r="R27" s="63">
        <f>(COUNTIFS($P:$P, "&gt;" &amp; $P27) + 1) / (COUNTA($I:$I) - 1)</f>
        <v>0.72060000000000002</v>
      </c>
      <c r="S27" s="23">
        <f>SUMIFS($P:$P, $Q:$Q, "&lt;" &amp; $Q27)</f>
        <v>186073388</v>
      </c>
    </row>
    <row r="28" spans="1:19" x14ac:dyDescent="0.25">
      <c r="A28" s="1">
        <v>23</v>
      </c>
      <c r="B28" s="1" t="s">
        <v>2</v>
      </c>
      <c r="C28" s="1" t="str">
        <f>IF($B28 = "Production Item", _xlfn.XLOOKUP($A28, 'Instrument Table'!$J:$J, 'Instrument Table'!$B:$B, $C27), IF($B28 = "Service Item", _xlfn.XLOOKUP($A28, 'Instrument Table'!$I:$I, 'Instrument Table'!$B:$B, $C27), _xlfn.XLOOKUP($A28, 'Instrument Table'!$H:$H, 'Instrument Table'!$B:$B, $C27)))</f>
        <v>Grand Piano</v>
      </c>
      <c r="D28" s="1" t="str">
        <f>VLOOKUP($C28, 'Instrument Table'!$B:$C, 2, FALSE)</f>
        <v>Pianos</v>
      </c>
      <c r="E28" s="1">
        <f t="shared" si="0"/>
        <v>1</v>
      </c>
      <c r="F28" s="1">
        <f>_xlfn.XLOOKUP($C28, 'Instrument Table'!$B:$B, 'Instrument Table'!$A:$A, "")</f>
        <v>10</v>
      </c>
      <c r="G28" s="1" t="str">
        <f>TEXT(IF($B28 = "Retail Item", IF((ROW($A28) - 4504 - _xlfn.XMATCH($C28, $C$4506:$C$5005, 0, 1)) &lt;= VLOOKUP($C28, 'Instrument Table'!$B:$D, 3, FALSE), ROW($A28) - 4504 - _xlfn.XMATCH($C28, $C$4506:$C$5005, 0, 1), 0), 0), "00")</f>
        <v>00</v>
      </c>
      <c r="H28" s="1" t="str">
        <f t="shared" si="1"/>
        <v>022</v>
      </c>
      <c r="I28" s="1" t="str">
        <f t="shared" si="2"/>
        <v>11000-022</v>
      </c>
      <c r="J28" s="1" t="str">
        <f t="shared" si="3"/>
        <v>Grand piano production item #022</v>
      </c>
      <c r="K28" s="1" t="str">
        <f>IF(SUM(COUNTIFS(I:I, I28)) &gt; 1, "DUPLICATE", "UNIQUE")</f>
        <v>UNIQUE</v>
      </c>
      <c r="L28" s="18">
        <v>2</v>
      </c>
      <c r="M28" s="28">
        <v>45</v>
      </c>
      <c r="N28" s="6">
        <v>100</v>
      </c>
      <c r="O28" s="30">
        <f t="shared" si="4"/>
        <v>90</v>
      </c>
      <c r="P28" s="30">
        <f t="shared" si="5"/>
        <v>4500</v>
      </c>
      <c r="Q28" s="1">
        <f>COUNTIFS($P:$P, "&gt;" &amp; $P28) + 1</f>
        <v>2544</v>
      </c>
      <c r="R28" s="63">
        <f>(COUNTIFS($P:$P, "&gt;" &amp; $P28) + 1) / (COUNTA($I:$I) - 1)</f>
        <v>0.50880000000000003</v>
      </c>
      <c r="S28" s="23">
        <f>SUMIFS($P:$P, $Q:$Q, "&lt;" &amp; $Q28)</f>
        <v>183318007</v>
      </c>
    </row>
    <row r="29" spans="1:19" x14ac:dyDescent="0.25">
      <c r="A29" s="1">
        <v>24</v>
      </c>
      <c r="B29" s="1" t="s">
        <v>2</v>
      </c>
      <c r="C29" s="1" t="str">
        <f>IF($B29 = "Production Item", _xlfn.XLOOKUP($A29, 'Instrument Table'!$J:$J, 'Instrument Table'!$B:$B, $C28), IF($B29 = "Service Item", _xlfn.XLOOKUP($A29, 'Instrument Table'!$I:$I, 'Instrument Table'!$B:$B, $C28), _xlfn.XLOOKUP($A29, 'Instrument Table'!$H:$H, 'Instrument Table'!$B:$B, $C28)))</f>
        <v>Grand Piano</v>
      </c>
      <c r="D29" s="1" t="str">
        <f>VLOOKUP($C29, 'Instrument Table'!$B:$C, 2, FALSE)</f>
        <v>Pianos</v>
      </c>
      <c r="E29" s="1">
        <f t="shared" si="0"/>
        <v>1</v>
      </c>
      <c r="F29" s="1">
        <f>_xlfn.XLOOKUP($C29, 'Instrument Table'!$B:$B, 'Instrument Table'!$A:$A, "")</f>
        <v>10</v>
      </c>
      <c r="G29" s="1" t="str">
        <f>TEXT(IF($B29 = "Retail Item", IF((ROW($A29) - 4504 - _xlfn.XMATCH($C29, $C$4506:$C$5005, 0, 1)) &lt;= VLOOKUP($C29, 'Instrument Table'!$B:$D, 3, FALSE), ROW($A29) - 4504 - _xlfn.XMATCH($C29, $C$4506:$C$5005, 0, 1), 0), 0), "00")</f>
        <v>00</v>
      </c>
      <c r="H29" s="1" t="str">
        <f t="shared" si="1"/>
        <v>023</v>
      </c>
      <c r="I29" s="1" t="str">
        <f t="shared" si="2"/>
        <v>11000-023</v>
      </c>
      <c r="J29" s="1" t="str">
        <f t="shared" si="3"/>
        <v>Grand piano production item #023</v>
      </c>
      <c r="K29" s="1" t="str">
        <f>IF(SUM(COUNTIFS(I:I, I29)) &gt; 1, "DUPLICATE", "UNIQUE")</f>
        <v>UNIQUE</v>
      </c>
      <c r="L29" s="18">
        <v>0</v>
      </c>
      <c r="M29" s="28">
        <v>3</v>
      </c>
      <c r="N29" s="6">
        <v>196</v>
      </c>
      <c r="O29" s="30">
        <f t="shared" si="4"/>
        <v>0</v>
      </c>
      <c r="P29" s="30">
        <f t="shared" si="5"/>
        <v>588</v>
      </c>
      <c r="Q29" s="1">
        <f>COUNTIFS($P:$P, "&gt;" &amp; $P29) + 1</f>
        <v>3952</v>
      </c>
      <c r="R29" s="63">
        <f>(COUNTIFS($P:$P, "&gt;" &amp; $P29) + 1) / (COUNTA($I:$I) - 1)</f>
        <v>0.79039999999999999</v>
      </c>
      <c r="S29" s="23">
        <f>SUMIFS($P:$P, $Q:$Q, "&lt;" &amp; $Q29)</f>
        <v>186371437</v>
      </c>
    </row>
    <row r="30" spans="1:19" x14ac:dyDescent="0.25">
      <c r="A30" s="1">
        <v>25</v>
      </c>
      <c r="B30" s="1" t="s">
        <v>2</v>
      </c>
      <c r="C30" s="1" t="str">
        <f>IF($B30 = "Production Item", _xlfn.XLOOKUP($A30, 'Instrument Table'!$J:$J, 'Instrument Table'!$B:$B, $C29), IF($B30 = "Service Item", _xlfn.XLOOKUP($A30, 'Instrument Table'!$I:$I, 'Instrument Table'!$B:$B, $C29), _xlfn.XLOOKUP($A30, 'Instrument Table'!$H:$H, 'Instrument Table'!$B:$B, $C29)))</f>
        <v>Grand Piano</v>
      </c>
      <c r="D30" s="1" t="str">
        <f>VLOOKUP($C30, 'Instrument Table'!$B:$C, 2, FALSE)</f>
        <v>Pianos</v>
      </c>
      <c r="E30" s="1">
        <f t="shared" si="0"/>
        <v>1</v>
      </c>
      <c r="F30" s="1">
        <f>_xlfn.XLOOKUP($C30, 'Instrument Table'!$B:$B, 'Instrument Table'!$A:$A, "")</f>
        <v>10</v>
      </c>
      <c r="G30" s="1" t="str">
        <f>TEXT(IF($B30 = "Retail Item", IF((ROW($A30) - 4504 - _xlfn.XMATCH($C30, $C$4506:$C$5005, 0, 1)) &lt;= VLOOKUP($C30, 'Instrument Table'!$B:$D, 3, FALSE), ROW($A30) - 4504 - _xlfn.XMATCH($C30, $C$4506:$C$5005, 0, 1), 0), 0), "00")</f>
        <v>00</v>
      </c>
      <c r="H30" s="1" t="str">
        <f t="shared" si="1"/>
        <v>024</v>
      </c>
      <c r="I30" s="1" t="str">
        <f t="shared" si="2"/>
        <v>11000-024</v>
      </c>
      <c r="J30" s="1" t="str">
        <f t="shared" si="3"/>
        <v>Grand piano production item #024</v>
      </c>
      <c r="K30" s="1" t="str">
        <f>IF(SUM(COUNTIFS(I:I, I30)) &gt; 1, "DUPLICATE", "UNIQUE")</f>
        <v>UNIQUE</v>
      </c>
      <c r="L30" s="18">
        <v>0</v>
      </c>
      <c r="M30" s="28">
        <v>96</v>
      </c>
      <c r="N30" s="6">
        <v>144</v>
      </c>
      <c r="O30" s="30">
        <f t="shared" si="4"/>
        <v>0</v>
      </c>
      <c r="P30" s="30">
        <f t="shared" si="5"/>
        <v>13824</v>
      </c>
      <c r="Q30" s="1">
        <f>COUNTIFS($P:$P, "&gt;" &amp; $P30) + 1</f>
        <v>1432</v>
      </c>
      <c r="R30" s="63">
        <f>(COUNTIFS($P:$P, "&gt;" &amp; $P30) + 1) / (COUNTA($I:$I) - 1)</f>
        <v>0.28639999999999999</v>
      </c>
      <c r="S30" s="23">
        <f>SUMIFS($P:$P, $Q:$Q, "&lt;" &amp; $Q30)</f>
        <v>173925940</v>
      </c>
    </row>
    <row r="31" spans="1:19" x14ac:dyDescent="0.25">
      <c r="A31" s="1">
        <v>26</v>
      </c>
      <c r="B31" s="1" t="s">
        <v>2</v>
      </c>
      <c r="C31" s="1" t="str">
        <f>IF($B31 = "Production Item", _xlfn.XLOOKUP($A31, 'Instrument Table'!$J:$J, 'Instrument Table'!$B:$B, $C30), IF($B31 = "Service Item", _xlfn.XLOOKUP($A31, 'Instrument Table'!$I:$I, 'Instrument Table'!$B:$B, $C30), _xlfn.XLOOKUP($A31, 'Instrument Table'!$H:$H, 'Instrument Table'!$B:$B, $C30)))</f>
        <v>Grand Piano</v>
      </c>
      <c r="D31" s="1" t="str">
        <f>VLOOKUP($C31, 'Instrument Table'!$B:$C, 2, FALSE)</f>
        <v>Pianos</v>
      </c>
      <c r="E31" s="1">
        <f t="shared" si="0"/>
        <v>1</v>
      </c>
      <c r="F31" s="1">
        <f>_xlfn.XLOOKUP($C31, 'Instrument Table'!$B:$B, 'Instrument Table'!$A:$A, "")</f>
        <v>10</v>
      </c>
      <c r="G31" s="1" t="str">
        <f>TEXT(IF($B31 = "Retail Item", IF((ROW($A31) - 4504 - _xlfn.XMATCH($C31, $C$4506:$C$5005, 0, 1)) &lt;= VLOOKUP($C31, 'Instrument Table'!$B:$D, 3, FALSE), ROW($A31) - 4504 - _xlfn.XMATCH($C31, $C$4506:$C$5005, 0, 1), 0), 0), "00")</f>
        <v>00</v>
      </c>
      <c r="H31" s="1" t="str">
        <f t="shared" si="1"/>
        <v>025</v>
      </c>
      <c r="I31" s="1" t="str">
        <f t="shared" si="2"/>
        <v>11000-025</v>
      </c>
      <c r="J31" s="1" t="str">
        <f t="shared" si="3"/>
        <v>Grand piano production item #025</v>
      </c>
      <c r="K31" s="1" t="str">
        <f>IF(SUM(COUNTIFS(I:I, I31)) &gt; 1, "DUPLICATE", "UNIQUE")</f>
        <v>UNIQUE</v>
      </c>
      <c r="L31" s="18">
        <v>16</v>
      </c>
      <c r="M31" s="28">
        <v>6</v>
      </c>
      <c r="N31" s="6">
        <v>81</v>
      </c>
      <c r="O31" s="30">
        <f t="shared" si="4"/>
        <v>96</v>
      </c>
      <c r="P31" s="30">
        <f t="shared" si="5"/>
        <v>486</v>
      </c>
      <c r="Q31" s="1">
        <f>COUNTIFS($P:$P, "&gt;" &amp; $P31) + 1</f>
        <v>4039</v>
      </c>
      <c r="R31" s="63">
        <f>(COUNTIFS($P:$P, "&gt;" &amp; $P31) + 1) / (COUNTA($I:$I) - 1)</f>
        <v>0.80779999999999996</v>
      </c>
      <c r="S31" s="23">
        <f>SUMIFS($P:$P, $Q:$Q, "&lt;" &amp; $Q31)</f>
        <v>186418092</v>
      </c>
    </row>
    <row r="32" spans="1:19" x14ac:dyDescent="0.25">
      <c r="A32" s="1">
        <v>27</v>
      </c>
      <c r="B32" s="1" t="s">
        <v>2</v>
      </c>
      <c r="C32" s="1" t="str">
        <f>IF($B32 = "Production Item", _xlfn.XLOOKUP($A32, 'Instrument Table'!$J:$J, 'Instrument Table'!$B:$B, $C31), IF($B32 = "Service Item", _xlfn.XLOOKUP($A32, 'Instrument Table'!$I:$I, 'Instrument Table'!$B:$B, $C31), _xlfn.XLOOKUP($A32, 'Instrument Table'!$H:$H, 'Instrument Table'!$B:$B, $C31)))</f>
        <v>Grand Piano</v>
      </c>
      <c r="D32" s="1" t="str">
        <f>VLOOKUP($C32, 'Instrument Table'!$B:$C, 2, FALSE)</f>
        <v>Pianos</v>
      </c>
      <c r="E32" s="1">
        <f t="shared" si="0"/>
        <v>1</v>
      </c>
      <c r="F32" s="1">
        <f>_xlfn.XLOOKUP($C32, 'Instrument Table'!$B:$B, 'Instrument Table'!$A:$A, "")</f>
        <v>10</v>
      </c>
      <c r="G32" s="1" t="str">
        <f>TEXT(IF($B32 = "Retail Item", IF((ROW($A32) - 4504 - _xlfn.XMATCH($C32, $C$4506:$C$5005, 0, 1)) &lt;= VLOOKUP($C32, 'Instrument Table'!$B:$D, 3, FALSE), ROW($A32) - 4504 - _xlfn.XMATCH($C32, $C$4506:$C$5005, 0, 1), 0), 0), "00")</f>
        <v>00</v>
      </c>
      <c r="H32" s="1" t="str">
        <f t="shared" si="1"/>
        <v>026</v>
      </c>
      <c r="I32" s="1" t="str">
        <f t="shared" si="2"/>
        <v>11000-026</v>
      </c>
      <c r="J32" s="1" t="str">
        <f t="shared" si="3"/>
        <v>Grand piano production item #026</v>
      </c>
      <c r="K32" s="1" t="str">
        <f>IF(SUM(COUNTIFS(I:I, I32)) &gt; 1, "DUPLICATE", "UNIQUE")</f>
        <v>UNIQUE</v>
      </c>
      <c r="L32" s="18">
        <v>0</v>
      </c>
      <c r="M32" s="28">
        <v>5</v>
      </c>
      <c r="N32" s="6">
        <v>144</v>
      </c>
      <c r="O32" s="30">
        <f t="shared" si="4"/>
        <v>0</v>
      </c>
      <c r="P32" s="30">
        <f t="shared" si="5"/>
        <v>720</v>
      </c>
      <c r="Q32" s="1">
        <f>COUNTIFS($P:$P, "&gt;" &amp; $P32) + 1</f>
        <v>3863</v>
      </c>
      <c r="R32" s="63">
        <f>(COUNTIFS($P:$P, "&gt;" &amp; $P32) + 1) / (COUNTA($I:$I) - 1)</f>
        <v>0.77259999999999995</v>
      </c>
      <c r="S32" s="23">
        <f>SUMIFS($P:$P, $Q:$Q, "&lt;" &amp; $Q32)</f>
        <v>186312976</v>
      </c>
    </row>
    <row r="33" spans="1:19" x14ac:dyDescent="0.25">
      <c r="A33" s="1">
        <v>28</v>
      </c>
      <c r="B33" s="1" t="s">
        <v>2</v>
      </c>
      <c r="C33" s="1" t="str">
        <f>IF($B33 = "Production Item", _xlfn.XLOOKUP($A33, 'Instrument Table'!$J:$J, 'Instrument Table'!$B:$B, $C32), IF($B33 = "Service Item", _xlfn.XLOOKUP($A33, 'Instrument Table'!$I:$I, 'Instrument Table'!$B:$B, $C32), _xlfn.XLOOKUP($A33, 'Instrument Table'!$H:$H, 'Instrument Table'!$B:$B, $C32)))</f>
        <v>Grand Piano</v>
      </c>
      <c r="D33" s="1" t="str">
        <f>VLOOKUP($C33, 'Instrument Table'!$B:$C, 2, FALSE)</f>
        <v>Pianos</v>
      </c>
      <c r="E33" s="1">
        <f t="shared" si="0"/>
        <v>1</v>
      </c>
      <c r="F33" s="1">
        <f>_xlfn.XLOOKUP($C33, 'Instrument Table'!$B:$B, 'Instrument Table'!$A:$A, "")</f>
        <v>10</v>
      </c>
      <c r="G33" s="1" t="str">
        <f>TEXT(IF($B33 = "Retail Item", IF((ROW($A33) - 4504 - _xlfn.XMATCH($C33, $C$4506:$C$5005, 0, 1)) &lt;= VLOOKUP($C33, 'Instrument Table'!$B:$D, 3, FALSE), ROW($A33) - 4504 - _xlfn.XMATCH($C33, $C$4506:$C$5005, 0, 1), 0), 0), "00")</f>
        <v>00</v>
      </c>
      <c r="H33" s="1" t="str">
        <f t="shared" si="1"/>
        <v>027</v>
      </c>
      <c r="I33" s="1" t="str">
        <f t="shared" si="2"/>
        <v>11000-027</v>
      </c>
      <c r="J33" s="1" t="str">
        <f t="shared" si="3"/>
        <v>Grand piano production item #027</v>
      </c>
      <c r="K33" s="1" t="str">
        <f>IF(SUM(COUNTIFS(I:I, I33)) &gt; 1, "DUPLICATE", "UNIQUE")</f>
        <v>UNIQUE</v>
      </c>
      <c r="L33" s="18">
        <v>16</v>
      </c>
      <c r="M33" s="28">
        <v>72</v>
      </c>
      <c r="N33" s="6">
        <v>81</v>
      </c>
      <c r="O33" s="30">
        <f t="shared" si="4"/>
        <v>1152</v>
      </c>
      <c r="P33" s="30">
        <f t="shared" si="5"/>
        <v>5832</v>
      </c>
      <c r="Q33" s="1">
        <f>COUNTIFS($P:$P, "&gt;" &amp; $P33) + 1</f>
        <v>2288</v>
      </c>
      <c r="R33" s="63">
        <f>(COUNTIFS($P:$P, "&gt;" &amp; $P33) + 1) / (COUNTA($I:$I) - 1)</f>
        <v>0.45760000000000001</v>
      </c>
      <c r="S33" s="23">
        <f>SUMIFS($P:$P, $Q:$Q, "&lt;" &amp; $Q33)</f>
        <v>181994354</v>
      </c>
    </row>
    <row r="34" spans="1:19" x14ac:dyDescent="0.25">
      <c r="A34" s="1">
        <v>29</v>
      </c>
      <c r="B34" s="1" t="s">
        <v>2</v>
      </c>
      <c r="C34" s="1" t="str">
        <f>IF($B34 = "Production Item", _xlfn.XLOOKUP($A34, 'Instrument Table'!$J:$J, 'Instrument Table'!$B:$B, $C33), IF($B34 = "Service Item", _xlfn.XLOOKUP($A34, 'Instrument Table'!$I:$I, 'Instrument Table'!$B:$B, $C33), _xlfn.XLOOKUP($A34, 'Instrument Table'!$H:$H, 'Instrument Table'!$B:$B, $C33)))</f>
        <v>Grand Piano</v>
      </c>
      <c r="D34" s="1" t="str">
        <f>VLOOKUP($C34, 'Instrument Table'!$B:$C, 2, FALSE)</f>
        <v>Pianos</v>
      </c>
      <c r="E34" s="1">
        <f t="shared" si="0"/>
        <v>1</v>
      </c>
      <c r="F34" s="1">
        <f>_xlfn.XLOOKUP($C34, 'Instrument Table'!$B:$B, 'Instrument Table'!$A:$A, "")</f>
        <v>10</v>
      </c>
      <c r="G34" s="1" t="str">
        <f>TEXT(IF($B34 = "Retail Item", IF((ROW($A34) - 4504 - _xlfn.XMATCH($C34, $C$4506:$C$5005, 0, 1)) &lt;= VLOOKUP($C34, 'Instrument Table'!$B:$D, 3, FALSE), ROW($A34) - 4504 - _xlfn.XMATCH($C34, $C$4506:$C$5005, 0, 1), 0), 0), "00")</f>
        <v>00</v>
      </c>
      <c r="H34" s="1" t="str">
        <f t="shared" si="1"/>
        <v>028</v>
      </c>
      <c r="I34" s="1" t="str">
        <f t="shared" si="2"/>
        <v>11000-028</v>
      </c>
      <c r="J34" s="1" t="str">
        <f t="shared" si="3"/>
        <v>Grand piano production item #028</v>
      </c>
      <c r="K34" s="1" t="str">
        <f>IF(SUM(COUNTIFS(I:I, I34)) &gt; 1, "DUPLICATE", "UNIQUE")</f>
        <v>UNIQUE</v>
      </c>
      <c r="L34" s="18">
        <v>1</v>
      </c>
      <c r="M34" s="28">
        <v>93</v>
      </c>
      <c r="N34" s="6">
        <v>16</v>
      </c>
      <c r="O34" s="30">
        <f t="shared" si="4"/>
        <v>93</v>
      </c>
      <c r="P34" s="30">
        <f t="shared" si="5"/>
        <v>1488</v>
      </c>
      <c r="Q34" s="1">
        <f>COUNTIFS($P:$P, "&gt;" &amp; $P34) + 1</f>
        <v>3463</v>
      </c>
      <c r="R34" s="63">
        <f>(COUNTIFS($P:$P, "&gt;" &amp; $P34) + 1) / (COUNTA($I:$I) - 1)</f>
        <v>0.69259999999999999</v>
      </c>
      <c r="S34" s="23">
        <f>SUMIFS($P:$P, $Q:$Q, "&lt;" &amp; $Q34)</f>
        <v>185883471</v>
      </c>
    </row>
    <row r="35" spans="1:19" x14ac:dyDescent="0.25">
      <c r="A35" s="1">
        <v>30</v>
      </c>
      <c r="B35" s="1" t="s">
        <v>2</v>
      </c>
      <c r="C35" s="1" t="str">
        <f>IF($B35 = "Production Item", _xlfn.XLOOKUP($A35, 'Instrument Table'!$J:$J, 'Instrument Table'!$B:$B, $C34), IF($B35 = "Service Item", _xlfn.XLOOKUP($A35, 'Instrument Table'!$I:$I, 'Instrument Table'!$B:$B, $C34), _xlfn.XLOOKUP($A35, 'Instrument Table'!$H:$H, 'Instrument Table'!$B:$B, $C34)))</f>
        <v>Grand Piano</v>
      </c>
      <c r="D35" s="1" t="str">
        <f>VLOOKUP($C35, 'Instrument Table'!$B:$C, 2, FALSE)</f>
        <v>Pianos</v>
      </c>
      <c r="E35" s="1">
        <f t="shared" si="0"/>
        <v>1</v>
      </c>
      <c r="F35" s="1">
        <f>_xlfn.XLOOKUP($C35, 'Instrument Table'!$B:$B, 'Instrument Table'!$A:$A, "")</f>
        <v>10</v>
      </c>
      <c r="G35" s="1" t="str">
        <f>TEXT(IF($B35 = "Retail Item", IF((ROW($A35) - 4504 - _xlfn.XMATCH($C35, $C$4506:$C$5005, 0, 1)) &lt;= VLOOKUP($C35, 'Instrument Table'!$B:$D, 3, FALSE), ROW($A35) - 4504 - _xlfn.XMATCH($C35, $C$4506:$C$5005, 0, 1), 0), 0), "00")</f>
        <v>00</v>
      </c>
      <c r="H35" s="1" t="str">
        <f t="shared" si="1"/>
        <v>029</v>
      </c>
      <c r="I35" s="1" t="str">
        <f t="shared" si="2"/>
        <v>11000-029</v>
      </c>
      <c r="J35" s="1" t="str">
        <f t="shared" si="3"/>
        <v>Grand piano production item #029</v>
      </c>
      <c r="K35" s="1" t="str">
        <f>IF(SUM(COUNTIFS(I:I, I35)) &gt; 1, "DUPLICATE", "UNIQUE")</f>
        <v>UNIQUE</v>
      </c>
      <c r="L35" s="18">
        <v>1</v>
      </c>
      <c r="M35" s="28">
        <v>90</v>
      </c>
      <c r="N35" s="6">
        <v>196</v>
      </c>
      <c r="O35" s="30">
        <f t="shared" si="4"/>
        <v>90</v>
      </c>
      <c r="P35" s="30">
        <f t="shared" si="5"/>
        <v>17640</v>
      </c>
      <c r="Q35" s="1">
        <f>COUNTIFS($P:$P, "&gt;" &amp; $P35) + 1</f>
        <v>1177</v>
      </c>
      <c r="R35" s="63">
        <f>(COUNTIFS($P:$P, "&gt;" &amp; $P35) + 1) / (COUNTA($I:$I) - 1)</f>
        <v>0.2354</v>
      </c>
      <c r="S35" s="23">
        <f>SUMIFS($P:$P, $Q:$Q, "&lt;" &amp; $Q35)</f>
        <v>169923078</v>
      </c>
    </row>
    <row r="36" spans="1:19" x14ac:dyDescent="0.25">
      <c r="A36" s="1">
        <v>31</v>
      </c>
      <c r="B36" s="1" t="s">
        <v>2</v>
      </c>
      <c r="C36" s="1" t="str">
        <f>IF($B36 = "Production Item", _xlfn.XLOOKUP($A36, 'Instrument Table'!$J:$J, 'Instrument Table'!$B:$B, $C35), IF($B36 = "Service Item", _xlfn.XLOOKUP($A36, 'Instrument Table'!$I:$I, 'Instrument Table'!$B:$B, $C35), _xlfn.XLOOKUP($A36, 'Instrument Table'!$H:$H, 'Instrument Table'!$B:$B, $C35)))</f>
        <v>Grand Piano</v>
      </c>
      <c r="D36" s="1" t="str">
        <f>VLOOKUP($C36, 'Instrument Table'!$B:$C, 2, FALSE)</f>
        <v>Pianos</v>
      </c>
      <c r="E36" s="1">
        <f t="shared" si="0"/>
        <v>1</v>
      </c>
      <c r="F36" s="1">
        <f>_xlfn.XLOOKUP($C36, 'Instrument Table'!$B:$B, 'Instrument Table'!$A:$A, "")</f>
        <v>10</v>
      </c>
      <c r="G36" s="1" t="str">
        <f>TEXT(IF($B36 = "Retail Item", IF((ROW($A36) - 4504 - _xlfn.XMATCH($C36, $C$4506:$C$5005, 0, 1)) &lt;= VLOOKUP($C36, 'Instrument Table'!$B:$D, 3, FALSE), ROW($A36) - 4504 - _xlfn.XMATCH($C36, $C$4506:$C$5005, 0, 1), 0), 0), "00")</f>
        <v>00</v>
      </c>
      <c r="H36" s="1" t="str">
        <f t="shared" si="1"/>
        <v>030</v>
      </c>
      <c r="I36" s="1" t="str">
        <f t="shared" si="2"/>
        <v>11000-030</v>
      </c>
      <c r="J36" s="1" t="str">
        <f t="shared" si="3"/>
        <v>Grand piano production item #030</v>
      </c>
      <c r="K36" s="1" t="str">
        <f>IF(SUM(COUNTIFS(I:I, I36)) &gt; 1, "DUPLICATE", "UNIQUE")</f>
        <v>UNIQUE</v>
      </c>
      <c r="L36" s="18">
        <v>1</v>
      </c>
      <c r="M36" s="28">
        <v>65</v>
      </c>
      <c r="N36" s="6">
        <v>196</v>
      </c>
      <c r="O36" s="30">
        <f t="shared" si="4"/>
        <v>65</v>
      </c>
      <c r="P36" s="30">
        <f t="shared" si="5"/>
        <v>12740</v>
      </c>
      <c r="Q36" s="1">
        <f>COUNTIFS($P:$P, "&gt;" &amp; $P36) + 1</f>
        <v>1523</v>
      </c>
      <c r="R36" s="63">
        <f>(COUNTIFS($P:$P, "&gt;" &amp; $P36) + 1) / (COUNTA($I:$I) - 1)</f>
        <v>0.30459999999999998</v>
      </c>
      <c r="S36" s="23">
        <f>SUMIFS($P:$P, $Q:$Q, "&lt;" &amp; $Q36)</f>
        <v>175135863</v>
      </c>
    </row>
    <row r="37" spans="1:19" x14ac:dyDescent="0.25">
      <c r="A37" s="1">
        <v>32</v>
      </c>
      <c r="B37" s="1" t="s">
        <v>2</v>
      </c>
      <c r="C37" s="1" t="str">
        <f>IF($B37 = "Production Item", _xlfn.XLOOKUP($A37, 'Instrument Table'!$J:$J, 'Instrument Table'!$B:$B, $C36), IF($B37 = "Service Item", _xlfn.XLOOKUP($A37, 'Instrument Table'!$I:$I, 'Instrument Table'!$B:$B, $C36), _xlfn.XLOOKUP($A37, 'Instrument Table'!$H:$H, 'Instrument Table'!$B:$B, $C36)))</f>
        <v>Grand Piano</v>
      </c>
      <c r="D37" s="1" t="str">
        <f>VLOOKUP($C37, 'Instrument Table'!$B:$C, 2, FALSE)</f>
        <v>Pianos</v>
      </c>
      <c r="E37" s="1">
        <f t="shared" si="0"/>
        <v>1</v>
      </c>
      <c r="F37" s="1">
        <f>_xlfn.XLOOKUP($C37, 'Instrument Table'!$B:$B, 'Instrument Table'!$A:$A, "")</f>
        <v>10</v>
      </c>
      <c r="G37" s="1" t="str">
        <f>TEXT(IF($B37 = "Retail Item", IF((ROW($A37) - 4504 - _xlfn.XMATCH($C37, $C$4506:$C$5005, 0, 1)) &lt;= VLOOKUP($C37, 'Instrument Table'!$B:$D, 3, FALSE), ROW($A37) - 4504 - _xlfn.XMATCH($C37, $C$4506:$C$5005, 0, 1), 0), 0), "00")</f>
        <v>00</v>
      </c>
      <c r="H37" s="1" t="str">
        <f t="shared" si="1"/>
        <v>031</v>
      </c>
      <c r="I37" s="1" t="str">
        <f t="shared" si="2"/>
        <v>11000-031</v>
      </c>
      <c r="J37" s="1" t="str">
        <f t="shared" si="3"/>
        <v>Grand piano production item #031</v>
      </c>
      <c r="K37" s="1" t="str">
        <f>IF(SUM(COUNTIFS(I:I, I37)) &gt; 1, "DUPLICATE", "UNIQUE")</f>
        <v>UNIQUE</v>
      </c>
      <c r="L37" s="18">
        <v>0</v>
      </c>
      <c r="M37" s="28">
        <v>60</v>
      </c>
      <c r="N37" s="6">
        <v>121</v>
      </c>
      <c r="O37" s="30">
        <f t="shared" si="4"/>
        <v>0</v>
      </c>
      <c r="P37" s="30">
        <f t="shared" si="5"/>
        <v>7260</v>
      </c>
      <c r="Q37" s="1">
        <f>COUNTIFS($P:$P, "&gt;" &amp; $P37) + 1</f>
        <v>2103</v>
      </c>
      <c r="R37" s="63">
        <f>(COUNTIFS($P:$P, "&gt;" &amp; $P37) + 1) / (COUNTA($I:$I) - 1)</f>
        <v>0.42059999999999997</v>
      </c>
      <c r="S37" s="23">
        <f>SUMIFS($P:$P, $Q:$Q, "&lt;" &amp; $Q37)</f>
        <v>180780491</v>
      </c>
    </row>
    <row r="38" spans="1:19" x14ac:dyDescent="0.25">
      <c r="A38" s="1">
        <v>33</v>
      </c>
      <c r="B38" s="1" t="s">
        <v>2</v>
      </c>
      <c r="C38" s="1" t="str">
        <f>IF($B38 = "Production Item", _xlfn.XLOOKUP($A38, 'Instrument Table'!$J:$J, 'Instrument Table'!$B:$B, $C37), IF($B38 = "Service Item", _xlfn.XLOOKUP($A38, 'Instrument Table'!$I:$I, 'Instrument Table'!$B:$B, $C37), _xlfn.XLOOKUP($A38, 'Instrument Table'!$H:$H, 'Instrument Table'!$B:$B, $C37)))</f>
        <v>Grand Piano</v>
      </c>
      <c r="D38" s="1" t="str">
        <f>VLOOKUP($C38, 'Instrument Table'!$B:$C, 2, FALSE)</f>
        <v>Pianos</v>
      </c>
      <c r="E38" s="1">
        <f t="shared" si="0"/>
        <v>1</v>
      </c>
      <c r="F38" s="1">
        <f>_xlfn.XLOOKUP($C38, 'Instrument Table'!$B:$B, 'Instrument Table'!$A:$A, "")</f>
        <v>10</v>
      </c>
      <c r="G38" s="1" t="str">
        <f>TEXT(IF($B38 = "Retail Item", IF((ROW($A38) - 4504 - _xlfn.XMATCH($C38, $C$4506:$C$5005, 0, 1)) &lt;= VLOOKUP($C38, 'Instrument Table'!$B:$D, 3, FALSE), ROW($A38) - 4504 - _xlfn.XMATCH($C38, $C$4506:$C$5005, 0, 1), 0), 0), "00")</f>
        <v>00</v>
      </c>
      <c r="H38" s="1" t="str">
        <f t="shared" si="1"/>
        <v>032</v>
      </c>
      <c r="I38" s="1" t="str">
        <f t="shared" si="2"/>
        <v>11000-032</v>
      </c>
      <c r="J38" s="1" t="str">
        <f t="shared" si="3"/>
        <v>Grand piano production item #032</v>
      </c>
      <c r="K38" s="1" t="str">
        <f>IF(SUM(COUNTIFS(I:I, I38)) &gt; 1, "DUPLICATE", "UNIQUE")</f>
        <v>UNIQUE</v>
      </c>
      <c r="L38" s="18">
        <v>1</v>
      </c>
      <c r="M38" s="28">
        <v>8</v>
      </c>
      <c r="N38" s="6">
        <v>4</v>
      </c>
      <c r="O38" s="30">
        <f t="shared" si="4"/>
        <v>8</v>
      </c>
      <c r="P38" s="30">
        <f t="shared" si="5"/>
        <v>32</v>
      </c>
      <c r="Q38" s="1">
        <f>COUNTIFS($P:$P, "&gt;" &amp; $P38) + 1</f>
        <v>4658</v>
      </c>
      <c r="R38" s="63">
        <f>(COUNTIFS($P:$P, "&gt;" &amp; $P38) + 1) / (COUNTA($I:$I) - 1)</f>
        <v>0.93159999999999998</v>
      </c>
      <c r="S38" s="23">
        <f>SUMIFS($P:$P, $Q:$Q, "&lt;" &amp; $Q38)</f>
        <v>186546308</v>
      </c>
    </row>
    <row r="39" spans="1:19" x14ac:dyDescent="0.25">
      <c r="A39" s="1">
        <v>34</v>
      </c>
      <c r="B39" s="1" t="s">
        <v>2</v>
      </c>
      <c r="C39" s="1" t="str">
        <f>IF($B39 = "Production Item", _xlfn.XLOOKUP($A39, 'Instrument Table'!$J:$J, 'Instrument Table'!$B:$B, $C38), IF($B39 = "Service Item", _xlfn.XLOOKUP($A39, 'Instrument Table'!$I:$I, 'Instrument Table'!$B:$B, $C38), _xlfn.XLOOKUP($A39, 'Instrument Table'!$H:$H, 'Instrument Table'!$B:$B, $C38)))</f>
        <v>Grand Piano</v>
      </c>
      <c r="D39" s="1" t="str">
        <f>VLOOKUP($C39, 'Instrument Table'!$B:$C, 2, FALSE)</f>
        <v>Pianos</v>
      </c>
      <c r="E39" s="1">
        <f t="shared" si="0"/>
        <v>1</v>
      </c>
      <c r="F39" s="1">
        <f>_xlfn.XLOOKUP($C39, 'Instrument Table'!$B:$B, 'Instrument Table'!$A:$A, "")</f>
        <v>10</v>
      </c>
      <c r="G39" s="1" t="str">
        <f>TEXT(IF($B39 = "Retail Item", IF((ROW($A39) - 4504 - _xlfn.XMATCH($C39, $C$4506:$C$5005, 0, 1)) &lt;= VLOOKUP($C39, 'Instrument Table'!$B:$D, 3, FALSE), ROW($A39) - 4504 - _xlfn.XMATCH($C39, $C$4506:$C$5005, 0, 1), 0), 0), "00")</f>
        <v>00</v>
      </c>
      <c r="H39" s="1" t="str">
        <f t="shared" si="1"/>
        <v>033</v>
      </c>
      <c r="I39" s="1" t="str">
        <f t="shared" si="2"/>
        <v>11000-033</v>
      </c>
      <c r="J39" s="1" t="str">
        <f t="shared" si="3"/>
        <v>Grand piano production item #033</v>
      </c>
      <c r="K39" s="1" t="str">
        <f>IF(SUM(COUNTIFS(I:I, I39)) &gt; 1, "DUPLICATE", "UNIQUE")</f>
        <v>UNIQUE</v>
      </c>
      <c r="L39" s="18">
        <v>1</v>
      </c>
      <c r="M39" s="28">
        <v>91</v>
      </c>
      <c r="N39" s="6">
        <v>400</v>
      </c>
      <c r="O39" s="30">
        <f t="shared" si="4"/>
        <v>91</v>
      </c>
      <c r="P39" s="30">
        <f t="shared" si="5"/>
        <v>36400</v>
      </c>
      <c r="Q39" s="1">
        <f>COUNTIFS($P:$P, "&gt;" &amp; $P39) + 1</f>
        <v>585</v>
      </c>
      <c r="R39" s="63">
        <f>(COUNTIFS($P:$P, "&gt;" &amp; $P39) + 1) / (COUNTA($I:$I) - 1)</f>
        <v>0.11700000000000001</v>
      </c>
      <c r="S39" s="23">
        <f>SUMIFS($P:$P, $Q:$Q, "&lt;" &amp; $Q39)</f>
        <v>155331709</v>
      </c>
    </row>
    <row r="40" spans="1:19" x14ac:dyDescent="0.25">
      <c r="A40" s="1">
        <v>35</v>
      </c>
      <c r="B40" s="1" t="s">
        <v>2</v>
      </c>
      <c r="C40" s="1" t="str">
        <f>IF($B40 = "Production Item", _xlfn.XLOOKUP($A40, 'Instrument Table'!$J:$J, 'Instrument Table'!$B:$B, $C39), IF($B40 = "Service Item", _xlfn.XLOOKUP($A40, 'Instrument Table'!$I:$I, 'Instrument Table'!$B:$B, $C39), _xlfn.XLOOKUP($A40, 'Instrument Table'!$H:$H, 'Instrument Table'!$B:$B, $C39)))</f>
        <v>Grand Piano</v>
      </c>
      <c r="D40" s="1" t="str">
        <f>VLOOKUP($C40, 'Instrument Table'!$B:$C, 2, FALSE)</f>
        <v>Pianos</v>
      </c>
      <c r="E40" s="1">
        <f t="shared" si="0"/>
        <v>1</v>
      </c>
      <c r="F40" s="1">
        <f>_xlfn.XLOOKUP($C40, 'Instrument Table'!$B:$B, 'Instrument Table'!$A:$A, "")</f>
        <v>10</v>
      </c>
      <c r="G40" s="1" t="str">
        <f>TEXT(IF($B40 = "Retail Item", IF((ROW($A40) - 4504 - _xlfn.XMATCH($C40, $C$4506:$C$5005, 0, 1)) &lt;= VLOOKUP($C40, 'Instrument Table'!$B:$D, 3, FALSE), ROW($A40) - 4504 - _xlfn.XMATCH($C40, $C$4506:$C$5005, 0, 1), 0), 0), "00")</f>
        <v>00</v>
      </c>
      <c r="H40" s="1" t="str">
        <f t="shared" si="1"/>
        <v>034</v>
      </c>
      <c r="I40" s="1" t="str">
        <f t="shared" si="2"/>
        <v>11000-034</v>
      </c>
      <c r="J40" s="1" t="str">
        <f t="shared" si="3"/>
        <v>Grand piano production item #034</v>
      </c>
      <c r="K40" s="1" t="str">
        <f>IF(SUM(COUNTIFS(I:I, I40)) &gt; 1, "DUPLICATE", "UNIQUE")</f>
        <v>UNIQUE</v>
      </c>
      <c r="L40" s="18">
        <v>32</v>
      </c>
      <c r="M40" s="28">
        <v>71</v>
      </c>
      <c r="N40" s="6">
        <v>36</v>
      </c>
      <c r="O40" s="30">
        <f t="shared" si="4"/>
        <v>2272</v>
      </c>
      <c r="P40" s="30">
        <f t="shared" si="5"/>
        <v>2556</v>
      </c>
      <c r="Q40" s="1">
        <f>COUNTIFS($P:$P, "&gt;" &amp; $P40) + 1</f>
        <v>3030</v>
      </c>
      <c r="R40" s="63">
        <f>(COUNTIFS($P:$P, "&gt;" &amp; $P40) + 1) / (COUNTA($I:$I) - 1)</f>
        <v>0.60599999999999998</v>
      </c>
      <c r="S40" s="23">
        <f>SUMIFS($P:$P, $Q:$Q, "&lt;" &amp; $Q40)</f>
        <v>185009938</v>
      </c>
    </row>
    <row r="41" spans="1:19" x14ac:dyDescent="0.25">
      <c r="A41" s="1">
        <v>36</v>
      </c>
      <c r="B41" s="1" t="s">
        <v>2</v>
      </c>
      <c r="C41" s="1" t="str">
        <f>IF($B41 = "Production Item", _xlfn.XLOOKUP($A41, 'Instrument Table'!$J:$J, 'Instrument Table'!$B:$B, $C40), IF($B41 = "Service Item", _xlfn.XLOOKUP($A41, 'Instrument Table'!$I:$I, 'Instrument Table'!$B:$B, $C40), _xlfn.XLOOKUP($A41, 'Instrument Table'!$H:$H, 'Instrument Table'!$B:$B, $C40)))</f>
        <v>Grand Piano</v>
      </c>
      <c r="D41" s="1" t="str">
        <f>VLOOKUP($C41, 'Instrument Table'!$B:$C, 2, FALSE)</f>
        <v>Pianos</v>
      </c>
      <c r="E41" s="1">
        <f t="shared" si="0"/>
        <v>1</v>
      </c>
      <c r="F41" s="1">
        <f>_xlfn.XLOOKUP($C41, 'Instrument Table'!$B:$B, 'Instrument Table'!$A:$A, "")</f>
        <v>10</v>
      </c>
      <c r="G41" s="1" t="str">
        <f>TEXT(IF($B41 = "Retail Item", IF((ROW($A41) - 4504 - _xlfn.XMATCH($C41, $C$4506:$C$5005, 0, 1)) &lt;= VLOOKUP($C41, 'Instrument Table'!$B:$D, 3, FALSE), ROW($A41) - 4504 - _xlfn.XMATCH($C41, $C$4506:$C$5005, 0, 1), 0), 0), "00")</f>
        <v>00</v>
      </c>
      <c r="H41" s="1" t="str">
        <f t="shared" si="1"/>
        <v>035</v>
      </c>
      <c r="I41" s="1" t="str">
        <f t="shared" si="2"/>
        <v>11000-035</v>
      </c>
      <c r="J41" s="1" t="str">
        <f t="shared" si="3"/>
        <v>Grand piano production item #035</v>
      </c>
      <c r="K41" s="1" t="str">
        <f>IF(SUM(COUNTIFS(I:I, I41)) &gt; 1, "DUPLICATE", "UNIQUE")</f>
        <v>UNIQUE</v>
      </c>
      <c r="L41" s="18">
        <v>0</v>
      </c>
      <c r="M41" s="28">
        <v>38</v>
      </c>
      <c r="N41" s="6">
        <v>144</v>
      </c>
      <c r="O41" s="30">
        <f t="shared" si="4"/>
        <v>0</v>
      </c>
      <c r="P41" s="30">
        <f t="shared" si="5"/>
        <v>5472</v>
      </c>
      <c r="Q41" s="1">
        <f>COUNTIFS($P:$P, "&gt;" &amp; $P41) + 1</f>
        <v>2358</v>
      </c>
      <c r="R41" s="63">
        <f>(COUNTIFS($P:$P, "&gt;" &amp; $P41) + 1) / (COUNTA($I:$I) - 1)</f>
        <v>0.47160000000000002</v>
      </c>
      <c r="S41" s="23">
        <f>SUMIFS($P:$P, $Q:$Q, "&lt;" &amp; $Q41)</f>
        <v>182391519</v>
      </c>
    </row>
    <row r="42" spans="1:19" x14ac:dyDescent="0.25">
      <c r="A42" s="1">
        <v>37</v>
      </c>
      <c r="B42" s="1" t="s">
        <v>2</v>
      </c>
      <c r="C42" s="1" t="str">
        <f>IF($B42 = "Production Item", _xlfn.XLOOKUP($A42, 'Instrument Table'!$J:$J, 'Instrument Table'!$B:$B, $C41), IF($B42 = "Service Item", _xlfn.XLOOKUP($A42, 'Instrument Table'!$I:$I, 'Instrument Table'!$B:$B, $C41), _xlfn.XLOOKUP($A42, 'Instrument Table'!$H:$H, 'Instrument Table'!$B:$B, $C41)))</f>
        <v>Grand Piano</v>
      </c>
      <c r="D42" s="1" t="str">
        <f>VLOOKUP($C42, 'Instrument Table'!$B:$C, 2, FALSE)</f>
        <v>Pianos</v>
      </c>
      <c r="E42" s="1">
        <f t="shared" si="0"/>
        <v>1</v>
      </c>
      <c r="F42" s="1">
        <f>_xlfn.XLOOKUP($C42, 'Instrument Table'!$B:$B, 'Instrument Table'!$A:$A, "")</f>
        <v>10</v>
      </c>
      <c r="G42" s="1" t="str">
        <f>TEXT(IF($B42 = "Retail Item", IF((ROW($A42) - 4504 - _xlfn.XMATCH($C42, $C$4506:$C$5005, 0, 1)) &lt;= VLOOKUP($C42, 'Instrument Table'!$B:$D, 3, FALSE), ROW($A42) - 4504 - _xlfn.XMATCH($C42, $C$4506:$C$5005, 0, 1), 0), 0), "00")</f>
        <v>00</v>
      </c>
      <c r="H42" s="1" t="str">
        <f t="shared" si="1"/>
        <v>036</v>
      </c>
      <c r="I42" s="1" t="str">
        <f t="shared" si="2"/>
        <v>11000-036</v>
      </c>
      <c r="J42" s="1" t="str">
        <f t="shared" si="3"/>
        <v>Grand piano production item #036</v>
      </c>
      <c r="K42" s="1" t="str">
        <f>IF(SUM(COUNTIFS(I:I, I42)) &gt; 1, "DUPLICATE", "UNIQUE")</f>
        <v>UNIQUE</v>
      </c>
      <c r="L42" s="18">
        <v>32</v>
      </c>
      <c r="M42" s="28">
        <v>36</v>
      </c>
      <c r="N42" s="6">
        <v>144</v>
      </c>
      <c r="O42" s="30">
        <f t="shared" si="4"/>
        <v>1152</v>
      </c>
      <c r="P42" s="30">
        <f t="shared" si="5"/>
        <v>5184</v>
      </c>
      <c r="Q42" s="1">
        <f>COUNTIFS($P:$P, "&gt;" &amp; $P42) + 1</f>
        <v>2412</v>
      </c>
      <c r="R42" s="63">
        <f>(COUNTIFS($P:$P, "&gt;" &amp; $P42) + 1) / (COUNTA($I:$I) - 1)</f>
        <v>0.4824</v>
      </c>
      <c r="S42" s="23">
        <f>SUMIFS($P:$P, $Q:$Q, "&lt;" &amp; $Q42)</f>
        <v>182678928</v>
      </c>
    </row>
    <row r="43" spans="1:19" x14ac:dyDescent="0.25">
      <c r="A43" s="1">
        <v>38</v>
      </c>
      <c r="B43" s="1" t="s">
        <v>2</v>
      </c>
      <c r="C43" s="1" t="str">
        <f>IF($B43 = "Production Item", _xlfn.XLOOKUP($A43, 'Instrument Table'!$J:$J, 'Instrument Table'!$B:$B, $C42), IF($B43 = "Service Item", _xlfn.XLOOKUP($A43, 'Instrument Table'!$I:$I, 'Instrument Table'!$B:$B, $C42), _xlfn.XLOOKUP($A43, 'Instrument Table'!$H:$H, 'Instrument Table'!$B:$B, $C42)))</f>
        <v>Grand Piano</v>
      </c>
      <c r="D43" s="1" t="str">
        <f>VLOOKUP($C43, 'Instrument Table'!$B:$C, 2, FALSE)</f>
        <v>Pianos</v>
      </c>
      <c r="E43" s="1">
        <f t="shared" si="0"/>
        <v>1</v>
      </c>
      <c r="F43" s="1">
        <f>_xlfn.XLOOKUP($C43, 'Instrument Table'!$B:$B, 'Instrument Table'!$A:$A, "")</f>
        <v>10</v>
      </c>
      <c r="G43" s="1" t="str">
        <f>TEXT(IF($B43 = "Retail Item", IF((ROW($A43) - 4504 - _xlfn.XMATCH($C43, $C$4506:$C$5005, 0, 1)) &lt;= VLOOKUP($C43, 'Instrument Table'!$B:$D, 3, FALSE), ROW($A43) - 4504 - _xlfn.XMATCH($C43, $C$4506:$C$5005, 0, 1), 0), 0), "00")</f>
        <v>00</v>
      </c>
      <c r="H43" s="1" t="str">
        <f t="shared" si="1"/>
        <v>037</v>
      </c>
      <c r="I43" s="1" t="str">
        <f t="shared" si="2"/>
        <v>11000-037</v>
      </c>
      <c r="J43" s="1" t="str">
        <f t="shared" si="3"/>
        <v>Grand piano production item #037</v>
      </c>
      <c r="K43" s="1" t="str">
        <f>IF(SUM(COUNTIFS(I:I, I43)) &gt; 1, "DUPLICATE", "UNIQUE")</f>
        <v>UNIQUE</v>
      </c>
      <c r="L43" s="18">
        <v>16</v>
      </c>
      <c r="M43" s="28">
        <v>74</v>
      </c>
      <c r="N43" s="6">
        <v>81</v>
      </c>
      <c r="O43" s="30">
        <f t="shared" si="4"/>
        <v>1184</v>
      </c>
      <c r="P43" s="30">
        <f t="shared" si="5"/>
        <v>5994</v>
      </c>
      <c r="Q43" s="1">
        <f>COUNTIFS($P:$P, "&gt;" &amp; $P43) + 1</f>
        <v>2270</v>
      </c>
      <c r="R43" s="63">
        <f>(COUNTIFS($P:$P, "&gt;" &amp; $P43) + 1) / (COUNTA($I:$I) - 1)</f>
        <v>0.45400000000000001</v>
      </c>
      <c r="S43" s="23">
        <f>SUMIFS($P:$P, $Q:$Q, "&lt;" &amp; $Q43)</f>
        <v>181887858</v>
      </c>
    </row>
    <row r="44" spans="1:19" x14ac:dyDescent="0.25">
      <c r="A44" s="1">
        <v>39</v>
      </c>
      <c r="B44" s="1" t="s">
        <v>2</v>
      </c>
      <c r="C44" s="1" t="str">
        <f>IF($B44 = "Production Item", _xlfn.XLOOKUP($A44, 'Instrument Table'!$J:$J, 'Instrument Table'!$B:$B, $C43), IF($B44 = "Service Item", _xlfn.XLOOKUP($A44, 'Instrument Table'!$I:$I, 'Instrument Table'!$B:$B, $C43), _xlfn.XLOOKUP($A44, 'Instrument Table'!$H:$H, 'Instrument Table'!$B:$B, $C43)))</f>
        <v>Grand Piano</v>
      </c>
      <c r="D44" s="1" t="str">
        <f>VLOOKUP($C44, 'Instrument Table'!$B:$C, 2, FALSE)</f>
        <v>Pianos</v>
      </c>
      <c r="E44" s="1">
        <f t="shared" si="0"/>
        <v>1</v>
      </c>
      <c r="F44" s="1">
        <f>_xlfn.XLOOKUP($C44, 'Instrument Table'!$B:$B, 'Instrument Table'!$A:$A, "")</f>
        <v>10</v>
      </c>
      <c r="G44" s="1" t="str">
        <f>TEXT(IF($B44 = "Retail Item", IF((ROW($A44) - 4504 - _xlfn.XMATCH($C44, $C$4506:$C$5005, 0, 1)) &lt;= VLOOKUP($C44, 'Instrument Table'!$B:$D, 3, FALSE), ROW($A44) - 4504 - _xlfn.XMATCH($C44, $C$4506:$C$5005, 0, 1), 0), 0), "00")</f>
        <v>00</v>
      </c>
      <c r="H44" s="1" t="str">
        <f t="shared" si="1"/>
        <v>038</v>
      </c>
      <c r="I44" s="1" t="str">
        <f t="shared" si="2"/>
        <v>11000-038</v>
      </c>
      <c r="J44" s="1" t="str">
        <f t="shared" si="3"/>
        <v>Grand piano production item #038</v>
      </c>
      <c r="K44" s="1" t="str">
        <f>IF(SUM(COUNTIFS(I:I, I44)) &gt; 1, "DUPLICATE", "UNIQUE")</f>
        <v>UNIQUE</v>
      </c>
      <c r="L44" s="18">
        <v>1</v>
      </c>
      <c r="M44" s="28">
        <v>77</v>
      </c>
      <c r="N44" s="6">
        <v>16</v>
      </c>
      <c r="O44" s="30">
        <f t="shared" si="4"/>
        <v>77</v>
      </c>
      <c r="P44" s="30">
        <f t="shared" si="5"/>
        <v>1232</v>
      </c>
      <c r="Q44" s="1">
        <f>COUNTIFS($P:$P, "&gt;" &amp; $P44) + 1</f>
        <v>3587</v>
      </c>
      <c r="R44" s="63">
        <f>(COUNTIFS($P:$P, "&gt;" &amp; $P44) + 1) / (COUNTA($I:$I) - 1)</f>
        <v>0.71740000000000004</v>
      </c>
      <c r="S44" s="23">
        <f>SUMIFS($P:$P, $Q:$Q, "&lt;" &amp; $Q44)</f>
        <v>186053876</v>
      </c>
    </row>
    <row r="45" spans="1:19" x14ac:dyDescent="0.25">
      <c r="A45" s="1">
        <v>40</v>
      </c>
      <c r="B45" s="1" t="s">
        <v>2</v>
      </c>
      <c r="C45" s="1" t="str">
        <f>IF($B45 = "Production Item", _xlfn.XLOOKUP($A45, 'Instrument Table'!$J:$J, 'Instrument Table'!$B:$B, $C44), IF($B45 = "Service Item", _xlfn.XLOOKUP($A45, 'Instrument Table'!$I:$I, 'Instrument Table'!$B:$B, $C44), _xlfn.XLOOKUP($A45, 'Instrument Table'!$H:$H, 'Instrument Table'!$B:$B, $C44)))</f>
        <v>Grand Piano</v>
      </c>
      <c r="D45" s="1" t="str">
        <f>VLOOKUP($C45, 'Instrument Table'!$B:$C, 2, FALSE)</f>
        <v>Pianos</v>
      </c>
      <c r="E45" s="1">
        <f t="shared" si="0"/>
        <v>1</v>
      </c>
      <c r="F45" s="1">
        <f>_xlfn.XLOOKUP($C45, 'Instrument Table'!$B:$B, 'Instrument Table'!$A:$A, "")</f>
        <v>10</v>
      </c>
      <c r="G45" s="1" t="str">
        <f>TEXT(IF($B45 = "Retail Item", IF((ROW($A45) - 4504 - _xlfn.XMATCH($C45, $C$4506:$C$5005, 0, 1)) &lt;= VLOOKUP($C45, 'Instrument Table'!$B:$D, 3, FALSE), ROW($A45) - 4504 - _xlfn.XMATCH($C45, $C$4506:$C$5005, 0, 1), 0), 0), "00")</f>
        <v>00</v>
      </c>
      <c r="H45" s="1" t="str">
        <f t="shared" si="1"/>
        <v>039</v>
      </c>
      <c r="I45" s="1" t="str">
        <f t="shared" si="2"/>
        <v>11000-039</v>
      </c>
      <c r="J45" s="1" t="str">
        <f t="shared" si="3"/>
        <v>Grand piano production item #039</v>
      </c>
      <c r="K45" s="1" t="str">
        <f>IF(SUM(COUNTIFS(I:I, I45)) &gt; 1, "DUPLICATE", "UNIQUE")</f>
        <v>UNIQUE</v>
      </c>
      <c r="L45" s="18">
        <v>0</v>
      </c>
      <c r="M45" s="28">
        <v>9</v>
      </c>
      <c r="N45" s="6">
        <v>324</v>
      </c>
      <c r="O45" s="30">
        <f t="shared" si="4"/>
        <v>0</v>
      </c>
      <c r="P45" s="30">
        <f t="shared" si="5"/>
        <v>2916</v>
      </c>
      <c r="Q45" s="1">
        <f>COUNTIFS($P:$P, "&gt;" &amp; $P45) + 1</f>
        <v>2925</v>
      </c>
      <c r="R45" s="63">
        <f>(COUNTIFS($P:$P, "&gt;" &amp; $P45) + 1) / (COUNTA($I:$I) - 1)</f>
        <v>0.58499999999999996</v>
      </c>
      <c r="S45" s="23">
        <f>SUMIFS($P:$P, $Q:$Q, "&lt;" &amp; $Q45)</f>
        <v>184722737</v>
      </c>
    </row>
    <row r="46" spans="1:19" x14ac:dyDescent="0.25">
      <c r="A46" s="1">
        <v>41</v>
      </c>
      <c r="B46" s="1" t="s">
        <v>2</v>
      </c>
      <c r="C46" s="1" t="str">
        <f>IF($B46 = "Production Item", _xlfn.XLOOKUP($A46, 'Instrument Table'!$J:$J, 'Instrument Table'!$B:$B, $C45), IF($B46 = "Service Item", _xlfn.XLOOKUP($A46, 'Instrument Table'!$I:$I, 'Instrument Table'!$B:$B, $C45), _xlfn.XLOOKUP($A46, 'Instrument Table'!$H:$H, 'Instrument Table'!$B:$B, $C45)))</f>
        <v>Grand Piano</v>
      </c>
      <c r="D46" s="1" t="str">
        <f>VLOOKUP($C46, 'Instrument Table'!$B:$C, 2, FALSE)</f>
        <v>Pianos</v>
      </c>
      <c r="E46" s="1">
        <f t="shared" si="0"/>
        <v>1</v>
      </c>
      <c r="F46" s="1">
        <f>_xlfn.XLOOKUP($C46, 'Instrument Table'!$B:$B, 'Instrument Table'!$A:$A, "")</f>
        <v>10</v>
      </c>
      <c r="G46" s="1" t="str">
        <f>TEXT(IF($B46 = "Retail Item", IF((ROW($A46) - 4504 - _xlfn.XMATCH($C46, $C$4506:$C$5005, 0, 1)) &lt;= VLOOKUP($C46, 'Instrument Table'!$B:$D, 3, FALSE), ROW($A46) - 4504 - _xlfn.XMATCH($C46, $C$4506:$C$5005, 0, 1), 0), 0), "00")</f>
        <v>00</v>
      </c>
      <c r="H46" s="1" t="str">
        <f t="shared" si="1"/>
        <v>040</v>
      </c>
      <c r="I46" s="1" t="str">
        <f t="shared" si="2"/>
        <v>11000-040</v>
      </c>
      <c r="J46" s="1" t="str">
        <f t="shared" si="3"/>
        <v>Grand piano production item #040</v>
      </c>
      <c r="K46" s="1" t="str">
        <f>IF(SUM(COUNTIFS(I:I, I46)) &gt; 1, "DUPLICATE", "UNIQUE")</f>
        <v>UNIQUE</v>
      </c>
      <c r="L46" s="18">
        <v>1</v>
      </c>
      <c r="M46" s="28">
        <v>40</v>
      </c>
      <c r="N46" s="6">
        <v>100</v>
      </c>
      <c r="O46" s="30">
        <f t="shared" si="4"/>
        <v>40</v>
      </c>
      <c r="P46" s="30">
        <f t="shared" si="5"/>
        <v>4000</v>
      </c>
      <c r="Q46" s="1">
        <f>COUNTIFS($P:$P, "&gt;" &amp; $P46) + 1</f>
        <v>2654</v>
      </c>
      <c r="R46" s="63">
        <f>(COUNTIFS($P:$P, "&gt;" &amp; $P46) + 1) / (COUNTA($I:$I) - 1)</f>
        <v>0.53080000000000005</v>
      </c>
      <c r="S46" s="23">
        <f>SUMIFS($P:$P, $Q:$Q, "&lt;" &amp; $Q46)</f>
        <v>183787076</v>
      </c>
    </row>
    <row r="47" spans="1:19" x14ac:dyDescent="0.25">
      <c r="A47" s="1">
        <v>42</v>
      </c>
      <c r="B47" s="1" t="s">
        <v>2</v>
      </c>
      <c r="C47" s="1" t="str">
        <f>IF($B47 = "Production Item", _xlfn.XLOOKUP($A47, 'Instrument Table'!$J:$J, 'Instrument Table'!$B:$B, $C46), IF($B47 = "Service Item", _xlfn.XLOOKUP($A47, 'Instrument Table'!$I:$I, 'Instrument Table'!$B:$B, $C46), _xlfn.XLOOKUP($A47, 'Instrument Table'!$H:$H, 'Instrument Table'!$B:$B, $C46)))</f>
        <v>Grand Piano</v>
      </c>
      <c r="D47" s="1" t="str">
        <f>VLOOKUP($C47, 'Instrument Table'!$B:$C, 2, FALSE)</f>
        <v>Pianos</v>
      </c>
      <c r="E47" s="1">
        <f t="shared" si="0"/>
        <v>1</v>
      </c>
      <c r="F47" s="1">
        <f>_xlfn.XLOOKUP($C47, 'Instrument Table'!$B:$B, 'Instrument Table'!$A:$A, "")</f>
        <v>10</v>
      </c>
      <c r="G47" s="1" t="str">
        <f>TEXT(IF($B47 = "Retail Item", IF((ROW($A47) - 4504 - _xlfn.XMATCH($C47, $C$4506:$C$5005, 0, 1)) &lt;= VLOOKUP($C47, 'Instrument Table'!$B:$D, 3, FALSE), ROW($A47) - 4504 - _xlfn.XMATCH($C47, $C$4506:$C$5005, 0, 1), 0), 0), "00")</f>
        <v>00</v>
      </c>
      <c r="H47" s="1" t="str">
        <f t="shared" si="1"/>
        <v>041</v>
      </c>
      <c r="I47" s="1" t="str">
        <f t="shared" si="2"/>
        <v>11000-041</v>
      </c>
      <c r="J47" s="1" t="str">
        <f t="shared" si="3"/>
        <v>Grand piano production item #041</v>
      </c>
      <c r="K47" s="1" t="str">
        <f>IF(SUM(COUNTIFS(I:I, I47)) &gt; 1, "DUPLICATE", "UNIQUE")</f>
        <v>UNIQUE</v>
      </c>
      <c r="L47" s="18">
        <v>1</v>
      </c>
      <c r="M47" s="28">
        <v>13</v>
      </c>
      <c r="N47" s="6">
        <v>324</v>
      </c>
      <c r="O47" s="30">
        <f t="shared" si="4"/>
        <v>13</v>
      </c>
      <c r="P47" s="30">
        <f t="shared" si="5"/>
        <v>4212</v>
      </c>
      <c r="Q47" s="1">
        <f>COUNTIFS($P:$P, "&gt;" &amp; $P47) + 1</f>
        <v>2613</v>
      </c>
      <c r="R47" s="63">
        <f>(COUNTIFS($P:$P, "&gt;" &amp; $P47) + 1) / (COUNTA($I:$I) - 1)</f>
        <v>0.52259999999999995</v>
      </c>
      <c r="S47" s="23">
        <f>SUMIFS($P:$P, $Q:$Q, "&lt;" &amp; $Q47)</f>
        <v>183618325</v>
      </c>
    </row>
    <row r="48" spans="1:19" x14ac:dyDescent="0.25">
      <c r="A48" s="1">
        <v>43</v>
      </c>
      <c r="B48" s="1" t="s">
        <v>2</v>
      </c>
      <c r="C48" s="1" t="str">
        <f>IF($B48 = "Production Item", _xlfn.XLOOKUP($A48, 'Instrument Table'!$J:$J, 'Instrument Table'!$B:$B, $C47), IF($B48 = "Service Item", _xlfn.XLOOKUP($A48, 'Instrument Table'!$I:$I, 'Instrument Table'!$B:$B, $C47), _xlfn.XLOOKUP($A48, 'Instrument Table'!$H:$H, 'Instrument Table'!$B:$B, $C47)))</f>
        <v>Grand Piano</v>
      </c>
      <c r="D48" s="1" t="str">
        <f>VLOOKUP($C48, 'Instrument Table'!$B:$C, 2, FALSE)</f>
        <v>Pianos</v>
      </c>
      <c r="E48" s="1">
        <f t="shared" si="0"/>
        <v>1</v>
      </c>
      <c r="F48" s="1">
        <f>_xlfn.XLOOKUP($C48, 'Instrument Table'!$B:$B, 'Instrument Table'!$A:$A, "")</f>
        <v>10</v>
      </c>
      <c r="G48" s="1" t="str">
        <f>TEXT(IF($B48 = "Retail Item", IF((ROW($A48) - 4504 - _xlfn.XMATCH($C48, $C$4506:$C$5005, 0, 1)) &lt;= VLOOKUP($C48, 'Instrument Table'!$B:$D, 3, FALSE), ROW($A48) - 4504 - _xlfn.XMATCH($C48, $C$4506:$C$5005, 0, 1), 0), 0), "00")</f>
        <v>00</v>
      </c>
      <c r="H48" s="1" t="str">
        <f t="shared" si="1"/>
        <v>042</v>
      </c>
      <c r="I48" s="1" t="str">
        <f t="shared" si="2"/>
        <v>11000-042</v>
      </c>
      <c r="J48" s="1" t="str">
        <f t="shared" si="3"/>
        <v>Grand piano production item #042</v>
      </c>
      <c r="K48" s="1" t="str">
        <f>IF(SUM(COUNTIFS(I:I, I48)) &gt; 1, "DUPLICATE", "UNIQUE")</f>
        <v>UNIQUE</v>
      </c>
      <c r="L48" s="18">
        <v>4</v>
      </c>
      <c r="M48" s="28">
        <v>75</v>
      </c>
      <c r="N48" s="6">
        <v>256</v>
      </c>
      <c r="O48" s="30">
        <f t="shared" si="4"/>
        <v>300</v>
      </c>
      <c r="P48" s="30">
        <f t="shared" si="5"/>
        <v>19200</v>
      </c>
      <c r="Q48" s="1">
        <f>COUNTIFS($P:$P, "&gt;" &amp; $P48) + 1</f>
        <v>1090</v>
      </c>
      <c r="R48" s="63">
        <f>(COUNTIFS($P:$P, "&gt;" &amp; $P48) + 1) / (COUNTA($I:$I) - 1)</f>
        <v>0.218</v>
      </c>
      <c r="S48" s="23">
        <f>SUMIFS($P:$P, $Q:$Q, "&lt;" &amp; $Q48)</f>
        <v>168312341</v>
      </c>
    </row>
    <row r="49" spans="1:19" x14ac:dyDescent="0.25">
      <c r="A49" s="1">
        <v>44</v>
      </c>
      <c r="B49" s="1" t="s">
        <v>2</v>
      </c>
      <c r="C49" s="1" t="str">
        <f>IF($B49 = "Production Item", _xlfn.XLOOKUP($A49, 'Instrument Table'!$J:$J, 'Instrument Table'!$B:$B, $C48), IF($B49 = "Service Item", _xlfn.XLOOKUP($A49, 'Instrument Table'!$I:$I, 'Instrument Table'!$B:$B, $C48), _xlfn.XLOOKUP($A49, 'Instrument Table'!$H:$H, 'Instrument Table'!$B:$B, $C48)))</f>
        <v>Grand Piano</v>
      </c>
      <c r="D49" s="1" t="str">
        <f>VLOOKUP($C49, 'Instrument Table'!$B:$C, 2, FALSE)</f>
        <v>Pianos</v>
      </c>
      <c r="E49" s="1">
        <f t="shared" si="0"/>
        <v>1</v>
      </c>
      <c r="F49" s="1">
        <f>_xlfn.XLOOKUP($C49, 'Instrument Table'!$B:$B, 'Instrument Table'!$A:$A, "")</f>
        <v>10</v>
      </c>
      <c r="G49" s="1" t="str">
        <f>TEXT(IF($B49 = "Retail Item", IF((ROW($A49) - 4504 - _xlfn.XMATCH($C49, $C$4506:$C$5005, 0, 1)) &lt;= VLOOKUP($C49, 'Instrument Table'!$B:$D, 3, FALSE), ROW($A49) - 4504 - _xlfn.XMATCH($C49, $C$4506:$C$5005, 0, 1), 0), 0), "00")</f>
        <v>00</v>
      </c>
      <c r="H49" s="1" t="str">
        <f t="shared" si="1"/>
        <v>043</v>
      </c>
      <c r="I49" s="1" t="str">
        <f t="shared" si="2"/>
        <v>11000-043</v>
      </c>
      <c r="J49" s="1" t="str">
        <f t="shared" si="3"/>
        <v>Grand piano production item #043</v>
      </c>
      <c r="K49" s="1" t="str">
        <f>IF(SUM(COUNTIFS(I:I, I49)) &gt; 1, "DUPLICATE", "UNIQUE")</f>
        <v>UNIQUE</v>
      </c>
      <c r="L49" s="18">
        <v>4</v>
      </c>
      <c r="M49" s="28">
        <v>64</v>
      </c>
      <c r="N49" s="6">
        <v>289</v>
      </c>
      <c r="O49" s="30">
        <f t="shared" si="4"/>
        <v>256</v>
      </c>
      <c r="P49" s="30">
        <f t="shared" si="5"/>
        <v>18496</v>
      </c>
      <c r="Q49" s="1">
        <f>COUNTIFS($P:$P, "&gt;" &amp; $P49) + 1</f>
        <v>1129</v>
      </c>
      <c r="R49" s="63">
        <f>(COUNTIFS($P:$P, "&gt;" &amp; $P49) + 1) / (COUNTA($I:$I) - 1)</f>
        <v>0.2258</v>
      </c>
      <c r="S49" s="23">
        <f>SUMIFS($P:$P, $Q:$Q, "&lt;" &amp; $Q49)</f>
        <v>169049615</v>
      </c>
    </row>
    <row r="50" spans="1:19" x14ac:dyDescent="0.25">
      <c r="A50" s="1">
        <v>45</v>
      </c>
      <c r="B50" s="1" t="s">
        <v>2</v>
      </c>
      <c r="C50" s="1" t="str">
        <f>IF($B50 = "Production Item", _xlfn.XLOOKUP($A50, 'Instrument Table'!$J:$J, 'Instrument Table'!$B:$B, $C49), IF($B50 = "Service Item", _xlfn.XLOOKUP($A50, 'Instrument Table'!$I:$I, 'Instrument Table'!$B:$B, $C49), _xlfn.XLOOKUP($A50, 'Instrument Table'!$H:$H, 'Instrument Table'!$B:$B, $C49)))</f>
        <v>Grand Piano</v>
      </c>
      <c r="D50" s="1" t="str">
        <f>VLOOKUP($C50, 'Instrument Table'!$B:$C, 2, FALSE)</f>
        <v>Pianos</v>
      </c>
      <c r="E50" s="1">
        <f t="shared" si="0"/>
        <v>1</v>
      </c>
      <c r="F50" s="1">
        <f>_xlfn.XLOOKUP($C50, 'Instrument Table'!$B:$B, 'Instrument Table'!$A:$A, "")</f>
        <v>10</v>
      </c>
      <c r="G50" s="1" t="str">
        <f>TEXT(IF($B50 = "Retail Item", IF((ROW($A50) - 4504 - _xlfn.XMATCH($C50, $C$4506:$C$5005, 0, 1)) &lt;= VLOOKUP($C50, 'Instrument Table'!$B:$D, 3, FALSE), ROW($A50) - 4504 - _xlfn.XMATCH($C50, $C$4506:$C$5005, 0, 1), 0), 0), "00")</f>
        <v>00</v>
      </c>
      <c r="H50" s="1" t="str">
        <f t="shared" si="1"/>
        <v>044</v>
      </c>
      <c r="I50" s="1" t="str">
        <f t="shared" si="2"/>
        <v>11000-044</v>
      </c>
      <c r="J50" s="1" t="str">
        <f t="shared" si="3"/>
        <v>Grand piano production item #044</v>
      </c>
      <c r="K50" s="1" t="str">
        <f>IF(SUM(COUNTIFS(I:I, I50)) &gt; 1, "DUPLICATE", "UNIQUE")</f>
        <v>UNIQUE</v>
      </c>
      <c r="L50" s="18">
        <v>0</v>
      </c>
      <c r="M50" s="28">
        <v>94</v>
      </c>
      <c r="N50" s="6">
        <v>81</v>
      </c>
      <c r="O50" s="30">
        <f t="shared" si="4"/>
        <v>0</v>
      </c>
      <c r="P50" s="30">
        <f t="shared" si="5"/>
        <v>7614</v>
      </c>
      <c r="Q50" s="1">
        <f>COUNTIFS($P:$P, "&gt;" &amp; $P50) + 1</f>
        <v>2059</v>
      </c>
      <c r="R50" s="63">
        <f>(COUNTIFS($P:$P, "&gt;" &amp; $P50) + 1) / (COUNTA($I:$I) - 1)</f>
        <v>0.4118</v>
      </c>
      <c r="S50" s="23">
        <f>SUMIFS($P:$P, $Q:$Q, "&lt;" &amp; $Q50)</f>
        <v>180453687</v>
      </c>
    </row>
    <row r="51" spans="1:19" x14ac:dyDescent="0.25">
      <c r="A51" s="1">
        <v>46</v>
      </c>
      <c r="B51" s="1" t="s">
        <v>2</v>
      </c>
      <c r="C51" s="1" t="str">
        <f>IF($B51 = "Production Item", _xlfn.XLOOKUP($A51, 'Instrument Table'!$J:$J, 'Instrument Table'!$B:$B, $C50), IF($B51 = "Service Item", _xlfn.XLOOKUP($A51, 'Instrument Table'!$I:$I, 'Instrument Table'!$B:$B, $C50), _xlfn.XLOOKUP($A51, 'Instrument Table'!$H:$H, 'Instrument Table'!$B:$B, $C50)))</f>
        <v>Grand Piano</v>
      </c>
      <c r="D51" s="1" t="str">
        <f>VLOOKUP($C51, 'Instrument Table'!$B:$C, 2, FALSE)</f>
        <v>Pianos</v>
      </c>
      <c r="E51" s="1">
        <f t="shared" si="0"/>
        <v>1</v>
      </c>
      <c r="F51" s="1">
        <f>_xlfn.XLOOKUP($C51, 'Instrument Table'!$B:$B, 'Instrument Table'!$A:$A, "")</f>
        <v>10</v>
      </c>
      <c r="G51" s="1" t="str">
        <f>TEXT(IF($B51 = "Retail Item", IF((ROW($A51) - 4504 - _xlfn.XMATCH($C51, $C$4506:$C$5005, 0, 1)) &lt;= VLOOKUP($C51, 'Instrument Table'!$B:$D, 3, FALSE), ROW($A51) - 4504 - _xlfn.XMATCH($C51, $C$4506:$C$5005, 0, 1), 0), 0), "00")</f>
        <v>00</v>
      </c>
      <c r="H51" s="1" t="str">
        <f t="shared" si="1"/>
        <v>045</v>
      </c>
      <c r="I51" s="1" t="str">
        <f t="shared" si="2"/>
        <v>11000-045</v>
      </c>
      <c r="J51" s="1" t="str">
        <f t="shared" si="3"/>
        <v>Grand piano production item #045</v>
      </c>
      <c r="K51" s="1" t="str">
        <f>IF(SUM(COUNTIFS(I:I, I51)) &gt; 1, "DUPLICATE", "UNIQUE")</f>
        <v>UNIQUE</v>
      </c>
      <c r="L51" s="18">
        <v>16</v>
      </c>
      <c r="M51" s="28">
        <v>54</v>
      </c>
      <c r="N51" s="6">
        <v>36</v>
      </c>
      <c r="O51" s="30">
        <f t="shared" si="4"/>
        <v>864</v>
      </c>
      <c r="P51" s="30">
        <f t="shared" si="5"/>
        <v>1944</v>
      </c>
      <c r="Q51" s="1">
        <f>COUNTIFS($P:$P, "&gt;" &amp; $P51) + 1</f>
        <v>3276</v>
      </c>
      <c r="R51" s="63">
        <f>(COUNTIFS($P:$P, "&gt;" &amp; $P51) + 1) / (COUNTA($I:$I) - 1)</f>
        <v>0.6552</v>
      </c>
      <c r="S51" s="23">
        <f>SUMIFS($P:$P, $Q:$Q, "&lt;" &amp; $Q51)</f>
        <v>185562800</v>
      </c>
    </row>
    <row r="52" spans="1:19" x14ac:dyDescent="0.25">
      <c r="A52" s="1">
        <v>47</v>
      </c>
      <c r="B52" s="1" t="s">
        <v>2</v>
      </c>
      <c r="C52" s="1" t="str">
        <f>IF($B52 = "Production Item", _xlfn.XLOOKUP($A52, 'Instrument Table'!$J:$J, 'Instrument Table'!$B:$B, $C51), IF($B52 = "Service Item", _xlfn.XLOOKUP($A52, 'Instrument Table'!$I:$I, 'Instrument Table'!$B:$B, $C51), _xlfn.XLOOKUP($A52, 'Instrument Table'!$H:$H, 'Instrument Table'!$B:$B, $C51)))</f>
        <v>Grand Piano</v>
      </c>
      <c r="D52" s="1" t="str">
        <f>VLOOKUP($C52, 'Instrument Table'!$B:$C, 2, FALSE)</f>
        <v>Pianos</v>
      </c>
      <c r="E52" s="1">
        <f t="shared" si="0"/>
        <v>1</v>
      </c>
      <c r="F52" s="1">
        <f>_xlfn.XLOOKUP($C52, 'Instrument Table'!$B:$B, 'Instrument Table'!$A:$A, "")</f>
        <v>10</v>
      </c>
      <c r="G52" s="1" t="str">
        <f>TEXT(IF($B52 = "Retail Item", IF((ROW($A52) - 4504 - _xlfn.XMATCH($C52, $C$4506:$C$5005, 0, 1)) &lt;= VLOOKUP($C52, 'Instrument Table'!$B:$D, 3, FALSE), ROW($A52) - 4504 - _xlfn.XMATCH($C52, $C$4506:$C$5005, 0, 1), 0), 0), "00")</f>
        <v>00</v>
      </c>
      <c r="H52" s="1" t="str">
        <f t="shared" si="1"/>
        <v>046</v>
      </c>
      <c r="I52" s="1" t="str">
        <f t="shared" si="2"/>
        <v>11000-046</v>
      </c>
      <c r="J52" s="1" t="str">
        <f t="shared" si="3"/>
        <v>Grand piano production item #046</v>
      </c>
      <c r="K52" s="1" t="str">
        <f>IF(SUM(COUNTIFS(I:I, I52)) &gt; 1, "DUPLICATE", "UNIQUE")</f>
        <v>UNIQUE</v>
      </c>
      <c r="L52" s="18">
        <v>0</v>
      </c>
      <c r="M52" s="28">
        <v>24</v>
      </c>
      <c r="N52" s="6">
        <v>25</v>
      </c>
      <c r="O52" s="30">
        <f t="shared" si="4"/>
        <v>0</v>
      </c>
      <c r="P52" s="30">
        <f t="shared" si="5"/>
        <v>600</v>
      </c>
      <c r="Q52" s="1">
        <f>COUNTIFS($P:$P, "&gt;" &amp; $P52) + 1</f>
        <v>3936</v>
      </c>
      <c r="R52" s="63">
        <f>(COUNTIFS($P:$P, "&gt;" &amp; $P52) + 1) / (COUNTA($I:$I) - 1)</f>
        <v>0.78720000000000001</v>
      </c>
      <c r="S52" s="23">
        <f>SUMIFS($P:$P, $Q:$Q, "&lt;" &amp; $Q52)</f>
        <v>186361902</v>
      </c>
    </row>
    <row r="53" spans="1:19" x14ac:dyDescent="0.25">
      <c r="A53" s="1">
        <v>48</v>
      </c>
      <c r="B53" s="1" t="s">
        <v>2</v>
      </c>
      <c r="C53" s="1" t="str">
        <f>IF($B53 = "Production Item", _xlfn.XLOOKUP($A53, 'Instrument Table'!$J:$J, 'Instrument Table'!$B:$B, $C52), IF($B53 = "Service Item", _xlfn.XLOOKUP($A53, 'Instrument Table'!$I:$I, 'Instrument Table'!$B:$B, $C52), _xlfn.XLOOKUP($A53, 'Instrument Table'!$H:$H, 'Instrument Table'!$B:$B, $C52)))</f>
        <v>Grand Piano</v>
      </c>
      <c r="D53" s="1" t="str">
        <f>VLOOKUP($C53, 'Instrument Table'!$B:$C, 2, FALSE)</f>
        <v>Pianos</v>
      </c>
      <c r="E53" s="1">
        <f t="shared" si="0"/>
        <v>1</v>
      </c>
      <c r="F53" s="1">
        <f>_xlfn.XLOOKUP($C53, 'Instrument Table'!$B:$B, 'Instrument Table'!$A:$A, "")</f>
        <v>10</v>
      </c>
      <c r="G53" s="1" t="str">
        <f>TEXT(IF($B53 = "Retail Item", IF((ROW($A53) - 4504 - _xlfn.XMATCH($C53, $C$4506:$C$5005, 0, 1)) &lt;= VLOOKUP($C53, 'Instrument Table'!$B:$D, 3, FALSE), ROW($A53) - 4504 - _xlfn.XMATCH($C53, $C$4506:$C$5005, 0, 1), 0), 0), "00")</f>
        <v>00</v>
      </c>
      <c r="H53" s="1" t="str">
        <f t="shared" si="1"/>
        <v>047</v>
      </c>
      <c r="I53" s="1" t="str">
        <f t="shared" si="2"/>
        <v>11000-047</v>
      </c>
      <c r="J53" s="1" t="str">
        <f t="shared" si="3"/>
        <v>Grand piano production item #047</v>
      </c>
      <c r="K53" s="1" t="str">
        <f>IF(SUM(COUNTIFS(I:I, I53)) &gt; 1, "DUPLICATE", "UNIQUE")</f>
        <v>UNIQUE</v>
      </c>
      <c r="L53" s="18">
        <v>1</v>
      </c>
      <c r="M53" s="28">
        <v>41</v>
      </c>
      <c r="N53" s="6">
        <v>121</v>
      </c>
      <c r="O53" s="30">
        <f t="shared" si="4"/>
        <v>41</v>
      </c>
      <c r="P53" s="30">
        <f t="shared" si="5"/>
        <v>4961</v>
      </c>
      <c r="Q53" s="1">
        <f>COUNTIFS($P:$P, "&gt;" &amp; $P53) + 1</f>
        <v>2450</v>
      </c>
      <c r="R53" s="63">
        <f>(COUNTIFS($P:$P, "&gt;" &amp; $P53) + 1) / (COUNTA($I:$I) - 1)</f>
        <v>0.49</v>
      </c>
      <c r="S53" s="23">
        <f>SUMIFS($P:$P, $Q:$Q, "&lt;" &amp; $Q53)</f>
        <v>182872527</v>
      </c>
    </row>
    <row r="54" spans="1:19" x14ac:dyDescent="0.25">
      <c r="A54" s="1">
        <v>49</v>
      </c>
      <c r="B54" s="1" t="s">
        <v>2</v>
      </c>
      <c r="C54" s="1" t="str">
        <f>IF($B54 = "Production Item", _xlfn.XLOOKUP($A54, 'Instrument Table'!$J:$J, 'Instrument Table'!$B:$B, $C53), IF($B54 = "Service Item", _xlfn.XLOOKUP($A54, 'Instrument Table'!$I:$I, 'Instrument Table'!$B:$B, $C53), _xlfn.XLOOKUP($A54, 'Instrument Table'!$H:$H, 'Instrument Table'!$B:$B, $C53)))</f>
        <v>Grand Piano</v>
      </c>
      <c r="D54" s="1" t="str">
        <f>VLOOKUP($C54, 'Instrument Table'!$B:$C, 2, FALSE)</f>
        <v>Pianos</v>
      </c>
      <c r="E54" s="1">
        <f t="shared" si="0"/>
        <v>1</v>
      </c>
      <c r="F54" s="1">
        <f>_xlfn.XLOOKUP($C54, 'Instrument Table'!$B:$B, 'Instrument Table'!$A:$A, "")</f>
        <v>10</v>
      </c>
      <c r="G54" s="1" t="str">
        <f>TEXT(IF($B54 = "Retail Item", IF((ROW($A54) - 4504 - _xlfn.XMATCH($C54, $C$4506:$C$5005, 0, 1)) &lt;= VLOOKUP($C54, 'Instrument Table'!$B:$D, 3, FALSE), ROW($A54) - 4504 - _xlfn.XMATCH($C54, $C$4506:$C$5005, 0, 1), 0), 0), "00")</f>
        <v>00</v>
      </c>
      <c r="H54" s="1" t="str">
        <f t="shared" si="1"/>
        <v>048</v>
      </c>
      <c r="I54" s="1" t="str">
        <f t="shared" si="2"/>
        <v>11000-048</v>
      </c>
      <c r="J54" s="1" t="str">
        <f t="shared" si="3"/>
        <v>Grand piano production item #048</v>
      </c>
      <c r="K54" s="1" t="str">
        <f>IF(SUM(COUNTIFS(I:I, I54)) &gt; 1, "DUPLICATE", "UNIQUE")</f>
        <v>UNIQUE</v>
      </c>
      <c r="L54" s="18">
        <v>0</v>
      </c>
      <c r="M54" s="28">
        <v>66</v>
      </c>
      <c r="N54" s="6">
        <v>64</v>
      </c>
      <c r="O54" s="30">
        <f t="shared" si="4"/>
        <v>0</v>
      </c>
      <c r="P54" s="30">
        <f t="shared" si="5"/>
        <v>4224</v>
      </c>
      <c r="Q54" s="1">
        <f>COUNTIFS($P:$P, "&gt;" &amp; $P54) + 1</f>
        <v>2605</v>
      </c>
      <c r="R54" s="63">
        <f>(COUNTIFS($P:$P, "&gt;" &amp; $P54) + 1) / (COUNTA($I:$I) - 1)</f>
        <v>0.52100000000000002</v>
      </c>
      <c r="S54" s="23">
        <f>SUMIFS($P:$P, $Q:$Q, "&lt;" &amp; $Q54)</f>
        <v>183584543</v>
      </c>
    </row>
    <row r="55" spans="1:19" x14ac:dyDescent="0.25">
      <c r="A55" s="1">
        <v>50</v>
      </c>
      <c r="B55" s="1" t="s">
        <v>2</v>
      </c>
      <c r="C55" s="1" t="str">
        <f>IF($B55 = "Production Item", _xlfn.XLOOKUP($A55, 'Instrument Table'!$J:$J, 'Instrument Table'!$B:$B, $C54), IF($B55 = "Service Item", _xlfn.XLOOKUP($A55, 'Instrument Table'!$I:$I, 'Instrument Table'!$B:$B, $C54), _xlfn.XLOOKUP($A55, 'Instrument Table'!$H:$H, 'Instrument Table'!$B:$B, $C54)))</f>
        <v>Grand Piano</v>
      </c>
      <c r="D55" s="1" t="str">
        <f>VLOOKUP($C55, 'Instrument Table'!$B:$C, 2, FALSE)</f>
        <v>Pianos</v>
      </c>
      <c r="E55" s="1">
        <f t="shared" si="0"/>
        <v>1</v>
      </c>
      <c r="F55" s="1">
        <f>_xlfn.XLOOKUP($C55, 'Instrument Table'!$B:$B, 'Instrument Table'!$A:$A, "")</f>
        <v>10</v>
      </c>
      <c r="G55" s="1" t="str">
        <f>TEXT(IF($B55 = "Retail Item", IF((ROW($A55) - 4504 - _xlfn.XMATCH($C55, $C$4506:$C$5005, 0, 1)) &lt;= VLOOKUP($C55, 'Instrument Table'!$B:$D, 3, FALSE), ROW($A55) - 4504 - _xlfn.XMATCH($C55, $C$4506:$C$5005, 0, 1), 0), 0), "00")</f>
        <v>00</v>
      </c>
      <c r="H55" s="1" t="str">
        <f t="shared" si="1"/>
        <v>049</v>
      </c>
      <c r="I55" s="1" t="str">
        <f t="shared" si="2"/>
        <v>11000-049</v>
      </c>
      <c r="J55" s="1" t="str">
        <f t="shared" si="3"/>
        <v>Grand piano production item #049</v>
      </c>
      <c r="K55" s="1" t="str">
        <f>IF(SUM(COUNTIFS(I:I, I55)) &gt; 1, "DUPLICATE", "UNIQUE")</f>
        <v>UNIQUE</v>
      </c>
      <c r="L55" s="18">
        <v>1</v>
      </c>
      <c r="M55" s="28">
        <v>85</v>
      </c>
      <c r="N55" s="6">
        <v>256</v>
      </c>
      <c r="O55" s="30">
        <f t="shared" si="4"/>
        <v>85</v>
      </c>
      <c r="P55" s="30">
        <f t="shared" si="5"/>
        <v>21760</v>
      </c>
      <c r="Q55" s="1">
        <f>COUNTIFS($P:$P, "&gt;" &amp; $P55) + 1</f>
        <v>967</v>
      </c>
      <c r="R55" s="63">
        <f>(COUNTIFS($P:$P, "&gt;" &amp; $P55) + 1) / (COUNTA($I:$I) - 1)</f>
        <v>0.19339999999999999</v>
      </c>
      <c r="S55" s="23">
        <f>SUMIFS($P:$P, $Q:$Q, "&lt;" &amp; $Q55)</f>
        <v>165782570</v>
      </c>
    </row>
    <row r="56" spans="1:19" x14ac:dyDescent="0.25">
      <c r="A56" s="1">
        <v>51</v>
      </c>
      <c r="B56" s="1" t="s">
        <v>2</v>
      </c>
      <c r="C56" s="1" t="str">
        <f>IF($B56 = "Production Item", _xlfn.XLOOKUP($A56, 'Instrument Table'!$J:$J, 'Instrument Table'!$B:$B, $C55), IF($B56 = "Service Item", _xlfn.XLOOKUP($A56, 'Instrument Table'!$I:$I, 'Instrument Table'!$B:$B, $C55), _xlfn.XLOOKUP($A56, 'Instrument Table'!$H:$H, 'Instrument Table'!$B:$B, $C55)))</f>
        <v>Grand Piano</v>
      </c>
      <c r="D56" s="1" t="str">
        <f>VLOOKUP($C56, 'Instrument Table'!$B:$C, 2, FALSE)</f>
        <v>Pianos</v>
      </c>
      <c r="E56" s="1">
        <f t="shared" si="0"/>
        <v>1</v>
      </c>
      <c r="F56" s="1">
        <f>_xlfn.XLOOKUP($C56, 'Instrument Table'!$B:$B, 'Instrument Table'!$A:$A, "")</f>
        <v>10</v>
      </c>
      <c r="G56" s="1" t="str">
        <f>TEXT(IF($B56 = "Retail Item", IF((ROW($A56) - 4504 - _xlfn.XMATCH($C56, $C$4506:$C$5005, 0, 1)) &lt;= VLOOKUP($C56, 'Instrument Table'!$B:$D, 3, FALSE), ROW($A56) - 4504 - _xlfn.XMATCH($C56, $C$4506:$C$5005, 0, 1), 0), 0), "00")</f>
        <v>00</v>
      </c>
      <c r="H56" s="1" t="str">
        <f t="shared" si="1"/>
        <v>050</v>
      </c>
      <c r="I56" s="1" t="str">
        <f t="shared" si="2"/>
        <v>11000-050</v>
      </c>
      <c r="J56" s="1" t="str">
        <f t="shared" si="3"/>
        <v>Grand piano production item #050</v>
      </c>
      <c r="K56" s="1" t="str">
        <f>IF(SUM(COUNTIFS(I:I, I56)) &gt; 1, "DUPLICATE", "UNIQUE")</f>
        <v>UNIQUE</v>
      </c>
      <c r="L56" s="18">
        <v>0</v>
      </c>
      <c r="M56" s="28">
        <v>38</v>
      </c>
      <c r="N56" s="6">
        <v>196</v>
      </c>
      <c r="O56" s="30">
        <f t="shared" si="4"/>
        <v>0</v>
      </c>
      <c r="P56" s="30">
        <f t="shared" si="5"/>
        <v>7448</v>
      </c>
      <c r="Q56" s="1">
        <f>COUNTIFS($P:$P, "&gt;" &amp; $P56) + 1</f>
        <v>2074</v>
      </c>
      <c r="R56" s="63">
        <f>(COUNTIFS($P:$P, "&gt;" &amp; $P56) + 1) / (COUNTA($I:$I) - 1)</f>
        <v>0.4148</v>
      </c>
      <c r="S56" s="23">
        <f>SUMIFS($P:$P, $Q:$Q, "&lt;" &amp; $Q56)</f>
        <v>180566795</v>
      </c>
    </row>
    <row r="57" spans="1:19" x14ac:dyDescent="0.25">
      <c r="A57" s="1">
        <v>52</v>
      </c>
      <c r="B57" s="1" t="s">
        <v>2</v>
      </c>
      <c r="C57" s="1" t="str">
        <f>IF($B57 = "Production Item", _xlfn.XLOOKUP($A57, 'Instrument Table'!$J:$J, 'Instrument Table'!$B:$B, $C56), IF($B57 = "Service Item", _xlfn.XLOOKUP($A57, 'Instrument Table'!$I:$I, 'Instrument Table'!$B:$B, $C56), _xlfn.XLOOKUP($A57, 'Instrument Table'!$H:$H, 'Instrument Table'!$B:$B, $C56)))</f>
        <v>Grand Piano</v>
      </c>
      <c r="D57" s="1" t="str">
        <f>VLOOKUP($C57, 'Instrument Table'!$B:$C, 2, FALSE)</f>
        <v>Pianos</v>
      </c>
      <c r="E57" s="1">
        <f t="shared" si="0"/>
        <v>1</v>
      </c>
      <c r="F57" s="1">
        <f>_xlfn.XLOOKUP($C57, 'Instrument Table'!$B:$B, 'Instrument Table'!$A:$A, "")</f>
        <v>10</v>
      </c>
      <c r="G57" s="1" t="str">
        <f>TEXT(IF($B57 = "Retail Item", IF((ROW($A57) - 4504 - _xlfn.XMATCH($C57, $C$4506:$C$5005, 0, 1)) &lt;= VLOOKUP($C57, 'Instrument Table'!$B:$D, 3, FALSE), ROW($A57) - 4504 - _xlfn.XMATCH($C57, $C$4506:$C$5005, 0, 1), 0), 0), "00")</f>
        <v>00</v>
      </c>
      <c r="H57" s="1" t="str">
        <f t="shared" si="1"/>
        <v>051</v>
      </c>
      <c r="I57" s="1" t="str">
        <f t="shared" si="2"/>
        <v>11000-051</v>
      </c>
      <c r="J57" s="1" t="str">
        <f t="shared" si="3"/>
        <v>Grand piano production item #051</v>
      </c>
      <c r="K57" s="1" t="str">
        <f>IF(SUM(COUNTIFS(I:I, I57)) &gt; 1, "DUPLICATE", "UNIQUE")</f>
        <v>UNIQUE</v>
      </c>
      <c r="L57" s="18">
        <v>1</v>
      </c>
      <c r="M57" s="28">
        <v>79</v>
      </c>
      <c r="N57" s="6">
        <v>9</v>
      </c>
      <c r="O57" s="30">
        <f t="shared" si="4"/>
        <v>79</v>
      </c>
      <c r="P57" s="30">
        <f t="shared" si="5"/>
        <v>711</v>
      </c>
      <c r="Q57" s="1">
        <f>COUNTIFS($P:$P, "&gt;" &amp; $P57) + 1</f>
        <v>3870</v>
      </c>
      <c r="R57" s="63">
        <f>(COUNTIFS($P:$P, "&gt;" &amp; $P57) + 1) / (COUNTA($I:$I) - 1)</f>
        <v>0.77400000000000002</v>
      </c>
      <c r="S57" s="23">
        <f>SUMIFS($P:$P, $Q:$Q, "&lt;" &amp; $Q57)</f>
        <v>186318007</v>
      </c>
    </row>
    <row r="58" spans="1:19" x14ac:dyDescent="0.25">
      <c r="A58" s="1">
        <v>53</v>
      </c>
      <c r="B58" s="1" t="s">
        <v>2</v>
      </c>
      <c r="C58" s="1" t="str">
        <f>IF($B58 = "Production Item", _xlfn.XLOOKUP($A58, 'Instrument Table'!$J:$J, 'Instrument Table'!$B:$B, $C57), IF($B58 = "Service Item", _xlfn.XLOOKUP($A58, 'Instrument Table'!$I:$I, 'Instrument Table'!$B:$B, $C57), _xlfn.XLOOKUP($A58, 'Instrument Table'!$H:$H, 'Instrument Table'!$B:$B, $C57)))</f>
        <v>Grand Piano</v>
      </c>
      <c r="D58" s="1" t="str">
        <f>VLOOKUP($C58, 'Instrument Table'!$B:$C, 2, FALSE)</f>
        <v>Pianos</v>
      </c>
      <c r="E58" s="1">
        <f t="shared" si="0"/>
        <v>1</v>
      </c>
      <c r="F58" s="1">
        <f>_xlfn.XLOOKUP($C58, 'Instrument Table'!$B:$B, 'Instrument Table'!$A:$A, "")</f>
        <v>10</v>
      </c>
      <c r="G58" s="1" t="str">
        <f>TEXT(IF($B58 = "Retail Item", IF((ROW($A58) - 4504 - _xlfn.XMATCH($C58, $C$4506:$C$5005, 0, 1)) &lt;= VLOOKUP($C58, 'Instrument Table'!$B:$D, 3, FALSE), ROW($A58) - 4504 - _xlfn.XMATCH($C58, $C$4506:$C$5005, 0, 1), 0), 0), "00")</f>
        <v>00</v>
      </c>
      <c r="H58" s="1" t="str">
        <f t="shared" si="1"/>
        <v>052</v>
      </c>
      <c r="I58" s="1" t="str">
        <f t="shared" si="2"/>
        <v>11000-052</v>
      </c>
      <c r="J58" s="1" t="str">
        <f t="shared" si="3"/>
        <v>Grand piano production item #052</v>
      </c>
      <c r="K58" s="1" t="str">
        <f>IF(SUM(COUNTIFS(I:I, I58)) &gt; 1, "DUPLICATE", "UNIQUE")</f>
        <v>UNIQUE</v>
      </c>
      <c r="L58" s="18">
        <v>1</v>
      </c>
      <c r="M58" s="28">
        <v>58</v>
      </c>
      <c r="N58" s="6">
        <v>400</v>
      </c>
      <c r="O58" s="30">
        <f t="shared" si="4"/>
        <v>58</v>
      </c>
      <c r="P58" s="30">
        <f t="shared" si="5"/>
        <v>23200</v>
      </c>
      <c r="Q58" s="1">
        <f>COUNTIFS($P:$P, "&gt;" &amp; $P58) + 1</f>
        <v>896</v>
      </c>
      <c r="R58" s="63">
        <f>(COUNTIFS($P:$P, "&gt;" &amp; $P58) + 1) / (COUNTA($I:$I) - 1)</f>
        <v>0.1792</v>
      </c>
      <c r="S58" s="23">
        <f>SUMIFS($P:$P, $Q:$Q, "&lt;" &amp; $Q58)</f>
        <v>164187987</v>
      </c>
    </row>
    <row r="59" spans="1:19" x14ac:dyDescent="0.25">
      <c r="A59" s="1">
        <v>54</v>
      </c>
      <c r="B59" s="1" t="s">
        <v>2</v>
      </c>
      <c r="C59" s="1" t="str">
        <f>IF($B59 = "Production Item", _xlfn.XLOOKUP($A59, 'Instrument Table'!$J:$J, 'Instrument Table'!$B:$B, $C58), IF($B59 = "Service Item", _xlfn.XLOOKUP($A59, 'Instrument Table'!$I:$I, 'Instrument Table'!$B:$B, $C58), _xlfn.XLOOKUP($A59, 'Instrument Table'!$H:$H, 'Instrument Table'!$B:$B, $C58)))</f>
        <v>Grand Piano</v>
      </c>
      <c r="D59" s="1" t="str">
        <f>VLOOKUP($C59, 'Instrument Table'!$B:$C, 2, FALSE)</f>
        <v>Pianos</v>
      </c>
      <c r="E59" s="1">
        <f t="shared" si="0"/>
        <v>1</v>
      </c>
      <c r="F59" s="1">
        <f>_xlfn.XLOOKUP($C59, 'Instrument Table'!$B:$B, 'Instrument Table'!$A:$A, "")</f>
        <v>10</v>
      </c>
      <c r="G59" s="1" t="str">
        <f>TEXT(IF($B59 = "Retail Item", IF((ROW($A59) - 4504 - _xlfn.XMATCH($C59, $C$4506:$C$5005, 0, 1)) &lt;= VLOOKUP($C59, 'Instrument Table'!$B:$D, 3, FALSE), ROW($A59) - 4504 - _xlfn.XMATCH($C59, $C$4506:$C$5005, 0, 1), 0), 0), "00")</f>
        <v>00</v>
      </c>
      <c r="H59" s="1" t="str">
        <f t="shared" si="1"/>
        <v>053</v>
      </c>
      <c r="I59" s="1" t="str">
        <f t="shared" si="2"/>
        <v>11000-053</v>
      </c>
      <c r="J59" s="1" t="str">
        <f t="shared" si="3"/>
        <v>Grand piano production item #053</v>
      </c>
      <c r="K59" s="1" t="str">
        <f>IF(SUM(COUNTIFS(I:I, I59)) &gt; 1, "DUPLICATE", "UNIQUE")</f>
        <v>UNIQUE</v>
      </c>
      <c r="L59" s="18">
        <v>4</v>
      </c>
      <c r="M59" s="28">
        <v>74</v>
      </c>
      <c r="N59" s="6">
        <v>144</v>
      </c>
      <c r="O59" s="30">
        <f t="shared" si="4"/>
        <v>296</v>
      </c>
      <c r="P59" s="30">
        <f t="shared" si="5"/>
        <v>10656</v>
      </c>
      <c r="Q59" s="1">
        <f>COUNTIFS($P:$P, "&gt;" &amp; $P59) + 1</f>
        <v>1715</v>
      </c>
      <c r="R59" s="63">
        <f>(COUNTIFS($P:$P, "&gt;" &amp; $P59) + 1) / (COUNTA($I:$I) - 1)</f>
        <v>0.34300000000000003</v>
      </c>
      <c r="S59" s="23">
        <f>SUMIFS($P:$P, $Q:$Q, "&lt;" &amp; $Q59)</f>
        <v>177375140</v>
      </c>
    </row>
    <row r="60" spans="1:19" x14ac:dyDescent="0.25">
      <c r="A60" s="1">
        <v>55</v>
      </c>
      <c r="B60" s="1" t="s">
        <v>2</v>
      </c>
      <c r="C60" s="1" t="str">
        <f>IF($B60 = "Production Item", _xlfn.XLOOKUP($A60, 'Instrument Table'!$J:$J, 'Instrument Table'!$B:$B, $C59), IF($B60 = "Service Item", _xlfn.XLOOKUP($A60, 'Instrument Table'!$I:$I, 'Instrument Table'!$B:$B, $C59), _xlfn.XLOOKUP($A60, 'Instrument Table'!$H:$H, 'Instrument Table'!$B:$B, $C59)))</f>
        <v>Grand Piano</v>
      </c>
      <c r="D60" s="1" t="str">
        <f>VLOOKUP($C60, 'Instrument Table'!$B:$C, 2, FALSE)</f>
        <v>Pianos</v>
      </c>
      <c r="E60" s="1">
        <f t="shared" si="0"/>
        <v>1</v>
      </c>
      <c r="F60" s="1">
        <f>_xlfn.XLOOKUP($C60, 'Instrument Table'!$B:$B, 'Instrument Table'!$A:$A, "")</f>
        <v>10</v>
      </c>
      <c r="G60" s="1" t="str">
        <f>TEXT(IF($B60 = "Retail Item", IF((ROW($A60) - 4504 - _xlfn.XMATCH($C60, $C$4506:$C$5005, 0, 1)) &lt;= VLOOKUP($C60, 'Instrument Table'!$B:$D, 3, FALSE), ROW($A60) - 4504 - _xlfn.XMATCH($C60, $C$4506:$C$5005, 0, 1), 0), 0), "00")</f>
        <v>00</v>
      </c>
      <c r="H60" s="1" t="str">
        <f t="shared" si="1"/>
        <v>054</v>
      </c>
      <c r="I60" s="1" t="str">
        <f t="shared" si="2"/>
        <v>11000-054</v>
      </c>
      <c r="J60" s="1" t="str">
        <f t="shared" si="3"/>
        <v>Grand piano production item #054</v>
      </c>
      <c r="K60" s="1" t="str">
        <f>IF(SUM(COUNTIFS(I:I, I60)) &gt; 1, "DUPLICATE", "UNIQUE")</f>
        <v>UNIQUE</v>
      </c>
      <c r="L60" s="18">
        <v>0</v>
      </c>
      <c r="M60" s="28">
        <v>92</v>
      </c>
      <c r="N60" s="6">
        <v>16</v>
      </c>
      <c r="O60" s="30">
        <f t="shared" si="4"/>
        <v>0</v>
      </c>
      <c r="P60" s="30">
        <f t="shared" si="5"/>
        <v>1472</v>
      </c>
      <c r="Q60" s="1">
        <f>COUNTIFS($P:$P, "&gt;" &amp; $P60) + 1</f>
        <v>3470</v>
      </c>
      <c r="R60" s="63">
        <f>(COUNTIFS($P:$P, "&gt;" &amp; $P60) + 1) / (COUNTA($I:$I) - 1)</f>
        <v>0.69399999999999995</v>
      </c>
      <c r="S60" s="23">
        <f>SUMIFS($P:$P, $Q:$Q, "&lt;" &amp; $Q60)</f>
        <v>185893854</v>
      </c>
    </row>
    <row r="61" spans="1:19" x14ac:dyDescent="0.25">
      <c r="A61" s="1">
        <v>56</v>
      </c>
      <c r="B61" s="1" t="s">
        <v>2</v>
      </c>
      <c r="C61" s="1" t="str">
        <f>IF($B61 = "Production Item", _xlfn.XLOOKUP($A61, 'Instrument Table'!$J:$J, 'Instrument Table'!$B:$B, $C60), IF($B61 = "Service Item", _xlfn.XLOOKUP($A61, 'Instrument Table'!$I:$I, 'Instrument Table'!$B:$B, $C60), _xlfn.XLOOKUP($A61, 'Instrument Table'!$H:$H, 'Instrument Table'!$B:$B, $C60)))</f>
        <v>Grand Piano</v>
      </c>
      <c r="D61" s="1" t="str">
        <f>VLOOKUP($C61, 'Instrument Table'!$B:$C, 2, FALSE)</f>
        <v>Pianos</v>
      </c>
      <c r="E61" s="1">
        <f t="shared" si="0"/>
        <v>1</v>
      </c>
      <c r="F61" s="1">
        <f>_xlfn.XLOOKUP($C61, 'Instrument Table'!$B:$B, 'Instrument Table'!$A:$A, "")</f>
        <v>10</v>
      </c>
      <c r="G61" s="1" t="str">
        <f>TEXT(IF($B61 = "Retail Item", IF((ROW($A61) - 4504 - _xlfn.XMATCH($C61, $C$4506:$C$5005, 0, 1)) &lt;= VLOOKUP($C61, 'Instrument Table'!$B:$D, 3, FALSE), ROW($A61) - 4504 - _xlfn.XMATCH($C61, $C$4506:$C$5005, 0, 1), 0), 0), "00")</f>
        <v>00</v>
      </c>
      <c r="H61" s="1" t="str">
        <f t="shared" si="1"/>
        <v>055</v>
      </c>
      <c r="I61" s="1" t="str">
        <f t="shared" si="2"/>
        <v>11000-055</v>
      </c>
      <c r="J61" s="1" t="str">
        <f t="shared" si="3"/>
        <v>Grand piano production item #055</v>
      </c>
      <c r="K61" s="1" t="str">
        <f>IF(SUM(COUNTIFS(I:I, I61)) &gt; 1, "DUPLICATE", "UNIQUE")</f>
        <v>UNIQUE</v>
      </c>
      <c r="L61" s="18">
        <v>1</v>
      </c>
      <c r="M61" s="28">
        <v>95</v>
      </c>
      <c r="N61" s="6">
        <v>144</v>
      </c>
      <c r="O61" s="30">
        <f t="shared" si="4"/>
        <v>95</v>
      </c>
      <c r="P61" s="30">
        <f t="shared" si="5"/>
        <v>13680</v>
      </c>
      <c r="Q61" s="1">
        <f>COUNTIFS($P:$P, "&gt;" &amp; $P61) + 1</f>
        <v>1443</v>
      </c>
      <c r="R61" s="63">
        <f>(COUNTIFS($P:$P, "&gt;" &amp; $P61) + 1) / (COUNTA($I:$I) - 1)</f>
        <v>0.28860000000000002</v>
      </c>
      <c r="S61" s="23">
        <f>SUMIFS($P:$P, $Q:$Q, "&lt;" &amp; $Q61)</f>
        <v>174077483</v>
      </c>
    </row>
    <row r="62" spans="1:19" x14ac:dyDescent="0.25">
      <c r="A62" s="1">
        <v>57</v>
      </c>
      <c r="B62" s="1" t="s">
        <v>2</v>
      </c>
      <c r="C62" s="1" t="str">
        <f>IF($B62 = "Production Item", _xlfn.XLOOKUP($A62, 'Instrument Table'!$J:$J, 'Instrument Table'!$B:$B, $C61), IF($B62 = "Service Item", _xlfn.XLOOKUP($A62, 'Instrument Table'!$I:$I, 'Instrument Table'!$B:$B, $C61), _xlfn.XLOOKUP($A62, 'Instrument Table'!$H:$H, 'Instrument Table'!$B:$B, $C61)))</f>
        <v>Grand Piano</v>
      </c>
      <c r="D62" s="1" t="str">
        <f>VLOOKUP($C62, 'Instrument Table'!$B:$C, 2, FALSE)</f>
        <v>Pianos</v>
      </c>
      <c r="E62" s="1">
        <f t="shared" si="0"/>
        <v>1</v>
      </c>
      <c r="F62" s="1">
        <f>_xlfn.XLOOKUP($C62, 'Instrument Table'!$B:$B, 'Instrument Table'!$A:$A, "")</f>
        <v>10</v>
      </c>
      <c r="G62" s="1" t="str">
        <f>TEXT(IF($B62 = "Retail Item", IF((ROW($A62) - 4504 - _xlfn.XMATCH($C62, $C$4506:$C$5005, 0, 1)) &lt;= VLOOKUP($C62, 'Instrument Table'!$B:$D, 3, FALSE), ROW($A62) - 4504 - _xlfn.XMATCH($C62, $C$4506:$C$5005, 0, 1), 0), 0), "00")</f>
        <v>00</v>
      </c>
      <c r="H62" s="1" t="str">
        <f t="shared" si="1"/>
        <v>056</v>
      </c>
      <c r="I62" s="1" t="str">
        <f t="shared" si="2"/>
        <v>11000-056</v>
      </c>
      <c r="J62" s="1" t="str">
        <f t="shared" si="3"/>
        <v>Grand piano production item #056</v>
      </c>
      <c r="K62" s="1" t="str">
        <f>IF(SUM(COUNTIFS(I:I, I62)) &gt; 1, "DUPLICATE", "UNIQUE")</f>
        <v>UNIQUE</v>
      </c>
      <c r="L62" s="18">
        <v>4</v>
      </c>
      <c r="M62" s="28">
        <v>70</v>
      </c>
      <c r="N62" s="6">
        <v>25</v>
      </c>
      <c r="O62" s="30">
        <f t="shared" si="4"/>
        <v>280</v>
      </c>
      <c r="P62" s="30">
        <f t="shared" si="5"/>
        <v>1750</v>
      </c>
      <c r="Q62" s="1">
        <f>COUNTIFS($P:$P, "&gt;" &amp; $P62) + 1</f>
        <v>3356</v>
      </c>
      <c r="R62" s="63">
        <f>(COUNTIFS($P:$P, "&gt;" &amp; $P62) + 1) / (COUNTA($I:$I) - 1)</f>
        <v>0.67120000000000002</v>
      </c>
      <c r="S62" s="23">
        <f>SUMIFS($P:$P, $Q:$Q, "&lt;" &amp; $Q62)</f>
        <v>185711037</v>
      </c>
    </row>
    <row r="63" spans="1:19" x14ac:dyDescent="0.25">
      <c r="A63" s="1">
        <v>58</v>
      </c>
      <c r="B63" s="1" t="s">
        <v>2</v>
      </c>
      <c r="C63" s="1" t="str">
        <f>IF($B63 = "Production Item", _xlfn.XLOOKUP($A63, 'Instrument Table'!$J:$J, 'Instrument Table'!$B:$B, $C62), IF($B63 = "Service Item", _xlfn.XLOOKUP($A63, 'Instrument Table'!$I:$I, 'Instrument Table'!$B:$B, $C62), _xlfn.XLOOKUP($A63, 'Instrument Table'!$H:$H, 'Instrument Table'!$B:$B, $C62)))</f>
        <v>Grand Piano</v>
      </c>
      <c r="D63" s="1" t="str">
        <f>VLOOKUP($C63, 'Instrument Table'!$B:$C, 2, FALSE)</f>
        <v>Pianos</v>
      </c>
      <c r="E63" s="1">
        <f t="shared" si="0"/>
        <v>1</v>
      </c>
      <c r="F63" s="1">
        <f>_xlfn.XLOOKUP($C63, 'Instrument Table'!$B:$B, 'Instrument Table'!$A:$A, "")</f>
        <v>10</v>
      </c>
      <c r="G63" s="1" t="str">
        <f>TEXT(IF($B63 = "Retail Item", IF((ROW($A63) - 4504 - _xlfn.XMATCH($C63, $C$4506:$C$5005, 0, 1)) &lt;= VLOOKUP($C63, 'Instrument Table'!$B:$D, 3, FALSE), ROW($A63) - 4504 - _xlfn.XMATCH($C63, $C$4506:$C$5005, 0, 1), 0), 0), "00")</f>
        <v>00</v>
      </c>
      <c r="H63" s="1" t="str">
        <f t="shared" si="1"/>
        <v>057</v>
      </c>
      <c r="I63" s="1" t="str">
        <f t="shared" si="2"/>
        <v>11000-057</v>
      </c>
      <c r="J63" s="1" t="str">
        <f t="shared" si="3"/>
        <v>Grand piano production item #057</v>
      </c>
      <c r="K63" s="1" t="str">
        <f>IF(SUM(COUNTIFS(I:I, I63)) &gt; 1, "DUPLICATE", "UNIQUE")</f>
        <v>UNIQUE</v>
      </c>
      <c r="L63" s="18">
        <v>0</v>
      </c>
      <c r="M63" s="28">
        <v>35</v>
      </c>
      <c r="N63" s="6">
        <v>400</v>
      </c>
      <c r="O63" s="30">
        <f t="shared" si="4"/>
        <v>0</v>
      </c>
      <c r="P63" s="30">
        <f t="shared" si="5"/>
        <v>14000</v>
      </c>
      <c r="Q63" s="1">
        <f>COUNTIFS($P:$P, "&gt;" &amp; $P63) + 1</f>
        <v>1417</v>
      </c>
      <c r="R63" s="63">
        <f>(COUNTIFS($P:$P, "&gt;" &amp; $P63) + 1) / (COUNTA($I:$I) - 1)</f>
        <v>0.28339999999999999</v>
      </c>
      <c r="S63" s="23">
        <f>SUMIFS($P:$P, $Q:$Q, "&lt;" &amp; $Q63)</f>
        <v>173716659</v>
      </c>
    </row>
    <row r="64" spans="1:19" x14ac:dyDescent="0.25">
      <c r="A64" s="1">
        <v>59</v>
      </c>
      <c r="B64" s="1" t="s">
        <v>2</v>
      </c>
      <c r="C64" s="1" t="str">
        <f>IF($B64 = "Production Item", _xlfn.XLOOKUP($A64, 'Instrument Table'!$J:$J, 'Instrument Table'!$B:$B, $C63), IF($B64 = "Service Item", _xlfn.XLOOKUP($A64, 'Instrument Table'!$I:$I, 'Instrument Table'!$B:$B, $C63), _xlfn.XLOOKUP($A64, 'Instrument Table'!$H:$H, 'Instrument Table'!$B:$B, $C63)))</f>
        <v>Grand Piano</v>
      </c>
      <c r="D64" s="1" t="str">
        <f>VLOOKUP($C64, 'Instrument Table'!$B:$C, 2, FALSE)</f>
        <v>Pianos</v>
      </c>
      <c r="E64" s="1">
        <f t="shared" si="0"/>
        <v>1</v>
      </c>
      <c r="F64" s="1">
        <f>_xlfn.XLOOKUP($C64, 'Instrument Table'!$B:$B, 'Instrument Table'!$A:$A, "")</f>
        <v>10</v>
      </c>
      <c r="G64" s="1" t="str">
        <f>TEXT(IF($B64 = "Retail Item", IF((ROW($A64) - 4504 - _xlfn.XMATCH($C64, $C$4506:$C$5005, 0, 1)) &lt;= VLOOKUP($C64, 'Instrument Table'!$B:$D, 3, FALSE), ROW($A64) - 4504 - _xlfn.XMATCH($C64, $C$4506:$C$5005, 0, 1), 0), 0), "00")</f>
        <v>00</v>
      </c>
      <c r="H64" s="1" t="str">
        <f t="shared" si="1"/>
        <v>058</v>
      </c>
      <c r="I64" s="1" t="str">
        <f t="shared" si="2"/>
        <v>11000-058</v>
      </c>
      <c r="J64" s="1" t="str">
        <f t="shared" si="3"/>
        <v>Grand piano production item #058</v>
      </c>
      <c r="K64" s="1" t="str">
        <f>IF(SUM(COUNTIFS(I:I, I64)) &gt; 1, "DUPLICATE", "UNIQUE")</f>
        <v>UNIQUE</v>
      </c>
      <c r="L64" s="18">
        <v>0</v>
      </c>
      <c r="M64" s="28">
        <v>2</v>
      </c>
      <c r="N64" s="6">
        <v>16</v>
      </c>
      <c r="O64" s="30">
        <f t="shared" si="4"/>
        <v>0</v>
      </c>
      <c r="P64" s="30">
        <f t="shared" si="5"/>
        <v>32</v>
      </c>
      <c r="Q64" s="1">
        <f>COUNTIFS($P:$P, "&gt;" &amp; $P64) + 1</f>
        <v>4658</v>
      </c>
      <c r="R64" s="63">
        <f>(COUNTIFS($P:$P, "&gt;" &amp; $P64) + 1) / (COUNTA($I:$I) - 1)</f>
        <v>0.93159999999999998</v>
      </c>
      <c r="S64" s="23">
        <f>SUMIFS($P:$P, $Q:$Q, "&lt;" &amp; $Q64)</f>
        <v>186546308</v>
      </c>
    </row>
    <row r="65" spans="1:19" x14ac:dyDescent="0.25">
      <c r="A65" s="1">
        <v>60</v>
      </c>
      <c r="B65" s="1" t="s">
        <v>2</v>
      </c>
      <c r="C65" s="1" t="str">
        <f>IF($B65 = "Production Item", _xlfn.XLOOKUP($A65, 'Instrument Table'!$J:$J, 'Instrument Table'!$B:$B, $C64), IF($B65 = "Service Item", _xlfn.XLOOKUP($A65, 'Instrument Table'!$I:$I, 'Instrument Table'!$B:$B, $C64), _xlfn.XLOOKUP($A65, 'Instrument Table'!$H:$H, 'Instrument Table'!$B:$B, $C64)))</f>
        <v>Grand Piano</v>
      </c>
      <c r="D65" s="1" t="str">
        <f>VLOOKUP($C65, 'Instrument Table'!$B:$C, 2, FALSE)</f>
        <v>Pianos</v>
      </c>
      <c r="E65" s="1">
        <f t="shared" si="0"/>
        <v>1</v>
      </c>
      <c r="F65" s="1">
        <f>_xlfn.XLOOKUP($C65, 'Instrument Table'!$B:$B, 'Instrument Table'!$A:$A, "")</f>
        <v>10</v>
      </c>
      <c r="G65" s="1" t="str">
        <f>TEXT(IF($B65 = "Retail Item", IF((ROW($A65) - 4504 - _xlfn.XMATCH($C65, $C$4506:$C$5005, 0, 1)) &lt;= VLOOKUP($C65, 'Instrument Table'!$B:$D, 3, FALSE), ROW($A65) - 4504 - _xlfn.XMATCH($C65, $C$4506:$C$5005, 0, 1), 0), 0), "00")</f>
        <v>00</v>
      </c>
      <c r="H65" s="1" t="str">
        <f t="shared" si="1"/>
        <v>059</v>
      </c>
      <c r="I65" s="1" t="str">
        <f t="shared" si="2"/>
        <v>11000-059</v>
      </c>
      <c r="J65" s="1" t="str">
        <f t="shared" si="3"/>
        <v>Grand piano production item #059</v>
      </c>
      <c r="K65" s="1" t="str">
        <f>IF(SUM(COUNTIFS(I:I, I65)) &gt; 1, "DUPLICATE", "UNIQUE")</f>
        <v>UNIQUE</v>
      </c>
      <c r="L65" s="18">
        <v>0</v>
      </c>
      <c r="M65" s="28">
        <v>82</v>
      </c>
      <c r="N65" s="6">
        <v>400</v>
      </c>
      <c r="O65" s="30">
        <f t="shared" si="4"/>
        <v>0</v>
      </c>
      <c r="P65" s="30">
        <f t="shared" si="5"/>
        <v>32800</v>
      </c>
      <c r="Q65" s="1">
        <f>COUNTIFS($P:$P, "&gt;" &amp; $P65) + 1</f>
        <v>631</v>
      </c>
      <c r="R65" s="63">
        <f>(COUNTIFS($P:$P, "&gt;" &amp; $P65) + 1) / (COUNTA($I:$I) - 1)</f>
        <v>0.12620000000000001</v>
      </c>
      <c r="S65" s="23">
        <f>SUMIFS($P:$P, $Q:$Q, "&lt;" &amp; $Q65)</f>
        <v>156930640</v>
      </c>
    </row>
    <row r="66" spans="1:19" x14ac:dyDescent="0.25">
      <c r="A66" s="1">
        <v>61</v>
      </c>
      <c r="B66" s="1" t="s">
        <v>2</v>
      </c>
      <c r="C66" s="1" t="str">
        <f>IF($B66 = "Production Item", _xlfn.XLOOKUP($A66, 'Instrument Table'!$J:$J, 'Instrument Table'!$B:$B, $C65), IF($B66 = "Service Item", _xlfn.XLOOKUP($A66, 'Instrument Table'!$I:$I, 'Instrument Table'!$B:$B, $C65), _xlfn.XLOOKUP($A66, 'Instrument Table'!$H:$H, 'Instrument Table'!$B:$B, $C65)))</f>
        <v>Grand Piano</v>
      </c>
      <c r="D66" s="1" t="str">
        <f>VLOOKUP($C66, 'Instrument Table'!$B:$C, 2, FALSE)</f>
        <v>Pianos</v>
      </c>
      <c r="E66" s="1">
        <f t="shared" si="0"/>
        <v>1</v>
      </c>
      <c r="F66" s="1">
        <f>_xlfn.XLOOKUP($C66, 'Instrument Table'!$B:$B, 'Instrument Table'!$A:$A, "")</f>
        <v>10</v>
      </c>
      <c r="G66" s="1" t="str">
        <f>TEXT(IF($B66 = "Retail Item", IF((ROW($A66) - 4504 - _xlfn.XMATCH($C66, $C$4506:$C$5005, 0, 1)) &lt;= VLOOKUP($C66, 'Instrument Table'!$B:$D, 3, FALSE), ROW($A66) - 4504 - _xlfn.XMATCH($C66, $C$4506:$C$5005, 0, 1), 0), 0), "00")</f>
        <v>00</v>
      </c>
      <c r="H66" s="1" t="str">
        <f t="shared" si="1"/>
        <v>060</v>
      </c>
      <c r="I66" s="1" t="str">
        <f t="shared" si="2"/>
        <v>11000-060</v>
      </c>
      <c r="J66" s="1" t="str">
        <f t="shared" si="3"/>
        <v>Grand piano production item #060</v>
      </c>
      <c r="K66" s="1" t="str">
        <f>IF(SUM(COUNTIFS(I:I, I66)) &gt; 1, "DUPLICATE", "UNIQUE")</f>
        <v>UNIQUE</v>
      </c>
      <c r="L66" s="18">
        <v>1</v>
      </c>
      <c r="M66" s="28">
        <v>22</v>
      </c>
      <c r="N66" s="6">
        <v>64</v>
      </c>
      <c r="O66" s="30">
        <f t="shared" si="4"/>
        <v>22</v>
      </c>
      <c r="P66" s="30">
        <f t="shared" si="5"/>
        <v>1408</v>
      </c>
      <c r="Q66" s="1">
        <f>COUNTIFS($P:$P, "&gt;" &amp; $P66) + 1</f>
        <v>3501</v>
      </c>
      <c r="R66" s="63">
        <f>(COUNTIFS($P:$P, "&gt;" &amp; $P66) + 1) / (COUNTA($I:$I) - 1)</f>
        <v>0.70020000000000004</v>
      </c>
      <c r="S66" s="23">
        <f>SUMIFS($P:$P, $Q:$Q, "&lt;" &amp; $Q66)</f>
        <v>185938879</v>
      </c>
    </row>
    <row r="67" spans="1:19" x14ac:dyDescent="0.25">
      <c r="A67" s="1">
        <v>62</v>
      </c>
      <c r="B67" s="1" t="s">
        <v>2</v>
      </c>
      <c r="C67" s="1" t="str">
        <f>IF($B67 = "Production Item", _xlfn.XLOOKUP($A67, 'Instrument Table'!$J:$J, 'Instrument Table'!$B:$B, $C66), IF($B67 = "Service Item", _xlfn.XLOOKUP($A67, 'Instrument Table'!$I:$I, 'Instrument Table'!$B:$B, $C66), _xlfn.XLOOKUP($A67, 'Instrument Table'!$H:$H, 'Instrument Table'!$B:$B, $C66)))</f>
        <v>Grand Piano</v>
      </c>
      <c r="D67" s="1" t="str">
        <f>VLOOKUP($C67, 'Instrument Table'!$B:$C, 2, FALSE)</f>
        <v>Pianos</v>
      </c>
      <c r="E67" s="1">
        <f t="shared" si="0"/>
        <v>1</v>
      </c>
      <c r="F67" s="1">
        <f>_xlfn.XLOOKUP($C67, 'Instrument Table'!$B:$B, 'Instrument Table'!$A:$A, "")</f>
        <v>10</v>
      </c>
      <c r="G67" s="1" t="str">
        <f>TEXT(IF($B67 = "Retail Item", IF((ROW($A67) - 4504 - _xlfn.XMATCH($C67, $C$4506:$C$5005, 0, 1)) &lt;= VLOOKUP($C67, 'Instrument Table'!$B:$D, 3, FALSE), ROW($A67) - 4504 - _xlfn.XMATCH($C67, $C$4506:$C$5005, 0, 1), 0), 0), "00")</f>
        <v>00</v>
      </c>
      <c r="H67" s="1" t="str">
        <f t="shared" si="1"/>
        <v>061</v>
      </c>
      <c r="I67" s="1" t="str">
        <f t="shared" si="2"/>
        <v>11000-061</v>
      </c>
      <c r="J67" s="1" t="str">
        <f t="shared" si="3"/>
        <v>Grand piano production item #061</v>
      </c>
      <c r="K67" s="1" t="str">
        <f>IF(SUM(COUNTIFS(I:I, I67)) &gt; 1, "DUPLICATE", "UNIQUE")</f>
        <v>UNIQUE</v>
      </c>
      <c r="L67" s="18">
        <v>1</v>
      </c>
      <c r="M67" s="28">
        <v>14</v>
      </c>
      <c r="N67" s="6">
        <v>169</v>
      </c>
      <c r="O67" s="30">
        <f t="shared" si="4"/>
        <v>14</v>
      </c>
      <c r="P67" s="30">
        <f t="shared" si="5"/>
        <v>2366</v>
      </c>
      <c r="Q67" s="1">
        <f>COUNTIFS($P:$P, "&gt;" &amp; $P67) + 1</f>
        <v>3099</v>
      </c>
      <c r="R67" s="63">
        <f>(COUNTIFS($P:$P, "&gt;" &amp; $P67) + 1) / (COUNTA($I:$I) - 1)</f>
        <v>0.61980000000000002</v>
      </c>
      <c r="S67" s="23">
        <f>SUMIFS($P:$P, $Q:$Q, "&lt;" &amp; $Q67)</f>
        <v>185180101</v>
      </c>
    </row>
    <row r="68" spans="1:19" x14ac:dyDescent="0.25">
      <c r="A68" s="1">
        <v>63</v>
      </c>
      <c r="B68" s="1" t="s">
        <v>2</v>
      </c>
      <c r="C68" s="1" t="str">
        <f>IF($B68 = "Production Item", _xlfn.XLOOKUP($A68, 'Instrument Table'!$J:$J, 'Instrument Table'!$B:$B, $C67), IF($B68 = "Service Item", _xlfn.XLOOKUP($A68, 'Instrument Table'!$I:$I, 'Instrument Table'!$B:$B, $C67), _xlfn.XLOOKUP($A68, 'Instrument Table'!$H:$H, 'Instrument Table'!$B:$B, $C67)))</f>
        <v>Grand Piano</v>
      </c>
      <c r="D68" s="1" t="str">
        <f>VLOOKUP($C68, 'Instrument Table'!$B:$C, 2, FALSE)</f>
        <v>Pianos</v>
      </c>
      <c r="E68" s="1">
        <f t="shared" si="0"/>
        <v>1</v>
      </c>
      <c r="F68" s="1">
        <f>_xlfn.XLOOKUP($C68, 'Instrument Table'!$B:$B, 'Instrument Table'!$A:$A, "")</f>
        <v>10</v>
      </c>
      <c r="G68" s="1" t="str">
        <f>TEXT(IF($B68 = "Retail Item", IF((ROW($A68) - 4504 - _xlfn.XMATCH($C68, $C$4506:$C$5005, 0, 1)) &lt;= VLOOKUP($C68, 'Instrument Table'!$B:$D, 3, FALSE), ROW($A68) - 4504 - _xlfn.XMATCH($C68, $C$4506:$C$5005, 0, 1), 0), 0), "00")</f>
        <v>00</v>
      </c>
      <c r="H68" s="1" t="str">
        <f t="shared" si="1"/>
        <v>062</v>
      </c>
      <c r="I68" s="1" t="str">
        <f t="shared" si="2"/>
        <v>11000-062</v>
      </c>
      <c r="J68" s="1" t="str">
        <f t="shared" si="3"/>
        <v>Grand piano production item #062</v>
      </c>
      <c r="K68" s="1" t="str">
        <f>IF(SUM(COUNTIFS(I:I, I68)) &gt; 1, "DUPLICATE", "UNIQUE")</f>
        <v>UNIQUE</v>
      </c>
      <c r="L68" s="18">
        <v>0</v>
      </c>
      <c r="M68" s="28">
        <v>9</v>
      </c>
      <c r="N68" s="6">
        <v>256</v>
      </c>
      <c r="O68" s="30">
        <f t="shared" si="4"/>
        <v>0</v>
      </c>
      <c r="P68" s="30">
        <f t="shared" si="5"/>
        <v>2304</v>
      </c>
      <c r="Q68" s="1">
        <f>COUNTIFS($P:$P, "&gt;" &amp; $P68) + 1</f>
        <v>3118</v>
      </c>
      <c r="R68" s="63">
        <f>(COUNTIFS($P:$P, "&gt;" &amp; $P68) + 1) / (COUNTA($I:$I) - 1)</f>
        <v>0.62360000000000004</v>
      </c>
      <c r="S68" s="23">
        <f>SUMIFS($P:$P, $Q:$Q, "&lt;" &amp; $Q68)</f>
        <v>185224654</v>
      </c>
    </row>
    <row r="69" spans="1:19" x14ac:dyDescent="0.25">
      <c r="A69" s="1">
        <v>64</v>
      </c>
      <c r="B69" s="1" t="s">
        <v>2</v>
      </c>
      <c r="C69" s="1" t="str">
        <f>IF($B69 = "Production Item", _xlfn.XLOOKUP($A69, 'Instrument Table'!$J:$J, 'Instrument Table'!$B:$B, $C68), IF($B69 = "Service Item", _xlfn.XLOOKUP($A69, 'Instrument Table'!$I:$I, 'Instrument Table'!$B:$B, $C68), _xlfn.XLOOKUP($A69, 'Instrument Table'!$H:$H, 'Instrument Table'!$B:$B, $C68)))</f>
        <v>Grand Piano</v>
      </c>
      <c r="D69" s="1" t="str">
        <f>VLOOKUP($C69, 'Instrument Table'!$B:$C, 2, FALSE)</f>
        <v>Pianos</v>
      </c>
      <c r="E69" s="1">
        <f t="shared" si="0"/>
        <v>1</v>
      </c>
      <c r="F69" s="1">
        <f>_xlfn.XLOOKUP($C69, 'Instrument Table'!$B:$B, 'Instrument Table'!$A:$A, "")</f>
        <v>10</v>
      </c>
      <c r="G69" s="1" t="str">
        <f>TEXT(IF($B69 = "Retail Item", IF((ROW($A69) - 4504 - _xlfn.XMATCH($C69, $C$4506:$C$5005, 0, 1)) &lt;= VLOOKUP($C69, 'Instrument Table'!$B:$D, 3, FALSE), ROW($A69) - 4504 - _xlfn.XMATCH($C69, $C$4506:$C$5005, 0, 1), 0), 0), "00")</f>
        <v>00</v>
      </c>
      <c r="H69" s="1" t="str">
        <f t="shared" si="1"/>
        <v>063</v>
      </c>
      <c r="I69" s="1" t="str">
        <f t="shared" si="2"/>
        <v>11000-063</v>
      </c>
      <c r="J69" s="1" t="str">
        <f t="shared" si="3"/>
        <v>Grand piano production item #063</v>
      </c>
      <c r="K69" s="1" t="str">
        <f>IF(SUM(COUNTIFS(I:I, I69)) &gt; 1, "DUPLICATE", "UNIQUE")</f>
        <v>UNIQUE</v>
      </c>
      <c r="L69" s="18">
        <v>1</v>
      </c>
      <c r="M69" s="28">
        <v>57</v>
      </c>
      <c r="N69" s="6">
        <v>49</v>
      </c>
      <c r="O69" s="30">
        <f t="shared" si="4"/>
        <v>57</v>
      </c>
      <c r="P69" s="30">
        <f t="shared" si="5"/>
        <v>2793</v>
      </c>
      <c r="Q69" s="1">
        <f>COUNTIFS($P:$P, "&gt;" &amp; $P69) + 1</f>
        <v>2962</v>
      </c>
      <c r="R69" s="63">
        <f>(COUNTIFS($P:$P, "&gt;" &amp; $P69) + 1) / (COUNTA($I:$I) - 1)</f>
        <v>0.59240000000000004</v>
      </c>
      <c r="S69" s="23">
        <f>SUMIFS($P:$P, $Q:$Q, "&lt;" &amp; $Q69)</f>
        <v>184828949</v>
      </c>
    </row>
    <row r="70" spans="1:19" x14ac:dyDescent="0.25">
      <c r="A70" s="1">
        <v>65</v>
      </c>
      <c r="B70" s="1" t="s">
        <v>2</v>
      </c>
      <c r="C70" s="1" t="str">
        <f>IF($B70 = "Production Item", _xlfn.XLOOKUP($A70, 'Instrument Table'!$J:$J, 'Instrument Table'!$B:$B, $C69), IF($B70 = "Service Item", _xlfn.XLOOKUP($A70, 'Instrument Table'!$I:$I, 'Instrument Table'!$B:$B, $C69), _xlfn.XLOOKUP($A70, 'Instrument Table'!$H:$H, 'Instrument Table'!$B:$B, $C69)))</f>
        <v>Grand Piano</v>
      </c>
      <c r="D70" s="1" t="str">
        <f>VLOOKUP($C70, 'Instrument Table'!$B:$C, 2, FALSE)</f>
        <v>Pianos</v>
      </c>
      <c r="E70" s="1">
        <f t="shared" si="0"/>
        <v>1</v>
      </c>
      <c r="F70" s="1">
        <f>_xlfn.XLOOKUP($C70, 'Instrument Table'!$B:$B, 'Instrument Table'!$A:$A, "")</f>
        <v>10</v>
      </c>
      <c r="G70" s="1" t="str">
        <f>TEXT(IF($B70 = "Retail Item", IF((ROW($A70) - 4504 - _xlfn.XMATCH($C70, $C$4506:$C$5005, 0, 1)) &lt;= VLOOKUP($C70, 'Instrument Table'!$B:$D, 3, FALSE), ROW($A70) - 4504 - _xlfn.XMATCH($C70, $C$4506:$C$5005, 0, 1), 0), 0), "00")</f>
        <v>00</v>
      </c>
      <c r="H70" s="1" t="str">
        <f t="shared" si="1"/>
        <v>064</v>
      </c>
      <c r="I70" s="1" t="str">
        <f t="shared" si="2"/>
        <v>11000-064</v>
      </c>
      <c r="J70" s="1" t="str">
        <f t="shared" si="3"/>
        <v>Grand piano production item #064</v>
      </c>
      <c r="K70" s="1" t="str">
        <f>IF(SUM(COUNTIFS(I:I, I70)) &gt; 1, "DUPLICATE", "UNIQUE")</f>
        <v>UNIQUE</v>
      </c>
      <c r="L70" s="18">
        <v>0</v>
      </c>
      <c r="M70" s="28">
        <v>26</v>
      </c>
      <c r="N70" s="6">
        <v>121</v>
      </c>
      <c r="O70" s="30">
        <f t="shared" si="4"/>
        <v>0</v>
      </c>
      <c r="P70" s="30">
        <f t="shared" si="5"/>
        <v>3146</v>
      </c>
      <c r="Q70" s="1">
        <f>COUNTIFS($P:$P, "&gt;" &amp; $P70) + 1</f>
        <v>2872</v>
      </c>
      <c r="R70" s="63">
        <f>(COUNTIFS($P:$P, "&gt;" &amp; $P70) + 1) / (COUNTA($I:$I) - 1)</f>
        <v>0.57440000000000002</v>
      </c>
      <c r="S70" s="23">
        <f>SUMIFS($P:$P, $Q:$Q, "&lt;" &amp; $Q70)</f>
        <v>184561934</v>
      </c>
    </row>
    <row r="71" spans="1:19" x14ac:dyDescent="0.25">
      <c r="A71" s="1">
        <v>66</v>
      </c>
      <c r="B71" s="1" t="s">
        <v>2</v>
      </c>
      <c r="C71" s="1" t="str">
        <f>IF($B71 = "Production Item", _xlfn.XLOOKUP($A71, 'Instrument Table'!$J:$J, 'Instrument Table'!$B:$B, $C70), IF($B71 = "Service Item", _xlfn.XLOOKUP($A71, 'Instrument Table'!$I:$I, 'Instrument Table'!$B:$B, $C70), _xlfn.XLOOKUP($A71, 'Instrument Table'!$H:$H, 'Instrument Table'!$B:$B, $C70)))</f>
        <v>Grand Piano</v>
      </c>
      <c r="D71" s="1" t="str">
        <f>VLOOKUP($C71, 'Instrument Table'!$B:$C, 2, FALSE)</f>
        <v>Pianos</v>
      </c>
      <c r="E71" s="1">
        <f t="shared" ref="E71:E134" si="6">IF($B71 = "Production Item", 1, IF($B71 = "Service Item", 2, IF($B71 = "Retail Item", 3, "")))</f>
        <v>1</v>
      </c>
      <c r="F71" s="1">
        <f>_xlfn.XLOOKUP($C71, 'Instrument Table'!$B:$B, 'Instrument Table'!$A:$A, "")</f>
        <v>10</v>
      </c>
      <c r="G71" s="1" t="str">
        <f>TEXT(IF($B71 = "Retail Item", IF((ROW($A71) - 4504 - _xlfn.XMATCH($C71, $C$4506:$C$5005, 0, 1)) &lt;= VLOOKUP($C71, 'Instrument Table'!$B:$D, 3, FALSE), ROW($A71) - 4504 - _xlfn.XMATCH($C71, $C$4506:$C$5005, 0, 1), 0), 0), "00")</f>
        <v>00</v>
      </c>
      <c r="H71" s="1" t="str">
        <f t="shared" ref="H71:H134" si="7">TEXT(IF($E71 &amp; $F71 &amp; $G71 = $E70 &amp; $F70 &amp; $G70, 1 + H70, 0), "000")</f>
        <v>065</v>
      </c>
      <c r="I71" s="1" t="str">
        <f t="shared" ref="I71:I134" si="8" xml:space="preserve"> _xlfn.CONCAT($E71, $F71, $G71, "-", H71)</f>
        <v>11000-065</v>
      </c>
      <c r="J71" s="1" t="str">
        <f t="shared" ref="J71:J134" si="9">LEFT($C71, 1) &amp; LOWER(RIGHT($C71, LEN($C71) - 1)) &amp; IF(AND($G71 &lt;&gt; "00", $B71 = "Retail Item"), " model #" &amp; $G71, " " &amp; LOWER($B71) &amp; " #" &amp; $H71)</f>
        <v>Grand piano production item #065</v>
      </c>
      <c r="K71" s="1" t="str">
        <f>IF(SUM(COUNTIFS(I:I, I71)) &gt; 1, "DUPLICATE", "UNIQUE")</f>
        <v>UNIQUE</v>
      </c>
      <c r="L71" s="18">
        <v>16</v>
      </c>
      <c r="M71" s="28">
        <v>4</v>
      </c>
      <c r="N71" s="6">
        <v>81</v>
      </c>
      <c r="O71" s="30">
        <f t="shared" ref="O71:O134" si="10">$L71 * $M71</f>
        <v>64</v>
      </c>
      <c r="P71" s="30">
        <f t="shared" ref="P71:P134" si="11">$N71 * $M71</f>
        <v>324</v>
      </c>
      <c r="Q71" s="1">
        <f>COUNTIFS($P:$P, "&gt;" &amp; $P71) + 1</f>
        <v>4180</v>
      </c>
      <c r="R71" s="63">
        <f>(COUNTIFS($P:$P, "&gt;" &amp; $P71) + 1) / (COUNTA($I:$I) - 1)</f>
        <v>0.83599999999999997</v>
      </c>
      <c r="S71" s="23">
        <f>SUMIFS($P:$P, $Q:$Q, "&lt;" &amp; $Q71)</f>
        <v>186473950</v>
      </c>
    </row>
    <row r="72" spans="1:19" x14ac:dyDescent="0.25">
      <c r="A72" s="1">
        <v>67</v>
      </c>
      <c r="B72" s="1" t="s">
        <v>2</v>
      </c>
      <c r="C72" s="1" t="str">
        <f>IF($B72 = "Production Item", _xlfn.XLOOKUP($A72, 'Instrument Table'!$J:$J, 'Instrument Table'!$B:$B, $C71), IF($B72 = "Service Item", _xlfn.XLOOKUP($A72, 'Instrument Table'!$I:$I, 'Instrument Table'!$B:$B, $C71), _xlfn.XLOOKUP($A72, 'Instrument Table'!$H:$H, 'Instrument Table'!$B:$B, $C71)))</f>
        <v>Grand Piano</v>
      </c>
      <c r="D72" s="1" t="str">
        <f>VLOOKUP($C72, 'Instrument Table'!$B:$C, 2, FALSE)</f>
        <v>Pianos</v>
      </c>
      <c r="E72" s="1">
        <f t="shared" si="6"/>
        <v>1</v>
      </c>
      <c r="F72" s="1">
        <f>_xlfn.XLOOKUP($C72, 'Instrument Table'!$B:$B, 'Instrument Table'!$A:$A, "")</f>
        <v>10</v>
      </c>
      <c r="G72" s="1" t="str">
        <f>TEXT(IF($B72 = "Retail Item", IF((ROW($A72) - 4504 - _xlfn.XMATCH($C72, $C$4506:$C$5005, 0, 1)) &lt;= VLOOKUP($C72, 'Instrument Table'!$B:$D, 3, FALSE), ROW($A72) - 4504 - _xlfn.XMATCH($C72, $C$4506:$C$5005, 0, 1), 0), 0), "00")</f>
        <v>00</v>
      </c>
      <c r="H72" s="1" t="str">
        <f t="shared" si="7"/>
        <v>066</v>
      </c>
      <c r="I72" s="1" t="str">
        <f t="shared" si="8"/>
        <v>11000-066</v>
      </c>
      <c r="J72" s="1" t="str">
        <f t="shared" si="9"/>
        <v>Grand piano production item #066</v>
      </c>
      <c r="K72" s="1" t="str">
        <f>IF(SUM(COUNTIFS(I:I, I72)) &gt; 1, "DUPLICATE", "UNIQUE")</f>
        <v>UNIQUE</v>
      </c>
      <c r="L72" s="18">
        <v>1</v>
      </c>
      <c r="M72" s="28">
        <v>7</v>
      </c>
      <c r="N72" s="6">
        <v>9</v>
      </c>
      <c r="O72" s="30">
        <f t="shared" si="10"/>
        <v>7</v>
      </c>
      <c r="P72" s="30">
        <f t="shared" si="11"/>
        <v>63</v>
      </c>
      <c r="Q72" s="1">
        <f>COUNTIFS($P:$P, "&gt;" &amp; $P72) + 1</f>
        <v>4568</v>
      </c>
      <c r="R72" s="63">
        <f>(COUNTIFS($P:$P, "&gt;" &amp; $P72) + 1) / (COUNTA($I:$I) - 1)</f>
        <v>0.91359999999999997</v>
      </c>
      <c r="S72" s="23">
        <f>SUMIFS($P:$P, $Q:$Q, "&lt;" &amp; $Q72)</f>
        <v>186541810</v>
      </c>
    </row>
    <row r="73" spans="1:19" x14ac:dyDescent="0.25">
      <c r="A73" s="1">
        <v>68</v>
      </c>
      <c r="B73" s="1" t="s">
        <v>2</v>
      </c>
      <c r="C73" s="1" t="str">
        <f>IF($B73 = "Production Item", _xlfn.XLOOKUP($A73, 'Instrument Table'!$J:$J, 'Instrument Table'!$B:$B, $C72), IF($B73 = "Service Item", _xlfn.XLOOKUP($A73, 'Instrument Table'!$I:$I, 'Instrument Table'!$B:$B, $C72), _xlfn.XLOOKUP($A73, 'Instrument Table'!$H:$H, 'Instrument Table'!$B:$B, $C72)))</f>
        <v>Grand Piano</v>
      </c>
      <c r="D73" s="1" t="str">
        <f>VLOOKUP($C73, 'Instrument Table'!$B:$C, 2, FALSE)</f>
        <v>Pianos</v>
      </c>
      <c r="E73" s="1">
        <f t="shared" si="6"/>
        <v>1</v>
      </c>
      <c r="F73" s="1">
        <f>_xlfn.XLOOKUP($C73, 'Instrument Table'!$B:$B, 'Instrument Table'!$A:$A, "")</f>
        <v>10</v>
      </c>
      <c r="G73" s="1" t="str">
        <f>TEXT(IF($B73 = "Retail Item", IF((ROW($A73) - 4504 - _xlfn.XMATCH($C73, $C$4506:$C$5005, 0, 1)) &lt;= VLOOKUP($C73, 'Instrument Table'!$B:$D, 3, FALSE), ROW($A73) - 4504 - _xlfn.XMATCH($C73, $C$4506:$C$5005, 0, 1), 0), 0), "00")</f>
        <v>00</v>
      </c>
      <c r="H73" s="1" t="str">
        <f t="shared" si="7"/>
        <v>067</v>
      </c>
      <c r="I73" s="1" t="str">
        <f t="shared" si="8"/>
        <v>11000-067</v>
      </c>
      <c r="J73" s="1" t="str">
        <f t="shared" si="9"/>
        <v>Grand piano production item #067</v>
      </c>
      <c r="K73" s="1" t="str">
        <f>IF(SUM(COUNTIFS(I:I, I73)) &gt; 1, "DUPLICATE", "UNIQUE")</f>
        <v>UNIQUE</v>
      </c>
      <c r="L73" s="18">
        <v>0</v>
      </c>
      <c r="M73" s="28">
        <v>3</v>
      </c>
      <c r="N73" s="6">
        <v>9</v>
      </c>
      <c r="O73" s="30">
        <f t="shared" si="10"/>
        <v>0</v>
      </c>
      <c r="P73" s="30">
        <f t="shared" si="11"/>
        <v>27</v>
      </c>
      <c r="Q73" s="1">
        <f>COUNTIFS($P:$P, "&gt;" &amp; $P73) + 1</f>
        <v>4677</v>
      </c>
      <c r="R73" s="63">
        <f>(COUNTIFS($P:$P, "&gt;" &amp; $P73) + 1) / (COUNTA($I:$I) - 1)</f>
        <v>0.93540000000000001</v>
      </c>
      <c r="S73" s="23">
        <f>SUMIFS($P:$P, $Q:$Q, "&lt;" &amp; $Q73)</f>
        <v>186546888</v>
      </c>
    </row>
    <row r="74" spans="1:19" x14ac:dyDescent="0.25">
      <c r="A74" s="1">
        <v>69</v>
      </c>
      <c r="B74" s="1" t="s">
        <v>2</v>
      </c>
      <c r="C74" s="1" t="str">
        <f>IF($B74 = "Production Item", _xlfn.XLOOKUP($A74, 'Instrument Table'!$J:$J, 'Instrument Table'!$B:$B, $C73), IF($B74 = "Service Item", _xlfn.XLOOKUP($A74, 'Instrument Table'!$I:$I, 'Instrument Table'!$B:$B, $C73), _xlfn.XLOOKUP($A74, 'Instrument Table'!$H:$H, 'Instrument Table'!$B:$B, $C73)))</f>
        <v>Grand Piano</v>
      </c>
      <c r="D74" s="1" t="str">
        <f>VLOOKUP($C74, 'Instrument Table'!$B:$C, 2, FALSE)</f>
        <v>Pianos</v>
      </c>
      <c r="E74" s="1">
        <f t="shared" si="6"/>
        <v>1</v>
      </c>
      <c r="F74" s="1">
        <f>_xlfn.XLOOKUP($C74, 'Instrument Table'!$B:$B, 'Instrument Table'!$A:$A, "")</f>
        <v>10</v>
      </c>
      <c r="G74" s="1" t="str">
        <f>TEXT(IF($B74 = "Retail Item", IF((ROW($A74) - 4504 - _xlfn.XMATCH($C74, $C$4506:$C$5005, 0, 1)) &lt;= VLOOKUP($C74, 'Instrument Table'!$B:$D, 3, FALSE), ROW($A74) - 4504 - _xlfn.XMATCH($C74, $C$4506:$C$5005, 0, 1), 0), 0), "00")</f>
        <v>00</v>
      </c>
      <c r="H74" s="1" t="str">
        <f t="shared" si="7"/>
        <v>068</v>
      </c>
      <c r="I74" s="1" t="str">
        <f t="shared" si="8"/>
        <v>11000-068</v>
      </c>
      <c r="J74" s="1" t="str">
        <f t="shared" si="9"/>
        <v>Grand piano production item #068</v>
      </c>
      <c r="K74" s="1" t="str">
        <f>IF(SUM(COUNTIFS(I:I, I74)) &gt; 1, "DUPLICATE", "UNIQUE")</f>
        <v>UNIQUE</v>
      </c>
      <c r="L74" s="18">
        <v>1</v>
      </c>
      <c r="M74" s="28">
        <v>41</v>
      </c>
      <c r="N74" s="6">
        <v>225</v>
      </c>
      <c r="O74" s="30">
        <f t="shared" si="10"/>
        <v>41</v>
      </c>
      <c r="P74" s="30">
        <f t="shared" si="11"/>
        <v>9225</v>
      </c>
      <c r="Q74" s="1">
        <f>COUNTIFS($P:$P, "&gt;" &amp; $P74) + 1</f>
        <v>1848</v>
      </c>
      <c r="R74" s="63">
        <f>(COUNTIFS($P:$P, "&gt;" &amp; $P74) + 1) / (COUNTA($I:$I) - 1)</f>
        <v>0.36959999999999998</v>
      </c>
      <c r="S74" s="23">
        <f>SUMIFS($P:$P, $Q:$Q, "&lt;" &amp; $Q74)</f>
        <v>178695374</v>
      </c>
    </row>
    <row r="75" spans="1:19" x14ac:dyDescent="0.25">
      <c r="A75" s="1">
        <v>70</v>
      </c>
      <c r="B75" s="1" t="s">
        <v>2</v>
      </c>
      <c r="C75" s="1" t="str">
        <f>IF($B75 = "Production Item", _xlfn.XLOOKUP($A75, 'Instrument Table'!$J:$J, 'Instrument Table'!$B:$B, $C74), IF($B75 = "Service Item", _xlfn.XLOOKUP($A75, 'Instrument Table'!$I:$I, 'Instrument Table'!$B:$B, $C74), _xlfn.XLOOKUP($A75, 'Instrument Table'!$H:$H, 'Instrument Table'!$B:$B, $C74)))</f>
        <v>Grand Piano</v>
      </c>
      <c r="D75" s="1" t="str">
        <f>VLOOKUP($C75, 'Instrument Table'!$B:$C, 2, FALSE)</f>
        <v>Pianos</v>
      </c>
      <c r="E75" s="1">
        <f t="shared" si="6"/>
        <v>1</v>
      </c>
      <c r="F75" s="1">
        <f>_xlfn.XLOOKUP($C75, 'Instrument Table'!$B:$B, 'Instrument Table'!$A:$A, "")</f>
        <v>10</v>
      </c>
      <c r="G75" s="1" t="str">
        <f>TEXT(IF($B75 = "Retail Item", IF((ROW($A75) - 4504 - _xlfn.XMATCH($C75, $C$4506:$C$5005, 0, 1)) &lt;= VLOOKUP($C75, 'Instrument Table'!$B:$D, 3, FALSE), ROW($A75) - 4504 - _xlfn.XMATCH($C75, $C$4506:$C$5005, 0, 1), 0), 0), "00")</f>
        <v>00</v>
      </c>
      <c r="H75" s="1" t="str">
        <f t="shared" si="7"/>
        <v>069</v>
      </c>
      <c r="I75" s="1" t="str">
        <f t="shared" si="8"/>
        <v>11000-069</v>
      </c>
      <c r="J75" s="1" t="str">
        <f t="shared" si="9"/>
        <v>Grand piano production item #069</v>
      </c>
      <c r="K75" s="1" t="str">
        <f>IF(SUM(COUNTIFS(I:I, I75)) &gt; 1, "DUPLICATE", "UNIQUE")</f>
        <v>UNIQUE</v>
      </c>
      <c r="L75" s="18">
        <v>0</v>
      </c>
      <c r="M75" s="28">
        <v>52</v>
      </c>
      <c r="N75" s="6">
        <v>100</v>
      </c>
      <c r="O75" s="30">
        <f t="shared" si="10"/>
        <v>0</v>
      </c>
      <c r="P75" s="30">
        <f t="shared" si="11"/>
        <v>5200</v>
      </c>
      <c r="Q75" s="1">
        <f>COUNTIFS($P:$P, "&gt;" &amp; $P75) + 1</f>
        <v>2403</v>
      </c>
      <c r="R75" s="63">
        <f>(COUNTIFS($P:$P, "&gt;" &amp; $P75) + 1) / (COUNTA($I:$I) - 1)</f>
        <v>0.48060000000000003</v>
      </c>
      <c r="S75" s="23">
        <f>SUMIFS($P:$P, $Q:$Q, "&lt;" &amp; $Q75)</f>
        <v>182632128</v>
      </c>
    </row>
    <row r="76" spans="1:19" x14ac:dyDescent="0.25">
      <c r="A76" s="1">
        <v>71</v>
      </c>
      <c r="B76" s="1" t="s">
        <v>2</v>
      </c>
      <c r="C76" s="1" t="str">
        <f>IF($B76 = "Production Item", _xlfn.XLOOKUP($A76, 'Instrument Table'!$J:$J, 'Instrument Table'!$B:$B, $C75), IF($B76 = "Service Item", _xlfn.XLOOKUP($A76, 'Instrument Table'!$I:$I, 'Instrument Table'!$B:$B, $C75), _xlfn.XLOOKUP($A76, 'Instrument Table'!$H:$H, 'Instrument Table'!$B:$B, $C75)))</f>
        <v>Grand Piano</v>
      </c>
      <c r="D76" s="1" t="str">
        <f>VLOOKUP($C76, 'Instrument Table'!$B:$C, 2, FALSE)</f>
        <v>Pianos</v>
      </c>
      <c r="E76" s="1">
        <f t="shared" si="6"/>
        <v>1</v>
      </c>
      <c r="F76" s="1">
        <f>_xlfn.XLOOKUP($C76, 'Instrument Table'!$B:$B, 'Instrument Table'!$A:$A, "")</f>
        <v>10</v>
      </c>
      <c r="G76" s="1" t="str">
        <f>TEXT(IF($B76 = "Retail Item", IF((ROW($A76) - 4504 - _xlfn.XMATCH($C76, $C$4506:$C$5005, 0, 1)) &lt;= VLOOKUP($C76, 'Instrument Table'!$B:$D, 3, FALSE), ROW($A76) - 4504 - _xlfn.XMATCH($C76, $C$4506:$C$5005, 0, 1), 0), 0), "00")</f>
        <v>00</v>
      </c>
      <c r="H76" s="1" t="str">
        <f t="shared" si="7"/>
        <v>070</v>
      </c>
      <c r="I76" s="1" t="str">
        <f t="shared" si="8"/>
        <v>11000-070</v>
      </c>
      <c r="J76" s="1" t="str">
        <f t="shared" si="9"/>
        <v>Grand piano production item #070</v>
      </c>
      <c r="K76" s="1" t="str">
        <f>IF(SUM(COUNTIFS(I:I, I76)) &gt; 1, "DUPLICATE", "UNIQUE")</f>
        <v>UNIQUE</v>
      </c>
      <c r="L76" s="18">
        <v>0</v>
      </c>
      <c r="M76" s="28">
        <v>95</v>
      </c>
      <c r="N76" s="6">
        <v>1</v>
      </c>
      <c r="O76" s="30">
        <f t="shared" si="10"/>
        <v>0</v>
      </c>
      <c r="P76" s="30">
        <f t="shared" si="11"/>
        <v>95</v>
      </c>
      <c r="Q76" s="1">
        <f>COUNTIFS($P:$P, "&gt;" &amp; $P76) + 1</f>
        <v>4471</v>
      </c>
      <c r="R76" s="63">
        <f>(COUNTIFS($P:$P, "&gt;" &amp; $P76) + 1) / (COUNTA($I:$I) - 1)</f>
        <v>0.89419999999999999</v>
      </c>
      <c r="S76" s="23">
        <f>SUMIFS($P:$P, $Q:$Q, "&lt;" &amp; $Q76)</f>
        <v>186534282</v>
      </c>
    </row>
    <row r="77" spans="1:19" x14ac:dyDescent="0.25">
      <c r="A77" s="1">
        <v>72</v>
      </c>
      <c r="B77" s="1" t="s">
        <v>2</v>
      </c>
      <c r="C77" s="1" t="str">
        <f>IF($B77 = "Production Item", _xlfn.XLOOKUP($A77, 'Instrument Table'!$J:$J, 'Instrument Table'!$B:$B, $C76), IF($B77 = "Service Item", _xlfn.XLOOKUP($A77, 'Instrument Table'!$I:$I, 'Instrument Table'!$B:$B, $C76), _xlfn.XLOOKUP($A77, 'Instrument Table'!$H:$H, 'Instrument Table'!$B:$B, $C76)))</f>
        <v>Grand Piano</v>
      </c>
      <c r="D77" s="1" t="str">
        <f>VLOOKUP($C77, 'Instrument Table'!$B:$C, 2, FALSE)</f>
        <v>Pianos</v>
      </c>
      <c r="E77" s="1">
        <f t="shared" si="6"/>
        <v>1</v>
      </c>
      <c r="F77" s="1">
        <f>_xlfn.XLOOKUP($C77, 'Instrument Table'!$B:$B, 'Instrument Table'!$A:$A, "")</f>
        <v>10</v>
      </c>
      <c r="G77" s="1" t="str">
        <f>TEXT(IF($B77 = "Retail Item", IF((ROW($A77) - 4504 - _xlfn.XMATCH($C77, $C$4506:$C$5005, 0, 1)) &lt;= VLOOKUP($C77, 'Instrument Table'!$B:$D, 3, FALSE), ROW($A77) - 4504 - _xlfn.XMATCH($C77, $C$4506:$C$5005, 0, 1), 0), 0), "00")</f>
        <v>00</v>
      </c>
      <c r="H77" s="1" t="str">
        <f t="shared" si="7"/>
        <v>071</v>
      </c>
      <c r="I77" s="1" t="str">
        <f t="shared" si="8"/>
        <v>11000-071</v>
      </c>
      <c r="J77" s="1" t="str">
        <f t="shared" si="9"/>
        <v>Grand piano production item #071</v>
      </c>
      <c r="K77" s="1" t="str">
        <f>IF(SUM(COUNTIFS(I:I, I77)) &gt; 1, "DUPLICATE", "UNIQUE")</f>
        <v>UNIQUE</v>
      </c>
      <c r="L77" s="18">
        <v>0</v>
      </c>
      <c r="M77" s="28">
        <v>74</v>
      </c>
      <c r="N77" s="6">
        <v>361</v>
      </c>
      <c r="O77" s="30">
        <f t="shared" si="10"/>
        <v>0</v>
      </c>
      <c r="P77" s="30">
        <f t="shared" si="11"/>
        <v>26714</v>
      </c>
      <c r="Q77" s="1">
        <f>COUNTIFS($P:$P, "&gt;" &amp; $P77) + 1</f>
        <v>766</v>
      </c>
      <c r="R77" s="63">
        <f>(COUNTIFS($P:$P, "&gt;" &amp; $P77) + 1) / (COUNTA($I:$I) - 1)</f>
        <v>0.1532</v>
      </c>
      <c r="S77" s="23">
        <f>SUMIFS($P:$P, $Q:$Q, "&lt;" &amp; $Q77)</f>
        <v>160936432</v>
      </c>
    </row>
    <row r="78" spans="1:19" x14ac:dyDescent="0.25">
      <c r="A78" s="1">
        <v>73</v>
      </c>
      <c r="B78" s="1" t="s">
        <v>2</v>
      </c>
      <c r="C78" s="1" t="str">
        <f>IF($B78 = "Production Item", _xlfn.XLOOKUP($A78, 'Instrument Table'!$J:$J, 'Instrument Table'!$B:$B, $C77), IF($B78 = "Service Item", _xlfn.XLOOKUP($A78, 'Instrument Table'!$I:$I, 'Instrument Table'!$B:$B, $C77), _xlfn.XLOOKUP($A78, 'Instrument Table'!$H:$H, 'Instrument Table'!$B:$B, $C77)))</f>
        <v>Grand Piano</v>
      </c>
      <c r="D78" s="1" t="str">
        <f>VLOOKUP($C78, 'Instrument Table'!$B:$C, 2, FALSE)</f>
        <v>Pianos</v>
      </c>
      <c r="E78" s="1">
        <f t="shared" si="6"/>
        <v>1</v>
      </c>
      <c r="F78" s="1">
        <f>_xlfn.XLOOKUP($C78, 'Instrument Table'!$B:$B, 'Instrument Table'!$A:$A, "")</f>
        <v>10</v>
      </c>
      <c r="G78" s="1" t="str">
        <f>TEXT(IF($B78 = "Retail Item", IF((ROW($A78) - 4504 - _xlfn.XMATCH($C78, $C$4506:$C$5005, 0, 1)) &lt;= VLOOKUP($C78, 'Instrument Table'!$B:$D, 3, FALSE), ROW($A78) - 4504 - _xlfn.XMATCH($C78, $C$4506:$C$5005, 0, 1), 0), 0), "00")</f>
        <v>00</v>
      </c>
      <c r="H78" s="1" t="str">
        <f t="shared" si="7"/>
        <v>072</v>
      </c>
      <c r="I78" s="1" t="str">
        <f t="shared" si="8"/>
        <v>11000-072</v>
      </c>
      <c r="J78" s="1" t="str">
        <f t="shared" si="9"/>
        <v>Grand piano production item #072</v>
      </c>
      <c r="K78" s="1" t="str">
        <f>IF(SUM(COUNTIFS(I:I, I78)) &gt; 1, "DUPLICATE", "UNIQUE")</f>
        <v>UNIQUE</v>
      </c>
      <c r="L78" s="18">
        <v>0</v>
      </c>
      <c r="M78" s="28">
        <v>65</v>
      </c>
      <c r="N78" s="6">
        <v>225</v>
      </c>
      <c r="O78" s="30">
        <f t="shared" si="10"/>
        <v>0</v>
      </c>
      <c r="P78" s="30">
        <f t="shared" si="11"/>
        <v>14625</v>
      </c>
      <c r="Q78" s="1">
        <f>COUNTIFS($P:$P, "&gt;" &amp; $P78) + 1</f>
        <v>1375</v>
      </c>
      <c r="R78" s="63">
        <f>(COUNTIFS($P:$P, "&gt;" &amp; $P78) + 1) / (COUNTA($I:$I) - 1)</f>
        <v>0.27500000000000002</v>
      </c>
      <c r="S78" s="23">
        <f>SUMIFS($P:$P, $Q:$Q, "&lt;" &amp; $Q78)</f>
        <v>173113756</v>
      </c>
    </row>
    <row r="79" spans="1:19" x14ac:dyDescent="0.25">
      <c r="A79" s="1">
        <v>74</v>
      </c>
      <c r="B79" s="1" t="s">
        <v>2</v>
      </c>
      <c r="C79" s="1" t="str">
        <f>IF($B79 = "Production Item", _xlfn.XLOOKUP($A79, 'Instrument Table'!$J:$J, 'Instrument Table'!$B:$B, $C78), IF($B79 = "Service Item", _xlfn.XLOOKUP($A79, 'Instrument Table'!$I:$I, 'Instrument Table'!$B:$B, $C78), _xlfn.XLOOKUP($A79, 'Instrument Table'!$H:$H, 'Instrument Table'!$B:$B, $C78)))</f>
        <v>Grand Piano</v>
      </c>
      <c r="D79" s="1" t="str">
        <f>VLOOKUP($C79, 'Instrument Table'!$B:$C, 2, FALSE)</f>
        <v>Pianos</v>
      </c>
      <c r="E79" s="1">
        <f t="shared" si="6"/>
        <v>1</v>
      </c>
      <c r="F79" s="1">
        <f>_xlfn.XLOOKUP($C79, 'Instrument Table'!$B:$B, 'Instrument Table'!$A:$A, "")</f>
        <v>10</v>
      </c>
      <c r="G79" s="1" t="str">
        <f>TEXT(IF($B79 = "Retail Item", IF((ROW($A79) - 4504 - _xlfn.XMATCH($C79, $C$4506:$C$5005, 0, 1)) &lt;= VLOOKUP($C79, 'Instrument Table'!$B:$D, 3, FALSE), ROW($A79) - 4504 - _xlfn.XMATCH($C79, $C$4506:$C$5005, 0, 1), 0), 0), "00")</f>
        <v>00</v>
      </c>
      <c r="H79" s="1" t="str">
        <f t="shared" si="7"/>
        <v>073</v>
      </c>
      <c r="I79" s="1" t="str">
        <f t="shared" si="8"/>
        <v>11000-073</v>
      </c>
      <c r="J79" s="1" t="str">
        <f t="shared" si="9"/>
        <v>Grand piano production item #073</v>
      </c>
      <c r="K79" s="1" t="str">
        <f>IF(SUM(COUNTIFS(I:I, I79)) &gt; 1, "DUPLICATE", "UNIQUE")</f>
        <v>UNIQUE</v>
      </c>
      <c r="L79" s="18">
        <v>1</v>
      </c>
      <c r="M79" s="28">
        <v>2</v>
      </c>
      <c r="N79" s="6">
        <v>196</v>
      </c>
      <c r="O79" s="30">
        <f t="shared" si="10"/>
        <v>2</v>
      </c>
      <c r="P79" s="30">
        <f t="shared" si="11"/>
        <v>392</v>
      </c>
      <c r="Q79" s="1">
        <f>COUNTIFS($P:$P, "&gt;" &amp; $P79) + 1</f>
        <v>4108</v>
      </c>
      <c r="R79" s="63">
        <f>(COUNTIFS($P:$P, "&gt;" &amp; $P79) + 1) / (COUNTA($I:$I) - 1)</f>
        <v>0.8216</v>
      </c>
      <c r="S79" s="23">
        <f>SUMIFS($P:$P, $Q:$Q, "&lt;" &amp; $Q79)</f>
        <v>186448050</v>
      </c>
    </row>
    <row r="80" spans="1:19" x14ac:dyDescent="0.25">
      <c r="A80" s="1">
        <v>75</v>
      </c>
      <c r="B80" s="1" t="s">
        <v>2</v>
      </c>
      <c r="C80" s="1" t="str">
        <f>IF($B80 = "Production Item", _xlfn.XLOOKUP($A80, 'Instrument Table'!$J:$J, 'Instrument Table'!$B:$B, $C79), IF($B80 = "Service Item", _xlfn.XLOOKUP($A80, 'Instrument Table'!$I:$I, 'Instrument Table'!$B:$B, $C79), _xlfn.XLOOKUP($A80, 'Instrument Table'!$H:$H, 'Instrument Table'!$B:$B, $C79)))</f>
        <v>Grand Piano</v>
      </c>
      <c r="D80" s="1" t="str">
        <f>VLOOKUP($C80, 'Instrument Table'!$B:$C, 2, FALSE)</f>
        <v>Pianos</v>
      </c>
      <c r="E80" s="1">
        <f t="shared" si="6"/>
        <v>1</v>
      </c>
      <c r="F80" s="1">
        <f>_xlfn.XLOOKUP($C80, 'Instrument Table'!$B:$B, 'Instrument Table'!$A:$A, "")</f>
        <v>10</v>
      </c>
      <c r="G80" s="1" t="str">
        <f>TEXT(IF($B80 = "Retail Item", IF((ROW($A80) - 4504 - _xlfn.XMATCH($C80, $C$4506:$C$5005, 0, 1)) &lt;= VLOOKUP($C80, 'Instrument Table'!$B:$D, 3, FALSE), ROW($A80) - 4504 - _xlfn.XMATCH($C80, $C$4506:$C$5005, 0, 1), 0), 0), "00")</f>
        <v>00</v>
      </c>
      <c r="H80" s="1" t="str">
        <f t="shared" si="7"/>
        <v>074</v>
      </c>
      <c r="I80" s="1" t="str">
        <f t="shared" si="8"/>
        <v>11000-074</v>
      </c>
      <c r="J80" s="1" t="str">
        <f t="shared" si="9"/>
        <v>Grand piano production item #074</v>
      </c>
      <c r="K80" s="1" t="str">
        <f>IF(SUM(COUNTIFS(I:I, I80)) &gt; 1, "DUPLICATE", "UNIQUE")</f>
        <v>UNIQUE</v>
      </c>
      <c r="L80" s="18">
        <v>1</v>
      </c>
      <c r="M80" s="28">
        <v>26</v>
      </c>
      <c r="N80" s="6">
        <v>144</v>
      </c>
      <c r="O80" s="30">
        <f t="shared" si="10"/>
        <v>26</v>
      </c>
      <c r="P80" s="30">
        <f t="shared" si="11"/>
        <v>3744</v>
      </c>
      <c r="Q80" s="1">
        <f>COUNTIFS($P:$P, "&gt;" &amp; $P80) + 1</f>
        <v>2710</v>
      </c>
      <c r="R80" s="63">
        <f>(COUNTIFS($P:$P, "&gt;" &amp; $P80) + 1) / (COUNTA($I:$I) - 1)</f>
        <v>0.54200000000000004</v>
      </c>
      <c r="S80" s="23">
        <f>SUMIFS($P:$P, $Q:$Q, "&lt;" &amp; $Q80)</f>
        <v>184004382</v>
      </c>
    </row>
    <row r="81" spans="1:19" x14ac:dyDescent="0.25">
      <c r="A81" s="1">
        <v>76</v>
      </c>
      <c r="B81" s="1" t="s">
        <v>2</v>
      </c>
      <c r="C81" s="1" t="str">
        <f>IF($B81 = "Production Item", _xlfn.XLOOKUP($A81, 'Instrument Table'!$J:$J, 'Instrument Table'!$B:$B, $C80), IF($B81 = "Service Item", _xlfn.XLOOKUP($A81, 'Instrument Table'!$I:$I, 'Instrument Table'!$B:$B, $C80), _xlfn.XLOOKUP($A81, 'Instrument Table'!$H:$H, 'Instrument Table'!$B:$B, $C80)))</f>
        <v>Grand Piano</v>
      </c>
      <c r="D81" s="1" t="str">
        <f>VLOOKUP($C81, 'Instrument Table'!$B:$C, 2, FALSE)</f>
        <v>Pianos</v>
      </c>
      <c r="E81" s="1">
        <f t="shared" si="6"/>
        <v>1</v>
      </c>
      <c r="F81" s="1">
        <f>_xlfn.XLOOKUP($C81, 'Instrument Table'!$B:$B, 'Instrument Table'!$A:$A, "")</f>
        <v>10</v>
      </c>
      <c r="G81" s="1" t="str">
        <f>TEXT(IF($B81 = "Retail Item", IF((ROW($A81) - 4504 - _xlfn.XMATCH($C81, $C$4506:$C$5005, 0, 1)) &lt;= VLOOKUP($C81, 'Instrument Table'!$B:$D, 3, FALSE), ROW($A81) - 4504 - _xlfn.XMATCH($C81, $C$4506:$C$5005, 0, 1), 0), 0), "00")</f>
        <v>00</v>
      </c>
      <c r="H81" s="1" t="str">
        <f t="shared" si="7"/>
        <v>075</v>
      </c>
      <c r="I81" s="1" t="str">
        <f t="shared" si="8"/>
        <v>11000-075</v>
      </c>
      <c r="J81" s="1" t="str">
        <f t="shared" si="9"/>
        <v>Grand piano production item #075</v>
      </c>
      <c r="K81" s="1" t="str">
        <f>IF(SUM(COUNTIFS(I:I, I81)) &gt; 1, "DUPLICATE", "UNIQUE")</f>
        <v>UNIQUE</v>
      </c>
      <c r="L81" s="18">
        <v>8</v>
      </c>
      <c r="M81" s="28">
        <v>91</v>
      </c>
      <c r="N81" s="6">
        <v>256</v>
      </c>
      <c r="O81" s="30">
        <f t="shared" si="10"/>
        <v>728</v>
      </c>
      <c r="P81" s="30">
        <f t="shared" si="11"/>
        <v>23296</v>
      </c>
      <c r="Q81" s="1">
        <f>COUNTIFS($P:$P, "&gt;" &amp; $P81) + 1</f>
        <v>894</v>
      </c>
      <c r="R81" s="63">
        <f>(COUNTIFS($P:$P, "&gt;" &amp; $P81) + 1) / (COUNTA($I:$I) - 1)</f>
        <v>0.17879999999999999</v>
      </c>
      <c r="S81" s="23">
        <f>SUMIFS($P:$P, $Q:$Q, "&lt;" &amp; $Q81)</f>
        <v>164141459</v>
      </c>
    </row>
    <row r="82" spans="1:19" x14ac:dyDescent="0.25">
      <c r="A82" s="1">
        <v>77</v>
      </c>
      <c r="B82" s="1" t="s">
        <v>2</v>
      </c>
      <c r="C82" s="1" t="str">
        <f>IF($B82 = "Production Item", _xlfn.XLOOKUP($A82, 'Instrument Table'!$J:$J, 'Instrument Table'!$B:$B, $C81), IF($B82 = "Service Item", _xlfn.XLOOKUP($A82, 'Instrument Table'!$I:$I, 'Instrument Table'!$B:$B, $C81), _xlfn.XLOOKUP($A82, 'Instrument Table'!$H:$H, 'Instrument Table'!$B:$B, $C81)))</f>
        <v>Grand Piano</v>
      </c>
      <c r="D82" s="1" t="str">
        <f>VLOOKUP($C82, 'Instrument Table'!$B:$C, 2, FALSE)</f>
        <v>Pianos</v>
      </c>
      <c r="E82" s="1">
        <f t="shared" si="6"/>
        <v>1</v>
      </c>
      <c r="F82" s="1">
        <f>_xlfn.XLOOKUP($C82, 'Instrument Table'!$B:$B, 'Instrument Table'!$A:$A, "")</f>
        <v>10</v>
      </c>
      <c r="G82" s="1" t="str">
        <f>TEXT(IF($B82 = "Retail Item", IF((ROW($A82) - 4504 - _xlfn.XMATCH($C82, $C$4506:$C$5005, 0, 1)) &lt;= VLOOKUP($C82, 'Instrument Table'!$B:$D, 3, FALSE), ROW($A82) - 4504 - _xlfn.XMATCH($C82, $C$4506:$C$5005, 0, 1), 0), 0), "00")</f>
        <v>00</v>
      </c>
      <c r="H82" s="1" t="str">
        <f t="shared" si="7"/>
        <v>076</v>
      </c>
      <c r="I82" s="1" t="str">
        <f t="shared" si="8"/>
        <v>11000-076</v>
      </c>
      <c r="J82" s="1" t="str">
        <f t="shared" si="9"/>
        <v>Grand piano production item #076</v>
      </c>
      <c r="K82" s="1" t="str">
        <f>IF(SUM(COUNTIFS(I:I, I82)) &gt; 1, "DUPLICATE", "UNIQUE")</f>
        <v>UNIQUE</v>
      </c>
      <c r="L82" s="18">
        <v>32</v>
      </c>
      <c r="M82" s="28">
        <v>23</v>
      </c>
      <c r="N82" s="6">
        <v>81</v>
      </c>
      <c r="O82" s="30">
        <f t="shared" si="10"/>
        <v>736</v>
      </c>
      <c r="P82" s="30">
        <f t="shared" si="11"/>
        <v>1863</v>
      </c>
      <c r="Q82" s="1">
        <f>COUNTIFS($P:$P, "&gt;" &amp; $P82) + 1</f>
        <v>3310</v>
      </c>
      <c r="R82" s="63">
        <f>(COUNTIFS($P:$P, "&gt;" &amp; $P82) + 1) / (COUNTA($I:$I) - 1)</f>
        <v>0.66200000000000003</v>
      </c>
      <c r="S82" s="23">
        <f>SUMIFS($P:$P, $Q:$Q, "&lt;" &amp; $Q82)</f>
        <v>185627871</v>
      </c>
    </row>
    <row r="83" spans="1:19" x14ac:dyDescent="0.25">
      <c r="A83" s="1">
        <v>78</v>
      </c>
      <c r="B83" s="1" t="s">
        <v>2</v>
      </c>
      <c r="C83" s="1" t="str">
        <f>IF($B83 = "Production Item", _xlfn.XLOOKUP($A83, 'Instrument Table'!$J:$J, 'Instrument Table'!$B:$B, $C82), IF($B83 = "Service Item", _xlfn.XLOOKUP($A83, 'Instrument Table'!$I:$I, 'Instrument Table'!$B:$B, $C82), _xlfn.XLOOKUP($A83, 'Instrument Table'!$H:$H, 'Instrument Table'!$B:$B, $C82)))</f>
        <v>Grand Piano</v>
      </c>
      <c r="D83" s="1" t="str">
        <f>VLOOKUP($C83, 'Instrument Table'!$B:$C, 2, FALSE)</f>
        <v>Pianos</v>
      </c>
      <c r="E83" s="1">
        <f t="shared" si="6"/>
        <v>1</v>
      </c>
      <c r="F83" s="1">
        <f>_xlfn.XLOOKUP($C83, 'Instrument Table'!$B:$B, 'Instrument Table'!$A:$A, "")</f>
        <v>10</v>
      </c>
      <c r="G83" s="1" t="str">
        <f>TEXT(IF($B83 = "Retail Item", IF((ROW($A83) - 4504 - _xlfn.XMATCH($C83, $C$4506:$C$5005, 0, 1)) &lt;= VLOOKUP($C83, 'Instrument Table'!$B:$D, 3, FALSE), ROW($A83) - 4504 - _xlfn.XMATCH($C83, $C$4506:$C$5005, 0, 1), 0), 0), "00")</f>
        <v>00</v>
      </c>
      <c r="H83" s="1" t="str">
        <f t="shared" si="7"/>
        <v>077</v>
      </c>
      <c r="I83" s="1" t="str">
        <f t="shared" si="8"/>
        <v>11000-077</v>
      </c>
      <c r="J83" s="1" t="str">
        <f t="shared" si="9"/>
        <v>Grand piano production item #077</v>
      </c>
      <c r="K83" s="1" t="str">
        <f>IF(SUM(COUNTIFS(I:I, I83)) &gt; 1, "DUPLICATE", "UNIQUE")</f>
        <v>UNIQUE</v>
      </c>
      <c r="L83" s="18">
        <v>0</v>
      </c>
      <c r="M83" s="28">
        <v>93</v>
      </c>
      <c r="N83" s="6">
        <v>144</v>
      </c>
      <c r="O83" s="30">
        <f t="shared" si="10"/>
        <v>0</v>
      </c>
      <c r="P83" s="30">
        <f t="shared" si="11"/>
        <v>13392</v>
      </c>
      <c r="Q83" s="1">
        <f>COUNTIFS($P:$P, "&gt;" &amp; $P83) + 1</f>
        <v>1465</v>
      </c>
      <c r="R83" s="63">
        <f>(COUNTIFS($P:$P, "&gt;" &amp; $P83) + 1) / (COUNTA($I:$I) - 1)</f>
        <v>0.29299999999999998</v>
      </c>
      <c r="S83" s="23">
        <f>SUMIFS($P:$P, $Q:$Q, "&lt;" &amp; $Q83)</f>
        <v>174376381</v>
      </c>
    </row>
    <row r="84" spans="1:19" x14ac:dyDescent="0.25">
      <c r="A84" s="1">
        <v>79</v>
      </c>
      <c r="B84" s="1" t="s">
        <v>2</v>
      </c>
      <c r="C84" s="1" t="str">
        <f>IF($B84 = "Production Item", _xlfn.XLOOKUP($A84, 'Instrument Table'!$J:$J, 'Instrument Table'!$B:$B, $C83), IF($B84 = "Service Item", _xlfn.XLOOKUP($A84, 'Instrument Table'!$I:$I, 'Instrument Table'!$B:$B, $C83), _xlfn.XLOOKUP($A84, 'Instrument Table'!$H:$H, 'Instrument Table'!$B:$B, $C83)))</f>
        <v>Grand Piano</v>
      </c>
      <c r="D84" s="1" t="str">
        <f>VLOOKUP($C84, 'Instrument Table'!$B:$C, 2, FALSE)</f>
        <v>Pianos</v>
      </c>
      <c r="E84" s="1">
        <f t="shared" si="6"/>
        <v>1</v>
      </c>
      <c r="F84" s="1">
        <f>_xlfn.XLOOKUP($C84, 'Instrument Table'!$B:$B, 'Instrument Table'!$A:$A, "")</f>
        <v>10</v>
      </c>
      <c r="G84" s="1" t="str">
        <f>TEXT(IF($B84 = "Retail Item", IF((ROW($A84) - 4504 - _xlfn.XMATCH($C84, $C$4506:$C$5005, 0, 1)) &lt;= VLOOKUP($C84, 'Instrument Table'!$B:$D, 3, FALSE), ROW($A84) - 4504 - _xlfn.XMATCH($C84, $C$4506:$C$5005, 0, 1), 0), 0), "00")</f>
        <v>00</v>
      </c>
      <c r="H84" s="1" t="str">
        <f t="shared" si="7"/>
        <v>078</v>
      </c>
      <c r="I84" s="1" t="str">
        <f t="shared" si="8"/>
        <v>11000-078</v>
      </c>
      <c r="J84" s="1" t="str">
        <f t="shared" si="9"/>
        <v>Grand piano production item #078</v>
      </c>
      <c r="K84" s="1" t="str">
        <f>IF(SUM(COUNTIFS(I:I, I84)) &gt; 1, "DUPLICATE", "UNIQUE")</f>
        <v>UNIQUE</v>
      </c>
      <c r="L84" s="18">
        <v>1</v>
      </c>
      <c r="M84" s="28">
        <v>10</v>
      </c>
      <c r="N84" s="6">
        <v>49</v>
      </c>
      <c r="O84" s="30">
        <f t="shared" si="10"/>
        <v>10</v>
      </c>
      <c r="P84" s="30">
        <f t="shared" si="11"/>
        <v>490</v>
      </c>
      <c r="Q84" s="1">
        <f>COUNTIFS($P:$P, "&gt;" &amp; $P84) + 1</f>
        <v>4035</v>
      </c>
      <c r="R84" s="63">
        <f>(COUNTIFS($P:$P, "&gt;" &amp; $P84) + 1) / (COUNTA($I:$I) - 1)</f>
        <v>0.80700000000000005</v>
      </c>
      <c r="S84" s="23">
        <f>SUMIFS($P:$P, $Q:$Q, "&lt;" &amp; $Q84)</f>
        <v>186416132</v>
      </c>
    </row>
    <row r="85" spans="1:19" x14ac:dyDescent="0.25">
      <c r="A85" s="1">
        <v>80</v>
      </c>
      <c r="B85" s="1" t="s">
        <v>2</v>
      </c>
      <c r="C85" s="1" t="str">
        <f>IF($B85 = "Production Item", _xlfn.XLOOKUP($A85, 'Instrument Table'!$J:$J, 'Instrument Table'!$B:$B, $C84), IF($B85 = "Service Item", _xlfn.XLOOKUP($A85, 'Instrument Table'!$I:$I, 'Instrument Table'!$B:$B, $C84), _xlfn.XLOOKUP($A85, 'Instrument Table'!$H:$H, 'Instrument Table'!$B:$B, $C84)))</f>
        <v>Grand Piano</v>
      </c>
      <c r="D85" s="1" t="str">
        <f>VLOOKUP($C85, 'Instrument Table'!$B:$C, 2, FALSE)</f>
        <v>Pianos</v>
      </c>
      <c r="E85" s="1">
        <f t="shared" si="6"/>
        <v>1</v>
      </c>
      <c r="F85" s="1">
        <f>_xlfn.XLOOKUP($C85, 'Instrument Table'!$B:$B, 'Instrument Table'!$A:$A, "")</f>
        <v>10</v>
      </c>
      <c r="G85" s="1" t="str">
        <f>TEXT(IF($B85 = "Retail Item", IF((ROW($A85) - 4504 - _xlfn.XMATCH($C85, $C$4506:$C$5005, 0, 1)) &lt;= VLOOKUP($C85, 'Instrument Table'!$B:$D, 3, FALSE), ROW($A85) - 4504 - _xlfn.XMATCH($C85, $C$4506:$C$5005, 0, 1), 0), 0), "00")</f>
        <v>00</v>
      </c>
      <c r="H85" s="1" t="str">
        <f t="shared" si="7"/>
        <v>079</v>
      </c>
      <c r="I85" s="1" t="str">
        <f t="shared" si="8"/>
        <v>11000-079</v>
      </c>
      <c r="J85" s="1" t="str">
        <f t="shared" si="9"/>
        <v>Grand piano production item #079</v>
      </c>
      <c r="K85" s="1" t="str">
        <f>IF(SUM(COUNTIFS(I:I, I85)) &gt; 1, "DUPLICATE", "UNIQUE")</f>
        <v>UNIQUE</v>
      </c>
      <c r="L85" s="18">
        <v>2</v>
      </c>
      <c r="M85" s="28">
        <v>30</v>
      </c>
      <c r="N85" s="6">
        <v>49</v>
      </c>
      <c r="O85" s="30">
        <f t="shared" si="10"/>
        <v>60</v>
      </c>
      <c r="P85" s="30">
        <f t="shared" si="11"/>
        <v>1470</v>
      </c>
      <c r="Q85" s="1">
        <f>COUNTIFS($P:$P, "&gt;" &amp; $P85) + 1</f>
        <v>3473</v>
      </c>
      <c r="R85" s="63">
        <f>(COUNTIFS($P:$P, "&gt;" &amp; $P85) + 1) / (COUNTA($I:$I) - 1)</f>
        <v>0.6946</v>
      </c>
      <c r="S85" s="23">
        <f>SUMIFS($P:$P, $Q:$Q, "&lt;" &amp; $Q85)</f>
        <v>185898270</v>
      </c>
    </row>
    <row r="86" spans="1:19" x14ac:dyDescent="0.25">
      <c r="A86" s="1">
        <v>81</v>
      </c>
      <c r="B86" s="1" t="s">
        <v>2</v>
      </c>
      <c r="C86" s="1" t="str">
        <f>IF($B86 = "Production Item", _xlfn.XLOOKUP($A86, 'Instrument Table'!$J:$J, 'Instrument Table'!$B:$B, $C85), IF($B86 = "Service Item", _xlfn.XLOOKUP($A86, 'Instrument Table'!$I:$I, 'Instrument Table'!$B:$B, $C85), _xlfn.XLOOKUP($A86, 'Instrument Table'!$H:$H, 'Instrument Table'!$B:$B, $C85)))</f>
        <v>Grand Piano</v>
      </c>
      <c r="D86" s="1" t="str">
        <f>VLOOKUP($C86, 'Instrument Table'!$B:$C, 2, FALSE)</f>
        <v>Pianos</v>
      </c>
      <c r="E86" s="1">
        <f t="shared" si="6"/>
        <v>1</v>
      </c>
      <c r="F86" s="1">
        <f>_xlfn.XLOOKUP($C86, 'Instrument Table'!$B:$B, 'Instrument Table'!$A:$A, "")</f>
        <v>10</v>
      </c>
      <c r="G86" s="1" t="str">
        <f>TEXT(IF($B86 = "Retail Item", IF((ROW($A86) - 4504 - _xlfn.XMATCH($C86, $C$4506:$C$5005, 0, 1)) &lt;= VLOOKUP($C86, 'Instrument Table'!$B:$D, 3, FALSE), ROW($A86) - 4504 - _xlfn.XMATCH($C86, $C$4506:$C$5005, 0, 1), 0), 0), "00")</f>
        <v>00</v>
      </c>
      <c r="H86" s="1" t="str">
        <f t="shared" si="7"/>
        <v>080</v>
      </c>
      <c r="I86" s="1" t="str">
        <f t="shared" si="8"/>
        <v>11000-080</v>
      </c>
      <c r="J86" s="1" t="str">
        <f t="shared" si="9"/>
        <v>Grand piano production item #080</v>
      </c>
      <c r="K86" s="1" t="str">
        <f>IF(SUM(COUNTIFS(I:I, I86)) &gt; 1, "DUPLICATE", "UNIQUE")</f>
        <v>UNIQUE</v>
      </c>
      <c r="L86" s="18">
        <v>0</v>
      </c>
      <c r="M86" s="28">
        <v>29</v>
      </c>
      <c r="N86" s="6">
        <v>324</v>
      </c>
      <c r="O86" s="30">
        <f t="shared" si="10"/>
        <v>0</v>
      </c>
      <c r="P86" s="30">
        <f t="shared" si="11"/>
        <v>9396</v>
      </c>
      <c r="Q86" s="1">
        <f>COUNTIFS($P:$P, "&gt;" &amp; $P86) + 1</f>
        <v>1833</v>
      </c>
      <c r="R86" s="63">
        <f>(COUNTIFS($P:$P, "&gt;" &amp; $P86) + 1) / (COUNTA($I:$I) - 1)</f>
        <v>0.36659999999999998</v>
      </c>
      <c r="S86" s="23">
        <f>SUMIFS($P:$P, $Q:$Q, "&lt;" &amp; $Q86)</f>
        <v>178555601</v>
      </c>
    </row>
    <row r="87" spans="1:19" x14ac:dyDescent="0.25">
      <c r="A87" s="1">
        <v>82</v>
      </c>
      <c r="B87" s="1" t="s">
        <v>2</v>
      </c>
      <c r="C87" s="1" t="str">
        <f>IF($B87 = "Production Item", _xlfn.XLOOKUP($A87, 'Instrument Table'!$J:$J, 'Instrument Table'!$B:$B, $C86), IF($B87 = "Service Item", _xlfn.XLOOKUP($A87, 'Instrument Table'!$I:$I, 'Instrument Table'!$B:$B, $C86), _xlfn.XLOOKUP($A87, 'Instrument Table'!$H:$H, 'Instrument Table'!$B:$B, $C86)))</f>
        <v>Grand Piano</v>
      </c>
      <c r="D87" s="1" t="str">
        <f>VLOOKUP($C87, 'Instrument Table'!$B:$C, 2, FALSE)</f>
        <v>Pianos</v>
      </c>
      <c r="E87" s="1">
        <f t="shared" si="6"/>
        <v>1</v>
      </c>
      <c r="F87" s="1">
        <f>_xlfn.XLOOKUP($C87, 'Instrument Table'!$B:$B, 'Instrument Table'!$A:$A, "")</f>
        <v>10</v>
      </c>
      <c r="G87" s="1" t="str">
        <f>TEXT(IF($B87 = "Retail Item", IF((ROW($A87) - 4504 - _xlfn.XMATCH($C87, $C$4506:$C$5005, 0, 1)) &lt;= VLOOKUP($C87, 'Instrument Table'!$B:$D, 3, FALSE), ROW($A87) - 4504 - _xlfn.XMATCH($C87, $C$4506:$C$5005, 0, 1), 0), 0), "00")</f>
        <v>00</v>
      </c>
      <c r="H87" s="1" t="str">
        <f t="shared" si="7"/>
        <v>081</v>
      </c>
      <c r="I87" s="1" t="str">
        <f t="shared" si="8"/>
        <v>11000-081</v>
      </c>
      <c r="J87" s="1" t="str">
        <f t="shared" si="9"/>
        <v>Grand piano production item #081</v>
      </c>
      <c r="K87" s="1" t="str">
        <f>IF(SUM(COUNTIFS(I:I, I87)) &gt; 1, "DUPLICATE", "UNIQUE")</f>
        <v>UNIQUE</v>
      </c>
      <c r="L87" s="18">
        <v>1</v>
      </c>
      <c r="M87" s="28">
        <v>73</v>
      </c>
      <c r="N87" s="6">
        <v>9</v>
      </c>
      <c r="O87" s="30">
        <f t="shared" si="10"/>
        <v>73</v>
      </c>
      <c r="P87" s="30">
        <f t="shared" si="11"/>
        <v>657</v>
      </c>
      <c r="Q87" s="1">
        <f>COUNTIFS($P:$P, "&gt;" &amp; $P87) + 1</f>
        <v>3903</v>
      </c>
      <c r="R87" s="63">
        <f>(COUNTIFS($P:$P, "&gt;" &amp; $P87) + 1) / (COUNTA($I:$I) - 1)</f>
        <v>0.78059999999999996</v>
      </c>
      <c r="S87" s="23">
        <f>SUMIFS($P:$P, $Q:$Q, "&lt;" &amp; $Q87)</f>
        <v>186340858</v>
      </c>
    </row>
    <row r="88" spans="1:19" x14ac:dyDescent="0.25">
      <c r="A88" s="1">
        <v>83</v>
      </c>
      <c r="B88" s="1" t="s">
        <v>2</v>
      </c>
      <c r="C88" s="1" t="str">
        <f>IF($B88 = "Production Item", _xlfn.XLOOKUP($A88, 'Instrument Table'!$J:$J, 'Instrument Table'!$B:$B, $C87), IF($B88 = "Service Item", _xlfn.XLOOKUP($A88, 'Instrument Table'!$I:$I, 'Instrument Table'!$B:$B, $C87), _xlfn.XLOOKUP($A88, 'Instrument Table'!$H:$H, 'Instrument Table'!$B:$B, $C87)))</f>
        <v>Grand Piano</v>
      </c>
      <c r="D88" s="1" t="str">
        <f>VLOOKUP($C88, 'Instrument Table'!$B:$C, 2, FALSE)</f>
        <v>Pianos</v>
      </c>
      <c r="E88" s="1">
        <f t="shared" si="6"/>
        <v>1</v>
      </c>
      <c r="F88" s="1">
        <f>_xlfn.XLOOKUP($C88, 'Instrument Table'!$B:$B, 'Instrument Table'!$A:$A, "")</f>
        <v>10</v>
      </c>
      <c r="G88" s="1" t="str">
        <f>TEXT(IF($B88 = "Retail Item", IF((ROW($A88) - 4504 - _xlfn.XMATCH($C88, $C$4506:$C$5005, 0, 1)) &lt;= VLOOKUP($C88, 'Instrument Table'!$B:$D, 3, FALSE), ROW($A88) - 4504 - _xlfn.XMATCH($C88, $C$4506:$C$5005, 0, 1), 0), 0), "00")</f>
        <v>00</v>
      </c>
      <c r="H88" s="1" t="str">
        <f t="shared" si="7"/>
        <v>082</v>
      </c>
      <c r="I88" s="1" t="str">
        <f t="shared" si="8"/>
        <v>11000-082</v>
      </c>
      <c r="J88" s="1" t="str">
        <f t="shared" si="9"/>
        <v>Grand piano production item #082</v>
      </c>
      <c r="K88" s="1" t="str">
        <f>IF(SUM(COUNTIFS(I:I, I88)) &gt; 1, "DUPLICATE", "UNIQUE")</f>
        <v>UNIQUE</v>
      </c>
      <c r="L88" s="18">
        <v>0</v>
      </c>
      <c r="M88" s="28">
        <v>1</v>
      </c>
      <c r="N88" s="6">
        <v>1</v>
      </c>
      <c r="O88" s="30">
        <f t="shared" si="10"/>
        <v>0</v>
      </c>
      <c r="P88" s="30">
        <f t="shared" si="11"/>
        <v>1</v>
      </c>
      <c r="Q88" s="1">
        <f>COUNTIFS($P:$P, "&gt;" &amp; $P88) + 1</f>
        <v>4743</v>
      </c>
      <c r="R88" s="63">
        <f>(COUNTIFS($P:$P, "&gt;" &amp; $P88) + 1) / (COUNTA($I:$I) - 1)</f>
        <v>0.9486</v>
      </c>
      <c r="S88" s="23">
        <f>SUMIFS($P:$P, $Q:$Q, "&lt;" &amp; $Q88)</f>
        <v>186547858</v>
      </c>
    </row>
    <row r="89" spans="1:19" x14ac:dyDescent="0.25">
      <c r="A89" s="1">
        <v>84</v>
      </c>
      <c r="B89" s="1" t="s">
        <v>2</v>
      </c>
      <c r="C89" s="1" t="str">
        <f>IF($B89 = "Production Item", _xlfn.XLOOKUP($A89, 'Instrument Table'!$J:$J, 'Instrument Table'!$B:$B, $C88), IF($B89 = "Service Item", _xlfn.XLOOKUP($A89, 'Instrument Table'!$I:$I, 'Instrument Table'!$B:$B, $C88), _xlfn.XLOOKUP($A89, 'Instrument Table'!$H:$H, 'Instrument Table'!$B:$B, $C88)))</f>
        <v>Grand Piano</v>
      </c>
      <c r="D89" s="1" t="str">
        <f>VLOOKUP($C89, 'Instrument Table'!$B:$C, 2, FALSE)</f>
        <v>Pianos</v>
      </c>
      <c r="E89" s="1">
        <f t="shared" si="6"/>
        <v>1</v>
      </c>
      <c r="F89" s="1">
        <f>_xlfn.XLOOKUP($C89, 'Instrument Table'!$B:$B, 'Instrument Table'!$A:$A, "")</f>
        <v>10</v>
      </c>
      <c r="G89" s="1" t="str">
        <f>TEXT(IF($B89 = "Retail Item", IF((ROW($A89) - 4504 - _xlfn.XMATCH($C89, $C$4506:$C$5005, 0, 1)) &lt;= VLOOKUP($C89, 'Instrument Table'!$B:$D, 3, FALSE), ROW($A89) - 4504 - _xlfn.XMATCH($C89, $C$4506:$C$5005, 0, 1), 0), 0), "00")</f>
        <v>00</v>
      </c>
      <c r="H89" s="1" t="str">
        <f t="shared" si="7"/>
        <v>083</v>
      </c>
      <c r="I89" s="1" t="str">
        <f t="shared" si="8"/>
        <v>11000-083</v>
      </c>
      <c r="J89" s="1" t="str">
        <f t="shared" si="9"/>
        <v>Grand piano production item #083</v>
      </c>
      <c r="K89" s="1" t="str">
        <f>IF(SUM(COUNTIFS(I:I, I89)) &gt; 1, "DUPLICATE", "UNIQUE")</f>
        <v>UNIQUE</v>
      </c>
      <c r="L89" s="18">
        <v>1</v>
      </c>
      <c r="M89" s="28">
        <v>11</v>
      </c>
      <c r="N89" s="6">
        <v>400</v>
      </c>
      <c r="O89" s="30">
        <f t="shared" si="10"/>
        <v>11</v>
      </c>
      <c r="P89" s="30">
        <f t="shared" si="11"/>
        <v>4400</v>
      </c>
      <c r="Q89" s="1">
        <f>COUNTIFS($P:$P, "&gt;" &amp; $P89) + 1</f>
        <v>2565</v>
      </c>
      <c r="R89" s="63">
        <f>(COUNTIFS($P:$P, "&gt;" &amp; $P89) + 1) / (COUNTA($I:$I) - 1)</f>
        <v>0.51300000000000001</v>
      </c>
      <c r="S89" s="23">
        <f>SUMIFS($P:$P, $Q:$Q, "&lt;" &amp; $Q89)</f>
        <v>183411854</v>
      </c>
    </row>
    <row r="90" spans="1:19" x14ac:dyDescent="0.25">
      <c r="A90" s="1">
        <v>85</v>
      </c>
      <c r="B90" s="1" t="s">
        <v>2</v>
      </c>
      <c r="C90" s="1" t="str">
        <f>IF($B90 = "Production Item", _xlfn.XLOOKUP($A90, 'Instrument Table'!$J:$J, 'Instrument Table'!$B:$B, $C89), IF($B90 = "Service Item", _xlfn.XLOOKUP($A90, 'Instrument Table'!$I:$I, 'Instrument Table'!$B:$B, $C89), _xlfn.XLOOKUP($A90, 'Instrument Table'!$H:$H, 'Instrument Table'!$B:$B, $C89)))</f>
        <v>Grand Piano</v>
      </c>
      <c r="D90" s="1" t="str">
        <f>VLOOKUP($C90, 'Instrument Table'!$B:$C, 2, FALSE)</f>
        <v>Pianos</v>
      </c>
      <c r="E90" s="1">
        <f t="shared" si="6"/>
        <v>1</v>
      </c>
      <c r="F90" s="1">
        <f>_xlfn.XLOOKUP($C90, 'Instrument Table'!$B:$B, 'Instrument Table'!$A:$A, "")</f>
        <v>10</v>
      </c>
      <c r="G90" s="1" t="str">
        <f>TEXT(IF($B90 = "Retail Item", IF((ROW($A90) - 4504 - _xlfn.XMATCH($C90, $C$4506:$C$5005, 0, 1)) &lt;= VLOOKUP($C90, 'Instrument Table'!$B:$D, 3, FALSE), ROW($A90) - 4504 - _xlfn.XMATCH($C90, $C$4506:$C$5005, 0, 1), 0), 0), "00")</f>
        <v>00</v>
      </c>
      <c r="H90" s="1" t="str">
        <f t="shared" si="7"/>
        <v>084</v>
      </c>
      <c r="I90" s="1" t="str">
        <f t="shared" si="8"/>
        <v>11000-084</v>
      </c>
      <c r="J90" s="1" t="str">
        <f t="shared" si="9"/>
        <v>Grand piano production item #084</v>
      </c>
      <c r="K90" s="1" t="str">
        <f>IF(SUM(COUNTIFS(I:I, I90)) &gt; 1, "DUPLICATE", "UNIQUE")</f>
        <v>UNIQUE</v>
      </c>
      <c r="L90" s="18">
        <v>8</v>
      </c>
      <c r="M90" s="28">
        <v>41</v>
      </c>
      <c r="N90" s="6">
        <v>4</v>
      </c>
      <c r="O90" s="30">
        <f t="shared" si="10"/>
        <v>328</v>
      </c>
      <c r="P90" s="30">
        <f t="shared" si="11"/>
        <v>164</v>
      </c>
      <c r="Q90" s="1">
        <f>COUNTIFS($P:$P, "&gt;" &amp; $P90) + 1</f>
        <v>4380</v>
      </c>
      <c r="R90" s="63">
        <f>(COUNTIFS($P:$P, "&gt;" &amp; $P90) + 1) / (COUNTA($I:$I) - 1)</f>
        <v>0.876</v>
      </c>
      <c r="S90" s="23">
        <f>SUMIFS($P:$P, $Q:$Q, "&lt;" &amp; $Q90)</f>
        <v>186522862</v>
      </c>
    </row>
    <row r="91" spans="1:19" x14ac:dyDescent="0.25">
      <c r="A91" s="1">
        <v>86</v>
      </c>
      <c r="B91" s="1" t="s">
        <v>2</v>
      </c>
      <c r="C91" s="1" t="str">
        <f>IF($B91 = "Production Item", _xlfn.XLOOKUP($A91, 'Instrument Table'!$J:$J, 'Instrument Table'!$B:$B, $C90), IF($B91 = "Service Item", _xlfn.XLOOKUP($A91, 'Instrument Table'!$I:$I, 'Instrument Table'!$B:$B, $C90), _xlfn.XLOOKUP($A91, 'Instrument Table'!$H:$H, 'Instrument Table'!$B:$B, $C90)))</f>
        <v>Grand Piano</v>
      </c>
      <c r="D91" s="1" t="str">
        <f>VLOOKUP($C91, 'Instrument Table'!$B:$C, 2, FALSE)</f>
        <v>Pianos</v>
      </c>
      <c r="E91" s="1">
        <f t="shared" si="6"/>
        <v>1</v>
      </c>
      <c r="F91" s="1">
        <f>_xlfn.XLOOKUP($C91, 'Instrument Table'!$B:$B, 'Instrument Table'!$A:$A, "")</f>
        <v>10</v>
      </c>
      <c r="G91" s="1" t="str">
        <f>TEXT(IF($B91 = "Retail Item", IF((ROW($A91) - 4504 - _xlfn.XMATCH($C91, $C$4506:$C$5005, 0, 1)) &lt;= VLOOKUP($C91, 'Instrument Table'!$B:$D, 3, FALSE), ROW($A91) - 4504 - _xlfn.XMATCH($C91, $C$4506:$C$5005, 0, 1), 0), 0), "00")</f>
        <v>00</v>
      </c>
      <c r="H91" s="1" t="str">
        <f t="shared" si="7"/>
        <v>085</v>
      </c>
      <c r="I91" s="1" t="str">
        <f t="shared" si="8"/>
        <v>11000-085</v>
      </c>
      <c r="J91" s="1" t="str">
        <f t="shared" si="9"/>
        <v>Grand piano production item #085</v>
      </c>
      <c r="K91" s="1" t="str">
        <f>IF(SUM(COUNTIFS(I:I, I91)) &gt; 1, "DUPLICATE", "UNIQUE")</f>
        <v>UNIQUE</v>
      </c>
      <c r="L91" s="18">
        <v>1</v>
      </c>
      <c r="M91" s="28">
        <v>92</v>
      </c>
      <c r="N91" s="6">
        <v>225</v>
      </c>
      <c r="O91" s="30">
        <f t="shared" si="10"/>
        <v>92</v>
      </c>
      <c r="P91" s="30">
        <f t="shared" si="11"/>
        <v>20700</v>
      </c>
      <c r="Q91" s="1">
        <f>COUNTIFS($P:$P, "&gt;" &amp; $P91) + 1</f>
        <v>1018</v>
      </c>
      <c r="R91" s="63">
        <f>(COUNTIFS($P:$P, "&gt;" &amp; $P91) + 1) / (COUNTA($I:$I) - 1)</f>
        <v>0.2036</v>
      </c>
      <c r="S91" s="23">
        <f>SUMIFS($P:$P, $Q:$Q, "&lt;" &amp; $Q91)</f>
        <v>166867897</v>
      </c>
    </row>
    <row r="92" spans="1:19" x14ac:dyDescent="0.25">
      <c r="A92" s="1">
        <v>87</v>
      </c>
      <c r="B92" s="1" t="s">
        <v>2</v>
      </c>
      <c r="C92" s="1" t="str">
        <f>IF($B92 = "Production Item", _xlfn.XLOOKUP($A92, 'Instrument Table'!$J:$J, 'Instrument Table'!$B:$B, $C91), IF($B92 = "Service Item", _xlfn.XLOOKUP($A92, 'Instrument Table'!$I:$I, 'Instrument Table'!$B:$B, $C91), _xlfn.XLOOKUP($A92, 'Instrument Table'!$H:$H, 'Instrument Table'!$B:$B, $C91)))</f>
        <v>Grand Piano</v>
      </c>
      <c r="D92" s="1" t="str">
        <f>VLOOKUP($C92, 'Instrument Table'!$B:$C, 2, FALSE)</f>
        <v>Pianos</v>
      </c>
      <c r="E92" s="1">
        <f t="shared" si="6"/>
        <v>1</v>
      </c>
      <c r="F92" s="1">
        <f>_xlfn.XLOOKUP($C92, 'Instrument Table'!$B:$B, 'Instrument Table'!$A:$A, "")</f>
        <v>10</v>
      </c>
      <c r="G92" s="1" t="str">
        <f>TEXT(IF($B92 = "Retail Item", IF((ROW($A92) - 4504 - _xlfn.XMATCH($C92, $C$4506:$C$5005, 0, 1)) &lt;= VLOOKUP($C92, 'Instrument Table'!$B:$D, 3, FALSE), ROW($A92) - 4504 - _xlfn.XMATCH($C92, $C$4506:$C$5005, 0, 1), 0), 0), "00")</f>
        <v>00</v>
      </c>
      <c r="H92" s="1" t="str">
        <f t="shared" si="7"/>
        <v>086</v>
      </c>
      <c r="I92" s="1" t="str">
        <f t="shared" si="8"/>
        <v>11000-086</v>
      </c>
      <c r="J92" s="1" t="str">
        <f t="shared" si="9"/>
        <v>Grand piano production item #086</v>
      </c>
      <c r="K92" s="1" t="str">
        <f>IF(SUM(COUNTIFS(I:I, I92)) &gt; 1, "DUPLICATE", "UNIQUE")</f>
        <v>UNIQUE</v>
      </c>
      <c r="L92" s="18">
        <v>0</v>
      </c>
      <c r="M92" s="28">
        <v>60</v>
      </c>
      <c r="N92" s="6">
        <v>100</v>
      </c>
      <c r="O92" s="30">
        <f t="shared" si="10"/>
        <v>0</v>
      </c>
      <c r="P92" s="30">
        <f t="shared" si="11"/>
        <v>6000</v>
      </c>
      <c r="Q92" s="1">
        <f>COUNTIFS($P:$P, "&gt;" &amp; $P92) + 1</f>
        <v>2264</v>
      </c>
      <c r="R92" s="63">
        <f>(COUNTIFS($P:$P, "&gt;" &amp; $P92) + 1) / (COUNTA($I:$I) - 1)</f>
        <v>0.45279999999999998</v>
      </c>
      <c r="S92" s="23">
        <f>SUMIFS($P:$P, $Q:$Q, "&lt;" &amp; $Q92)</f>
        <v>181851858</v>
      </c>
    </row>
    <row r="93" spans="1:19" x14ac:dyDescent="0.25">
      <c r="A93" s="1">
        <v>88</v>
      </c>
      <c r="B93" s="1" t="s">
        <v>2</v>
      </c>
      <c r="C93" s="1" t="str">
        <f>IF($B93 = "Production Item", _xlfn.XLOOKUP($A93, 'Instrument Table'!$J:$J, 'Instrument Table'!$B:$B, $C92), IF($B93 = "Service Item", _xlfn.XLOOKUP($A93, 'Instrument Table'!$I:$I, 'Instrument Table'!$B:$B, $C92), _xlfn.XLOOKUP($A93, 'Instrument Table'!$H:$H, 'Instrument Table'!$B:$B, $C92)))</f>
        <v>Grand Piano</v>
      </c>
      <c r="D93" s="1" t="str">
        <f>VLOOKUP($C93, 'Instrument Table'!$B:$C, 2, FALSE)</f>
        <v>Pianos</v>
      </c>
      <c r="E93" s="1">
        <f t="shared" si="6"/>
        <v>1</v>
      </c>
      <c r="F93" s="1">
        <f>_xlfn.XLOOKUP($C93, 'Instrument Table'!$B:$B, 'Instrument Table'!$A:$A, "")</f>
        <v>10</v>
      </c>
      <c r="G93" s="1" t="str">
        <f>TEXT(IF($B93 = "Retail Item", IF((ROW($A93) - 4504 - _xlfn.XMATCH($C93, $C$4506:$C$5005, 0, 1)) &lt;= VLOOKUP($C93, 'Instrument Table'!$B:$D, 3, FALSE), ROW($A93) - 4504 - _xlfn.XMATCH($C93, $C$4506:$C$5005, 0, 1), 0), 0), "00")</f>
        <v>00</v>
      </c>
      <c r="H93" s="1" t="str">
        <f t="shared" si="7"/>
        <v>087</v>
      </c>
      <c r="I93" s="1" t="str">
        <f t="shared" si="8"/>
        <v>11000-087</v>
      </c>
      <c r="J93" s="1" t="str">
        <f t="shared" si="9"/>
        <v>Grand piano production item #087</v>
      </c>
      <c r="K93" s="1" t="str">
        <f>IF(SUM(COUNTIFS(I:I, I93)) &gt; 1, "DUPLICATE", "UNIQUE")</f>
        <v>UNIQUE</v>
      </c>
      <c r="L93" s="18">
        <v>0</v>
      </c>
      <c r="M93" s="28">
        <v>74</v>
      </c>
      <c r="N93" s="6">
        <v>121</v>
      </c>
      <c r="O93" s="30">
        <f t="shared" si="10"/>
        <v>0</v>
      </c>
      <c r="P93" s="30">
        <f t="shared" si="11"/>
        <v>8954</v>
      </c>
      <c r="Q93" s="1">
        <f>COUNTIFS($P:$P, "&gt;" &amp; $P93) + 1</f>
        <v>1879</v>
      </c>
      <c r="R93" s="63">
        <f>(COUNTIFS($P:$P, "&gt;" &amp; $P93) + 1) / (COUNTA($I:$I) - 1)</f>
        <v>0.37580000000000002</v>
      </c>
      <c r="S93" s="23">
        <f>SUMIFS($P:$P, $Q:$Q, "&lt;" &amp; $Q93)</f>
        <v>178976955</v>
      </c>
    </row>
    <row r="94" spans="1:19" x14ac:dyDescent="0.25">
      <c r="A94" s="1">
        <v>89</v>
      </c>
      <c r="B94" s="1" t="s">
        <v>2</v>
      </c>
      <c r="C94" s="1" t="str">
        <f>IF($B94 = "Production Item", _xlfn.XLOOKUP($A94, 'Instrument Table'!$J:$J, 'Instrument Table'!$B:$B, $C93), IF($B94 = "Service Item", _xlfn.XLOOKUP($A94, 'Instrument Table'!$I:$I, 'Instrument Table'!$B:$B, $C93), _xlfn.XLOOKUP($A94, 'Instrument Table'!$H:$H, 'Instrument Table'!$B:$B, $C93)))</f>
        <v>Grand Piano</v>
      </c>
      <c r="D94" s="1" t="str">
        <f>VLOOKUP($C94, 'Instrument Table'!$B:$C, 2, FALSE)</f>
        <v>Pianos</v>
      </c>
      <c r="E94" s="1">
        <f t="shared" si="6"/>
        <v>1</v>
      </c>
      <c r="F94" s="1">
        <f>_xlfn.XLOOKUP($C94, 'Instrument Table'!$B:$B, 'Instrument Table'!$A:$A, "")</f>
        <v>10</v>
      </c>
      <c r="G94" s="1" t="str">
        <f>TEXT(IF($B94 = "Retail Item", IF((ROW($A94) - 4504 - _xlfn.XMATCH($C94, $C$4506:$C$5005, 0, 1)) &lt;= VLOOKUP($C94, 'Instrument Table'!$B:$D, 3, FALSE), ROW($A94) - 4504 - _xlfn.XMATCH($C94, $C$4506:$C$5005, 0, 1), 0), 0), "00")</f>
        <v>00</v>
      </c>
      <c r="H94" s="1" t="str">
        <f t="shared" si="7"/>
        <v>088</v>
      </c>
      <c r="I94" s="1" t="str">
        <f t="shared" si="8"/>
        <v>11000-088</v>
      </c>
      <c r="J94" s="1" t="str">
        <f t="shared" si="9"/>
        <v>Grand piano production item #088</v>
      </c>
      <c r="K94" s="1" t="str">
        <f>IF(SUM(COUNTIFS(I:I, I94)) &gt; 1, "DUPLICATE", "UNIQUE")</f>
        <v>UNIQUE</v>
      </c>
      <c r="L94" s="18">
        <v>0</v>
      </c>
      <c r="M94" s="28">
        <v>65</v>
      </c>
      <c r="N94" s="6">
        <v>324</v>
      </c>
      <c r="O94" s="30">
        <f t="shared" si="10"/>
        <v>0</v>
      </c>
      <c r="P94" s="30">
        <f t="shared" si="11"/>
        <v>21060</v>
      </c>
      <c r="Q94" s="1">
        <f>COUNTIFS($P:$P, "&gt;" &amp; $P94) + 1</f>
        <v>1003</v>
      </c>
      <c r="R94" s="63">
        <f>(COUNTIFS($P:$P, "&gt;" &amp; $P94) + 1) / (COUNTA($I:$I) - 1)</f>
        <v>0.2006</v>
      </c>
      <c r="S94" s="23">
        <f>SUMIFS($P:$P, $Q:$Q, "&lt;" &amp; $Q94)</f>
        <v>166554236</v>
      </c>
    </row>
    <row r="95" spans="1:19" x14ac:dyDescent="0.25">
      <c r="A95" s="1">
        <v>90</v>
      </c>
      <c r="B95" s="1" t="s">
        <v>2</v>
      </c>
      <c r="C95" s="1" t="str">
        <f>IF($B95 = "Production Item", _xlfn.XLOOKUP($A95, 'Instrument Table'!$J:$J, 'Instrument Table'!$B:$B, $C94), IF($B95 = "Service Item", _xlfn.XLOOKUP($A95, 'Instrument Table'!$I:$I, 'Instrument Table'!$B:$B, $C94), _xlfn.XLOOKUP($A95, 'Instrument Table'!$H:$H, 'Instrument Table'!$B:$B, $C94)))</f>
        <v>Grand Piano</v>
      </c>
      <c r="D95" s="1" t="str">
        <f>VLOOKUP($C95, 'Instrument Table'!$B:$C, 2, FALSE)</f>
        <v>Pianos</v>
      </c>
      <c r="E95" s="1">
        <f t="shared" si="6"/>
        <v>1</v>
      </c>
      <c r="F95" s="1">
        <f>_xlfn.XLOOKUP($C95, 'Instrument Table'!$B:$B, 'Instrument Table'!$A:$A, "")</f>
        <v>10</v>
      </c>
      <c r="G95" s="1" t="str">
        <f>TEXT(IF($B95 = "Retail Item", IF((ROW($A95) - 4504 - _xlfn.XMATCH($C95, $C$4506:$C$5005, 0, 1)) &lt;= VLOOKUP($C95, 'Instrument Table'!$B:$D, 3, FALSE), ROW($A95) - 4504 - _xlfn.XMATCH($C95, $C$4506:$C$5005, 0, 1), 0), 0), "00")</f>
        <v>00</v>
      </c>
      <c r="H95" s="1" t="str">
        <f t="shared" si="7"/>
        <v>089</v>
      </c>
      <c r="I95" s="1" t="str">
        <f t="shared" si="8"/>
        <v>11000-089</v>
      </c>
      <c r="J95" s="1" t="str">
        <f t="shared" si="9"/>
        <v>Grand piano production item #089</v>
      </c>
      <c r="K95" s="1" t="str">
        <f>IF(SUM(COUNTIFS(I:I, I95)) &gt; 1, "DUPLICATE", "UNIQUE")</f>
        <v>UNIQUE</v>
      </c>
      <c r="L95" s="18">
        <v>8</v>
      </c>
      <c r="M95" s="28">
        <v>98</v>
      </c>
      <c r="N95" s="6">
        <v>100</v>
      </c>
      <c r="O95" s="30">
        <f t="shared" si="10"/>
        <v>784</v>
      </c>
      <c r="P95" s="30">
        <f t="shared" si="11"/>
        <v>9800</v>
      </c>
      <c r="Q95" s="1">
        <f>COUNTIFS($P:$P, "&gt;" &amp; $P95) + 1</f>
        <v>1789</v>
      </c>
      <c r="R95" s="63">
        <f>(COUNTIFS($P:$P, "&gt;" &amp; $P95) + 1) / (COUNTA($I:$I) - 1)</f>
        <v>0.35780000000000001</v>
      </c>
      <c r="S95" s="23">
        <f>SUMIFS($P:$P, $Q:$Q, "&lt;" &amp; $Q95)</f>
        <v>178134133</v>
      </c>
    </row>
    <row r="96" spans="1:19" x14ac:dyDescent="0.25">
      <c r="A96" s="1">
        <v>91</v>
      </c>
      <c r="B96" s="1" t="s">
        <v>2</v>
      </c>
      <c r="C96" s="1" t="str">
        <f>IF($B96 = "Production Item", _xlfn.XLOOKUP($A96, 'Instrument Table'!$J:$J, 'Instrument Table'!$B:$B, $C95), IF($B96 = "Service Item", _xlfn.XLOOKUP($A96, 'Instrument Table'!$I:$I, 'Instrument Table'!$B:$B, $C95), _xlfn.XLOOKUP($A96, 'Instrument Table'!$H:$H, 'Instrument Table'!$B:$B, $C95)))</f>
        <v>Grand Piano</v>
      </c>
      <c r="D96" s="1" t="str">
        <f>VLOOKUP($C96, 'Instrument Table'!$B:$C, 2, FALSE)</f>
        <v>Pianos</v>
      </c>
      <c r="E96" s="1">
        <f t="shared" si="6"/>
        <v>1</v>
      </c>
      <c r="F96" s="1">
        <f>_xlfn.XLOOKUP($C96, 'Instrument Table'!$B:$B, 'Instrument Table'!$A:$A, "")</f>
        <v>10</v>
      </c>
      <c r="G96" s="1" t="str">
        <f>TEXT(IF($B96 = "Retail Item", IF((ROW($A96) - 4504 - _xlfn.XMATCH($C96, $C$4506:$C$5005, 0, 1)) &lt;= VLOOKUP($C96, 'Instrument Table'!$B:$D, 3, FALSE), ROW($A96) - 4504 - _xlfn.XMATCH($C96, $C$4506:$C$5005, 0, 1), 0), 0), "00")</f>
        <v>00</v>
      </c>
      <c r="H96" s="1" t="str">
        <f t="shared" si="7"/>
        <v>090</v>
      </c>
      <c r="I96" s="1" t="str">
        <f t="shared" si="8"/>
        <v>11000-090</v>
      </c>
      <c r="J96" s="1" t="str">
        <f t="shared" si="9"/>
        <v>Grand piano production item #090</v>
      </c>
      <c r="K96" s="1" t="str">
        <f>IF(SUM(COUNTIFS(I:I, I96)) &gt; 1, "DUPLICATE", "UNIQUE")</f>
        <v>UNIQUE</v>
      </c>
      <c r="L96" s="18">
        <v>1</v>
      </c>
      <c r="M96" s="28">
        <v>80</v>
      </c>
      <c r="N96" s="6">
        <v>324</v>
      </c>
      <c r="O96" s="30">
        <f t="shared" si="10"/>
        <v>80</v>
      </c>
      <c r="P96" s="30">
        <f t="shared" si="11"/>
        <v>25920</v>
      </c>
      <c r="Q96" s="1">
        <f>COUNTIFS($P:$P, "&gt;" &amp; $P96) + 1</f>
        <v>794</v>
      </c>
      <c r="R96" s="63">
        <f>(COUNTIFS($P:$P, "&gt;" &amp; $P96) + 1) / (COUNTA($I:$I) - 1)</f>
        <v>0.1588</v>
      </c>
      <c r="S96" s="23">
        <f>SUMIFS($P:$P, $Q:$Q, "&lt;" &amp; $Q96)</f>
        <v>161672891</v>
      </c>
    </row>
    <row r="97" spans="1:19" x14ac:dyDescent="0.25">
      <c r="A97" s="1">
        <v>92</v>
      </c>
      <c r="B97" s="1" t="s">
        <v>2</v>
      </c>
      <c r="C97" s="1" t="str">
        <f>IF($B97 = "Production Item", _xlfn.XLOOKUP($A97, 'Instrument Table'!$J:$J, 'Instrument Table'!$B:$B, $C96), IF($B97 = "Service Item", _xlfn.XLOOKUP($A97, 'Instrument Table'!$I:$I, 'Instrument Table'!$B:$B, $C96), _xlfn.XLOOKUP($A97, 'Instrument Table'!$H:$H, 'Instrument Table'!$B:$B, $C96)))</f>
        <v>Grand Piano</v>
      </c>
      <c r="D97" s="1" t="str">
        <f>VLOOKUP($C97, 'Instrument Table'!$B:$C, 2, FALSE)</f>
        <v>Pianos</v>
      </c>
      <c r="E97" s="1">
        <f t="shared" si="6"/>
        <v>1</v>
      </c>
      <c r="F97" s="1">
        <f>_xlfn.XLOOKUP($C97, 'Instrument Table'!$B:$B, 'Instrument Table'!$A:$A, "")</f>
        <v>10</v>
      </c>
      <c r="G97" s="1" t="str">
        <f>TEXT(IF($B97 = "Retail Item", IF((ROW($A97) - 4504 - _xlfn.XMATCH($C97, $C$4506:$C$5005, 0, 1)) &lt;= VLOOKUP($C97, 'Instrument Table'!$B:$D, 3, FALSE), ROW($A97) - 4504 - _xlfn.XMATCH($C97, $C$4506:$C$5005, 0, 1), 0), 0), "00")</f>
        <v>00</v>
      </c>
      <c r="H97" s="1" t="str">
        <f t="shared" si="7"/>
        <v>091</v>
      </c>
      <c r="I97" s="1" t="str">
        <f t="shared" si="8"/>
        <v>11000-091</v>
      </c>
      <c r="J97" s="1" t="str">
        <f t="shared" si="9"/>
        <v>Grand piano production item #091</v>
      </c>
      <c r="K97" s="1" t="str">
        <f>IF(SUM(COUNTIFS(I:I, I97)) &gt; 1, "DUPLICATE", "UNIQUE")</f>
        <v>UNIQUE</v>
      </c>
      <c r="L97" s="18">
        <v>1</v>
      </c>
      <c r="M97" s="28">
        <v>70</v>
      </c>
      <c r="N97" s="6">
        <v>81</v>
      </c>
      <c r="O97" s="30">
        <f t="shared" si="10"/>
        <v>70</v>
      </c>
      <c r="P97" s="30">
        <f t="shared" si="11"/>
        <v>5670</v>
      </c>
      <c r="Q97" s="1">
        <f>COUNTIFS($P:$P, "&gt;" &amp; $P97) + 1</f>
        <v>2325</v>
      </c>
      <c r="R97" s="63">
        <f>(COUNTIFS($P:$P, "&gt;" &amp; $P97) + 1) / (COUNTA($I:$I) - 1)</f>
        <v>0.46500000000000002</v>
      </c>
      <c r="S97" s="23">
        <f>SUMIFS($P:$P, $Q:$Q, "&lt;" &amp; $Q97)</f>
        <v>182207708</v>
      </c>
    </row>
    <row r="98" spans="1:19" x14ac:dyDescent="0.25">
      <c r="A98" s="1">
        <v>93</v>
      </c>
      <c r="B98" s="1" t="s">
        <v>2</v>
      </c>
      <c r="C98" s="1" t="str">
        <f>IF($B98 = "Production Item", _xlfn.XLOOKUP($A98, 'Instrument Table'!$J:$J, 'Instrument Table'!$B:$B, $C97), IF($B98 = "Service Item", _xlfn.XLOOKUP($A98, 'Instrument Table'!$I:$I, 'Instrument Table'!$B:$B, $C97), _xlfn.XLOOKUP($A98, 'Instrument Table'!$H:$H, 'Instrument Table'!$B:$B, $C97)))</f>
        <v>Grand Piano</v>
      </c>
      <c r="D98" s="1" t="str">
        <f>VLOOKUP($C98, 'Instrument Table'!$B:$C, 2, FALSE)</f>
        <v>Pianos</v>
      </c>
      <c r="E98" s="1">
        <f t="shared" si="6"/>
        <v>1</v>
      </c>
      <c r="F98" s="1">
        <f>_xlfn.XLOOKUP($C98, 'Instrument Table'!$B:$B, 'Instrument Table'!$A:$A, "")</f>
        <v>10</v>
      </c>
      <c r="G98" s="1" t="str">
        <f>TEXT(IF($B98 = "Retail Item", IF((ROW($A98) - 4504 - _xlfn.XMATCH($C98, $C$4506:$C$5005, 0, 1)) &lt;= VLOOKUP($C98, 'Instrument Table'!$B:$D, 3, FALSE), ROW($A98) - 4504 - _xlfn.XMATCH($C98, $C$4506:$C$5005, 0, 1), 0), 0), "00")</f>
        <v>00</v>
      </c>
      <c r="H98" s="1" t="str">
        <f t="shared" si="7"/>
        <v>092</v>
      </c>
      <c r="I98" s="1" t="str">
        <f t="shared" si="8"/>
        <v>11000-092</v>
      </c>
      <c r="J98" s="1" t="str">
        <f t="shared" si="9"/>
        <v>Grand piano production item #092</v>
      </c>
      <c r="K98" s="1" t="str">
        <f>IF(SUM(COUNTIFS(I:I, I98)) &gt; 1, "DUPLICATE", "UNIQUE")</f>
        <v>UNIQUE</v>
      </c>
      <c r="L98" s="18">
        <v>1</v>
      </c>
      <c r="M98" s="28">
        <v>31</v>
      </c>
      <c r="N98" s="6">
        <v>121</v>
      </c>
      <c r="O98" s="30">
        <f t="shared" si="10"/>
        <v>31</v>
      </c>
      <c r="P98" s="30">
        <f t="shared" si="11"/>
        <v>3751</v>
      </c>
      <c r="Q98" s="1">
        <f>COUNTIFS($P:$P, "&gt;" &amp; $P98) + 1</f>
        <v>2707</v>
      </c>
      <c r="R98" s="63">
        <f>(COUNTIFS($P:$P, "&gt;" &amp; $P98) + 1) / (COUNTA($I:$I) - 1)</f>
        <v>0.54139999999999999</v>
      </c>
      <c r="S98" s="23">
        <f>SUMIFS($P:$P, $Q:$Q, "&lt;" &amp; $Q98)</f>
        <v>183993129</v>
      </c>
    </row>
    <row r="99" spans="1:19" x14ac:dyDescent="0.25">
      <c r="A99" s="1">
        <v>94</v>
      </c>
      <c r="B99" s="1" t="s">
        <v>2</v>
      </c>
      <c r="C99" s="1" t="str">
        <f>IF($B99 = "Production Item", _xlfn.XLOOKUP($A99, 'Instrument Table'!$J:$J, 'Instrument Table'!$B:$B, $C98), IF($B99 = "Service Item", _xlfn.XLOOKUP($A99, 'Instrument Table'!$I:$I, 'Instrument Table'!$B:$B, $C98), _xlfn.XLOOKUP($A99, 'Instrument Table'!$H:$H, 'Instrument Table'!$B:$B, $C98)))</f>
        <v>Grand Piano</v>
      </c>
      <c r="D99" s="1" t="str">
        <f>VLOOKUP($C99, 'Instrument Table'!$B:$C, 2, FALSE)</f>
        <v>Pianos</v>
      </c>
      <c r="E99" s="1">
        <f t="shared" si="6"/>
        <v>1</v>
      </c>
      <c r="F99" s="1">
        <f>_xlfn.XLOOKUP($C99, 'Instrument Table'!$B:$B, 'Instrument Table'!$A:$A, "")</f>
        <v>10</v>
      </c>
      <c r="G99" s="1" t="str">
        <f>TEXT(IF($B99 = "Retail Item", IF((ROW($A99) - 4504 - _xlfn.XMATCH($C99, $C$4506:$C$5005, 0, 1)) &lt;= VLOOKUP($C99, 'Instrument Table'!$B:$D, 3, FALSE), ROW($A99) - 4504 - _xlfn.XMATCH($C99, $C$4506:$C$5005, 0, 1), 0), 0), "00")</f>
        <v>00</v>
      </c>
      <c r="H99" s="1" t="str">
        <f t="shared" si="7"/>
        <v>093</v>
      </c>
      <c r="I99" s="1" t="str">
        <f t="shared" si="8"/>
        <v>11000-093</v>
      </c>
      <c r="J99" s="1" t="str">
        <f t="shared" si="9"/>
        <v>Grand piano production item #093</v>
      </c>
      <c r="K99" s="1" t="str">
        <f>IF(SUM(COUNTIFS(I:I, I99)) &gt; 1, "DUPLICATE", "UNIQUE")</f>
        <v>UNIQUE</v>
      </c>
      <c r="L99" s="18">
        <v>2</v>
      </c>
      <c r="M99" s="28">
        <v>41</v>
      </c>
      <c r="N99" s="6">
        <v>1</v>
      </c>
      <c r="O99" s="30">
        <f t="shared" si="10"/>
        <v>82</v>
      </c>
      <c r="P99" s="30">
        <f t="shared" si="11"/>
        <v>41</v>
      </c>
      <c r="Q99" s="1">
        <f>COUNTIFS($P:$P, "&gt;" &amp; $P99) + 1</f>
        <v>4639</v>
      </c>
      <c r="R99" s="63">
        <f>(COUNTIFS($P:$P, "&gt;" &amp; $P99) + 1) / (COUNTA($I:$I) - 1)</f>
        <v>0.92779999999999996</v>
      </c>
      <c r="S99" s="23">
        <f>SUMIFS($P:$P, $Q:$Q, "&lt;" &amp; $Q99)</f>
        <v>186545597</v>
      </c>
    </row>
    <row r="100" spans="1:19" x14ac:dyDescent="0.25">
      <c r="A100" s="1">
        <v>95</v>
      </c>
      <c r="B100" s="1" t="s">
        <v>2</v>
      </c>
      <c r="C100" s="1" t="str">
        <f>IF($B100 = "Production Item", _xlfn.XLOOKUP($A100, 'Instrument Table'!$J:$J, 'Instrument Table'!$B:$B, $C99), IF($B100 = "Service Item", _xlfn.XLOOKUP($A100, 'Instrument Table'!$I:$I, 'Instrument Table'!$B:$B, $C99), _xlfn.XLOOKUP($A100, 'Instrument Table'!$H:$H, 'Instrument Table'!$B:$B, $C99)))</f>
        <v>Grand Piano</v>
      </c>
      <c r="D100" s="1" t="str">
        <f>VLOOKUP($C100, 'Instrument Table'!$B:$C, 2, FALSE)</f>
        <v>Pianos</v>
      </c>
      <c r="E100" s="1">
        <f t="shared" si="6"/>
        <v>1</v>
      </c>
      <c r="F100" s="1">
        <f>_xlfn.XLOOKUP($C100, 'Instrument Table'!$B:$B, 'Instrument Table'!$A:$A, "")</f>
        <v>10</v>
      </c>
      <c r="G100" s="1" t="str">
        <f>TEXT(IF($B100 = "Retail Item", IF((ROW($A100) - 4504 - _xlfn.XMATCH($C100, $C$4506:$C$5005, 0, 1)) &lt;= VLOOKUP($C100, 'Instrument Table'!$B:$D, 3, FALSE), ROW($A100) - 4504 - _xlfn.XMATCH($C100, $C$4506:$C$5005, 0, 1), 0), 0), "00")</f>
        <v>00</v>
      </c>
      <c r="H100" s="1" t="str">
        <f t="shared" si="7"/>
        <v>094</v>
      </c>
      <c r="I100" s="1" t="str">
        <f t="shared" si="8"/>
        <v>11000-094</v>
      </c>
      <c r="J100" s="1" t="str">
        <f t="shared" si="9"/>
        <v>Grand piano production item #094</v>
      </c>
      <c r="K100" s="1" t="str">
        <f>IF(SUM(COUNTIFS(I:I, I100)) &gt; 1, "DUPLICATE", "UNIQUE")</f>
        <v>UNIQUE</v>
      </c>
      <c r="L100" s="18">
        <v>1</v>
      </c>
      <c r="M100" s="28">
        <v>25</v>
      </c>
      <c r="N100" s="6">
        <v>144</v>
      </c>
      <c r="O100" s="30">
        <f t="shared" si="10"/>
        <v>25</v>
      </c>
      <c r="P100" s="30">
        <f t="shared" si="11"/>
        <v>3600</v>
      </c>
      <c r="Q100" s="1">
        <f>COUNTIFS($P:$P, "&gt;" &amp; $P100) + 1</f>
        <v>2737</v>
      </c>
      <c r="R100" s="63">
        <f>(COUNTIFS($P:$P, "&gt;" &amp; $P100) + 1) / (COUNTA($I:$I) - 1)</f>
        <v>0.5474</v>
      </c>
      <c r="S100" s="23">
        <f>SUMIFS($P:$P, $Q:$Q, "&lt;" &amp; $Q100)</f>
        <v>184104041</v>
      </c>
    </row>
    <row r="101" spans="1:19" x14ac:dyDescent="0.25">
      <c r="A101" s="1">
        <v>96</v>
      </c>
      <c r="B101" s="1" t="s">
        <v>2</v>
      </c>
      <c r="C101" s="1" t="str">
        <f>IF($B101 = "Production Item", _xlfn.XLOOKUP($A101, 'Instrument Table'!$J:$J, 'Instrument Table'!$B:$B, $C100), IF($B101 = "Service Item", _xlfn.XLOOKUP($A101, 'Instrument Table'!$I:$I, 'Instrument Table'!$B:$B, $C100), _xlfn.XLOOKUP($A101, 'Instrument Table'!$H:$H, 'Instrument Table'!$B:$B, $C100)))</f>
        <v>Grand Piano</v>
      </c>
      <c r="D101" s="1" t="str">
        <f>VLOOKUP($C101, 'Instrument Table'!$B:$C, 2, FALSE)</f>
        <v>Pianos</v>
      </c>
      <c r="E101" s="1">
        <f t="shared" si="6"/>
        <v>1</v>
      </c>
      <c r="F101" s="1">
        <f>_xlfn.XLOOKUP($C101, 'Instrument Table'!$B:$B, 'Instrument Table'!$A:$A, "")</f>
        <v>10</v>
      </c>
      <c r="G101" s="1" t="str">
        <f>TEXT(IF($B101 = "Retail Item", IF((ROW($A101) - 4504 - _xlfn.XMATCH($C101, $C$4506:$C$5005, 0, 1)) &lt;= VLOOKUP($C101, 'Instrument Table'!$B:$D, 3, FALSE), ROW($A101) - 4504 - _xlfn.XMATCH($C101, $C$4506:$C$5005, 0, 1), 0), 0), "00")</f>
        <v>00</v>
      </c>
      <c r="H101" s="1" t="str">
        <f t="shared" si="7"/>
        <v>095</v>
      </c>
      <c r="I101" s="1" t="str">
        <f t="shared" si="8"/>
        <v>11000-095</v>
      </c>
      <c r="J101" s="1" t="str">
        <f t="shared" si="9"/>
        <v>Grand piano production item #095</v>
      </c>
      <c r="K101" s="1" t="str">
        <f>IF(SUM(COUNTIFS(I:I, I101)) &gt; 1, "DUPLICATE", "UNIQUE")</f>
        <v>UNIQUE</v>
      </c>
      <c r="L101" s="18">
        <v>0</v>
      </c>
      <c r="M101" s="28">
        <v>19</v>
      </c>
      <c r="N101" s="6">
        <v>64</v>
      </c>
      <c r="O101" s="30">
        <f t="shared" si="10"/>
        <v>0</v>
      </c>
      <c r="P101" s="30">
        <f t="shared" si="11"/>
        <v>1216</v>
      </c>
      <c r="Q101" s="1">
        <f>COUNTIFS($P:$P, "&gt;" &amp; $P101) + 1</f>
        <v>3593</v>
      </c>
      <c r="R101" s="63">
        <f>(COUNTIFS($P:$P, "&gt;" &amp; $P101) + 1) / (COUNTA($I:$I) - 1)</f>
        <v>0.71860000000000002</v>
      </c>
      <c r="S101" s="23">
        <f>SUMIFS($P:$P, $Q:$Q, "&lt;" &amp; $Q101)</f>
        <v>186061231</v>
      </c>
    </row>
    <row r="102" spans="1:19" x14ac:dyDescent="0.25">
      <c r="A102" s="1">
        <v>97</v>
      </c>
      <c r="B102" s="1" t="s">
        <v>2</v>
      </c>
      <c r="C102" s="1" t="str">
        <f>IF($B102 = "Production Item", _xlfn.XLOOKUP($A102, 'Instrument Table'!$J:$J, 'Instrument Table'!$B:$B, $C101), IF($B102 = "Service Item", _xlfn.XLOOKUP($A102, 'Instrument Table'!$I:$I, 'Instrument Table'!$B:$B, $C101), _xlfn.XLOOKUP($A102, 'Instrument Table'!$H:$H, 'Instrument Table'!$B:$B, $C101)))</f>
        <v>Grand Piano</v>
      </c>
      <c r="D102" s="1" t="str">
        <f>VLOOKUP($C102, 'Instrument Table'!$B:$C, 2, FALSE)</f>
        <v>Pianos</v>
      </c>
      <c r="E102" s="1">
        <f t="shared" si="6"/>
        <v>1</v>
      </c>
      <c r="F102" s="1">
        <f>_xlfn.XLOOKUP($C102, 'Instrument Table'!$B:$B, 'Instrument Table'!$A:$A, "")</f>
        <v>10</v>
      </c>
      <c r="G102" s="1" t="str">
        <f>TEXT(IF($B102 = "Retail Item", IF((ROW($A102) - 4504 - _xlfn.XMATCH($C102, $C$4506:$C$5005, 0, 1)) &lt;= VLOOKUP($C102, 'Instrument Table'!$B:$D, 3, FALSE), ROW($A102) - 4504 - _xlfn.XMATCH($C102, $C$4506:$C$5005, 0, 1), 0), 0), "00")</f>
        <v>00</v>
      </c>
      <c r="H102" s="1" t="str">
        <f t="shared" si="7"/>
        <v>096</v>
      </c>
      <c r="I102" s="1" t="str">
        <f t="shared" si="8"/>
        <v>11000-096</v>
      </c>
      <c r="J102" s="1" t="str">
        <f t="shared" si="9"/>
        <v>Grand piano production item #096</v>
      </c>
      <c r="K102" s="1" t="str">
        <f>IF(SUM(COUNTIFS(I:I, I102)) &gt; 1, "DUPLICATE", "UNIQUE")</f>
        <v>UNIQUE</v>
      </c>
      <c r="L102" s="18">
        <v>0</v>
      </c>
      <c r="M102" s="28">
        <v>98</v>
      </c>
      <c r="N102" s="6">
        <v>81</v>
      </c>
      <c r="O102" s="30">
        <f t="shared" si="10"/>
        <v>0</v>
      </c>
      <c r="P102" s="30">
        <f t="shared" si="11"/>
        <v>7938</v>
      </c>
      <c r="Q102" s="1">
        <f>COUNTIFS($P:$P, "&gt;" &amp; $P102) + 1</f>
        <v>1995</v>
      </c>
      <c r="R102" s="63">
        <f>(COUNTIFS($P:$P, "&gt;" &amp; $P102) + 1) / (COUNTA($I:$I) - 1)</f>
        <v>0.39900000000000002</v>
      </c>
      <c r="S102" s="23">
        <f>SUMIFS($P:$P, $Q:$Q, "&lt;" &amp; $Q102)</f>
        <v>179956789</v>
      </c>
    </row>
    <row r="103" spans="1:19" x14ac:dyDescent="0.25">
      <c r="A103" s="1">
        <v>98</v>
      </c>
      <c r="B103" s="1" t="s">
        <v>2</v>
      </c>
      <c r="C103" s="1" t="str">
        <f>IF($B103 = "Production Item", _xlfn.XLOOKUP($A103, 'Instrument Table'!$J:$J, 'Instrument Table'!$B:$B, $C102), IF($B103 = "Service Item", _xlfn.XLOOKUP($A103, 'Instrument Table'!$I:$I, 'Instrument Table'!$B:$B, $C102), _xlfn.XLOOKUP($A103, 'Instrument Table'!$H:$H, 'Instrument Table'!$B:$B, $C102)))</f>
        <v>Grand Piano</v>
      </c>
      <c r="D103" s="1" t="str">
        <f>VLOOKUP($C103, 'Instrument Table'!$B:$C, 2, FALSE)</f>
        <v>Pianos</v>
      </c>
      <c r="E103" s="1">
        <f t="shared" si="6"/>
        <v>1</v>
      </c>
      <c r="F103" s="1">
        <f>_xlfn.XLOOKUP($C103, 'Instrument Table'!$B:$B, 'Instrument Table'!$A:$A, "")</f>
        <v>10</v>
      </c>
      <c r="G103" s="1" t="str">
        <f>TEXT(IF($B103 = "Retail Item", IF((ROW($A103) - 4504 - _xlfn.XMATCH($C103, $C$4506:$C$5005, 0, 1)) &lt;= VLOOKUP($C103, 'Instrument Table'!$B:$D, 3, FALSE), ROW($A103) - 4504 - _xlfn.XMATCH($C103, $C$4506:$C$5005, 0, 1), 0), 0), "00")</f>
        <v>00</v>
      </c>
      <c r="H103" s="1" t="str">
        <f t="shared" si="7"/>
        <v>097</v>
      </c>
      <c r="I103" s="1" t="str">
        <f t="shared" si="8"/>
        <v>11000-097</v>
      </c>
      <c r="J103" s="1" t="str">
        <f t="shared" si="9"/>
        <v>Grand piano production item #097</v>
      </c>
      <c r="K103" s="1" t="str">
        <f>IF(SUM(COUNTIFS(I:I, I103)) &gt; 1, "DUPLICATE", "UNIQUE")</f>
        <v>UNIQUE</v>
      </c>
      <c r="L103" s="18">
        <v>1</v>
      </c>
      <c r="M103" s="28">
        <v>45</v>
      </c>
      <c r="N103" s="6">
        <v>256</v>
      </c>
      <c r="O103" s="30">
        <f t="shared" si="10"/>
        <v>45</v>
      </c>
      <c r="P103" s="30">
        <f t="shared" si="11"/>
        <v>11520</v>
      </c>
      <c r="Q103" s="1">
        <f>COUNTIFS($P:$P, "&gt;" &amp; $P103) + 1</f>
        <v>1634</v>
      </c>
      <c r="R103" s="63">
        <f>(COUNTIFS($P:$P, "&gt;" &amp; $P103) + 1) / (COUNTA($I:$I) - 1)</f>
        <v>0.32679999999999998</v>
      </c>
      <c r="S103" s="23">
        <f>SUMIFS($P:$P, $Q:$Q, "&lt;" &amp; $Q103)</f>
        <v>176474475</v>
      </c>
    </row>
    <row r="104" spans="1:19" x14ac:dyDescent="0.25">
      <c r="A104" s="1">
        <v>99</v>
      </c>
      <c r="B104" s="1" t="s">
        <v>2</v>
      </c>
      <c r="C104" s="1" t="str">
        <f>IF($B104 = "Production Item", _xlfn.XLOOKUP($A104, 'Instrument Table'!$J:$J, 'Instrument Table'!$B:$B, $C103), IF($B104 = "Service Item", _xlfn.XLOOKUP($A104, 'Instrument Table'!$I:$I, 'Instrument Table'!$B:$B, $C103), _xlfn.XLOOKUP($A104, 'Instrument Table'!$H:$H, 'Instrument Table'!$B:$B, $C103)))</f>
        <v>Grand Piano</v>
      </c>
      <c r="D104" s="1" t="str">
        <f>VLOOKUP($C104, 'Instrument Table'!$B:$C, 2, FALSE)</f>
        <v>Pianos</v>
      </c>
      <c r="E104" s="1">
        <f t="shared" si="6"/>
        <v>1</v>
      </c>
      <c r="F104" s="1">
        <f>_xlfn.XLOOKUP($C104, 'Instrument Table'!$B:$B, 'Instrument Table'!$A:$A, "")</f>
        <v>10</v>
      </c>
      <c r="G104" s="1" t="str">
        <f>TEXT(IF($B104 = "Retail Item", IF((ROW($A104) - 4504 - _xlfn.XMATCH($C104, $C$4506:$C$5005, 0, 1)) &lt;= VLOOKUP($C104, 'Instrument Table'!$B:$D, 3, FALSE), ROW($A104) - 4504 - _xlfn.XMATCH($C104, $C$4506:$C$5005, 0, 1), 0), 0), "00")</f>
        <v>00</v>
      </c>
      <c r="H104" s="1" t="str">
        <f t="shared" si="7"/>
        <v>098</v>
      </c>
      <c r="I104" s="1" t="str">
        <f t="shared" si="8"/>
        <v>11000-098</v>
      </c>
      <c r="J104" s="1" t="str">
        <f t="shared" si="9"/>
        <v>Grand piano production item #098</v>
      </c>
      <c r="K104" s="1" t="str">
        <f>IF(SUM(COUNTIFS(I:I, I104)) &gt; 1, "DUPLICATE", "UNIQUE")</f>
        <v>UNIQUE</v>
      </c>
      <c r="L104" s="18">
        <v>16</v>
      </c>
      <c r="M104" s="28">
        <v>41</v>
      </c>
      <c r="N104" s="6">
        <v>121</v>
      </c>
      <c r="O104" s="30">
        <f t="shared" si="10"/>
        <v>656</v>
      </c>
      <c r="P104" s="30">
        <f t="shared" si="11"/>
        <v>4961</v>
      </c>
      <c r="Q104" s="1">
        <f>COUNTIFS($P:$P, "&gt;" &amp; $P104) + 1</f>
        <v>2450</v>
      </c>
      <c r="R104" s="63">
        <f>(COUNTIFS($P:$P, "&gt;" &amp; $P104) + 1) / (COUNTA($I:$I) - 1)</f>
        <v>0.49</v>
      </c>
      <c r="S104" s="23">
        <f>SUMIFS($P:$P, $Q:$Q, "&lt;" &amp; $Q104)</f>
        <v>182872527</v>
      </c>
    </row>
    <row r="105" spans="1:19" x14ac:dyDescent="0.25">
      <c r="A105" s="1">
        <v>100</v>
      </c>
      <c r="B105" s="1" t="s">
        <v>2</v>
      </c>
      <c r="C105" s="1" t="str">
        <f>IF($B105 = "Production Item", _xlfn.XLOOKUP($A105, 'Instrument Table'!$J:$J, 'Instrument Table'!$B:$B, $C104), IF($B105 = "Service Item", _xlfn.XLOOKUP($A105, 'Instrument Table'!$I:$I, 'Instrument Table'!$B:$B, $C104), _xlfn.XLOOKUP($A105, 'Instrument Table'!$H:$H, 'Instrument Table'!$B:$B, $C104)))</f>
        <v>Grand Piano</v>
      </c>
      <c r="D105" s="1" t="str">
        <f>VLOOKUP($C105, 'Instrument Table'!$B:$C, 2, FALSE)</f>
        <v>Pianos</v>
      </c>
      <c r="E105" s="1">
        <f t="shared" si="6"/>
        <v>1</v>
      </c>
      <c r="F105" s="1">
        <f>_xlfn.XLOOKUP($C105, 'Instrument Table'!$B:$B, 'Instrument Table'!$A:$A, "")</f>
        <v>10</v>
      </c>
      <c r="G105" s="1" t="str">
        <f>TEXT(IF($B105 = "Retail Item", IF((ROW($A105) - 4504 - _xlfn.XMATCH($C105, $C$4506:$C$5005, 0, 1)) &lt;= VLOOKUP($C105, 'Instrument Table'!$B:$D, 3, FALSE), ROW($A105) - 4504 - _xlfn.XMATCH($C105, $C$4506:$C$5005, 0, 1), 0), 0), "00")</f>
        <v>00</v>
      </c>
      <c r="H105" s="1" t="str">
        <f t="shared" si="7"/>
        <v>099</v>
      </c>
      <c r="I105" s="1" t="str">
        <f t="shared" si="8"/>
        <v>11000-099</v>
      </c>
      <c r="J105" s="1" t="str">
        <f t="shared" si="9"/>
        <v>Grand piano production item #099</v>
      </c>
      <c r="K105" s="1" t="str">
        <f>IF(SUM(COUNTIFS(I:I, I105)) &gt; 1, "DUPLICATE", "UNIQUE")</f>
        <v>UNIQUE</v>
      </c>
      <c r="L105" s="18">
        <v>32</v>
      </c>
      <c r="M105" s="28">
        <v>18</v>
      </c>
      <c r="N105" s="6">
        <v>81</v>
      </c>
      <c r="O105" s="30">
        <f t="shared" si="10"/>
        <v>576</v>
      </c>
      <c r="P105" s="30">
        <f t="shared" si="11"/>
        <v>1458</v>
      </c>
      <c r="Q105" s="1">
        <f>COUNTIFS($P:$P, "&gt;" &amp; $P105) + 1</f>
        <v>3477</v>
      </c>
      <c r="R105" s="63">
        <f>(COUNTIFS($P:$P, "&gt;" &amp; $P105) + 1) / (COUNTA($I:$I) - 1)</f>
        <v>0.69540000000000002</v>
      </c>
      <c r="S105" s="23">
        <f>SUMIFS($P:$P, $Q:$Q, "&lt;" &amp; $Q105)</f>
        <v>185904150</v>
      </c>
    </row>
    <row r="106" spans="1:19" x14ac:dyDescent="0.25">
      <c r="A106" s="1">
        <v>101</v>
      </c>
      <c r="B106" s="1" t="s">
        <v>2</v>
      </c>
      <c r="C106" s="1" t="str">
        <f>IF($B106 = "Production Item", _xlfn.XLOOKUP($A106, 'Instrument Table'!$J:$J, 'Instrument Table'!$B:$B, $C105), IF($B106 = "Service Item", _xlfn.XLOOKUP($A106, 'Instrument Table'!$I:$I, 'Instrument Table'!$B:$B, $C105), _xlfn.XLOOKUP($A106, 'Instrument Table'!$H:$H, 'Instrument Table'!$B:$B, $C105)))</f>
        <v>Grand Piano</v>
      </c>
      <c r="D106" s="1" t="str">
        <f>VLOOKUP($C106, 'Instrument Table'!$B:$C, 2, FALSE)</f>
        <v>Pianos</v>
      </c>
      <c r="E106" s="1">
        <f t="shared" si="6"/>
        <v>1</v>
      </c>
      <c r="F106" s="1">
        <f>_xlfn.XLOOKUP($C106, 'Instrument Table'!$B:$B, 'Instrument Table'!$A:$A, "")</f>
        <v>10</v>
      </c>
      <c r="G106" s="1" t="str">
        <f>TEXT(IF($B106 = "Retail Item", IF((ROW($A106) - 4504 - _xlfn.XMATCH($C106, $C$4506:$C$5005, 0, 1)) &lt;= VLOOKUP($C106, 'Instrument Table'!$B:$D, 3, FALSE), ROW($A106) - 4504 - _xlfn.XMATCH($C106, $C$4506:$C$5005, 0, 1), 0), 0), "00")</f>
        <v>00</v>
      </c>
      <c r="H106" s="1" t="str">
        <f t="shared" si="7"/>
        <v>100</v>
      </c>
      <c r="I106" s="1" t="str">
        <f t="shared" si="8"/>
        <v>11000-100</v>
      </c>
      <c r="J106" s="1" t="str">
        <f t="shared" si="9"/>
        <v>Grand piano production item #100</v>
      </c>
      <c r="K106" s="1" t="str">
        <f>IF(SUM(COUNTIFS(I:I, I106)) &gt; 1, "DUPLICATE", "UNIQUE")</f>
        <v>UNIQUE</v>
      </c>
      <c r="L106" s="18">
        <v>1</v>
      </c>
      <c r="M106" s="28">
        <v>84</v>
      </c>
      <c r="N106" s="6">
        <v>36</v>
      </c>
      <c r="O106" s="30">
        <f t="shared" si="10"/>
        <v>84</v>
      </c>
      <c r="P106" s="30">
        <f t="shared" si="11"/>
        <v>3024</v>
      </c>
      <c r="Q106" s="1">
        <f>COUNTIFS($P:$P, "&gt;" &amp; $P106) + 1</f>
        <v>2903</v>
      </c>
      <c r="R106" s="63">
        <f>(COUNTIFS($P:$P, "&gt;" &amp; $P106) + 1) / (COUNTA($I:$I) - 1)</f>
        <v>0.5806</v>
      </c>
      <c r="S106" s="23">
        <f>SUMIFS($P:$P, $Q:$Q, "&lt;" &amp; $Q106)</f>
        <v>184657338</v>
      </c>
    </row>
    <row r="107" spans="1:19" x14ac:dyDescent="0.25">
      <c r="A107" s="1">
        <v>102</v>
      </c>
      <c r="B107" s="1" t="s">
        <v>2</v>
      </c>
      <c r="C107" s="1" t="str">
        <f>IF($B107 = "Production Item", _xlfn.XLOOKUP($A107, 'Instrument Table'!$J:$J, 'Instrument Table'!$B:$B, $C106), IF($B107 = "Service Item", _xlfn.XLOOKUP($A107, 'Instrument Table'!$I:$I, 'Instrument Table'!$B:$B, $C106), _xlfn.XLOOKUP($A107, 'Instrument Table'!$H:$H, 'Instrument Table'!$B:$B, $C106)))</f>
        <v>Grand Piano</v>
      </c>
      <c r="D107" s="1" t="str">
        <f>VLOOKUP($C107, 'Instrument Table'!$B:$C, 2, FALSE)</f>
        <v>Pianos</v>
      </c>
      <c r="E107" s="1">
        <f t="shared" si="6"/>
        <v>1</v>
      </c>
      <c r="F107" s="1">
        <f>_xlfn.XLOOKUP($C107, 'Instrument Table'!$B:$B, 'Instrument Table'!$A:$A, "")</f>
        <v>10</v>
      </c>
      <c r="G107" s="1" t="str">
        <f>TEXT(IF($B107 = "Retail Item", IF((ROW($A107) - 4504 - _xlfn.XMATCH($C107, $C$4506:$C$5005, 0, 1)) &lt;= VLOOKUP($C107, 'Instrument Table'!$B:$D, 3, FALSE), ROW($A107) - 4504 - _xlfn.XMATCH($C107, $C$4506:$C$5005, 0, 1), 0), 0), "00")</f>
        <v>00</v>
      </c>
      <c r="H107" s="1" t="str">
        <f t="shared" si="7"/>
        <v>101</v>
      </c>
      <c r="I107" s="1" t="str">
        <f t="shared" si="8"/>
        <v>11000-101</v>
      </c>
      <c r="J107" s="1" t="str">
        <f t="shared" si="9"/>
        <v>Grand piano production item #101</v>
      </c>
      <c r="K107" s="1" t="str">
        <f>IF(SUM(COUNTIFS(I:I, I107)) &gt; 1, "DUPLICATE", "UNIQUE")</f>
        <v>UNIQUE</v>
      </c>
      <c r="L107" s="18">
        <v>1</v>
      </c>
      <c r="M107" s="28">
        <v>77</v>
      </c>
      <c r="N107" s="6">
        <v>256</v>
      </c>
      <c r="O107" s="30">
        <f t="shared" si="10"/>
        <v>77</v>
      </c>
      <c r="P107" s="30">
        <f t="shared" si="11"/>
        <v>19712</v>
      </c>
      <c r="Q107" s="1">
        <f>COUNTIFS($P:$P, "&gt;" &amp; $P107) + 1</f>
        <v>1070</v>
      </c>
      <c r="R107" s="63">
        <f>(COUNTIFS($P:$P, "&gt;" &amp; $P107) + 1) / (COUNTA($I:$I) - 1)</f>
        <v>0.214</v>
      </c>
      <c r="S107" s="23">
        <f>SUMIFS($P:$P, $Q:$Q, "&lt;" &amp; $Q107)</f>
        <v>167921769</v>
      </c>
    </row>
    <row r="108" spans="1:19" x14ac:dyDescent="0.25">
      <c r="A108" s="1">
        <v>103</v>
      </c>
      <c r="B108" s="1" t="s">
        <v>2</v>
      </c>
      <c r="C108" s="1" t="str">
        <f>IF($B108 = "Production Item", _xlfn.XLOOKUP($A108, 'Instrument Table'!$J:$J, 'Instrument Table'!$B:$B, $C107), IF($B108 = "Service Item", _xlfn.XLOOKUP($A108, 'Instrument Table'!$I:$I, 'Instrument Table'!$B:$B, $C107), _xlfn.XLOOKUP($A108, 'Instrument Table'!$H:$H, 'Instrument Table'!$B:$B, $C107)))</f>
        <v>Grand Piano</v>
      </c>
      <c r="D108" s="1" t="str">
        <f>VLOOKUP($C108, 'Instrument Table'!$B:$C, 2, FALSE)</f>
        <v>Pianos</v>
      </c>
      <c r="E108" s="1">
        <f t="shared" si="6"/>
        <v>1</v>
      </c>
      <c r="F108" s="1">
        <f>_xlfn.XLOOKUP($C108, 'Instrument Table'!$B:$B, 'Instrument Table'!$A:$A, "")</f>
        <v>10</v>
      </c>
      <c r="G108" s="1" t="str">
        <f>TEXT(IF($B108 = "Retail Item", IF((ROW($A108) - 4504 - _xlfn.XMATCH($C108, $C$4506:$C$5005, 0, 1)) &lt;= VLOOKUP($C108, 'Instrument Table'!$B:$D, 3, FALSE), ROW($A108) - 4504 - _xlfn.XMATCH($C108, $C$4506:$C$5005, 0, 1), 0), 0), "00")</f>
        <v>00</v>
      </c>
      <c r="H108" s="1" t="str">
        <f t="shared" si="7"/>
        <v>102</v>
      </c>
      <c r="I108" s="1" t="str">
        <f t="shared" si="8"/>
        <v>11000-102</v>
      </c>
      <c r="J108" s="1" t="str">
        <f t="shared" si="9"/>
        <v>Grand piano production item #102</v>
      </c>
      <c r="K108" s="1" t="str">
        <f>IF(SUM(COUNTIFS(I:I, I108)) &gt; 1, "DUPLICATE", "UNIQUE")</f>
        <v>UNIQUE</v>
      </c>
      <c r="L108" s="18">
        <v>0</v>
      </c>
      <c r="M108" s="28">
        <v>37</v>
      </c>
      <c r="N108" s="6">
        <v>49</v>
      </c>
      <c r="O108" s="30">
        <f t="shared" si="10"/>
        <v>0</v>
      </c>
      <c r="P108" s="30">
        <f t="shared" si="11"/>
        <v>1813</v>
      </c>
      <c r="Q108" s="1">
        <f>COUNTIFS($P:$P, "&gt;" &amp; $P108) + 1</f>
        <v>3325</v>
      </c>
      <c r="R108" s="63">
        <f>(COUNTIFS($P:$P, "&gt;" &amp; $P108) + 1) / (COUNTA($I:$I) - 1)</f>
        <v>0.66500000000000004</v>
      </c>
      <c r="S108" s="23">
        <f>SUMIFS($P:$P, $Q:$Q, "&lt;" &amp; $Q108)</f>
        <v>185655517</v>
      </c>
    </row>
    <row r="109" spans="1:19" x14ac:dyDescent="0.25">
      <c r="A109" s="1">
        <v>104</v>
      </c>
      <c r="B109" s="1" t="s">
        <v>2</v>
      </c>
      <c r="C109" s="1" t="str">
        <f>IF($B109 = "Production Item", _xlfn.XLOOKUP($A109, 'Instrument Table'!$J:$J, 'Instrument Table'!$B:$B, $C108), IF($B109 = "Service Item", _xlfn.XLOOKUP($A109, 'Instrument Table'!$I:$I, 'Instrument Table'!$B:$B, $C108), _xlfn.XLOOKUP($A109, 'Instrument Table'!$H:$H, 'Instrument Table'!$B:$B, $C108)))</f>
        <v>Grand Piano</v>
      </c>
      <c r="D109" s="1" t="str">
        <f>VLOOKUP($C109, 'Instrument Table'!$B:$C, 2, FALSE)</f>
        <v>Pianos</v>
      </c>
      <c r="E109" s="1">
        <f t="shared" si="6"/>
        <v>1</v>
      </c>
      <c r="F109" s="1">
        <f>_xlfn.XLOOKUP($C109, 'Instrument Table'!$B:$B, 'Instrument Table'!$A:$A, "")</f>
        <v>10</v>
      </c>
      <c r="G109" s="1" t="str">
        <f>TEXT(IF($B109 = "Retail Item", IF((ROW($A109) - 4504 - _xlfn.XMATCH($C109, $C$4506:$C$5005, 0, 1)) &lt;= VLOOKUP($C109, 'Instrument Table'!$B:$D, 3, FALSE), ROW($A109) - 4504 - _xlfn.XMATCH($C109, $C$4506:$C$5005, 0, 1), 0), 0), "00")</f>
        <v>00</v>
      </c>
      <c r="H109" s="1" t="str">
        <f t="shared" si="7"/>
        <v>103</v>
      </c>
      <c r="I109" s="1" t="str">
        <f t="shared" si="8"/>
        <v>11000-103</v>
      </c>
      <c r="J109" s="1" t="str">
        <f t="shared" si="9"/>
        <v>Grand piano production item #103</v>
      </c>
      <c r="K109" s="1" t="str">
        <f>IF(SUM(COUNTIFS(I:I, I109)) &gt; 1, "DUPLICATE", "UNIQUE")</f>
        <v>UNIQUE</v>
      </c>
      <c r="L109" s="18">
        <v>2</v>
      </c>
      <c r="M109" s="28">
        <v>1</v>
      </c>
      <c r="N109" s="6">
        <v>16</v>
      </c>
      <c r="O109" s="30">
        <f t="shared" si="10"/>
        <v>2</v>
      </c>
      <c r="P109" s="30">
        <f t="shared" si="11"/>
        <v>16</v>
      </c>
      <c r="Q109" s="1">
        <f>COUNTIFS($P:$P, "&gt;" &amp; $P109) + 1</f>
        <v>4705</v>
      </c>
      <c r="R109" s="63">
        <f>(COUNTIFS($P:$P, "&gt;" &amp; $P109) + 1) / (COUNTA($I:$I) - 1)</f>
        <v>0.94099999999999995</v>
      </c>
      <c r="S109" s="23">
        <f>SUMIFS($P:$P, $Q:$Q, "&lt;" &amp; $Q109)</f>
        <v>186547483</v>
      </c>
    </row>
    <row r="110" spans="1:19" x14ac:dyDescent="0.25">
      <c r="A110" s="1">
        <v>105</v>
      </c>
      <c r="B110" s="1" t="s">
        <v>2</v>
      </c>
      <c r="C110" s="1" t="str">
        <f>IF($B110 = "Production Item", _xlfn.XLOOKUP($A110, 'Instrument Table'!$J:$J, 'Instrument Table'!$B:$B, $C109), IF($B110 = "Service Item", _xlfn.XLOOKUP($A110, 'Instrument Table'!$I:$I, 'Instrument Table'!$B:$B, $C109), _xlfn.XLOOKUP($A110, 'Instrument Table'!$H:$H, 'Instrument Table'!$B:$B, $C109)))</f>
        <v>Grand Piano</v>
      </c>
      <c r="D110" s="1" t="str">
        <f>VLOOKUP($C110, 'Instrument Table'!$B:$C, 2, FALSE)</f>
        <v>Pianos</v>
      </c>
      <c r="E110" s="1">
        <f t="shared" si="6"/>
        <v>1</v>
      </c>
      <c r="F110" s="1">
        <f>_xlfn.XLOOKUP($C110, 'Instrument Table'!$B:$B, 'Instrument Table'!$A:$A, "")</f>
        <v>10</v>
      </c>
      <c r="G110" s="1" t="str">
        <f>TEXT(IF($B110 = "Retail Item", IF((ROW($A110) - 4504 - _xlfn.XMATCH($C110, $C$4506:$C$5005, 0, 1)) &lt;= VLOOKUP($C110, 'Instrument Table'!$B:$D, 3, FALSE), ROW($A110) - 4504 - _xlfn.XMATCH($C110, $C$4506:$C$5005, 0, 1), 0), 0), "00")</f>
        <v>00</v>
      </c>
      <c r="H110" s="1" t="str">
        <f t="shared" si="7"/>
        <v>104</v>
      </c>
      <c r="I110" s="1" t="str">
        <f t="shared" si="8"/>
        <v>11000-104</v>
      </c>
      <c r="J110" s="1" t="str">
        <f t="shared" si="9"/>
        <v>Grand piano production item #104</v>
      </c>
      <c r="K110" s="1" t="str">
        <f>IF(SUM(COUNTIFS(I:I, I110)) &gt; 1, "DUPLICATE", "UNIQUE")</f>
        <v>UNIQUE</v>
      </c>
      <c r="L110" s="18">
        <v>0</v>
      </c>
      <c r="M110" s="28">
        <v>35</v>
      </c>
      <c r="N110" s="6">
        <v>400</v>
      </c>
      <c r="O110" s="30">
        <f t="shared" si="10"/>
        <v>0</v>
      </c>
      <c r="P110" s="30">
        <f t="shared" si="11"/>
        <v>14000</v>
      </c>
      <c r="Q110" s="1">
        <f>COUNTIFS($P:$P, "&gt;" &amp; $P110) + 1</f>
        <v>1417</v>
      </c>
      <c r="R110" s="63">
        <f>(COUNTIFS($P:$P, "&gt;" &amp; $P110) + 1) / (COUNTA($I:$I) - 1)</f>
        <v>0.28339999999999999</v>
      </c>
      <c r="S110" s="23">
        <f>SUMIFS($P:$P, $Q:$Q, "&lt;" &amp; $Q110)</f>
        <v>173716659</v>
      </c>
    </row>
    <row r="111" spans="1:19" x14ac:dyDescent="0.25">
      <c r="A111" s="1">
        <v>106</v>
      </c>
      <c r="B111" s="1" t="s">
        <v>2</v>
      </c>
      <c r="C111" s="1" t="str">
        <f>IF($B111 = "Production Item", _xlfn.XLOOKUP($A111, 'Instrument Table'!$J:$J, 'Instrument Table'!$B:$B, $C110), IF($B111 = "Service Item", _xlfn.XLOOKUP($A111, 'Instrument Table'!$I:$I, 'Instrument Table'!$B:$B, $C110), _xlfn.XLOOKUP($A111, 'Instrument Table'!$H:$H, 'Instrument Table'!$B:$B, $C110)))</f>
        <v>Grand Piano</v>
      </c>
      <c r="D111" s="1" t="str">
        <f>VLOOKUP($C111, 'Instrument Table'!$B:$C, 2, FALSE)</f>
        <v>Pianos</v>
      </c>
      <c r="E111" s="1">
        <f t="shared" si="6"/>
        <v>1</v>
      </c>
      <c r="F111" s="1">
        <f>_xlfn.XLOOKUP($C111, 'Instrument Table'!$B:$B, 'Instrument Table'!$A:$A, "")</f>
        <v>10</v>
      </c>
      <c r="G111" s="1" t="str">
        <f>TEXT(IF($B111 = "Retail Item", IF((ROW($A111) - 4504 - _xlfn.XMATCH($C111, $C$4506:$C$5005, 0, 1)) &lt;= VLOOKUP($C111, 'Instrument Table'!$B:$D, 3, FALSE), ROW($A111) - 4504 - _xlfn.XMATCH($C111, $C$4506:$C$5005, 0, 1), 0), 0), "00")</f>
        <v>00</v>
      </c>
      <c r="H111" s="1" t="str">
        <f t="shared" si="7"/>
        <v>105</v>
      </c>
      <c r="I111" s="1" t="str">
        <f t="shared" si="8"/>
        <v>11000-105</v>
      </c>
      <c r="J111" s="1" t="str">
        <f t="shared" si="9"/>
        <v>Grand piano production item #105</v>
      </c>
      <c r="K111" s="1" t="str">
        <f>IF(SUM(COUNTIFS(I:I, I111)) &gt; 1, "DUPLICATE", "UNIQUE")</f>
        <v>UNIQUE</v>
      </c>
      <c r="L111" s="18">
        <v>0</v>
      </c>
      <c r="M111" s="28">
        <v>55</v>
      </c>
      <c r="N111" s="6">
        <v>225</v>
      </c>
      <c r="O111" s="30">
        <f t="shared" si="10"/>
        <v>0</v>
      </c>
      <c r="P111" s="30">
        <f t="shared" si="11"/>
        <v>12375</v>
      </c>
      <c r="Q111" s="1">
        <f>COUNTIFS($P:$P, "&gt;" &amp; $P111) + 1</f>
        <v>1549</v>
      </c>
      <c r="R111" s="63">
        <f>(COUNTIFS($P:$P, "&gt;" &amp; $P111) + 1) / (COUNTA($I:$I) - 1)</f>
        <v>0.30980000000000002</v>
      </c>
      <c r="S111" s="23">
        <f>SUMIFS($P:$P, $Q:$Q, "&lt;" &amp; $Q111)</f>
        <v>175462616</v>
      </c>
    </row>
    <row r="112" spans="1:19" x14ac:dyDescent="0.25">
      <c r="A112" s="1">
        <v>107</v>
      </c>
      <c r="B112" s="1" t="s">
        <v>2</v>
      </c>
      <c r="C112" s="1" t="str">
        <f>IF($B112 = "Production Item", _xlfn.XLOOKUP($A112, 'Instrument Table'!$J:$J, 'Instrument Table'!$B:$B, $C111), IF($B112 = "Service Item", _xlfn.XLOOKUP($A112, 'Instrument Table'!$I:$I, 'Instrument Table'!$B:$B, $C111), _xlfn.XLOOKUP($A112, 'Instrument Table'!$H:$H, 'Instrument Table'!$B:$B, $C111)))</f>
        <v>Grand Piano</v>
      </c>
      <c r="D112" s="1" t="str">
        <f>VLOOKUP($C112, 'Instrument Table'!$B:$C, 2, FALSE)</f>
        <v>Pianos</v>
      </c>
      <c r="E112" s="1">
        <f t="shared" si="6"/>
        <v>1</v>
      </c>
      <c r="F112" s="1">
        <f>_xlfn.XLOOKUP($C112, 'Instrument Table'!$B:$B, 'Instrument Table'!$A:$A, "")</f>
        <v>10</v>
      </c>
      <c r="G112" s="1" t="str">
        <f>TEXT(IF($B112 = "Retail Item", IF((ROW($A112) - 4504 - _xlfn.XMATCH($C112, $C$4506:$C$5005, 0, 1)) &lt;= VLOOKUP($C112, 'Instrument Table'!$B:$D, 3, FALSE), ROW($A112) - 4504 - _xlfn.XMATCH($C112, $C$4506:$C$5005, 0, 1), 0), 0), "00")</f>
        <v>00</v>
      </c>
      <c r="H112" s="1" t="str">
        <f t="shared" si="7"/>
        <v>106</v>
      </c>
      <c r="I112" s="1" t="str">
        <f t="shared" si="8"/>
        <v>11000-106</v>
      </c>
      <c r="J112" s="1" t="str">
        <f t="shared" si="9"/>
        <v>Grand piano production item #106</v>
      </c>
      <c r="K112" s="1" t="str">
        <f>IF(SUM(COUNTIFS(I:I, I112)) &gt; 1, "DUPLICATE", "UNIQUE")</f>
        <v>UNIQUE</v>
      </c>
      <c r="L112" s="18">
        <v>8</v>
      </c>
      <c r="M112" s="28">
        <v>35</v>
      </c>
      <c r="N112" s="6">
        <v>4</v>
      </c>
      <c r="O112" s="30">
        <f t="shared" si="10"/>
        <v>280</v>
      </c>
      <c r="P112" s="30">
        <f t="shared" si="11"/>
        <v>140</v>
      </c>
      <c r="Q112" s="1">
        <f>COUNTIFS($P:$P, "&gt;" &amp; $P112) + 1</f>
        <v>4408</v>
      </c>
      <c r="R112" s="63">
        <f>(COUNTIFS($P:$P, "&gt;" &amp; $P112) + 1) / (COUNTA($I:$I) - 1)</f>
        <v>0.88160000000000005</v>
      </c>
      <c r="S112" s="23">
        <f>SUMIFS($P:$P, $Q:$Q, "&lt;" &amp; $Q112)</f>
        <v>186527160</v>
      </c>
    </row>
    <row r="113" spans="1:19" x14ac:dyDescent="0.25">
      <c r="A113" s="1">
        <v>108</v>
      </c>
      <c r="B113" s="1" t="s">
        <v>2</v>
      </c>
      <c r="C113" s="1" t="str">
        <f>IF($B113 = "Production Item", _xlfn.XLOOKUP($A113, 'Instrument Table'!$J:$J, 'Instrument Table'!$B:$B, $C112), IF($B113 = "Service Item", _xlfn.XLOOKUP($A113, 'Instrument Table'!$I:$I, 'Instrument Table'!$B:$B, $C112), _xlfn.XLOOKUP($A113, 'Instrument Table'!$H:$H, 'Instrument Table'!$B:$B, $C112)))</f>
        <v>Grand Piano</v>
      </c>
      <c r="D113" s="1" t="str">
        <f>VLOOKUP($C113, 'Instrument Table'!$B:$C, 2, FALSE)</f>
        <v>Pianos</v>
      </c>
      <c r="E113" s="1">
        <f t="shared" si="6"/>
        <v>1</v>
      </c>
      <c r="F113" s="1">
        <f>_xlfn.XLOOKUP($C113, 'Instrument Table'!$B:$B, 'Instrument Table'!$A:$A, "")</f>
        <v>10</v>
      </c>
      <c r="G113" s="1" t="str">
        <f>TEXT(IF($B113 = "Retail Item", IF((ROW($A113) - 4504 - _xlfn.XMATCH($C113, $C$4506:$C$5005, 0, 1)) &lt;= VLOOKUP($C113, 'Instrument Table'!$B:$D, 3, FALSE), ROW($A113) - 4504 - _xlfn.XMATCH($C113, $C$4506:$C$5005, 0, 1), 0), 0), "00")</f>
        <v>00</v>
      </c>
      <c r="H113" s="1" t="str">
        <f t="shared" si="7"/>
        <v>107</v>
      </c>
      <c r="I113" s="1" t="str">
        <f t="shared" si="8"/>
        <v>11000-107</v>
      </c>
      <c r="J113" s="1" t="str">
        <f t="shared" si="9"/>
        <v>Grand piano production item #107</v>
      </c>
      <c r="K113" s="1" t="str">
        <f>IF(SUM(COUNTIFS(I:I, I113)) &gt; 1, "DUPLICATE", "UNIQUE")</f>
        <v>UNIQUE</v>
      </c>
      <c r="L113" s="18">
        <v>4</v>
      </c>
      <c r="M113" s="28">
        <v>99</v>
      </c>
      <c r="N113" s="6">
        <v>0</v>
      </c>
      <c r="O113" s="30">
        <f t="shared" si="10"/>
        <v>396</v>
      </c>
      <c r="P113" s="30">
        <f t="shared" si="11"/>
        <v>0</v>
      </c>
      <c r="Q113" s="1">
        <f>COUNTIFS($P:$P, "&gt;" &amp; $P113) + 1</f>
        <v>4746</v>
      </c>
      <c r="R113" s="63">
        <f>(COUNTIFS($P:$P, "&gt;" &amp; $P113) + 1) / (COUNTA($I:$I) - 1)</f>
        <v>0.94920000000000004</v>
      </c>
      <c r="S113" s="23">
        <f>SUMIFS($P:$P, $Q:$Q, "&lt;" &amp; $Q113)</f>
        <v>186547861</v>
      </c>
    </row>
    <row r="114" spans="1:19" x14ac:dyDescent="0.25">
      <c r="A114" s="1">
        <v>109</v>
      </c>
      <c r="B114" s="1" t="s">
        <v>2</v>
      </c>
      <c r="C114" s="1" t="str">
        <f>IF($B114 = "Production Item", _xlfn.XLOOKUP($A114, 'Instrument Table'!$J:$J, 'Instrument Table'!$B:$B, $C113), IF($B114 = "Service Item", _xlfn.XLOOKUP($A114, 'Instrument Table'!$I:$I, 'Instrument Table'!$B:$B, $C113), _xlfn.XLOOKUP($A114, 'Instrument Table'!$H:$H, 'Instrument Table'!$B:$B, $C113)))</f>
        <v>Grand Piano</v>
      </c>
      <c r="D114" s="1" t="str">
        <f>VLOOKUP($C114, 'Instrument Table'!$B:$C, 2, FALSE)</f>
        <v>Pianos</v>
      </c>
      <c r="E114" s="1">
        <f t="shared" si="6"/>
        <v>1</v>
      </c>
      <c r="F114" s="1">
        <f>_xlfn.XLOOKUP($C114, 'Instrument Table'!$B:$B, 'Instrument Table'!$A:$A, "")</f>
        <v>10</v>
      </c>
      <c r="G114" s="1" t="str">
        <f>TEXT(IF($B114 = "Retail Item", IF((ROW($A114) - 4504 - _xlfn.XMATCH($C114, $C$4506:$C$5005, 0, 1)) &lt;= VLOOKUP($C114, 'Instrument Table'!$B:$D, 3, FALSE), ROW($A114) - 4504 - _xlfn.XMATCH($C114, $C$4506:$C$5005, 0, 1), 0), 0), "00")</f>
        <v>00</v>
      </c>
      <c r="H114" s="1" t="str">
        <f t="shared" si="7"/>
        <v>108</v>
      </c>
      <c r="I114" s="1" t="str">
        <f t="shared" si="8"/>
        <v>11000-108</v>
      </c>
      <c r="J114" s="1" t="str">
        <f t="shared" si="9"/>
        <v>Grand piano production item #108</v>
      </c>
      <c r="K114" s="1" t="str">
        <f>IF(SUM(COUNTIFS(I:I, I114)) &gt; 1, "DUPLICATE", "UNIQUE")</f>
        <v>UNIQUE</v>
      </c>
      <c r="L114" s="18">
        <v>4</v>
      </c>
      <c r="M114" s="28">
        <v>39</v>
      </c>
      <c r="N114" s="6">
        <v>324</v>
      </c>
      <c r="O114" s="30">
        <f t="shared" si="10"/>
        <v>156</v>
      </c>
      <c r="P114" s="30">
        <f t="shared" si="11"/>
        <v>12636</v>
      </c>
      <c r="Q114" s="1">
        <f>COUNTIFS($P:$P, "&gt;" &amp; $P114) + 1</f>
        <v>1529</v>
      </c>
      <c r="R114" s="63">
        <f>(COUNTIFS($P:$P, "&gt;" &amp; $P114) + 1) / (COUNTA($I:$I) - 1)</f>
        <v>0.30580000000000002</v>
      </c>
      <c r="S114" s="23">
        <f>SUMIFS($P:$P, $Q:$Q, "&lt;" &amp; $Q114)</f>
        <v>175212098</v>
      </c>
    </row>
    <row r="115" spans="1:19" x14ac:dyDescent="0.25">
      <c r="A115" s="1">
        <v>110</v>
      </c>
      <c r="B115" s="1" t="s">
        <v>2</v>
      </c>
      <c r="C115" s="1" t="str">
        <f>IF($B115 = "Production Item", _xlfn.XLOOKUP($A115, 'Instrument Table'!$J:$J, 'Instrument Table'!$B:$B, $C114), IF($B115 = "Service Item", _xlfn.XLOOKUP($A115, 'Instrument Table'!$I:$I, 'Instrument Table'!$B:$B, $C114), _xlfn.XLOOKUP($A115, 'Instrument Table'!$H:$H, 'Instrument Table'!$B:$B, $C114)))</f>
        <v>Grand Piano</v>
      </c>
      <c r="D115" s="1" t="str">
        <f>VLOOKUP($C115, 'Instrument Table'!$B:$C, 2, FALSE)</f>
        <v>Pianos</v>
      </c>
      <c r="E115" s="1">
        <f t="shared" si="6"/>
        <v>1</v>
      </c>
      <c r="F115" s="1">
        <f>_xlfn.XLOOKUP($C115, 'Instrument Table'!$B:$B, 'Instrument Table'!$A:$A, "")</f>
        <v>10</v>
      </c>
      <c r="G115" s="1" t="str">
        <f>TEXT(IF($B115 = "Retail Item", IF((ROW($A115) - 4504 - _xlfn.XMATCH($C115, $C$4506:$C$5005, 0, 1)) &lt;= VLOOKUP($C115, 'Instrument Table'!$B:$D, 3, FALSE), ROW($A115) - 4504 - _xlfn.XMATCH($C115, $C$4506:$C$5005, 0, 1), 0), 0), "00")</f>
        <v>00</v>
      </c>
      <c r="H115" s="1" t="str">
        <f t="shared" si="7"/>
        <v>109</v>
      </c>
      <c r="I115" s="1" t="str">
        <f t="shared" si="8"/>
        <v>11000-109</v>
      </c>
      <c r="J115" s="1" t="str">
        <f t="shared" si="9"/>
        <v>Grand piano production item #109</v>
      </c>
      <c r="K115" s="1" t="str">
        <f>IF(SUM(COUNTIFS(I:I, I115)) &gt; 1, "DUPLICATE", "UNIQUE")</f>
        <v>UNIQUE</v>
      </c>
      <c r="L115" s="18">
        <v>0</v>
      </c>
      <c r="M115" s="28">
        <v>46</v>
      </c>
      <c r="N115" s="6">
        <v>36</v>
      </c>
      <c r="O115" s="30">
        <f t="shared" si="10"/>
        <v>0</v>
      </c>
      <c r="P115" s="30">
        <f t="shared" si="11"/>
        <v>1656</v>
      </c>
      <c r="Q115" s="1">
        <f>COUNTIFS($P:$P, "&gt;" &amp; $P115) + 1</f>
        <v>3384</v>
      </c>
      <c r="R115" s="63">
        <f>(COUNTIFS($P:$P, "&gt;" &amp; $P115) + 1) / (COUNTA($I:$I) - 1)</f>
        <v>0.67679999999999996</v>
      </c>
      <c r="S115" s="23">
        <f>SUMIFS($P:$P, $Q:$Q, "&lt;" &amp; $Q115)</f>
        <v>185758875</v>
      </c>
    </row>
    <row r="116" spans="1:19" x14ac:dyDescent="0.25">
      <c r="A116" s="1">
        <v>111</v>
      </c>
      <c r="B116" s="1" t="s">
        <v>2</v>
      </c>
      <c r="C116" s="1" t="str">
        <f>IF($B116 = "Production Item", _xlfn.XLOOKUP($A116, 'Instrument Table'!$J:$J, 'Instrument Table'!$B:$B, $C115), IF($B116 = "Service Item", _xlfn.XLOOKUP($A116, 'Instrument Table'!$I:$I, 'Instrument Table'!$B:$B, $C115), _xlfn.XLOOKUP($A116, 'Instrument Table'!$H:$H, 'Instrument Table'!$B:$B, $C115)))</f>
        <v>Grand Piano</v>
      </c>
      <c r="D116" s="1" t="str">
        <f>VLOOKUP($C116, 'Instrument Table'!$B:$C, 2, FALSE)</f>
        <v>Pianos</v>
      </c>
      <c r="E116" s="1">
        <f t="shared" si="6"/>
        <v>1</v>
      </c>
      <c r="F116" s="1">
        <f>_xlfn.XLOOKUP($C116, 'Instrument Table'!$B:$B, 'Instrument Table'!$A:$A, "")</f>
        <v>10</v>
      </c>
      <c r="G116" s="1" t="str">
        <f>TEXT(IF($B116 = "Retail Item", IF((ROW($A116) - 4504 - _xlfn.XMATCH($C116, $C$4506:$C$5005, 0, 1)) &lt;= VLOOKUP($C116, 'Instrument Table'!$B:$D, 3, FALSE), ROW($A116) - 4504 - _xlfn.XMATCH($C116, $C$4506:$C$5005, 0, 1), 0), 0), "00")</f>
        <v>00</v>
      </c>
      <c r="H116" s="1" t="str">
        <f t="shared" si="7"/>
        <v>110</v>
      </c>
      <c r="I116" s="1" t="str">
        <f t="shared" si="8"/>
        <v>11000-110</v>
      </c>
      <c r="J116" s="1" t="str">
        <f t="shared" si="9"/>
        <v>Grand piano production item #110</v>
      </c>
      <c r="K116" s="1" t="str">
        <f>IF(SUM(COUNTIFS(I:I, I116)) &gt; 1, "DUPLICATE", "UNIQUE")</f>
        <v>UNIQUE</v>
      </c>
      <c r="L116" s="18">
        <v>0</v>
      </c>
      <c r="M116" s="28">
        <v>61</v>
      </c>
      <c r="N116" s="6">
        <v>0</v>
      </c>
      <c r="O116" s="30">
        <f t="shared" si="10"/>
        <v>0</v>
      </c>
      <c r="P116" s="30">
        <f t="shared" si="11"/>
        <v>0</v>
      </c>
      <c r="Q116" s="1">
        <f>COUNTIFS($P:$P, "&gt;" &amp; $P116) + 1</f>
        <v>4746</v>
      </c>
      <c r="R116" s="63">
        <f>(COUNTIFS($P:$P, "&gt;" &amp; $P116) + 1) / (COUNTA($I:$I) - 1)</f>
        <v>0.94920000000000004</v>
      </c>
      <c r="S116" s="23">
        <f>SUMIFS($P:$P, $Q:$Q, "&lt;" &amp; $Q116)</f>
        <v>186547861</v>
      </c>
    </row>
    <row r="117" spans="1:19" x14ac:dyDescent="0.25">
      <c r="A117" s="1">
        <v>112</v>
      </c>
      <c r="B117" s="1" t="s">
        <v>2</v>
      </c>
      <c r="C117" s="1" t="str">
        <f>IF($B117 = "Production Item", _xlfn.XLOOKUP($A117, 'Instrument Table'!$J:$J, 'Instrument Table'!$B:$B, $C116), IF($B117 = "Service Item", _xlfn.XLOOKUP($A117, 'Instrument Table'!$I:$I, 'Instrument Table'!$B:$B, $C116), _xlfn.XLOOKUP($A117, 'Instrument Table'!$H:$H, 'Instrument Table'!$B:$B, $C116)))</f>
        <v>Grand Piano</v>
      </c>
      <c r="D117" s="1" t="str">
        <f>VLOOKUP($C117, 'Instrument Table'!$B:$C, 2, FALSE)</f>
        <v>Pianos</v>
      </c>
      <c r="E117" s="1">
        <f t="shared" si="6"/>
        <v>1</v>
      </c>
      <c r="F117" s="1">
        <f>_xlfn.XLOOKUP($C117, 'Instrument Table'!$B:$B, 'Instrument Table'!$A:$A, "")</f>
        <v>10</v>
      </c>
      <c r="G117" s="1" t="str">
        <f>TEXT(IF($B117 = "Retail Item", IF((ROW($A117) - 4504 - _xlfn.XMATCH($C117, $C$4506:$C$5005, 0, 1)) &lt;= VLOOKUP($C117, 'Instrument Table'!$B:$D, 3, FALSE), ROW($A117) - 4504 - _xlfn.XMATCH($C117, $C$4506:$C$5005, 0, 1), 0), 0), "00")</f>
        <v>00</v>
      </c>
      <c r="H117" s="1" t="str">
        <f t="shared" si="7"/>
        <v>111</v>
      </c>
      <c r="I117" s="1" t="str">
        <f t="shared" si="8"/>
        <v>11000-111</v>
      </c>
      <c r="J117" s="1" t="str">
        <f t="shared" si="9"/>
        <v>Grand piano production item #111</v>
      </c>
      <c r="K117" s="1" t="str">
        <f>IF(SUM(COUNTIFS(I:I, I117)) &gt; 1, "DUPLICATE", "UNIQUE")</f>
        <v>UNIQUE</v>
      </c>
      <c r="L117" s="18">
        <v>16</v>
      </c>
      <c r="M117" s="28">
        <v>12</v>
      </c>
      <c r="N117" s="6">
        <v>121</v>
      </c>
      <c r="O117" s="30">
        <f t="shared" si="10"/>
        <v>192</v>
      </c>
      <c r="P117" s="30">
        <f t="shared" si="11"/>
        <v>1452</v>
      </c>
      <c r="Q117" s="1">
        <f>COUNTIFS($P:$P, "&gt;" &amp; $P117) + 1</f>
        <v>3486</v>
      </c>
      <c r="R117" s="63">
        <f>(COUNTIFS($P:$P, "&gt;" &amp; $P117) + 1) / (COUNTA($I:$I) - 1)</f>
        <v>0.69720000000000004</v>
      </c>
      <c r="S117" s="23">
        <f>SUMIFS($P:$P, $Q:$Q, "&lt;" &amp; $Q117)</f>
        <v>185917270</v>
      </c>
    </row>
    <row r="118" spans="1:19" x14ac:dyDescent="0.25">
      <c r="A118" s="1">
        <v>113</v>
      </c>
      <c r="B118" s="1" t="s">
        <v>2</v>
      </c>
      <c r="C118" s="1" t="str">
        <f>IF($B118 = "Production Item", _xlfn.XLOOKUP($A118, 'Instrument Table'!$J:$J, 'Instrument Table'!$B:$B, $C117), IF($B118 = "Service Item", _xlfn.XLOOKUP($A118, 'Instrument Table'!$I:$I, 'Instrument Table'!$B:$B, $C117), _xlfn.XLOOKUP($A118, 'Instrument Table'!$H:$H, 'Instrument Table'!$B:$B, $C117)))</f>
        <v>Grand Piano</v>
      </c>
      <c r="D118" s="1" t="str">
        <f>VLOOKUP($C118, 'Instrument Table'!$B:$C, 2, FALSE)</f>
        <v>Pianos</v>
      </c>
      <c r="E118" s="1">
        <f t="shared" si="6"/>
        <v>1</v>
      </c>
      <c r="F118" s="1">
        <f>_xlfn.XLOOKUP($C118, 'Instrument Table'!$B:$B, 'Instrument Table'!$A:$A, "")</f>
        <v>10</v>
      </c>
      <c r="G118" s="1" t="str">
        <f>TEXT(IF($B118 = "Retail Item", IF((ROW($A118) - 4504 - _xlfn.XMATCH($C118, $C$4506:$C$5005, 0, 1)) &lt;= VLOOKUP($C118, 'Instrument Table'!$B:$D, 3, FALSE), ROW($A118) - 4504 - _xlfn.XMATCH($C118, $C$4506:$C$5005, 0, 1), 0), 0), "00")</f>
        <v>00</v>
      </c>
      <c r="H118" s="1" t="str">
        <f t="shared" si="7"/>
        <v>112</v>
      </c>
      <c r="I118" s="1" t="str">
        <f t="shared" si="8"/>
        <v>11000-112</v>
      </c>
      <c r="J118" s="1" t="str">
        <f t="shared" si="9"/>
        <v>Grand piano production item #112</v>
      </c>
      <c r="K118" s="1" t="str">
        <f>IF(SUM(COUNTIFS(I:I, I118)) &gt; 1, "DUPLICATE", "UNIQUE")</f>
        <v>UNIQUE</v>
      </c>
      <c r="L118" s="18">
        <v>0</v>
      </c>
      <c r="M118" s="28">
        <v>70</v>
      </c>
      <c r="N118" s="6">
        <v>289</v>
      </c>
      <c r="O118" s="30">
        <f t="shared" si="10"/>
        <v>0</v>
      </c>
      <c r="P118" s="30">
        <f t="shared" si="11"/>
        <v>20230</v>
      </c>
      <c r="Q118" s="1">
        <f>COUNTIFS($P:$P, "&gt;" &amp; $P118) + 1</f>
        <v>1043</v>
      </c>
      <c r="R118" s="63">
        <f>(COUNTIFS($P:$P, "&gt;" &amp; $P118) + 1) / (COUNTA($I:$I) - 1)</f>
        <v>0.20860000000000001</v>
      </c>
      <c r="S118" s="23">
        <f>SUMIFS($P:$P, $Q:$Q, "&lt;" &amp; $Q118)</f>
        <v>167380806</v>
      </c>
    </row>
    <row r="119" spans="1:19" x14ac:dyDescent="0.25">
      <c r="A119" s="1">
        <v>114</v>
      </c>
      <c r="B119" s="1" t="s">
        <v>2</v>
      </c>
      <c r="C119" s="1" t="str">
        <f>IF($B119 = "Production Item", _xlfn.XLOOKUP($A119, 'Instrument Table'!$J:$J, 'Instrument Table'!$B:$B, $C118), IF($B119 = "Service Item", _xlfn.XLOOKUP($A119, 'Instrument Table'!$I:$I, 'Instrument Table'!$B:$B, $C118), _xlfn.XLOOKUP($A119, 'Instrument Table'!$H:$H, 'Instrument Table'!$B:$B, $C118)))</f>
        <v>Grand Piano</v>
      </c>
      <c r="D119" s="1" t="str">
        <f>VLOOKUP($C119, 'Instrument Table'!$B:$C, 2, FALSE)</f>
        <v>Pianos</v>
      </c>
      <c r="E119" s="1">
        <f t="shared" si="6"/>
        <v>1</v>
      </c>
      <c r="F119" s="1">
        <f>_xlfn.XLOOKUP($C119, 'Instrument Table'!$B:$B, 'Instrument Table'!$A:$A, "")</f>
        <v>10</v>
      </c>
      <c r="G119" s="1" t="str">
        <f>TEXT(IF($B119 = "Retail Item", IF((ROW($A119) - 4504 - _xlfn.XMATCH($C119, $C$4506:$C$5005, 0, 1)) &lt;= VLOOKUP($C119, 'Instrument Table'!$B:$D, 3, FALSE), ROW($A119) - 4504 - _xlfn.XMATCH($C119, $C$4506:$C$5005, 0, 1), 0), 0), "00")</f>
        <v>00</v>
      </c>
      <c r="H119" s="1" t="str">
        <f t="shared" si="7"/>
        <v>113</v>
      </c>
      <c r="I119" s="1" t="str">
        <f t="shared" si="8"/>
        <v>11000-113</v>
      </c>
      <c r="J119" s="1" t="str">
        <f t="shared" si="9"/>
        <v>Grand piano production item #113</v>
      </c>
      <c r="K119" s="1" t="str">
        <f>IF(SUM(COUNTIFS(I:I, I119)) &gt; 1, "DUPLICATE", "UNIQUE")</f>
        <v>UNIQUE</v>
      </c>
      <c r="L119" s="18">
        <v>0</v>
      </c>
      <c r="M119" s="28">
        <v>44</v>
      </c>
      <c r="N119" s="6">
        <v>100</v>
      </c>
      <c r="O119" s="30">
        <f t="shared" si="10"/>
        <v>0</v>
      </c>
      <c r="P119" s="30">
        <f t="shared" si="11"/>
        <v>4400</v>
      </c>
      <c r="Q119" s="1">
        <f>COUNTIFS($P:$P, "&gt;" &amp; $P119) + 1</f>
        <v>2565</v>
      </c>
      <c r="R119" s="63">
        <f>(COUNTIFS($P:$P, "&gt;" &amp; $P119) + 1) / (COUNTA($I:$I) - 1)</f>
        <v>0.51300000000000001</v>
      </c>
      <c r="S119" s="23">
        <f>SUMIFS($P:$P, $Q:$Q, "&lt;" &amp; $Q119)</f>
        <v>183411854</v>
      </c>
    </row>
    <row r="120" spans="1:19" x14ac:dyDescent="0.25">
      <c r="A120" s="1">
        <v>115</v>
      </c>
      <c r="B120" s="1" t="s">
        <v>2</v>
      </c>
      <c r="C120" s="1" t="str">
        <f>IF($B120 = "Production Item", _xlfn.XLOOKUP($A120, 'Instrument Table'!$J:$J, 'Instrument Table'!$B:$B, $C119), IF($B120 = "Service Item", _xlfn.XLOOKUP($A120, 'Instrument Table'!$I:$I, 'Instrument Table'!$B:$B, $C119), _xlfn.XLOOKUP($A120, 'Instrument Table'!$H:$H, 'Instrument Table'!$B:$B, $C119)))</f>
        <v>Grand Piano</v>
      </c>
      <c r="D120" s="1" t="str">
        <f>VLOOKUP($C120, 'Instrument Table'!$B:$C, 2, FALSE)</f>
        <v>Pianos</v>
      </c>
      <c r="E120" s="1">
        <f t="shared" si="6"/>
        <v>1</v>
      </c>
      <c r="F120" s="1">
        <f>_xlfn.XLOOKUP($C120, 'Instrument Table'!$B:$B, 'Instrument Table'!$A:$A, "")</f>
        <v>10</v>
      </c>
      <c r="G120" s="1" t="str">
        <f>TEXT(IF($B120 = "Retail Item", IF((ROW($A120) - 4504 - _xlfn.XMATCH($C120, $C$4506:$C$5005, 0, 1)) &lt;= VLOOKUP($C120, 'Instrument Table'!$B:$D, 3, FALSE), ROW($A120) - 4504 - _xlfn.XMATCH($C120, $C$4506:$C$5005, 0, 1), 0), 0), "00")</f>
        <v>00</v>
      </c>
      <c r="H120" s="1" t="str">
        <f t="shared" si="7"/>
        <v>114</v>
      </c>
      <c r="I120" s="1" t="str">
        <f t="shared" si="8"/>
        <v>11000-114</v>
      </c>
      <c r="J120" s="1" t="str">
        <f t="shared" si="9"/>
        <v>Grand piano production item #114</v>
      </c>
      <c r="K120" s="1" t="str">
        <f>IF(SUM(COUNTIFS(I:I, I120)) &gt; 1, "DUPLICATE", "UNIQUE")</f>
        <v>UNIQUE</v>
      </c>
      <c r="L120" s="18">
        <v>32</v>
      </c>
      <c r="M120" s="28">
        <v>27</v>
      </c>
      <c r="N120" s="6">
        <v>64</v>
      </c>
      <c r="O120" s="30">
        <f t="shared" si="10"/>
        <v>864</v>
      </c>
      <c r="P120" s="30">
        <f t="shared" si="11"/>
        <v>1728</v>
      </c>
      <c r="Q120" s="1">
        <f>COUNTIFS($P:$P, "&gt;" &amp; $P120) + 1</f>
        <v>3360</v>
      </c>
      <c r="R120" s="63">
        <f>(COUNTIFS($P:$P, "&gt;" &amp; $P120) + 1) / (COUNTA($I:$I) - 1)</f>
        <v>0.67200000000000004</v>
      </c>
      <c r="S120" s="23">
        <f>SUMIFS($P:$P, $Q:$Q, "&lt;" &amp; $Q120)</f>
        <v>185718037</v>
      </c>
    </row>
    <row r="121" spans="1:19" x14ac:dyDescent="0.25">
      <c r="A121" s="1">
        <v>116</v>
      </c>
      <c r="B121" s="1" t="s">
        <v>2</v>
      </c>
      <c r="C121" s="1" t="str">
        <f>IF($B121 = "Production Item", _xlfn.XLOOKUP($A121, 'Instrument Table'!$J:$J, 'Instrument Table'!$B:$B, $C120), IF($B121 = "Service Item", _xlfn.XLOOKUP($A121, 'Instrument Table'!$I:$I, 'Instrument Table'!$B:$B, $C120), _xlfn.XLOOKUP($A121, 'Instrument Table'!$H:$H, 'Instrument Table'!$B:$B, $C120)))</f>
        <v>Grand Piano</v>
      </c>
      <c r="D121" s="1" t="str">
        <f>VLOOKUP($C121, 'Instrument Table'!$B:$C, 2, FALSE)</f>
        <v>Pianos</v>
      </c>
      <c r="E121" s="1">
        <f t="shared" si="6"/>
        <v>1</v>
      </c>
      <c r="F121" s="1">
        <f>_xlfn.XLOOKUP($C121, 'Instrument Table'!$B:$B, 'Instrument Table'!$A:$A, "")</f>
        <v>10</v>
      </c>
      <c r="G121" s="1" t="str">
        <f>TEXT(IF($B121 = "Retail Item", IF((ROW($A121) - 4504 - _xlfn.XMATCH($C121, $C$4506:$C$5005, 0, 1)) &lt;= VLOOKUP($C121, 'Instrument Table'!$B:$D, 3, FALSE), ROW($A121) - 4504 - _xlfn.XMATCH($C121, $C$4506:$C$5005, 0, 1), 0), 0), "00")</f>
        <v>00</v>
      </c>
      <c r="H121" s="1" t="str">
        <f t="shared" si="7"/>
        <v>115</v>
      </c>
      <c r="I121" s="1" t="str">
        <f t="shared" si="8"/>
        <v>11000-115</v>
      </c>
      <c r="J121" s="1" t="str">
        <f t="shared" si="9"/>
        <v>Grand piano production item #115</v>
      </c>
      <c r="K121" s="1" t="str">
        <f>IF(SUM(COUNTIFS(I:I, I121)) &gt; 1, "DUPLICATE", "UNIQUE")</f>
        <v>UNIQUE</v>
      </c>
      <c r="L121" s="18">
        <v>32</v>
      </c>
      <c r="M121" s="28">
        <v>40</v>
      </c>
      <c r="N121" s="6">
        <v>196</v>
      </c>
      <c r="O121" s="30">
        <f t="shared" si="10"/>
        <v>1280</v>
      </c>
      <c r="P121" s="30">
        <f t="shared" si="11"/>
        <v>7840</v>
      </c>
      <c r="Q121" s="1">
        <f>COUNTIFS($P:$P, "&gt;" &amp; $P121) + 1</f>
        <v>2009</v>
      </c>
      <c r="R121" s="63">
        <f>(COUNTIFS($P:$P, "&gt;" &amp; $P121) + 1) / (COUNTA($I:$I) - 1)</f>
        <v>0.40179999999999999</v>
      </c>
      <c r="S121" s="23">
        <f>SUMIFS($P:$P, $Q:$Q, "&lt;" &amp; $Q121)</f>
        <v>180067447</v>
      </c>
    </row>
    <row r="122" spans="1:19" x14ac:dyDescent="0.25">
      <c r="A122" s="1">
        <v>117</v>
      </c>
      <c r="B122" s="1" t="s">
        <v>2</v>
      </c>
      <c r="C122" s="1" t="str">
        <f>IF($B122 = "Production Item", _xlfn.XLOOKUP($A122, 'Instrument Table'!$J:$J, 'Instrument Table'!$B:$B, $C121), IF($B122 = "Service Item", _xlfn.XLOOKUP($A122, 'Instrument Table'!$I:$I, 'Instrument Table'!$B:$B, $C121), _xlfn.XLOOKUP($A122, 'Instrument Table'!$H:$H, 'Instrument Table'!$B:$B, $C121)))</f>
        <v>Grand Piano</v>
      </c>
      <c r="D122" s="1" t="str">
        <f>VLOOKUP($C122, 'Instrument Table'!$B:$C, 2, FALSE)</f>
        <v>Pianos</v>
      </c>
      <c r="E122" s="1">
        <f t="shared" si="6"/>
        <v>1</v>
      </c>
      <c r="F122" s="1">
        <f>_xlfn.XLOOKUP($C122, 'Instrument Table'!$B:$B, 'Instrument Table'!$A:$A, "")</f>
        <v>10</v>
      </c>
      <c r="G122" s="1" t="str">
        <f>TEXT(IF($B122 = "Retail Item", IF((ROW($A122) - 4504 - _xlfn.XMATCH($C122, $C$4506:$C$5005, 0, 1)) &lt;= VLOOKUP($C122, 'Instrument Table'!$B:$D, 3, FALSE), ROW($A122) - 4504 - _xlfn.XMATCH($C122, $C$4506:$C$5005, 0, 1), 0), 0), "00")</f>
        <v>00</v>
      </c>
      <c r="H122" s="1" t="str">
        <f t="shared" si="7"/>
        <v>116</v>
      </c>
      <c r="I122" s="1" t="str">
        <f t="shared" si="8"/>
        <v>11000-116</v>
      </c>
      <c r="J122" s="1" t="str">
        <f t="shared" si="9"/>
        <v>Grand piano production item #116</v>
      </c>
      <c r="K122" s="1" t="str">
        <f>IF(SUM(COUNTIFS(I:I, I122)) &gt; 1, "DUPLICATE", "UNIQUE")</f>
        <v>UNIQUE</v>
      </c>
      <c r="L122" s="18">
        <v>32</v>
      </c>
      <c r="M122" s="28">
        <v>36</v>
      </c>
      <c r="N122" s="6">
        <v>324</v>
      </c>
      <c r="O122" s="30">
        <f t="shared" si="10"/>
        <v>1152</v>
      </c>
      <c r="P122" s="30">
        <f t="shared" si="11"/>
        <v>11664</v>
      </c>
      <c r="Q122" s="1">
        <f>COUNTIFS($P:$P, "&gt;" &amp; $P122) + 1</f>
        <v>1607</v>
      </c>
      <c r="R122" s="63">
        <f>(COUNTIFS($P:$P, "&gt;" &amp; $P122) + 1) / (COUNTA($I:$I) - 1)</f>
        <v>0.32140000000000002</v>
      </c>
      <c r="S122" s="23">
        <f>SUMIFS($P:$P, $Q:$Q, "&lt;" &amp; $Q122)</f>
        <v>176160715</v>
      </c>
    </row>
    <row r="123" spans="1:19" x14ac:dyDescent="0.25">
      <c r="A123" s="1">
        <v>118</v>
      </c>
      <c r="B123" s="1" t="s">
        <v>2</v>
      </c>
      <c r="C123" s="1" t="str">
        <f>IF($B123 = "Production Item", _xlfn.XLOOKUP($A123, 'Instrument Table'!$J:$J, 'Instrument Table'!$B:$B, $C122), IF($B123 = "Service Item", _xlfn.XLOOKUP($A123, 'Instrument Table'!$I:$I, 'Instrument Table'!$B:$B, $C122), _xlfn.XLOOKUP($A123, 'Instrument Table'!$H:$H, 'Instrument Table'!$B:$B, $C122)))</f>
        <v>Grand Piano</v>
      </c>
      <c r="D123" s="1" t="str">
        <f>VLOOKUP($C123, 'Instrument Table'!$B:$C, 2, FALSE)</f>
        <v>Pianos</v>
      </c>
      <c r="E123" s="1">
        <f t="shared" si="6"/>
        <v>1</v>
      </c>
      <c r="F123" s="1">
        <f>_xlfn.XLOOKUP($C123, 'Instrument Table'!$B:$B, 'Instrument Table'!$A:$A, "")</f>
        <v>10</v>
      </c>
      <c r="G123" s="1" t="str">
        <f>TEXT(IF($B123 = "Retail Item", IF((ROW($A123) - 4504 - _xlfn.XMATCH($C123, $C$4506:$C$5005, 0, 1)) &lt;= VLOOKUP($C123, 'Instrument Table'!$B:$D, 3, FALSE), ROW($A123) - 4504 - _xlfn.XMATCH($C123, $C$4506:$C$5005, 0, 1), 0), 0), "00")</f>
        <v>00</v>
      </c>
      <c r="H123" s="1" t="str">
        <f t="shared" si="7"/>
        <v>117</v>
      </c>
      <c r="I123" s="1" t="str">
        <f t="shared" si="8"/>
        <v>11000-117</v>
      </c>
      <c r="J123" s="1" t="str">
        <f t="shared" si="9"/>
        <v>Grand piano production item #117</v>
      </c>
      <c r="K123" s="1" t="str">
        <f>IF(SUM(COUNTIFS(I:I, I123)) &gt; 1, "DUPLICATE", "UNIQUE")</f>
        <v>UNIQUE</v>
      </c>
      <c r="L123" s="18">
        <v>2</v>
      </c>
      <c r="M123" s="28">
        <v>90</v>
      </c>
      <c r="N123" s="6">
        <v>4</v>
      </c>
      <c r="O123" s="30">
        <f t="shared" si="10"/>
        <v>180</v>
      </c>
      <c r="P123" s="30">
        <f t="shared" si="11"/>
        <v>360</v>
      </c>
      <c r="Q123" s="1">
        <f>COUNTIFS($P:$P, "&gt;" &amp; $P123) + 1</f>
        <v>4137</v>
      </c>
      <c r="R123" s="63">
        <f>(COUNTIFS($P:$P, "&gt;" &amp; $P123) + 1) / (COUNTA($I:$I) - 1)</f>
        <v>0.82740000000000002</v>
      </c>
      <c r="S123" s="23">
        <f>SUMIFS($P:$P, $Q:$Q, "&lt;" &amp; $Q123)</f>
        <v>186459069</v>
      </c>
    </row>
    <row r="124" spans="1:19" x14ac:dyDescent="0.25">
      <c r="A124" s="1">
        <v>119</v>
      </c>
      <c r="B124" s="1" t="s">
        <v>2</v>
      </c>
      <c r="C124" s="1" t="str">
        <f>IF($B124 = "Production Item", _xlfn.XLOOKUP($A124, 'Instrument Table'!$J:$J, 'Instrument Table'!$B:$B, $C123), IF($B124 = "Service Item", _xlfn.XLOOKUP($A124, 'Instrument Table'!$I:$I, 'Instrument Table'!$B:$B, $C123), _xlfn.XLOOKUP($A124, 'Instrument Table'!$H:$H, 'Instrument Table'!$B:$B, $C123)))</f>
        <v>Grand Piano</v>
      </c>
      <c r="D124" s="1" t="str">
        <f>VLOOKUP($C124, 'Instrument Table'!$B:$C, 2, FALSE)</f>
        <v>Pianos</v>
      </c>
      <c r="E124" s="1">
        <f t="shared" si="6"/>
        <v>1</v>
      </c>
      <c r="F124" s="1">
        <f>_xlfn.XLOOKUP($C124, 'Instrument Table'!$B:$B, 'Instrument Table'!$A:$A, "")</f>
        <v>10</v>
      </c>
      <c r="G124" s="1" t="str">
        <f>TEXT(IF($B124 = "Retail Item", IF((ROW($A124) - 4504 - _xlfn.XMATCH($C124, $C$4506:$C$5005, 0, 1)) &lt;= VLOOKUP($C124, 'Instrument Table'!$B:$D, 3, FALSE), ROW($A124) - 4504 - _xlfn.XMATCH($C124, $C$4506:$C$5005, 0, 1), 0), 0), "00")</f>
        <v>00</v>
      </c>
      <c r="H124" s="1" t="str">
        <f t="shared" si="7"/>
        <v>118</v>
      </c>
      <c r="I124" s="1" t="str">
        <f t="shared" si="8"/>
        <v>11000-118</v>
      </c>
      <c r="J124" s="1" t="str">
        <f t="shared" si="9"/>
        <v>Grand piano production item #118</v>
      </c>
      <c r="K124" s="1" t="str">
        <f>IF(SUM(COUNTIFS(I:I, I124)) &gt; 1, "DUPLICATE", "UNIQUE")</f>
        <v>UNIQUE</v>
      </c>
      <c r="L124" s="18">
        <v>1</v>
      </c>
      <c r="M124" s="28">
        <v>73</v>
      </c>
      <c r="N124" s="6">
        <v>16</v>
      </c>
      <c r="O124" s="30">
        <f t="shared" si="10"/>
        <v>73</v>
      </c>
      <c r="P124" s="30">
        <f t="shared" si="11"/>
        <v>1168</v>
      </c>
      <c r="Q124" s="1">
        <f>COUNTIFS($P:$P, "&gt;" &amp; $P124) + 1</f>
        <v>3619</v>
      </c>
      <c r="R124" s="63">
        <f>(COUNTIFS($P:$P, "&gt;" &amp; $P124) + 1) / (COUNTA($I:$I) - 1)</f>
        <v>0.7238</v>
      </c>
      <c r="S124" s="23">
        <f>SUMIFS($P:$P, $Q:$Q, "&lt;" &amp; $Q124)</f>
        <v>186092544</v>
      </c>
    </row>
    <row r="125" spans="1:19" x14ac:dyDescent="0.25">
      <c r="A125" s="1">
        <v>120</v>
      </c>
      <c r="B125" s="1" t="s">
        <v>2</v>
      </c>
      <c r="C125" s="1" t="str">
        <f>IF($B125 = "Production Item", _xlfn.XLOOKUP($A125, 'Instrument Table'!$J:$J, 'Instrument Table'!$B:$B, $C124), IF($B125 = "Service Item", _xlfn.XLOOKUP($A125, 'Instrument Table'!$I:$I, 'Instrument Table'!$B:$B, $C124), _xlfn.XLOOKUP($A125, 'Instrument Table'!$H:$H, 'Instrument Table'!$B:$B, $C124)))</f>
        <v>Grand Piano</v>
      </c>
      <c r="D125" s="1" t="str">
        <f>VLOOKUP($C125, 'Instrument Table'!$B:$C, 2, FALSE)</f>
        <v>Pianos</v>
      </c>
      <c r="E125" s="1">
        <f t="shared" si="6"/>
        <v>1</v>
      </c>
      <c r="F125" s="1">
        <f>_xlfn.XLOOKUP($C125, 'Instrument Table'!$B:$B, 'Instrument Table'!$A:$A, "")</f>
        <v>10</v>
      </c>
      <c r="G125" s="1" t="str">
        <f>TEXT(IF($B125 = "Retail Item", IF((ROW($A125) - 4504 - _xlfn.XMATCH($C125, $C$4506:$C$5005, 0, 1)) &lt;= VLOOKUP($C125, 'Instrument Table'!$B:$D, 3, FALSE), ROW($A125) - 4504 - _xlfn.XMATCH($C125, $C$4506:$C$5005, 0, 1), 0), 0), "00")</f>
        <v>00</v>
      </c>
      <c r="H125" s="1" t="str">
        <f t="shared" si="7"/>
        <v>119</v>
      </c>
      <c r="I125" s="1" t="str">
        <f t="shared" si="8"/>
        <v>11000-119</v>
      </c>
      <c r="J125" s="1" t="str">
        <f t="shared" si="9"/>
        <v>Grand piano production item #119</v>
      </c>
      <c r="K125" s="1" t="str">
        <f>IF(SUM(COUNTIFS(I:I, I125)) &gt; 1, "DUPLICATE", "UNIQUE")</f>
        <v>UNIQUE</v>
      </c>
      <c r="L125" s="18">
        <v>0</v>
      </c>
      <c r="M125" s="28">
        <v>66</v>
      </c>
      <c r="N125" s="6">
        <v>36</v>
      </c>
      <c r="O125" s="30">
        <f t="shared" si="10"/>
        <v>0</v>
      </c>
      <c r="P125" s="30">
        <f t="shared" si="11"/>
        <v>2376</v>
      </c>
      <c r="Q125" s="1">
        <f>COUNTIFS($P:$P, "&gt;" &amp; $P125) + 1</f>
        <v>3094</v>
      </c>
      <c r="R125" s="63">
        <f>(COUNTIFS($P:$P, "&gt;" &amp; $P125) + 1) / (COUNTA($I:$I) - 1)</f>
        <v>0.61880000000000002</v>
      </c>
      <c r="S125" s="23">
        <f>SUMIFS($P:$P, $Q:$Q, "&lt;" &amp; $Q125)</f>
        <v>185168222</v>
      </c>
    </row>
    <row r="126" spans="1:19" x14ac:dyDescent="0.25">
      <c r="A126" s="1">
        <v>121</v>
      </c>
      <c r="B126" s="1" t="s">
        <v>2</v>
      </c>
      <c r="C126" s="1" t="str">
        <f>IF($B126 = "Production Item", _xlfn.XLOOKUP($A126, 'Instrument Table'!$J:$J, 'Instrument Table'!$B:$B, $C125), IF($B126 = "Service Item", _xlfn.XLOOKUP($A126, 'Instrument Table'!$I:$I, 'Instrument Table'!$B:$B, $C125), _xlfn.XLOOKUP($A126, 'Instrument Table'!$H:$H, 'Instrument Table'!$B:$B, $C125)))</f>
        <v>Grand Piano</v>
      </c>
      <c r="D126" s="1" t="str">
        <f>VLOOKUP($C126, 'Instrument Table'!$B:$C, 2, FALSE)</f>
        <v>Pianos</v>
      </c>
      <c r="E126" s="1">
        <f t="shared" si="6"/>
        <v>1</v>
      </c>
      <c r="F126" s="1">
        <f>_xlfn.XLOOKUP($C126, 'Instrument Table'!$B:$B, 'Instrument Table'!$A:$A, "")</f>
        <v>10</v>
      </c>
      <c r="G126" s="1" t="str">
        <f>TEXT(IF($B126 = "Retail Item", IF((ROW($A126) - 4504 - _xlfn.XMATCH($C126, $C$4506:$C$5005, 0, 1)) &lt;= VLOOKUP($C126, 'Instrument Table'!$B:$D, 3, FALSE), ROW($A126) - 4504 - _xlfn.XMATCH($C126, $C$4506:$C$5005, 0, 1), 0), 0), "00")</f>
        <v>00</v>
      </c>
      <c r="H126" s="1" t="str">
        <f t="shared" si="7"/>
        <v>120</v>
      </c>
      <c r="I126" s="1" t="str">
        <f t="shared" si="8"/>
        <v>11000-120</v>
      </c>
      <c r="J126" s="1" t="str">
        <f t="shared" si="9"/>
        <v>Grand piano production item #120</v>
      </c>
      <c r="K126" s="1" t="str">
        <f>IF(SUM(COUNTIFS(I:I, I126)) &gt; 1, "DUPLICATE", "UNIQUE")</f>
        <v>UNIQUE</v>
      </c>
      <c r="L126" s="18">
        <v>2</v>
      </c>
      <c r="M126" s="28">
        <v>68</v>
      </c>
      <c r="N126" s="6">
        <v>81</v>
      </c>
      <c r="O126" s="30">
        <f t="shared" si="10"/>
        <v>136</v>
      </c>
      <c r="P126" s="30">
        <f t="shared" si="11"/>
        <v>5508</v>
      </c>
      <c r="Q126" s="1">
        <f>COUNTIFS($P:$P, "&gt;" &amp; $P126) + 1</f>
        <v>2346</v>
      </c>
      <c r="R126" s="63">
        <f>(COUNTIFS($P:$P, "&gt;" &amp; $P126) + 1) / (COUNTA($I:$I) - 1)</f>
        <v>0.46920000000000001</v>
      </c>
      <c r="S126" s="23">
        <f>SUMIFS($P:$P, $Q:$Q, "&lt;" &amp; $Q126)</f>
        <v>182325513</v>
      </c>
    </row>
    <row r="127" spans="1:19" x14ac:dyDescent="0.25">
      <c r="A127" s="1">
        <v>122</v>
      </c>
      <c r="B127" s="1" t="s">
        <v>2</v>
      </c>
      <c r="C127" s="1" t="str">
        <f>IF($B127 = "Production Item", _xlfn.XLOOKUP($A127, 'Instrument Table'!$J:$J, 'Instrument Table'!$B:$B, $C126), IF($B127 = "Service Item", _xlfn.XLOOKUP($A127, 'Instrument Table'!$I:$I, 'Instrument Table'!$B:$B, $C126), _xlfn.XLOOKUP($A127, 'Instrument Table'!$H:$H, 'Instrument Table'!$B:$B, $C126)))</f>
        <v>Grand Piano</v>
      </c>
      <c r="D127" s="1" t="str">
        <f>VLOOKUP($C127, 'Instrument Table'!$B:$C, 2, FALSE)</f>
        <v>Pianos</v>
      </c>
      <c r="E127" s="1">
        <f t="shared" si="6"/>
        <v>1</v>
      </c>
      <c r="F127" s="1">
        <f>_xlfn.XLOOKUP($C127, 'Instrument Table'!$B:$B, 'Instrument Table'!$A:$A, "")</f>
        <v>10</v>
      </c>
      <c r="G127" s="1" t="str">
        <f>TEXT(IF($B127 = "Retail Item", IF((ROW($A127) - 4504 - _xlfn.XMATCH($C127, $C$4506:$C$5005, 0, 1)) &lt;= VLOOKUP($C127, 'Instrument Table'!$B:$D, 3, FALSE), ROW($A127) - 4504 - _xlfn.XMATCH($C127, $C$4506:$C$5005, 0, 1), 0), 0), "00")</f>
        <v>00</v>
      </c>
      <c r="H127" s="1" t="str">
        <f t="shared" si="7"/>
        <v>121</v>
      </c>
      <c r="I127" s="1" t="str">
        <f t="shared" si="8"/>
        <v>11000-121</v>
      </c>
      <c r="J127" s="1" t="str">
        <f t="shared" si="9"/>
        <v>Grand piano production item #121</v>
      </c>
      <c r="K127" s="1" t="str">
        <f>IF(SUM(COUNTIFS(I:I, I127)) &gt; 1, "DUPLICATE", "UNIQUE")</f>
        <v>UNIQUE</v>
      </c>
      <c r="L127" s="18">
        <v>1</v>
      </c>
      <c r="M127" s="28">
        <v>8</v>
      </c>
      <c r="N127" s="6">
        <v>49</v>
      </c>
      <c r="O127" s="30">
        <f t="shared" si="10"/>
        <v>8</v>
      </c>
      <c r="P127" s="30">
        <f t="shared" si="11"/>
        <v>392</v>
      </c>
      <c r="Q127" s="1">
        <f>COUNTIFS($P:$P, "&gt;" &amp; $P127) + 1</f>
        <v>4108</v>
      </c>
      <c r="R127" s="63">
        <f>(COUNTIFS($P:$P, "&gt;" &amp; $P127) + 1) / (COUNTA($I:$I) - 1)</f>
        <v>0.8216</v>
      </c>
      <c r="S127" s="23">
        <f>SUMIFS($P:$P, $Q:$Q, "&lt;" &amp; $Q127)</f>
        <v>186448050</v>
      </c>
    </row>
    <row r="128" spans="1:19" x14ac:dyDescent="0.25">
      <c r="A128" s="1">
        <v>123</v>
      </c>
      <c r="B128" s="1" t="s">
        <v>2</v>
      </c>
      <c r="C128" s="1" t="str">
        <f>IF($B128 = "Production Item", _xlfn.XLOOKUP($A128, 'Instrument Table'!$J:$J, 'Instrument Table'!$B:$B, $C127), IF($B128 = "Service Item", _xlfn.XLOOKUP($A128, 'Instrument Table'!$I:$I, 'Instrument Table'!$B:$B, $C127), _xlfn.XLOOKUP($A128, 'Instrument Table'!$H:$H, 'Instrument Table'!$B:$B, $C127)))</f>
        <v>Grand Piano</v>
      </c>
      <c r="D128" s="1" t="str">
        <f>VLOOKUP($C128, 'Instrument Table'!$B:$C, 2, FALSE)</f>
        <v>Pianos</v>
      </c>
      <c r="E128" s="1">
        <f t="shared" si="6"/>
        <v>1</v>
      </c>
      <c r="F128" s="1">
        <f>_xlfn.XLOOKUP($C128, 'Instrument Table'!$B:$B, 'Instrument Table'!$A:$A, "")</f>
        <v>10</v>
      </c>
      <c r="G128" s="1" t="str">
        <f>TEXT(IF($B128 = "Retail Item", IF((ROW($A128) - 4504 - _xlfn.XMATCH($C128, $C$4506:$C$5005, 0, 1)) &lt;= VLOOKUP($C128, 'Instrument Table'!$B:$D, 3, FALSE), ROW($A128) - 4504 - _xlfn.XMATCH($C128, $C$4506:$C$5005, 0, 1), 0), 0), "00")</f>
        <v>00</v>
      </c>
      <c r="H128" s="1" t="str">
        <f t="shared" si="7"/>
        <v>122</v>
      </c>
      <c r="I128" s="1" t="str">
        <f t="shared" si="8"/>
        <v>11000-122</v>
      </c>
      <c r="J128" s="1" t="str">
        <f t="shared" si="9"/>
        <v>Grand piano production item #122</v>
      </c>
      <c r="K128" s="1" t="str">
        <f>IF(SUM(COUNTIFS(I:I, I128)) &gt; 1, "DUPLICATE", "UNIQUE")</f>
        <v>UNIQUE</v>
      </c>
      <c r="L128" s="18">
        <v>16</v>
      </c>
      <c r="M128" s="28">
        <v>98</v>
      </c>
      <c r="N128" s="6">
        <v>324</v>
      </c>
      <c r="O128" s="30">
        <f t="shared" si="10"/>
        <v>1568</v>
      </c>
      <c r="P128" s="30">
        <f t="shared" si="11"/>
        <v>31752</v>
      </c>
      <c r="Q128" s="1">
        <f>COUNTIFS($P:$P, "&gt;" &amp; $P128) + 1</f>
        <v>654</v>
      </c>
      <c r="R128" s="63">
        <f>(COUNTIFS($P:$P, "&gt;" &amp; $P128) + 1) / (COUNTA($I:$I) - 1)</f>
        <v>0.1308</v>
      </c>
      <c r="S128" s="23">
        <f>SUMIFS($P:$P, $Q:$Q, "&lt;" &amp; $Q128)</f>
        <v>157673221</v>
      </c>
    </row>
    <row r="129" spans="1:19" x14ac:dyDescent="0.25">
      <c r="A129" s="1">
        <v>124</v>
      </c>
      <c r="B129" s="1" t="s">
        <v>2</v>
      </c>
      <c r="C129" s="1" t="str">
        <f>IF($B129 = "Production Item", _xlfn.XLOOKUP($A129, 'Instrument Table'!$J:$J, 'Instrument Table'!$B:$B, $C128), IF($B129 = "Service Item", _xlfn.XLOOKUP($A129, 'Instrument Table'!$I:$I, 'Instrument Table'!$B:$B, $C128), _xlfn.XLOOKUP($A129, 'Instrument Table'!$H:$H, 'Instrument Table'!$B:$B, $C128)))</f>
        <v>Grand Piano</v>
      </c>
      <c r="D129" s="1" t="str">
        <f>VLOOKUP($C129, 'Instrument Table'!$B:$C, 2, FALSE)</f>
        <v>Pianos</v>
      </c>
      <c r="E129" s="1">
        <f t="shared" si="6"/>
        <v>1</v>
      </c>
      <c r="F129" s="1">
        <f>_xlfn.XLOOKUP($C129, 'Instrument Table'!$B:$B, 'Instrument Table'!$A:$A, "")</f>
        <v>10</v>
      </c>
      <c r="G129" s="1" t="str">
        <f>TEXT(IF($B129 = "Retail Item", IF((ROW($A129) - 4504 - _xlfn.XMATCH($C129, $C$4506:$C$5005, 0, 1)) &lt;= VLOOKUP($C129, 'Instrument Table'!$B:$D, 3, FALSE), ROW($A129) - 4504 - _xlfn.XMATCH($C129, $C$4506:$C$5005, 0, 1), 0), 0), "00")</f>
        <v>00</v>
      </c>
      <c r="H129" s="1" t="str">
        <f t="shared" si="7"/>
        <v>123</v>
      </c>
      <c r="I129" s="1" t="str">
        <f t="shared" si="8"/>
        <v>11000-123</v>
      </c>
      <c r="J129" s="1" t="str">
        <f t="shared" si="9"/>
        <v>Grand piano production item #123</v>
      </c>
      <c r="K129" s="1" t="str">
        <f>IF(SUM(COUNTIFS(I:I, I129)) &gt; 1, "DUPLICATE", "UNIQUE")</f>
        <v>UNIQUE</v>
      </c>
      <c r="L129" s="18">
        <v>0</v>
      </c>
      <c r="M129" s="28">
        <v>74</v>
      </c>
      <c r="N129" s="6">
        <v>100</v>
      </c>
      <c r="O129" s="30">
        <f t="shared" si="10"/>
        <v>0</v>
      </c>
      <c r="P129" s="30">
        <f t="shared" si="11"/>
        <v>7400</v>
      </c>
      <c r="Q129" s="1">
        <f>COUNTIFS($P:$P, "&gt;" &amp; $P129) + 1</f>
        <v>2082</v>
      </c>
      <c r="R129" s="63">
        <f>(COUNTIFS($P:$P, "&gt;" &amp; $P129) + 1) / (COUNTA($I:$I) - 1)</f>
        <v>0.41639999999999999</v>
      </c>
      <c r="S129" s="23">
        <f>SUMIFS($P:$P, $Q:$Q, "&lt;" &amp; $Q129)</f>
        <v>180626249</v>
      </c>
    </row>
    <row r="130" spans="1:19" x14ac:dyDescent="0.25">
      <c r="A130" s="1">
        <v>125</v>
      </c>
      <c r="B130" s="1" t="s">
        <v>2</v>
      </c>
      <c r="C130" s="1" t="str">
        <f>IF($B130 = "Production Item", _xlfn.XLOOKUP($A130, 'Instrument Table'!$J:$J, 'Instrument Table'!$B:$B, $C129), IF($B130 = "Service Item", _xlfn.XLOOKUP($A130, 'Instrument Table'!$I:$I, 'Instrument Table'!$B:$B, $C129), _xlfn.XLOOKUP($A130, 'Instrument Table'!$H:$H, 'Instrument Table'!$B:$B, $C129)))</f>
        <v>Grand Piano</v>
      </c>
      <c r="D130" s="1" t="str">
        <f>VLOOKUP($C130, 'Instrument Table'!$B:$C, 2, FALSE)</f>
        <v>Pianos</v>
      </c>
      <c r="E130" s="1">
        <f t="shared" si="6"/>
        <v>1</v>
      </c>
      <c r="F130" s="1">
        <f>_xlfn.XLOOKUP($C130, 'Instrument Table'!$B:$B, 'Instrument Table'!$A:$A, "")</f>
        <v>10</v>
      </c>
      <c r="G130" s="1" t="str">
        <f>TEXT(IF($B130 = "Retail Item", IF((ROW($A130) - 4504 - _xlfn.XMATCH($C130, $C$4506:$C$5005, 0, 1)) &lt;= VLOOKUP($C130, 'Instrument Table'!$B:$D, 3, FALSE), ROW($A130) - 4504 - _xlfn.XMATCH($C130, $C$4506:$C$5005, 0, 1), 0), 0), "00")</f>
        <v>00</v>
      </c>
      <c r="H130" s="1" t="str">
        <f t="shared" si="7"/>
        <v>124</v>
      </c>
      <c r="I130" s="1" t="str">
        <f t="shared" si="8"/>
        <v>11000-124</v>
      </c>
      <c r="J130" s="1" t="str">
        <f t="shared" si="9"/>
        <v>Grand piano production item #124</v>
      </c>
      <c r="K130" s="1" t="str">
        <f>IF(SUM(COUNTIFS(I:I, I130)) &gt; 1, "DUPLICATE", "UNIQUE")</f>
        <v>UNIQUE</v>
      </c>
      <c r="L130" s="18">
        <v>1</v>
      </c>
      <c r="M130" s="28">
        <v>5</v>
      </c>
      <c r="N130" s="6">
        <v>81</v>
      </c>
      <c r="O130" s="30">
        <f t="shared" si="10"/>
        <v>5</v>
      </c>
      <c r="P130" s="30">
        <f t="shared" si="11"/>
        <v>405</v>
      </c>
      <c r="Q130" s="1">
        <f>COUNTIFS($P:$P, "&gt;" &amp; $P130) + 1</f>
        <v>4085</v>
      </c>
      <c r="R130" s="63">
        <f>(COUNTIFS($P:$P, "&gt;" &amp; $P130) + 1) / (COUNTA($I:$I) - 1)</f>
        <v>0.81699999999999995</v>
      </c>
      <c r="S130" s="23">
        <f>SUMIFS($P:$P, $Q:$Q, "&lt;" &amp; $Q130)</f>
        <v>186438857</v>
      </c>
    </row>
    <row r="131" spans="1:19" x14ac:dyDescent="0.25">
      <c r="A131" s="1">
        <v>126</v>
      </c>
      <c r="B131" s="1" t="s">
        <v>2</v>
      </c>
      <c r="C131" s="1" t="str">
        <f>IF($B131 = "Production Item", _xlfn.XLOOKUP($A131, 'Instrument Table'!$J:$J, 'Instrument Table'!$B:$B, $C130), IF($B131 = "Service Item", _xlfn.XLOOKUP($A131, 'Instrument Table'!$I:$I, 'Instrument Table'!$B:$B, $C130), _xlfn.XLOOKUP($A131, 'Instrument Table'!$H:$H, 'Instrument Table'!$B:$B, $C130)))</f>
        <v>Grand Piano</v>
      </c>
      <c r="D131" s="1" t="str">
        <f>VLOOKUP($C131, 'Instrument Table'!$B:$C, 2, FALSE)</f>
        <v>Pianos</v>
      </c>
      <c r="E131" s="1">
        <f t="shared" si="6"/>
        <v>1</v>
      </c>
      <c r="F131" s="1">
        <f>_xlfn.XLOOKUP($C131, 'Instrument Table'!$B:$B, 'Instrument Table'!$A:$A, "")</f>
        <v>10</v>
      </c>
      <c r="G131" s="1" t="str">
        <f>TEXT(IF($B131 = "Retail Item", IF((ROW($A131) - 4504 - _xlfn.XMATCH($C131, $C$4506:$C$5005, 0, 1)) &lt;= VLOOKUP($C131, 'Instrument Table'!$B:$D, 3, FALSE), ROW($A131) - 4504 - _xlfn.XMATCH($C131, $C$4506:$C$5005, 0, 1), 0), 0), "00")</f>
        <v>00</v>
      </c>
      <c r="H131" s="1" t="str">
        <f t="shared" si="7"/>
        <v>125</v>
      </c>
      <c r="I131" s="1" t="str">
        <f t="shared" si="8"/>
        <v>11000-125</v>
      </c>
      <c r="J131" s="1" t="str">
        <f t="shared" si="9"/>
        <v>Grand piano production item #125</v>
      </c>
      <c r="K131" s="1" t="str">
        <f>IF(SUM(COUNTIFS(I:I, I131)) &gt; 1, "DUPLICATE", "UNIQUE")</f>
        <v>UNIQUE</v>
      </c>
      <c r="L131" s="18">
        <v>0</v>
      </c>
      <c r="M131" s="28">
        <v>38</v>
      </c>
      <c r="N131" s="6">
        <v>1</v>
      </c>
      <c r="O131" s="30">
        <f t="shared" si="10"/>
        <v>0</v>
      </c>
      <c r="P131" s="30">
        <f t="shared" si="11"/>
        <v>38</v>
      </c>
      <c r="Q131" s="1">
        <f>COUNTIFS($P:$P, "&gt;" &amp; $P131) + 1</f>
        <v>4645</v>
      </c>
      <c r="R131" s="63">
        <f>(COUNTIFS($P:$P, "&gt;" &amp; $P131) + 1) / (COUNTA($I:$I) - 1)</f>
        <v>0.92900000000000005</v>
      </c>
      <c r="S131" s="23">
        <f>SUMIFS($P:$P, $Q:$Q, "&lt;" &amp; $Q131)</f>
        <v>186545836</v>
      </c>
    </row>
    <row r="132" spans="1:19" x14ac:dyDescent="0.25">
      <c r="A132" s="1">
        <v>127</v>
      </c>
      <c r="B132" s="1" t="s">
        <v>2</v>
      </c>
      <c r="C132" s="1" t="str">
        <f>IF($B132 = "Production Item", _xlfn.XLOOKUP($A132, 'Instrument Table'!$J:$J, 'Instrument Table'!$B:$B, $C131), IF($B132 = "Service Item", _xlfn.XLOOKUP($A132, 'Instrument Table'!$I:$I, 'Instrument Table'!$B:$B, $C131), _xlfn.XLOOKUP($A132, 'Instrument Table'!$H:$H, 'Instrument Table'!$B:$B, $C131)))</f>
        <v>Grand Piano</v>
      </c>
      <c r="D132" s="1" t="str">
        <f>VLOOKUP($C132, 'Instrument Table'!$B:$C, 2, FALSE)</f>
        <v>Pianos</v>
      </c>
      <c r="E132" s="1">
        <f t="shared" si="6"/>
        <v>1</v>
      </c>
      <c r="F132" s="1">
        <f>_xlfn.XLOOKUP($C132, 'Instrument Table'!$B:$B, 'Instrument Table'!$A:$A, "")</f>
        <v>10</v>
      </c>
      <c r="G132" s="1" t="str">
        <f>TEXT(IF($B132 = "Retail Item", IF((ROW($A132) - 4504 - _xlfn.XMATCH($C132, $C$4506:$C$5005, 0, 1)) &lt;= VLOOKUP($C132, 'Instrument Table'!$B:$D, 3, FALSE), ROW($A132) - 4504 - _xlfn.XMATCH($C132, $C$4506:$C$5005, 0, 1), 0), 0), "00")</f>
        <v>00</v>
      </c>
      <c r="H132" s="1" t="str">
        <f t="shared" si="7"/>
        <v>126</v>
      </c>
      <c r="I132" s="1" t="str">
        <f t="shared" si="8"/>
        <v>11000-126</v>
      </c>
      <c r="J132" s="1" t="str">
        <f t="shared" si="9"/>
        <v>Grand piano production item #126</v>
      </c>
      <c r="K132" s="1" t="str">
        <f>IF(SUM(COUNTIFS(I:I, I132)) &gt; 1, "DUPLICATE", "UNIQUE")</f>
        <v>UNIQUE</v>
      </c>
      <c r="L132" s="18">
        <v>1</v>
      </c>
      <c r="M132" s="28">
        <v>71</v>
      </c>
      <c r="N132" s="6">
        <v>16</v>
      </c>
      <c r="O132" s="30">
        <f t="shared" si="10"/>
        <v>71</v>
      </c>
      <c r="P132" s="30">
        <f t="shared" si="11"/>
        <v>1136</v>
      </c>
      <c r="Q132" s="1">
        <f>COUNTIFS($P:$P, "&gt;" &amp; $P132) + 1</f>
        <v>3634</v>
      </c>
      <c r="R132" s="63">
        <f>(COUNTIFS($P:$P, "&gt;" &amp; $P132) + 1) / (COUNTA($I:$I) - 1)</f>
        <v>0.7268</v>
      </c>
      <c r="S132" s="23">
        <f>SUMIFS($P:$P, $Q:$Q, "&lt;" &amp; $Q132)</f>
        <v>186109854</v>
      </c>
    </row>
    <row r="133" spans="1:19" x14ac:dyDescent="0.25">
      <c r="A133" s="1">
        <v>128</v>
      </c>
      <c r="B133" s="1" t="s">
        <v>2</v>
      </c>
      <c r="C133" s="1" t="str">
        <f>IF($B133 = "Production Item", _xlfn.XLOOKUP($A133, 'Instrument Table'!$J:$J, 'Instrument Table'!$B:$B, $C132), IF($B133 = "Service Item", _xlfn.XLOOKUP($A133, 'Instrument Table'!$I:$I, 'Instrument Table'!$B:$B, $C132), _xlfn.XLOOKUP($A133, 'Instrument Table'!$H:$H, 'Instrument Table'!$B:$B, $C132)))</f>
        <v>Grand Piano</v>
      </c>
      <c r="D133" s="1" t="str">
        <f>VLOOKUP($C133, 'Instrument Table'!$B:$C, 2, FALSE)</f>
        <v>Pianos</v>
      </c>
      <c r="E133" s="1">
        <f t="shared" si="6"/>
        <v>1</v>
      </c>
      <c r="F133" s="1">
        <f>_xlfn.XLOOKUP($C133, 'Instrument Table'!$B:$B, 'Instrument Table'!$A:$A, "")</f>
        <v>10</v>
      </c>
      <c r="G133" s="1" t="str">
        <f>TEXT(IF($B133 = "Retail Item", IF((ROW($A133) - 4504 - _xlfn.XMATCH($C133, $C$4506:$C$5005, 0, 1)) &lt;= VLOOKUP($C133, 'Instrument Table'!$B:$D, 3, FALSE), ROW($A133) - 4504 - _xlfn.XMATCH($C133, $C$4506:$C$5005, 0, 1), 0), 0), "00")</f>
        <v>00</v>
      </c>
      <c r="H133" s="1" t="str">
        <f t="shared" si="7"/>
        <v>127</v>
      </c>
      <c r="I133" s="1" t="str">
        <f t="shared" si="8"/>
        <v>11000-127</v>
      </c>
      <c r="J133" s="1" t="str">
        <f t="shared" si="9"/>
        <v>Grand piano production item #127</v>
      </c>
      <c r="K133" s="1" t="str">
        <f>IF(SUM(COUNTIFS(I:I, I133)) &gt; 1, "DUPLICATE", "UNIQUE")</f>
        <v>UNIQUE</v>
      </c>
      <c r="L133" s="18">
        <v>0</v>
      </c>
      <c r="M133" s="28">
        <v>66</v>
      </c>
      <c r="N133" s="6">
        <v>225</v>
      </c>
      <c r="O133" s="30">
        <f t="shared" si="10"/>
        <v>0</v>
      </c>
      <c r="P133" s="30">
        <f t="shared" si="11"/>
        <v>14850</v>
      </c>
      <c r="Q133" s="1">
        <f>COUNTIFS($P:$P, "&gt;" &amp; $P133) + 1</f>
        <v>1361</v>
      </c>
      <c r="R133" s="63">
        <f>(COUNTIFS($P:$P, "&gt;" &amp; $P133) + 1) / (COUNTA($I:$I) - 1)</f>
        <v>0.2722</v>
      </c>
      <c r="S133" s="23">
        <f>SUMIFS($P:$P, $Q:$Q, "&lt;" &amp; $Q133)</f>
        <v>172907206</v>
      </c>
    </row>
    <row r="134" spans="1:19" x14ac:dyDescent="0.25">
      <c r="A134" s="1">
        <v>129</v>
      </c>
      <c r="B134" s="1" t="s">
        <v>2</v>
      </c>
      <c r="C134" s="1" t="str">
        <f>IF($B134 = "Production Item", _xlfn.XLOOKUP($A134, 'Instrument Table'!$J:$J, 'Instrument Table'!$B:$B, $C133), IF($B134 = "Service Item", _xlfn.XLOOKUP($A134, 'Instrument Table'!$I:$I, 'Instrument Table'!$B:$B, $C133), _xlfn.XLOOKUP($A134, 'Instrument Table'!$H:$H, 'Instrument Table'!$B:$B, $C133)))</f>
        <v>Grand Piano</v>
      </c>
      <c r="D134" s="1" t="str">
        <f>VLOOKUP($C134, 'Instrument Table'!$B:$C, 2, FALSE)</f>
        <v>Pianos</v>
      </c>
      <c r="E134" s="1">
        <f t="shared" si="6"/>
        <v>1</v>
      </c>
      <c r="F134" s="1">
        <f>_xlfn.XLOOKUP($C134, 'Instrument Table'!$B:$B, 'Instrument Table'!$A:$A, "")</f>
        <v>10</v>
      </c>
      <c r="G134" s="1" t="str">
        <f>TEXT(IF($B134 = "Retail Item", IF((ROW($A134) - 4504 - _xlfn.XMATCH($C134, $C$4506:$C$5005, 0, 1)) &lt;= VLOOKUP($C134, 'Instrument Table'!$B:$D, 3, FALSE), ROW($A134) - 4504 - _xlfn.XMATCH($C134, $C$4506:$C$5005, 0, 1), 0), 0), "00")</f>
        <v>00</v>
      </c>
      <c r="H134" s="1" t="str">
        <f t="shared" si="7"/>
        <v>128</v>
      </c>
      <c r="I134" s="1" t="str">
        <f t="shared" si="8"/>
        <v>11000-128</v>
      </c>
      <c r="J134" s="1" t="str">
        <f t="shared" si="9"/>
        <v>Grand piano production item #128</v>
      </c>
      <c r="K134" s="1" t="str">
        <f>IF(SUM(COUNTIFS(I:I, I134)) &gt; 1, "DUPLICATE", "UNIQUE")</f>
        <v>UNIQUE</v>
      </c>
      <c r="L134" s="18">
        <v>1</v>
      </c>
      <c r="M134" s="28">
        <v>15</v>
      </c>
      <c r="N134" s="6">
        <v>169</v>
      </c>
      <c r="O134" s="30">
        <f t="shared" si="10"/>
        <v>15</v>
      </c>
      <c r="P134" s="30">
        <f t="shared" si="11"/>
        <v>2535</v>
      </c>
      <c r="Q134" s="1">
        <f>COUNTIFS($P:$P, "&gt;" &amp; $P134) + 1</f>
        <v>3040</v>
      </c>
      <c r="R134" s="63">
        <f>(COUNTIFS($P:$P, "&gt;" &amp; $P134) + 1) / (COUNTA($I:$I) - 1)</f>
        <v>0.60799999999999998</v>
      </c>
      <c r="S134" s="23">
        <f>SUMIFS($P:$P, $Q:$Q, "&lt;" &amp; $Q134)</f>
        <v>185035417</v>
      </c>
    </row>
    <row r="135" spans="1:19" x14ac:dyDescent="0.25">
      <c r="A135" s="1">
        <v>130</v>
      </c>
      <c r="B135" s="1" t="s">
        <v>2</v>
      </c>
      <c r="C135" s="1" t="str">
        <f>IF($B135 = "Production Item", _xlfn.XLOOKUP($A135, 'Instrument Table'!$J:$J, 'Instrument Table'!$B:$B, $C134), IF($B135 = "Service Item", _xlfn.XLOOKUP($A135, 'Instrument Table'!$I:$I, 'Instrument Table'!$B:$B, $C134), _xlfn.XLOOKUP($A135, 'Instrument Table'!$H:$H, 'Instrument Table'!$B:$B, $C134)))</f>
        <v>Grand Piano</v>
      </c>
      <c r="D135" s="1" t="str">
        <f>VLOOKUP($C135, 'Instrument Table'!$B:$C, 2, FALSE)</f>
        <v>Pianos</v>
      </c>
      <c r="E135" s="1">
        <f t="shared" ref="E135:E198" si="12">IF($B135 = "Production Item", 1, IF($B135 = "Service Item", 2, IF($B135 = "Retail Item", 3, "")))</f>
        <v>1</v>
      </c>
      <c r="F135" s="1">
        <f>_xlfn.XLOOKUP($C135, 'Instrument Table'!$B:$B, 'Instrument Table'!$A:$A, "")</f>
        <v>10</v>
      </c>
      <c r="G135" s="1" t="str">
        <f>TEXT(IF($B135 = "Retail Item", IF((ROW($A135) - 4504 - _xlfn.XMATCH($C135, $C$4506:$C$5005, 0, 1)) &lt;= VLOOKUP($C135, 'Instrument Table'!$B:$D, 3, FALSE), ROW($A135) - 4504 - _xlfn.XMATCH($C135, $C$4506:$C$5005, 0, 1), 0), 0), "00")</f>
        <v>00</v>
      </c>
      <c r="H135" s="1" t="str">
        <f t="shared" ref="H135:H198" si="13">TEXT(IF($E135 &amp; $F135 &amp; $G135 = $E134 &amp; $F134 &amp; $G134, 1 + H134, 0), "000")</f>
        <v>129</v>
      </c>
      <c r="I135" s="1" t="str">
        <f t="shared" ref="I135:I198" si="14" xml:space="preserve"> _xlfn.CONCAT($E135, $F135, $G135, "-", H135)</f>
        <v>11000-129</v>
      </c>
      <c r="J135" s="1" t="str">
        <f t="shared" ref="J135:J198" si="15">LEFT($C135, 1) &amp; LOWER(RIGHT($C135, LEN($C135) - 1)) &amp; IF(AND($G135 &lt;&gt; "00", $B135 = "Retail Item"), " model #" &amp; $G135, " " &amp; LOWER($B135) &amp; " #" &amp; $H135)</f>
        <v>Grand piano production item #129</v>
      </c>
      <c r="K135" s="1" t="str">
        <f>IF(SUM(COUNTIFS(I:I, I135)) &gt; 1, "DUPLICATE", "UNIQUE")</f>
        <v>UNIQUE</v>
      </c>
      <c r="L135" s="18">
        <v>0</v>
      </c>
      <c r="M135" s="28">
        <v>8</v>
      </c>
      <c r="N135" s="6">
        <v>361</v>
      </c>
      <c r="O135" s="30">
        <f t="shared" ref="O135:O198" si="16">$L135 * $M135</f>
        <v>0</v>
      </c>
      <c r="P135" s="30">
        <f t="shared" ref="P135:P198" si="17">$N135 * $M135</f>
        <v>2888</v>
      </c>
      <c r="Q135" s="1">
        <f>COUNTIFS($P:$P, "&gt;" &amp; $P135) + 1</f>
        <v>2938</v>
      </c>
      <c r="R135" s="63">
        <f>(COUNTIFS($P:$P, "&gt;" &amp; $P135) + 1) / (COUNTA($I:$I) - 1)</f>
        <v>0.58760000000000001</v>
      </c>
      <c r="S135" s="23">
        <f>SUMIFS($P:$P, $Q:$Q, "&lt;" &amp; $Q135)</f>
        <v>184760537</v>
      </c>
    </row>
    <row r="136" spans="1:19" x14ac:dyDescent="0.25">
      <c r="A136" s="1">
        <v>131</v>
      </c>
      <c r="B136" s="1" t="s">
        <v>2</v>
      </c>
      <c r="C136" s="1" t="str">
        <f>IF($B136 = "Production Item", _xlfn.XLOOKUP($A136, 'Instrument Table'!$J:$J, 'Instrument Table'!$B:$B, $C135), IF($B136 = "Service Item", _xlfn.XLOOKUP($A136, 'Instrument Table'!$I:$I, 'Instrument Table'!$B:$B, $C135), _xlfn.XLOOKUP($A136, 'Instrument Table'!$H:$H, 'Instrument Table'!$B:$B, $C135)))</f>
        <v>Grand Piano</v>
      </c>
      <c r="D136" s="1" t="str">
        <f>VLOOKUP($C136, 'Instrument Table'!$B:$C, 2, FALSE)</f>
        <v>Pianos</v>
      </c>
      <c r="E136" s="1">
        <f t="shared" si="12"/>
        <v>1</v>
      </c>
      <c r="F136" s="1">
        <f>_xlfn.XLOOKUP($C136, 'Instrument Table'!$B:$B, 'Instrument Table'!$A:$A, "")</f>
        <v>10</v>
      </c>
      <c r="G136" s="1" t="str">
        <f>TEXT(IF($B136 = "Retail Item", IF((ROW($A136) - 4504 - _xlfn.XMATCH($C136, $C$4506:$C$5005, 0, 1)) &lt;= VLOOKUP($C136, 'Instrument Table'!$B:$D, 3, FALSE), ROW($A136) - 4504 - _xlfn.XMATCH($C136, $C$4506:$C$5005, 0, 1), 0), 0), "00")</f>
        <v>00</v>
      </c>
      <c r="H136" s="1" t="str">
        <f t="shared" si="13"/>
        <v>130</v>
      </c>
      <c r="I136" s="1" t="str">
        <f t="shared" si="14"/>
        <v>11000-130</v>
      </c>
      <c r="J136" s="1" t="str">
        <f t="shared" si="15"/>
        <v>Grand piano production item #130</v>
      </c>
      <c r="K136" s="1" t="str">
        <f>IF(SUM(COUNTIFS(I:I, I136)) &gt; 1, "DUPLICATE", "UNIQUE")</f>
        <v>UNIQUE</v>
      </c>
      <c r="L136" s="18">
        <v>0</v>
      </c>
      <c r="M136" s="28">
        <v>48</v>
      </c>
      <c r="N136" s="6">
        <v>1</v>
      </c>
      <c r="O136" s="30">
        <f t="shared" si="16"/>
        <v>0</v>
      </c>
      <c r="P136" s="30">
        <f t="shared" si="17"/>
        <v>48</v>
      </c>
      <c r="Q136" s="1">
        <f>COUNTIFS($P:$P, "&gt;" &amp; $P136) + 1</f>
        <v>4621</v>
      </c>
      <c r="R136" s="63">
        <f>(COUNTIFS($P:$P, "&gt;" &amp; $P136) + 1) / (COUNTA($I:$I) - 1)</f>
        <v>0.92420000000000002</v>
      </c>
      <c r="S136" s="23">
        <f>SUMIFS($P:$P, $Q:$Q, "&lt;" &amp; $Q136)</f>
        <v>186544781</v>
      </c>
    </row>
    <row r="137" spans="1:19" x14ac:dyDescent="0.25">
      <c r="A137" s="1">
        <v>132</v>
      </c>
      <c r="B137" s="1" t="s">
        <v>2</v>
      </c>
      <c r="C137" s="1" t="str">
        <f>IF($B137 = "Production Item", _xlfn.XLOOKUP($A137, 'Instrument Table'!$J:$J, 'Instrument Table'!$B:$B, $C136), IF($B137 = "Service Item", _xlfn.XLOOKUP($A137, 'Instrument Table'!$I:$I, 'Instrument Table'!$B:$B, $C136), _xlfn.XLOOKUP($A137, 'Instrument Table'!$H:$H, 'Instrument Table'!$B:$B, $C136)))</f>
        <v>Grand Piano</v>
      </c>
      <c r="D137" s="1" t="str">
        <f>VLOOKUP($C137, 'Instrument Table'!$B:$C, 2, FALSE)</f>
        <v>Pianos</v>
      </c>
      <c r="E137" s="1">
        <f t="shared" si="12"/>
        <v>1</v>
      </c>
      <c r="F137" s="1">
        <f>_xlfn.XLOOKUP($C137, 'Instrument Table'!$B:$B, 'Instrument Table'!$A:$A, "")</f>
        <v>10</v>
      </c>
      <c r="G137" s="1" t="str">
        <f>TEXT(IF($B137 = "Retail Item", IF((ROW($A137) - 4504 - _xlfn.XMATCH($C137, $C$4506:$C$5005, 0, 1)) &lt;= VLOOKUP($C137, 'Instrument Table'!$B:$D, 3, FALSE), ROW($A137) - 4504 - _xlfn.XMATCH($C137, $C$4506:$C$5005, 0, 1), 0), 0), "00")</f>
        <v>00</v>
      </c>
      <c r="H137" s="1" t="str">
        <f t="shared" si="13"/>
        <v>131</v>
      </c>
      <c r="I137" s="1" t="str">
        <f t="shared" si="14"/>
        <v>11000-131</v>
      </c>
      <c r="J137" s="1" t="str">
        <f t="shared" si="15"/>
        <v>Grand piano production item #131</v>
      </c>
      <c r="K137" s="1" t="str">
        <f>IF(SUM(COUNTIFS(I:I, I137)) &gt; 1, "DUPLICATE", "UNIQUE")</f>
        <v>UNIQUE</v>
      </c>
      <c r="L137" s="18">
        <v>8</v>
      </c>
      <c r="M137" s="28">
        <v>97</v>
      </c>
      <c r="N137" s="6">
        <v>400</v>
      </c>
      <c r="O137" s="30">
        <f t="shared" si="16"/>
        <v>776</v>
      </c>
      <c r="P137" s="30">
        <f t="shared" si="17"/>
        <v>38800</v>
      </c>
      <c r="Q137" s="1">
        <f>COUNTIFS($P:$P, "&gt;" &amp; $P137) + 1</f>
        <v>566</v>
      </c>
      <c r="R137" s="63">
        <f>(COUNTIFS($P:$P, "&gt;" &amp; $P137) + 1) / (COUNTA($I:$I) - 1)</f>
        <v>0.1132</v>
      </c>
      <c r="S137" s="23">
        <f>SUMIFS($P:$P, $Q:$Q, "&lt;" &amp; $Q137)</f>
        <v>154613497</v>
      </c>
    </row>
    <row r="138" spans="1:19" x14ac:dyDescent="0.25">
      <c r="A138" s="1">
        <v>133</v>
      </c>
      <c r="B138" s="1" t="s">
        <v>2</v>
      </c>
      <c r="C138" s="1" t="str">
        <f>IF($B138 = "Production Item", _xlfn.XLOOKUP($A138, 'Instrument Table'!$J:$J, 'Instrument Table'!$B:$B, $C137), IF($B138 = "Service Item", _xlfn.XLOOKUP($A138, 'Instrument Table'!$I:$I, 'Instrument Table'!$B:$B, $C137), _xlfn.XLOOKUP($A138, 'Instrument Table'!$H:$H, 'Instrument Table'!$B:$B, $C137)))</f>
        <v>Grand Piano</v>
      </c>
      <c r="D138" s="1" t="str">
        <f>VLOOKUP($C138, 'Instrument Table'!$B:$C, 2, FALSE)</f>
        <v>Pianos</v>
      </c>
      <c r="E138" s="1">
        <f t="shared" si="12"/>
        <v>1</v>
      </c>
      <c r="F138" s="1">
        <f>_xlfn.XLOOKUP($C138, 'Instrument Table'!$B:$B, 'Instrument Table'!$A:$A, "")</f>
        <v>10</v>
      </c>
      <c r="G138" s="1" t="str">
        <f>TEXT(IF($B138 = "Retail Item", IF((ROW($A138) - 4504 - _xlfn.XMATCH($C138, $C$4506:$C$5005, 0, 1)) &lt;= VLOOKUP($C138, 'Instrument Table'!$B:$D, 3, FALSE), ROW($A138) - 4504 - _xlfn.XMATCH($C138, $C$4506:$C$5005, 0, 1), 0), 0), "00")</f>
        <v>00</v>
      </c>
      <c r="H138" s="1" t="str">
        <f t="shared" si="13"/>
        <v>132</v>
      </c>
      <c r="I138" s="1" t="str">
        <f t="shared" si="14"/>
        <v>11000-132</v>
      </c>
      <c r="J138" s="1" t="str">
        <f t="shared" si="15"/>
        <v>Grand piano production item #132</v>
      </c>
      <c r="K138" s="1" t="str">
        <f>IF(SUM(COUNTIFS(I:I, I138)) &gt; 1, "DUPLICATE", "UNIQUE")</f>
        <v>UNIQUE</v>
      </c>
      <c r="L138" s="18">
        <v>0</v>
      </c>
      <c r="M138" s="28">
        <v>42</v>
      </c>
      <c r="N138" s="6">
        <v>196</v>
      </c>
      <c r="O138" s="30">
        <f t="shared" si="16"/>
        <v>0</v>
      </c>
      <c r="P138" s="30">
        <f t="shared" si="17"/>
        <v>8232</v>
      </c>
      <c r="Q138" s="1">
        <f>COUNTIFS($P:$P, "&gt;" &amp; $P138) + 1</f>
        <v>1954</v>
      </c>
      <c r="R138" s="63">
        <f>(COUNTIFS($P:$P, "&gt;" &amp; $P138) + 1) / (COUNTA($I:$I) - 1)</f>
        <v>0.39079999999999998</v>
      </c>
      <c r="S138" s="23">
        <f>SUMIFS($P:$P, $Q:$Q, "&lt;" &amp; $Q138)</f>
        <v>179624569</v>
      </c>
    </row>
    <row r="139" spans="1:19" x14ac:dyDescent="0.25">
      <c r="A139" s="1">
        <v>134</v>
      </c>
      <c r="B139" s="1" t="s">
        <v>2</v>
      </c>
      <c r="C139" s="1" t="str">
        <f>IF($B139 = "Production Item", _xlfn.XLOOKUP($A139, 'Instrument Table'!$J:$J, 'Instrument Table'!$B:$B, $C138), IF($B139 = "Service Item", _xlfn.XLOOKUP($A139, 'Instrument Table'!$I:$I, 'Instrument Table'!$B:$B, $C138), _xlfn.XLOOKUP($A139, 'Instrument Table'!$H:$H, 'Instrument Table'!$B:$B, $C138)))</f>
        <v>Grand Piano</v>
      </c>
      <c r="D139" s="1" t="str">
        <f>VLOOKUP($C139, 'Instrument Table'!$B:$C, 2, FALSE)</f>
        <v>Pianos</v>
      </c>
      <c r="E139" s="1">
        <f t="shared" si="12"/>
        <v>1</v>
      </c>
      <c r="F139" s="1">
        <f>_xlfn.XLOOKUP($C139, 'Instrument Table'!$B:$B, 'Instrument Table'!$A:$A, "")</f>
        <v>10</v>
      </c>
      <c r="G139" s="1" t="str">
        <f>TEXT(IF($B139 = "Retail Item", IF((ROW($A139) - 4504 - _xlfn.XMATCH($C139, $C$4506:$C$5005, 0, 1)) &lt;= VLOOKUP($C139, 'Instrument Table'!$B:$D, 3, FALSE), ROW($A139) - 4504 - _xlfn.XMATCH($C139, $C$4506:$C$5005, 0, 1), 0), 0), "00")</f>
        <v>00</v>
      </c>
      <c r="H139" s="1" t="str">
        <f t="shared" si="13"/>
        <v>133</v>
      </c>
      <c r="I139" s="1" t="str">
        <f t="shared" si="14"/>
        <v>11000-133</v>
      </c>
      <c r="J139" s="1" t="str">
        <f t="shared" si="15"/>
        <v>Grand piano production item #133</v>
      </c>
      <c r="K139" s="1" t="str">
        <f>IF(SUM(COUNTIFS(I:I, I139)) &gt; 1, "DUPLICATE", "UNIQUE")</f>
        <v>UNIQUE</v>
      </c>
      <c r="L139" s="18">
        <v>1</v>
      </c>
      <c r="M139" s="28">
        <v>66</v>
      </c>
      <c r="N139" s="6">
        <v>121</v>
      </c>
      <c r="O139" s="30">
        <f t="shared" si="16"/>
        <v>66</v>
      </c>
      <c r="P139" s="30">
        <f t="shared" si="17"/>
        <v>7986</v>
      </c>
      <c r="Q139" s="1">
        <f>COUNTIFS($P:$P, "&gt;" &amp; $P139) + 1</f>
        <v>1990</v>
      </c>
      <c r="R139" s="63">
        <f>(COUNTIFS($P:$P, "&gt;" &amp; $P139) + 1) / (COUNTA($I:$I) - 1)</f>
        <v>0.39800000000000002</v>
      </c>
      <c r="S139" s="23">
        <f>SUMIFS($P:$P, $Q:$Q, "&lt;" &amp; $Q139)</f>
        <v>179916921</v>
      </c>
    </row>
    <row r="140" spans="1:19" x14ac:dyDescent="0.25">
      <c r="A140" s="1">
        <v>135</v>
      </c>
      <c r="B140" s="1" t="s">
        <v>2</v>
      </c>
      <c r="C140" s="1" t="str">
        <f>IF($B140 = "Production Item", _xlfn.XLOOKUP($A140, 'Instrument Table'!$J:$J, 'Instrument Table'!$B:$B, $C139), IF($B140 = "Service Item", _xlfn.XLOOKUP($A140, 'Instrument Table'!$I:$I, 'Instrument Table'!$B:$B, $C139), _xlfn.XLOOKUP($A140, 'Instrument Table'!$H:$H, 'Instrument Table'!$B:$B, $C139)))</f>
        <v>Grand Piano</v>
      </c>
      <c r="D140" s="1" t="str">
        <f>VLOOKUP($C140, 'Instrument Table'!$B:$C, 2, FALSE)</f>
        <v>Pianos</v>
      </c>
      <c r="E140" s="1">
        <f t="shared" si="12"/>
        <v>1</v>
      </c>
      <c r="F140" s="1">
        <f>_xlfn.XLOOKUP($C140, 'Instrument Table'!$B:$B, 'Instrument Table'!$A:$A, "")</f>
        <v>10</v>
      </c>
      <c r="G140" s="1" t="str">
        <f>TEXT(IF($B140 = "Retail Item", IF((ROW($A140) - 4504 - _xlfn.XMATCH($C140, $C$4506:$C$5005, 0, 1)) &lt;= VLOOKUP($C140, 'Instrument Table'!$B:$D, 3, FALSE), ROW($A140) - 4504 - _xlfn.XMATCH($C140, $C$4506:$C$5005, 0, 1), 0), 0), "00")</f>
        <v>00</v>
      </c>
      <c r="H140" s="1" t="str">
        <f t="shared" si="13"/>
        <v>134</v>
      </c>
      <c r="I140" s="1" t="str">
        <f t="shared" si="14"/>
        <v>11000-134</v>
      </c>
      <c r="J140" s="1" t="str">
        <f t="shared" si="15"/>
        <v>Grand piano production item #134</v>
      </c>
      <c r="K140" s="1" t="str">
        <f>IF(SUM(COUNTIFS(I:I, I140)) &gt; 1, "DUPLICATE", "UNIQUE")</f>
        <v>UNIQUE</v>
      </c>
      <c r="L140" s="18">
        <v>0</v>
      </c>
      <c r="M140" s="28">
        <v>2</v>
      </c>
      <c r="N140" s="6">
        <v>81</v>
      </c>
      <c r="O140" s="30">
        <f t="shared" si="16"/>
        <v>0</v>
      </c>
      <c r="P140" s="30">
        <f t="shared" si="17"/>
        <v>162</v>
      </c>
      <c r="Q140" s="1">
        <f>COUNTIFS($P:$P, "&gt;" &amp; $P140) + 1</f>
        <v>4383</v>
      </c>
      <c r="R140" s="63">
        <f>(COUNTIFS($P:$P, "&gt;" &amp; $P140) + 1) / (COUNTA($I:$I) - 1)</f>
        <v>0.87660000000000005</v>
      </c>
      <c r="S140" s="23">
        <f>SUMIFS($P:$P, $Q:$Q, "&lt;" &amp; $Q140)</f>
        <v>186523354</v>
      </c>
    </row>
    <row r="141" spans="1:19" x14ac:dyDescent="0.25">
      <c r="A141" s="1">
        <v>136</v>
      </c>
      <c r="B141" s="1" t="s">
        <v>2</v>
      </c>
      <c r="C141" s="1" t="str">
        <f>IF($B141 = "Production Item", _xlfn.XLOOKUP($A141, 'Instrument Table'!$J:$J, 'Instrument Table'!$B:$B, $C140), IF($B141 = "Service Item", _xlfn.XLOOKUP($A141, 'Instrument Table'!$I:$I, 'Instrument Table'!$B:$B, $C140), _xlfn.XLOOKUP($A141, 'Instrument Table'!$H:$H, 'Instrument Table'!$B:$B, $C140)))</f>
        <v>Grand Piano</v>
      </c>
      <c r="D141" s="1" t="str">
        <f>VLOOKUP($C141, 'Instrument Table'!$B:$C, 2, FALSE)</f>
        <v>Pianos</v>
      </c>
      <c r="E141" s="1">
        <f t="shared" si="12"/>
        <v>1</v>
      </c>
      <c r="F141" s="1">
        <f>_xlfn.XLOOKUP($C141, 'Instrument Table'!$B:$B, 'Instrument Table'!$A:$A, "")</f>
        <v>10</v>
      </c>
      <c r="G141" s="1" t="str">
        <f>TEXT(IF($B141 = "Retail Item", IF((ROW($A141) - 4504 - _xlfn.XMATCH($C141, $C$4506:$C$5005, 0, 1)) &lt;= VLOOKUP($C141, 'Instrument Table'!$B:$D, 3, FALSE), ROW($A141) - 4504 - _xlfn.XMATCH($C141, $C$4506:$C$5005, 0, 1), 0), 0), "00")</f>
        <v>00</v>
      </c>
      <c r="H141" s="1" t="str">
        <f t="shared" si="13"/>
        <v>135</v>
      </c>
      <c r="I141" s="1" t="str">
        <f t="shared" si="14"/>
        <v>11000-135</v>
      </c>
      <c r="J141" s="1" t="str">
        <f t="shared" si="15"/>
        <v>Grand piano production item #135</v>
      </c>
      <c r="K141" s="1" t="str">
        <f>IF(SUM(COUNTIFS(I:I, I141)) &gt; 1, "DUPLICATE", "UNIQUE")</f>
        <v>UNIQUE</v>
      </c>
      <c r="L141" s="18">
        <v>1</v>
      </c>
      <c r="M141" s="28">
        <v>45</v>
      </c>
      <c r="N141" s="6">
        <v>196</v>
      </c>
      <c r="O141" s="30">
        <f t="shared" si="16"/>
        <v>45</v>
      </c>
      <c r="P141" s="30">
        <f t="shared" si="17"/>
        <v>8820</v>
      </c>
      <c r="Q141" s="1">
        <f>COUNTIFS($P:$P, "&gt;" &amp; $P141) + 1</f>
        <v>1896</v>
      </c>
      <c r="R141" s="63">
        <f>(COUNTIFS($P:$P, "&gt;" &amp; $P141) + 1) / (COUNTA($I:$I) - 1)</f>
        <v>0.37919999999999998</v>
      </c>
      <c r="S141" s="23">
        <f>SUMIFS($P:$P, $Q:$Q, "&lt;" &amp; $Q141)</f>
        <v>179128287</v>
      </c>
    </row>
    <row r="142" spans="1:19" x14ac:dyDescent="0.25">
      <c r="A142" s="1">
        <v>137</v>
      </c>
      <c r="B142" s="1" t="s">
        <v>2</v>
      </c>
      <c r="C142" s="1" t="str">
        <f>IF($B142 = "Production Item", _xlfn.XLOOKUP($A142, 'Instrument Table'!$J:$J, 'Instrument Table'!$B:$B, $C141), IF($B142 = "Service Item", _xlfn.XLOOKUP($A142, 'Instrument Table'!$I:$I, 'Instrument Table'!$B:$B, $C141), _xlfn.XLOOKUP($A142, 'Instrument Table'!$H:$H, 'Instrument Table'!$B:$B, $C141)))</f>
        <v>Grand Piano</v>
      </c>
      <c r="D142" s="1" t="str">
        <f>VLOOKUP($C142, 'Instrument Table'!$B:$C, 2, FALSE)</f>
        <v>Pianos</v>
      </c>
      <c r="E142" s="1">
        <f t="shared" si="12"/>
        <v>1</v>
      </c>
      <c r="F142" s="1">
        <f>_xlfn.XLOOKUP($C142, 'Instrument Table'!$B:$B, 'Instrument Table'!$A:$A, "")</f>
        <v>10</v>
      </c>
      <c r="G142" s="1" t="str">
        <f>TEXT(IF($B142 = "Retail Item", IF((ROW($A142) - 4504 - _xlfn.XMATCH($C142, $C$4506:$C$5005, 0, 1)) &lt;= VLOOKUP($C142, 'Instrument Table'!$B:$D, 3, FALSE), ROW($A142) - 4504 - _xlfn.XMATCH($C142, $C$4506:$C$5005, 0, 1), 0), 0), "00")</f>
        <v>00</v>
      </c>
      <c r="H142" s="1" t="str">
        <f t="shared" si="13"/>
        <v>136</v>
      </c>
      <c r="I142" s="1" t="str">
        <f t="shared" si="14"/>
        <v>11000-136</v>
      </c>
      <c r="J142" s="1" t="str">
        <f t="shared" si="15"/>
        <v>Grand piano production item #136</v>
      </c>
      <c r="K142" s="1" t="str">
        <f>IF(SUM(COUNTIFS(I:I, I142)) &gt; 1, "DUPLICATE", "UNIQUE")</f>
        <v>UNIQUE</v>
      </c>
      <c r="L142" s="18">
        <v>1</v>
      </c>
      <c r="M142" s="28">
        <v>76</v>
      </c>
      <c r="N142" s="6">
        <v>256</v>
      </c>
      <c r="O142" s="30">
        <f t="shared" si="16"/>
        <v>76</v>
      </c>
      <c r="P142" s="30">
        <f t="shared" si="17"/>
        <v>19456</v>
      </c>
      <c r="Q142" s="1">
        <f>COUNTIFS($P:$P, "&gt;" &amp; $P142) + 1</f>
        <v>1081</v>
      </c>
      <c r="R142" s="63">
        <f>(COUNTIFS($P:$P, "&gt;" &amp; $P142) + 1) / (COUNTA($I:$I) - 1)</f>
        <v>0.2162</v>
      </c>
      <c r="S142" s="23">
        <f>SUMIFS($P:$P, $Q:$Q, "&lt;" &amp; $Q142)</f>
        <v>168137933</v>
      </c>
    </row>
    <row r="143" spans="1:19" x14ac:dyDescent="0.25">
      <c r="A143" s="1">
        <v>138</v>
      </c>
      <c r="B143" s="1" t="s">
        <v>2</v>
      </c>
      <c r="C143" s="1" t="str">
        <f>IF($B143 = "Production Item", _xlfn.XLOOKUP($A143, 'Instrument Table'!$J:$J, 'Instrument Table'!$B:$B, $C142), IF($B143 = "Service Item", _xlfn.XLOOKUP($A143, 'Instrument Table'!$I:$I, 'Instrument Table'!$B:$B, $C142), _xlfn.XLOOKUP($A143, 'Instrument Table'!$H:$H, 'Instrument Table'!$B:$B, $C142)))</f>
        <v>Grand Piano</v>
      </c>
      <c r="D143" s="1" t="str">
        <f>VLOOKUP($C143, 'Instrument Table'!$B:$C, 2, FALSE)</f>
        <v>Pianos</v>
      </c>
      <c r="E143" s="1">
        <f t="shared" si="12"/>
        <v>1</v>
      </c>
      <c r="F143" s="1">
        <f>_xlfn.XLOOKUP($C143, 'Instrument Table'!$B:$B, 'Instrument Table'!$A:$A, "")</f>
        <v>10</v>
      </c>
      <c r="G143" s="1" t="str">
        <f>TEXT(IF($B143 = "Retail Item", IF((ROW($A143) - 4504 - _xlfn.XMATCH($C143, $C$4506:$C$5005, 0, 1)) &lt;= VLOOKUP($C143, 'Instrument Table'!$B:$D, 3, FALSE), ROW($A143) - 4504 - _xlfn.XMATCH($C143, $C$4506:$C$5005, 0, 1), 0), 0), "00")</f>
        <v>00</v>
      </c>
      <c r="H143" s="1" t="str">
        <f t="shared" si="13"/>
        <v>137</v>
      </c>
      <c r="I143" s="1" t="str">
        <f t="shared" si="14"/>
        <v>11000-137</v>
      </c>
      <c r="J143" s="1" t="str">
        <f t="shared" si="15"/>
        <v>Grand piano production item #137</v>
      </c>
      <c r="K143" s="1" t="str">
        <f>IF(SUM(COUNTIFS(I:I, I143)) &gt; 1, "DUPLICATE", "UNIQUE")</f>
        <v>UNIQUE</v>
      </c>
      <c r="L143" s="18">
        <v>2</v>
      </c>
      <c r="M143" s="28">
        <v>31</v>
      </c>
      <c r="N143" s="6">
        <v>169</v>
      </c>
      <c r="O143" s="30">
        <f t="shared" si="16"/>
        <v>62</v>
      </c>
      <c r="P143" s="30">
        <f t="shared" si="17"/>
        <v>5239</v>
      </c>
      <c r="Q143" s="1">
        <f>COUNTIFS($P:$P, "&gt;" &amp; $P143) + 1</f>
        <v>2397</v>
      </c>
      <c r="R143" s="63">
        <f>(COUNTIFS($P:$P, "&gt;" &amp; $P143) + 1) / (COUNTA($I:$I) - 1)</f>
        <v>0.47939999999999999</v>
      </c>
      <c r="S143" s="23">
        <f>SUMIFS($P:$P, $Q:$Q, "&lt;" &amp; $Q143)</f>
        <v>182600803</v>
      </c>
    </row>
    <row r="144" spans="1:19" x14ac:dyDescent="0.25">
      <c r="A144" s="1">
        <v>139</v>
      </c>
      <c r="B144" s="1" t="s">
        <v>2</v>
      </c>
      <c r="C144" s="1" t="str">
        <f>IF($B144 = "Production Item", _xlfn.XLOOKUP($A144, 'Instrument Table'!$J:$J, 'Instrument Table'!$B:$B, $C143), IF($B144 = "Service Item", _xlfn.XLOOKUP($A144, 'Instrument Table'!$I:$I, 'Instrument Table'!$B:$B, $C143), _xlfn.XLOOKUP($A144, 'Instrument Table'!$H:$H, 'Instrument Table'!$B:$B, $C143)))</f>
        <v>Grand Piano</v>
      </c>
      <c r="D144" s="1" t="str">
        <f>VLOOKUP($C144, 'Instrument Table'!$B:$C, 2, FALSE)</f>
        <v>Pianos</v>
      </c>
      <c r="E144" s="1">
        <f t="shared" si="12"/>
        <v>1</v>
      </c>
      <c r="F144" s="1">
        <f>_xlfn.XLOOKUP($C144, 'Instrument Table'!$B:$B, 'Instrument Table'!$A:$A, "")</f>
        <v>10</v>
      </c>
      <c r="G144" s="1" t="str">
        <f>TEXT(IF($B144 = "Retail Item", IF((ROW($A144) - 4504 - _xlfn.XMATCH($C144, $C$4506:$C$5005, 0, 1)) &lt;= VLOOKUP($C144, 'Instrument Table'!$B:$D, 3, FALSE), ROW($A144) - 4504 - _xlfn.XMATCH($C144, $C$4506:$C$5005, 0, 1), 0), 0), "00")</f>
        <v>00</v>
      </c>
      <c r="H144" s="1" t="str">
        <f t="shared" si="13"/>
        <v>138</v>
      </c>
      <c r="I144" s="1" t="str">
        <f t="shared" si="14"/>
        <v>11000-138</v>
      </c>
      <c r="J144" s="1" t="str">
        <f t="shared" si="15"/>
        <v>Grand piano production item #138</v>
      </c>
      <c r="K144" s="1" t="str">
        <f>IF(SUM(COUNTIFS(I:I, I144)) &gt; 1, "DUPLICATE", "UNIQUE")</f>
        <v>UNIQUE</v>
      </c>
      <c r="L144" s="18">
        <v>1</v>
      </c>
      <c r="M144" s="28">
        <v>46</v>
      </c>
      <c r="N144" s="6">
        <v>225</v>
      </c>
      <c r="O144" s="30">
        <f t="shared" si="16"/>
        <v>46</v>
      </c>
      <c r="P144" s="30">
        <f t="shared" si="17"/>
        <v>10350</v>
      </c>
      <c r="Q144" s="1">
        <f>COUNTIFS($P:$P, "&gt;" &amp; $P144) + 1</f>
        <v>1745</v>
      </c>
      <c r="R144" s="63">
        <f>(COUNTIFS($P:$P, "&gt;" &amp; $P144) + 1) / (COUNTA($I:$I) - 1)</f>
        <v>0.34899999999999998</v>
      </c>
      <c r="S144" s="23">
        <f>SUMIFS($P:$P, $Q:$Q, "&lt;" &amp; $Q144)</f>
        <v>177690452</v>
      </c>
    </row>
    <row r="145" spans="1:19" x14ac:dyDescent="0.25">
      <c r="A145" s="1">
        <v>140</v>
      </c>
      <c r="B145" s="1" t="s">
        <v>2</v>
      </c>
      <c r="C145" s="1" t="str">
        <f>IF($B145 = "Production Item", _xlfn.XLOOKUP($A145, 'Instrument Table'!$J:$J, 'Instrument Table'!$B:$B, $C144), IF($B145 = "Service Item", _xlfn.XLOOKUP($A145, 'Instrument Table'!$I:$I, 'Instrument Table'!$B:$B, $C144), _xlfn.XLOOKUP($A145, 'Instrument Table'!$H:$H, 'Instrument Table'!$B:$B, $C144)))</f>
        <v>Grand Piano</v>
      </c>
      <c r="D145" s="1" t="str">
        <f>VLOOKUP($C145, 'Instrument Table'!$B:$C, 2, FALSE)</f>
        <v>Pianos</v>
      </c>
      <c r="E145" s="1">
        <f t="shared" si="12"/>
        <v>1</v>
      </c>
      <c r="F145" s="1">
        <f>_xlfn.XLOOKUP($C145, 'Instrument Table'!$B:$B, 'Instrument Table'!$A:$A, "")</f>
        <v>10</v>
      </c>
      <c r="G145" s="1" t="str">
        <f>TEXT(IF($B145 = "Retail Item", IF((ROW($A145) - 4504 - _xlfn.XMATCH($C145, $C$4506:$C$5005, 0, 1)) &lt;= VLOOKUP($C145, 'Instrument Table'!$B:$D, 3, FALSE), ROW($A145) - 4504 - _xlfn.XMATCH($C145, $C$4506:$C$5005, 0, 1), 0), 0), "00")</f>
        <v>00</v>
      </c>
      <c r="H145" s="1" t="str">
        <f t="shared" si="13"/>
        <v>139</v>
      </c>
      <c r="I145" s="1" t="str">
        <f t="shared" si="14"/>
        <v>11000-139</v>
      </c>
      <c r="J145" s="1" t="str">
        <f t="shared" si="15"/>
        <v>Grand piano production item #139</v>
      </c>
      <c r="K145" s="1" t="str">
        <f>IF(SUM(COUNTIFS(I:I, I145)) &gt; 1, "DUPLICATE", "UNIQUE")</f>
        <v>UNIQUE</v>
      </c>
      <c r="L145" s="18">
        <v>1</v>
      </c>
      <c r="M145" s="28">
        <v>83</v>
      </c>
      <c r="N145" s="6">
        <v>225</v>
      </c>
      <c r="O145" s="30">
        <f t="shared" si="16"/>
        <v>83</v>
      </c>
      <c r="P145" s="30">
        <f t="shared" si="17"/>
        <v>18675</v>
      </c>
      <c r="Q145" s="1">
        <f>COUNTIFS($P:$P, "&gt;" &amp; $P145) + 1</f>
        <v>1120</v>
      </c>
      <c r="R145" s="63">
        <f>(COUNTIFS($P:$P, "&gt;" &amp; $P145) + 1) / (COUNTA($I:$I) - 1)</f>
        <v>0.224</v>
      </c>
      <c r="S145" s="23">
        <f>SUMIFS($P:$P, $Q:$Q, "&lt;" &amp; $Q145)</f>
        <v>168881811</v>
      </c>
    </row>
    <row r="146" spans="1:19" x14ac:dyDescent="0.25">
      <c r="A146" s="1">
        <v>141</v>
      </c>
      <c r="B146" s="1" t="s">
        <v>2</v>
      </c>
      <c r="C146" s="1" t="str">
        <f>IF($B146 = "Production Item", _xlfn.XLOOKUP($A146, 'Instrument Table'!$J:$J, 'Instrument Table'!$B:$B, $C145), IF($B146 = "Service Item", _xlfn.XLOOKUP($A146, 'Instrument Table'!$I:$I, 'Instrument Table'!$B:$B, $C145), _xlfn.XLOOKUP($A146, 'Instrument Table'!$H:$H, 'Instrument Table'!$B:$B, $C145)))</f>
        <v>Grand Piano</v>
      </c>
      <c r="D146" s="1" t="str">
        <f>VLOOKUP($C146, 'Instrument Table'!$B:$C, 2, FALSE)</f>
        <v>Pianos</v>
      </c>
      <c r="E146" s="1">
        <f t="shared" si="12"/>
        <v>1</v>
      </c>
      <c r="F146" s="1">
        <f>_xlfn.XLOOKUP($C146, 'Instrument Table'!$B:$B, 'Instrument Table'!$A:$A, "")</f>
        <v>10</v>
      </c>
      <c r="G146" s="1" t="str">
        <f>TEXT(IF($B146 = "Retail Item", IF((ROW($A146) - 4504 - _xlfn.XMATCH($C146, $C$4506:$C$5005, 0, 1)) &lt;= VLOOKUP($C146, 'Instrument Table'!$B:$D, 3, FALSE), ROW($A146) - 4504 - _xlfn.XMATCH($C146, $C$4506:$C$5005, 0, 1), 0), 0), "00")</f>
        <v>00</v>
      </c>
      <c r="H146" s="1" t="str">
        <f t="shared" si="13"/>
        <v>140</v>
      </c>
      <c r="I146" s="1" t="str">
        <f t="shared" si="14"/>
        <v>11000-140</v>
      </c>
      <c r="J146" s="1" t="str">
        <f t="shared" si="15"/>
        <v>Grand piano production item #140</v>
      </c>
      <c r="K146" s="1" t="str">
        <f>IF(SUM(COUNTIFS(I:I, I146)) &gt; 1, "DUPLICATE", "UNIQUE")</f>
        <v>UNIQUE</v>
      </c>
      <c r="L146" s="18">
        <v>0</v>
      </c>
      <c r="M146" s="28">
        <v>41</v>
      </c>
      <c r="N146" s="6">
        <v>64</v>
      </c>
      <c r="O146" s="30">
        <f t="shared" si="16"/>
        <v>0</v>
      </c>
      <c r="P146" s="30">
        <f t="shared" si="17"/>
        <v>2624</v>
      </c>
      <c r="Q146" s="1">
        <f>COUNTIFS($P:$P, "&gt;" &amp; $P146) + 1</f>
        <v>3002</v>
      </c>
      <c r="R146" s="63">
        <f>(COUNTIFS($P:$P, "&gt;" &amp; $P146) + 1) / (COUNTA($I:$I) - 1)</f>
        <v>0.60040000000000004</v>
      </c>
      <c r="S146" s="23">
        <f>SUMIFS($P:$P, $Q:$Q, "&lt;" &amp; $Q146)</f>
        <v>184937374</v>
      </c>
    </row>
    <row r="147" spans="1:19" x14ac:dyDescent="0.25">
      <c r="A147" s="1">
        <v>142</v>
      </c>
      <c r="B147" s="1" t="s">
        <v>2</v>
      </c>
      <c r="C147" s="1" t="str">
        <f>IF($B147 = "Production Item", _xlfn.XLOOKUP($A147, 'Instrument Table'!$J:$J, 'Instrument Table'!$B:$B, $C146), IF($B147 = "Service Item", _xlfn.XLOOKUP($A147, 'Instrument Table'!$I:$I, 'Instrument Table'!$B:$B, $C146), _xlfn.XLOOKUP($A147, 'Instrument Table'!$H:$H, 'Instrument Table'!$B:$B, $C146)))</f>
        <v>Grand Piano</v>
      </c>
      <c r="D147" s="1" t="str">
        <f>VLOOKUP($C147, 'Instrument Table'!$B:$C, 2, FALSE)</f>
        <v>Pianos</v>
      </c>
      <c r="E147" s="1">
        <f t="shared" si="12"/>
        <v>1</v>
      </c>
      <c r="F147" s="1">
        <f>_xlfn.XLOOKUP($C147, 'Instrument Table'!$B:$B, 'Instrument Table'!$A:$A, "")</f>
        <v>10</v>
      </c>
      <c r="G147" s="1" t="str">
        <f>TEXT(IF($B147 = "Retail Item", IF((ROW($A147) - 4504 - _xlfn.XMATCH($C147, $C$4506:$C$5005, 0, 1)) &lt;= VLOOKUP($C147, 'Instrument Table'!$B:$D, 3, FALSE), ROW($A147) - 4504 - _xlfn.XMATCH($C147, $C$4506:$C$5005, 0, 1), 0), 0), "00")</f>
        <v>00</v>
      </c>
      <c r="H147" s="1" t="str">
        <f t="shared" si="13"/>
        <v>141</v>
      </c>
      <c r="I147" s="1" t="str">
        <f t="shared" si="14"/>
        <v>11000-141</v>
      </c>
      <c r="J147" s="1" t="str">
        <f t="shared" si="15"/>
        <v>Grand piano production item #141</v>
      </c>
      <c r="K147" s="1" t="str">
        <f>IF(SUM(COUNTIFS(I:I, I147)) &gt; 1, "DUPLICATE", "UNIQUE")</f>
        <v>UNIQUE</v>
      </c>
      <c r="L147" s="18">
        <v>1</v>
      </c>
      <c r="M147" s="28">
        <v>84</v>
      </c>
      <c r="N147" s="6">
        <v>225</v>
      </c>
      <c r="O147" s="30">
        <f t="shared" si="16"/>
        <v>84</v>
      </c>
      <c r="P147" s="30">
        <f t="shared" si="17"/>
        <v>18900</v>
      </c>
      <c r="Q147" s="1">
        <f>COUNTIFS($P:$P, "&gt;" &amp; $P147) + 1</f>
        <v>1107</v>
      </c>
      <c r="R147" s="63">
        <f>(COUNTIFS($P:$P, "&gt;" &amp; $P147) + 1) / (COUNTA($I:$I) - 1)</f>
        <v>0.22140000000000001</v>
      </c>
      <c r="S147" s="23">
        <f>SUMIFS($P:$P, $Q:$Q, "&lt;" &amp; $Q147)</f>
        <v>168637290</v>
      </c>
    </row>
    <row r="148" spans="1:19" x14ac:dyDescent="0.25">
      <c r="A148" s="1">
        <v>143</v>
      </c>
      <c r="B148" s="1" t="s">
        <v>2</v>
      </c>
      <c r="C148" s="1" t="str">
        <f>IF($B148 = "Production Item", _xlfn.XLOOKUP($A148, 'Instrument Table'!$J:$J, 'Instrument Table'!$B:$B, $C147), IF($B148 = "Service Item", _xlfn.XLOOKUP($A148, 'Instrument Table'!$I:$I, 'Instrument Table'!$B:$B, $C147), _xlfn.XLOOKUP($A148, 'Instrument Table'!$H:$H, 'Instrument Table'!$B:$B, $C147)))</f>
        <v>Grand Piano</v>
      </c>
      <c r="D148" s="1" t="str">
        <f>VLOOKUP($C148, 'Instrument Table'!$B:$C, 2, FALSE)</f>
        <v>Pianos</v>
      </c>
      <c r="E148" s="1">
        <f t="shared" si="12"/>
        <v>1</v>
      </c>
      <c r="F148" s="1">
        <f>_xlfn.XLOOKUP($C148, 'Instrument Table'!$B:$B, 'Instrument Table'!$A:$A, "")</f>
        <v>10</v>
      </c>
      <c r="G148" s="1" t="str">
        <f>TEXT(IF($B148 = "Retail Item", IF((ROW($A148) - 4504 - _xlfn.XMATCH($C148, $C$4506:$C$5005, 0, 1)) &lt;= VLOOKUP($C148, 'Instrument Table'!$B:$D, 3, FALSE), ROW($A148) - 4504 - _xlfn.XMATCH($C148, $C$4506:$C$5005, 0, 1), 0), 0), "00")</f>
        <v>00</v>
      </c>
      <c r="H148" s="1" t="str">
        <f t="shared" si="13"/>
        <v>142</v>
      </c>
      <c r="I148" s="1" t="str">
        <f t="shared" si="14"/>
        <v>11000-142</v>
      </c>
      <c r="J148" s="1" t="str">
        <f t="shared" si="15"/>
        <v>Grand piano production item #142</v>
      </c>
      <c r="K148" s="1" t="str">
        <f>IF(SUM(COUNTIFS(I:I, I148)) &gt; 1, "DUPLICATE", "UNIQUE")</f>
        <v>UNIQUE</v>
      </c>
      <c r="L148" s="18">
        <v>32</v>
      </c>
      <c r="M148" s="28">
        <v>90</v>
      </c>
      <c r="N148" s="6">
        <v>4</v>
      </c>
      <c r="O148" s="30">
        <f t="shared" si="16"/>
        <v>2880</v>
      </c>
      <c r="P148" s="30">
        <f t="shared" si="17"/>
        <v>360</v>
      </c>
      <c r="Q148" s="1">
        <f>COUNTIFS($P:$P, "&gt;" &amp; $P148) + 1</f>
        <v>4137</v>
      </c>
      <c r="R148" s="63">
        <f>(COUNTIFS($P:$P, "&gt;" &amp; $P148) + 1) / (COUNTA($I:$I) - 1)</f>
        <v>0.82740000000000002</v>
      </c>
      <c r="S148" s="23">
        <f>SUMIFS($P:$P, $Q:$Q, "&lt;" &amp; $Q148)</f>
        <v>186459069</v>
      </c>
    </row>
    <row r="149" spans="1:19" x14ac:dyDescent="0.25">
      <c r="A149" s="1">
        <v>144</v>
      </c>
      <c r="B149" s="1" t="s">
        <v>2</v>
      </c>
      <c r="C149" s="1" t="str">
        <f>IF($B149 = "Production Item", _xlfn.XLOOKUP($A149, 'Instrument Table'!$J:$J, 'Instrument Table'!$B:$B, $C148), IF($B149 = "Service Item", _xlfn.XLOOKUP($A149, 'Instrument Table'!$I:$I, 'Instrument Table'!$B:$B, $C148), _xlfn.XLOOKUP($A149, 'Instrument Table'!$H:$H, 'Instrument Table'!$B:$B, $C148)))</f>
        <v>Grand Piano</v>
      </c>
      <c r="D149" s="1" t="str">
        <f>VLOOKUP($C149, 'Instrument Table'!$B:$C, 2, FALSE)</f>
        <v>Pianos</v>
      </c>
      <c r="E149" s="1">
        <f t="shared" si="12"/>
        <v>1</v>
      </c>
      <c r="F149" s="1">
        <f>_xlfn.XLOOKUP($C149, 'Instrument Table'!$B:$B, 'Instrument Table'!$A:$A, "")</f>
        <v>10</v>
      </c>
      <c r="G149" s="1" t="str">
        <f>TEXT(IF($B149 = "Retail Item", IF((ROW($A149) - 4504 - _xlfn.XMATCH($C149, $C$4506:$C$5005, 0, 1)) &lt;= VLOOKUP($C149, 'Instrument Table'!$B:$D, 3, FALSE), ROW($A149) - 4504 - _xlfn.XMATCH($C149, $C$4506:$C$5005, 0, 1), 0), 0), "00")</f>
        <v>00</v>
      </c>
      <c r="H149" s="1" t="str">
        <f t="shared" si="13"/>
        <v>143</v>
      </c>
      <c r="I149" s="1" t="str">
        <f t="shared" si="14"/>
        <v>11000-143</v>
      </c>
      <c r="J149" s="1" t="str">
        <f t="shared" si="15"/>
        <v>Grand piano production item #143</v>
      </c>
      <c r="K149" s="1" t="str">
        <f>IF(SUM(COUNTIFS(I:I, I149)) &gt; 1, "DUPLICATE", "UNIQUE")</f>
        <v>UNIQUE</v>
      </c>
      <c r="L149" s="18">
        <v>0</v>
      </c>
      <c r="M149" s="28">
        <v>83</v>
      </c>
      <c r="N149" s="6">
        <v>25</v>
      </c>
      <c r="O149" s="30">
        <f t="shared" si="16"/>
        <v>0</v>
      </c>
      <c r="P149" s="30">
        <f t="shared" si="17"/>
        <v>2075</v>
      </c>
      <c r="Q149" s="1">
        <f>COUNTIFS($P:$P, "&gt;" &amp; $P149) + 1</f>
        <v>3217</v>
      </c>
      <c r="R149" s="63">
        <f>(COUNTIFS($P:$P, "&gt;" &amp; $P149) + 1) / (COUNTA($I:$I) - 1)</f>
        <v>0.64339999999999997</v>
      </c>
      <c r="S149" s="23">
        <f>SUMIFS($P:$P, $Q:$Q, "&lt;" &amp; $Q149)</f>
        <v>185443402</v>
      </c>
    </row>
    <row r="150" spans="1:19" x14ac:dyDescent="0.25">
      <c r="A150" s="1">
        <v>145</v>
      </c>
      <c r="B150" s="1" t="s">
        <v>2</v>
      </c>
      <c r="C150" s="1" t="str">
        <f>IF($B150 = "Production Item", _xlfn.XLOOKUP($A150, 'Instrument Table'!$J:$J, 'Instrument Table'!$B:$B, $C149), IF($B150 = "Service Item", _xlfn.XLOOKUP($A150, 'Instrument Table'!$I:$I, 'Instrument Table'!$B:$B, $C149), _xlfn.XLOOKUP($A150, 'Instrument Table'!$H:$H, 'Instrument Table'!$B:$B, $C149)))</f>
        <v>Grand Piano</v>
      </c>
      <c r="D150" s="1" t="str">
        <f>VLOOKUP($C150, 'Instrument Table'!$B:$C, 2, FALSE)</f>
        <v>Pianos</v>
      </c>
      <c r="E150" s="1">
        <f t="shared" si="12"/>
        <v>1</v>
      </c>
      <c r="F150" s="1">
        <f>_xlfn.XLOOKUP($C150, 'Instrument Table'!$B:$B, 'Instrument Table'!$A:$A, "")</f>
        <v>10</v>
      </c>
      <c r="G150" s="1" t="str">
        <f>TEXT(IF($B150 = "Retail Item", IF((ROW($A150) - 4504 - _xlfn.XMATCH($C150, $C$4506:$C$5005, 0, 1)) &lt;= VLOOKUP($C150, 'Instrument Table'!$B:$D, 3, FALSE), ROW($A150) - 4504 - _xlfn.XMATCH($C150, $C$4506:$C$5005, 0, 1), 0), 0), "00")</f>
        <v>00</v>
      </c>
      <c r="H150" s="1" t="str">
        <f t="shared" si="13"/>
        <v>144</v>
      </c>
      <c r="I150" s="1" t="str">
        <f t="shared" si="14"/>
        <v>11000-144</v>
      </c>
      <c r="J150" s="1" t="str">
        <f t="shared" si="15"/>
        <v>Grand piano production item #144</v>
      </c>
      <c r="K150" s="1" t="str">
        <f>IF(SUM(COUNTIFS(I:I, I150)) &gt; 1, "DUPLICATE", "UNIQUE")</f>
        <v>UNIQUE</v>
      </c>
      <c r="L150" s="18">
        <v>1</v>
      </c>
      <c r="M150" s="28">
        <v>57</v>
      </c>
      <c r="N150" s="6">
        <v>100</v>
      </c>
      <c r="O150" s="30">
        <f t="shared" si="16"/>
        <v>57</v>
      </c>
      <c r="P150" s="30">
        <f t="shared" si="17"/>
        <v>5700</v>
      </c>
      <c r="Q150" s="1">
        <f>COUNTIFS($P:$P, "&gt;" &amp; $P150) + 1</f>
        <v>2315</v>
      </c>
      <c r="R150" s="63">
        <f>(COUNTIFS($P:$P, "&gt;" &amp; $P150) + 1) / (COUNTA($I:$I) - 1)</f>
        <v>0.46300000000000002</v>
      </c>
      <c r="S150" s="23">
        <f>SUMIFS($P:$P, $Q:$Q, "&lt;" &amp; $Q150)</f>
        <v>182150773</v>
      </c>
    </row>
    <row r="151" spans="1:19" x14ac:dyDescent="0.25">
      <c r="A151" s="1">
        <v>146</v>
      </c>
      <c r="B151" s="1" t="s">
        <v>2</v>
      </c>
      <c r="C151" s="1" t="str">
        <f>IF($B151 = "Production Item", _xlfn.XLOOKUP($A151, 'Instrument Table'!$J:$J, 'Instrument Table'!$B:$B, $C150), IF($B151 = "Service Item", _xlfn.XLOOKUP($A151, 'Instrument Table'!$I:$I, 'Instrument Table'!$B:$B, $C150), _xlfn.XLOOKUP($A151, 'Instrument Table'!$H:$H, 'Instrument Table'!$B:$B, $C150)))</f>
        <v>Grand Piano</v>
      </c>
      <c r="D151" s="1" t="str">
        <f>VLOOKUP($C151, 'Instrument Table'!$B:$C, 2, FALSE)</f>
        <v>Pianos</v>
      </c>
      <c r="E151" s="1">
        <f t="shared" si="12"/>
        <v>1</v>
      </c>
      <c r="F151" s="1">
        <f>_xlfn.XLOOKUP($C151, 'Instrument Table'!$B:$B, 'Instrument Table'!$A:$A, "")</f>
        <v>10</v>
      </c>
      <c r="G151" s="1" t="str">
        <f>TEXT(IF($B151 = "Retail Item", IF((ROW($A151) - 4504 - _xlfn.XMATCH($C151, $C$4506:$C$5005, 0, 1)) &lt;= VLOOKUP($C151, 'Instrument Table'!$B:$D, 3, FALSE), ROW($A151) - 4504 - _xlfn.XMATCH($C151, $C$4506:$C$5005, 0, 1), 0), 0), "00")</f>
        <v>00</v>
      </c>
      <c r="H151" s="1" t="str">
        <f t="shared" si="13"/>
        <v>145</v>
      </c>
      <c r="I151" s="1" t="str">
        <f t="shared" si="14"/>
        <v>11000-145</v>
      </c>
      <c r="J151" s="1" t="str">
        <f t="shared" si="15"/>
        <v>Grand piano production item #145</v>
      </c>
      <c r="K151" s="1" t="str">
        <f>IF(SUM(COUNTIFS(I:I, I151)) &gt; 1, "DUPLICATE", "UNIQUE")</f>
        <v>UNIQUE</v>
      </c>
      <c r="L151" s="18">
        <v>0</v>
      </c>
      <c r="M151" s="28">
        <v>18</v>
      </c>
      <c r="N151" s="6">
        <v>196</v>
      </c>
      <c r="O151" s="30">
        <f t="shared" si="16"/>
        <v>0</v>
      </c>
      <c r="P151" s="30">
        <f t="shared" si="17"/>
        <v>3528</v>
      </c>
      <c r="Q151" s="1">
        <f>COUNTIFS($P:$P, "&gt;" &amp; $P151) + 1</f>
        <v>2761</v>
      </c>
      <c r="R151" s="63">
        <f>(COUNTIFS($P:$P, "&gt;" &amp; $P151) + 1) / (COUNTA($I:$I) - 1)</f>
        <v>0.55220000000000002</v>
      </c>
      <c r="S151" s="23">
        <f>SUMIFS($P:$P, $Q:$Q, "&lt;" &amp; $Q151)</f>
        <v>184189975</v>
      </c>
    </row>
    <row r="152" spans="1:19" x14ac:dyDescent="0.25">
      <c r="A152" s="1">
        <v>147</v>
      </c>
      <c r="B152" s="1" t="s">
        <v>2</v>
      </c>
      <c r="C152" s="1" t="str">
        <f>IF($B152 = "Production Item", _xlfn.XLOOKUP($A152, 'Instrument Table'!$J:$J, 'Instrument Table'!$B:$B, $C151), IF($B152 = "Service Item", _xlfn.XLOOKUP($A152, 'Instrument Table'!$I:$I, 'Instrument Table'!$B:$B, $C151), _xlfn.XLOOKUP($A152, 'Instrument Table'!$H:$H, 'Instrument Table'!$B:$B, $C151)))</f>
        <v>Grand Piano</v>
      </c>
      <c r="D152" s="1" t="str">
        <f>VLOOKUP($C152, 'Instrument Table'!$B:$C, 2, FALSE)</f>
        <v>Pianos</v>
      </c>
      <c r="E152" s="1">
        <f t="shared" si="12"/>
        <v>1</v>
      </c>
      <c r="F152" s="1">
        <f>_xlfn.XLOOKUP($C152, 'Instrument Table'!$B:$B, 'Instrument Table'!$A:$A, "")</f>
        <v>10</v>
      </c>
      <c r="G152" s="1" t="str">
        <f>TEXT(IF($B152 = "Retail Item", IF((ROW($A152) - 4504 - _xlfn.XMATCH($C152, $C$4506:$C$5005, 0, 1)) &lt;= VLOOKUP($C152, 'Instrument Table'!$B:$D, 3, FALSE), ROW($A152) - 4504 - _xlfn.XMATCH($C152, $C$4506:$C$5005, 0, 1), 0), 0), "00")</f>
        <v>00</v>
      </c>
      <c r="H152" s="1" t="str">
        <f t="shared" si="13"/>
        <v>146</v>
      </c>
      <c r="I152" s="1" t="str">
        <f t="shared" si="14"/>
        <v>11000-146</v>
      </c>
      <c r="J152" s="1" t="str">
        <f t="shared" si="15"/>
        <v>Grand piano production item #146</v>
      </c>
      <c r="K152" s="1" t="str">
        <f>IF(SUM(COUNTIFS(I:I, I152)) &gt; 1, "DUPLICATE", "UNIQUE")</f>
        <v>UNIQUE</v>
      </c>
      <c r="L152" s="18">
        <v>0</v>
      </c>
      <c r="M152" s="28">
        <v>50</v>
      </c>
      <c r="N152" s="6">
        <v>0</v>
      </c>
      <c r="O152" s="30">
        <f t="shared" si="16"/>
        <v>0</v>
      </c>
      <c r="P152" s="30">
        <f t="shared" si="17"/>
        <v>0</v>
      </c>
      <c r="Q152" s="1">
        <f>COUNTIFS($P:$P, "&gt;" &amp; $P152) + 1</f>
        <v>4746</v>
      </c>
      <c r="R152" s="63">
        <f>(COUNTIFS($P:$P, "&gt;" &amp; $P152) + 1) / (COUNTA($I:$I) - 1)</f>
        <v>0.94920000000000004</v>
      </c>
      <c r="S152" s="23">
        <f>SUMIFS($P:$P, $Q:$Q, "&lt;" &amp; $Q152)</f>
        <v>186547861</v>
      </c>
    </row>
    <row r="153" spans="1:19" x14ac:dyDescent="0.25">
      <c r="A153" s="1">
        <v>148</v>
      </c>
      <c r="B153" s="1" t="s">
        <v>2</v>
      </c>
      <c r="C153" s="1" t="str">
        <f>IF($B153 = "Production Item", _xlfn.XLOOKUP($A153, 'Instrument Table'!$J:$J, 'Instrument Table'!$B:$B, $C152), IF($B153 = "Service Item", _xlfn.XLOOKUP($A153, 'Instrument Table'!$I:$I, 'Instrument Table'!$B:$B, $C152), _xlfn.XLOOKUP($A153, 'Instrument Table'!$H:$H, 'Instrument Table'!$B:$B, $C152)))</f>
        <v>Grand Piano</v>
      </c>
      <c r="D153" s="1" t="str">
        <f>VLOOKUP($C153, 'Instrument Table'!$B:$C, 2, FALSE)</f>
        <v>Pianos</v>
      </c>
      <c r="E153" s="1">
        <f t="shared" si="12"/>
        <v>1</v>
      </c>
      <c r="F153" s="1">
        <f>_xlfn.XLOOKUP($C153, 'Instrument Table'!$B:$B, 'Instrument Table'!$A:$A, "")</f>
        <v>10</v>
      </c>
      <c r="G153" s="1" t="str">
        <f>TEXT(IF($B153 = "Retail Item", IF((ROW($A153) - 4504 - _xlfn.XMATCH($C153, $C$4506:$C$5005, 0, 1)) &lt;= VLOOKUP($C153, 'Instrument Table'!$B:$D, 3, FALSE), ROW($A153) - 4504 - _xlfn.XMATCH($C153, $C$4506:$C$5005, 0, 1), 0), 0), "00")</f>
        <v>00</v>
      </c>
      <c r="H153" s="1" t="str">
        <f t="shared" si="13"/>
        <v>147</v>
      </c>
      <c r="I153" s="1" t="str">
        <f t="shared" si="14"/>
        <v>11000-147</v>
      </c>
      <c r="J153" s="1" t="str">
        <f t="shared" si="15"/>
        <v>Grand piano production item #147</v>
      </c>
      <c r="K153" s="1" t="str">
        <f>IF(SUM(COUNTIFS(I:I, I153)) &gt; 1, "DUPLICATE", "UNIQUE")</f>
        <v>UNIQUE</v>
      </c>
      <c r="L153" s="18">
        <v>2</v>
      </c>
      <c r="M153" s="28">
        <v>46</v>
      </c>
      <c r="N153" s="6">
        <v>256</v>
      </c>
      <c r="O153" s="30">
        <f t="shared" si="16"/>
        <v>92</v>
      </c>
      <c r="P153" s="30">
        <f t="shared" si="17"/>
        <v>11776</v>
      </c>
      <c r="Q153" s="1">
        <f>COUNTIFS($P:$P, "&gt;" &amp; $P153) + 1</f>
        <v>1598</v>
      </c>
      <c r="R153" s="63">
        <f>(COUNTIFS($P:$P, "&gt;" &amp; $P153) + 1) / (COUNTA($I:$I) - 1)</f>
        <v>0.3196</v>
      </c>
      <c r="S153" s="23">
        <f>SUMIFS($P:$P, $Q:$Q, "&lt;" &amp; $Q153)</f>
        <v>176055060</v>
      </c>
    </row>
    <row r="154" spans="1:19" x14ac:dyDescent="0.25">
      <c r="A154" s="1">
        <v>149</v>
      </c>
      <c r="B154" s="1" t="s">
        <v>2</v>
      </c>
      <c r="C154" s="1" t="str">
        <f>IF($B154 = "Production Item", _xlfn.XLOOKUP($A154, 'Instrument Table'!$J:$J, 'Instrument Table'!$B:$B, $C153), IF($B154 = "Service Item", _xlfn.XLOOKUP($A154, 'Instrument Table'!$I:$I, 'Instrument Table'!$B:$B, $C153), _xlfn.XLOOKUP($A154, 'Instrument Table'!$H:$H, 'Instrument Table'!$B:$B, $C153)))</f>
        <v>Grand Piano</v>
      </c>
      <c r="D154" s="1" t="str">
        <f>VLOOKUP($C154, 'Instrument Table'!$B:$C, 2, FALSE)</f>
        <v>Pianos</v>
      </c>
      <c r="E154" s="1">
        <f t="shared" si="12"/>
        <v>1</v>
      </c>
      <c r="F154" s="1">
        <f>_xlfn.XLOOKUP($C154, 'Instrument Table'!$B:$B, 'Instrument Table'!$A:$A, "")</f>
        <v>10</v>
      </c>
      <c r="G154" s="1" t="str">
        <f>TEXT(IF($B154 = "Retail Item", IF((ROW($A154) - 4504 - _xlfn.XMATCH($C154, $C$4506:$C$5005, 0, 1)) &lt;= VLOOKUP($C154, 'Instrument Table'!$B:$D, 3, FALSE), ROW($A154) - 4504 - _xlfn.XMATCH($C154, $C$4506:$C$5005, 0, 1), 0), 0), "00")</f>
        <v>00</v>
      </c>
      <c r="H154" s="1" t="str">
        <f t="shared" si="13"/>
        <v>148</v>
      </c>
      <c r="I154" s="1" t="str">
        <f t="shared" si="14"/>
        <v>11000-148</v>
      </c>
      <c r="J154" s="1" t="str">
        <f t="shared" si="15"/>
        <v>Grand piano production item #148</v>
      </c>
      <c r="K154" s="1" t="str">
        <f>IF(SUM(COUNTIFS(I:I, I154)) &gt; 1, "DUPLICATE", "UNIQUE")</f>
        <v>UNIQUE</v>
      </c>
      <c r="L154" s="18">
        <v>1</v>
      </c>
      <c r="M154" s="28">
        <v>25</v>
      </c>
      <c r="N154" s="6">
        <v>100</v>
      </c>
      <c r="O154" s="30">
        <f t="shared" si="16"/>
        <v>25</v>
      </c>
      <c r="P154" s="30">
        <f t="shared" si="17"/>
        <v>2500</v>
      </c>
      <c r="Q154" s="1">
        <f>COUNTIFS($P:$P, "&gt;" &amp; $P154) + 1</f>
        <v>3044</v>
      </c>
      <c r="R154" s="63">
        <f>(COUNTIFS($P:$P, "&gt;" &amp; $P154) + 1) / (COUNTA($I:$I) - 1)</f>
        <v>0.60880000000000001</v>
      </c>
      <c r="S154" s="23">
        <f>SUMIFS($P:$P, $Q:$Q, "&lt;" &amp; $Q154)</f>
        <v>185045549</v>
      </c>
    </row>
    <row r="155" spans="1:19" x14ac:dyDescent="0.25">
      <c r="A155" s="1">
        <v>150</v>
      </c>
      <c r="B155" s="1" t="s">
        <v>2</v>
      </c>
      <c r="C155" s="1" t="str">
        <f>IF($B155 = "Production Item", _xlfn.XLOOKUP($A155, 'Instrument Table'!$J:$J, 'Instrument Table'!$B:$B, $C154), IF($B155 = "Service Item", _xlfn.XLOOKUP($A155, 'Instrument Table'!$I:$I, 'Instrument Table'!$B:$B, $C154), _xlfn.XLOOKUP($A155, 'Instrument Table'!$H:$H, 'Instrument Table'!$B:$B, $C154)))</f>
        <v>Grand Piano</v>
      </c>
      <c r="D155" s="1" t="str">
        <f>VLOOKUP($C155, 'Instrument Table'!$B:$C, 2, FALSE)</f>
        <v>Pianos</v>
      </c>
      <c r="E155" s="1">
        <f t="shared" si="12"/>
        <v>1</v>
      </c>
      <c r="F155" s="1">
        <f>_xlfn.XLOOKUP($C155, 'Instrument Table'!$B:$B, 'Instrument Table'!$A:$A, "")</f>
        <v>10</v>
      </c>
      <c r="G155" s="1" t="str">
        <f>TEXT(IF($B155 = "Retail Item", IF((ROW($A155) - 4504 - _xlfn.XMATCH($C155, $C$4506:$C$5005, 0, 1)) &lt;= VLOOKUP($C155, 'Instrument Table'!$B:$D, 3, FALSE), ROW($A155) - 4504 - _xlfn.XMATCH($C155, $C$4506:$C$5005, 0, 1), 0), 0), "00")</f>
        <v>00</v>
      </c>
      <c r="H155" s="1" t="str">
        <f t="shared" si="13"/>
        <v>149</v>
      </c>
      <c r="I155" s="1" t="str">
        <f t="shared" si="14"/>
        <v>11000-149</v>
      </c>
      <c r="J155" s="1" t="str">
        <f t="shared" si="15"/>
        <v>Grand piano production item #149</v>
      </c>
      <c r="K155" s="1" t="str">
        <f>IF(SUM(COUNTIFS(I:I, I155)) &gt; 1, "DUPLICATE", "UNIQUE")</f>
        <v>UNIQUE</v>
      </c>
      <c r="L155" s="18">
        <v>0</v>
      </c>
      <c r="M155" s="28">
        <v>32</v>
      </c>
      <c r="N155" s="6">
        <v>4</v>
      </c>
      <c r="O155" s="30">
        <f t="shared" si="16"/>
        <v>0</v>
      </c>
      <c r="P155" s="30">
        <f t="shared" si="17"/>
        <v>128</v>
      </c>
      <c r="Q155" s="1">
        <f>COUNTIFS($P:$P, "&gt;" &amp; $P155) + 1</f>
        <v>4418</v>
      </c>
      <c r="R155" s="63">
        <f>(COUNTIFS($P:$P, "&gt;" &amp; $P155) + 1) / (COUNTA($I:$I) - 1)</f>
        <v>0.88360000000000005</v>
      </c>
      <c r="S155" s="23">
        <f>SUMIFS($P:$P, $Q:$Q, "&lt;" &amp; $Q155)</f>
        <v>186528515</v>
      </c>
    </row>
    <row r="156" spans="1:19" x14ac:dyDescent="0.25">
      <c r="A156" s="1">
        <v>151</v>
      </c>
      <c r="B156" s="1" t="s">
        <v>2</v>
      </c>
      <c r="C156" s="1" t="str">
        <f>IF($B156 = "Production Item", _xlfn.XLOOKUP($A156, 'Instrument Table'!$J:$J, 'Instrument Table'!$B:$B, $C155), IF($B156 = "Service Item", _xlfn.XLOOKUP($A156, 'Instrument Table'!$I:$I, 'Instrument Table'!$B:$B, $C155), _xlfn.XLOOKUP($A156, 'Instrument Table'!$H:$H, 'Instrument Table'!$B:$B, $C155)))</f>
        <v>Grand Piano</v>
      </c>
      <c r="D156" s="1" t="str">
        <f>VLOOKUP($C156, 'Instrument Table'!$B:$C, 2, FALSE)</f>
        <v>Pianos</v>
      </c>
      <c r="E156" s="1">
        <f t="shared" si="12"/>
        <v>1</v>
      </c>
      <c r="F156" s="1">
        <f>_xlfn.XLOOKUP($C156, 'Instrument Table'!$B:$B, 'Instrument Table'!$A:$A, "")</f>
        <v>10</v>
      </c>
      <c r="G156" s="1" t="str">
        <f>TEXT(IF($B156 = "Retail Item", IF((ROW($A156) - 4504 - _xlfn.XMATCH($C156, $C$4506:$C$5005, 0, 1)) &lt;= VLOOKUP($C156, 'Instrument Table'!$B:$D, 3, FALSE), ROW($A156) - 4504 - _xlfn.XMATCH($C156, $C$4506:$C$5005, 0, 1), 0), 0), "00")</f>
        <v>00</v>
      </c>
      <c r="H156" s="1" t="str">
        <f t="shared" si="13"/>
        <v>150</v>
      </c>
      <c r="I156" s="1" t="str">
        <f t="shared" si="14"/>
        <v>11000-150</v>
      </c>
      <c r="J156" s="1" t="str">
        <f t="shared" si="15"/>
        <v>Grand piano production item #150</v>
      </c>
      <c r="K156" s="1" t="str">
        <f>IF(SUM(COUNTIFS(I:I, I156)) &gt; 1, "DUPLICATE", "UNIQUE")</f>
        <v>UNIQUE</v>
      </c>
      <c r="L156" s="18">
        <v>2</v>
      </c>
      <c r="M156" s="28">
        <v>25</v>
      </c>
      <c r="N156" s="6">
        <v>289</v>
      </c>
      <c r="O156" s="30">
        <f t="shared" si="16"/>
        <v>50</v>
      </c>
      <c r="P156" s="30">
        <f t="shared" si="17"/>
        <v>7225</v>
      </c>
      <c r="Q156" s="1">
        <f>COUNTIFS($P:$P, "&gt;" &amp; $P156) + 1</f>
        <v>2107</v>
      </c>
      <c r="R156" s="63">
        <f>(COUNTIFS($P:$P, "&gt;" &amp; $P156) + 1) / (COUNTA($I:$I) - 1)</f>
        <v>0.4214</v>
      </c>
      <c r="S156" s="23">
        <f>SUMIFS($P:$P, $Q:$Q, "&lt;" &amp; $Q156)</f>
        <v>180809507</v>
      </c>
    </row>
    <row r="157" spans="1:19" x14ac:dyDescent="0.25">
      <c r="A157" s="1">
        <v>152</v>
      </c>
      <c r="B157" s="1" t="s">
        <v>2</v>
      </c>
      <c r="C157" s="1" t="str">
        <f>IF($B157 = "Production Item", _xlfn.XLOOKUP($A157, 'Instrument Table'!$J:$J, 'Instrument Table'!$B:$B, $C156), IF($B157 = "Service Item", _xlfn.XLOOKUP($A157, 'Instrument Table'!$I:$I, 'Instrument Table'!$B:$B, $C156), _xlfn.XLOOKUP($A157, 'Instrument Table'!$H:$H, 'Instrument Table'!$B:$B, $C156)))</f>
        <v>Grand Piano</v>
      </c>
      <c r="D157" s="1" t="str">
        <f>VLOOKUP($C157, 'Instrument Table'!$B:$C, 2, FALSE)</f>
        <v>Pianos</v>
      </c>
      <c r="E157" s="1">
        <f t="shared" si="12"/>
        <v>1</v>
      </c>
      <c r="F157" s="1">
        <f>_xlfn.XLOOKUP($C157, 'Instrument Table'!$B:$B, 'Instrument Table'!$A:$A, "")</f>
        <v>10</v>
      </c>
      <c r="G157" s="1" t="str">
        <f>TEXT(IF($B157 = "Retail Item", IF((ROW($A157) - 4504 - _xlfn.XMATCH($C157, $C$4506:$C$5005, 0, 1)) &lt;= VLOOKUP($C157, 'Instrument Table'!$B:$D, 3, FALSE), ROW($A157) - 4504 - _xlfn.XMATCH($C157, $C$4506:$C$5005, 0, 1), 0), 0), "00")</f>
        <v>00</v>
      </c>
      <c r="H157" s="1" t="str">
        <f t="shared" si="13"/>
        <v>151</v>
      </c>
      <c r="I157" s="1" t="str">
        <f t="shared" si="14"/>
        <v>11000-151</v>
      </c>
      <c r="J157" s="1" t="str">
        <f t="shared" si="15"/>
        <v>Grand piano production item #151</v>
      </c>
      <c r="K157" s="1" t="str">
        <f>IF(SUM(COUNTIFS(I:I, I157)) &gt; 1, "DUPLICATE", "UNIQUE")</f>
        <v>UNIQUE</v>
      </c>
      <c r="L157" s="18">
        <v>1</v>
      </c>
      <c r="M157" s="28">
        <v>50</v>
      </c>
      <c r="N157" s="6">
        <v>256</v>
      </c>
      <c r="O157" s="30">
        <f t="shared" si="16"/>
        <v>50</v>
      </c>
      <c r="P157" s="30">
        <f t="shared" si="17"/>
        <v>12800</v>
      </c>
      <c r="Q157" s="1">
        <f>COUNTIFS($P:$P, "&gt;" &amp; $P157) + 1</f>
        <v>1518</v>
      </c>
      <c r="R157" s="63">
        <f>(COUNTIFS($P:$P, "&gt;" &amp; $P157) + 1) / (COUNTA($I:$I) - 1)</f>
        <v>0.30359999999999998</v>
      </c>
      <c r="S157" s="23">
        <f>SUMIFS($P:$P, $Q:$Q, "&lt;" &amp; $Q157)</f>
        <v>175071913</v>
      </c>
    </row>
    <row r="158" spans="1:19" x14ac:dyDescent="0.25">
      <c r="A158" s="1">
        <v>153</v>
      </c>
      <c r="B158" s="1" t="s">
        <v>2</v>
      </c>
      <c r="C158" s="1" t="str">
        <f>IF($B158 = "Production Item", _xlfn.XLOOKUP($A158, 'Instrument Table'!$J:$J, 'Instrument Table'!$B:$B, $C157), IF($B158 = "Service Item", _xlfn.XLOOKUP($A158, 'Instrument Table'!$I:$I, 'Instrument Table'!$B:$B, $C157), _xlfn.XLOOKUP($A158, 'Instrument Table'!$H:$H, 'Instrument Table'!$B:$B, $C157)))</f>
        <v>Grand Piano</v>
      </c>
      <c r="D158" s="1" t="str">
        <f>VLOOKUP($C158, 'Instrument Table'!$B:$C, 2, FALSE)</f>
        <v>Pianos</v>
      </c>
      <c r="E158" s="1">
        <f t="shared" si="12"/>
        <v>1</v>
      </c>
      <c r="F158" s="1">
        <f>_xlfn.XLOOKUP($C158, 'Instrument Table'!$B:$B, 'Instrument Table'!$A:$A, "")</f>
        <v>10</v>
      </c>
      <c r="G158" s="1" t="str">
        <f>TEXT(IF($B158 = "Retail Item", IF((ROW($A158) - 4504 - _xlfn.XMATCH($C158, $C$4506:$C$5005, 0, 1)) &lt;= VLOOKUP($C158, 'Instrument Table'!$B:$D, 3, FALSE), ROW($A158) - 4504 - _xlfn.XMATCH($C158, $C$4506:$C$5005, 0, 1), 0), 0), "00")</f>
        <v>00</v>
      </c>
      <c r="H158" s="1" t="str">
        <f t="shared" si="13"/>
        <v>152</v>
      </c>
      <c r="I158" s="1" t="str">
        <f t="shared" si="14"/>
        <v>11000-152</v>
      </c>
      <c r="J158" s="1" t="str">
        <f t="shared" si="15"/>
        <v>Grand piano production item #152</v>
      </c>
      <c r="K158" s="1" t="str">
        <f>IF(SUM(COUNTIFS(I:I, I158)) &gt; 1, "DUPLICATE", "UNIQUE")</f>
        <v>UNIQUE</v>
      </c>
      <c r="L158" s="18">
        <v>4</v>
      </c>
      <c r="M158" s="28">
        <v>24</v>
      </c>
      <c r="N158" s="6">
        <v>64</v>
      </c>
      <c r="O158" s="30">
        <f t="shared" si="16"/>
        <v>96</v>
      </c>
      <c r="P158" s="30">
        <f t="shared" si="17"/>
        <v>1536</v>
      </c>
      <c r="Q158" s="1">
        <f>COUNTIFS($P:$P, "&gt;" &amp; $P158) + 1</f>
        <v>3444</v>
      </c>
      <c r="R158" s="63">
        <f>(COUNTIFS($P:$P, "&gt;" &amp; $P158) + 1) / (COUNTA($I:$I) - 1)</f>
        <v>0.68879999999999997</v>
      </c>
      <c r="S158" s="23">
        <f>SUMIFS($P:$P, $Q:$Q, "&lt;" &amp; $Q158)</f>
        <v>185854606</v>
      </c>
    </row>
    <row r="159" spans="1:19" x14ac:dyDescent="0.25">
      <c r="A159" s="1">
        <v>154</v>
      </c>
      <c r="B159" s="1" t="s">
        <v>2</v>
      </c>
      <c r="C159" s="1" t="str">
        <f>IF($B159 = "Production Item", _xlfn.XLOOKUP($A159, 'Instrument Table'!$J:$J, 'Instrument Table'!$B:$B, $C158), IF($B159 = "Service Item", _xlfn.XLOOKUP($A159, 'Instrument Table'!$I:$I, 'Instrument Table'!$B:$B, $C158), _xlfn.XLOOKUP($A159, 'Instrument Table'!$H:$H, 'Instrument Table'!$B:$B, $C158)))</f>
        <v>Grand Piano</v>
      </c>
      <c r="D159" s="1" t="str">
        <f>VLOOKUP($C159, 'Instrument Table'!$B:$C, 2, FALSE)</f>
        <v>Pianos</v>
      </c>
      <c r="E159" s="1">
        <f t="shared" si="12"/>
        <v>1</v>
      </c>
      <c r="F159" s="1">
        <f>_xlfn.XLOOKUP($C159, 'Instrument Table'!$B:$B, 'Instrument Table'!$A:$A, "")</f>
        <v>10</v>
      </c>
      <c r="G159" s="1" t="str">
        <f>TEXT(IF($B159 = "Retail Item", IF((ROW($A159) - 4504 - _xlfn.XMATCH($C159, $C$4506:$C$5005, 0, 1)) &lt;= VLOOKUP($C159, 'Instrument Table'!$B:$D, 3, FALSE), ROW($A159) - 4504 - _xlfn.XMATCH($C159, $C$4506:$C$5005, 0, 1), 0), 0), "00")</f>
        <v>00</v>
      </c>
      <c r="H159" s="1" t="str">
        <f t="shared" si="13"/>
        <v>153</v>
      </c>
      <c r="I159" s="1" t="str">
        <f t="shared" si="14"/>
        <v>11000-153</v>
      </c>
      <c r="J159" s="1" t="str">
        <f t="shared" si="15"/>
        <v>Grand piano production item #153</v>
      </c>
      <c r="K159" s="1" t="str">
        <f>IF(SUM(COUNTIFS(I:I, I159)) &gt; 1, "DUPLICATE", "UNIQUE")</f>
        <v>UNIQUE</v>
      </c>
      <c r="L159" s="18">
        <v>0</v>
      </c>
      <c r="M159" s="28">
        <v>16</v>
      </c>
      <c r="N159" s="6">
        <v>36</v>
      </c>
      <c r="O159" s="30">
        <f t="shared" si="16"/>
        <v>0</v>
      </c>
      <c r="P159" s="30">
        <f t="shared" si="17"/>
        <v>576</v>
      </c>
      <c r="Q159" s="1">
        <f>COUNTIFS($P:$P, "&gt;" &amp; $P159) + 1</f>
        <v>3957</v>
      </c>
      <c r="R159" s="63">
        <f>(COUNTIFS($P:$P, "&gt;" &amp; $P159) + 1) / (COUNTA($I:$I) - 1)</f>
        <v>0.79139999999999999</v>
      </c>
      <c r="S159" s="23">
        <f>SUMIFS($P:$P, $Q:$Q, "&lt;" &amp; $Q159)</f>
        <v>186374368</v>
      </c>
    </row>
    <row r="160" spans="1:19" x14ac:dyDescent="0.25">
      <c r="A160" s="1">
        <v>155</v>
      </c>
      <c r="B160" s="1" t="s">
        <v>2</v>
      </c>
      <c r="C160" s="1" t="str">
        <f>IF($B160 = "Production Item", _xlfn.XLOOKUP($A160, 'Instrument Table'!$J:$J, 'Instrument Table'!$B:$B, $C159), IF($B160 = "Service Item", _xlfn.XLOOKUP($A160, 'Instrument Table'!$I:$I, 'Instrument Table'!$B:$B, $C159), _xlfn.XLOOKUP($A160, 'Instrument Table'!$H:$H, 'Instrument Table'!$B:$B, $C159)))</f>
        <v>Grand Piano</v>
      </c>
      <c r="D160" s="1" t="str">
        <f>VLOOKUP($C160, 'Instrument Table'!$B:$C, 2, FALSE)</f>
        <v>Pianos</v>
      </c>
      <c r="E160" s="1">
        <f t="shared" si="12"/>
        <v>1</v>
      </c>
      <c r="F160" s="1">
        <f>_xlfn.XLOOKUP($C160, 'Instrument Table'!$B:$B, 'Instrument Table'!$A:$A, "")</f>
        <v>10</v>
      </c>
      <c r="G160" s="1" t="str">
        <f>TEXT(IF($B160 = "Retail Item", IF((ROW($A160) - 4504 - _xlfn.XMATCH($C160, $C$4506:$C$5005, 0, 1)) &lt;= VLOOKUP($C160, 'Instrument Table'!$B:$D, 3, FALSE), ROW($A160) - 4504 - _xlfn.XMATCH($C160, $C$4506:$C$5005, 0, 1), 0), 0), "00")</f>
        <v>00</v>
      </c>
      <c r="H160" s="1" t="str">
        <f t="shared" si="13"/>
        <v>154</v>
      </c>
      <c r="I160" s="1" t="str">
        <f t="shared" si="14"/>
        <v>11000-154</v>
      </c>
      <c r="J160" s="1" t="str">
        <f t="shared" si="15"/>
        <v>Grand piano production item #154</v>
      </c>
      <c r="K160" s="1" t="str">
        <f>IF(SUM(COUNTIFS(I:I, I160)) &gt; 1, "DUPLICATE", "UNIQUE")</f>
        <v>UNIQUE</v>
      </c>
      <c r="L160" s="18">
        <v>0</v>
      </c>
      <c r="M160" s="28">
        <v>33</v>
      </c>
      <c r="N160" s="6">
        <v>64</v>
      </c>
      <c r="O160" s="30">
        <f t="shared" si="16"/>
        <v>0</v>
      </c>
      <c r="P160" s="30">
        <f t="shared" si="17"/>
        <v>2112</v>
      </c>
      <c r="Q160" s="1">
        <f>COUNTIFS($P:$P, "&gt;" &amp; $P160) + 1</f>
        <v>3201</v>
      </c>
      <c r="R160" s="63">
        <f>(COUNTIFS($P:$P, "&gt;" &amp; $P160) + 1) / (COUNTA($I:$I) - 1)</f>
        <v>0.64019999999999999</v>
      </c>
      <c r="S160" s="23">
        <f>SUMIFS($P:$P, $Q:$Q, "&lt;" &amp; $Q160)</f>
        <v>185409799</v>
      </c>
    </row>
    <row r="161" spans="1:19" x14ac:dyDescent="0.25">
      <c r="A161" s="1">
        <v>156</v>
      </c>
      <c r="B161" s="1" t="s">
        <v>2</v>
      </c>
      <c r="C161" s="1" t="str">
        <f>IF($B161 = "Production Item", _xlfn.XLOOKUP($A161, 'Instrument Table'!$J:$J, 'Instrument Table'!$B:$B, $C160), IF($B161 = "Service Item", _xlfn.XLOOKUP($A161, 'Instrument Table'!$I:$I, 'Instrument Table'!$B:$B, $C160), _xlfn.XLOOKUP($A161, 'Instrument Table'!$H:$H, 'Instrument Table'!$B:$B, $C160)))</f>
        <v>Grand Piano</v>
      </c>
      <c r="D161" s="1" t="str">
        <f>VLOOKUP($C161, 'Instrument Table'!$B:$C, 2, FALSE)</f>
        <v>Pianos</v>
      </c>
      <c r="E161" s="1">
        <f t="shared" si="12"/>
        <v>1</v>
      </c>
      <c r="F161" s="1">
        <f>_xlfn.XLOOKUP($C161, 'Instrument Table'!$B:$B, 'Instrument Table'!$A:$A, "")</f>
        <v>10</v>
      </c>
      <c r="G161" s="1" t="str">
        <f>TEXT(IF($B161 = "Retail Item", IF((ROW($A161) - 4504 - _xlfn.XMATCH($C161, $C$4506:$C$5005, 0, 1)) &lt;= VLOOKUP($C161, 'Instrument Table'!$B:$D, 3, FALSE), ROW($A161) - 4504 - _xlfn.XMATCH($C161, $C$4506:$C$5005, 0, 1), 0), 0), "00")</f>
        <v>00</v>
      </c>
      <c r="H161" s="1" t="str">
        <f t="shared" si="13"/>
        <v>155</v>
      </c>
      <c r="I161" s="1" t="str">
        <f t="shared" si="14"/>
        <v>11000-155</v>
      </c>
      <c r="J161" s="1" t="str">
        <f t="shared" si="15"/>
        <v>Grand piano production item #155</v>
      </c>
      <c r="K161" s="1" t="str">
        <f>IF(SUM(COUNTIFS(I:I, I161)) &gt; 1, "DUPLICATE", "UNIQUE")</f>
        <v>UNIQUE</v>
      </c>
      <c r="L161" s="18">
        <v>0</v>
      </c>
      <c r="M161" s="28">
        <v>25</v>
      </c>
      <c r="N161" s="6">
        <v>25</v>
      </c>
      <c r="O161" s="30">
        <f t="shared" si="16"/>
        <v>0</v>
      </c>
      <c r="P161" s="30">
        <f t="shared" si="17"/>
        <v>625</v>
      </c>
      <c r="Q161" s="1">
        <f>COUNTIFS($P:$P, "&gt;" &amp; $P161) + 1</f>
        <v>3927</v>
      </c>
      <c r="R161" s="63">
        <f>(COUNTIFS($P:$P, "&gt;" &amp; $P161) + 1) / (COUNTA($I:$I) - 1)</f>
        <v>0.78539999999999999</v>
      </c>
      <c r="S161" s="23">
        <f>SUMIFS($P:$P, $Q:$Q, "&lt;" &amp; $Q161)</f>
        <v>186356383</v>
      </c>
    </row>
    <row r="162" spans="1:19" x14ac:dyDescent="0.25">
      <c r="A162" s="1">
        <v>157</v>
      </c>
      <c r="B162" s="1" t="s">
        <v>2</v>
      </c>
      <c r="C162" s="1" t="str">
        <f>IF($B162 = "Production Item", _xlfn.XLOOKUP($A162, 'Instrument Table'!$J:$J, 'Instrument Table'!$B:$B, $C161), IF($B162 = "Service Item", _xlfn.XLOOKUP($A162, 'Instrument Table'!$I:$I, 'Instrument Table'!$B:$B, $C161), _xlfn.XLOOKUP($A162, 'Instrument Table'!$H:$H, 'Instrument Table'!$B:$B, $C161)))</f>
        <v>Grand Piano</v>
      </c>
      <c r="D162" s="1" t="str">
        <f>VLOOKUP($C162, 'Instrument Table'!$B:$C, 2, FALSE)</f>
        <v>Pianos</v>
      </c>
      <c r="E162" s="1">
        <f t="shared" si="12"/>
        <v>1</v>
      </c>
      <c r="F162" s="1">
        <f>_xlfn.XLOOKUP($C162, 'Instrument Table'!$B:$B, 'Instrument Table'!$A:$A, "")</f>
        <v>10</v>
      </c>
      <c r="G162" s="1" t="str">
        <f>TEXT(IF($B162 = "Retail Item", IF((ROW($A162) - 4504 - _xlfn.XMATCH($C162, $C$4506:$C$5005, 0, 1)) &lt;= VLOOKUP($C162, 'Instrument Table'!$B:$D, 3, FALSE), ROW($A162) - 4504 - _xlfn.XMATCH($C162, $C$4506:$C$5005, 0, 1), 0), 0), "00")</f>
        <v>00</v>
      </c>
      <c r="H162" s="1" t="str">
        <f t="shared" si="13"/>
        <v>156</v>
      </c>
      <c r="I162" s="1" t="str">
        <f t="shared" si="14"/>
        <v>11000-156</v>
      </c>
      <c r="J162" s="1" t="str">
        <f t="shared" si="15"/>
        <v>Grand piano production item #156</v>
      </c>
      <c r="K162" s="1" t="str">
        <f>IF(SUM(COUNTIFS(I:I, I162)) &gt; 1, "DUPLICATE", "UNIQUE")</f>
        <v>UNIQUE</v>
      </c>
      <c r="L162" s="18">
        <v>0</v>
      </c>
      <c r="M162" s="28">
        <v>60</v>
      </c>
      <c r="N162" s="6">
        <v>256</v>
      </c>
      <c r="O162" s="30">
        <f t="shared" si="16"/>
        <v>0</v>
      </c>
      <c r="P162" s="30">
        <f t="shared" si="17"/>
        <v>15360</v>
      </c>
      <c r="Q162" s="1">
        <f>COUNTIFS($P:$P, "&gt;" &amp; $P162) + 1</f>
        <v>1327</v>
      </c>
      <c r="R162" s="63">
        <f>(COUNTIFS($P:$P, "&gt;" &amp; $P162) + 1) / (COUNTA($I:$I) - 1)</f>
        <v>0.26540000000000002</v>
      </c>
      <c r="S162" s="23">
        <f>SUMIFS($P:$P, $Q:$Q, "&lt;" &amp; $Q162)</f>
        <v>172393808</v>
      </c>
    </row>
    <row r="163" spans="1:19" x14ac:dyDescent="0.25">
      <c r="A163" s="1">
        <v>158</v>
      </c>
      <c r="B163" s="1" t="s">
        <v>2</v>
      </c>
      <c r="C163" s="1" t="str">
        <f>IF($B163 = "Production Item", _xlfn.XLOOKUP($A163, 'Instrument Table'!$J:$J, 'Instrument Table'!$B:$B, $C162), IF($B163 = "Service Item", _xlfn.XLOOKUP($A163, 'Instrument Table'!$I:$I, 'Instrument Table'!$B:$B, $C162), _xlfn.XLOOKUP($A163, 'Instrument Table'!$H:$H, 'Instrument Table'!$B:$B, $C162)))</f>
        <v>Grand Piano</v>
      </c>
      <c r="D163" s="1" t="str">
        <f>VLOOKUP($C163, 'Instrument Table'!$B:$C, 2, FALSE)</f>
        <v>Pianos</v>
      </c>
      <c r="E163" s="1">
        <f t="shared" si="12"/>
        <v>1</v>
      </c>
      <c r="F163" s="1">
        <f>_xlfn.XLOOKUP($C163, 'Instrument Table'!$B:$B, 'Instrument Table'!$A:$A, "")</f>
        <v>10</v>
      </c>
      <c r="G163" s="1" t="str">
        <f>TEXT(IF($B163 = "Retail Item", IF((ROW($A163) - 4504 - _xlfn.XMATCH($C163, $C$4506:$C$5005, 0, 1)) &lt;= VLOOKUP($C163, 'Instrument Table'!$B:$D, 3, FALSE), ROW($A163) - 4504 - _xlfn.XMATCH($C163, $C$4506:$C$5005, 0, 1), 0), 0), "00")</f>
        <v>00</v>
      </c>
      <c r="H163" s="1" t="str">
        <f t="shared" si="13"/>
        <v>157</v>
      </c>
      <c r="I163" s="1" t="str">
        <f t="shared" si="14"/>
        <v>11000-157</v>
      </c>
      <c r="J163" s="1" t="str">
        <f t="shared" si="15"/>
        <v>Grand piano production item #157</v>
      </c>
      <c r="K163" s="1" t="str">
        <f>IF(SUM(COUNTIFS(I:I, I163)) &gt; 1, "DUPLICATE", "UNIQUE")</f>
        <v>UNIQUE</v>
      </c>
      <c r="L163" s="18">
        <v>0</v>
      </c>
      <c r="M163" s="28">
        <v>80</v>
      </c>
      <c r="N163" s="6">
        <v>16</v>
      </c>
      <c r="O163" s="30">
        <f t="shared" si="16"/>
        <v>0</v>
      </c>
      <c r="P163" s="30">
        <f t="shared" si="17"/>
        <v>1280</v>
      </c>
      <c r="Q163" s="1">
        <f>COUNTIFS($P:$P, "&gt;" &amp; $P163) + 1</f>
        <v>3569</v>
      </c>
      <c r="R163" s="63">
        <f>(COUNTIFS($P:$P, "&gt;" &amp; $P163) + 1) / (COUNTA($I:$I) - 1)</f>
        <v>0.71379999999999999</v>
      </c>
      <c r="S163" s="23">
        <f>SUMIFS($P:$P, $Q:$Q, "&lt;" &amp; $Q163)</f>
        <v>186031008</v>
      </c>
    </row>
    <row r="164" spans="1:19" x14ac:dyDescent="0.25">
      <c r="A164" s="1">
        <v>159</v>
      </c>
      <c r="B164" s="1" t="s">
        <v>2</v>
      </c>
      <c r="C164" s="1" t="str">
        <f>IF($B164 = "Production Item", _xlfn.XLOOKUP($A164, 'Instrument Table'!$J:$J, 'Instrument Table'!$B:$B, $C163), IF($B164 = "Service Item", _xlfn.XLOOKUP($A164, 'Instrument Table'!$I:$I, 'Instrument Table'!$B:$B, $C163), _xlfn.XLOOKUP($A164, 'Instrument Table'!$H:$H, 'Instrument Table'!$B:$B, $C163)))</f>
        <v>Grand Piano</v>
      </c>
      <c r="D164" s="1" t="str">
        <f>VLOOKUP($C164, 'Instrument Table'!$B:$C, 2, FALSE)</f>
        <v>Pianos</v>
      </c>
      <c r="E164" s="1">
        <f t="shared" si="12"/>
        <v>1</v>
      </c>
      <c r="F164" s="1">
        <f>_xlfn.XLOOKUP($C164, 'Instrument Table'!$B:$B, 'Instrument Table'!$A:$A, "")</f>
        <v>10</v>
      </c>
      <c r="G164" s="1" t="str">
        <f>TEXT(IF($B164 = "Retail Item", IF((ROW($A164) - 4504 - _xlfn.XMATCH($C164, $C$4506:$C$5005, 0, 1)) &lt;= VLOOKUP($C164, 'Instrument Table'!$B:$D, 3, FALSE), ROW($A164) - 4504 - _xlfn.XMATCH($C164, $C$4506:$C$5005, 0, 1), 0), 0), "00")</f>
        <v>00</v>
      </c>
      <c r="H164" s="1" t="str">
        <f t="shared" si="13"/>
        <v>158</v>
      </c>
      <c r="I164" s="1" t="str">
        <f t="shared" si="14"/>
        <v>11000-158</v>
      </c>
      <c r="J164" s="1" t="str">
        <f t="shared" si="15"/>
        <v>Grand piano production item #158</v>
      </c>
      <c r="K164" s="1" t="str">
        <f>IF(SUM(COUNTIFS(I:I, I164)) &gt; 1, "DUPLICATE", "UNIQUE")</f>
        <v>UNIQUE</v>
      </c>
      <c r="L164" s="18">
        <v>0</v>
      </c>
      <c r="M164" s="28">
        <v>46</v>
      </c>
      <c r="N164" s="6">
        <v>225</v>
      </c>
      <c r="O164" s="30">
        <f t="shared" si="16"/>
        <v>0</v>
      </c>
      <c r="P164" s="30">
        <f t="shared" si="17"/>
        <v>10350</v>
      </c>
      <c r="Q164" s="1">
        <f>COUNTIFS($P:$P, "&gt;" &amp; $P164) + 1</f>
        <v>1745</v>
      </c>
      <c r="R164" s="63">
        <f>(COUNTIFS($P:$P, "&gt;" &amp; $P164) + 1) / (COUNTA($I:$I) - 1)</f>
        <v>0.34899999999999998</v>
      </c>
      <c r="S164" s="23">
        <f>SUMIFS($P:$P, $Q:$Q, "&lt;" &amp; $Q164)</f>
        <v>177690452</v>
      </c>
    </row>
    <row r="165" spans="1:19" x14ac:dyDescent="0.25">
      <c r="A165" s="1">
        <v>160</v>
      </c>
      <c r="B165" s="1" t="s">
        <v>2</v>
      </c>
      <c r="C165" s="1" t="str">
        <f>IF($B165 = "Production Item", _xlfn.XLOOKUP($A165, 'Instrument Table'!$J:$J, 'Instrument Table'!$B:$B, $C164), IF($B165 = "Service Item", _xlfn.XLOOKUP($A165, 'Instrument Table'!$I:$I, 'Instrument Table'!$B:$B, $C164), _xlfn.XLOOKUP($A165, 'Instrument Table'!$H:$H, 'Instrument Table'!$B:$B, $C164)))</f>
        <v>Grand Piano</v>
      </c>
      <c r="D165" s="1" t="str">
        <f>VLOOKUP($C165, 'Instrument Table'!$B:$C, 2, FALSE)</f>
        <v>Pianos</v>
      </c>
      <c r="E165" s="1">
        <f t="shared" si="12"/>
        <v>1</v>
      </c>
      <c r="F165" s="1">
        <f>_xlfn.XLOOKUP($C165, 'Instrument Table'!$B:$B, 'Instrument Table'!$A:$A, "")</f>
        <v>10</v>
      </c>
      <c r="G165" s="1" t="str">
        <f>TEXT(IF($B165 = "Retail Item", IF((ROW($A165) - 4504 - _xlfn.XMATCH($C165, $C$4506:$C$5005, 0, 1)) &lt;= VLOOKUP($C165, 'Instrument Table'!$B:$D, 3, FALSE), ROW($A165) - 4504 - _xlfn.XMATCH($C165, $C$4506:$C$5005, 0, 1), 0), 0), "00")</f>
        <v>00</v>
      </c>
      <c r="H165" s="1" t="str">
        <f t="shared" si="13"/>
        <v>159</v>
      </c>
      <c r="I165" s="1" t="str">
        <f t="shared" si="14"/>
        <v>11000-159</v>
      </c>
      <c r="J165" s="1" t="str">
        <f t="shared" si="15"/>
        <v>Grand piano production item #159</v>
      </c>
      <c r="K165" s="1" t="str">
        <f>IF(SUM(COUNTIFS(I:I, I165)) &gt; 1, "DUPLICATE", "UNIQUE")</f>
        <v>UNIQUE</v>
      </c>
      <c r="L165" s="18">
        <v>0</v>
      </c>
      <c r="M165" s="28">
        <v>96</v>
      </c>
      <c r="N165" s="6">
        <v>324</v>
      </c>
      <c r="O165" s="30">
        <f t="shared" si="16"/>
        <v>0</v>
      </c>
      <c r="P165" s="30">
        <f t="shared" si="17"/>
        <v>31104</v>
      </c>
      <c r="Q165" s="1">
        <f>COUNTIFS($P:$P, "&gt;" &amp; $P165) + 1</f>
        <v>668</v>
      </c>
      <c r="R165" s="63">
        <f>(COUNTIFS($P:$P, "&gt;" &amp; $P165) + 1) / (COUNTA($I:$I) - 1)</f>
        <v>0.1336</v>
      </c>
      <c r="S165" s="23">
        <f>SUMIFS($P:$P, $Q:$Q, "&lt;" &amp; $Q165)</f>
        <v>158114027</v>
      </c>
    </row>
    <row r="166" spans="1:19" x14ac:dyDescent="0.25">
      <c r="A166" s="1">
        <v>161</v>
      </c>
      <c r="B166" s="1" t="s">
        <v>2</v>
      </c>
      <c r="C166" s="1" t="str">
        <f>IF($B166 = "Production Item", _xlfn.XLOOKUP($A166, 'Instrument Table'!$J:$J, 'Instrument Table'!$B:$B, $C165), IF($B166 = "Service Item", _xlfn.XLOOKUP($A166, 'Instrument Table'!$I:$I, 'Instrument Table'!$B:$B, $C165), _xlfn.XLOOKUP($A166, 'Instrument Table'!$H:$H, 'Instrument Table'!$B:$B, $C165)))</f>
        <v>Grand Piano</v>
      </c>
      <c r="D166" s="1" t="str">
        <f>VLOOKUP($C166, 'Instrument Table'!$B:$C, 2, FALSE)</f>
        <v>Pianos</v>
      </c>
      <c r="E166" s="1">
        <f t="shared" si="12"/>
        <v>1</v>
      </c>
      <c r="F166" s="1">
        <f>_xlfn.XLOOKUP($C166, 'Instrument Table'!$B:$B, 'Instrument Table'!$A:$A, "")</f>
        <v>10</v>
      </c>
      <c r="G166" s="1" t="str">
        <f>TEXT(IF($B166 = "Retail Item", IF((ROW($A166) - 4504 - _xlfn.XMATCH($C166, $C$4506:$C$5005, 0, 1)) &lt;= VLOOKUP($C166, 'Instrument Table'!$B:$D, 3, FALSE), ROW($A166) - 4504 - _xlfn.XMATCH($C166, $C$4506:$C$5005, 0, 1), 0), 0), "00")</f>
        <v>00</v>
      </c>
      <c r="H166" s="1" t="str">
        <f t="shared" si="13"/>
        <v>160</v>
      </c>
      <c r="I166" s="1" t="str">
        <f t="shared" si="14"/>
        <v>11000-160</v>
      </c>
      <c r="J166" s="1" t="str">
        <f t="shared" si="15"/>
        <v>Grand piano production item #160</v>
      </c>
      <c r="K166" s="1" t="str">
        <f>IF(SUM(COUNTIFS(I:I, I166)) &gt; 1, "DUPLICATE", "UNIQUE")</f>
        <v>UNIQUE</v>
      </c>
      <c r="L166" s="18">
        <v>0</v>
      </c>
      <c r="M166" s="28">
        <v>66</v>
      </c>
      <c r="N166" s="6">
        <v>64</v>
      </c>
      <c r="O166" s="30">
        <f t="shared" si="16"/>
        <v>0</v>
      </c>
      <c r="P166" s="30">
        <f t="shared" si="17"/>
        <v>4224</v>
      </c>
      <c r="Q166" s="1">
        <f>COUNTIFS($P:$P, "&gt;" &amp; $P166) + 1</f>
        <v>2605</v>
      </c>
      <c r="R166" s="63">
        <f>(COUNTIFS($P:$P, "&gt;" &amp; $P166) + 1) / (COUNTA($I:$I) - 1)</f>
        <v>0.52100000000000002</v>
      </c>
      <c r="S166" s="23">
        <f>SUMIFS($P:$P, $Q:$Q, "&lt;" &amp; $Q166)</f>
        <v>183584543</v>
      </c>
    </row>
    <row r="167" spans="1:19" x14ac:dyDescent="0.25">
      <c r="A167" s="1">
        <v>162</v>
      </c>
      <c r="B167" s="1" t="s">
        <v>2</v>
      </c>
      <c r="C167" s="1" t="str">
        <f>IF($B167 = "Production Item", _xlfn.XLOOKUP($A167, 'Instrument Table'!$J:$J, 'Instrument Table'!$B:$B, $C166), IF($B167 = "Service Item", _xlfn.XLOOKUP($A167, 'Instrument Table'!$I:$I, 'Instrument Table'!$B:$B, $C166), _xlfn.XLOOKUP($A167, 'Instrument Table'!$H:$H, 'Instrument Table'!$B:$B, $C166)))</f>
        <v>Grand Piano</v>
      </c>
      <c r="D167" s="1" t="str">
        <f>VLOOKUP($C167, 'Instrument Table'!$B:$C, 2, FALSE)</f>
        <v>Pianos</v>
      </c>
      <c r="E167" s="1">
        <f t="shared" si="12"/>
        <v>1</v>
      </c>
      <c r="F167" s="1">
        <f>_xlfn.XLOOKUP($C167, 'Instrument Table'!$B:$B, 'Instrument Table'!$A:$A, "")</f>
        <v>10</v>
      </c>
      <c r="G167" s="1" t="str">
        <f>TEXT(IF($B167 = "Retail Item", IF((ROW($A167) - 4504 - _xlfn.XMATCH($C167, $C$4506:$C$5005, 0, 1)) &lt;= VLOOKUP($C167, 'Instrument Table'!$B:$D, 3, FALSE), ROW($A167) - 4504 - _xlfn.XMATCH($C167, $C$4506:$C$5005, 0, 1), 0), 0), "00")</f>
        <v>00</v>
      </c>
      <c r="H167" s="1" t="str">
        <f t="shared" si="13"/>
        <v>161</v>
      </c>
      <c r="I167" s="1" t="str">
        <f t="shared" si="14"/>
        <v>11000-161</v>
      </c>
      <c r="J167" s="1" t="str">
        <f t="shared" si="15"/>
        <v>Grand piano production item #161</v>
      </c>
      <c r="K167" s="1" t="str">
        <f>IF(SUM(COUNTIFS(I:I, I167)) &gt; 1, "DUPLICATE", "UNIQUE")</f>
        <v>UNIQUE</v>
      </c>
      <c r="L167" s="18">
        <v>4</v>
      </c>
      <c r="M167" s="28">
        <v>81</v>
      </c>
      <c r="N167" s="6">
        <v>121</v>
      </c>
      <c r="O167" s="30">
        <f t="shared" si="16"/>
        <v>324</v>
      </c>
      <c r="P167" s="30">
        <f t="shared" si="17"/>
        <v>9801</v>
      </c>
      <c r="Q167" s="1">
        <f>COUNTIFS($P:$P, "&gt;" &amp; $P167) + 1</f>
        <v>1788</v>
      </c>
      <c r="R167" s="63">
        <f>(COUNTIFS($P:$P, "&gt;" &amp; $P167) + 1) / (COUNTA($I:$I) - 1)</f>
        <v>0.35759999999999997</v>
      </c>
      <c r="S167" s="23">
        <f>SUMIFS($P:$P, $Q:$Q, "&lt;" &amp; $Q167)</f>
        <v>178124332</v>
      </c>
    </row>
    <row r="168" spans="1:19" x14ac:dyDescent="0.25">
      <c r="A168" s="1">
        <v>163</v>
      </c>
      <c r="B168" s="1" t="s">
        <v>2</v>
      </c>
      <c r="C168" s="1" t="str">
        <f>IF($B168 = "Production Item", _xlfn.XLOOKUP($A168, 'Instrument Table'!$J:$J, 'Instrument Table'!$B:$B, $C167), IF($B168 = "Service Item", _xlfn.XLOOKUP($A168, 'Instrument Table'!$I:$I, 'Instrument Table'!$B:$B, $C167), _xlfn.XLOOKUP($A168, 'Instrument Table'!$H:$H, 'Instrument Table'!$B:$B, $C167)))</f>
        <v>Grand Piano</v>
      </c>
      <c r="D168" s="1" t="str">
        <f>VLOOKUP($C168, 'Instrument Table'!$B:$C, 2, FALSE)</f>
        <v>Pianos</v>
      </c>
      <c r="E168" s="1">
        <f t="shared" si="12"/>
        <v>1</v>
      </c>
      <c r="F168" s="1">
        <f>_xlfn.XLOOKUP($C168, 'Instrument Table'!$B:$B, 'Instrument Table'!$A:$A, "")</f>
        <v>10</v>
      </c>
      <c r="G168" s="1" t="str">
        <f>TEXT(IF($B168 = "Retail Item", IF((ROW($A168) - 4504 - _xlfn.XMATCH($C168, $C$4506:$C$5005, 0, 1)) &lt;= VLOOKUP($C168, 'Instrument Table'!$B:$D, 3, FALSE), ROW($A168) - 4504 - _xlfn.XMATCH($C168, $C$4506:$C$5005, 0, 1), 0), 0), "00")</f>
        <v>00</v>
      </c>
      <c r="H168" s="1" t="str">
        <f t="shared" si="13"/>
        <v>162</v>
      </c>
      <c r="I168" s="1" t="str">
        <f t="shared" si="14"/>
        <v>11000-162</v>
      </c>
      <c r="J168" s="1" t="str">
        <f t="shared" si="15"/>
        <v>Grand piano production item #162</v>
      </c>
      <c r="K168" s="1" t="str">
        <f>IF(SUM(COUNTIFS(I:I, I168)) &gt; 1, "DUPLICATE", "UNIQUE")</f>
        <v>UNIQUE</v>
      </c>
      <c r="L168" s="18">
        <v>0</v>
      </c>
      <c r="M168" s="28">
        <v>12</v>
      </c>
      <c r="N168" s="6">
        <v>81</v>
      </c>
      <c r="O168" s="30">
        <f t="shared" si="16"/>
        <v>0</v>
      </c>
      <c r="P168" s="30">
        <f t="shared" si="17"/>
        <v>972</v>
      </c>
      <c r="Q168" s="1">
        <f>COUNTIFS($P:$P, "&gt;" &amp; $P168) + 1</f>
        <v>3695</v>
      </c>
      <c r="R168" s="63">
        <f>(COUNTIFS($P:$P, "&gt;" &amp; $P168) + 1) / (COUNTA($I:$I) - 1)</f>
        <v>0.73899999999999999</v>
      </c>
      <c r="S168" s="23">
        <f>SUMIFS($P:$P, $Q:$Q, "&lt;" &amp; $Q168)</f>
        <v>186173978</v>
      </c>
    </row>
    <row r="169" spans="1:19" x14ac:dyDescent="0.25">
      <c r="A169" s="1">
        <v>164</v>
      </c>
      <c r="B169" s="1" t="s">
        <v>2</v>
      </c>
      <c r="C169" s="1" t="str">
        <f>IF($B169 = "Production Item", _xlfn.XLOOKUP($A169, 'Instrument Table'!$J:$J, 'Instrument Table'!$B:$B, $C168), IF($B169 = "Service Item", _xlfn.XLOOKUP($A169, 'Instrument Table'!$I:$I, 'Instrument Table'!$B:$B, $C168), _xlfn.XLOOKUP($A169, 'Instrument Table'!$H:$H, 'Instrument Table'!$B:$B, $C168)))</f>
        <v>Grand Piano</v>
      </c>
      <c r="D169" s="1" t="str">
        <f>VLOOKUP($C169, 'Instrument Table'!$B:$C, 2, FALSE)</f>
        <v>Pianos</v>
      </c>
      <c r="E169" s="1">
        <f t="shared" si="12"/>
        <v>1</v>
      </c>
      <c r="F169" s="1">
        <f>_xlfn.XLOOKUP($C169, 'Instrument Table'!$B:$B, 'Instrument Table'!$A:$A, "")</f>
        <v>10</v>
      </c>
      <c r="G169" s="1" t="str">
        <f>TEXT(IF($B169 = "Retail Item", IF((ROW($A169) - 4504 - _xlfn.XMATCH($C169, $C$4506:$C$5005, 0, 1)) &lt;= VLOOKUP($C169, 'Instrument Table'!$B:$D, 3, FALSE), ROW($A169) - 4504 - _xlfn.XMATCH($C169, $C$4506:$C$5005, 0, 1), 0), 0), "00")</f>
        <v>00</v>
      </c>
      <c r="H169" s="1" t="str">
        <f t="shared" si="13"/>
        <v>163</v>
      </c>
      <c r="I169" s="1" t="str">
        <f t="shared" si="14"/>
        <v>11000-163</v>
      </c>
      <c r="J169" s="1" t="str">
        <f t="shared" si="15"/>
        <v>Grand piano production item #163</v>
      </c>
      <c r="K169" s="1" t="str">
        <f>IF(SUM(COUNTIFS(I:I, I169)) &gt; 1, "DUPLICATE", "UNIQUE")</f>
        <v>UNIQUE</v>
      </c>
      <c r="L169" s="18">
        <v>1</v>
      </c>
      <c r="M169" s="28">
        <v>42</v>
      </c>
      <c r="N169" s="6">
        <v>1</v>
      </c>
      <c r="O169" s="30">
        <f t="shared" si="16"/>
        <v>42</v>
      </c>
      <c r="P169" s="30">
        <f t="shared" si="17"/>
        <v>42</v>
      </c>
      <c r="Q169" s="1">
        <f>COUNTIFS($P:$P, "&gt;" &amp; $P169) + 1</f>
        <v>4637</v>
      </c>
      <c r="R169" s="63">
        <f>(COUNTIFS($P:$P, "&gt;" &amp; $P169) + 1) / (COUNTA($I:$I) - 1)</f>
        <v>0.9274</v>
      </c>
      <c r="S169" s="23">
        <f>SUMIFS($P:$P, $Q:$Q, "&lt;" &amp; $Q169)</f>
        <v>186545513</v>
      </c>
    </row>
    <row r="170" spans="1:19" x14ac:dyDescent="0.25">
      <c r="A170" s="1">
        <v>165</v>
      </c>
      <c r="B170" s="1" t="s">
        <v>2</v>
      </c>
      <c r="C170" s="1" t="str">
        <f>IF($B170 = "Production Item", _xlfn.XLOOKUP($A170, 'Instrument Table'!$J:$J, 'Instrument Table'!$B:$B, $C169), IF($B170 = "Service Item", _xlfn.XLOOKUP($A170, 'Instrument Table'!$I:$I, 'Instrument Table'!$B:$B, $C169), _xlfn.XLOOKUP($A170, 'Instrument Table'!$H:$H, 'Instrument Table'!$B:$B, $C169)))</f>
        <v>Grand Piano</v>
      </c>
      <c r="D170" s="1" t="str">
        <f>VLOOKUP($C170, 'Instrument Table'!$B:$C, 2, FALSE)</f>
        <v>Pianos</v>
      </c>
      <c r="E170" s="1">
        <f t="shared" si="12"/>
        <v>1</v>
      </c>
      <c r="F170" s="1">
        <f>_xlfn.XLOOKUP($C170, 'Instrument Table'!$B:$B, 'Instrument Table'!$A:$A, "")</f>
        <v>10</v>
      </c>
      <c r="G170" s="1" t="str">
        <f>TEXT(IF($B170 = "Retail Item", IF((ROW($A170) - 4504 - _xlfn.XMATCH($C170, $C$4506:$C$5005, 0, 1)) &lt;= VLOOKUP($C170, 'Instrument Table'!$B:$D, 3, FALSE), ROW($A170) - 4504 - _xlfn.XMATCH($C170, $C$4506:$C$5005, 0, 1), 0), 0), "00")</f>
        <v>00</v>
      </c>
      <c r="H170" s="1" t="str">
        <f t="shared" si="13"/>
        <v>164</v>
      </c>
      <c r="I170" s="1" t="str">
        <f t="shared" si="14"/>
        <v>11000-164</v>
      </c>
      <c r="J170" s="1" t="str">
        <f t="shared" si="15"/>
        <v>Grand piano production item #164</v>
      </c>
      <c r="K170" s="1" t="str">
        <f>IF(SUM(COUNTIFS(I:I, I170)) &gt; 1, "DUPLICATE", "UNIQUE")</f>
        <v>UNIQUE</v>
      </c>
      <c r="L170" s="18">
        <v>1</v>
      </c>
      <c r="M170" s="28">
        <v>4</v>
      </c>
      <c r="N170" s="6">
        <v>64</v>
      </c>
      <c r="O170" s="30">
        <f t="shared" si="16"/>
        <v>4</v>
      </c>
      <c r="P170" s="30">
        <f t="shared" si="17"/>
        <v>256</v>
      </c>
      <c r="Q170" s="1">
        <f>COUNTIFS($P:$P, "&gt;" &amp; $P170) + 1</f>
        <v>4259</v>
      </c>
      <c r="R170" s="63">
        <f>(COUNTIFS($P:$P, "&gt;" &amp; $P170) + 1) / (COUNTA($I:$I) - 1)</f>
        <v>0.8518</v>
      </c>
      <c r="S170" s="23">
        <f>SUMIFS($P:$P, $Q:$Q, "&lt;" &amp; $Q170)</f>
        <v>186497451</v>
      </c>
    </row>
    <row r="171" spans="1:19" x14ac:dyDescent="0.25">
      <c r="A171" s="1">
        <v>166</v>
      </c>
      <c r="B171" s="1" t="s">
        <v>2</v>
      </c>
      <c r="C171" s="1" t="str">
        <f>IF($B171 = "Production Item", _xlfn.XLOOKUP($A171, 'Instrument Table'!$J:$J, 'Instrument Table'!$B:$B, $C170), IF($B171 = "Service Item", _xlfn.XLOOKUP($A171, 'Instrument Table'!$I:$I, 'Instrument Table'!$B:$B, $C170), _xlfn.XLOOKUP($A171, 'Instrument Table'!$H:$H, 'Instrument Table'!$B:$B, $C170)))</f>
        <v>Grand Piano</v>
      </c>
      <c r="D171" s="1" t="str">
        <f>VLOOKUP($C171, 'Instrument Table'!$B:$C, 2, FALSE)</f>
        <v>Pianos</v>
      </c>
      <c r="E171" s="1">
        <f t="shared" si="12"/>
        <v>1</v>
      </c>
      <c r="F171" s="1">
        <f>_xlfn.XLOOKUP($C171, 'Instrument Table'!$B:$B, 'Instrument Table'!$A:$A, "")</f>
        <v>10</v>
      </c>
      <c r="G171" s="1" t="str">
        <f>TEXT(IF($B171 = "Retail Item", IF((ROW($A171) - 4504 - _xlfn.XMATCH($C171, $C$4506:$C$5005, 0, 1)) &lt;= VLOOKUP($C171, 'Instrument Table'!$B:$D, 3, FALSE), ROW($A171) - 4504 - _xlfn.XMATCH($C171, $C$4506:$C$5005, 0, 1), 0), 0), "00")</f>
        <v>00</v>
      </c>
      <c r="H171" s="1" t="str">
        <f t="shared" si="13"/>
        <v>165</v>
      </c>
      <c r="I171" s="1" t="str">
        <f t="shared" si="14"/>
        <v>11000-165</v>
      </c>
      <c r="J171" s="1" t="str">
        <f t="shared" si="15"/>
        <v>Grand piano production item #165</v>
      </c>
      <c r="K171" s="1" t="str">
        <f>IF(SUM(COUNTIFS(I:I, I171)) &gt; 1, "DUPLICATE", "UNIQUE")</f>
        <v>UNIQUE</v>
      </c>
      <c r="L171" s="18">
        <v>1</v>
      </c>
      <c r="M171" s="28">
        <v>35</v>
      </c>
      <c r="N171" s="6">
        <v>144</v>
      </c>
      <c r="O171" s="30">
        <f t="shared" si="16"/>
        <v>35</v>
      </c>
      <c r="P171" s="30">
        <f t="shared" si="17"/>
        <v>5040</v>
      </c>
      <c r="Q171" s="1">
        <f>COUNTIFS($P:$P, "&gt;" &amp; $P171) + 1</f>
        <v>2440</v>
      </c>
      <c r="R171" s="63">
        <f>(COUNTIFS($P:$P, "&gt;" &amp; $P171) + 1) / (COUNTA($I:$I) - 1)</f>
        <v>0.48799999999999999</v>
      </c>
      <c r="S171" s="23">
        <f>SUMIFS($P:$P, $Q:$Q, "&lt;" &amp; $Q171)</f>
        <v>182822281</v>
      </c>
    </row>
    <row r="172" spans="1:19" x14ac:dyDescent="0.25">
      <c r="A172" s="1">
        <v>167</v>
      </c>
      <c r="B172" s="1" t="s">
        <v>2</v>
      </c>
      <c r="C172" s="1" t="str">
        <f>IF($B172 = "Production Item", _xlfn.XLOOKUP($A172, 'Instrument Table'!$J:$J, 'Instrument Table'!$B:$B, $C171), IF($B172 = "Service Item", _xlfn.XLOOKUP($A172, 'Instrument Table'!$I:$I, 'Instrument Table'!$B:$B, $C171), _xlfn.XLOOKUP($A172, 'Instrument Table'!$H:$H, 'Instrument Table'!$B:$B, $C171)))</f>
        <v>Grand Piano</v>
      </c>
      <c r="D172" s="1" t="str">
        <f>VLOOKUP($C172, 'Instrument Table'!$B:$C, 2, FALSE)</f>
        <v>Pianos</v>
      </c>
      <c r="E172" s="1">
        <f t="shared" si="12"/>
        <v>1</v>
      </c>
      <c r="F172" s="1">
        <f>_xlfn.XLOOKUP($C172, 'Instrument Table'!$B:$B, 'Instrument Table'!$A:$A, "")</f>
        <v>10</v>
      </c>
      <c r="G172" s="1" t="str">
        <f>TEXT(IF($B172 = "Retail Item", IF((ROW($A172) - 4504 - _xlfn.XMATCH($C172, $C$4506:$C$5005, 0, 1)) &lt;= VLOOKUP($C172, 'Instrument Table'!$B:$D, 3, FALSE), ROW($A172) - 4504 - _xlfn.XMATCH($C172, $C$4506:$C$5005, 0, 1), 0), 0), "00")</f>
        <v>00</v>
      </c>
      <c r="H172" s="1" t="str">
        <f t="shared" si="13"/>
        <v>166</v>
      </c>
      <c r="I172" s="1" t="str">
        <f t="shared" si="14"/>
        <v>11000-166</v>
      </c>
      <c r="J172" s="1" t="str">
        <f t="shared" si="15"/>
        <v>Grand piano production item #166</v>
      </c>
      <c r="K172" s="1" t="str">
        <f>IF(SUM(COUNTIFS(I:I, I172)) &gt; 1, "DUPLICATE", "UNIQUE")</f>
        <v>UNIQUE</v>
      </c>
      <c r="L172" s="18">
        <v>8</v>
      </c>
      <c r="M172" s="28">
        <v>73</v>
      </c>
      <c r="N172" s="6">
        <v>1</v>
      </c>
      <c r="O172" s="30">
        <f t="shared" si="16"/>
        <v>584</v>
      </c>
      <c r="P172" s="30">
        <f t="shared" si="17"/>
        <v>73</v>
      </c>
      <c r="Q172" s="1">
        <f>COUNTIFS($P:$P, "&gt;" &amp; $P172) + 1</f>
        <v>4533</v>
      </c>
      <c r="R172" s="63">
        <f>(COUNTIFS($P:$P, "&gt;" &amp; $P172) + 1) / (COUNTA($I:$I) - 1)</f>
        <v>0.90659999999999996</v>
      </c>
      <c r="S172" s="23">
        <f>SUMIFS($P:$P, $Q:$Q, "&lt;" &amp; $Q172)</f>
        <v>186539465</v>
      </c>
    </row>
    <row r="173" spans="1:19" x14ac:dyDescent="0.25">
      <c r="A173" s="1">
        <v>168</v>
      </c>
      <c r="B173" s="1" t="s">
        <v>2</v>
      </c>
      <c r="C173" s="1" t="str">
        <f>IF($B173 = "Production Item", _xlfn.XLOOKUP($A173, 'Instrument Table'!$J:$J, 'Instrument Table'!$B:$B, $C172), IF($B173 = "Service Item", _xlfn.XLOOKUP($A173, 'Instrument Table'!$I:$I, 'Instrument Table'!$B:$B, $C172), _xlfn.XLOOKUP($A173, 'Instrument Table'!$H:$H, 'Instrument Table'!$B:$B, $C172)))</f>
        <v>Grand Piano</v>
      </c>
      <c r="D173" s="1" t="str">
        <f>VLOOKUP($C173, 'Instrument Table'!$B:$C, 2, FALSE)</f>
        <v>Pianos</v>
      </c>
      <c r="E173" s="1">
        <f t="shared" si="12"/>
        <v>1</v>
      </c>
      <c r="F173" s="1">
        <f>_xlfn.XLOOKUP($C173, 'Instrument Table'!$B:$B, 'Instrument Table'!$A:$A, "")</f>
        <v>10</v>
      </c>
      <c r="G173" s="1" t="str">
        <f>TEXT(IF($B173 = "Retail Item", IF((ROW($A173) - 4504 - _xlfn.XMATCH($C173, $C$4506:$C$5005, 0, 1)) &lt;= VLOOKUP($C173, 'Instrument Table'!$B:$D, 3, FALSE), ROW($A173) - 4504 - _xlfn.XMATCH($C173, $C$4506:$C$5005, 0, 1), 0), 0), "00")</f>
        <v>00</v>
      </c>
      <c r="H173" s="1" t="str">
        <f t="shared" si="13"/>
        <v>167</v>
      </c>
      <c r="I173" s="1" t="str">
        <f t="shared" si="14"/>
        <v>11000-167</v>
      </c>
      <c r="J173" s="1" t="str">
        <f t="shared" si="15"/>
        <v>Grand piano production item #167</v>
      </c>
      <c r="K173" s="1" t="str">
        <f>IF(SUM(COUNTIFS(I:I, I173)) &gt; 1, "DUPLICATE", "UNIQUE")</f>
        <v>UNIQUE</v>
      </c>
      <c r="L173" s="18">
        <v>0</v>
      </c>
      <c r="M173" s="28">
        <v>49</v>
      </c>
      <c r="N173" s="6">
        <v>289</v>
      </c>
      <c r="O173" s="30">
        <f t="shared" si="16"/>
        <v>0</v>
      </c>
      <c r="P173" s="30">
        <f t="shared" si="17"/>
        <v>14161</v>
      </c>
      <c r="Q173" s="1">
        <f>COUNTIFS($P:$P, "&gt;" &amp; $P173) + 1</f>
        <v>1408</v>
      </c>
      <c r="R173" s="63">
        <f>(COUNTIFS($P:$P, "&gt;" &amp; $P173) + 1) / (COUNTA($I:$I) - 1)</f>
        <v>0.28160000000000002</v>
      </c>
      <c r="S173" s="23">
        <f>SUMIFS($P:$P, $Q:$Q, "&lt;" &amp; $Q173)</f>
        <v>173589655</v>
      </c>
    </row>
    <row r="174" spans="1:19" x14ac:dyDescent="0.25">
      <c r="A174" s="1">
        <v>169</v>
      </c>
      <c r="B174" s="1" t="s">
        <v>2</v>
      </c>
      <c r="C174" s="1" t="str">
        <f>IF($B174 = "Production Item", _xlfn.XLOOKUP($A174, 'Instrument Table'!$J:$J, 'Instrument Table'!$B:$B, $C173), IF($B174 = "Service Item", _xlfn.XLOOKUP($A174, 'Instrument Table'!$I:$I, 'Instrument Table'!$B:$B, $C173), _xlfn.XLOOKUP($A174, 'Instrument Table'!$H:$H, 'Instrument Table'!$B:$B, $C173)))</f>
        <v>Grand Piano</v>
      </c>
      <c r="D174" s="1" t="str">
        <f>VLOOKUP($C174, 'Instrument Table'!$B:$C, 2, FALSE)</f>
        <v>Pianos</v>
      </c>
      <c r="E174" s="1">
        <f t="shared" si="12"/>
        <v>1</v>
      </c>
      <c r="F174" s="1">
        <f>_xlfn.XLOOKUP($C174, 'Instrument Table'!$B:$B, 'Instrument Table'!$A:$A, "")</f>
        <v>10</v>
      </c>
      <c r="G174" s="1" t="str">
        <f>TEXT(IF($B174 = "Retail Item", IF((ROW($A174) - 4504 - _xlfn.XMATCH($C174, $C$4506:$C$5005, 0, 1)) &lt;= VLOOKUP($C174, 'Instrument Table'!$B:$D, 3, FALSE), ROW($A174) - 4504 - _xlfn.XMATCH($C174, $C$4506:$C$5005, 0, 1), 0), 0), "00")</f>
        <v>00</v>
      </c>
      <c r="H174" s="1" t="str">
        <f t="shared" si="13"/>
        <v>168</v>
      </c>
      <c r="I174" s="1" t="str">
        <f t="shared" si="14"/>
        <v>11000-168</v>
      </c>
      <c r="J174" s="1" t="str">
        <f t="shared" si="15"/>
        <v>Grand piano production item #168</v>
      </c>
      <c r="K174" s="1" t="str">
        <f>IF(SUM(COUNTIFS(I:I, I174)) &gt; 1, "DUPLICATE", "UNIQUE")</f>
        <v>UNIQUE</v>
      </c>
      <c r="L174" s="18">
        <v>32</v>
      </c>
      <c r="M174" s="28">
        <v>48</v>
      </c>
      <c r="N174" s="6">
        <v>16</v>
      </c>
      <c r="O174" s="30">
        <f t="shared" si="16"/>
        <v>1536</v>
      </c>
      <c r="P174" s="30">
        <f t="shared" si="17"/>
        <v>768</v>
      </c>
      <c r="Q174" s="1">
        <f>COUNTIFS($P:$P, "&gt;" &amp; $P174) + 1</f>
        <v>3810</v>
      </c>
      <c r="R174" s="63">
        <f>(COUNTIFS($P:$P, "&gt;" &amp; $P174) + 1) / (COUNTA($I:$I) - 1)</f>
        <v>0.76200000000000001</v>
      </c>
      <c r="S174" s="23">
        <f>SUMIFS($P:$P, $Q:$Q, "&lt;" &amp; $Q174)</f>
        <v>186273454</v>
      </c>
    </row>
    <row r="175" spans="1:19" x14ac:dyDescent="0.25">
      <c r="A175" s="1">
        <v>170</v>
      </c>
      <c r="B175" s="1" t="s">
        <v>2</v>
      </c>
      <c r="C175" s="1" t="str">
        <f>IF($B175 = "Production Item", _xlfn.XLOOKUP($A175, 'Instrument Table'!$J:$J, 'Instrument Table'!$B:$B, $C174), IF($B175 = "Service Item", _xlfn.XLOOKUP($A175, 'Instrument Table'!$I:$I, 'Instrument Table'!$B:$B, $C174), _xlfn.XLOOKUP($A175, 'Instrument Table'!$H:$H, 'Instrument Table'!$B:$B, $C174)))</f>
        <v>Grand Piano</v>
      </c>
      <c r="D175" s="1" t="str">
        <f>VLOOKUP($C175, 'Instrument Table'!$B:$C, 2, FALSE)</f>
        <v>Pianos</v>
      </c>
      <c r="E175" s="1">
        <f t="shared" si="12"/>
        <v>1</v>
      </c>
      <c r="F175" s="1">
        <f>_xlfn.XLOOKUP($C175, 'Instrument Table'!$B:$B, 'Instrument Table'!$A:$A, "")</f>
        <v>10</v>
      </c>
      <c r="G175" s="1" t="str">
        <f>TEXT(IF($B175 = "Retail Item", IF((ROW($A175) - 4504 - _xlfn.XMATCH($C175, $C$4506:$C$5005, 0, 1)) &lt;= VLOOKUP($C175, 'Instrument Table'!$B:$D, 3, FALSE), ROW($A175) - 4504 - _xlfn.XMATCH($C175, $C$4506:$C$5005, 0, 1), 0), 0), "00")</f>
        <v>00</v>
      </c>
      <c r="H175" s="1" t="str">
        <f t="shared" si="13"/>
        <v>169</v>
      </c>
      <c r="I175" s="1" t="str">
        <f t="shared" si="14"/>
        <v>11000-169</v>
      </c>
      <c r="J175" s="1" t="str">
        <f t="shared" si="15"/>
        <v>Grand piano production item #169</v>
      </c>
      <c r="K175" s="1" t="str">
        <f>IF(SUM(COUNTIFS(I:I, I175)) &gt; 1, "DUPLICATE", "UNIQUE")</f>
        <v>UNIQUE</v>
      </c>
      <c r="L175" s="18">
        <v>1</v>
      </c>
      <c r="M175" s="28">
        <v>96</v>
      </c>
      <c r="N175" s="6">
        <v>0</v>
      </c>
      <c r="O175" s="30">
        <f t="shared" si="16"/>
        <v>96</v>
      </c>
      <c r="P175" s="30">
        <f t="shared" si="17"/>
        <v>0</v>
      </c>
      <c r="Q175" s="1">
        <f>COUNTIFS($P:$P, "&gt;" &amp; $P175) + 1</f>
        <v>4746</v>
      </c>
      <c r="R175" s="63">
        <f>(COUNTIFS($P:$P, "&gt;" &amp; $P175) + 1) / (COUNTA($I:$I) - 1)</f>
        <v>0.94920000000000004</v>
      </c>
      <c r="S175" s="23">
        <f>SUMIFS($P:$P, $Q:$Q, "&lt;" &amp; $Q175)</f>
        <v>186547861</v>
      </c>
    </row>
    <row r="176" spans="1:19" x14ac:dyDescent="0.25">
      <c r="A176" s="1">
        <v>171</v>
      </c>
      <c r="B176" s="1" t="s">
        <v>2</v>
      </c>
      <c r="C176" s="1" t="str">
        <f>IF($B176 = "Production Item", _xlfn.XLOOKUP($A176, 'Instrument Table'!$J:$J, 'Instrument Table'!$B:$B, $C175), IF($B176 = "Service Item", _xlfn.XLOOKUP($A176, 'Instrument Table'!$I:$I, 'Instrument Table'!$B:$B, $C175), _xlfn.XLOOKUP($A176, 'Instrument Table'!$H:$H, 'Instrument Table'!$B:$B, $C175)))</f>
        <v>Grand Piano</v>
      </c>
      <c r="D176" s="1" t="str">
        <f>VLOOKUP($C176, 'Instrument Table'!$B:$C, 2, FALSE)</f>
        <v>Pianos</v>
      </c>
      <c r="E176" s="1">
        <f t="shared" si="12"/>
        <v>1</v>
      </c>
      <c r="F176" s="1">
        <f>_xlfn.XLOOKUP($C176, 'Instrument Table'!$B:$B, 'Instrument Table'!$A:$A, "")</f>
        <v>10</v>
      </c>
      <c r="G176" s="1" t="str">
        <f>TEXT(IF($B176 = "Retail Item", IF((ROW($A176) - 4504 - _xlfn.XMATCH($C176, $C$4506:$C$5005, 0, 1)) &lt;= VLOOKUP($C176, 'Instrument Table'!$B:$D, 3, FALSE), ROW($A176) - 4504 - _xlfn.XMATCH($C176, $C$4506:$C$5005, 0, 1), 0), 0), "00")</f>
        <v>00</v>
      </c>
      <c r="H176" s="1" t="str">
        <f t="shared" si="13"/>
        <v>170</v>
      </c>
      <c r="I176" s="1" t="str">
        <f t="shared" si="14"/>
        <v>11000-170</v>
      </c>
      <c r="J176" s="1" t="str">
        <f t="shared" si="15"/>
        <v>Grand piano production item #170</v>
      </c>
      <c r="K176" s="1" t="str">
        <f>IF(SUM(COUNTIFS(I:I, I176)) &gt; 1, "DUPLICATE", "UNIQUE")</f>
        <v>UNIQUE</v>
      </c>
      <c r="L176" s="18">
        <v>0</v>
      </c>
      <c r="M176" s="28">
        <v>83</v>
      </c>
      <c r="N176" s="6">
        <v>289</v>
      </c>
      <c r="O176" s="30">
        <f t="shared" si="16"/>
        <v>0</v>
      </c>
      <c r="P176" s="30">
        <f t="shared" si="17"/>
        <v>23987</v>
      </c>
      <c r="Q176" s="1">
        <f>COUNTIFS($P:$P, "&gt;" &amp; $P176) + 1</f>
        <v>874</v>
      </c>
      <c r="R176" s="63">
        <f>(COUNTIFS($P:$P, "&gt;" &amp; $P176) + 1) / (COUNTA($I:$I) - 1)</f>
        <v>0.17480000000000001</v>
      </c>
      <c r="S176" s="23">
        <f>SUMIFS($P:$P, $Q:$Q, "&lt;" &amp; $Q176)</f>
        <v>163667085</v>
      </c>
    </row>
    <row r="177" spans="1:19" x14ac:dyDescent="0.25">
      <c r="A177" s="1">
        <v>172</v>
      </c>
      <c r="B177" s="1" t="s">
        <v>2</v>
      </c>
      <c r="C177" s="1" t="str">
        <f>IF($B177 = "Production Item", _xlfn.XLOOKUP($A177, 'Instrument Table'!$J:$J, 'Instrument Table'!$B:$B, $C176), IF($B177 = "Service Item", _xlfn.XLOOKUP($A177, 'Instrument Table'!$I:$I, 'Instrument Table'!$B:$B, $C176), _xlfn.XLOOKUP($A177, 'Instrument Table'!$H:$H, 'Instrument Table'!$B:$B, $C176)))</f>
        <v>Grand Piano</v>
      </c>
      <c r="D177" s="1" t="str">
        <f>VLOOKUP($C177, 'Instrument Table'!$B:$C, 2, FALSE)</f>
        <v>Pianos</v>
      </c>
      <c r="E177" s="1">
        <f t="shared" si="12"/>
        <v>1</v>
      </c>
      <c r="F177" s="1">
        <f>_xlfn.XLOOKUP($C177, 'Instrument Table'!$B:$B, 'Instrument Table'!$A:$A, "")</f>
        <v>10</v>
      </c>
      <c r="G177" s="1" t="str">
        <f>TEXT(IF($B177 = "Retail Item", IF((ROW($A177) - 4504 - _xlfn.XMATCH($C177, $C$4506:$C$5005, 0, 1)) &lt;= VLOOKUP($C177, 'Instrument Table'!$B:$D, 3, FALSE), ROW($A177) - 4504 - _xlfn.XMATCH($C177, $C$4506:$C$5005, 0, 1), 0), 0), "00")</f>
        <v>00</v>
      </c>
      <c r="H177" s="1" t="str">
        <f t="shared" si="13"/>
        <v>171</v>
      </c>
      <c r="I177" s="1" t="str">
        <f t="shared" si="14"/>
        <v>11000-171</v>
      </c>
      <c r="J177" s="1" t="str">
        <f t="shared" si="15"/>
        <v>Grand piano production item #171</v>
      </c>
      <c r="K177" s="1" t="str">
        <f>IF(SUM(COUNTIFS(I:I, I177)) &gt; 1, "DUPLICATE", "UNIQUE")</f>
        <v>UNIQUE</v>
      </c>
      <c r="L177" s="18">
        <v>1</v>
      </c>
      <c r="M177" s="28">
        <v>83</v>
      </c>
      <c r="N177" s="6">
        <v>9</v>
      </c>
      <c r="O177" s="30">
        <f t="shared" si="16"/>
        <v>83</v>
      </c>
      <c r="P177" s="30">
        <f t="shared" si="17"/>
        <v>747</v>
      </c>
      <c r="Q177" s="1">
        <f>COUNTIFS($P:$P, "&gt;" &amp; $P177) + 1</f>
        <v>3832</v>
      </c>
      <c r="R177" s="63">
        <f>(COUNTIFS($P:$P, "&gt;" &amp; $P177) + 1) / (COUNTA($I:$I) - 1)</f>
        <v>0.76639999999999997</v>
      </c>
      <c r="S177" s="23">
        <f>SUMIFS($P:$P, $Q:$Q, "&lt;" &amp; $Q177)</f>
        <v>186290258</v>
      </c>
    </row>
    <row r="178" spans="1:19" x14ac:dyDescent="0.25">
      <c r="A178" s="1">
        <v>173</v>
      </c>
      <c r="B178" s="1" t="s">
        <v>2</v>
      </c>
      <c r="C178" s="1" t="str">
        <f>IF($B178 = "Production Item", _xlfn.XLOOKUP($A178, 'Instrument Table'!$J:$J, 'Instrument Table'!$B:$B, $C177), IF($B178 = "Service Item", _xlfn.XLOOKUP($A178, 'Instrument Table'!$I:$I, 'Instrument Table'!$B:$B, $C177), _xlfn.XLOOKUP($A178, 'Instrument Table'!$H:$H, 'Instrument Table'!$B:$B, $C177)))</f>
        <v>Grand Piano</v>
      </c>
      <c r="D178" s="1" t="str">
        <f>VLOOKUP($C178, 'Instrument Table'!$B:$C, 2, FALSE)</f>
        <v>Pianos</v>
      </c>
      <c r="E178" s="1">
        <f t="shared" si="12"/>
        <v>1</v>
      </c>
      <c r="F178" s="1">
        <f>_xlfn.XLOOKUP($C178, 'Instrument Table'!$B:$B, 'Instrument Table'!$A:$A, "")</f>
        <v>10</v>
      </c>
      <c r="G178" s="1" t="str">
        <f>TEXT(IF($B178 = "Retail Item", IF((ROW($A178) - 4504 - _xlfn.XMATCH($C178, $C$4506:$C$5005, 0, 1)) &lt;= VLOOKUP($C178, 'Instrument Table'!$B:$D, 3, FALSE), ROW($A178) - 4504 - _xlfn.XMATCH($C178, $C$4506:$C$5005, 0, 1), 0), 0), "00")</f>
        <v>00</v>
      </c>
      <c r="H178" s="1" t="str">
        <f t="shared" si="13"/>
        <v>172</v>
      </c>
      <c r="I178" s="1" t="str">
        <f t="shared" si="14"/>
        <v>11000-172</v>
      </c>
      <c r="J178" s="1" t="str">
        <f t="shared" si="15"/>
        <v>Grand piano production item #172</v>
      </c>
      <c r="K178" s="1" t="str">
        <f>IF(SUM(COUNTIFS(I:I, I178)) &gt; 1, "DUPLICATE", "UNIQUE")</f>
        <v>UNIQUE</v>
      </c>
      <c r="L178" s="18">
        <v>1</v>
      </c>
      <c r="M178" s="28">
        <v>17</v>
      </c>
      <c r="N178" s="6">
        <v>64</v>
      </c>
      <c r="O178" s="30">
        <f t="shared" si="16"/>
        <v>17</v>
      </c>
      <c r="P178" s="30">
        <f t="shared" si="17"/>
        <v>1088</v>
      </c>
      <c r="Q178" s="1">
        <f>COUNTIFS($P:$P, "&gt;" &amp; $P178) + 1</f>
        <v>3650</v>
      </c>
      <c r="R178" s="63">
        <f>(COUNTIFS($P:$P, "&gt;" &amp; $P178) + 1) / (COUNTA($I:$I) - 1)</f>
        <v>0.73</v>
      </c>
      <c r="S178" s="23">
        <f>SUMIFS($P:$P, $Q:$Q, "&lt;" &amp; $Q178)</f>
        <v>186127811</v>
      </c>
    </row>
    <row r="179" spans="1:19" x14ac:dyDescent="0.25">
      <c r="A179" s="1">
        <v>174</v>
      </c>
      <c r="B179" s="1" t="s">
        <v>2</v>
      </c>
      <c r="C179" s="1" t="str">
        <f>IF($B179 = "Production Item", _xlfn.XLOOKUP($A179, 'Instrument Table'!$J:$J, 'Instrument Table'!$B:$B, $C178), IF($B179 = "Service Item", _xlfn.XLOOKUP($A179, 'Instrument Table'!$I:$I, 'Instrument Table'!$B:$B, $C178), _xlfn.XLOOKUP($A179, 'Instrument Table'!$H:$H, 'Instrument Table'!$B:$B, $C178)))</f>
        <v>Grand Piano</v>
      </c>
      <c r="D179" s="1" t="str">
        <f>VLOOKUP($C179, 'Instrument Table'!$B:$C, 2, FALSE)</f>
        <v>Pianos</v>
      </c>
      <c r="E179" s="1">
        <f t="shared" si="12"/>
        <v>1</v>
      </c>
      <c r="F179" s="1">
        <f>_xlfn.XLOOKUP($C179, 'Instrument Table'!$B:$B, 'Instrument Table'!$A:$A, "")</f>
        <v>10</v>
      </c>
      <c r="G179" s="1" t="str">
        <f>TEXT(IF($B179 = "Retail Item", IF((ROW($A179) - 4504 - _xlfn.XMATCH($C179, $C$4506:$C$5005, 0, 1)) &lt;= VLOOKUP($C179, 'Instrument Table'!$B:$D, 3, FALSE), ROW($A179) - 4504 - _xlfn.XMATCH($C179, $C$4506:$C$5005, 0, 1), 0), 0), "00")</f>
        <v>00</v>
      </c>
      <c r="H179" s="1" t="str">
        <f t="shared" si="13"/>
        <v>173</v>
      </c>
      <c r="I179" s="1" t="str">
        <f t="shared" si="14"/>
        <v>11000-173</v>
      </c>
      <c r="J179" s="1" t="str">
        <f t="shared" si="15"/>
        <v>Grand piano production item #173</v>
      </c>
      <c r="K179" s="1" t="str">
        <f>IF(SUM(COUNTIFS(I:I, I179)) &gt; 1, "DUPLICATE", "UNIQUE")</f>
        <v>UNIQUE</v>
      </c>
      <c r="L179" s="18">
        <v>4</v>
      </c>
      <c r="M179" s="28">
        <v>35</v>
      </c>
      <c r="N179" s="6">
        <v>400</v>
      </c>
      <c r="O179" s="30">
        <f t="shared" si="16"/>
        <v>140</v>
      </c>
      <c r="P179" s="30">
        <f t="shared" si="17"/>
        <v>14000</v>
      </c>
      <c r="Q179" s="1">
        <f>COUNTIFS($P:$P, "&gt;" &amp; $P179) + 1</f>
        <v>1417</v>
      </c>
      <c r="R179" s="63">
        <f>(COUNTIFS($P:$P, "&gt;" &amp; $P179) + 1) / (COUNTA($I:$I) - 1)</f>
        <v>0.28339999999999999</v>
      </c>
      <c r="S179" s="23">
        <f>SUMIFS($P:$P, $Q:$Q, "&lt;" &amp; $Q179)</f>
        <v>173716659</v>
      </c>
    </row>
    <row r="180" spans="1:19" x14ac:dyDescent="0.25">
      <c r="A180" s="1">
        <v>175</v>
      </c>
      <c r="B180" s="1" t="s">
        <v>2</v>
      </c>
      <c r="C180" s="1" t="str">
        <f>IF($B180 = "Production Item", _xlfn.XLOOKUP($A180, 'Instrument Table'!$J:$J, 'Instrument Table'!$B:$B, $C179), IF($B180 = "Service Item", _xlfn.XLOOKUP($A180, 'Instrument Table'!$I:$I, 'Instrument Table'!$B:$B, $C179), _xlfn.XLOOKUP($A180, 'Instrument Table'!$H:$H, 'Instrument Table'!$B:$B, $C179)))</f>
        <v>Grand Piano</v>
      </c>
      <c r="D180" s="1" t="str">
        <f>VLOOKUP($C180, 'Instrument Table'!$B:$C, 2, FALSE)</f>
        <v>Pianos</v>
      </c>
      <c r="E180" s="1">
        <f t="shared" si="12"/>
        <v>1</v>
      </c>
      <c r="F180" s="1">
        <f>_xlfn.XLOOKUP($C180, 'Instrument Table'!$B:$B, 'Instrument Table'!$A:$A, "")</f>
        <v>10</v>
      </c>
      <c r="G180" s="1" t="str">
        <f>TEXT(IF($B180 = "Retail Item", IF((ROW($A180) - 4504 - _xlfn.XMATCH($C180, $C$4506:$C$5005, 0, 1)) &lt;= VLOOKUP($C180, 'Instrument Table'!$B:$D, 3, FALSE), ROW($A180) - 4504 - _xlfn.XMATCH($C180, $C$4506:$C$5005, 0, 1), 0), 0), "00")</f>
        <v>00</v>
      </c>
      <c r="H180" s="1" t="str">
        <f t="shared" si="13"/>
        <v>174</v>
      </c>
      <c r="I180" s="1" t="str">
        <f t="shared" si="14"/>
        <v>11000-174</v>
      </c>
      <c r="J180" s="1" t="str">
        <f t="shared" si="15"/>
        <v>Grand piano production item #174</v>
      </c>
      <c r="K180" s="1" t="str">
        <f>IF(SUM(COUNTIFS(I:I, I180)) &gt; 1, "DUPLICATE", "UNIQUE")</f>
        <v>UNIQUE</v>
      </c>
      <c r="L180" s="18">
        <v>16</v>
      </c>
      <c r="M180" s="28">
        <v>16</v>
      </c>
      <c r="N180" s="6">
        <v>49</v>
      </c>
      <c r="O180" s="30">
        <f t="shared" si="16"/>
        <v>256</v>
      </c>
      <c r="P180" s="30">
        <f t="shared" si="17"/>
        <v>784</v>
      </c>
      <c r="Q180" s="1">
        <f>COUNTIFS($P:$P, "&gt;" &amp; $P180) + 1</f>
        <v>3800</v>
      </c>
      <c r="R180" s="63">
        <f>(COUNTIFS($P:$P, "&gt;" &amp; $P180) + 1) / (COUNTA($I:$I) - 1)</f>
        <v>0.76</v>
      </c>
      <c r="S180" s="23">
        <f>SUMIFS($P:$P, $Q:$Q, "&lt;" &amp; $Q180)</f>
        <v>186265643</v>
      </c>
    </row>
    <row r="181" spans="1:19" x14ac:dyDescent="0.25">
      <c r="A181" s="1">
        <v>176</v>
      </c>
      <c r="B181" s="1" t="s">
        <v>2</v>
      </c>
      <c r="C181" s="1" t="str">
        <f>IF($B181 = "Production Item", _xlfn.XLOOKUP($A181, 'Instrument Table'!$J:$J, 'Instrument Table'!$B:$B, $C180), IF($B181 = "Service Item", _xlfn.XLOOKUP($A181, 'Instrument Table'!$I:$I, 'Instrument Table'!$B:$B, $C180), _xlfn.XLOOKUP($A181, 'Instrument Table'!$H:$H, 'Instrument Table'!$B:$B, $C180)))</f>
        <v>Grand Piano</v>
      </c>
      <c r="D181" s="1" t="str">
        <f>VLOOKUP($C181, 'Instrument Table'!$B:$C, 2, FALSE)</f>
        <v>Pianos</v>
      </c>
      <c r="E181" s="1">
        <f t="shared" si="12"/>
        <v>1</v>
      </c>
      <c r="F181" s="1">
        <f>_xlfn.XLOOKUP($C181, 'Instrument Table'!$B:$B, 'Instrument Table'!$A:$A, "")</f>
        <v>10</v>
      </c>
      <c r="G181" s="1" t="str">
        <f>TEXT(IF($B181 = "Retail Item", IF((ROW($A181) - 4504 - _xlfn.XMATCH($C181, $C$4506:$C$5005, 0, 1)) &lt;= VLOOKUP($C181, 'Instrument Table'!$B:$D, 3, FALSE), ROW($A181) - 4504 - _xlfn.XMATCH($C181, $C$4506:$C$5005, 0, 1), 0), 0), "00")</f>
        <v>00</v>
      </c>
      <c r="H181" s="1" t="str">
        <f t="shared" si="13"/>
        <v>175</v>
      </c>
      <c r="I181" s="1" t="str">
        <f t="shared" si="14"/>
        <v>11000-175</v>
      </c>
      <c r="J181" s="1" t="str">
        <f t="shared" si="15"/>
        <v>Grand piano production item #175</v>
      </c>
      <c r="K181" s="1" t="str">
        <f>IF(SUM(COUNTIFS(I:I, I181)) &gt; 1, "DUPLICATE", "UNIQUE")</f>
        <v>UNIQUE</v>
      </c>
      <c r="L181" s="18">
        <v>1</v>
      </c>
      <c r="M181" s="28">
        <v>21</v>
      </c>
      <c r="N181" s="6">
        <v>289</v>
      </c>
      <c r="O181" s="30">
        <f t="shared" si="16"/>
        <v>21</v>
      </c>
      <c r="P181" s="30">
        <f t="shared" si="17"/>
        <v>6069</v>
      </c>
      <c r="Q181" s="1">
        <f>COUNTIFS($P:$P, "&gt;" &amp; $P181) + 1</f>
        <v>2255</v>
      </c>
      <c r="R181" s="63">
        <f>(COUNTIFS($P:$P, "&gt;" &amp; $P181) + 1) / (COUNTA($I:$I) - 1)</f>
        <v>0.45100000000000001</v>
      </c>
      <c r="S181" s="23">
        <f>SUMIFS($P:$P, $Q:$Q, "&lt;" &amp; $Q181)</f>
        <v>181797491</v>
      </c>
    </row>
    <row r="182" spans="1:19" x14ac:dyDescent="0.25">
      <c r="A182" s="1">
        <v>177</v>
      </c>
      <c r="B182" s="1" t="s">
        <v>2</v>
      </c>
      <c r="C182" s="1" t="str">
        <f>IF($B182 = "Production Item", _xlfn.XLOOKUP($A182, 'Instrument Table'!$J:$J, 'Instrument Table'!$B:$B, $C181), IF($B182 = "Service Item", _xlfn.XLOOKUP($A182, 'Instrument Table'!$I:$I, 'Instrument Table'!$B:$B, $C181), _xlfn.XLOOKUP($A182, 'Instrument Table'!$H:$H, 'Instrument Table'!$B:$B, $C181)))</f>
        <v>Grand Piano</v>
      </c>
      <c r="D182" s="1" t="str">
        <f>VLOOKUP($C182, 'Instrument Table'!$B:$C, 2, FALSE)</f>
        <v>Pianos</v>
      </c>
      <c r="E182" s="1">
        <f t="shared" si="12"/>
        <v>1</v>
      </c>
      <c r="F182" s="1">
        <f>_xlfn.XLOOKUP($C182, 'Instrument Table'!$B:$B, 'Instrument Table'!$A:$A, "")</f>
        <v>10</v>
      </c>
      <c r="G182" s="1" t="str">
        <f>TEXT(IF($B182 = "Retail Item", IF((ROW($A182) - 4504 - _xlfn.XMATCH($C182, $C$4506:$C$5005, 0, 1)) &lt;= VLOOKUP($C182, 'Instrument Table'!$B:$D, 3, FALSE), ROW($A182) - 4504 - _xlfn.XMATCH($C182, $C$4506:$C$5005, 0, 1), 0), 0), "00")</f>
        <v>00</v>
      </c>
      <c r="H182" s="1" t="str">
        <f t="shared" si="13"/>
        <v>176</v>
      </c>
      <c r="I182" s="1" t="str">
        <f t="shared" si="14"/>
        <v>11000-176</v>
      </c>
      <c r="J182" s="1" t="str">
        <f t="shared" si="15"/>
        <v>Grand piano production item #176</v>
      </c>
      <c r="K182" s="1" t="str">
        <f>IF(SUM(COUNTIFS(I:I, I182)) &gt; 1, "DUPLICATE", "UNIQUE")</f>
        <v>UNIQUE</v>
      </c>
      <c r="L182" s="18">
        <v>32</v>
      </c>
      <c r="M182" s="28">
        <v>81</v>
      </c>
      <c r="N182" s="6">
        <v>4</v>
      </c>
      <c r="O182" s="30">
        <f t="shared" si="16"/>
        <v>2592</v>
      </c>
      <c r="P182" s="30">
        <f t="shared" si="17"/>
        <v>324</v>
      </c>
      <c r="Q182" s="1">
        <f>COUNTIFS($P:$P, "&gt;" &amp; $P182) + 1</f>
        <v>4180</v>
      </c>
      <c r="R182" s="63">
        <f>(COUNTIFS($P:$P, "&gt;" &amp; $P182) + 1) / (COUNTA($I:$I) - 1)</f>
        <v>0.83599999999999997</v>
      </c>
      <c r="S182" s="23">
        <f>SUMIFS($P:$P, $Q:$Q, "&lt;" &amp; $Q182)</f>
        <v>186473950</v>
      </c>
    </row>
    <row r="183" spans="1:19" x14ac:dyDescent="0.25">
      <c r="A183" s="1">
        <v>178</v>
      </c>
      <c r="B183" s="1" t="s">
        <v>2</v>
      </c>
      <c r="C183" s="1" t="str">
        <f>IF($B183 = "Production Item", _xlfn.XLOOKUP($A183, 'Instrument Table'!$J:$J, 'Instrument Table'!$B:$B, $C182), IF($B183 = "Service Item", _xlfn.XLOOKUP($A183, 'Instrument Table'!$I:$I, 'Instrument Table'!$B:$B, $C182), _xlfn.XLOOKUP($A183, 'Instrument Table'!$H:$H, 'Instrument Table'!$B:$B, $C182)))</f>
        <v>Grand Piano</v>
      </c>
      <c r="D183" s="1" t="str">
        <f>VLOOKUP($C183, 'Instrument Table'!$B:$C, 2, FALSE)</f>
        <v>Pianos</v>
      </c>
      <c r="E183" s="1">
        <f t="shared" si="12"/>
        <v>1</v>
      </c>
      <c r="F183" s="1">
        <f>_xlfn.XLOOKUP($C183, 'Instrument Table'!$B:$B, 'Instrument Table'!$A:$A, "")</f>
        <v>10</v>
      </c>
      <c r="G183" s="1" t="str">
        <f>TEXT(IF($B183 = "Retail Item", IF((ROW($A183) - 4504 - _xlfn.XMATCH($C183, $C$4506:$C$5005, 0, 1)) &lt;= VLOOKUP($C183, 'Instrument Table'!$B:$D, 3, FALSE), ROW($A183) - 4504 - _xlfn.XMATCH($C183, $C$4506:$C$5005, 0, 1), 0), 0), "00")</f>
        <v>00</v>
      </c>
      <c r="H183" s="1" t="str">
        <f t="shared" si="13"/>
        <v>177</v>
      </c>
      <c r="I183" s="1" t="str">
        <f t="shared" si="14"/>
        <v>11000-177</v>
      </c>
      <c r="J183" s="1" t="str">
        <f t="shared" si="15"/>
        <v>Grand piano production item #177</v>
      </c>
      <c r="K183" s="1" t="str">
        <f>IF(SUM(COUNTIFS(I:I, I183)) &gt; 1, "DUPLICATE", "UNIQUE")</f>
        <v>UNIQUE</v>
      </c>
      <c r="L183" s="18">
        <v>1</v>
      </c>
      <c r="M183" s="28">
        <v>97</v>
      </c>
      <c r="N183" s="6">
        <v>25</v>
      </c>
      <c r="O183" s="30">
        <f t="shared" si="16"/>
        <v>97</v>
      </c>
      <c r="P183" s="30">
        <f t="shared" si="17"/>
        <v>2425</v>
      </c>
      <c r="Q183" s="1">
        <f>COUNTIFS($P:$P, "&gt;" &amp; $P183) + 1</f>
        <v>3076</v>
      </c>
      <c r="R183" s="63">
        <f>(COUNTIFS($P:$P, "&gt;" &amp; $P183) + 1) / (COUNTA($I:$I) - 1)</f>
        <v>0.61519999999999997</v>
      </c>
      <c r="S183" s="23">
        <f>SUMIFS($P:$P, $Q:$Q, "&lt;" &amp; $Q183)</f>
        <v>185124825</v>
      </c>
    </row>
    <row r="184" spans="1:19" x14ac:dyDescent="0.25">
      <c r="A184" s="1">
        <v>179</v>
      </c>
      <c r="B184" s="1" t="s">
        <v>2</v>
      </c>
      <c r="C184" s="1" t="str">
        <f>IF($B184 = "Production Item", _xlfn.XLOOKUP($A184, 'Instrument Table'!$J:$J, 'Instrument Table'!$B:$B, $C183), IF($B184 = "Service Item", _xlfn.XLOOKUP($A184, 'Instrument Table'!$I:$I, 'Instrument Table'!$B:$B, $C183), _xlfn.XLOOKUP($A184, 'Instrument Table'!$H:$H, 'Instrument Table'!$B:$B, $C183)))</f>
        <v>Grand Piano</v>
      </c>
      <c r="D184" s="1" t="str">
        <f>VLOOKUP($C184, 'Instrument Table'!$B:$C, 2, FALSE)</f>
        <v>Pianos</v>
      </c>
      <c r="E184" s="1">
        <f t="shared" si="12"/>
        <v>1</v>
      </c>
      <c r="F184" s="1">
        <f>_xlfn.XLOOKUP($C184, 'Instrument Table'!$B:$B, 'Instrument Table'!$A:$A, "")</f>
        <v>10</v>
      </c>
      <c r="G184" s="1" t="str">
        <f>TEXT(IF($B184 = "Retail Item", IF((ROW($A184) - 4504 - _xlfn.XMATCH($C184, $C$4506:$C$5005, 0, 1)) &lt;= VLOOKUP($C184, 'Instrument Table'!$B:$D, 3, FALSE), ROW($A184) - 4504 - _xlfn.XMATCH($C184, $C$4506:$C$5005, 0, 1), 0), 0), "00")</f>
        <v>00</v>
      </c>
      <c r="H184" s="1" t="str">
        <f t="shared" si="13"/>
        <v>178</v>
      </c>
      <c r="I184" s="1" t="str">
        <f t="shared" si="14"/>
        <v>11000-178</v>
      </c>
      <c r="J184" s="1" t="str">
        <f t="shared" si="15"/>
        <v>Grand piano production item #178</v>
      </c>
      <c r="K184" s="1" t="str">
        <f>IF(SUM(COUNTIFS(I:I, I184)) &gt; 1, "DUPLICATE", "UNIQUE")</f>
        <v>UNIQUE</v>
      </c>
      <c r="L184" s="18">
        <v>1</v>
      </c>
      <c r="M184" s="28">
        <v>70</v>
      </c>
      <c r="N184" s="6">
        <v>289</v>
      </c>
      <c r="O184" s="30">
        <f t="shared" si="16"/>
        <v>70</v>
      </c>
      <c r="P184" s="30">
        <f t="shared" si="17"/>
        <v>20230</v>
      </c>
      <c r="Q184" s="1">
        <f>COUNTIFS($P:$P, "&gt;" &amp; $P184) + 1</f>
        <v>1043</v>
      </c>
      <c r="R184" s="63">
        <f>(COUNTIFS($P:$P, "&gt;" &amp; $P184) + 1) / (COUNTA($I:$I) - 1)</f>
        <v>0.20860000000000001</v>
      </c>
      <c r="S184" s="23">
        <f>SUMIFS($P:$P, $Q:$Q, "&lt;" &amp; $Q184)</f>
        <v>167380806</v>
      </c>
    </row>
    <row r="185" spans="1:19" x14ac:dyDescent="0.25">
      <c r="A185" s="1">
        <v>180</v>
      </c>
      <c r="B185" s="1" t="s">
        <v>2</v>
      </c>
      <c r="C185" s="1" t="str">
        <f>IF($B185 = "Production Item", _xlfn.XLOOKUP($A185, 'Instrument Table'!$J:$J, 'Instrument Table'!$B:$B, $C184), IF($B185 = "Service Item", _xlfn.XLOOKUP($A185, 'Instrument Table'!$I:$I, 'Instrument Table'!$B:$B, $C184), _xlfn.XLOOKUP($A185, 'Instrument Table'!$H:$H, 'Instrument Table'!$B:$B, $C184)))</f>
        <v>Grand Piano</v>
      </c>
      <c r="D185" s="1" t="str">
        <f>VLOOKUP($C185, 'Instrument Table'!$B:$C, 2, FALSE)</f>
        <v>Pianos</v>
      </c>
      <c r="E185" s="1">
        <f t="shared" si="12"/>
        <v>1</v>
      </c>
      <c r="F185" s="1">
        <f>_xlfn.XLOOKUP($C185, 'Instrument Table'!$B:$B, 'Instrument Table'!$A:$A, "")</f>
        <v>10</v>
      </c>
      <c r="G185" s="1" t="str">
        <f>TEXT(IF($B185 = "Retail Item", IF((ROW($A185) - 4504 - _xlfn.XMATCH($C185, $C$4506:$C$5005, 0, 1)) &lt;= VLOOKUP($C185, 'Instrument Table'!$B:$D, 3, FALSE), ROW($A185) - 4504 - _xlfn.XMATCH($C185, $C$4506:$C$5005, 0, 1), 0), 0), "00")</f>
        <v>00</v>
      </c>
      <c r="H185" s="1" t="str">
        <f t="shared" si="13"/>
        <v>179</v>
      </c>
      <c r="I185" s="1" t="str">
        <f t="shared" si="14"/>
        <v>11000-179</v>
      </c>
      <c r="J185" s="1" t="str">
        <f t="shared" si="15"/>
        <v>Grand piano production item #179</v>
      </c>
      <c r="K185" s="1" t="str">
        <f>IF(SUM(COUNTIFS(I:I, I185)) &gt; 1, "DUPLICATE", "UNIQUE")</f>
        <v>UNIQUE</v>
      </c>
      <c r="L185" s="18">
        <v>0</v>
      </c>
      <c r="M185" s="28">
        <v>1</v>
      </c>
      <c r="N185" s="6">
        <v>0</v>
      </c>
      <c r="O185" s="30">
        <f t="shared" si="16"/>
        <v>0</v>
      </c>
      <c r="P185" s="30">
        <f t="shared" si="17"/>
        <v>0</v>
      </c>
      <c r="Q185" s="1">
        <f>COUNTIFS($P:$P, "&gt;" &amp; $P185) + 1</f>
        <v>4746</v>
      </c>
      <c r="R185" s="63">
        <f>(COUNTIFS($P:$P, "&gt;" &amp; $P185) + 1) / (COUNTA($I:$I) - 1)</f>
        <v>0.94920000000000004</v>
      </c>
      <c r="S185" s="23">
        <f>SUMIFS($P:$P, $Q:$Q, "&lt;" &amp; $Q185)</f>
        <v>186547861</v>
      </c>
    </row>
    <row r="186" spans="1:19" x14ac:dyDescent="0.25">
      <c r="A186" s="1">
        <v>181</v>
      </c>
      <c r="B186" s="1" t="s">
        <v>2</v>
      </c>
      <c r="C186" s="1" t="str">
        <f>IF($B186 = "Production Item", _xlfn.XLOOKUP($A186, 'Instrument Table'!$J:$J, 'Instrument Table'!$B:$B, $C185), IF($B186 = "Service Item", _xlfn.XLOOKUP($A186, 'Instrument Table'!$I:$I, 'Instrument Table'!$B:$B, $C185), _xlfn.XLOOKUP($A186, 'Instrument Table'!$H:$H, 'Instrument Table'!$B:$B, $C185)))</f>
        <v>Grand Piano</v>
      </c>
      <c r="D186" s="1" t="str">
        <f>VLOOKUP($C186, 'Instrument Table'!$B:$C, 2, FALSE)</f>
        <v>Pianos</v>
      </c>
      <c r="E186" s="1">
        <f t="shared" si="12"/>
        <v>1</v>
      </c>
      <c r="F186" s="1">
        <f>_xlfn.XLOOKUP($C186, 'Instrument Table'!$B:$B, 'Instrument Table'!$A:$A, "")</f>
        <v>10</v>
      </c>
      <c r="G186" s="1" t="str">
        <f>TEXT(IF($B186 = "Retail Item", IF((ROW($A186) - 4504 - _xlfn.XMATCH($C186, $C$4506:$C$5005, 0, 1)) &lt;= VLOOKUP($C186, 'Instrument Table'!$B:$D, 3, FALSE), ROW($A186) - 4504 - _xlfn.XMATCH($C186, $C$4506:$C$5005, 0, 1), 0), 0), "00")</f>
        <v>00</v>
      </c>
      <c r="H186" s="1" t="str">
        <f t="shared" si="13"/>
        <v>180</v>
      </c>
      <c r="I186" s="1" t="str">
        <f t="shared" si="14"/>
        <v>11000-180</v>
      </c>
      <c r="J186" s="1" t="str">
        <f t="shared" si="15"/>
        <v>Grand piano production item #180</v>
      </c>
      <c r="K186" s="1" t="str">
        <f>IF(SUM(COUNTIFS(I:I, I186)) &gt; 1, "DUPLICATE", "UNIQUE")</f>
        <v>UNIQUE</v>
      </c>
      <c r="L186" s="18">
        <v>1</v>
      </c>
      <c r="M186" s="28">
        <v>99</v>
      </c>
      <c r="N186" s="6">
        <v>361</v>
      </c>
      <c r="O186" s="30">
        <f t="shared" si="16"/>
        <v>99</v>
      </c>
      <c r="P186" s="30">
        <f t="shared" si="17"/>
        <v>35739</v>
      </c>
      <c r="Q186" s="1">
        <f>COUNTIFS($P:$P, "&gt;" &amp; $P186) + 1</f>
        <v>595</v>
      </c>
      <c r="R186" s="63">
        <f>(COUNTIFS($P:$P, "&gt;" &amp; $P186) + 1) / (COUNTA($I:$I) - 1)</f>
        <v>0.11899999999999999</v>
      </c>
      <c r="S186" s="23">
        <f>SUMIFS($P:$P, $Q:$Q, "&lt;" &amp; $Q186)</f>
        <v>155692607</v>
      </c>
    </row>
    <row r="187" spans="1:19" x14ac:dyDescent="0.25">
      <c r="A187" s="1">
        <v>182</v>
      </c>
      <c r="B187" s="1" t="s">
        <v>2</v>
      </c>
      <c r="C187" s="1" t="str">
        <f>IF($B187 = "Production Item", _xlfn.XLOOKUP($A187, 'Instrument Table'!$J:$J, 'Instrument Table'!$B:$B, $C186), IF($B187 = "Service Item", _xlfn.XLOOKUP($A187, 'Instrument Table'!$I:$I, 'Instrument Table'!$B:$B, $C186), _xlfn.XLOOKUP($A187, 'Instrument Table'!$H:$H, 'Instrument Table'!$B:$B, $C186)))</f>
        <v>Grand Piano</v>
      </c>
      <c r="D187" s="1" t="str">
        <f>VLOOKUP($C187, 'Instrument Table'!$B:$C, 2, FALSE)</f>
        <v>Pianos</v>
      </c>
      <c r="E187" s="1">
        <f t="shared" si="12"/>
        <v>1</v>
      </c>
      <c r="F187" s="1">
        <f>_xlfn.XLOOKUP($C187, 'Instrument Table'!$B:$B, 'Instrument Table'!$A:$A, "")</f>
        <v>10</v>
      </c>
      <c r="G187" s="1" t="str">
        <f>TEXT(IF($B187 = "Retail Item", IF((ROW($A187) - 4504 - _xlfn.XMATCH($C187, $C$4506:$C$5005, 0, 1)) &lt;= VLOOKUP($C187, 'Instrument Table'!$B:$D, 3, FALSE), ROW($A187) - 4504 - _xlfn.XMATCH($C187, $C$4506:$C$5005, 0, 1), 0), 0), "00")</f>
        <v>00</v>
      </c>
      <c r="H187" s="1" t="str">
        <f t="shared" si="13"/>
        <v>181</v>
      </c>
      <c r="I187" s="1" t="str">
        <f t="shared" si="14"/>
        <v>11000-181</v>
      </c>
      <c r="J187" s="1" t="str">
        <f t="shared" si="15"/>
        <v>Grand piano production item #181</v>
      </c>
      <c r="K187" s="1" t="str">
        <f>IF(SUM(COUNTIFS(I:I, I187)) &gt; 1, "DUPLICATE", "UNIQUE")</f>
        <v>UNIQUE</v>
      </c>
      <c r="L187" s="18">
        <v>0</v>
      </c>
      <c r="M187" s="28">
        <v>80</v>
      </c>
      <c r="N187" s="6">
        <v>1</v>
      </c>
      <c r="O187" s="30">
        <f t="shared" si="16"/>
        <v>0</v>
      </c>
      <c r="P187" s="30">
        <f t="shared" si="17"/>
        <v>80</v>
      </c>
      <c r="Q187" s="1">
        <f>COUNTIFS($P:$P, "&gt;" &amp; $P187) + 1</f>
        <v>4514</v>
      </c>
      <c r="R187" s="63">
        <f>(COUNTIFS($P:$P, "&gt;" &amp; $P187) + 1) / (COUNTA($I:$I) - 1)</f>
        <v>0.90280000000000005</v>
      </c>
      <c r="S187" s="23">
        <f>SUMIFS($P:$P, $Q:$Q, "&lt;" &amp; $Q187)</f>
        <v>186538002</v>
      </c>
    </row>
    <row r="188" spans="1:19" x14ac:dyDescent="0.25">
      <c r="A188" s="1">
        <v>183</v>
      </c>
      <c r="B188" s="1" t="s">
        <v>2</v>
      </c>
      <c r="C188" s="1" t="str">
        <f>IF($B188 = "Production Item", _xlfn.XLOOKUP($A188, 'Instrument Table'!$J:$J, 'Instrument Table'!$B:$B, $C187), IF($B188 = "Service Item", _xlfn.XLOOKUP($A188, 'Instrument Table'!$I:$I, 'Instrument Table'!$B:$B, $C187), _xlfn.XLOOKUP($A188, 'Instrument Table'!$H:$H, 'Instrument Table'!$B:$B, $C187)))</f>
        <v>Grand Piano</v>
      </c>
      <c r="D188" s="1" t="str">
        <f>VLOOKUP($C188, 'Instrument Table'!$B:$C, 2, FALSE)</f>
        <v>Pianos</v>
      </c>
      <c r="E188" s="1">
        <f t="shared" si="12"/>
        <v>1</v>
      </c>
      <c r="F188" s="1">
        <f>_xlfn.XLOOKUP($C188, 'Instrument Table'!$B:$B, 'Instrument Table'!$A:$A, "")</f>
        <v>10</v>
      </c>
      <c r="G188" s="1" t="str">
        <f>TEXT(IF($B188 = "Retail Item", IF((ROW($A188) - 4504 - _xlfn.XMATCH($C188, $C$4506:$C$5005, 0, 1)) &lt;= VLOOKUP($C188, 'Instrument Table'!$B:$D, 3, FALSE), ROW($A188) - 4504 - _xlfn.XMATCH($C188, $C$4506:$C$5005, 0, 1), 0), 0), "00")</f>
        <v>00</v>
      </c>
      <c r="H188" s="1" t="str">
        <f t="shared" si="13"/>
        <v>182</v>
      </c>
      <c r="I188" s="1" t="str">
        <f t="shared" si="14"/>
        <v>11000-182</v>
      </c>
      <c r="J188" s="1" t="str">
        <f t="shared" si="15"/>
        <v>Grand piano production item #182</v>
      </c>
      <c r="K188" s="1" t="str">
        <f>IF(SUM(COUNTIFS(I:I, I188)) &gt; 1, "DUPLICATE", "UNIQUE")</f>
        <v>UNIQUE</v>
      </c>
      <c r="L188" s="18">
        <v>0</v>
      </c>
      <c r="M188" s="28">
        <v>94</v>
      </c>
      <c r="N188" s="6">
        <v>225</v>
      </c>
      <c r="O188" s="30">
        <f t="shared" si="16"/>
        <v>0</v>
      </c>
      <c r="P188" s="30">
        <f t="shared" si="17"/>
        <v>21150</v>
      </c>
      <c r="Q188" s="1">
        <f>COUNTIFS($P:$P, "&gt;" &amp; $P188) + 1</f>
        <v>997</v>
      </c>
      <c r="R188" s="63">
        <f>(COUNTIFS($P:$P, "&gt;" &amp; $P188) + 1) / (COUNTA($I:$I) - 1)</f>
        <v>0.19939999999999999</v>
      </c>
      <c r="S188" s="23">
        <f>SUMIFS($P:$P, $Q:$Q, "&lt;" &amp; $Q188)</f>
        <v>166427548</v>
      </c>
    </row>
    <row r="189" spans="1:19" x14ac:dyDescent="0.25">
      <c r="A189" s="1">
        <v>184</v>
      </c>
      <c r="B189" s="1" t="s">
        <v>2</v>
      </c>
      <c r="C189" s="1" t="str">
        <f>IF($B189 = "Production Item", _xlfn.XLOOKUP($A189, 'Instrument Table'!$J:$J, 'Instrument Table'!$B:$B, $C188), IF($B189 = "Service Item", _xlfn.XLOOKUP($A189, 'Instrument Table'!$I:$I, 'Instrument Table'!$B:$B, $C188), _xlfn.XLOOKUP($A189, 'Instrument Table'!$H:$H, 'Instrument Table'!$B:$B, $C188)))</f>
        <v>Grand Piano</v>
      </c>
      <c r="D189" s="1" t="str">
        <f>VLOOKUP($C189, 'Instrument Table'!$B:$C, 2, FALSE)</f>
        <v>Pianos</v>
      </c>
      <c r="E189" s="1">
        <f t="shared" si="12"/>
        <v>1</v>
      </c>
      <c r="F189" s="1">
        <f>_xlfn.XLOOKUP($C189, 'Instrument Table'!$B:$B, 'Instrument Table'!$A:$A, "")</f>
        <v>10</v>
      </c>
      <c r="G189" s="1" t="str">
        <f>TEXT(IF($B189 = "Retail Item", IF((ROW($A189) - 4504 - _xlfn.XMATCH($C189, $C$4506:$C$5005, 0, 1)) &lt;= VLOOKUP($C189, 'Instrument Table'!$B:$D, 3, FALSE), ROW($A189) - 4504 - _xlfn.XMATCH($C189, $C$4506:$C$5005, 0, 1), 0), 0), "00")</f>
        <v>00</v>
      </c>
      <c r="H189" s="1" t="str">
        <f t="shared" si="13"/>
        <v>183</v>
      </c>
      <c r="I189" s="1" t="str">
        <f t="shared" si="14"/>
        <v>11000-183</v>
      </c>
      <c r="J189" s="1" t="str">
        <f t="shared" si="15"/>
        <v>Grand piano production item #183</v>
      </c>
      <c r="K189" s="1" t="str">
        <f>IF(SUM(COUNTIFS(I:I, I189)) &gt; 1, "DUPLICATE", "UNIQUE")</f>
        <v>UNIQUE</v>
      </c>
      <c r="L189" s="18">
        <v>1</v>
      </c>
      <c r="M189" s="28">
        <v>62</v>
      </c>
      <c r="N189" s="6">
        <v>289</v>
      </c>
      <c r="O189" s="30">
        <f t="shared" si="16"/>
        <v>62</v>
      </c>
      <c r="P189" s="30">
        <f t="shared" si="17"/>
        <v>17918</v>
      </c>
      <c r="Q189" s="1">
        <f>COUNTIFS($P:$P, "&gt;" &amp; $P189) + 1</f>
        <v>1170</v>
      </c>
      <c r="R189" s="63">
        <f>(COUNTIFS($P:$P, "&gt;" &amp; $P189) + 1) / (COUNTA($I:$I) - 1)</f>
        <v>0.23400000000000001</v>
      </c>
      <c r="S189" s="23">
        <f>SUMIFS($P:$P, $Q:$Q, "&lt;" &amp; $Q189)</f>
        <v>169798458</v>
      </c>
    </row>
    <row r="190" spans="1:19" x14ac:dyDescent="0.25">
      <c r="A190" s="1">
        <v>185</v>
      </c>
      <c r="B190" s="1" t="s">
        <v>2</v>
      </c>
      <c r="C190" s="1" t="str">
        <f>IF($B190 = "Production Item", _xlfn.XLOOKUP($A190, 'Instrument Table'!$J:$J, 'Instrument Table'!$B:$B, $C189), IF($B190 = "Service Item", _xlfn.XLOOKUP($A190, 'Instrument Table'!$I:$I, 'Instrument Table'!$B:$B, $C189), _xlfn.XLOOKUP($A190, 'Instrument Table'!$H:$H, 'Instrument Table'!$B:$B, $C189)))</f>
        <v>Grand Piano</v>
      </c>
      <c r="D190" s="1" t="str">
        <f>VLOOKUP($C190, 'Instrument Table'!$B:$C, 2, FALSE)</f>
        <v>Pianos</v>
      </c>
      <c r="E190" s="1">
        <f t="shared" si="12"/>
        <v>1</v>
      </c>
      <c r="F190" s="1">
        <f>_xlfn.XLOOKUP($C190, 'Instrument Table'!$B:$B, 'Instrument Table'!$A:$A, "")</f>
        <v>10</v>
      </c>
      <c r="G190" s="1" t="str">
        <f>TEXT(IF($B190 = "Retail Item", IF((ROW($A190) - 4504 - _xlfn.XMATCH($C190, $C$4506:$C$5005, 0, 1)) &lt;= VLOOKUP($C190, 'Instrument Table'!$B:$D, 3, FALSE), ROW($A190) - 4504 - _xlfn.XMATCH($C190, $C$4506:$C$5005, 0, 1), 0), 0), "00")</f>
        <v>00</v>
      </c>
      <c r="H190" s="1" t="str">
        <f t="shared" si="13"/>
        <v>184</v>
      </c>
      <c r="I190" s="1" t="str">
        <f t="shared" si="14"/>
        <v>11000-184</v>
      </c>
      <c r="J190" s="1" t="str">
        <f t="shared" si="15"/>
        <v>Grand piano production item #184</v>
      </c>
      <c r="K190" s="1" t="str">
        <f>IF(SUM(COUNTIFS(I:I, I190)) &gt; 1, "DUPLICATE", "UNIQUE")</f>
        <v>UNIQUE</v>
      </c>
      <c r="L190" s="18">
        <v>1</v>
      </c>
      <c r="M190" s="28">
        <v>8</v>
      </c>
      <c r="N190" s="6">
        <v>1</v>
      </c>
      <c r="O190" s="30">
        <f t="shared" si="16"/>
        <v>8</v>
      </c>
      <c r="P190" s="30">
        <f t="shared" si="17"/>
        <v>8</v>
      </c>
      <c r="Q190" s="1">
        <f>COUNTIFS($P:$P, "&gt;" &amp; $P190) + 1</f>
        <v>4729</v>
      </c>
      <c r="R190" s="63">
        <f>(COUNTIFS($P:$P, "&gt;" &amp; $P190) + 1) / (COUNTA($I:$I) - 1)</f>
        <v>0.94579999999999997</v>
      </c>
      <c r="S190" s="23">
        <f>SUMIFS($P:$P, $Q:$Q, "&lt;" &amp; $Q190)</f>
        <v>186547777</v>
      </c>
    </row>
    <row r="191" spans="1:19" x14ac:dyDescent="0.25">
      <c r="A191" s="1">
        <v>186</v>
      </c>
      <c r="B191" s="1" t="s">
        <v>2</v>
      </c>
      <c r="C191" s="1" t="str">
        <f>IF($B191 = "Production Item", _xlfn.XLOOKUP($A191, 'Instrument Table'!$J:$J, 'Instrument Table'!$B:$B, $C190), IF($B191 = "Service Item", _xlfn.XLOOKUP($A191, 'Instrument Table'!$I:$I, 'Instrument Table'!$B:$B, $C190), _xlfn.XLOOKUP($A191, 'Instrument Table'!$H:$H, 'Instrument Table'!$B:$B, $C190)))</f>
        <v>Grand Piano</v>
      </c>
      <c r="D191" s="1" t="str">
        <f>VLOOKUP($C191, 'Instrument Table'!$B:$C, 2, FALSE)</f>
        <v>Pianos</v>
      </c>
      <c r="E191" s="1">
        <f t="shared" si="12"/>
        <v>1</v>
      </c>
      <c r="F191" s="1">
        <f>_xlfn.XLOOKUP($C191, 'Instrument Table'!$B:$B, 'Instrument Table'!$A:$A, "")</f>
        <v>10</v>
      </c>
      <c r="G191" s="1" t="str">
        <f>TEXT(IF($B191 = "Retail Item", IF((ROW($A191) - 4504 - _xlfn.XMATCH($C191, $C$4506:$C$5005, 0, 1)) &lt;= VLOOKUP($C191, 'Instrument Table'!$B:$D, 3, FALSE), ROW($A191) - 4504 - _xlfn.XMATCH($C191, $C$4506:$C$5005, 0, 1), 0), 0), "00")</f>
        <v>00</v>
      </c>
      <c r="H191" s="1" t="str">
        <f t="shared" si="13"/>
        <v>185</v>
      </c>
      <c r="I191" s="1" t="str">
        <f t="shared" si="14"/>
        <v>11000-185</v>
      </c>
      <c r="J191" s="1" t="str">
        <f t="shared" si="15"/>
        <v>Grand piano production item #185</v>
      </c>
      <c r="K191" s="1" t="str">
        <f>IF(SUM(COUNTIFS(I:I, I191)) &gt; 1, "DUPLICATE", "UNIQUE")</f>
        <v>UNIQUE</v>
      </c>
      <c r="L191" s="18">
        <v>0</v>
      </c>
      <c r="M191" s="28">
        <v>73</v>
      </c>
      <c r="N191" s="6">
        <v>49</v>
      </c>
      <c r="O191" s="30">
        <f t="shared" si="16"/>
        <v>0</v>
      </c>
      <c r="P191" s="30">
        <f t="shared" si="17"/>
        <v>3577</v>
      </c>
      <c r="Q191" s="1">
        <f>COUNTIFS($P:$P, "&gt;" &amp; $P191) + 1</f>
        <v>2752</v>
      </c>
      <c r="R191" s="63">
        <f>(COUNTIFS($P:$P, "&gt;" &amp; $P191) + 1) / (COUNTA($I:$I) - 1)</f>
        <v>0.5504</v>
      </c>
      <c r="S191" s="23">
        <f>SUMIFS($P:$P, $Q:$Q, "&lt;" &amp; $Q191)</f>
        <v>184157961</v>
      </c>
    </row>
    <row r="192" spans="1:19" x14ac:dyDescent="0.25">
      <c r="A192" s="1">
        <v>187</v>
      </c>
      <c r="B192" s="1" t="s">
        <v>2</v>
      </c>
      <c r="C192" s="1" t="str">
        <f>IF($B192 = "Production Item", _xlfn.XLOOKUP($A192, 'Instrument Table'!$J:$J, 'Instrument Table'!$B:$B, $C191), IF($B192 = "Service Item", _xlfn.XLOOKUP($A192, 'Instrument Table'!$I:$I, 'Instrument Table'!$B:$B, $C191), _xlfn.XLOOKUP($A192, 'Instrument Table'!$H:$H, 'Instrument Table'!$B:$B, $C191)))</f>
        <v>Grand Piano</v>
      </c>
      <c r="D192" s="1" t="str">
        <f>VLOOKUP($C192, 'Instrument Table'!$B:$C, 2, FALSE)</f>
        <v>Pianos</v>
      </c>
      <c r="E192" s="1">
        <f t="shared" si="12"/>
        <v>1</v>
      </c>
      <c r="F192" s="1">
        <f>_xlfn.XLOOKUP($C192, 'Instrument Table'!$B:$B, 'Instrument Table'!$A:$A, "")</f>
        <v>10</v>
      </c>
      <c r="G192" s="1" t="str">
        <f>TEXT(IF($B192 = "Retail Item", IF((ROW($A192) - 4504 - _xlfn.XMATCH($C192, $C$4506:$C$5005, 0, 1)) &lt;= VLOOKUP($C192, 'Instrument Table'!$B:$D, 3, FALSE), ROW($A192) - 4504 - _xlfn.XMATCH($C192, $C$4506:$C$5005, 0, 1), 0), 0), "00")</f>
        <v>00</v>
      </c>
      <c r="H192" s="1" t="str">
        <f t="shared" si="13"/>
        <v>186</v>
      </c>
      <c r="I192" s="1" t="str">
        <f t="shared" si="14"/>
        <v>11000-186</v>
      </c>
      <c r="J192" s="1" t="str">
        <f t="shared" si="15"/>
        <v>Grand piano production item #186</v>
      </c>
      <c r="K192" s="1" t="str">
        <f>IF(SUM(COUNTIFS(I:I, I192)) &gt; 1, "DUPLICATE", "UNIQUE")</f>
        <v>UNIQUE</v>
      </c>
      <c r="L192" s="18">
        <v>1</v>
      </c>
      <c r="M192" s="28">
        <v>78</v>
      </c>
      <c r="N192" s="6">
        <v>289</v>
      </c>
      <c r="O192" s="30">
        <f t="shared" si="16"/>
        <v>78</v>
      </c>
      <c r="P192" s="30">
        <f t="shared" si="17"/>
        <v>22542</v>
      </c>
      <c r="Q192" s="1">
        <f>COUNTIFS($P:$P, "&gt;" &amp; $P192) + 1</f>
        <v>923</v>
      </c>
      <c r="R192" s="63">
        <f>(COUNTIFS($P:$P, "&gt;" &amp; $P192) + 1) / (COUNTA($I:$I) - 1)</f>
        <v>0.18459999999999999</v>
      </c>
      <c r="S192" s="23">
        <f>SUMIFS($P:$P, $Q:$Q, "&lt;" &amp; $Q192)</f>
        <v>164806689</v>
      </c>
    </row>
    <row r="193" spans="1:19" x14ac:dyDescent="0.25">
      <c r="A193" s="1">
        <v>188</v>
      </c>
      <c r="B193" s="1" t="s">
        <v>2</v>
      </c>
      <c r="C193" s="1" t="str">
        <f>IF($B193 = "Production Item", _xlfn.XLOOKUP($A193, 'Instrument Table'!$J:$J, 'Instrument Table'!$B:$B, $C192), IF($B193 = "Service Item", _xlfn.XLOOKUP($A193, 'Instrument Table'!$I:$I, 'Instrument Table'!$B:$B, $C192), _xlfn.XLOOKUP($A193, 'Instrument Table'!$H:$H, 'Instrument Table'!$B:$B, $C192)))</f>
        <v>Grand Piano</v>
      </c>
      <c r="D193" s="1" t="str">
        <f>VLOOKUP($C193, 'Instrument Table'!$B:$C, 2, FALSE)</f>
        <v>Pianos</v>
      </c>
      <c r="E193" s="1">
        <f t="shared" si="12"/>
        <v>1</v>
      </c>
      <c r="F193" s="1">
        <f>_xlfn.XLOOKUP($C193, 'Instrument Table'!$B:$B, 'Instrument Table'!$A:$A, "")</f>
        <v>10</v>
      </c>
      <c r="G193" s="1" t="str">
        <f>TEXT(IF($B193 = "Retail Item", IF((ROW($A193) - 4504 - _xlfn.XMATCH($C193, $C$4506:$C$5005, 0, 1)) &lt;= VLOOKUP($C193, 'Instrument Table'!$B:$D, 3, FALSE), ROW($A193) - 4504 - _xlfn.XMATCH($C193, $C$4506:$C$5005, 0, 1), 0), 0), "00")</f>
        <v>00</v>
      </c>
      <c r="H193" s="1" t="str">
        <f t="shared" si="13"/>
        <v>187</v>
      </c>
      <c r="I193" s="1" t="str">
        <f t="shared" si="14"/>
        <v>11000-187</v>
      </c>
      <c r="J193" s="1" t="str">
        <f t="shared" si="15"/>
        <v>Grand piano production item #187</v>
      </c>
      <c r="K193" s="1" t="str">
        <f>IF(SUM(COUNTIFS(I:I, I193)) &gt; 1, "DUPLICATE", "UNIQUE")</f>
        <v>UNIQUE</v>
      </c>
      <c r="L193" s="18">
        <v>1</v>
      </c>
      <c r="M193" s="28">
        <v>64</v>
      </c>
      <c r="N193" s="6">
        <v>1</v>
      </c>
      <c r="O193" s="30">
        <f t="shared" si="16"/>
        <v>64</v>
      </c>
      <c r="P193" s="30">
        <f t="shared" si="17"/>
        <v>64</v>
      </c>
      <c r="Q193" s="1">
        <f>COUNTIFS($P:$P, "&gt;" &amp; $P193) + 1</f>
        <v>4553</v>
      </c>
      <c r="R193" s="63">
        <f>(COUNTIFS($P:$P, "&gt;" &amp; $P193) + 1) / (COUNTA($I:$I) - 1)</f>
        <v>0.91059999999999997</v>
      </c>
      <c r="S193" s="23">
        <f>SUMIFS($P:$P, $Q:$Q, "&lt;" &amp; $Q193)</f>
        <v>186540850</v>
      </c>
    </row>
    <row r="194" spans="1:19" x14ac:dyDescent="0.25">
      <c r="A194" s="1">
        <v>189</v>
      </c>
      <c r="B194" s="1" t="s">
        <v>2</v>
      </c>
      <c r="C194" s="1" t="str">
        <f>IF($B194 = "Production Item", _xlfn.XLOOKUP($A194, 'Instrument Table'!$J:$J, 'Instrument Table'!$B:$B, $C193), IF($B194 = "Service Item", _xlfn.XLOOKUP($A194, 'Instrument Table'!$I:$I, 'Instrument Table'!$B:$B, $C193), _xlfn.XLOOKUP($A194, 'Instrument Table'!$H:$H, 'Instrument Table'!$B:$B, $C193)))</f>
        <v>Grand Piano</v>
      </c>
      <c r="D194" s="1" t="str">
        <f>VLOOKUP($C194, 'Instrument Table'!$B:$C, 2, FALSE)</f>
        <v>Pianos</v>
      </c>
      <c r="E194" s="1">
        <f t="shared" si="12"/>
        <v>1</v>
      </c>
      <c r="F194" s="1">
        <f>_xlfn.XLOOKUP($C194, 'Instrument Table'!$B:$B, 'Instrument Table'!$A:$A, "")</f>
        <v>10</v>
      </c>
      <c r="G194" s="1" t="str">
        <f>TEXT(IF($B194 = "Retail Item", IF((ROW($A194) - 4504 - _xlfn.XMATCH($C194, $C$4506:$C$5005, 0, 1)) &lt;= VLOOKUP($C194, 'Instrument Table'!$B:$D, 3, FALSE), ROW($A194) - 4504 - _xlfn.XMATCH($C194, $C$4506:$C$5005, 0, 1), 0), 0), "00")</f>
        <v>00</v>
      </c>
      <c r="H194" s="1" t="str">
        <f t="shared" si="13"/>
        <v>188</v>
      </c>
      <c r="I194" s="1" t="str">
        <f t="shared" si="14"/>
        <v>11000-188</v>
      </c>
      <c r="J194" s="1" t="str">
        <f t="shared" si="15"/>
        <v>Grand piano production item #188</v>
      </c>
      <c r="K194" s="1" t="str">
        <f>IF(SUM(COUNTIFS(I:I, I194)) &gt; 1, "DUPLICATE", "UNIQUE")</f>
        <v>UNIQUE</v>
      </c>
      <c r="L194" s="18">
        <v>1</v>
      </c>
      <c r="M194" s="28">
        <v>100</v>
      </c>
      <c r="N194" s="6">
        <v>100</v>
      </c>
      <c r="O194" s="30">
        <f t="shared" si="16"/>
        <v>100</v>
      </c>
      <c r="P194" s="30">
        <f t="shared" si="17"/>
        <v>10000</v>
      </c>
      <c r="Q194" s="1">
        <f>COUNTIFS($P:$P, "&gt;" &amp; $P194) + 1</f>
        <v>1771</v>
      </c>
      <c r="R194" s="63">
        <f>(COUNTIFS($P:$P, "&gt;" &amp; $P194) + 1) / (COUNTA($I:$I) - 1)</f>
        <v>0.35420000000000001</v>
      </c>
      <c r="S194" s="23">
        <f>SUMIFS($P:$P, $Q:$Q, "&lt;" &amp; $Q194)</f>
        <v>177955695</v>
      </c>
    </row>
    <row r="195" spans="1:19" x14ac:dyDescent="0.25">
      <c r="A195" s="1">
        <v>190</v>
      </c>
      <c r="B195" s="1" t="s">
        <v>2</v>
      </c>
      <c r="C195" s="1" t="str">
        <f>IF($B195 = "Production Item", _xlfn.XLOOKUP($A195, 'Instrument Table'!$J:$J, 'Instrument Table'!$B:$B, $C194), IF($B195 = "Service Item", _xlfn.XLOOKUP($A195, 'Instrument Table'!$I:$I, 'Instrument Table'!$B:$B, $C194), _xlfn.XLOOKUP($A195, 'Instrument Table'!$H:$H, 'Instrument Table'!$B:$B, $C194)))</f>
        <v>Grand Piano</v>
      </c>
      <c r="D195" s="1" t="str">
        <f>VLOOKUP($C195, 'Instrument Table'!$B:$C, 2, FALSE)</f>
        <v>Pianos</v>
      </c>
      <c r="E195" s="1">
        <f t="shared" si="12"/>
        <v>1</v>
      </c>
      <c r="F195" s="1">
        <f>_xlfn.XLOOKUP($C195, 'Instrument Table'!$B:$B, 'Instrument Table'!$A:$A, "")</f>
        <v>10</v>
      </c>
      <c r="G195" s="1" t="str">
        <f>TEXT(IF($B195 = "Retail Item", IF((ROW($A195) - 4504 - _xlfn.XMATCH($C195, $C$4506:$C$5005, 0, 1)) &lt;= VLOOKUP($C195, 'Instrument Table'!$B:$D, 3, FALSE), ROW($A195) - 4504 - _xlfn.XMATCH($C195, $C$4506:$C$5005, 0, 1), 0), 0), "00")</f>
        <v>00</v>
      </c>
      <c r="H195" s="1" t="str">
        <f t="shared" si="13"/>
        <v>189</v>
      </c>
      <c r="I195" s="1" t="str">
        <f t="shared" si="14"/>
        <v>11000-189</v>
      </c>
      <c r="J195" s="1" t="str">
        <f t="shared" si="15"/>
        <v>Grand piano production item #189</v>
      </c>
      <c r="K195" s="1" t="str">
        <f>IF(SUM(COUNTIFS(I:I, I195)) &gt; 1, "DUPLICATE", "UNIQUE")</f>
        <v>UNIQUE</v>
      </c>
      <c r="L195" s="18">
        <v>4</v>
      </c>
      <c r="M195" s="28">
        <v>25</v>
      </c>
      <c r="N195" s="6">
        <v>169</v>
      </c>
      <c r="O195" s="30">
        <f t="shared" si="16"/>
        <v>100</v>
      </c>
      <c r="P195" s="30">
        <f t="shared" si="17"/>
        <v>4225</v>
      </c>
      <c r="Q195" s="1">
        <f>COUNTIFS($P:$P, "&gt;" &amp; $P195) + 1</f>
        <v>2602</v>
      </c>
      <c r="R195" s="63">
        <f>(COUNTIFS($P:$P, "&gt;" &amp; $P195) + 1) / (COUNTA($I:$I) - 1)</f>
        <v>0.52039999999999997</v>
      </c>
      <c r="S195" s="23">
        <f>SUMIFS($P:$P, $Q:$Q, "&lt;" &amp; $Q195)</f>
        <v>183571868</v>
      </c>
    </row>
    <row r="196" spans="1:19" x14ac:dyDescent="0.25">
      <c r="A196" s="1">
        <v>191</v>
      </c>
      <c r="B196" s="1" t="s">
        <v>2</v>
      </c>
      <c r="C196" s="1" t="str">
        <f>IF($B196 = "Production Item", _xlfn.XLOOKUP($A196, 'Instrument Table'!$J:$J, 'Instrument Table'!$B:$B, $C195), IF($B196 = "Service Item", _xlfn.XLOOKUP($A196, 'Instrument Table'!$I:$I, 'Instrument Table'!$B:$B, $C195), _xlfn.XLOOKUP($A196, 'Instrument Table'!$H:$H, 'Instrument Table'!$B:$B, $C195)))</f>
        <v>Grand Piano</v>
      </c>
      <c r="D196" s="1" t="str">
        <f>VLOOKUP($C196, 'Instrument Table'!$B:$C, 2, FALSE)</f>
        <v>Pianos</v>
      </c>
      <c r="E196" s="1">
        <f t="shared" si="12"/>
        <v>1</v>
      </c>
      <c r="F196" s="1">
        <f>_xlfn.XLOOKUP($C196, 'Instrument Table'!$B:$B, 'Instrument Table'!$A:$A, "")</f>
        <v>10</v>
      </c>
      <c r="G196" s="1" t="str">
        <f>TEXT(IF($B196 = "Retail Item", IF((ROW($A196) - 4504 - _xlfn.XMATCH($C196, $C$4506:$C$5005, 0, 1)) &lt;= VLOOKUP($C196, 'Instrument Table'!$B:$D, 3, FALSE), ROW($A196) - 4504 - _xlfn.XMATCH($C196, $C$4506:$C$5005, 0, 1), 0), 0), "00")</f>
        <v>00</v>
      </c>
      <c r="H196" s="1" t="str">
        <f t="shared" si="13"/>
        <v>190</v>
      </c>
      <c r="I196" s="1" t="str">
        <f t="shared" si="14"/>
        <v>11000-190</v>
      </c>
      <c r="J196" s="1" t="str">
        <f t="shared" si="15"/>
        <v>Grand piano production item #190</v>
      </c>
      <c r="K196" s="1" t="str">
        <f>IF(SUM(COUNTIFS(I:I, I196)) &gt; 1, "DUPLICATE", "UNIQUE")</f>
        <v>UNIQUE</v>
      </c>
      <c r="L196" s="18">
        <v>1</v>
      </c>
      <c r="M196" s="28">
        <v>26</v>
      </c>
      <c r="N196" s="6">
        <v>169</v>
      </c>
      <c r="O196" s="30">
        <f t="shared" si="16"/>
        <v>26</v>
      </c>
      <c r="P196" s="30">
        <f t="shared" si="17"/>
        <v>4394</v>
      </c>
      <c r="Q196" s="1">
        <f>COUNTIFS($P:$P, "&gt;" &amp; $P196) + 1</f>
        <v>2570</v>
      </c>
      <c r="R196" s="63">
        <f>(COUNTIFS($P:$P, "&gt;" &amp; $P196) + 1) / (COUNTA($I:$I) - 1)</f>
        <v>0.51400000000000001</v>
      </c>
      <c r="S196" s="23">
        <f>SUMIFS($P:$P, $Q:$Q, "&lt;" &amp; $Q196)</f>
        <v>183433854</v>
      </c>
    </row>
    <row r="197" spans="1:19" x14ac:dyDescent="0.25">
      <c r="A197" s="1">
        <v>192</v>
      </c>
      <c r="B197" s="1" t="s">
        <v>2</v>
      </c>
      <c r="C197" s="1" t="str">
        <f>IF($B197 = "Production Item", _xlfn.XLOOKUP($A197, 'Instrument Table'!$J:$J, 'Instrument Table'!$B:$B, $C196), IF($B197 = "Service Item", _xlfn.XLOOKUP($A197, 'Instrument Table'!$I:$I, 'Instrument Table'!$B:$B, $C196), _xlfn.XLOOKUP($A197, 'Instrument Table'!$H:$H, 'Instrument Table'!$B:$B, $C196)))</f>
        <v>Grand Piano</v>
      </c>
      <c r="D197" s="1" t="str">
        <f>VLOOKUP($C197, 'Instrument Table'!$B:$C, 2, FALSE)</f>
        <v>Pianos</v>
      </c>
      <c r="E197" s="1">
        <f t="shared" si="12"/>
        <v>1</v>
      </c>
      <c r="F197" s="1">
        <f>_xlfn.XLOOKUP($C197, 'Instrument Table'!$B:$B, 'Instrument Table'!$A:$A, "")</f>
        <v>10</v>
      </c>
      <c r="G197" s="1" t="str">
        <f>TEXT(IF($B197 = "Retail Item", IF((ROW($A197) - 4504 - _xlfn.XMATCH($C197, $C$4506:$C$5005, 0, 1)) &lt;= VLOOKUP($C197, 'Instrument Table'!$B:$D, 3, FALSE), ROW($A197) - 4504 - _xlfn.XMATCH($C197, $C$4506:$C$5005, 0, 1), 0), 0), "00")</f>
        <v>00</v>
      </c>
      <c r="H197" s="1" t="str">
        <f t="shared" si="13"/>
        <v>191</v>
      </c>
      <c r="I197" s="1" t="str">
        <f t="shared" si="14"/>
        <v>11000-191</v>
      </c>
      <c r="J197" s="1" t="str">
        <f t="shared" si="15"/>
        <v>Grand piano production item #191</v>
      </c>
      <c r="K197" s="1" t="str">
        <f>IF(SUM(COUNTIFS(I:I, I197)) &gt; 1, "DUPLICATE", "UNIQUE")</f>
        <v>UNIQUE</v>
      </c>
      <c r="L197" s="18">
        <v>0</v>
      </c>
      <c r="M197" s="28">
        <v>50</v>
      </c>
      <c r="N197" s="6">
        <v>9</v>
      </c>
      <c r="O197" s="30">
        <f t="shared" si="16"/>
        <v>0</v>
      </c>
      <c r="P197" s="30">
        <f t="shared" si="17"/>
        <v>450</v>
      </c>
      <c r="Q197" s="1">
        <f>COUNTIFS($P:$P, "&gt;" &amp; $P197) + 1</f>
        <v>4054</v>
      </c>
      <c r="R197" s="63">
        <f>(COUNTIFS($P:$P, "&gt;" &amp; $P197) + 1) / (COUNTA($I:$I) - 1)</f>
        <v>0.81079999999999997</v>
      </c>
      <c r="S197" s="23">
        <f>SUMIFS($P:$P, $Q:$Q, "&lt;" &amp; $Q197)</f>
        <v>186425250</v>
      </c>
    </row>
    <row r="198" spans="1:19" x14ac:dyDescent="0.25">
      <c r="A198" s="1">
        <v>193</v>
      </c>
      <c r="B198" s="1" t="s">
        <v>2</v>
      </c>
      <c r="C198" s="1" t="str">
        <f>IF($B198 = "Production Item", _xlfn.XLOOKUP($A198, 'Instrument Table'!$J:$J, 'Instrument Table'!$B:$B, $C197), IF($B198 = "Service Item", _xlfn.XLOOKUP($A198, 'Instrument Table'!$I:$I, 'Instrument Table'!$B:$B, $C197), _xlfn.XLOOKUP($A198, 'Instrument Table'!$H:$H, 'Instrument Table'!$B:$B, $C197)))</f>
        <v>Grand Piano</v>
      </c>
      <c r="D198" s="1" t="str">
        <f>VLOOKUP($C198, 'Instrument Table'!$B:$C, 2, FALSE)</f>
        <v>Pianos</v>
      </c>
      <c r="E198" s="1">
        <f t="shared" si="12"/>
        <v>1</v>
      </c>
      <c r="F198" s="1">
        <f>_xlfn.XLOOKUP($C198, 'Instrument Table'!$B:$B, 'Instrument Table'!$A:$A, "")</f>
        <v>10</v>
      </c>
      <c r="G198" s="1" t="str">
        <f>TEXT(IF($B198 = "Retail Item", IF((ROW($A198) - 4504 - _xlfn.XMATCH($C198, $C$4506:$C$5005, 0, 1)) &lt;= VLOOKUP($C198, 'Instrument Table'!$B:$D, 3, FALSE), ROW($A198) - 4504 - _xlfn.XMATCH($C198, $C$4506:$C$5005, 0, 1), 0), 0), "00")</f>
        <v>00</v>
      </c>
      <c r="H198" s="1" t="str">
        <f t="shared" si="13"/>
        <v>192</v>
      </c>
      <c r="I198" s="1" t="str">
        <f t="shared" si="14"/>
        <v>11000-192</v>
      </c>
      <c r="J198" s="1" t="str">
        <f t="shared" si="15"/>
        <v>Grand piano production item #192</v>
      </c>
      <c r="K198" s="1" t="str">
        <f>IF(SUM(COUNTIFS(I:I, I198)) &gt; 1, "DUPLICATE", "UNIQUE")</f>
        <v>UNIQUE</v>
      </c>
      <c r="L198" s="18">
        <v>0</v>
      </c>
      <c r="M198" s="28">
        <v>54</v>
      </c>
      <c r="N198" s="6">
        <v>1</v>
      </c>
      <c r="O198" s="30">
        <f t="shared" si="16"/>
        <v>0</v>
      </c>
      <c r="P198" s="30">
        <f t="shared" si="17"/>
        <v>54</v>
      </c>
      <c r="Q198" s="1">
        <f>COUNTIFS($P:$P, "&gt;" &amp; $P198) + 1</f>
        <v>4596</v>
      </c>
      <c r="R198" s="63">
        <f>(COUNTIFS($P:$P, "&gt;" &amp; $P198) + 1) / (COUNTA($I:$I) - 1)</f>
        <v>0.91920000000000002</v>
      </c>
      <c r="S198" s="23">
        <f>SUMIFS($P:$P, $Q:$Q, "&lt;" &amp; $Q198)</f>
        <v>186543478</v>
      </c>
    </row>
    <row r="199" spans="1:19" x14ac:dyDescent="0.25">
      <c r="A199" s="1">
        <v>194</v>
      </c>
      <c r="B199" s="1" t="s">
        <v>2</v>
      </c>
      <c r="C199" s="1" t="str">
        <f>IF($B199 = "Production Item", _xlfn.XLOOKUP($A199, 'Instrument Table'!$J:$J, 'Instrument Table'!$B:$B, $C198), IF($B199 = "Service Item", _xlfn.XLOOKUP($A199, 'Instrument Table'!$I:$I, 'Instrument Table'!$B:$B, $C198), _xlfn.XLOOKUP($A199, 'Instrument Table'!$H:$H, 'Instrument Table'!$B:$B, $C198)))</f>
        <v>Grand Piano</v>
      </c>
      <c r="D199" s="1" t="str">
        <f>VLOOKUP($C199, 'Instrument Table'!$B:$C, 2, FALSE)</f>
        <v>Pianos</v>
      </c>
      <c r="E199" s="1">
        <f t="shared" ref="E199:E262" si="18">IF($B199 = "Production Item", 1, IF($B199 = "Service Item", 2, IF($B199 = "Retail Item", 3, "")))</f>
        <v>1</v>
      </c>
      <c r="F199" s="1">
        <f>_xlfn.XLOOKUP($C199, 'Instrument Table'!$B:$B, 'Instrument Table'!$A:$A, "")</f>
        <v>10</v>
      </c>
      <c r="G199" s="1" t="str">
        <f>TEXT(IF($B199 = "Retail Item", IF((ROW($A199) - 4504 - _xlfn.XMATCH($C199, $C$4506:$C$5005, 0, 1)) &lt;= VLOOKUP($C199, 'Instrument Table'!$B:$D, 3, FALSE), ROW($A199) - 4504 - _xlfn.XMATCH($C199, $C$4506:$C$5005, 0, 1), 0), 0), "00")</f>
        <v>00</v>
      </c>
      <c r="H199" s="1" t="str">
        <f t="shared" ref="H199:H262" si="19">TEXT(IF($E199 &amp; $F199 &amp; $G199 = $E198 &amp; $F198 &amp; $G198, 1 + H198, 0), "000")</f>
        <v>193</v>
      </c>
      <c r="I199" s="1" t="str">
        <f t="shared" ref="I199:I262" si="20" xml:space="preserve"> _xlfn.CONCAT($E199, $F199, $G199, "-", H199)</f>
        <v>11000-193</v>
      </c>
      <c r="J199" s="1" t="str">
        <f t="shared" ref="J199:J262" si="21">LEFT($C199, 1) &amp; LOWER(RIGHT($C199, LEN($C199) - 1)) &amp; IF(AND($G199 &lt;&gt; "00", $B199 = "Retail Item"), " model #" &amp; $G199, " " &amp; LOWER($B199) &amp; " #" &amp; $H199)</f>
        <v>Grand piano production item #193</v>
      </c>
      <c r="K199" s="1" t="str">
        <f>IF(SUM(COUNTIFS(I:I, I199)) &gt; 1, "DUPLICATE", "UNIQUE")</f>
        <v>UNIQUE</v>
      </c>
      <c r="L199" s="18">
        <v>1</v>
      </c>
      <c r="M199" s="28">
        <v>44</v>
      </c>
      <c r="N199" s="6">
        <v>4</v>
      </c>
      <c r="O199" s="30">
        <f t="shared" ref="O199:O262" si="22">$L199 * $M199</f>
        <v>44</v>
      </c>
      <c r="P199" s="30">
        <f t="shared" ref="P199:P262" si="23">$N199 * $M199</f>
        <v>176</v>
      </c>
      <c r="Q199" s="1">
        <f>COUNTIFS($P:$P, "&gt;" &amp; $P199) + 1</f>
        <v>4365</v>
      </c>
      <c r="R199" s="63">
        <f>(COUNTIFS($P:$P, "&gt;" &amp; $P199) + 1) / (COUNTA($I:$I) - 1)</f>
        <v>0.873</v>
      </c>
      <c r="S199" s="23">
        <f>SUMIFS($P:$P, $Q:$Q, "&lt;" &amp; $Q199)</f>
        <v>186520292</v>
      </c>
    </row>
    <row r="200" spans="1:19" x14ac:dyDescent="0.25">
      <c r="A200" s="1">
        <v>195</v>
      </c>
      <c r="B200" s="1" t="s">
        <v>2</v>
      </c>
      <c r="C200" s="1" t="str">
        <f>IF($B200 = "Production Item", _xlfn.XLOOKUP($A200, 'Instrument Table'!$J:$J, 'Instrument Table'!$B:$B, $C199), IF($B200 = "Service Item", _xlfn.XLOOKUP($A200, 'Instrument Table'!$I:$I, 'Instrument Table'!$B:$B, $C199), _xlfn.XLOOKUP($A200, 'Instrument Table'!$H:$H, 'Instrument Table'!$B:$B, $C199)))</f>
        <v>Grand Piano</v>
      </c>
      <c r="D200" s="1" t="str">
        <f>VLOOKUP($C200, 'Instrument Table'!$B:$C, 2, FALSE)</f>
        <v>Pianos</v>
      </c>
      <c r="E200" s="1">
        <f t="shared" si="18"/>
        <v>1</v>
      </c>
      <c r="F200" s="1">
        <f>_xlfn.XLOOKUP($C200, 'Instrument Table'!$B:$B, 'Instrument Table'!$A:$A, "")</f>
        <v>10</v>
      </c>
      <c r="G200" s="1" t="str">
        <f>TEXT(IF($B200 = "Retail Item", IF((ROW($A200) - 4504 - _xlfn.XMATCH($C200, $C$4506:$C$5005, 0, 1)) &lt;= VLOOKUP($C200, 'Instrument Table'!$B:$D, 3, FALSE), ROW($A200) - 4504 - _xlfn.XMATCH($C200, $C$4506:$C$5005, 0, 1), 0), 0), "00")</f>
        <v>00</v>
      </c>
      <c r="H200" s="1" t="str">
        <f t="shared" si="19"/>
        <v>194</v>
      </c>
      <c r="I200" s="1" t="str">
        <f t="shared" si="20"/>
        <v>11000-194</v>
      </c>
      <c r="J200" s="1" t="str">
        <f t="shared" si="21"/>
        <v>Grand piano production item #194</v>
      </c>
      <c r="K200" s="1" t="str">
        <f>IF(SUM(COUNTIFS(I:I, I200)) &gt; 1, "DUPLICATE", "UNIQUE")</f>
        <v>UNIQUE</v>
      </c>
      <c r="L200" s="18">
        <v>0</v>
      </c>
      <c r="M200" s="28">
        <v>16</v>
      </c>
      <c r="N200" s="6">
        <v>0</v>
      </c>
      <c r="O200" s="30">
        <f t="shared" si="22"/>
        <v>0</v>
      </c>
      <c r="P200" s="30">
        <f t="shared" si="23"/>
        <v>0</v>
      </c>
      <c r="Q200" s="1">
        <f>COUNTIFS($P:$P, "&gt;" &amp; $P200) + 1</f>
        <v>4746</v>
      </c>
      <c r="R200" s="63">
        <f>(COUNTIFS($P:$P, "&gt;" &amp; $P200) + 1) / (COUNTA($I:$I) - 1)</f>
        <v>0.94920000000000004</v>
      </c>
      <c r="S200" s="23">
        <f>SUMIFS($P:$P, $Q:$Q, "&lt;" &amp; $Q200)</f>
        <v>186547861</v>
      </c>
    </row>
    <row r="201" spans="1:19" x14ac:dyDescent="0.25">
      <c r="A201" s="1">
        <v>196</v>
      </c>
      <c r="B201" s="1" t="s">
        <v>2</v>
      </c>
      <c r="C201" s="1" t="str">
        <f>IF($B201 = "Production Item", _xlfn.XLOOKUP($A201, 'Instrument Table'!$J:$J, 'Instrument Table'!$B:$B, $C200), IF($B201 = "Service Item", _xlfn.XLOOKUP($A201, 'Instrument Table'!$I:$I, 'Instrument Table'!$B:$B, $C200), _xlfn.XLOOKUP($A201, 'Instrument Table'!$H:$H, 'Instrument Table'!$B:$B, $C200)))</f>
        <v>Grand Piano</v>
      </c>
      <c r="D201" s="1" t="str">
        <f>VLOOKUP($C201, 'Instrument Table'!$B:$C, 2, FALSE)</f>
        <v>Pianos</v>
      </c>
      <c r="E201" s="1">
        <f t="shared" si="18"/>
        <v>1</v>
      </c>
      <c r="F201" s="1">
        <f>_xlfn.XLOOKUP($C201, 'Instrument Table'!$B:$B, 'Instrument Table'!$A:$A, "")</f>
        <v>10</v>
      </c>
      <c r="G201" s="1" t="str">
        <f>TEXT(IF($B201 = "Retail Item", IF((ROW($A201) - 4504 - _xlfn.XMATCH($C201, $C$4506:$C$5005, 0, 1)) &lt;= VLOOKUP($C201, 'Instrument Table'!$B:$D, 3, FALSE), ROW($A201) - 4504 - _xlfn.XMATCH($C201, $C$4506:$C$5005, 0, 1), 0), 0), "00")</f>
        <v>00</v>
      </c>
      <c r="H201" s="1" t="str">
        <f t="shared" si="19"/>
        <v>195</v>
      </c>
      <c r="I201" s="1" t="str">
        <f t="shared" si="20"/>
        <v>11000-195</v>
      </c>
      <c r="J201" s="1" t="str">
        <f t="shared" si="21"/>
        <v>Grand piano production item #195</v>
      </c>
      <c r="K201" s="1" t="str">
        <f>IF(SUM(COUNTIFS(I:I, I201)) &gt; 1, "DUPLICATE", "UNIQUE")</f>
        <v>UNIQUE</v>
      </c>
      <c r="L201" s="18">
        <v>8</v>
      </c>
      <c r="M201" s="28">
        <v>71</v>
      </c>
      <c r="N201" s="6">
        <v>4</v>
      </c>
      <c r="O201" s="30">
        <f t="shared" si="22"/>
        <v>568</v>
      </c>
      <c r="P201" s="30">
        <f t="shared" si="23"/>
        <v>284</v>
      </c>
      <c r="Q201" s="1">
        <f>COUNTIFS($P:$P, "&gt;" &amp; $P201) + 1</f>
        <v>4234</v>
      </c>
      <c r="R201" s="63">
        <f>(COUNTIFS($P:$P, "&gt;" &amp; $P201) + 1) / (COUNTA($I:$I) - 1)</f>
        <v>0.8468</v>
      </c>
      <c r="S201" s="23">
        <f>SUMIFS($P:$P, $Q:$Q, "&lt;" &amp; $Q201)</f>
        <v>186490637</v>
      </c>
    </row>
    <row r="202" spans="1:19" x14ac:dyDescent="0.25">
      <c r="A202" s="1">
        <v>197</v>
      </c>
      <c r="B202" s="1" t="s">
        <v>2</v>
      </c>
      <c r="C202" s="1" t="str">
        <f>IF($B202 = "Production Item", _xlfn.XLOOKUP($A202, 'Instrument Table'!$J:$J, 'Instrument Table'!$B:$B, $C201), IF($B202 = "Service Item", _xlfn.XLOOKUP($A202, 'Instrument Table'!$I:$I, 'Instrument Table'!$B:$B, $C201), _xlfn.XLOOKUP($A202, 'Instrument Table'!$H:$H, 'Instrument Table'!$B:$B, $C201)))</f>
        <v>Grand Piano</v>
      </c>
      <c r="D202" s="1" t="str">
        <f>VLOOKUP($C202, 'Instrument Table'!$B:$C, 2, FALSE)</f>
        <v>Pianos</v>
      </c>
      <c r="E202" s="1">
        <f t="shared" si="18"/>
        <v>1</v>
      </c>
      <c r="F202" s="1">
        <f>_xlfn.XLOOKUP($C202, 'Instrument Table'!$B:$B, 'Instrument Table'!$A:$A, "")</f>
        <v>10</v>
      </c>
      <c r="G202" s="1" t="str">
        <f>TEXT(IF($B202 = "Retail Item", IF((ROW($A202) - 4504 - _xlfn.XMATCH($C202, $C$4506:$C$5005, 0, 1)) &lt;= VLOOKUP($C202, 'Instrument Table'!$B:$D, 3, FALSE), ROW($A202) - 4504 - _xlfn.XMATCH($C202, $C$4506:$C$5005, 0, 1), 0), 0), "00")</f>
        <v>00</v>
      </c>
      <c r="H202" s="1" t="str">
        <f t="shared" si="19"/>
        <v>196</v>
      </c>
      <c r="I202" s="1" t="str">
        <f t="shared" si="20"/>
        <v>11000-196</v>
      </c>
      <c r="J202" s="1" t="str">
        <f t="shared" si="21"/>
        <v>Grand piano production item #196</v>
      </c>
      <c r="K202" s="1" t="str">
        <f>IF(SUM(COUNTIFS(I:I, I202)) &gt; 1, "DUPLICATE", "UNIQUE")</f>
        <v>UNIQUE</v>
      </c>
      <c r="L202" s="18">
        <v>1</v>
      </c>
      <c r="M202" s="28">
        <v>21</v>
      </c>
      <c r="N202" s="6">
        <v>169</v>
      </c>
      <c r="O202" s="30">
        <f t="shared" si="22"/>
        <v>21</v>
      </c>
      <c r="P202" s="30">
        <f t="shared" si="23"/>
        <v>3549</v>
      </c>
      <c r="Q202" s="1">
        <f>COUNTIFS($P:$P, "&gt;" &amp; $P202) + 1</f>
        <v>2756</v>
      </c>
      <c r="R202" s="63">
        <f>(COUNTIFS($P:$P, "&gt;" &amp; $P202) + 1) / (COUNTA($I:$I) - 1)</f>
        <v>0.55120000000000002</v>
      </c>
      <c r="S202" s="23">
        <f>SUMIFS($P:$P, $Q:$Q, "&lt;" &amp; $Q202)</f>
        <v>184172230</v>
      </c>
    </row>
    <row r="203" spans="1:19" x14ac:dyDescent="0.25">
      <c r="A203" s="1">
        <v>198</v>
      </c>
      <c r="B203" s="1" t="s">
        <v>2</v>
      </c>
      <c r="C203" s="1" t="str">
        <f>IF($B203 = "Production Item", _xlfn.XLOOKUP($A203, 'Instrument Table'!$J:$J, 'Instrument Table'!$B:$B, $C202), IF($B203 = "Service Item", _xlfn.XLOOKUP($A203, 'Instrument Table'!$I:$I, 'Instrument Table'!$B:$B, $C202), _xlfn.XLOOKUP($A203, 'Instrument Table'!$H:$H, 'Instrument Table'!$B:$B, $C202)))</f>
        <v>Grand Piano</v>
      </c>
      <c r="D203" s="1" t="str">
        <f>VLOOKUP($C203, 'Instrument Table'!$B:$C, 2, FALSE)</f>
        <v>Pianos</v>
      </c>
      <c r="E203" s="1">
        <f t="shared" si="18"/>
        <v>1</v>
      </c>
      <c r="F203" s="1">
        <f>_xlfn.XLOOKUP($C203, 'Instrument Table'!$B:$B, 'Instrument Table'!$A:$A, "")</f>
        <v>10</v>
      </c>
      <c r="G203" s="1" t="str">
        <f>TEXT(IF($B203 = "Retail Item", IF((ROW($A203) - 4504 - _xlfn.XMATCH($C203, $C$4506:$C$5005, 0, 1)) &lt;= VLOOKUP($C203, 'Instrument Table'!$B:$D, 3, FALSE), ROW($A203) - 4504 - _xlfn.XMATCH($C203, $C$4506:$C$5005, 0, 1), 0), 0), "00")</f>
        <v>00</v>
      </c>
      <c r="H203" s="1" t="str">
        <f t="shared" si="19"/>
        <v>197</v>
      </c>
      <c r="I203" s="1" t="str">
        <f t="shared" si="20"/>
        <v>11000-197</v>
      </c>
      <c r="J203" s="1" t="str">
        <f t="shared" si="21"/>
        <v>Grand piano production item #197</v>
      </c>
      <c r="K203" s="1" t="str">
        <f>IF(SUM(COUNTIFS(I:I, I203)) &gt; 1, "DUPLICATE", "UNIQUE")</f>
        <v>UNIQUE</v>
      </c>
      <c r="L203" s="18">
        <v>16</v>
      </c>
      <c r="M203" s="28">
        <v>17</v>
      </c>
      <c r="N203" s="6">
        <v>169</v>
      </c>
      <c r="O203" s="30">
        <f t="shared" si="22"/>
        <v>272</v>
      </c>
      <c r="P203" s="30">
        <f t="shared" si="23"/>
        <v>2873</v>
      </c>
      <c r="Q203" s="1">
        <f>COUNTIFS($P:$P, "&gt;" &amp; $P203) + 1</f>
        <v>2944</v>
      </c>
      <c r="R203" s="63">
        <f>(COUNTIFS($P:$P, "&gt;" &amp; $P203) + 1) / (COUNTA($I:$I) - 1)</f>
        <v>0.58879999999999999</v>
      </c>
      <c r="S203" s="23">
        <f>SUMIFS($P:$P, $Q:$Q, "&lt;" &amp; $Q203)</f>
        <v>184777849</v>
      </c>
    </row>
    <row r="204" spans="1:19" x14ac:dyDescent="0.25">
      <c r="A204" s="1">
        <v>199</v>
      </c>
      <c r="B204" s="1" t="s">
        <v>2</v>
      </c>
      <c r="C204" s="1" t="str">
        <f>IF($B204 = "Production Item", _xlfn.XLOOKUP($A204, 'Instrument Table'!$J:$J, 'Instrument Table'!$B:$B, $C203), IF($B204 = "Service Item", _xlfn.XLOOKUP($A204, 'Instrument Table'!$I:$I, 'Instrument Table'!$B:$B, $C203), _xlfn.XLOOKUP($A204, 'Instrument Table'!$H:$H, 'Instrument Table'!$B:$B, $C203)))</f>
        <v>Grand Piano</v>
      </c>
      <c r="D204" s="1" t="str">
        <f>VLOOKUP($C204, 'Instrument Table'!$B:$C, 2, FALSE)</f>
        <v>Pianos</v>
      </c>
      <c r="E204" s="1">
        <f t="shared" si="18"/>
        <v>1</v>
      </c>
      <c r="F204" s="1">
        <f>_xlfn.XLOOKUP($C204, 'Instrument Table'!$B:$B, 'Instrument Table'!$A:$A, "")</f>
        <v>10</v>
      </c>
      <c r="G204" s="1" t="str">
        <f>TEXT(IF($B204 = "Retail Item", IF((ROW($A204) - 4504 - _xlfn.XMATCH($C204, $C$4506:$C$5005, 0, 1)) &lt;= VLOOKUP($C204, 'Instrument Table'!$B:$D, 3, FALSE), ROW($A204) - 4504 - _xlfn.XMATCH($C204, $C$4506:$C$5005, 0, 1), 0), 0), "00")</f>
        <v>00</v>
      </c>
      <c r="H204" s="1" t="str">
        <f t="shared" si="19"/>
        <v>198</v>
      </c>
      <c r="I204" s="1" t="str">
        <f t="shared" si="20"/>
        <v>11000-198</v>
      </c>
      <c r="J204" s="1" t="str">
        <f t="shared" si="21"/>
        <v>Grand piano production item #198</v>
      </c>
      <c r="K204" s="1" t="str">
        <f>IF(SUM(COUNTIFS(I:I, I204)) &gt; 1, "DUPLICATE", "UNIQUE")</f>
        <v>UNIQUE</v>
      </c>
      <c r="L204" s="18">
        <v>8</v>
      </c>
      <c r="M204" s="28">
        <v>68</v>
      </c>
      <c r="N204" s="6">
        <v>361</v>
      </c>
      <c r="O204" s="30">
        <f t="shared" si="22"/>
        <v>544</v>
      </c>
      <c r="P204" s="30">
        <f t="shared" si="23"/>
        <v>24548</v>
      </c>
      <c r="Q204" s="1">
        <f>COUNTIFS($P:$P, "&gt;" &amp; $P204) + 1</f>
        <v>852</v>
      </c>
      <c r="R204" s="63">
        <f>(COUNTIFS($P:$P, "&gt;" &amp; $P204) + 1) / (COUNTA($I:$I) - 1)</f>
        <v>0.1704</v>
      </c>
      <c r="S204" s="23">
        <f>SUMIFS($P:$P, $Q:$Q, "&lt;" &amp; $Q204)</f>
        <v>163132717</v>
      </c>
    </row>
    <row r="205" spans="1:19" x14ac:dyDescent="0.25">
      <c r="A205" s="1">
        <v>200</v>
      </c>
      <c r="B205" s="1" t="s">
        <v>2</v>
      </c>
      <c r="C205" s="1" t="str">
        <f>IF($B205 = "Production Item", _xlfn.XLOOKUP($A205, 'Instrument Table'!$J:$J, 'Instrument Table'!$B:$B, $C204), IF($B205 = "Service Item", _xlfn.XLOOKUP($A205, 'Instrument Table'!$I:$I, 'Instrument Table'!$B:$B, $C204), _xlfn.XLOOKUP($A205, 'Instrument Table'!$H:$H, 'Instrument Table'!$B:$B, $C204)))</f>
        <v>Grand Piano</v>
      </c>
      <c r="D205" s="1" t="str">
        <f>VLOOKUP($C205, 'Instrument Table'!$B:$C, 2, FALSE)</f>
        <v>Pianos</v>
      </c>
      <c r="E205" s="1">
        <f t="shared" si="18"/>
        <v>1</v>
      </c>
      <c r="F205" s="1">
        <f>_xlfn.XLOOKUP($C205, 'Instrument Table'!$B:$B, 'Instrument Table'!$A:$A, "")</f>
        <v>10</v>
      </c>
      <c r="G205" s="1" t="str">
        <f>TEXT(IF($B205 = "Retail Item", IF((ROW($A205) - 4504 - _xlfn.XMATCH($C205, $C$4506:$C$5005, 0, 1)) &lt;= VLOOKUP($C205, 'Instrument Table'!$B:$D, 3, FALSE), ROW($A205) - 4504 - _xlfn.XMATCH($C205, $C$4506:$C$5005, 0, 1), 0), 0), "00")</f>
        <v>00</v>
      </c>
      <c r="H205" s="1" t="str">
        <f t="shared" si="19"/>
        <v>199</v>
      </c>
      <c r="I205" s="1" t="str">
        <f t="shared" si="20"/>
        <v>11000-199</v>
      </c>
      <c r="J205" s="1" t="str">
        <f t="shared" si="21"/>
        <v>Grand piano production item #199</v>
      </c>
      <c r="K205" s="1" t="str">
        <f>IF(SUM(COUNTIFS(I:I, I205)) &gt; 1, "DUPLICATE", "UNIQUE")</f>
        <v>UNIQUE</v>
      </c>
      <c r="L205" s="18">
        <v>1</v>
      </c>
      <c r="M205" s="28">
        <v>26</v>
      </c>
      <c r="N205" s="6">
        <v>324</v>
      </c>
      <c r="O205" s="30">
        <f t="shared" si="22"/>
        <v>26</v>
      </c>
      <c r="P205" s="30">
        <f t="shared" si="23"/>
        <v>8424</v>
      </c>
      <c r="Q205" s="1">
        <f>COUNTIFS($P:$P, "&gt;" &amp; $P205) + 1</f>
        <v>1937</v>
      </c>
      <c r="R205" s="63">
        <f>(COUNTIFS($P:$P, "&gt;" &amp; $P205) + 1) / (COUNTA($I:$I) - 1)</f>
        <v>0.38740000000000002</v>
      </c>
      <c r="S205" s="23">
        <f>SUMIFS($P:$P, $Q:$Q, "&lt;" &amp; $Q205)</f>
        <v>179482317</v>
      </c>
    </row>
    <row r="206" spans="1:19" x14ac:dyDescent="0.25">
      <c r="A206" s="1">
        <v>201</v>
      </c>
      <c r="B206" s="1" t="s">
        <v>2</v>
      </c>
      <c r="C206" s="1" t="str">
        <f>IF($B206 = "Production Item", _xlfn.XLOOKUP($A206, 'Instrument Table'!$J:$J, 'Instrument Table'!$B:$B, $C205), IF($B206 = "Service Item", _xlfn.XLOOKUP($A206, 'Instrument Table'!$I:$I, 'Instrument Table'!$B:$B, $C205), _xlfn.XLOOKUP($A206, 'Instrument Table'!$H:$H, 'Instrument Table'!$B:$B, $C205)))</f>
        <v>Grand Piano</v>
      </c>
      <c r="D206" s="1" t="str">
        <f>VLOOKUP($C206, 'Instrument Table'!$B:$C, 2, FALSE)</f>
        <v>Pianos</v>
      </c>
      <c r="E206" s="1">
        <f t="shared" si="18"/>
        <v>1</v>
      </c>
      <c r="F206" s="1">
        <f>_xlfn.XLOOKUP($C206, 'Instrument Table'!$B:$B, 'Instrument Table'!$A:$A, "")</f>
        <v>10</v>
      </c>
      <c r="G206" s="1" t="str">
        <f>TEXT(IF($B206 = "Retail Item", IF((ROW($A206) - 4504 - _xlfn.XMATCH($C206, $C$4506:$C$5005, 0, 1)) &lt;= VLOOKUP($C206, 'Instrument Table'!$B:$D, 3, FALSE), ROW($A206) - 4504 - _xlfn.XMATCH($C206, $C$4506:$C$5005, 0, 1), 0), 0), "00")</f>
        <v>00</v>
      </c>
      <c r="H206" s="1" t="str">
        <f t="shared" si="19"/>
        <v>200</v>
      </c>
      <c r="I206" s="1" t="str">
        <f t="shared" si="20"/>
        <v>11000-200</v>
      </c>
      <c r="J206" s="1" t="str">
        <f t="shared" si="21"/>
        <v>Grand piano production item #200</v>
      </c>
      <c r="K206" s="1" t="str">
        <f>IF(SUM(COUNTIFS(I:I, I206)) &gt; 1, "DUPLICATE", "UNIQUE")</f>
        <v>UNIQUE</v>
      </c>
      <c r="L206" s="18">
        <v>1</v>
      </c>
      <c r="M206" s="28">
        <v>54</v>
      </c>
      <c r="N206" s="6">
        <v>225</v>
      </c>
      <c r="O206" s="30">
        <f t="shared" si="22"/>
        <v>54</v>
      </c>
      <c r="P206" s="30">
        <f t="shared" si="23"/>
        <v>12150</v>
      </c>
      <c r="Q206" s="1">
        <f>COUNTIFS($P:$P, "&gt;" &amp; $P206) + 1</f>
        <v>1566</v>
      </c>
      <c r="R206" s="63">
        <f>(COUNTIFS($P:$P, "&gt;" &amp; $P206) + 1) / (COUNTA($I:$I) - 1)</f>
        <v>0.31319999999999998</v>
      </c>
      <c r="S206" s="23">
        <f>SUMIFS($P:$P, $Q:$Q, "&lt;" &amp; $Q206)</f>
        <v>175670874</v>
      </c>
    </row>
    <row r="207" spans="1:19" x14ac:dyDescent="0.25">
      <c r="A207" s="1">
        <v>202</v>
      </c>
      <c r="B207" s="1" t="s">
        <v>2</v>
      </c>
      <c r="C207" s="1" t="str">
        <f>IF($B207 = "Production Item", _xlfn.XLOOKUP($A207, 'Instrument Table'!$J:$J, 'Instrument Table'!$B:$B, $C206), IF($B207 = "Service Item", _xlfn.XLOOKUP($A207, 'Instrument Table'!$I:$I, 'Instrument Table'!$B:$B, $C206), _xlfn.XLOOKUP($A207, 'Instrument Table'!$H:$H, 'Instrument Table'!$B:$B, $C206)))</f>
        <v>Grand Piano</v>
      </c>
      <c r="D207" s="1" t="str">
        <f>VLOOKUP($C207, 'Instrument Table'!$B:$C, 2, FALSE)</f>
        <v>Pianos</v>
      </c>
      <c r="E207" s="1">
        <f t="shared" si="18"/>
        <v>1</v>
      </c>
      <c r="F207" s="1">
        <f>_xlfn.XLOOKUP($C207, 'Instrument Table'!$B:$B, 'Instrument Table'!$A:$A, "")</f>
        <v>10</v>
      </c>
      <c r="G207" s="1" t="str">
        <f>TEXT(IF($B207 = "Retail Item", IF((ROW($A207) - 4504 - _xlfn.XMATCH($C207, $C$4506:$C$5005, 0, 1)) &lt;= VLOOKUP($C207, 'Instrument Table'!$B:$D, 3, FALSE), ROW($A207) - 4504 - _xlfn.XMATCH($C207, $C$4506:$C$5005, 0, 1), 0), 0), "00")</f>
        <v>00</v>
      </c>
      <c r="H207" s="1" t="str">
        <f t="shared" si="19"/>
        <v>201</v>
      </c>
      <c r="I207" s="1" t="str">
        <f t="shared" si="20"/>
        <v>11000-201</v>
      </c>
      <c r="J207" s="1" t="str">
        <f t="shared" si="21"/>
        <v>Grand piano production item #201</v>
      </c>
      <c r="K207" s="1" t="str">
        <f>IF(SUM(COUNTIFS(I:I, I207)) &gt; 1, "DUPLICATE", "UNIQUE")</f>
        <v>UNIQUE</v>
      </c>
      <c r="L207" s="18">
        <v>1</v>
      </c>
      <c r="M207" s="28">
        <v>77</v>
      </c>
      <c r="N207" s="6">
        <v>196</v>
      </c>
      <c r="O207" s="30">
        <f t="shared" si="22"/>
        <v>77</v>
      </c>
      <c r="P207" s="30">
        <f t="shared" si="23"/>
        <v>15092</v>
      </c>
      <c r="Q207" s="1">
        <f>COUNTIFS($P:$P, "&gt;" &amp; $P207) + 1</f>
        <v>1342</v>
      </c>
      <c r="R207" s="63">
        <f>(COUNTIFS($P:$P, "&gt;" &amp; $P207) + 1) / (COUNTA($I:$I) - 1)</f>
        <v>0.26840000000000003</v>
      </c>
      <c r="S207" s="23">
        <f>SUMIFS($P:$P, $Q:$Q, "&lt;" &amp; $Q207)</f>
        <v>172622350</v>
      </c>
    </row>
    <row r="208" spans="1:19" x14ac:dyDescent="0.25">
      <c r="A208" s="1">
        <v>203</v>
      </c>
      <c r="B208" s="1" t="s">
        <v>2</v>
      </c>
      <c r="C208" s="1" t="str">
        <f>IF($B208 = "Production Item", _xlfn.XLOOKUP($A208, 'Instrument Table'!$J:$J, 'Instrument Table'!$B:$B, $C207), IF($B208 = "Service Item", _xlfn.XLOOKUP($A208, 'Instrument Table'!$I:$I, 'Instrument Table'!$B:$B, $C207), _xlfn.XLOOKUP($A208, 'Instrument Table'!$H:$H, 'Instrument Table'!$B:$B, $C207)))</f>
        <v>Grand Piano</v>
      </c>
      <c r="D208" s="1" t="str">
        <f>VLOOKUP($C208, 'Instrument Table'!$B:$C, 2, FALSE)</f>
        <v>Pianos</v>
      </c>
      <c r="E208" s="1">
        <f t="shared" si="18"/>
        <v>1</v>
      </c>
      <c r="F208" s="1">
        <f>_xlfn.XLOOKUP($C208, 'Instrument Table'!$B:$B, 'Instrument Table'!$A:$A, "")</f>
        <v>10</v>
      </c>
      <c r="G208" s="1" t="str">
        <f>TEXT(IF($B208 = "Retail Item", IF((ROW($A208) - 4504 - _xlfn.XMATCH($C208, $C$4506:$C$5005, 0, 1)) &lt;= VLOOKUP($C208, 'Instrument Table'!$B:$D, 3, FALSE), ROW($A208) - 4504 - _xlfn.XMATCH($C208, $C$4506:$C$5005, 0, 1), 0), 0), "00")</f>
        <v>00</v>
      </c>
      <c r="H208" s="1" t="str">
        <f t="shared" si="19"/>
        <v>202</v>
      </c>
      <c r="I208" s="1" t="str">
        <f t="shared" si="20"/>
        <v>11000-202</v>
      </c>
      <c r="J208" s="1" t="str">
        <f t="shared" si="21"/>
        <v>Grand piano production item #202</v>
      </c>
      <c r="K208" s="1" t="str">
        <f>IF(SUM(COUNTIFS(I:I, I208)) &gt; 1, "DUPLICATE", "UNIQUE")</f>
        <v>UNIQUE</v>
      </c>
      <c r="L208" s="18">
        <v>2</v>
      </c>
      <c r="M208" s="28">
        <v>25</v>
      </c>
      <c r="N208" s="6">
        <v>9</v>
      </c>
      <c r="O208" s="30">
        <f t="shared" si="22"/>
        <v>50</v>
      </c>
      <c r="P208" s="30">
        <f t="shared" si="23"/>
        <v>225</v>
      </c>
      <c r="Q208" s="1">
        <f>COUNTIFS($P:$P, "&gt;" &amp; $P208) + 1</f>
        <v>4292</v>
      </c>
      <c r="R208" s="63">
        <f>(COUNTIFS($P:$P, "&gt;" &amp; $P208) + 1) / (COUNTA($I:$I) - 1)</f>
        <v>0.85840000000000005</v>
      </c>
      <c r="S208" s="23">
        <f>SUMIFS($P:$P, $Q:$Q, "&lt;" &amp; $Q208)</f>
        <v>186505641</v>
      </c>
    </row>
    <row r="209" spans="1:19" x14ac:dyDescent="0.25">
      <c r="A209" s="1">
        <v>204</v>
      </c>
      <c r="B209" s="1" t="s">
        <v>2</v>
      </c>
      <c r="C209" s="1" t="str">
        <f>IF($B209 = "Production Item", _xlfn.XLOOKUP($A209, 'Instrument Table'!$J:$J, 'Instrument Table'!$B:$B, $C208), IF($B209 = "Service Item", _xlfn.XLOOKUP($A209, 'Instrument Table'!$I:$I, 'Instrument Table'!$B:$B, $C208), _xlfn.XLOOKUP($A209, 'Instrument Table'!$H:$H, 'Instrument Table'!$B:$B, $C208)))</f>
        <v>Grand Piano</v>
      </c>
      <c r="D209" s="1" t="str">
        <f>VLOOKUP($C209, 'Instrument Table'!$B:$C, 2, FALSE)</f>
        <v>Pianos</v>
      </c>
      <c r="E209" s="1">
        <f t="shared" si="18"/>
        <v>1</v>
      </c>
      <c r="F209" s="1">
        <f>_xlfn.XLOOKUP($C209, 'Instrument Table'!$B:$B, 'Instrument Table'!$A:$A, "")</f>
        <v>10</v>
      </c>
      <c r="G209" s="1" t="str">
        <f>TEXT(IF($B209 = "Retail Item", IF((ROW($A209) - 4504 - _xlfn.XMATCH($C209, $C$4506:$C$5005, 0, 1)) &lt;= VLOOKUP($C209, 'Instrument Table'!$B:$D, 3, FALSE), ROW($A209) - 4504 - _xlfn.XMATCH($C209, $C$4506:$C$5005, 0, 1), 0), 0), "00")</f>
        <v>00</v>
      </c>
      <c r="H209" s="1" t="str">
        <f t="shared" si="19"/>
        <v>203</v>
      </c>
      <c r="I209" s="1" t="str">
        <f t="shared" si="20"/>
        <v>11000-203</v>
      </c>
      <c r="J209" s="1" t="str">
        <f t="shared" si="21"/>
        <v>Grand piano production item #203</v>
      </c>
      <c r="K209" s="1" t="str">
        <f>IF(SUM(COUNTIFS(I:I, I209)) &gt; 1, "DUPLICATE", "UNIQUE")</f>
        <v>UNIQUE</v>
      </c>
      <c r="L209" s="18">
        <v>1</v>
      </c>
      <c r="M209" s="28">
        <v>95</v>
      </c>
      <c r="N209" s="6">
        <v>9</v>
      </c>
      <c r="O209" s="30">
        <f t="shared" si="22"/>
        <v>95</v>
      </c>
      <c r="P209" s="30">
        <f t="shared" si="23"/>
        <v>855</v>
      </c>
      <c r="Q209" s="1">
        <f>COUNTIFS($P:$P, "&gt;" &amp; $P209) + 1</f>
        <v>3757</v>
      </c>
      <c r="R209" s="63">
        <f>(COUNTIFS($P:$P, "&gt;" &amp; $P209) + 1) / (COUNTA($I:$I) - 1)</f>
        <v>0.75139999999999996</v>
      </c>
      <c r="S209" s="23">
        <f>SUMIFS($P:$P, $Q:$Q, "&lt;" &amp; $Q209)</f>
        <v>186230229</v>
      </c>
    </row>
    <row r="210" spans="1:19" x14ac:dyDescent="0.25">
      <c r="A210" s="1">
        <v>205</v>
      </c>
      <c r="B210" s="1" t="s">
        <v>2</v>
      </c>
      <c r="C210" s="1" t="str">
        <f>IF($B210 = "Production Item", _xlfn.XLOOKUP($A210, 'Instrument Table'!$J:$J, 'Instrument Table'!$B:$B, $C209), IF($B210 = "Service Item", _xlfn.XLOOKUP($A210, 'Instrument Table'!$I:$I, 'Instrument Table'!$B:$B, $C209), _xlfn.XLOOKUP($A210, 'Instrument Table'!$H:$H, 'Instrument Table'!$B:$B, $C209)))</f>
        <v>Grand Piano</v>
      </c>
      <c r="D210" s="1" t="str">
        <f>VLOOKUP($C210, 'Instrument Table'!$B:$C, 2, FALSE)</f>
        <v>Pianos</v>
      </c>
      <c r="E210" s="1">
        <f t="shared" si="18"/>
        <v>1</v>
      </c>
      <c r="F210" s="1">
        <f>_xlfn.XLOOKUP($C210, 'Instrument Table'!$B:$B, 'Instrument Table'!$A:$A, "")</f>
        <v>10</v>
      </c>
      <c r="G210" s="1" t="str">
        <f>TEXT(IF($B210 = "Retail Item", IF((ROW($A210) - 4504 - _xlfn.XMATCH($C210, $C$4506:$C$5005, 0, 1)) &lt;= VLOOKUP($C210, 'Instrument Table'!$B:$D, 3, FALSE), ROW($A210) - 4504 - _xlfn.XMATCH($C210, $C$4506:$C$5005, 0, 1), 0), 0), "00")</f>
        <v>00</v>
      </c>
      <c r="H210" s="1" t="str">
        <f t="shared" si="19"/>
        <v>204</v>
      </c>
      <c r="I210" s="1" t="str">
        <f t="shared" si="20"/>
        <v>11000-204</v>
      </c>
      <c r="J210" s="1" t="str">
        <f t="shared" si="21"/>
        <v>Grand piano production item #204</v>
      </c>
      <c r="K210" s="1" t="str">
        <f>IF(SUM(COUNTIFS(I:I, I210)) &gt; 1, "DUPLICATE", "UNIQUE")</f>
        <v>UNIQUE</v>
      </c>
      <c r="L210" s="18">
        <v>16</v>
      </c>
      <c r="M210" s="28">
        <v>21</v>
      </c>
      <c r="N210" s="6">
        <v>0</v>
      </c>
      <c r="O210" s="30">
        <f t="shared" si="22"/>
        <v>336</v>
      </c>
      <c r="P210" s="30">
        <f t="shared" si="23"/>
        <v>0</v>
      </c>
      <c r="Q210" s="1">
        <f>COUNTIFS($P:$P, "&gt;" &amp; $P210) + 1</f>
        <v>4746</v>
      </c>
      <c r="R210" s="63">
        <f>(COUNTIFS($P:$P, "&gt;" &amp; $P210) + 1) / (COUNTA($I:$I) - 1)</f>
        <v>0.94920000000000004</v>
      </c>
      <c r="S210" s="23">
        <f>SUMIFS($P:$P, $Q:$Q, "&lt;" &amp; $Q210)</f>
        <v>186547861</v>
      </c>
    </row>
    <row r="211" spans="1:19" x14ac:dyDescent="0.25">
      <c r="A211" s="1">
        <v>206</v>
      </c>
      <c r="B211" s="1" t="s">
        <v>2</v>
      </c>
      <c r="C211" s="1" t="str">
        <f>IF($B211 = "Production Item", _xlfn.XLOOKUP($A211, 'Instrument Table'!$J:$J, 'Instrument Table'!$B:$B, $C210), IF($B211 = "Service Item", _xlfn.XLOOKUP($A211, 'Instrument Table'!$I:$I, 'Instrument Table'!$B:$B, $C210), _xlfn.XLOOKUP($A211, 'Instrument Table'!$H:$H, 'Instrument Table'!$B:$B, $C210)))</f>
        <v>Grand Piano</v>
      </c>
      <c r="D211" s="1" t="str">
        <f>VLOOKUP($C211, 'Instrument Table'!$B:$C, 2, FALSE)</f>
        <v>Pianos</v>
      </c>
      <c r="E211" s="1">
        <f t="shared" si="18"/>
        <v>1</v>
      </c>
      <c r="F211" s="1">
        <f>_xlfn.XLOOKUP($C211, 'Instrument Table'!$B:$B, 'Instrument Table'!$A:$A, "")</f>
        <v>10</v>
      </c>
      <c r="G211" s="1" t="str">
        <f>TEXT(IF($B211 = "Retail Item", IF((ROW($A211) - 4504 - _xlfn.XMATCH($C211, $C$4506:$C$5005, 0, 1)) &lt;= VLOOKUP($C211, 'Instrument Table'!$B:$D, 3, FALSE), ROW($A211) - 4504 - _xlfn.XMATCH($C211, $C$4506:$C$5005, 0, 1), 0), 0), "00")</f>
        <v>00</v>
      </c>
      <c r="H211" s="1" t="str">
        <f t="shared" si="19"/>
        <v>205</v>
      </c>
      <c r="I211" s="1" t="str">
        <f t="shared" si="20"/>
        <v>11000-205</v>
      </c>
      <c r="J211" s="1" t="str">
        <f t="shared" si="21"/>
        <v>Grand piano production item #205</v>
      </c>
      <c r="K211" s="1" t="str">
        <f>IF(SUM(COUNTIFS(I:I, I211)) &gt; 1, "DUPLICATE", "UNIQUE")</f>
        <v>UNIQUE</v>
      </c>
      <c r="L211" s="18">
        <v>0</v>
      </c>
      <c r="M211" s="28">
        <v>86</v>
      </c>
      <c r="N211" s="6">
        <v>324</v>
      </c>
      <c r="O211" s="30">
        <f t="shared" si="22"/>
        <v>0</v>
      </c>
      <c r="P211" s="30">
        <f t="shared" si="23"/>
        <v>27864</v>
      </c>
      <c r="Q211" s="1">
        <f>COUNTIFS($P:$P, "&gt;" &amp; $P211) + 1</f>
        <v>732</v>
      </c>
      <c r="R211" s="63">
        <f>(COUNTIFS($P:$P, "&gt;" &amp; $P211) + 1) / (COUNTA($I:$I) - 1)</f>
        <v>0.1464</v>
      </c>
      <c r="S211" s="23">
        <f>SUMIFS($P:$P, $Q:$Q, "&lt;" &amp; $Q211)</f>
        <v>160011730</v>
      </c>
    </row>
    <row r="212" spans="1:19" x14ac:dyDescent="0.25">
      <c r="A212" s="1">
        <v>207</v>
      </c>
      <c r="B212" s="1" t="s">
        <v>2</v>
      </c>
      <c r="C212" s="1" t="str">
        <f>IF($B212 = "Production Item", _xlfn.XLOOKUP($A212, 'Instrument Table'!$J:$J, 'Instrument Table'!$B:$B, $C211), IF($B212 = "Service Item", _xlfn.XLOOKUP($A212, 'Instrument Table'!$I:$I, 'Instrument Table'!$B:$B, $C211), _xlfn.XLOOKUP($A212, 'Instrument Table'!$H:$H, 'Instrument Table'!$B:$B, $C211)))</f>
        <v>Grand Piano</v>
      </c>
      <c r="D212" s="1" t="str">
        <f>VLOOKUP($C212, 'Instrument Table'!$B:$C, 2, FALSE)</f>
        <v>Pianos</v>
      </c>
      <c r="E212" s="1">
        <f t="shared" si="18"/>
        <v>1</v>
      </c>
      <c r="F212" s="1">
        <f>_xlfn.XLOOKUP($C212, 'Instrument Table'!$B:$B, 'Instrument Table'!$A:$A, "")</f>
        <v>10</v>
      </c>
      <c r="G212" s="1" t="str">
        <f>TEXT(IF($B212 = "Retail Item", IF((ROW($A212) - 4504 - _xlfn.XMATCH($C212, $C$4506:$C$5005, 0, 1)) &lt;= VLOOKUP($C212, 'Instrument Table'!$B:$D, 3, FALSE), ROW($A212) - 4504 - _xlfn.XMATCH($C212, $C$4506:$C$5005, 0, 1), 0), 0), "00")</f>
        <v>00</v>
      </c>
      <c r="H212" s="1" t="str">
        <f t="shared" si="19"/>
        <v>206</v>
      </c>
      <c r="I212" s="1" t="str">
        <f t="shared" si="20"/>
        <v>11000-206</v>
      </c>
      <c r="J212" s="1" t="str">
        <f t="shared" si="21"/>
        <v>Grand piano production item #206</v>
      </c>
      <c r="K212" s="1" t="str">
        <f>IF(SUM(COUNTIFS(I:I, I212)) &gt; 1, "DUPLICATE", "UNIQUE")</f>
        <v>UNIQUE</v>
      </c>
      <c r="L212" s="18">
        <v>16</v>
      </c>
      <c r="M212" s="28">
        <v>34</v>
      </c>
      <c r="N212" s="6">
        <v>81</v>
      </c>
      <c r="O212" s="30">
        <f t="shared" si="22"/>
        <v>544</v>
      </c>
      <c r="P212" s="30">
        <f t="shared" si="23"/>
        <v>2754</v>
      </c>
      <c r="Q212" s="1">
        <f>COUNTIFS($P:$P, "&gt;" &amp; $P212) + 1</f>
        <v>2968</v>
      </c>
      <c r="R212" s="63">
        <f>(COUNTIFS($P:$P, "&gt;" &amp; $P212) + 1) / (COUNTA($I:$I) - 1)</f>
        <v>0.59360000000000002</v>
      </c>
      <c r="S212" s="23">
        <f>SUMIFS($P:$P, $Q:$Q, "&lt;" &amp; $Q212)</f>
        <v>184845628</v>
      </c>
    </row>
    <row r="213" spans="1:19" x14ac:dyDescent="0.25">
      <c r="A213" s="1">
        <v>208</v>
      </c>
      <c r="B213" s="1" t="s">
        <v>2</v>
      </c>
      <c r="C213" s="1" t="str">
        <f>IF($B213 = "Production Item", _xlfn.XLOOKUP($A213, 'Instrument Table'!$J:$J, 'Instrument Table'!$B:$B, $C212), IF($B213 = "Service Item", _xlfn.XLOOKUP($A213, 'Instrument Table'!$I:$I, 'Instrument Table'!$B:$B, $C212), _xlfn.XLOOKUP($A213, 'Instrument Table'!$H:$H, 'Instrument Table'!$B:$B, $C212)))</f>
        <v>Grand Piano</v>
      </c>
      <c r="D213" s="1" t="str">
        <f>VLOOKUP($C213, 'Instrument Table'!$B:$C, 2, FALSE)</f>
        <v>Pianos</v>
      </c>
      <c r="E213" s="1">
        <f t="shared" si="18"/>
        <v>1</v>
      </c>
      <c r="F213" s="1">
        <f>_xlfn.XLOOKUP($C213, 'Instrument Table'!$B:$B, 'Instrument Table'!$A:$A, "")</f>
        <v>10</v>
      </c>
      <c r="G213" s="1" t="str">
        <f>TEXT(IF($B213 = "Retail Item", IF((ROW($A213) - 4504 - _xlfn.XMATCH($C213, $C$4506:$C$5005, 0, 1)) &lt;= VLOOKUP($C213, 'Instrument Table'!$B:$D, 3, FALSE), ROW($A213) - 4504 - _xlfn.XMATCH($C213, $C$4506:$C$5005, 0, 1), 0), 0), "00")</f>
        <v>00</v>
      </c>
      <c r="H213" s="1" t="str">
        <f t="shared" si="19"/>
        <v>207</v>
      </c>
      <c r="I213" s="1" t="str">
        <f t="shared" si="20"/>
        <v>11000-207</v>
      </c>
      <c r="J213" s="1" t="str">
        <f t="shared" si="21"/>
        <v>Grand piano production item #207</v>
      </c>
      <c r="K213" s="1" t="str">
        <f>IF(SUM(COUNTIFS(I:I, I213)) &gt; 1, "DUPLICATE", "UNIQUE")</f>
        <v>UNIQUE</v>
      </c>
      <c r="L213" s="18">
        <v>0</v>
      </c>
      <c r="M213" s="28">
        <v>68</v>
      </c>
      <c r="N213" s="6">
        <v>361</v>
      </c>
      <c r="O213" s="30">
        <f t="shared" si="22"/>
        <v>0</v>
      </c>
      <c r="P213" s="30">
        <f t="shared" si="23"/>
        <v>24548</v>
      </c>
      <c r="Q213" s="1">
        <f>COUNTIFS($P:$P, "&gt;" &amp; $P213) + 1</f>
        <v>852</v>
      </c>
      <c r="R213" s="63">
        <f>(COUNTIFS($P:$P, "&gt;" &amp; $P213) + 1) / (COUNTA($I:$I) - 1)</f>
        <v>0.1704</v>
      </c>
      <c r="S213" s="23">
        <f>SUMIFS($P:$P, $Q:$Q, "&lt;" &amp; $Q213)</f>
        <v>163132717</v>
      </c>
    </row>
    <row r="214" spans="1:19" x14ac:dyDescent="0.25">
      <c r="A214" s="1">
        <v>209</v>
      </c>
      <c r="B214" s="1" t="s">
        <v>2</v>
      </c>
      <c r="C214" s="1" t="str">
        <f>IF($B214 = "Production Item", _xlfn.XLOOKUP($A214, 'Instrument Table'!$J:$J, 'Instrument Table'!$B:$B, $C213), IF($B214 = "Service Item", _xlfn.XLOOKUP($A214, 'Instrument Table'!$I:$I, 'Instrument Table'!$B:$B, $C213), _xlfn.XLOOKUP($A214, 'Instrument Table'!$H:$H, 'Instrument Table'!$B:$B, $C213)))</f>
        <v>Grand Piano</v>
      </c>
      <c r="D214" s="1" t="str">
        <f>VLOOKUP($C214, 'Instrument Table'!$B:$C, 2, FALSE)</f>
        <v>Pianos</v>
      </c>
      <c r="E214" s="1">
        <f t="shared" si="18"/>
        <v>1</v>
      </c>
      <c r="F214" s="1">
        <f>_xlfn.XLOOKUP($C214, 'Instrument Table'!$B:$B, 'Instrument Table'!$A:$A, "")</f>
        <v>10</v>
      </c>
      <c r="G214" s="1" t="str">
        <f>TEXT(IF($B214 = "Retail Item", IF((ROW($A214) - 4504 - _xlfn.XMATCH($C214, $C$4506:$C$5005, 0, 1)) &lt;= VLOOKUP($C214, 'Instrument Table'!$B:$D, 3, FALSE), ROW($A214) - 4504 - _xlfn.XMATCH($C214, $C$4506:$C$5005, 0, 1), 0), 0), "00")</f>
        <v>00</v>
      </c>
      <c r="H214" s="1" t="str">
        <f t="shared" si="19"/>
        <v>208</v>
      </c>
      <c r="I214" s="1" t="str">
        <f t="shared" si="20"/>
        <v>11000-208</v>
      </c>
      <c r="J214" s="1" t="str">
        <f t="shared" si="21"/>
        <v>Grand piano production item #208</v>
      </c>
      <c r="K214" s="1" t="str">
        <f>IF(SUM(COUNTIFS(I:I, I214)) &gt; 1, "DUPLICATE", "UNIQUE")</f>
        <v>UNIQUE</v>
      </c>
      <c r="L214" s="18">
        <v>0</v>
      </c>
      <c r="M214" s="28">
        <v>2</v>
      </c>
      <c r="N214" s="6">
        <v>16</v>
      </c>
      <c r="O214" s="30">
        <f t="shared" si="22"/>
        <v>0</v>
      </c>
      <c r="P214" s="30">
        <f t="shared" si="23"/>
        <v>32</v>
      </c>
      <c r="Q214" s="1">
        <f>COUNTIFS($P:$P, "&gt;" &amp; $P214) + 1</f>
        <v>4658</v>
      </c>
      <c r="R214" s="63">
        <f>(COUNTIFS($P:$P, "&gt;" &amp; $P214) + 1) / (COUNTA($I:$I) - 1)</f>
        <v>0.93159999999999998</v>
      </c>
      <c r="S214" s="23">
        <f>SUMIFS($P:$P, $Q:$Q, "&lt;" &amp; $Q214)</f>
        <v>186546308</v>
      </c>
    </row>
    <row r="215" spans="1:19" x14ac:dyDescent="0.25">
      <c r="A215" s="1">
        <v>210</v>
      </c>
      <c r="B215" s="1" t="s">
        <v>2</v>
      </c>
      <c r="C215" s="1" t="str">
        <f>IF($B215 = "Production Item", _xlfn.XLOOKUP($A215, 'Instrument Table'!$J:$J, 'Instrument Table'!$B:$B, $C214), IF($B215 = "Service Item", _xlfn.XLOOKUP($A215, 'Instrument Table'!$I:$I, 'Instrument Table'!$B:$B, $C214), _xlfn.XLOOKUP($A215, 'Instrument Table'!$H:$H, 'Instrument Table'!$B:$B, $C214)))</f>
        <v>Grand Piano</v>
      </c>
      <c r="D215" s="1" t="str">
        <f>VLOOKUP($C215, 'Instrument Table'!$B:$C, 2, FALSE)</f>
        <v>Pianos</v>
      </c>
      <c r="E215" s="1">
        <f t="shared" si="18"/>
        <v>1</v>
      </c>
      <c r="F215" s="1">
        <f>_xlfn.XLOOKUP($C215, 'Instrument Table'!$B:$B, 'Instrument Table'!$A:$A, "")</f>
        <v>10</v>
      </c>
      <c r="G215" s="1" t="str">
        <f>TEXT(IF($B215 = "Retail Item", IF((ROW($A215) - 4504 - _xlfn.XMATCH($C215, $C$4506:$C$5005, 0, 1)) &lt;= VLOOKUP($C215, 'Instrument Table'!$B:$D, 3, FALSE), ROW($A215) - 4504 - _xlfn.XMATCH($C215, $C$4506:$C$5005, 0, 1), 0), 0), "00")</f>
        <v>00</v>
      </c>
      <c r="H215" s="1" t="str">
        <f t="shared" si="19"/>
        <v>209</v>
      </c>
      <c r="I215" s="1" t="str">
        <f t="shared" si="20"/>
        <v>11000-209</v>
      </c>
      <c r="J215" s="1" t="str">
        <f t="shared" si="21"/>
        <v>Grand piano production item #209</v>
      </c>
      <c r="K215" s="1" t="str">
        <f>IF(SUM(COUNTIFS(I:I, I215)) &gt; 1, "DUPLICATE", "UNIQUE")</f>
        <v>UNIQUE</v>
      </c>
      <c r="L215" s="18">
        <v>1</v>
      </c>
      <c r="M215" s="28">
        <v>51</v>
      </c>
      <c r="N215" s="6">
        <v>100</v>
      </c>
      <c r="O215" s="30">
        <f t="shared" si="22"/>
        <v>51</v>
      </c>
      <c r="P215" s="30">
        <f t="shared" si="23"/>
        <v>5100</v>
      </c>
      <c r="Q215" s="1">
        <f>COUNTIFS($P:$P, "&gt;" &amp; $P215) + 1</f>
        <v>2427</v>
      </c>
      <c r="R215" s="63">
        <f>(COUNTIFS($P:$P, "&gt;" &amp; $P215) + 1) / (COUNTA($I:$I) - 1)</f>
        <v>0.4854</v>
      </c>
      <c r="S215" s="23">
        <f>SUMIFS($P:$P, $Q:$Q, "&lt;" &amp; $Q215)</f>
        <v>182756237</v>
      </c>
    </row>
    <row r="216" spans="1:19" x14ac:dyDescent="0.25">
      <c r="A216" s="1">
        <v>211</v>
      </c>
      <c r="B216" s="1" t="s">
        <v>2</v>
      </c>
      <c r="C216" s="1" t="str">
        <f>IF($B216 = "Production Item", _xlfn.XLOOKUP($A216, 'Instrument Table'!$J:$J, 'Instrument Table'!$B:$B, $C215), IF($B216 = "Service Item", _xlfn.XLOOKUP($A216, 'Instrument Table'!$I:$I, 'Instrument Table'!$B:$B, $C215), _xlfn.XLOOKUP($A216, 'Instrument Table'!$H:$H, 'Instrument Table'!$B:$B, $C215)))</f>
        <v>Grand Piano</v>
      </c>
      <c r="D216" s="1" t="str">
        <f>VLOOKUP($C216, 'Instrument Table'!$B:$C, 2, FALSE)</f>
        <v>Pianos</v>
      </c>
      <c r="E216" s="1">
        <f t="shared" si="18"/>
        <v>1</v>
      </c>
      <c r="F216" s="1">
        <f>_xlfn.XLOOKUP($C216, 'Instrument Table'!$B:$B, 'Instrument Table'!$A:$A, "")</f>
        <v>10</v>
      </c>
      <c r="G216" s="1" t="str">
        <f>TEXT(IF($B216 = "Retail Item", IF((ROW($A216) - 4504 - _xlfn.XMATCH($C216, $C$4506:$C$5005, 0, 1)) &lt;= VLOOKUP($C216, 'Instrument Table'!$B:$D, 3, FALSE), ROW($A216) - 4504 - _xlfn.XMATCH($C216, $C$4506:$C$5005, 0, 1), 0), 0), "00")</f>
        <v>00</v>
      </c>
      <c r="H216" s="1" t="str">
        <f t="shared" si="19"/>
        <v>210</v>
      </c>
      <c r="I216" s="1" t="str">
        <f t="shared" si="20"/>
        <v>11000-210</v>
      </c>
      <c r="J216" s="1" t="str">
        <f t="shared" si="21"/>
        <v>Grand piano production item #210</v>
      </c>
      <c r="K216" s="1" t="str">
        <f>IF(SUM(COUNTIFS(I:I, I216)) &gt; 1, "DUPLICATE", "UNIQUE")</f>
        <v>UNIQUE</v>
      </c>
      <c r="L216" s="18">
        <v>2</v>
      </c>
      <c r="M216" s="28">
        <v>23</v>
      </c>
      <c r="N216" s="6">
        <v>4</v>
      </c>
      <c r="O216" s="30">
        <f t="shared" si="22"/>
        <v>46</v>
      </c>
      <c r="P216" s="30">
        <f t="shared" si="23"/>
        <v>92</v>
      </c>
      <c r="Q216" s="1">
        <f>COUNTIFS($P:$P, "&gt;" &amp; $P216) + 1</f>
        <v>4476</v>
      </c>
      <c r="R216" s="63">
        <f>(COUNTIFS($P:$P, "&gt;" &amp; $P216) + 1) / (COUNTA($I:$I) - 1)</f>
        <v>0.8952</v>
      </c>
      <c r="S216" s="23">
        <f>SUMIFS($P:$P, $Q:$Q, "&lt;" &amp; $Q216)</f>
        <v>186534752</v>
      </c>
    </row>
    <row r="217" spans="1:19" x14ac:dyDescent="0.25">
      <c r="A217" s="1">
        <v>212</v>
      </c>
      <c r="B217" s="1" t="s">
        <v>2</v>
      </c>
      <c r="C217" s="1" t="str">
        <f>IF($B217 = "Production Item", _xlfn.XLOOKUP($A217, 'Instrument Table'!$J:$J, 'Instrument Table'!$B:$B, $C216), IF($B217 = "Service Item", _xlfn.XLOOKUP($A217, 'Instrument Table'!$I:$I, 'Instrument Table'!$B:$B, $C216), _xlfn.XLOOKUP($A217, 'Instrument Table'!$H:$H, 'Instrument Table'!$B:$B, $C216)))</f>
        <v>Grand Piano</v>
      </c>
      <c r="D217" s="1" t="str">
        <f>VLOOKUP($C217, 'Instrument Table'!$B:$C, 2, FALSE)</f>
        <v>Pianos</v>
      </c>
      <c r="E217" s="1">
        <f t="shared" si="18"/>
        <v>1</v>
      </c>
      <c r="F217" s="1">
        <f>_xlfn.XLOOKUP($C217, 'Instrument Table'!$B:$B, 'Instrument Table'!$A:$A, "")</f>
        <v>10</v>
      </c>
      <c r="G217" s="1" t="str">
        <f>TEXT(IF($B217 = "Retail Item", IF((ROW($A217) - 4504 - _xlfn.XMATCH($C217, $C$4506:$C$5005, 0, 1)) &lt;= VLOOKUP($C217, 'Instrument Table'!$B:$D, 3, FALSE), ROW($A217) - 4504 - _xlfn.XMATCH($C217, $C$4506:$C$5005, 0, 1), 0), 0), "00")</f>
        <v>00</v>
      </c>
      <c r="H217" s="1" t="str">
        <f t="shared" si="19"/>
        <v>211</v>
      </c>
      <c r="I217" s="1" t="str">
        <f t="shared" si="20"/>
        <v>11000-211</v>
      </c>
      <c r="J217" s="1" t="str">
        <f t="shared" si="21"/>
        <v>Grand piano production item #211</v>
      </c>
      <c r="K217" s="1" t="str">
        <f>IF(SUM(COUNTIFS(I:I, I217)) &gt; 1, "DUPLICATE", "UNIQUE")</f>
        <v>UNIQUE</v>
      </c>
      <c r="L217" s="18">
        <v>16</v>
      </c>
      <c r="M217" s="28">
        <v>68</v>
      </c>
      <c r="N217" s="6">
        <v>9</v>
      </c>
      <c r="O217" s="30">
        <f t="shared" si="22"/>
        <v>1088</v>
      </c>
      <c r="P217" s="30">
        <f t="shared" si="23"/>
        <v>612</v>
      </c>
      <c r="Q217" s="1">
        <f>COUNTIFS($P:$P, "&gt;" &amp; $P217) + 1</f>
        <v>3930</v>
      </c>
      <c r="R217" s="63">
        <f>(COUNTIFS($P:$P, "&gt;" &amp; $P217) + 1) / (COUNTA($I:$I) - 1)</f>
        <v>0.78600000000000003</v>
      </c>
      <c r="S217" s="23">
        <f>SUMIFS($P:$P, $Q:$Q, "&lt;" &amp; $Q217)</f>
        <v>186358253</v>
      </c>
    </row>
    <row r="218" spans="1:19" x14ac:dyDescent="0.25">
      <c r="A218" s="1">
        <v>213</v>
      </c>
      <c r="B218" s="1" t="s">
        <v>2</v>
      </c>
      <c r="C218" s="1" t="str">
        <f>IF($B218 = "Production Item", _xlfn.XLOOKUP($A218, 'Instrument Table'!$J:$J, 'Instrument Table'!$B:$B, $C217), IF($B218 = "Service Item", _xlfn.XLOOKUP($A218, 'Instrument Table'!$I:$I, 'Instrument Table'!$B:$B, $C217), _xlfn.XLOOKUP($A218, 'Instrument Table'!$H:$H, 'Instrument Table'!$B:$B, $C217)))</f>
        <v>Grand Piano</v>
      </c>
      <c r="D218" s="1" t="str">
        <f>VLOOKUP($C218, 'Instrument Table'!$B:$C, 2, FALSE)</f>
        <v>Pianos</v>
      </c>
      <c r="E218" s="1">
        <f t="shared" si="18"/>
        <v>1</v>
      </c>
      <c r="F218" s="1">
        <f>_xlfn.XLOOKUP($C218, 'Instrument Table'!$B:$B, 'Instrument Table'!$A:$A, "")</f>
        <v>10</v>
      </c>
      <c r="G218" s="1" t="str">
        <f>TEXT(IF($B218 = "Retail Item", IF((ROW($A218) - 4504 - _xlfn.XMATCH($C218, $C$4506:$C$5005, 0, 1)) &lt;= VLOOKUP($C218, 'Instrument Table'!$B:$D, 3, FALSE), ROW($A218) - 4504 - _xlfn.XMATCH($C218, $C$4506:$C$5005, 0, 1), 0), 0), "00")</f>
        <v>00</v>
      </c>
      <c r="H218" s="1" t="str">
        <f t="shared" si="19"/>
        <v>212</v>
      </c>
      <c r="I218" s="1" t="str">
        <f t="shared" si="20"/>
        <v>11000-212</v>
      </c>
      <c r="J218" s="1" t="str">
        <f t="shared" si="21"/>
        <v>Grand piano production item #212</v>
      </c>
      <c r="K218" s="1" t="str">
        <f>IF(SUM(COUNTIFS(I:I, I218)) &gt; 1, "DUPLICATE", "UNIQUE")</f>
        <v>UNIQUE</v>
      </c>
      <c r="L218" s="18">
        <v>8</v>
      </c>
      <c r="M218" s="28">
        <v>53</v>
      </c>
      <c r="N218" s="6">
        <v>100</v>
      </c>
      <c r="O218" s="30">
        <f t="shared" si="22"/>
        <v>424</v>
      </c>
      <c r="P218" s="30">
        <f t="shared" si="23"/>
        <v>5300</v>
      </c>
      <c r="Q218" s="1">
        <f>COUNTIFS($P:$P, "&gt;" &amp; $P218) + 1</f>
        <v>2386</v>
      </c>
      <c r="R218" s="63">
        <f>(COUNTIFS($P:$P, "&gt;" &amp; $P218) + 1) / (COUNTA($I:$I) - 1)</f>
        <v>0.47720000000000001</v>
      </c>
      <c r="S218" s="23">
        <f>SUMIFS($P:$P, $Q:$Q, "&lt;" &amp; $Q218)</f>
        <v>182542741</v>
      </c>
    </row>
    <row r="219" spans="1:19" x14ac:dyDescent="0.25">
      <c r="A219" s="1">
        <v>214</v>
      </c>
      <c r="B219" s="1" t="s">
        <v>2</v>
      </c>
      <c r="C219" s="1" t="str">
        <f>IF($B219 = "Production Item", _xlfn.XLOOKUP($A219, 'Instrument Table'!$J:$J, 'Instrument Table'!$B:$B, $C218), IF($B219 = "Service Item", _xlfn.XLOOKUP($A219, 'Instrument Table'!$I:$I, 'Instrument Table'!$B:$B, $C218), _xlfn.XLOOKUP($A219, 'Instrument Table'!$H:$H, 'Instrument Table'!$B:$B, $C218)))</f>
        <v>Grand Piano</v>
      </c>
      <c r="D219" s="1" t="str">
        <f>VLOOKUP($C219, 'Instrument Table'!$B:$C, 2, FALSE)</f>
        <v>Pianos</v>
      </c>
      <c r="E219" s="1">
        <f t="shared" si="18"/>
        <v>1</v>
      </c>
      <c r="F219" s="1">
        <f>_xlfn.XLOOKUP($C219, 'Instrument Table'!$B:$B, 'Instrument Table'!$A:$A, "")</f>
        <v>10</v>
      </c>
      <c r="G219" s="1" t="str">
        <f>TEXT(IF($B219 = "Retail Item", IF((ROW($A219) - 4504 - _xlfn.XMATCH($C219, $C$4506:$C$5005, 0, 1)) &lt;= VLOOKUP($C219, 'Instrument Table'!$B:$D, 3, FALSE), ROW($A219) - 4504 - _xlfn.XMATCH($C219, $C$4506:$C$5005, 0, 1), 0), 0), "00")</f>
        <v>00</v>
      </c>
      <c r="H219" s="1" t="str">
        <f t="shared" si="19"/>
        <v>213</v>
      </c>
      <c r="I219" s="1" t="str">
        <f t="shared" si="20"/>
        <v>11000-213</v>
      </c>
      <c r="J219" s="1" t="str">
        <f t="shared" si="21"/>
        <v>Grand piano production item #213</v>
      </c>
      <c r="K219" s="1" t="str">
        <f>IF(SUM(COUNTIFS(I:I, I219)) &gt; 1, "DUPLICATE", "UNIQUE")</f>
        <v>UNIQUE</v>
      </c>
      <c r="L219" s="18">
        <v>1</v>
      </c>
      <c r="M219" s="28">
        <v>62</v>
      </c>
      <c r="N219" s="6">
        <v>16</v>
      </c>
      <c r="O219" s="30">
        <f t="shared" si="22"/>
        <v>62</v>
      </c>
      <c r="P219" s="30">
        <f t="shared" si="23"/>
        <v>992</v>
      </c>
      <c r="Q219" s="1">
        <f>COUNTIFS($P:$P, "&gt;" &amp; $P219) + 1</f>
        <v>3685</v>
      </c>
      <c r="R219" s="63">
        <f>(COUNTIFS($P:$P, "&gt;" &amp; $P219) + 1) / (COUNTA($I:$I) - 1)</f>
        <v>0.73699999999999999</v>
      </c>
      <c r="S219" s="23">
        <f>SUMIFS($P:$P, $Q:$Q, "&lt;" &amp; $Q219)</f>
        <v>186164143</v>
      </c>
    </row>
    <row r="220" spans="1:19" x14ac:dyDescent="0.25">
      <c r="A220" s="1">
        <v>215</v>
      </c>
      <c r="B220" s="1" t="s">
        <v>2</v>
      </c>
      <c r="C220" s="1" t="str">
        <f>IF($B220 = "Production Item", _xlfn.XLOOKUP($A220, 'Instrument Table'!$J:$J, 'Instrument Table'!$B:$B, $C219), IF($B220 = "Service Item", _xlfn.XLOOKUP($A220, 'Instrument Table'!$I:$I, 'Instrument Table'!$B:$B, $C219), _xlfn.XLOOKUP($A220, 'Instrument Table'!$H:$H, 'Instrument Table'!$B:$B, $C219)))</f>
        <v>Grand Piano</v>
      </c>
      <c r="D220" s="1" t="str">
        <f>VLOOKUP($C220, 'Instrument Table'!$B:$C, 2, FALSE)</f>
        <v>Pianos</v>
      </c>
      <c r="E220" s="1">
        <f t="shared" si="18"/>
        <v>1</v>
      </c>
      <c r="F220" s="1">
        <f>_xlfn.XLOOKUP($C220, 'Instrument Table'!$B:$B, 'Instrument Table'!$A:$A, "")</f>
        <v>10</v>
      </c>
      <c r="G220" s="1" t="str">
        <f>TEXT(IF($B220 = "Retail Item", IF((ROW($A220) - 4504 - _xlfn.XMATCH($C220, $C$4506:$C$5005, 0, 1)) &lt;= VLOOKUP($C220, 'Instrument Table'!$B:$D, 3, FALSE), ROW($A220) - 4504 - _xlfn.XMATCH($C220, $C$4506:$C$5005, 0, 1), 0), 0), "00")</f>
        <v>00</v>
      </c>
      <c r="H220" s="1" t="str">
        <f t="shared" si="19"/>
        <v>214</v>
      </c>
      <c r="I220" s="1" t="str">
        <f t="shared" si="20"/>
        <v>11000-214</v>
      </c>
      <c r="J220" s="1" t="str">
        <f t="shared" si="21"/>
        <v>Grand piano production item #214</v>
      </c>
      <c r="K220" s="1" t="str">
        <f>IF(SUM(COUNTIFS(I:I, I220)) &gt; 1, "DUPLICATE", "UNIQUE")</f>
        <v>UNIQUE</v>
      </c>
      <c r="L220" s="18">
        <v>0</v>
      </c>
      <c r="M220" s="28">
        <v>99</v>
      </c>
      <c r="N220" s="6">
        <v>4</v>
      </c>
      <c r="O220" s="30">
        <f t="shared" si="22"/>
        <v>0</v>
      </c>
      <c r="P220" s="30">
        <f t="shared" si="23"/>
        <v>396</v>
      </c>
      <c r="Q220" s="1">
        <f>COUNTIFS($P:$P, "&gt;" &amp; $P220) + 1</f>
        <v>4100</v>
      </c>
      <c r="R220" s="63">
        <f>(COUNTIFS($P:$P, "&gt;" &amp; $P220) + 1) / (COUNTA($I:$I) - 1)</f>
        <v>0.82</v>
      </c>
      <c r="S220" s="23">
        <f>SUMIFS($P:$P, $Q:$Q, "&lt;" &amp; $Q220)</f>
        <v>186444882</v>
      </c>
    </row>
    <row r="221" spans="1:19" x14ac:dyDescent="0.25">
      <c r="A221" s="1">
        <v>216</v>
      </c>
      <c r="B221" s="1" t="s">
        <v>2</v>
      </c>
      <c r="C221" s="1" t="str">
        <f>IF($B221 = "Production Item", _xlfn.XLOOKUP($A221, 'Instrument Table'!$J:$J, 'Instrument Table'!$B:$B, $C220), IF($B221 = "Service Item", _xlfn.XLOOKUP($A221, 'Instrument Table'!$I:$I, 'Instrument Table'!$B:$B, $C220), _xlfn.XLOOKUP($A221, 'Instrument Table'!$H:$H, 'Instrument Table'!$B:$B, $C220)))</f>
        <v>Grand Piano</v>
      </c>
      <c r="D221" s="1" t="str">
        <f>VLOOKUP($C221, 'Instrument Table'!$B:$C, 2, FALSE)</f>
        <v>Pianos</v>
      </c>
      <c r="E221" s="1">
        <f t="shared" si="18"/>
        <v>1</v>
      </c>
      <c r="F221" s="1">
        <f>_xlfn.XLOOKUP($C221, 'Instrument Table'!$B:$B, 'Instrument Table'!$A:$A, "")</f>
        <v>10</v>
      </c>
      <c r="G221" s="1" t="str">
        <f>TEXT(IF($B221 = "Retail Item", IF((ROW($A221) - 4504 - _xlfn.XMATCH($C221, $C$4506:$C$5005, 0, 1)) &lt;= VLOOKUP($C221, 'Instrument Table'!$B:$D, 3, FALSE), ROW($A221) - 4504 - _xlfn.XMATCH($C221, $C$4506:$C$5005, 0, 1), 0), 0), "00")</f>
        <v>00</v>
      </c>
      <c r="H221" s="1" t="str">
        <f t="shared" si="19"/>
        <v>215</v>
      </c>
      <c r="I221" s="1" t="str">
        <f t="shared" si="20"/>
        <v>11000-215</v>
      </c>
      <c r="J221" s="1" t="str">
        <f t="shared" si="21"/>
        <v>Grand piano production item #215</v>
      </c>
      <c r="K221" s="1" t="str">
        <f>IF(SUM(COUNTIFS(I:I, I221)) &gt; 1, "DUPLICATE", "UNIQUE")</f>
        <v>UNIQUE</v>
      </c>
      <c r="L221" s="18">
        <v>1</v>
      </c>
      <c r="M221" s="28">
        <v>71</v>
      </c>
      <c r="N221" s="6">
        <v>144</v>
      </c>
      <c r="O221" s="30">
        <f t="shared" si="22"/>
        <v>71</v>
      </c>
      <c r="P221" s="30">
        <f t="shared" si="23"/>
        <v>10224</v>
      </c>
      <c r="Q221" s="1">
        <f>COUNTIFS($P:$P, "&gt;" &amp; $P221) + 1</f>
        <v>1758</v>
      </c>
      <c r="R221" s="63">
        <f>(COUNTIFS($P:$P, "&gt;" &amp; $P221) + 1) / (COUNTA($I:$I) - 1)</f>
        <v>0.35160000000000002</v>
      </c>
      <c r="S221" s="23">
        <f>SUMIFS($P:$P, $Q:$Q, "&lt;" &amp; $Q221)</f>
        <v>177824374</v>
      </c>
    </row>
    <row r="222" spans="1:19" x14ac:dyDescent="0.25">
      <c r="A222" s="1">
        <v>217</v>
      </c>
      <c r="B222" s="1" t="s">
        <v>2</v>
      </c>
      <c r="C222" s="1" t="str">
        <f>IF($B222 = "Production Item", _xlfn.XLOOKUP($A222, 'Instrument Table'!$J:$J, 'Instrument Table'!$B:$B, $C221), IF($B222 = "Service Item", _xlfn.XLOOKUP($A222, 'Instrument Table'!$I:$I, 'Instrument Table'!$B:$B, $C221), _xlfn.XLOOKUP($A222, 'Instrument Table'!$H:$H, 'Instrument Table'!$B:$B, $C221)))</f>
        <v>Grand Piano</v>
      </c>
      <c r="D222" s="1" t="str">
        <f>VLOOKUP($C222, 'Instrument Table'!$B:$C, 2, FALSE)</f>
        <v>Pianos</v>
      </c>
      <c r="E222" s="1">
        <f t="shared" si="18"/>
        <v>1</v>
      </c>
      <c r="F222" s="1">
        <f>_xlfn.XLOOKUP($C222, 'Instrument Table'!$B:$B, 'Instrument Table'!$A:$A, "")</f>
        <v>10</v>
      </c>
      <c r="G222" s="1" t="str">
        <f>TEXT(IF($B222 = "Retail Item", IF((ROW($A222) - 4504 - _xlfn.XMATCH($C222, $C$4506:$C$5005, 0, 1)) &lt;= VLOOKUP($C222, 'Instrument Table'!$B:$D, 3, FALSE), ROW($A222) - 4504 - _xlfn.XMATCH($C222, $C$4506:$C$5005, 0, 1), 0), 0), "00")</f>
        <v>00</v>
      </c>
      <c r="H222" s="1" t="str">
        <f t="shared" si="19"/>
        <v>216</v>
      </c>
      <c r="I222" s="1" t="str">
        <f t="shared" si="20"/>
        <v>11000-216</v>
      </c>
      <c r="J222" s="1" t="str">
        <f t="shared" si="21"/>
        <v>Grand piano production item #216</v>
      </c>
      <c r="K222" s="1" t="str">
        <f>IF(SUM(COUNTIFS(I:I, I222)) &gt; 1, "DUPLICATE", "UNIQUE")</f>
        <v>UNIQUE</v>
      </c>
      <c r="L222" s="18">
        <v>1</v>
      </c>
      <c r="M222" s="28">
        <v>74</v>
      </c>
      <c r="N222" s="6">
        <v>100</v>
      </c>
      <c r="O222" s="30">
        <f t="shared" si="22"/>
        <v>74</v>
      </c>
      <c r="P222" s="30">
        <f t="shared" si="23"/>
        <v>7400</v>
      </c>
      <c r="Q222" s="1">
        <f>COUNTIFS($P:$P, "&gt;" &amp; $P222) + 1</f>
        <v>2082</v>
      </c>
      <c r="R222" s="63">
        <f>(COUNTIFS($P:$P, "&gt;" &amp; $P222) + 1) / (COUNTA($I:$I) - 1)</f>
        <v>0.41639999999999999</v>
      </c>
      <c r="S222" s="23">
        <f>SUMIFS($P:$P, $Q:$Q, "&lt;" &amp; $Q222)</f>
        <v>180626249</v>
      </c>
    </row>
    <row r="223" spans="1:19" x14ac:dyDescent="0.25">
      <c r="A223" s="1">
        <v>218</v>
      </c>
      <c r="B223" s="1" t="s">
        <v>2</v>
      </c>
      <c r="C223" s="1" t="str">
        <f>IF($B223 = "Production Item", _xlfn.XLOOKUP($A223, 'Instrument Table'!$J:$J, 'Instrument Table'!$B:$B, $C222), IF($B223 = "Service Item", _xlfn.XLOOKUP($A223, 'Instrument Table'!$I:$I, 'Instrument Table'!$B:$B, $C222), _xlfn.XLOOKUP($A223, 'Instrument Table'!$H:$H, 'Instrument Table'!$B:$B, $C222)))</f>
        <v>Grand Piano</v>
      </c>
      <c r="D223" s="1" t="str">
        <f>VLOOKUP($C223, 'Instrument Table'!$B:$C, 2, FALSE)</f>
        <v>Pianos</v>
      </c>
      <c r="E223" s="1">
        <f t="shared" si="18"/>
        <v>1</v>
      </c>
      <c r="F223" s="1">
        <f>_xlfn.XLOOKUP($C223, 'Instrument Table'!$B:$B, 'Instrument Table'!$A:$A, "")</f>
        <v>10</v>
      </c>
      <c r="G223" s="1" t="str">
        <f>TEXT(IF($B223 = "Retail Item", IF((ROW($A223) - 4504 - _xlfn.XMATCH($C223, $C$4506:$C$5005, 0, 1)) &lt;= VLOOKUP($C223, 'Instrument Table'!$B:$D, 3, FALSE), ROW($A223) - 4504 - _xlfn.XMATCH($C223, $C$4506:$C$5005, 0, 1), 0), 0), "00")</f>
        <v>00</v>
      </c>
      <c r="H223" s="1" t="str">
        <f t="shared" si="19"/>
        <v>217</v>
      </c>
      <c r="I223" s="1" t="str">
        <f t="shared" si="20"/>
        <v>11000-217</v>
      </c>
      <c r="J223" s="1" t="str">
        <f t="shared" si="21"/>
        <v>Grand piano production item #217</v>
      </c>
      <c r="K223" s="1" t="str">
        <f>IF(SUM(COUNTIFS(I:I, I223)) &gt; 1, "DUPLICATE", "UNIQUE")</f>
        <v>UNIQUE</v>
      </c>
      <c r="L223" s="18">
        <v>2</v>
      </c>
      <c r="M223" s="28">
        <v>54</v>
      </c>
      <c r="N223" s="6">
        <v>16</v>
      </c>
      <c r="O223" s="30">
        <f t="shared" si="22"/>
        <v>108</v>
      </c>
      <c r="P223" s="30">
        <f t="shared" si="23"/>
        <v>864</v>
      </c>
      <c r="Q223" s="1">
        <f>COUNTIFS($P:$P, "&gt;" &amp; $P223) + 1</f>
        <v>3751</v>
      </c>
      <c r="R223" s="63">
        <f>(COUNTIFS($P:$P, "&gt;" &amp; $P223) + 1) / (COUNTA($I:$I) - 1)</f>
        <v>0.75019999999999998</v>
      </c>
      <c r="S223" s="23">
        <f>SUMIFS($P:$P, $Q:$Q, "&lt;" &amp; $Q223)</f>
        <v>186225045</v>
      </c>
    </row>
    <row r="224" spans="1:19" x14ac:dyDescent="0.25">
      <c r="A224" s="1">
        <v>219</v>
      </c>
      <c r="B224" s="1" t="s">
        <v>2</v>
      </c>
      <c r="C224" s="1" t="str">
        <f>IF($B224 = "Production Item", _xlfn.XLOOKUP($A224, 'Instrument Table'!$J:$J, 'Instrument Table'!$B:$B, $C223), IF($B224 = "Service Item", _xlfn.XLOOKUP($A224, 'Instrument Table'!$I:$I, 'Instrument Table'!$B:$B, $C223), _xlfn.XLOOKUP($A224, 'Instrument Table'!$H:$H, 'Instrument Table'!$B:$B, $C223)))</f>
        <v>Grand Piano</v>
      </c>
      <c r="D224" s="1" t="str">
        <f>VLOOKUP($C224, 'Instrument Table'!$B:$C, 2, FALSE)</f>
        <v>Pianos</v>
      </c>
      <c r="E224" s="1">
        <f t="shared" si="18"/>
        <v>1</v>
      </c>
      <c r="F224" s="1">
        <f>_xlfn.XLOOKUP($C224, 'Instrument Table'!$B:$B, 'Instrument Table'!$A:$A, "")</f>
        <v>10</v>
      </c>
      <c r="G224" s="1" t="str">
        <f>TEXT(IF($B224 = "Retail Item", IF((ROW($A224) - 4504 - _xlfn.XMATCH($C224, $C$4506:$C$5005, 0, 1)) &lt;= VLOOKUP($C224, 'Instrument Table'!$B:$D, 3, FALSE), ROW($A224) - 4504 - _xlfn.XMATCH($C224, $C$4506:$C$5005, 0, 1), 0), 0), "00")</f>
        <v>00</v>
      </c>
      <c r="H224" s="1" t="str">
        <f t="shared" si="19"/>
        <v>218</v>
      </c>
      <c r="I224" s="1" t="str">
        <f t="shared" si="20"/>
        <v>11000-218</v>
      </c>
      <c r="J224" s="1" t="str">
        <f t="shared" si="21"/>
        <v>Grand piano production item #218</v>
      </c>
      <c r="K224" s="1" t="str">
        <f>IF(SUM(COUNTIFS(I:I, I224)) &gt; 1, "DUPLICATE", "UNIQUE")</f>
        <v>UNIQUE</v>
      </c>
      <c r="L224" s="18">
        <v>2</v>
      </c>
      <c r="M224" s="28">
        <v>94</v>
      </c>
      <c r="N224" s="6">
        <v>100</v>
      </c>
      <c r="O224" s="30">
        <f t="shared" si="22"/>
        <v>188</v>
      </c>
      <c r="P224" s="30">
        <f t="shared" si="23"/>
        <v>9400</v>
      </c>
      <c r="Q224" s="1">
        <f>COUNTIFS($P:$P, "&gt;" &amp; $P224) + 1</f>
        <v>1831</v>
      </c>
      <c r="R224" s="63">
        <f>(COUNTIFS($P:$P, "&gt;" &amp; $P224) + 1) / (COUNTA($I:$I) - 1)</f>
        <v>0.36620000000000003</v>
      </c>
      <c r="S224" s="23">
        <f>SUMIFS($P:$P, $Q:$Q, "&lt;" &amp; $Q224)</f>
        <v>178536801</v>
      </c>
    </row>
    <row r="225" spans="1:19" x14ac:dyDescent="0.25">
      <c r="A225" s="1">
        <v>220</v>
      </c>
      <c r="B225" s="1" t="s">
        <v>2</v>
      </c>
      <c r="C225" s="1" t="str">
        <f>IF($B225 = "Production Item", _xlfn.XLOOKUP($A225, 'Instrument Table'!$J:$J, 'Instrument Table'!$B:$B, $C224), IF($B225 = "Service Item", _xlfn.XLOOKUP($A225, 'Instrument Table'!$I:$I, 'Instrument Table'!$B:$B, $C224), _xlfn.XLOOKUP($A225, 'Instrument Table'!$H:$H, 'Instrument Table'!$B:$B, $C224)))</f>
        <v>Grand Piano</v>
      </c>
      <c r="D225" s="1" t="str">
        <f>VLOOKUP($C225, 'Instrument Table'!$B:$C, 2, FALSE)</f>
        <v>Pianos</v>
      </c>
      <c r="E225" s="1">
        <f t="shared" si="18"/>
        <v>1</v>
      </c>
      <c r="F225" s="1">
        <f>_xlfn.XLOOKUP($C225, 'Instrument Table'!$B:$B, 'Instrument Table'!$A:$A, "")</f>
        <v>10</v>
      </c>
      <c r="G225" s="1" t="str">
        <f>TEXT(IF($B225 = "Retail Item", IF((ROW($A225) - 4504 - _xlfn.XMATCH($C225, $C$4506:$C$5005, 0, 1)) &lt;= VLOOKUP($C225, 'Instrument Table'!$B:$D, 3, FALSE), ROW($A225) - 4504 - _xlfn.XMATCH($C225, $C$4506:$C$5005, 0, 1), 0), 0), "00")</f>
        <v>00</v>
      </c>
      <c r="H225" s="1" t="str">
        <f t="shared" si="19"/>
        <v>219</v>
      </c>
      <c r="I225" s="1" t="str">
        <f t="shared" si="20"/>
        <v>11000-219</v>
      </c>
      <c r="J225" s="1" t="str">
        <f t="shared" si="21"/>
        <v>Grand piano production item #219</v>
      </c>
      <c r="K225" s="1" t="str">
        <f>IF(SUM(COUNTIFS(I:I, I225)) &gt; 1, "DUPLICATE", "UNIQUE")</f>
        <v>UNIQUE</v>
      </c>
      <c r="L225" s="18">
        <v>0</v>
      </c>
      <c r="M225" s="28">
        <v>30</v>
      </c>
      <c r="N225" s="6">
        <v>256</v>
      </c>
      <c r="O225" s="30">
        <f t="shared" si="22"/>
        <v>0</v>
      </c>
      <c r="P225" s="30">
        <f t="shared" si="23"/>
        <v>7680</v>
      </c>
      <c r="Q225" s="1">
        <f>COUNTIFS($P:$P, "&gt;" &amp; $P225) + 1</f>
        <v>2042</v>
      </c>
      <c r="R225" s="63">
        <f>(COUNTIFS($P:$P, "&gt;" &amp; $P225) + 1) / (COUNTA($I:$I) - 1)</f>
        <v>0.40839999999999999</v>
      </c>
      <c r="S225" s="23">
        <f>SUMIFS($P:$P, $Q:$Q, "&lt;" &amp; $Q225)</f>
        <v>180323754</v>
      </c>
    </row>
    <row r="226" spans="1:19" x14ac:dyDescent="0.25">
      <c r="A226" s="1">
        <v>221</v>
      </c>
      <c r="B226" s="1" t="s">
        <v>2</v>
      </c>
      <c r="C226" s="1" t="str">
        <f>IF($B226 = "Production Item", _xlfn.XLOOKUP($A226, 'Instrument Table'!$J:$J, 'Instrument Table'!$B:$B, $C225), IF($B226 = "Service Item", _xlfn.XLOOKUP($A226, 'Instrument Table'!$I:$I, 'Instrument Table'!$B:$B, $C225), _xlfn.XLOOKUP($A226, 'Instrument Table'!$H:$H, 'Instrument Table'!$B:$B, $C225)))</f>
        <v>Grand Piano</v>
      </c>
      <c r="D226" s="1" t="str">
        <f>VLOOKUP($C226, 'Instrument Table'!$B:$C, 2, FALSE)</f>
        <v>Pianos</v>
      </c>
      <c r="E226" s="1">
        <f t="shared" si="18"/>
        <v>1</v>
      </c>
      <c r="F226" s="1">
        <f>_xlfn.XLOOKUP($C226, 'Instrument Table'!$B:$B, 'Instrument Table'!$A:$A, "")</f>
        <v>10</v>
      </c>
      <c r="G226" s="1" t="str">
        <f>TEXT(IF($B226 = "Retail Item", IF((ROW($A226) - 4504 - _xlfn.XMATCH($C226, $C$4506:$C$5005, 0, 1)) &lt;= VLOOKUP($C226, 'Instrument Table'!$B:$D, 3, FALSE), ROW($A226) - 4504 - _xlfn.XMATCH($C226, $C$4506:$C$5005, 0, 1), 0), 0), "00")</f>
        <v>00</v>
      </c>
      <c r="H226" s="1" t="str">
        <f t="shared" si="19"/>
        <v>220</v>
      </c>
      <c r="I226" s="1" t="str">
        <f t="shared" si="20"/>
        <v>11000-220</v>
      </c>
      <c r="J226" s="1" t="str">
        <f t="shared" si="21"/>
        <v>Grand piano production item #220</v>
      </c>
      <c r="K226" s="1" t="str">
        <f>IF(SUM(COUNTIFS(I:I, I226)) &gt; 1, "DUPLICATE", "UNIQUE")</f>
        <v>UNIQUE</v>
      </c>
      <c r="L226" s="18">
        <v>0</v>
      </c>
      <c r="M226" s="28">
        <v>76</v>
      </c>
      <c r="N226" s="6">
        <v>256</v>
      </c>
      <c r="O226" s="30">
        <f t="shared" si="22"/>
        <v>0</v>
      </c>
      <c r="P226" s="30">
        <f t="shared" si="23"/>
        <v>19456</v>
      </c>
      <c r="Q226" s="1">
        <f>COUNTIFS($P:$P, "&gt;" &amp; $P226) + 1</f>
        <v>1081</v>
      </c>
      <c r="R226" s="63">
        <f>(COUNTIFS($P:$P, "&gt;" &amp; $P226) + 1) / (COUNTA($I:$I) - 1)</f>
        <v>0.2162</v>
      </c>
      <c r="S226" s="23">
        <f>SUMIFS($P:$P, $Q:$Q, "&lt;" &amp; $Q226)</f>
        <v>168137933</v>
      </c>
    </row>
    <row r="227" spans="1:19" x14ac:dyDescent="0.25">
      <c r="A227" s="1">
        <v>222</v>
      </c>
      <c r="B227" s="1" t="s">
        <v>2</v>
      </c>
      <c r="C227" s="1" t="str">
        <f>IF($B227 = "Production Item", _xlfn.XLOOKUP($A227, 'Instrument Table'!$J:$J, 'Instrument Table'!$B:$B, $C226), IF($B227 = "Service Item", _xlfn.XLOOKUP($A227, 'Instrument Table'!$I:$I, 'Instrument Table'!$B:$B, $C226), _xlfn.XLOOKUP($A227, 'Instrument Table'!$H:$H, 'Instrument Table'!$B:$B, $C226)))</f>
        <v>Grand Piano</v>
      </c>
      <c r="D227" s="1" t="str">
        <f>VLOOKUP($C227, 'Instrument Table'!$B:$C, 2, FALSE)</f>
        <v>Pianos</v>
      </c>
      <c r="E227" s="1">
        <f t="shared" si="18"/>
        <v>1</v>
      </c>
      <c r="F227" s="1">
        <f>_xlfn.XLOOKUP($C227, 'Instrument Table'!$B:$B, 'Instrument Table'!$A:$A, "")</f>
        <v>10</v>
      </c>
      <c r="G227" s="1" t="str">
        <f>TEXT(IF($B227 = "Retail Item", IF((ROW($A227) - 4504 - _xlfn.XMATCH($C227, $C$4506:$C$5005, 0, 1)) &lt;= VLOOKUP($C227, 'Instrument Table'!$B:$D, 3, FALSE), ROW($A227) - 4504 - _xlfn.XMATCH($C227, $C$4506:$C$5005, 0, 1), 0), 0), "00")</f>
        <v>00</v>
      </c>
      <c r="H227" s="1" t="str">
        <f t="shared" si="19"/>
        <v>221</v>
      </c>
      <c r="I227" s="1" t="str">
        <f t="shared" si="20"/>
        <v>11000-221</v>
      </c>
      <c r="J227" s="1" t="str">
        <f t="shared" si="21"/>
        <v>Grand piano production item #221</v>
      </c>
      <c r="K227" s="1" t="str">
        <f>IF(SUM(COUNTIFS(I:I, I227)) &gt; 1, "DUPLICATE", "UNIQUE")</f>
        <v>UNIQUE</v>
      </c>
      <c r="L227" s="18">
        <v>4</v>
      </c>
      <c r="M227" s="28">
        <v>36</v>
      </c>
      <c r="N227" s="6">
        <v>324</v>
      </c>
      <c r="O227" s="30">
        <f t="shared" si="22"/>
        <v>144</v>
      </c>
      <c r="P227" s="30">
        <f t="shared" si="23"/>
        <v>11664</v>
      </c>
      <c r="Q227" s="1">
        <f>COUNTIFS($P:$P, "&gt;" &amp; $P227) + 1</f>
        <v>1607</v>
      </c>
      <c r="R227" s="63">
        <f>(COUNTIFS($P:$P, "&gt;" &amp; $P227) + 1) / (COUNTA($I:$I) - 1)</f>
        <v>0.32140000000000002</v>
      </c>
      <c r="S227" s="23">
        <f>SUMIFS($P:$P, $Q:$Q, "&lt;" &amp; $Q227)</f>
        <v>176160715</v>
      </c>
    </row>
    <row r="228" spans="1:19" x14ac:dyDescent="0.25">
      <c r="A228" s="1">
        <v>223</v>
      </c>
      <c r="B228" s="1" t="s">
        <v>2</v>
      </c>
      <c r="C228" s="1" t="str">
        <f>IF($B228 = "Production Item", _xlfn.XLOOKUP($A228, 'Instrument Table'!$J:$J, 'Instrument Table'!$B:$B, $C227), IF($B228 = "Service Item", _xlfn.XLOOKUP($A228, 'Instrument Table'!$I:$I, 'Instrument Table'!$B:$B, $C227), _xlfn.XLOOKUP($A228, 'Instrument Table'!$H:$H, 'Instrument Table'!$B:$B, $C227)))</f>
        <v>Grand Piano</v>
      </c>
      <c r="D228" s="1" t="str">
        <f>VLOOKUP($C228, 'Instrument Table'!$B:$C, 2, FALSE)</f>
        <v>Pianos</v>
      </c>
      <c r="E228" s="1">
        <f t="shared" si="18"/>
        <v>1</v>
      </c>
      <c r="F228" s="1">
        <f>_xlfn.XLOOKUP($C228, 'Instrument Table'!$B:$B, 'Instrument Table'!$A:$A, "")</f>
        <v>10</v>
      </c>
      <c r="G228" s="1" t="str">
        <f>TEXT(IF($B228 = "Retail Item", IF((ROW($A228) - 4504 - _xlfn.XMATCH($C228, $C$4506:$C$5005, 0, 1)) &lt;= VLOOKUP($C228, 'Instrument Table'!$B:$D, 3, FALSE), ROW($A228) - 4504 - _xlfn.XMATCH($C228, $C$4506:$C$5005, 0, 1), 0), 0), "00")</f>
        <v>00</v>
      </c>
      <c r="H228" s="1" t="str">
        <f t="shared" si="19"/>
        <v>222</v>
      </c>
      <c r="I228" s="1" t="str">
        <f t="shared" si="20"/>
        <v>11000-222</v>
      </c>
      <c r="J228" s="1" t="str">
        <f t="shared" si="21"/>
        <v>Grand piano production item #222</v>
      </c>
      <c r="K228" s="1" t="str">
        <f>IF(SUM(COUNTIFS(I:I, I228)) &gt; 1, "DUPLICATE", "UNIQUE")</f>
        <v>UNIQUE</v>
      </c>
      <c r="L228" s="18">
        <v>2</v>
      </c>
      <c r="M228" s="28">
        <v>47</v>
      </c>
      <c r="N228" s="6">
        <v>361</v>
      </c>
      <c r="O228" s="30">
        <f t="shared" si="22"/>
        <v>94</v>
      </c>
      <c r="P228" s="30">
        <f t="shared" si="23"/>
        <v>16967</v>
      </c>
      <c r="Q228" s="1">
        <f>COUNTIFS($P:$P, "&gt;" &amp; $P228) + 1</f>
        <v>1214</v>
      </c>
      <c r="R228" s="63">
        <f>(COUNTIFS($P:$P, "&gt;" &amp; $P228) + 1) / (COUNTA($I:$I) - 1)</f>
        <v>0.24279999999999999</v>
      </c>
      <c r="S228" s="23">
        <f>SUMIFS($P:$P, $Q:$Q, "&lt;" &amp; $Q228)</f>
        <v>170566712</v>
      </c>
    </row>
    <row r="229" spans="1:19" x14ac:dyDescent="0.25">
      <c r="A229" s="1">
        <v>224</v>
      </c>
      <c r="B229" s="1" t="s">
        <v>2</v>
      </c>
      <c r="C229" s="1" t="str">
        <f>IF($B229 = "Production Item", _xlfn.XLOOKUP($A229, 'Instrument Table'!$J:$J, 'Instrument Table'!$B:$B, $C228), IF($B229 = "Service Item", _xlfn.XLOOKUP($A229, 'Instrument Table'!$I:$I, 'Instrument Table'!$B:$B, $C228), _xlfn.XLOOKUP($A229, 'Instrument Table'!$H:$H, 'Instrument Table'!$B:$B, $C228)))</f>
        <v>Grand Piano</v>
      </c>
      <c r="D229" s="1" t="str">
        <f>VLOOKUP($C229, 'Instrument Table'!$B:$C, 2, FALSE)</f>
        <v>Pianos</v>
      </c>
      <c r="E229" s="1">
        <f t="shared" si="18"/>
        <v>1</v>
      </c>
      <c r="F229" s="1">
        <f>_xlfn.XLOOKUP($C229, 'Instrument Table'!$B:$B, 'Instrument Table'!$A:$A, "")</f>
        <v>10</v>
      </c>
      <c r="G229" s="1" t="str">
        <f>TEXT(IF($B229 = "Retail Item", IF((ROW($A229) - 4504 - _xlfn.XMATCH($C229, $C$4506:$C$5005, 0, 1)) &lt;= VLOOKUP($C229, 'Instrument Table'!$B:$D, 3, FALSE), ROW($A229) - 4504 - _xlfn.XMATCH($C229, $C$4506:$C$5005, 0, 1), 0), 0), "00")</f>
        <v>00</v>
      </c>
      <c r="H229" s="1" t="str">
        <f t="shared" si="19"/>
        <v>223</v>
      </c>
      <c r="I229" s="1" t="str">
        <f t="shared" si="20"/>
        <v>11000-223</v>
      </c>
      <c r="J229" s="1" t="str">
        <f t="shared" si="21"/>
        <v>Grand piano production item #223</v>
      </c>
      <c r="K229" s="1" t="str">
        <f>IF(SUM(COUNTIFS(I:I, I229)) &gt; 1, "DUPLICATE", "UNIQUE")</f>
        <v>UNIQUE</v>
      </c>
      <c r="L229" s="18">
        <v>2</v>
      </c>
      <c r="M229" s="28">
        <v>3</v>
      </c>
      <c r="N229" s="6">
        <v>81</v>
      </c>
      <c r="O229" s="30">
        <f t="shared" si="22"/>
        <v>6</v>
      </c>
      <c r="P229" s="30">
        <f t="shared" si="23"/>
        <v>243</v>
      </c>
      <c r="Q229" s="1">
        <f>COUNTIFS($P:$P, "&gt;" &amp; $P229) + 1</f>
        <v>4281</v>
      </c>
      <c r="R229" s="63">
        <f>(COUNTIFS($P:$P, "&gt;" &amp; $P229) + 1) / (COUNTA($I:$I) - 1)</f>
        <v>0.85619999999999996</v>
      </c>
      <c r="S229" s="23">
        <f>SUMIFS($P:$P, $Q:$Q, "&lt;" &amp; $Q229)</f>
        <v>186503016</v>
      </c>
    </row>
    <row r="230" spans="1:19" x14ac:dyDescent="0.25">
      <c r="A230" s="1">
        <v>225</v>
      </c>
      <c r="B230" s="1" t="s">
        <v>2</v>
      </c>
      <c r="C230" s="1" t="str">
        <f>IF($B230 = "Production Item", _xlfn.XLOOKUP($A230, 'Instrument Table'!$J:$J, 'Instrument Table'!$B:$B, $C229), IF($B230 = "Service Item", _xlfn.XLOOKUP($A230, 'Instrument Table'!$I:$I, 'Instrument Table'!$B:$B, $C229), _xlfn.XLOOKUP($A230, 'Instrument Table'!$H:$H, 'Instrument Table'!$B:$B, $C229)))</f>
        <v>Grand Piano</v>
      </c>
      <c r="D230" s="1" t="str">
        <f>VLOOKUP($C230, 'Instrument Table'!$B:$C, 2, FALSE)</f>
        <v>Pianos</v>
      </c>
      <c r="E230" s="1">
        <f t="shared" si="18"/>
        <v>1</v>
      </c>
      <c r="F230" s="1">
        <f>_xlfn.XLOOKUP($C230, 'Instrument Table'!$B:$B, 'Instrument Table'!$A:$A, "")</f>
        <v>10</v>
      </c>
      <c r="G230" s="1" t="str">
        <f>TEXT(IF($B230 = "Retail Item", IF((ROW($A230) - 4504 - _xlfn.XMATCH($C230, $C$4506:$C$5005, 0, 1)) &lt;= VLOOKUP($C230, 'Instrument Table'!$B:$D, 3, FALSE), ROW($A230) - 4504 - _xlfn.XMATCH($C230, $C$4506:$C$5005, 0, 1), 0), 0), "00")</f>
        <v>00</v>
      </c>
      <c r="H230" s="1" t="str">
        <f t="shared" si="19"/>
        <v>224</v>
      </c>
      <c r="I230" s="1" t="str">
        <f t="shared" si="20"/>
        <v>11000-224</v>
      </c>
      <c r="J230" s="1" t="str">
        <f t="shared" si="21"/>
        <v>Grand piano production item #224</v>
      </c>
      <c r="K230" s="1" t="str">
        <f>IF(SUM(COUNTIFS(I:I, I230)) &gt; 1, "DUPLICATE", "UNIQUE")</f>
        <v>UNIQUE</v>
      </c>
      <c r="L230" s="18">
        <v>0</v>
      </c>
      <c r="M230" s="28">
        <v>86</v>
      </c>
      <c r="N230" s="6">
        <v>0</v>
      </c>
      <c r="O230" s="30">
        <f t="shared" si="22"/>
        <v>0</v>
      </c>
      <c r="P230" s="30">
        <f t="shared" si="23"/>
        <v>0</v>
      </c>
      <c r="Q230" s="1">
        <f>COUNTIFS($P:$P, "&gt;" &amp; $P230) + 1</f>
        <v>4746</v>
      </c>
      <c r="R230" s="63">
        <f>(COUNTIFS($P:$P, "&gt;" &amp; $P230) + 1) / (COUNTA($I:$I) - 1)</f>
        <v>0.94920000000000004</v>
      </c>
      <c r="S230" s="23">
        <f>SUMIFS($P:$P, $Q:$Q, "&lt;" &amp; $Q230)</f>
        <v>186547861</v>
      </c>
    </row>
    <row r="231" spans="1:19" x14ac:dyDescent="0.25">
      <c r="A231" s="1">
        <v>226</v>
      </c>
      <c r="B231" s="1" t="s">
        <v>2</v>
      </c>
      <c r="C231" s="1" t="str">
        <f>IF($B231 = "Production Item", _xlfn.XLOOKUP($A231, 'Instrument Table'!$J:$J, 'Instrument Table'!$B:$B, $C230), IF($B231 = "Service Item", _xlfn.XLOOKUP($A231, 'Instrument Table'!$I:$I, 'Instrument Table'!$B:$B, $C230), _xlfn.XLOOKUP($A231, 'Instrument Table'!$H:$H, 'Instrument Table'!$B:$B, $C230)))</f>
        <v>Grand Piano</v>
      </c>
      <c r="D231" s="1" t="str">
        <f>VLOOKUP($C231, 'Instrument Table'!$B:$C, 2, FALSE)</f>
        <v>Pianos</v>
      </c>
      <c r="E231" s="1">
        <f t="shared" si="18"/>
        <v>1</v>
      </c>
      <c r="F231" s="1">
        <f>_xlfn.XLOOKUP($C231, 'Instrument Table'!$B:$B, 'Instrument Table'!$A:$A, "")</f>
        <v>10</v>
      </c>
      <c r="G231" s="1" t="str">
        <f>TEXT(IF($B231 = "Retail Item", IF((ROW($A231) - 4504 - _xlfn.XMATCH($C231, $C$4506:$C$5005, 0, 1)) &lt;= VLOOKUP($C231, 'Instrument Table'!$B:$D, 3, FALSE), ROW($A231) - 4504 - _xlfn.XMATCH($C231, $C$4506:$C$5005, 0, 1), 0), 0), "00")</f>
        <v>00</v>
      </c>
      <c r="H231" s="1" t="str">
        <f t="shared" si="19"/>
        <v>225</v>
      </c>
      <c r="I231" s="1" t="str">
        <f t="shared" si="20"/>
        <v>11000-225</v>
      </c>
      <c r="J231" s="1" t="str">
        <f t="shared" si="21"/>
        <v>Grand piano production item #225</v>
      </c>
      <c r="K231" s="1" t="str">
        <f>IF(SUM(COUNTIFS(I:I, I231)) &gt; 1, "DUPLICATE", "UNIQUE")</f>
        <v>UNIQUE</v>
      </c>
      <c r="L231" s="18">
        <v>1</v>
      </c>
      <c r="M231" s="28">
        <v>44</v>
      </c>
      <c r="N231" s="6">
        <v>400</v>
      </c>
      <c r="O231" s="30">
        <f t="shared" si="22"/>
        <v>44</v>
      </c>
      <c r="P231" s="30">
        <f t="shared" si="23"/>
        <v>17600</v>
      </c>
      <c r="Q231" s="1">
        <f>COUNTIFS($P:$P, "&gt;" &amp; $P231) + 1</f>
        <v>1182</v>
      </c>
      <c r="R231" s="63">
        <f>(COUNTIFS($P:$P, "&gt;" &amp; $P231) + 1) / (COUNTA($I:$I) - 1)</f>
        <v>0.2364</v>
      </c>
      <c r="S231" s="23">
        <f>SUMIFS($P:$P, $Q:$Q, "&lt;" &amp; $Q231)</f>
        <v>170011245</v>
      </c>
    </row>
    <row r="232" spans="1:19" x14ac:dyDescent="0.25">
      <c r="A232" s="1">
        <v>227</v>
      </c>
      <c r="B232" s="1" t="s">
        <v>2</v>
      </c>
      <c r="C232" s="1" t="str">
        <f>IF($B232 = "Production Item", _xlfn.XLOOKUP($A232, 'Instrument Table'!$J:$J, 'Instrument Table'!$B:$B, $C231), IF($B232 = "Service Item", _xlfn.XLOOKUP($A232, 'Instrument Table'!$I:$I, 'Instrument Table'!$B:$B, $C231), _xlfn.XLOOKUP($A232, 'Instrument Table'!$H:$H, 'Instrument Table'!$B:$B, $C231)))</f>
        <v>Grand Piano</v>
      </c>
      <c r="D232" s="1" t="str">
        <f>VLOOKUP($C232, 'Instrument Table'!$B:$C, 2, FALSE)</f>
        <v>Pianos</v>
      </c>
      <c r="E232" s="1">
        <f t="shared" si="18"/>
        <v>1</v>
      </c>
      <c r="F232" s="1">
        <f>_xlfn.XLOOKUP($C232, 'Instrument Table'!$B:$B, 'Instrument Table'!$A:$A, "")</f>
        <v>10</v>
      </c>
      <c r="G232" s="1" t="str">
        <f>TEXT(IF($B232 = "Retail Item", IF((ROW($A232) - 4504 - _xlfn.XMATCH($C232, $C$4506:$C$5005, 0, 1)) &lt;= VLOOKUP($C232, 'Instrument Table'!$B:$D, 3, FALSE), ROW($A232) - 4504 - _xlfn.XMATCH($C232, $C$4506:$C$5005, 0, 1), 0), 0), "00")</f>
        <v>00</v>
      </c>
      <c r="H232" s="1" t="str">
        <f t="shared" si="19"/>
        <v>226</v>
      </c>
      <c r="I232" s="1" t="str">
        <f t="shared" si="20"/>
        <v>11000-226</v>
      </c>
      <c r="J232" s="1" t="str">
        <f t="shared" si="21"/>
        <v>Grand piano production item #226</v>
      </c>
      <c r="K232" s="1" t="str">
        <f>IF(SUM(COUNTIFS(I:I, I232)) &gt; 1, "DUPLICATE", "UNIQUE")</f>
        <v>UNIQUE</v>
      </c>
      <c r="L232" s="18">
        <v>0</v>
      </c>
      <c r="M232" s="28">
        <v>16</v>
      </c>
      <c r="N232" s="6">
        <v>289</v>
      </c>
      <c r="O232" s="30">
        <f t="shared" si="22"/>
        <v>0</v>
      </c>
      <c r="P232" s="30">
        <f t="shared" si="23"/>
        <v>4624</v>
      </c>
      <c r="Q232" s="1">
        <f>COUNTIFS($P:$P, "&gt;" &amp; $P232) + 1</f>
        <v>2511</v>
      </c>
      <c r="R232" s="63">
        <f>(COUNTIFS($P:$P, "&gt;" &amp; $P232) + 1) / (COUNTA($I:$I) - 1)</f>
        <v>0.50219999999999998</v>
      </c>
      <c r="S232" s="23">
        <f>SUMIFS($P:$P, $Q:$Q, "&lt;" &amp; $Q232)</f>
        <v>183166893</v>
      </c>
    </row>
    <row r="233" spans="1:19" x14ac:dyDescent="0.25">
      <c r="A233" s="1">
        <v>228</v>
      </c>
      <c r="B233" s="1" t="s">
        <v>2</v>
      </c>
      <c r="C233" s="1" t="str">
        <f>IF($B233 = "Production Item", _xlfn.XLOOKUP($A233, 'Instrument Table'!$J:$J, 'Instrument Table'!$B:$B, $C232), IF($B233 = "Service Item", _xlfn.XLOOKUP($A233, 'Instrument Table'!$I:$I, 'Instrument Table'!$B:$B, $C232), _xlfn.XLOOKUP($A233, 'Instrument Table'!$H:$H, 'Instrument Table'!$B:$B, $C232)))</f>
        <v>Grand Piano</v>
      </c>
      <c r="D233" s="1" t="str">
        <f>VLOOKUP($C233, 'Instrument Table'!$B:$C, 2, FALSE)</f>
        <v>Pianos</v>
      </c>
      <c r="E233" s="1">
        <f t="shared" si="18"/>
        <v>1</v>
      </c>
      <c r="F233" s="1">
        <f>_xlfn.XLOOKUP($C233, 'Instrument Table'!$B:$B, 'Instrument Table'!$A:$A, "")</f>
        <v>10</v>
      </c>
      <c r="G233" s="1" t="str">
        <f>TEXT(IF($B233 = "Retail Item", IF((ROW($A233) - 4504 - _xlfn.XMATCH($C233, $C$4506:$C$5005, 0, 1)) &lt;= VLOOKUP($C233, 'Instrument Table'!$B:$D, 3, FALSE), ROW($A233) - 4504 - _xlfn.XMATCH($C233, $C$4506:$C$5005, 0, 1), 0), 0), "00")</f>
        <v>00</v>
      </c>
      <c r="H233" s="1" t="str">
        <f t="shared" si="19"/>
        <v>227</v>
      </c>
      <c r="I233" s="1" t="str">
        <f t="shared" si="20"/>
        <v>11000-227</v>
      </c>
      <c r="J233" s="1" t="str">
        <f t="shared" si="21"/>
        <v>Grand piano production item #227</v>
      </c>
      <c r="K233" s="1" t="str">
        <f>IF(SUM(COUNTIFS(I:I, I233)) &gt; 1, "DUPLICATE", "UNIQUE")</f>
        <v>UNIQUE</v>
      </c>
      <c r="L233" s="18">
        <v>0</v>
      </c>
      <c r="M233" s="28">
        <v>81</v>
      </c>
      <c r="N233" s="6">
        <v>400</v>
      </c>
      <c r="O233" s="30">
        <f t="shared" si="22"/>
        <v>0</v>
      </c>
      <c r="P233" s="30">
        <f t="shared" si="23"/>
        <v>32400</v>
      </c>
      <c r="Q233" s="1">
        <f>COUNTIFS($P:$P, "&gt;" &amp; $P233) + 1</f>
        <v>636</v>
      </c>
      <c r="R233" s="63">
        <f>(COUNTIFS($P:$P, "&gt;" &amp; $P233) + 1) / (COUNTA($I:$I) - 1)</f>
        <v>0.12720000000000001</v>
      </c>
      <c r="S233" s="23">
        <f>SUMIFS($P:$P, $Q:$Q, "&lt;" &amp; $Q233)</f>
        <v>157094192</v>
      </c>
    </row>
    <row r="234" spans="1:19" x14ac:dyDescent="0.25">
      <c r="A234" s="1">
        <v>229</v>
      </c>
      <c r="B234" s="1" t="s">
        <v>2</v>
      </c>
      <c r="C234" s="1" t="str">
        <f>IF($B234 = "Production Item", _xlfn.XLOOKUP($A234, 'Instrument Table'!$J:$J, 'Instrument Table'!$B:$B, $C233), IF($B234 = "Service Item", _xlfn.XLOOKUP($A234, 'Instrument Table'!$I:$I, 'Instrument Table'!$B:$B, $C233), _xlfn.XLOOKUP($A234, 'Instrument Table'!$H:$H, 'Instrument Table'!$B:$B, $C233)))</f>
        <v>Grand Piano</v>
      </c>
      <c r="D234" s="1" t="str">
        <f>VLOOKUP($C234, 'Instrument Table'!$B:$C, 2, FALSE)</f>
        <v>Pianos</v>
      </c>
      <c r="E234" s="1">
        <f t="shared" si="18"/>
        <v>1</v>
      </c>
      <c r="F234" s="1">
        <f>_xlfn.XLOOKUP($C234, 'Instrument Table'!$B:$B, 'Instrument Table'!$A:$A, "")</f>
        <v>10</v>
      </c>
      <c r="G234" s="1" t="str">
        <f>TEXT(IF($B234 = "Retail Item", IF((ROW($A234) - 4504 - _xlfn.XMATCH($C234, $C$4506:$C$5005, 0, 1)) &lt;= VLOOKUP($C234, 'Instrument Table'!$B:$D, 3, FALSE), ROW($A234) - 4504 - _xlfn.XMATCH($C234, $C$4506:$C$5005, 0, 1), 0), 0), "00")</f>
        <v>00</v>
      </c>
      <c r="H234" s="1" t="str">
        <f t="shared" si="19"/>
        <v>228</v>
      </c>
      <c r="I234" s="1" t="str">
        <f t="shared" si="20"/>
        <v>11000-228</v>
      </c>
      <c r="J234" s="1" t="str">
        <f t="shared" si="21"/>
        <v>Grand piano production item #228</v>
      </c>
      <c r="K234" s="1" t="str">
        <f>IF(SUM(COUNTIFS(I:I, I234)) &gt; 1, "DUPLICATE", "UNIQUE")</f>
        <v>UNIQUE</v>
      </c>
      <c r="L234" s="18">
        <v>1</v>
      </c>
      <c r="M234" s="28">
        <v>25</v>
      </c>
      <c r="N234" s="6">
        <v>400</v>
      </c>
      <c r="O234" s="30">
        <f t="shared" si="22"/>
        <v>25</v>
      </c>
      <c r="P234" s="30">
        <f t="shared" si="23"/>
        <v>10000</v>
      </c>
      <c r="Q234" s="1">
        <f>COUNTIFS($P:$P, "&gt;" &amp; $P234) + 1</f>
        <v>1771</v>
      </c>
      <c r="R234" s="63">
        <f>(COUNTIFS($P:$P, "&gt;" &amp; $P234) + 1) / (COUNTA($I:$I) - 1)</f>
        <v>0.35420000000000001</v>
      </c>
      <c r="S234" s="23">
        <f>SUMIFS($P:$P, $Q:$Q, "&lt;" &amp; $Q234)</f>
        <v>177955695</v>
      </c>
    </row>
    <row r="235" spans="1:19" x14ac:dyDescent="0.25">
      <c r="A235" s="1">
        <v>230</v>
      </c>
      <c r="B235" s="1" t="s">
        <v>2</v>
      </c>
      <c r="C235" s="1" t="str">
        <f>IF($B235 = "Production Item", _xlfn.XLOOKUP($A235, 'Instrument Table'!$J:$J, 'Instrument Table'!$B:$B, $C234), IF($B235 = "Service Item", _xlfn.XLOOKUP($A235, 'Instrument Table'!$I:$I, 'Instrument Table'!$B:$B, $C234), _xlfn.XLOOKUP($A235, 'Instrument Table'!$H:$H, 'Instrument Table'!$B:$B, $C234)))</f>
        <v>Grand Piano</v>
      </c>
      <c r="D235" s="1" t="str">
        <f>VLOOKUP($C235, 'Instrument Table'!$B:$C, 2, FALSE)</f>
        <v>Pianos</v>
      </c>
      <c r="E235" s="1">
        <f t="shared" si="18"/>
        <v>1</v>
      </c>
      <c r="F235" s="1">
        <f>_xlfn.XLOOKUP($C235, 'Instrument Table'!$B:$B, 'Instrument Table'!$A:$A, "")</f>
        <v>10</v>
      </c>
      <c r="G235" s="1" t="str">
        <f>TEXT(IF($B235 = "Retail Item", IF((ROW($A235) - 4504 - _xlfn.XMATCH($C235, $C$4506:$C$5005, 0, 1)) &lt;= VLOOKUP($C235, 'Instrument Table'!$B:$D, 3, FALSE), ROW($A235) - 4504 - _xlfn.XMATCH($C235, $C$4506:$C$5005, 0, 1), 0), 0), "00")</f>
        <v>00</v>
      </c>
      <c r="H235" s="1" t="str">
        <f t="shared" si="19"/>
        <v>229</v>
      </c>
      <c r="I235" s="1" t="str">
        <f t="shared" si="20"/>
        <v>11000-229</v>
      </c>
      <c r="J235" s="1" t="str">
        <f t="shared" si="21"/>
        <v>Grand piano production item #229</v>
      </c>
      <c r="K235" s="1" t="str">
        <f>IF(SUM(COUNTIFS(I:I, I235)) &gt; 1, "DUPLICATE", "UNIQUE")</f>
        <v>UNIQUE</v>
      </c>
      <c r="L235" s="18">
        <v>4</v>
      </c>
      <c r="M235" s="28">
        <v>99</v>
      </c>
      <c r="N235" s="6">
        <v>36</v>
      </c>
      <c r="O235" s="30">
        <f t="shared" si="22"/>
        <v>396</v>
      </c>
      <c r="P235" s="30">
        <f t="shared" si="23"/>
        <v>3564</v>
      </c>
      <c r="Q235" s="1">
        <f>COUNTIFS($P:$P, "&gt;" &amp; $P235) + 1</f>
        <v>2753</v>
      </c>
      <c r="R235" s="63">
        <f>(COUNTIFS($P:$P, "&gt;" &amp; $P235) + 1) / (COUNTA($I:$I) - 1)</f>
        <v>0.55059999999999998</v>
      </c>
      <c r="S235" s="23">
        <f>SUMIFS($P:$P, $Q:$Q, "&lt;" &amp; $Q235)</f>
        <v>184161538</v>
      </c>
    </row>
    <row r="236" spans="1:19" x14ac:dyDescent="0.25">
      <c r="A236" s="1">
        <v>231</v>
      </c>
      <c r="B236" s="1" t="s">
        <v>2</v>
      </c>
      <c r="C236" s="1" t="str">
        <f>IF($B236 = "Production Item", _xlfn.XLOOKUP($A236, 'Instrument Table'!$J:$J, 'Instrument Table'!$B:$B, $C235), IF($B236 = "Service Item", _xlfn.XLOOKUP($A236, 'Instrument Table'!$I:$I, 'Instrument Table'!$B:$B, $C235), _xlfn.XLOOKUP($A236, 'Instrument Table'!$H:$H, 'Instrument Table'!$B:$B, $C235)))</f>
        <v>Grand Piano</v>
      </c>
      <c r="D236" s="1" t="str">
        <f>VLOOKUP($C236, 'Instrument Table'!$B:$C, 2, FALSE)</f>
        <v>Pianos</v>
      </c>
      <c r="E236" s="1">
        <f t="shared" si="18"/>
        <v>1</v>
      </c>
      <c r="F236" s="1">
        <f>_xlfn.XLOOKUP($C236, 'Instrument Table'!$B:$B, 'Instrument Table'!$A:$A, "")</f>
        <v>10</v>
      </c>
      <c r="G236" s="1" t="str">
        <f>TEXT(IF($B236 = "Retail Item", IF((ROW($A236) - 4504 - _xlfn.XMATCH($C236, $C$4506:$C$5005, 0, 1)) &lt;= VLOOKUP($C236, 'Instrument Table'!$B:$D, 3, FALSE), ROW($A236) - 4504 - _xlfn.XMATCH($C236, $C$4506:$C$5005, 0, 1), 0), 0), "00")</f>
        <v>00</v>
      </c>
      <c r="H236" s="1" t="str">
        <f t="shared" si="19"/>
        <v>230</v>
      </c>
      <c r="I236" s="1" t="str">
        <f t="shared" si="20"/>
        <v>11000-230</v>
      </c>
      <c r="J236" s="1" t="str">
        <f t="shared" si="21"/>
        <v>Grand piano production item #230</v>
      </c>
      <c r="K236" s="1" t="str">
        <f>IF(SUM(COUNTIFS(I:I, I236)) &gt; 1, "DUPLICATE", "UNIQUE")</f>
        <v>UNIQUE</v>
      </c>
      <c r="L236" s="18">
        <v>1</v>
      </c>
      <c r="M236" s="28">
        <v>35</v>
      </c>
      <c r="N236" s="6">
        <v>144</v>
      </c>
      <c r="O236" s="30">
        <f t="shared" si="22"/>
        <v>35</v>
      </c>
      <c r="P236" s="30">
        <f t="shared" si="23"/>
        <v>5040</v>
      </c>
      <c r="Q236" s="1">
        <f>COUNTIFS($P:$P, "&gt;" &amp; $P236) + 1</f>
        <v>2440</v>
      </c>
      <c r="R236" s="63">
        <f>(COUNTIFS($P:$P, "&gt;" &amp; $P236) + 1) / (COUNTA($I:$I) - 1)</f>
        <v>0.48799999999999999</v>
      </c>
      <c r="S236" s="23">
        <f>SUMIFS($P:$P, $Q:$Q, "&lt;" &amp; $Q236)</f>
        <v>182822281</v>
      </c>
    </row>
    <row r="237" spans="1:19" x14ac:dyDescent="0.25">
      <c r="A237" s="1">
        <v>232</v>
      </c>
      <c r="B237" s="1" t="s">
        <v>2</v>
      </c>
      <c r="C237" s="1" t="str">
        <f>IF($B237 = "Production Item", _xlfn.XLOOKUP($A237, 'Instrument Table'!$J:$J, 'Instrument Table'!$B:$B, $C236), IF($B237 = "Service Item", _xlfn.XLOOKUP($A237, 'Instrument Table'!$I:$I, 'Instrument Table'!$B:$B, $C236), _xlfn.XLOOKUP($A237, 'Instrument Table'!$H:$H, 'Instrument Table'!$B:$B, $C236)))</f>
        <v>Grand Piano</v>
      </c>
      <c r="D237" s="1" t="str">
        <f>VLOOKUP($C237, 'Instrument Table'!$B:$C, 2, FALSE)</f>
        <v>Pianos</v>
      </c>
      <c r="E237" s="1">
        <f t="shared" si="18"/>
        <v>1</v>
      </c>
      <c r="F237" s="1">
        <f>_xlfn.XLOOKUP($C237, 'Instrument Table'!$B:$B, 'Instrument Table'!$A:$A, "")</f>
        <v>10</v>
      </c>
      <c r="G237" s="1" t="str">
        <f>TEXT(IF($B237 = "Retail Item", IF((ROW($A237) - 4504 - _xlfn.XMATCH($C237, $C$4506:$C$5005, 0, 1)) &lt;= VLOOKUP($C237, 'Instrument Table'!$B:$D, 3, FALSE), ROW($A237) - 4504 - _xlfn.XMATCH($C237, $C$4506:$C$5005, 0, 1), 0), 0), "00")</f>
        <v>00</v>
      </c>
      <c r="H237" s="1" t="str">
        <f t="shared" si="19"/>
        <v>231</v>
      </c>
      <c r="I237" s="1" t="str">
        <f t="shared" si="20"/>
        <v>11000-231</v>
      </c>
      <c r="J237" s="1" t="str">
        <f t="shared" si="21"/>
        <v>Grand piano production item #231</v>
      </c>
      <c r="K237" s="1" t="str">
        <f>IF(SUM(COUNTIFS(I:I, I237)) &gt; 1, "DUPLICATE", "UNIQUE")</f>
        <v>UNIQUE</v>
      </c>
      <c r="L237" s="18">
        <v>1</v>
      </c>
      <c r="M237" s="28">
        <v>9</v>
      </c>
      <c r="N237" s="6">
        <v>0</v>
      </c>
      <c r="O237" s="30">
        <f t="shared" si="22"/>
        <v>9</v>
      </c>
      <c r="P237" s="30">
        <f t="shared" si="23"/>
        <v>0</v>
      </c>
      <c r="Q237" s="1">
        <f>COUNTIFS($P:$P, "&gt;" &amp; $P237) + 1</f>
        <v>4746</v>
      </c>
      <c r="R237" s="63">
        <f>(COUNTIFS($P:$P, "&gt;" &amp; $P237) + 1) / (COUNTA($I:$I) - 1)</f>
        <v>0.94920000000000004</v>
      </c>
      <c r="S237" s="23">
        <f>SUMIFS($P:$P, $Q:$Q, "&lt;" &amp; $Q237)</f>
        <v>186547861</v>
      </c>
    </row>
    <row r="238" spans="1:19" x14ac:dyDescent="0.25">
      <c r="A238" s="1">
        <v>233</v>
      </c>
      <c r="B238" s="1" t="s">
        <v>2</v>
      </c>
      <c r="C238" s="1" t="str">
        <f>IF($B238 = "Production Item", _xlfn.XLOOKUP($A238, 'Instrument Table'!$J:$J, 'Instrument Table'!$B:$B, $C237), IF($B238 = "Service Item", _xlfn.XLOOKUP($A238, 'Instrument Table'!$I:$I, 'Instrument Table'!$B:$B, $C237), _xlfn.XLOOKUP($A238, 'Instrument Table'!$H:$H, 'Instrument Table'!$B:$B, $C237)))</f>
        <v>Grand Piano</v>
      </c>
      <c r="D238" s="1" t="str">
        <f>VLOOKUP($C238, 'Instrument Table'!$B:$C, 2, FALSE)</f>
        <v>Pianos</v>
      </c>
      <c r="E238" s="1">
        <f t="shared" si="18"/>
        <v>1</v>
      </c>
      <c r="F238" s="1">
        <f>_xlfn.XLOOKUP($C238, 'Instrument Table'!$B:$B, 'Instrument Table'!$A:$A, "")</f>
        <v>10</v>
      </c>
      <c r="G238" s="1" t="str">
        <f>TEXT(IF($B238 = "Retail Item", IF((ROW($A238) - 4504 - _xlfn.XMATCH($C238, $C$4506:$C$5005, 0, 1)) &lt;= VLOOKUP($C238, 'Instrument Table'!$B:$D, 3, FALSE), ROW($A238) - 4504 - _xlfn.XMATCH($C238, $C$4506:$C$5005, 0, 1), 0), 0), "00")</f>
        <v>00</v>
      </c>
      <c r="H238" s="1" t="str">
        <f t="shared" si="19"/>
        <v>232</v>
      </c>
      <c r="I238" s="1" t="str">
        <f t="shared" si="20"/>
        <v>11000-232</v>
      </c>
      <c r="J238" s="1" t="str">
        <f t="shared" si="21"/>
        <v>Grand piano production item #232</v>
      </c>
      <c r="K238" s="1" t="str">
        <f>IF(SUM(COUNTIFS(I:I, I238)) &gt; 1, "DUPLICATE", "UNIQUE")</f>
        <v>UNIQUE</v>
      </c>
      <c r="L238" s="18">
        <v>2</v>
      </c>
      <c r="M238" s="28">
        <v>74</v>
      </c>
      <c r="N238" s="6">
        <v>9</v>
      </c>
      <c r="O238" s="30">
        <f t="shared" si="22"/>
        <v>148</v>
      </c>
      <c r="P238" s="30">
        <f t="shared" si="23"/>
        <v>666</v>
      </c>
      <c r="Q238" s="1">
        <f>COUNTIFS($P:$P, "&gt;" &amp; $P238) + 1</f>
        <v>3901</v>
      </c>
      <c r="R238" s="63">
        <f>(COUNTIFS($P:$P, "&gt;" &amp; $P238) + 1) / (COUNTA($I:$I) - 1)</f>
        <v>0.7802</v>
      </c>
      <c r="S238" s="23">
        <f>SUMIFS($P:$P, $Q:$Q, "&lt;" &amp; $Q238)</f>
        <v>186339529</v>
      </c>
    </row>
    <row r="239" spans="1:19" x14ac:dyDescent="0.25">
      <c r="A239" s="1">
        <v>234</v>
      </c>
      <c r="B239" s="1" t="s">
        <v>2</v>
      </c>
      <c r="C239" s="1" t="str">
        <f>IF($B239 = "Production Item", _xlfn.XLOOKUP($A239, 'Instrument Table'!$J:$J, 'Instrument Table'!$B:$B, $C238), IF($B239 = "Service Item", _xlfn.XLOOKUP($A239, 'Instrument Table'!$I:$I, 'Instrument Table'!$B:$B, $C238), _xlfn.XLOOKUP($A239, 'Instrument Table'!$H:$H, 'Instrument Table'!$B:$B, $C238)))</f>
        <v>Grand Piano</v>
      </c>
      <c r="D239" s="1" t="str">
        <f>VLOOKUP($C239, 'Instrument Table'!$B:$C, 2, FALSE)</f>
        <v>Pianos</v>
      </c>
      <c r="E239" s="1">
        <f t="shared" si="18"/>
        <v>1</v>
      </c>
      <c r="F239" s="1">
        <f>_xlfn.XLOOKUP($C239, 'Instrument Table'!$B:$B, 'Instrument Table'!$A:$A, "")</f>
        <v>10</v>
      </c>
      <c r="G239" s="1" t="str">
        <f>TEXT(IF($B239 = "Retail Item", IF((ROW($A239) - 4504 - _xlfn.XMATCH($C239, $C$4506:$C$5005, 0, 1)) &lt;= VLOOKUP($C239, 'Instrument Table'!$B:$D, 3, FALSE), ROW($A239) - 4504 - _xlfn.XMATCH($C239, $C$4506:$C$5005, 0, 1), 0), 0), "00")</f>
        <v>00</v>
      </c>
      <c r="H239" s="1" t="str">
        <f t="shared" si="19"/>
        <v>233</v>
      </c>
      <c r="I239" s="1" t="str">
        <f t="shared" si="20"/>
        <v>11000-233</v>
      </c>
      <c r="J239" s="1" t="str">
        <f t="shared" si="21"/>
        <v>Grand piano production item #233</v>
      </c>
      <c r="K239" s="1" t="str">
        <f>IF(SUM(COUNTIFS(I:I, I239)) &gt; 1, "DUPLICATE", "UNIQUE")</f>
        <v>UNIQUE</v>
      </c>
      <c r="L239" s="18">
        <v>0</v>
      </c>
      <c r="M239" s="28">
        <v>98</v>
      </c>
      <c r="N239" s="6">
        <v>256</v>
      </c>
      <c r="O239" s="30">
        <f t="shared" si="22"/>
        <v>0</v>
      </c>
      <c r="P239" s="30">
        <f t="shared" si="23"/>
        <v>25088</v>
      </c>
      <c r="Q239" s="1">
        <f>COUNTIFS($P:$P, "&gt;" &amp; $P239) + 1</f>
        <v>827</v>
      </c>
      <c r="R239" s="63">
        <f>(COUNTIFS($P:$P, "&gt;" &amp; $P239) + 1) / (COUNTA($I:$I) - 1)</f>
        <v>0.16539999999999999</v>
      </c>
      <c r="S239" s="23">
        <f>SUMIFS($P:$P, $Q:$Q, "&lt;" &amp; $Q239)</f>
        <v>162514295</v>
      </c>
    </row>
    <row r="240" spans="1:19" x14ac:dyDescent="0.25">
      <c r="A240" s="1">
        <v>235</v>
      </c>
      <c r="B240" s="1" t="s">
        <v>2</v>
      </c>
      <c r="C240" s="1" t="str">
        <f>IF($B240 = "Production Item", _xlfn.XLOOKUP($A240, 'Instrument Table'!$J:$J, 'Instrument Table'!$B:$B, $C239), IF($B240 = "Service Item", _xlfn.XLOOKUP($A240, 'Instrument Table'!$I:$I, 'Instrument Table'!$B:$B, $C239), _xlfn.XLOOKUP($A240, 'Instrument Table'!$H:$H, 'Instrument Table'!$B:$B, $C239)))</f>
        <v>Grand Piano</v>
      </c>
      <c r="D240" s="1" t="str">
        <f>VLOOKUP($C240, 'Instrument Table'!$B:$C, 2, FALSE)</f>
        <v>Pianos</v>
      </c>
      <c r="E240" s="1">
        <f t="shared" si="18"/>
        <v>1</v>
      </c>
      <c r="F240" s="1">
        <f>_xlfn.XLOOKUP($C240, 'Instrument Table'!$B:$B, 'Instrument Table'!$A:$A, "")</f>
        <v>10</v>
      </c>
      <c r="G240" s="1" t="str">
        <f>TEXT(IF($B240 = "Retail Item", IF((ROW($A240) - 4504 - _xlfn.XMATCH($C240, $C$4506:$C$5005, 0, 1)) &lt;= VLOOKUP($C240, 'Instrument Table'!$B:$D, 3, FALSE), ROW($A240) - 4504 - _xlfn.XMATCH($C240, $C$4506:$C$5005, 0, 1), 0), 0), "00")</f>
        <v>00</v>
      </c>
      <c r="H240" s="1" t="str">
        <f t="shared" si="19"/>
        <v>234</v>
      </c>
      <c r="I240" s="1" t="str">
        <f t="shared" si="20"/>
        <v>11000-234</v>
      </c>
      <c r="J240" s="1" t="str">
        <f t="shared" si="21"/>
        <v>Grand piano production item #234</v>
      </c>
      <c r="K240" s="1" t="str">
        <f>IF(SUM(COUNTIFS(I:I, I240)) &gt; 1, "DUPLICATE", "UNIQUE")</f>
        <v>UNIQUE</v>
      </c>
      <c r="L240" s="18">
        <v>0</v>
      </c>
      <c r="M240" s="28">
        <v>55</v>
      </c>
      <c r="N240" s="6">
        <v>36</v>
      </c>
      <c r="O240" s="30">
        <f t="shared" si="22"/>
        <v>0</v>
      </c>
      <c r="P240" s="30">
        <f t="shared" si="23"/>
        <v>1980</v>
      </c>
      <c r="Q240" s="1">
        <f>COUNTIFS($P:$P, "&gt;" &amp; $P240) + 1</f>
        <v>3265</v>
      </c>
      <c r="R240" s="63">
        <f>(COUNTIFS($P:$P, "&gt;" &amp; $P240) + 1) / (COUNTA($I:$I) - 1)</f>
        <v>0.65300000000000002</v>
      </c>
      <c r="S240" s="23">
        <f>SUMIFS($P:$P, $Q:$Q, "&lt;" &amp; $Q240)</f>
        <v>185541175</v>
      </c>
    </row>
    <row r="241" spans="1:19" x14ac:dyDescent="0.25">
      <c r="A241" s="1">
        <v>236</v>
      </c>
      <c r="B241" s="1" t="s">
        <v>2</v>
      </c>
      <c r="C241" s="1" t="str">
        <f>IF($B241 = "Production Item", _xlfn.XLOOKUP($A241, 'Instrument Table'!$J:$J, 'Instrument Table'!$B:$B, $C240), IF($B241 = "Service Item", _xlfn.XLOOKUP($A241, 'Instrument Table'!$I:$I, 'Instrument Table'!$B:$B, $C240), _xlfn.XLOOKUP($A241, 'Instrument Table'!$H:$H, 'Instrument Table'!$B:$B, $C240)))</f>
        <v>Grand Piano</v>
      </c>
      <c r="D241" s="1" t="str">
        <f>VLOOKUP($C241, 'Instrument Table'!$B:$C, 2, FALSE)</f>
        <v>Pianos</v>
      </c>
      <c r="E241" s="1">
        <f t="shared" si="18"/>
        <v>1</v>
      </c>
      <c r="F241" s="1">
        <f>_xlfn.XLOOKUP($C241, 'Instrument Table'!$B:$B, 'Instrument Table'!$A:$A, "")</f>
        <v>10</v>
      </c>
      <c r="G241" s="1" t="str">
        <f>TEXT(IF($B241 = "Retail Item", IF((ROW($A241) - 4504 - _xlfn.XMATCH($C241, $C$4506:$C$5005, 0, 1)) &lt;= VLOOKUP($C241, 'Instrument Table'!$B:$D, 3, FALSE), ROW($A241) - 4504 - _xlfn.XMATCH($C241, $C$4506:$C$5005, 0, 1), 0), 0), "00")</f>
        <v>00</v>
      </c>
      <c r="H241" s="1" t="str">
        <f t="shared" si="19"/>
        <v>235</v>
      </c>
      <c r="I241" s="1" t="str">
        <f t="shared" si="20"/>
        <v>11000-235</v>
      </c>
      <c r="J241" s="1" t="str">
        <f t="shared" si="21"/>
        <v>Grand piano production item #235</v>
      </c>
      <c r="K241" s="1" t="str">
        <f>IF(SUM(COUNTIFS(I:I, I241)) &gt; 1, "DUPLICATE", "UNIQUE")</f>
        <v>UNIQUE</v>
      </c>
      <c r="L241" s="18">
        <v>0</v>
      </c>
      <c r="M241" s="28">
        <v>12</v>
      </c>
      <c r="N241" s="6">
        <v>361</v>
      </c>
      <c r="O241" s="30">
        <f t="shared" si="22"/>
        <v>0</v>
      </c>
      <c r="P241" s="30">
        <f t="shared" si="23"/>
        <v>4332</v>
      </c>
      <c r="Q241" s="1">
        <f>COUNTIFS($P:$P, "&gt;" &amp; $P241) + 1</f>
        <v>2582</v>
      </c>
      <c r="R241" s="63">
        <f>(COUNTIFS($P:$P, "&gt;" &amp; $P241) + 1) / (COUNTA($I:$I) - 1)</f>
        <v>0.51639999999999997</v>
      </c>
      <c r="S241" s="23">
        <f>SUMIFS($P:$P, $Q:$Q, "&lt;" &amp; $Q241)</f>
        <v>183486130</v>
      </c>
    </row>
    <row r="242" spans="1:19" x14ac:dyDescent="0.25">
      <c r="A242" s="1">
        <v>237</v>
      </c>
      <c r="B242" s="1" t="s">
        <v>2</v>
      </c>
      <c r="C242" s="1" t="str">
        <f>IF($B242 = "Production Item", _xlfn.XLOOKUP($A242, 'Instrument Table'!$J:$J, 'Instrument Table'!$B:$B, $C241), IF($B242 = "Service Item", _xlfn.XLOOKUP($A242, 'Instrument Table'!$I:$I, 'Instrument Table'!$B:$B, $C241), _xlfn.XLOOKUP($A242, 'Instrument Table'!$H:$H, 'Instrument Table'!$B:$B, $C241)))</f>
        <v>Grand Piano</v>
      </c>
      <c r="D242" s="1" t="str">
        <f>VLOOKUP($C242, 'Instrument Table'!$B:$C, 2, FALSE)</f>
        <v>Pianos</v>
      </c>
      <c r="E242" s="1">
        <f t="shared" si="18"/>
        <v>1</v>
      </c>
      <c r="F242" s="1">
        <f>_xlfn.XLOOKUP($C242, 'Instrument Table'!$B:$B, 'Instrument Table'!$A:$A, "")</f>
        <v>10</v>
      </c>
      <c r="G242" s="1" t="str">
        <f>TEXT(IF($B242 = "Retail Item", IF((ROW($A242) - 4504 - _xlfn.XMATCH($C242, $C$4506:$C$5005, 0, 1)) &lt;= VLOOKUP($C242, 'Instrument Table'!$B:$D, 3, FALSE), ROW($A242) - 4504 - _xlfn.XMATCH($C242, $C$4506:$C$5005, 0, 1), 0), 0), "00")</f>
        <v>00</v>
      </c>
      <c r="H242" s="1" t="str">
        <f t="shared" si="19"/>
        <v>236</v>
      </c>
      <c r="I242" s="1" t="str">
        <f t="shared" si="20"/>
        <v>11000-236</v>
      </c>
      <c r="J242" s="1" t="str">
        <f t="shared" si="21"/>
        <v>Grand piano production item #236</v>
      </c>
      <c r="K242" s="1" t="str">
        <f>IF(SUM(COUNTIFS(I:I, I242)) &gt; 1, "DUPLICATE", "UNIQUE")</f>
        <v>UNIQUE</v>
      </c>
      <c r="L242" s="18">
        <v>0</v>
      </c>
      <c r="M242" s="28">
        <v>96</v>
      </c>
      <c r="N242" s="6">
        <v>49</v>
      </c>
      <c r="O242" s="30">
        <f t="shared" si="22"/>
        <v>0</v>
      </c>
      <c r="P242" s="30">
        <f t="shared" si="23"/>
        <v>4704</v>
      </c>
      <c r="Q242" s="1">
        <f>COUNTIFS($P:$P, "&gt;" &amp; $P242) + 1</f>
        <v>2500</v>
      </c>
      <c r="R242" s="63">
        <f>(COUNTIFS($P:$P, "&gt;" &amp; $P242) + 1) / (COUNTA($I:$I) - 1)</f>
        <v>0.5</v>
      </c>
      <c r="S242" s="23">
        <f>SUMIFS($P:$P, $Q:$Q, "&lt;" &amp; $Q242)</f>
        <v>183115244</v>
      </c>
    </row>
    <row r="243" spans="1:19" x14ac:dyDescent="0.25">
      <c r="A243" s="1">
        <v>238</v>
      </c>
      <c r="B243" s="1" t="s">
        <v>2</v>
      </c>
      <c r="C243" s="1" t="str">
        <f>IF($B243 = "Production Item", _xlfn.XLOOKUP($A243, 'Instrument Table'!$J:$J, 'Instrument Table'!$B:$B, $C242), IF($B243 = "Service Item", _xlfn.XLOOKUP($A243, 'Instrument Table'!$I:$I, 'Instrument Table'!$B:$B, $C242), _xlfn.XLOOKUP($A243, 'Instrument Table'!$H:$H, 'Instrument Table'!$B:$B, $C242)))</f>
        <v>Grand Piano</v>
      </c>
      <c r="D243" s="1" t="str">
        <f>VLOOKUP($C243, 'Instrument Table'!$B:$C, 2, FALSE)</f>
        <v>Pianos</v>
      </c>
      <c r="E243" s="1">
        <f t="shared" si="18"/>
        <v>1</v>
      </c>
      <c r="F243" s="1">
        <f>_xlfn.XLOOKUP($C243, 'Instrument Table'!$B:$B, 'Instrument Table'!$A:$A, "")</f>
        <v>10</v>
      </c>
      <c r="G243" s="1" t="str">
        <f>TEXT(IF($B243 = "Retail Item", IF((ROW($A243) - 4504 - _xlfn.XMATCH($C243, $C$4506:$C$5005, 0, 1)) &lt;= VLOOKUP($C243, 'Instrument Table'!$B:$D, 3, FALSE), ROW($A243) - 4504 - _xlfn.XMATCH($C243, $C$4506:$C$5005, 0, 1), 0), 0), "00")</f>
        <v>00</v>
      </c>
      <c r="H243" s="1" t="str">
        <f t="shared" si="19"/>
        <v>237</v>
      </c>
      <c r="I243" s="1" t="str">
        <f t="shared" si="20"/>
        <v>11000-237</v>
      </c>
      <c r="J243" s="1" t="str">
        <f t="shared" si="21"/>
        <v>Grand piano production item #237</v>
      </c>
      <c r="K243" s="1" t="str">
        <f>IF(SUM(COUNTIFS(I:I, I243)) &gt; 1, "DUPLICATE", "UNIQUE")</f>
        <v>UNIQUE</v>
      </c>
      <c r="L243" s="18">
        <v>1</v>
      </c>
      <c r="M243" s="28">
        <v>96</v>
      </c>
      <c r="N243" s="6">
        <v>196</v>
      </c>
      <c r="O243" s="30">
        <f t="shared" si="22"/>
        <v>96</v>
      </c>
      <c r="P243" s="30">
        <f t="shared" si="23"/>
        <v>18816</v>
      </c>
      <c r="Q243" s="1">
        <f>COUNTIFS($P:$P, "&gt;" &amp; $P243) + 1</f>
        <v>1110</v>
      </c>
      <c r="R243" s="63">
        <f>(COUNTIFS($P:$P, "&gt;" &amp; $P243) + 1) / (COUNTA($I:$I) - 1)</f>
        <v>0.222</v>
      </c>
      <c r="S243" s="23">
        <f>SUMIFS($P:$P, $Q:$Q, "&lt;" &amp; $Q243)</f>
        <v>168693970</v>
      </c>
    </row>
    <row r="244" spans="1:19" x14ac:dyDescent="0.25">
      <c r="A244" s="1">
        <v>239</v>
      </c>
      <c r="B244" s="1" t="s">
        <v>2</v>
      </c>
      <c r="C244" s="1" t="str">
        <f>IF($B244 = "Production Item", _xlfn.XLOOKUP($A244, 'Instrument Table'!$J:$J, 'Instrument Table'!$B:$B, $C243), IF($B244 = "Service Item", _xlfn.XLOOKUP($A244, 'Instrument Table'!$I:$I, 'Instrument Table'!$B:$B, $C243), _xlfn.XLOOKUP($A244, 'Instrument Table'!$H:$H, 'Instrument Table'!$B:$B, $C243)))</f>
        <v>Grand Piano</v>
      </c>
      <c r="D244" s="1" t="str">
        <f>VLOOKUP($C244, 'Instrument Table'!$B:$C, 2, FALSE)</f>
        <v>Pianos</v>
      </c>
      <c r="E244" s="1">
        <f t="shared" si="18"/>
        <v>1</v>
      </c>
      <c r="F244" s="1">
        <f>_xlfn.XLOOKUP($C244, 'Instrument Table'!$B:$B, 'Instrument Table'!$A:$A, "")</f>
        <v>10</v>
      </c>
      <c r="G244" s="1" t="str">
        <f>TEXT(IF($B244 = "Retail Item", IF((ROW($A244) - 4504 - _xlfn.XMATCH($C244, $C$4506:$C$5005, 0, 1)) &lt;= VLOOKUP($C244, 'Instrument Table'!$B:$D, 3, FALSE), ROW($A244) - 4504 - _xlfn.XMATCH($C244, $C$4506:$C$5005, 0, 1), 0), 0), "00")</f>
        <v>00</v>
      </c>
      <c r="H244" s="1" t="str">
        <f t="shared" si="19"/>
        <v>238</v>
      </c>
      <c r="I244" s="1" t="str">
        <f t="shared" si="20"/>
        <v>11000-238</v>
      </c>
      <c r="J244" s="1" t="str">
        <f t="shared" si="21"/>
        <v>Grand piano production item #238</v>
      </c>
      <c r="K244" s="1" t="str">
        <f>IF(SUM(COUNTIFS(I:I, I244)) &gt; 1, "DUPLICATE", "UNIQUE")</f>
        <v>UNIQUE</v>
      </c>
      <c r="L244" s="18">
        <v>0</v>
      </c>
      <c r="M244" s="28">
        <v>58</v>
      </c>
      <c r="N244" s="6">
        <v>289</v>
      </c>
      <c r="O244" s="30">
        <f t="shared" si="22"/>
        <v>0</v>
      </c>
      <c r="P244" s="30">
        <f t="shared" si="23"/>
        <v>16762</v>
      </c>
      <c r="Q244" s="1">
        <f>COUNTIFS($P:$P, "&gt;" &amp; $P244) + 1</f>
        <v>1232</v>
      </c>
      <c r="R244" s="63">
        <f>(COUNTIFS($P:$P, "&gt;" &amp; $P244) + 1) / (COUNTA($I:$I) - 1)</f>
        <v>0.24640000000000001</v>
      </c>
      <c r="S244" s="23">
        <f>SUMIFS($P:$P, $Q:$Q, "&lt;" &amp; $Q244)</f>
        <v>170870467</v>
      </c>
    </row>
    <row r="245" spans="1:19" x14ac:dyDescent="0.25">
      <c r="A245" s="1">
        <v>240</v>
      </c>
      <c r="B245" s="1" t="s">
        <v>2</v>
      </c>
      <c r="C245" s="1" t="str">
        <f>IF($B245 = "Production Item", _xlfn.XLOOKUP($A245, 'Instrument Table'!$J:$J, 'Instrument Table'!$B:$B, $C244), IF($B245 = "Service Item", _xlfn.XLOOKUP($A245, 'Instrument Table'!$I:$I, 'Instrument Table'!$B:$B, $C244), _xlfn.XLOOKUP($A245, 'Instrument Table'!$H:$H, 'Instrument Table'!$B:$B, $C244)))</f>
        <v>Grand Piano</v>
      </c>
      <c r="D245" s="1" t="str">
        <f>VLOOKUP($C245, 'Instrument Table'!$B:$C, 2, FALSE)</f>
        <v>Pianos</v>
      </c>
      <c r="E245" s="1">
        <f t="shared" si="18"/>
        <v>1</v>
      </c>
      <c r="F245" s="1">
        <f>_xlfn.XLOOKUP($C245, 'Instrument Table'!$B:$B, 'Instrument Table'!$A:$A, "")</f>
        <v>10</v>
      </c>
      <c r="G245" s="1" t="str">
        <f>TEXT(IF($B245 = "Retail Item", IF((ROW($A245) - 4504 - _xlfn.XMATCH($C245, $C$4506:$C$5005, 0, 1)) &lt;= VLOOKUP($C245, 'Instrument Table'!$B:$D, 3, FALSE), ROW($A245) - 4504 - _xlfn.XMATCH($C245, $C$4506:$C$5005, 0, 1), 0), 0), "00")</f>
        <v>00</v>
      </c>
      <c r="H245" s="1" t="str">
        <f t="shared" si="19"/>
        <v>239</v>
      </c>
      <c r="I245" s="1" t="str">
        <f t="shared" si="20"/>
        <v>11000-239</v>
      </c>
      <c r="J245" s="1" t="str">
        <f t="shared" si="21"/>
        <v>Grand piano production item #239</v>
      </c>
      <c r="K245" s="1" t="str">
        <f>IF(SUM(COUNTIFS(I:I, I245)) &gt; 1, "DUPLICATE", "UNIQUE")</f>
        <v>UNIQUE</v>
      </c>
      <c r="L245" s="18">
        <v>32</v>
      </c>
      <c r="M245" s="28">
        <v>45</v>
      </c>
      <c r="N245" s="6">
        <v>25</v>
      </c>
      <c r="O245" s="30">
        <f t="shared" si="22"/>
        <v>1440</v>
      </c>
      <c r="P245" s="30">
        <f t="shared" si="23"/>
        <v>1125</v>
      </c>
      <c r="Q245" s="1">
        <f>COUNTIFS($P:$P, "&gt;" &amp; $P245) + 1</f>
        <v>3641</v>
      </c>
      <c r="R245" s="63">
        <f>(COUNTIFS($P:$P, "&gt;" &amp; $P245) + 1) / (COUNTA($I:$I) - 1)</f>
        <v>0.72819999999999996</v>
      </c>
      <c r="S245" s="23">
        <f>SUMIFS($P:$P, $Q:$Q, "&lt;" &amp; $Q245)</f>
        <v>186117768</v>
      </c>
    </row>
    <row r="246" spans="1:19" x14ac:dyDescent="0.25">
      <c r="A246" s="1">
        <v>241</v>
      </c>
      <c r="B246" s="1" t="s">
        <v>2</v>
      </c>
      <c r="C246" s="1" t="str">
        <f>IF($B246 = "Production Item", _xlfn.XLOOKUP($A246, 'Instrument Table'!$J:$J, 'Instrument Table'!$B:$B, $C245), IF($B246 = "Service Item", _xlfn.XLOOKUP($A246, 'Instrument Table'!$I:$I, 'Instrument Table'!$B:$B, $C245), _xlfn.XLOOKUP($A246, 'Instrument Table'!$H:$H, 'Instrument Table'!$B:$B, $C245)))</f>
        <v>Grand Piano</v>
      </c>
      <c r="D246" s="1" t="str">
        <f>VLOOKUP($C246, 'Instrument Table'!$B:$C, 2, FALSE)</f>
        <v>Pianos</v>
      </c>
      <c r="E246" s="1">
        <f t="shared" si="18"/>
        <v>1</v>
      </c>
      <c r="F246" s="1">
        <f>_xlfn.XLOOKUP($C246, 'Instrument Table'!$B:$B, 'Instrument Table'!$A:$A, "")</f>
        <v>10</v>
      </c>
      <c r="G246" s="1" t="str">
        <f>TEXT(IF($B246 = "Retail Item", IF((ROW($A246) - 4504 - _xlfn.XMATCH($C246, $C$4506:$C$5005, 0, 1)) &lt;= VLOOKUP($C246, 'Instrument Table'!$B:$D, 3, FALSE), ROW($A246) - 4504 - _xlfn.XMATCH($C246, $C$4506:$C$5005, 0, 1), 0), 0), "00")</f>
        <v>00</v>
      </c>
      <c r="H246" s="1" t="str">
        <f t="shared" si="19"/>
        <v>240</v>
      </c>
      <c r="I246" s="1" t="str">
        <f t="shared" si="20"/>
        <v>11000-240</v>
      </c>
      <c r="J246" s="1" t="str">
        <f t="shared" si="21"/>
        <v>Grand piano production item #240</v>
      </c>
      <c r="K246" s="1" t="str">
        <f>IF(SUM(COUNTIFS(I:I, I246)) &gt; 1, "DUPLICATE", "UNIQUE")</f>
        <v>UNIQUE</v>
      </c>
      <c r="L246" s="18">
        <v>16</v>
      </c>
      <c r="M246" s="28">
        <v>59</v>
      </c>
      <c r="N246" s="6">
        <v>36</v>
      </c>
      <c r="O246" s="30">
        <f t="shared" si="22"/>
        <v>944</v>
      </c>
      <c r="P246" s="30">
        <f t="shared" si="23"/>
        <v>2124</v>
      </c>
      <c r="Q246" s="1">
        <f>COUNTIFS($P:$P, "&gt;" &amp; $P246) + 1</f>
        <v>3194</v>
      </c>
      <c r="R246" s="63">
        <f>(COUNTIFS($P:$P, "&gt;" &amp; $P246) + 1) / (COUNTA($I:$I) - 1)</f>
        <v>0.63880000000000003</v>
      </c>
      <c r="S246" s="23">
        <f>SUMIFS($P:$P, $Q:$Q, "&lt;" &amp; $Q246)</f>
        <v>185394931</v>
      </c>
    </row>
    <row r="247" spans="1:19" x14ac:dyDescent="0.25">
      <c r="A247" s="1">
        <v>242</v>
      </c>
      <c r="B247" s="1" t="s">
        <v>2</v>
      </c>
      <c r="C247" s="1" t="str">
        <f>IF($B247 = "Production Item", _xlfn.XLOOKUP($A247, 'Instrument Table'!$J:$J, 'Instrument Table'!$B:$B, $C246), IF($B247 = "Service Item", _xlfn.XLOOKUP($A247, 'Instrument Table'!$I:$I, 'Instrument Table'!$B:$B, $C246), _xlfn.XLOOKUP($A247, 'Instrument Table'!$H:$H, 'Instrument Table'!$B:$B, $C246)))</f>
        <v>Grand Piano</v>
      </c>
      <c r="D247" s="1" t="str">
        <f>VLOOKUP($C247, 'Instrument Table'!$B:$C, 2, FALSE)</f>
        <v>Pianos</v>
      </c>
      <c r="E247" s="1">
        <f t="shared" si="18"/>
        <v>1</v>
      </c>
      <c r="F247" s="1">
        <f>_xlfn.XLOOKUP($C247, 'Instrument Table'!$B:$B, 'Instrument Table'!$A:$A, "")</f>
        <v>10</v>
      </c>
      <c r="G247" s="1" t="str">
        <f>TEXT(IF($B247 = "Retail Item", IF((ROW($A247) - 4504 - _xlfn.XMATCH($C247, $C$4506:$C$5005, 0, 1)) &lt;= VLOOKUP($C247, 'Instrument Table'!$B:$D, 3, FALSE), ROW($A247) - 4504 - _xlfn.XMATCH($C247, $C$4506:$C$5005, 0, 1), 0), 0), "00")</f>
        <v>00</v>
      </c>
      <c r="H247" s="1" t="str">
        <f t="shared" si="19"/>
        <v>241</v>
      </c>
      <c r="I247" s="1" t="str">
        <f t="shared" si="20"/>
        <v>11000-241</v>
      </c>
      <c r="J247" s="1" t="str">
        <f t="shared" si="21"/>
        <v>Grand piano production item #241</v>
      </c>
      <c r="K247" s="1" t="str">
        <f>IF(SUM(COUNTIFS(I:I, I247)) &gt; 1, "DUPLICATE", "UNIQUE")</f>
        <v>UNIQUE</v>
      </c>
      <c r="L247" s="18">
        <v>1</v>
      </c>
      <c r="M247" s="28">
        <v>16</v>
      </c>
      <c r="N247" s="6">
        <v>4</v>
      </c>
      <c r="O247" s="30">
        <f t="shared" si="22"/>
        <v>16</v>
      </c>
      <c r="P247" s="30">
        <f t="shared" si="23"/>
        <v>64</v>
      </c>
      <c r="Q247" s="1">
        <f>COUNTIFS($P:$P, "&gt;" &amp; $P247) + 1</f>
        <v>4553</v>
      </c>
      <c r="R247" s="63">
        <f>(COUNTIFS($P:$P, "&gt;" &amp; $P247) + 1) / (COUNTA($I:$I) - 1)</f>
        <v>0.91059999999999997</v>
      </c>
      <c r="S247" s="23">
        <f>SUMIFS($P:$P, $Q:$Q, "&lt;" &amp; $Q247)</f>
        <v>186540850</v>
      </c>
    </row>
    <row r="248" spans="1:19" x14ac:dyDescent="0.25">
      <c r="A248" s="1">
        <v>243</v>
      </c>
      <c r="B248" s="1" t="s">
        <v>2</v>
      </c>
      <c r="C248" s="1" t="str">
        <f>IF($B248 = "Production Item", _xlfn.XLOOKUP($A248, 'Instrument Table'!$J:$J, 'Instrument Table'!$B:$B, $C247), IF($B248 = "Service Item", _xlfn.XLOOKUP($A248, 'Instrument Table'!$I:$I, 'Instrument Table'!$B:$B, $C247), _xlfn.XLOOKUP($A248, 'Instrument Table'!$H:$H, 'Instrument Table'!$B:$B, $C247)))</f>
        <v>Grand Piano</v>
      </c>
      <c r="D248" s="1" t="str">
        <f>VLOOKUP($C248, 'Instrument Table'!$B:$C, 2, FALSE)</f>
        <v>Pianos</v>
      </c>
      <c r="E248" s="1">
        <f t="shared" si="18"/>
        <v>1</v>
      </c>
      <c r="F248" s="1">
        <f>_xlfn.XLOOKUP($C248, 'Instrument Table'!$B:$B, 'Instrument Table'!$A:$A, "")</f>
        <v>10</v>
      </c>
      <c r="G248" s="1" t="str">
        <f>TEXT(IF($B248 = "Retail Item", IF((ROW($A248) - 4504 - _xlfn.XMATCH($C248, $C$4506:$C$5005, 0, 1)) &lt;= VLOOKUP($C248, 'Instrument Table'!$B:$D, 3, FALSE), ROW($A248) - 4504 - _xlfn.XMATCH($C248, $C$4506:$C$5005, 0, 1), 0), 0), "00")</f>
        <v>00</v>
      </c>
      <c r="H248" s="1" t="str">
        <f t="shared" si="19"/>
        <v>242</v>
      </c>
      <c r="I248" s="1" t="str">
        <f t="shared" si="20"/>
        <v>11000-242</v>
      </c>
      <c r="J248" s="1" t="str">
        <f t="shared" si="21"/>
        <v>Grand piano production item #242</v>
      </c>
      <c r="K248" s="1" t="str">
        <f>IF(SUM(COUNTIFS(I:I, I248)) &gt; 1, "DUPLICATE", "UNIQUE")</f>
        <v>UNIQUE</v>
      </c>
      <c r="L248" s="18">
        <v>2</v>
      </c>
      <c r="M248" s="28">
        <v>95</v>
      </c>
      <c r="N248" s="6">
        <v>100</v>
      </c>
      <c r="O248" s="30">
        <f t="shared" si="22"/>
        <v>190</v>
      </c>
      <c r="P248" s="30">
        <f t="shared" si="23"/>
        <v>9500</v>
      </c>
      <c r="Q248" s="1">
        <f>COUNTIFS($P:$P, "&gt;" &amp; $P248) + 1</f>
        <v>1817</v>
      </c>
      <c r="R248" s="63">
        <f>(COUNTIFS($P:$P, "&gt;" &amp; $P248) + 1) / (COUNTA($I:$I) - 1)</f>
        <v>0.3634</v>
      </c>
      <c r="S248" s="23">
        <f>SUMIFS($P:$P, $Q:$Q, "&lt;" &amp; $Q248)</f>
        <v>178404393</v>
      </c>
    </row>
    <row r="249" spans="1:19" x14ac:dyDescent="0.25">
      <c r="A249" s="1">
        <v>244</v>
      </c>
      <c r="B249" s="1" t="s">
        <v>2</v>
      </c>
      <c r="C249" s="1" t="str">
        <f>IF($B249 = "Production Item", _xlfn.XLOOKUP($A249, 'Instrument Table'!$J:$J, 'Instrument Table'!$B:$B, $C248), IF($B249 = "Service Item", _xlfn.XLOOKUP($A249, 'Instrument Table'!$I:$I, 'Instrument Table'!$B:$B, $C248), _xlfn.XLOOKUP($A249, 'Instrument Table'!$H:$H, 'Instrument Table'!$B:$B, $C248)))</f>
        <v>Grand Piano</v>
      </c>
      <c r="D249" s="1" t="str">
        <f>VLOOKUP($C249, 'Instrument Table'!$B:$C, 2, FALSE)</f>
        <v>Pianos</v>
      </c>
      <c r="E249" s="1">
        <f t="shared" si="18"/>
        <v>1</v>
      </c>
      <c r="F249" s="1">
        <f>_xlfn.XLOOKUP($C249, 'Instrument Table'!$B:$B, 'Instrument Table'!$A:$A, "")</f>
        <v>10</v>
      </c>
      <c r="G249" s="1" t="str">
        <f>TEXT(IF($B249 = "Retail Item", IF((ROW($A249) - 4504 - _xlfn.XMATCH($C249, $C$4506:$C$5005, 0, 1)) &lt;= VLOOKUP($C249, 'Instrument Table'!$B:$D, 3, FALSE), ROW($A249) - 4504 - _xlfn.XMATCH($C249, $C$4506:$C$5005, 0, 1), 0), 0), "00")</f>
        <v>00</v>
      </c>
      <c r="H249" s="1" t="str">
        <f t="shared" si="19"/>
        <v>243</v>
      </c>
      <c r="I249" s="1" t="str">
        <f t="shared" si="20"/>
        <v>11000-243</v>
      </c>
      <c r="J249" s="1" t="str">
        <f t="shared" si="21"/>
        <v>Grand piano production item #243</v>
      </c>
      <c r="K249" s="1" t="str">
        <f>IF(SUM(COUNTIFS(I:I, I249)) &gt; 1, "DUPLICATE", "UNIQUE")</f>
        <v>UNIQUE</v>
      </c>
      <c r="L249" s="18">
        <v>1</v>
      </c>
      <c r="M249" s="28">
        <v>86</v>
      </c>
      <c r="N249" s="6">
        <v>16</v>
      </c>
      <c r="O249" s="30">
        <f t="shared" si="22"/>
        <v>86</v>
      </c>
      <c r="P249" s="30">
        <f t="shared" si="23"/>
        <v>1376</v>
      </c>
      <c r="Q249" s="1">
        <f>COUNTIFS($P:$P, "&gt;" &amp; $P249) + 1</f>
        <v>3517</v>
      </c>
      <c r="R249" s="63">
        <f>(COUNTIFS($P:$P, "&gt;" &amp; $P249) + 1) / (COUNTA($I:$I) - 1)</f>
        <v>0.70340000000000003</v>
      </c>
      <c r="S249" s="23">
        <f>SUMIFS($P:$P, $Q:$Q, "&lt;" &amp; $Q249)</f>
        <v>185961339</v>
      </c>
    </row>
    <row r="250" spans="1:19" x14ac:dyDescent="0.25">
      <c r="A250" s="1">
        <v>245</v>
      </c>
      <c r="B250" s="1" t="s">
        <v>2</v>
      </c>
      <c r="C250" s="1" t="str">
        <f>IF($B250 = "Production Item", _xlfn.XLOOKUP($A250, 'Instrument Table'!$J:$J, 'Instrument Table'!$B:$B, $C249), IF($B250 = "Service Item", _xlfn.XLOOKUP($A250, 'Instrument Table'!$I:$I, 'Instrument Table'!$B:$B, $C249), _xlfn.XLOOKUP($A250, 'Instrument Table'!$H:$H, 'Instrument Table'!$B:$B, $C249)))</f>
        <v>Grand Piano</v>
      </c>
      <c r="D250" s="1" t="str">
        <f>VLOOKUP($C250, 'Instrument Table'!$B:$C, 2, FALSE)</f>
        <v>Pianos</v>
      </c>
      <c r="E250" s="1">
        <f t="shared" si="18"/>
        <v>1</v>
      </c>
      <c r="F250" s="1">
        <f>_xlfn.XLOOKUP($C250, 'Instrument Table'!$B:$B, 'Instrument Table'!$A:$A, "")</f>
        <v>10</v>
      </c>
      <c r="G250" s="1" t="str">
        <f>TEXT(IF($B250 = "Retail Item", IF((ROW($A250) - 4504 - _xlfn.XMATCH($C250, $C$4506:$C$5005, 0, 1)) &lt;= VLOOKUP($C250, 'Instrument Table'!$B:$D, 3, FALSE), ROW($A250) - 4504 - _xlfn.XMATCH($C250, $C$4506:$C$5005, 0, 1), 0), 0), "00")</f>
        <v>00</v>
      </c>
      <c r="H250" s="1" t="str">
        <f t="shared" si="19"/>
        <v>244</v>
      </c>
      <c r="I250" s="1" t="str">
        <f t="shared" si="20"/>
        <v>11000-244</v>
      </c>
      <c r="J250" s="1" t="str">
        <f t="shared" si="21"/>
        <v>Grand piano production item #244</v>
      </c>
      <c r="K250" s="1" t="str">
        <f>IF(SUM(COUNTIFS(I:I, I250)) &gt; 1, "DUPLICATE", "UNIQUE")</f>
        <v>UNIQUE</v>
      </c>
      <c r="L250" s="18">
        <v>8</v>
      </c>
      <c r="M250" s="28">
        <v>36</v>
      </c>
      <c r="N250" s="6">
        <v>225</v>
      </c>
      <c r="O250" s="30">
        <f t="shared" si="22"/>
        <v>288</v>
      </c>
      <c r="P250" s="30">
        <f t="shared" si="23"/>
        <v>8100</v>
      </c>
      <c r="Q250" s="1">
        <f>COUNTIFS($P:$P, "&gt;" &amp; $P250) + 1</f>
        <v>1974</v>
      </c>
      <c r="R250" s="63">
        <f>(COUNTIFS($P:$P, "&gt;" &amp; $P250) + 1) / (COUNTA($I:$I) - 1)</f>
        <v>0.39479999999999998</v>
      </c>
      <c r="S250" s="23">
        <f>SUMIFS($P:$P, $Q:$Q, "&lt;" &amp; $Q250)</f>
        <v>179788102</v>
      </c>
    </row>
    <row r="251" spans="1:19" x14ac:dyDescent="0.25">
      <c r="A251" s="1">
        <v>246</v>
      </c>
      <c r="B251" s="1" t="s">
        <v>2</v>
      </c>
      <c r="C251" s="1" t="str">
        <f>IF($B251 = "Production Item", _xlfn.XLOOKUP($A251, 'Instrument Table'!$J:$J, 'Instrument Table'!$B:$B, $C250), IF($B251 = "Service Item", _xlfn.XLOOKUP($A251, 'Instrument Table'!$I:$I, 'Instrument Table'!$B:$B, $C250), _xlfn.XLOOKUP($A251, 'Instrument Table'!$H:$H, 'Instrument Table'!$B:$B, $C250)))</f>
        <v>Grand Piano</v>
      </c>
      <c r="D251" s="1" t="str">
        <f>VLOOKUP($C251, 'Instrument Table'!$B:$C, 2, FALSE)</f>
        <v>Pianos</v>
      </c>
      <c r="E251" s="1">
        <f t="shared" si="18"/>
        <v>1</v>
      </c>
      <c r="F251" s="1">
        <f>_xlfn.XLOOKUP($C251, 'Instrument Table'!$B:$B, 'Instrument Table'!$A:$A, "")</f>
        <v>10</v>
      </c>
      <c r="G251" s="1" t="str">
        <f>TEXT(IF($B251 = "Retail Item", IF((ROW($A251) - 4504 - _xlfn.XMATCH($C251, $C$4506:$C$5005, 0, 1)) &lt;= VLOOKUP($C251, 'Instrument Table'!$B:$D, 3, FALSE), ROW($A251) - 4504 - _xlfn.XMATCH($C251, $C$4506:$C$5005, 0, 1), 0), 0), "00")</f>
        <v>00</v>
      </c>
      <c r="H251" s="1" t="str">
        <f t="shared" si="19"/>
        <v>245</v>
      </c>
      <c r="I251" s="1" t="str">
        <f t="shared" si="20"/>
        <v>11000-245</v>
      </c>
      <c r="J251" s="1" t="str">
        <f t="shared" si="21"/>
        <v>Grand piano production item #245</v>
      </c>
      <c r="K251" s="1" t="str">
        <f>IF(SUM(COUNTIFS(I:I, I251)) &gt; 1, "DUPLICATE", "UNIQUE")</f>
        <v>UNIQUE</v>
      </c>
      <c r="L251" s="18">
        <v>0</v>
      </c>
      <c r="M251" s="28">
        <v>24</v>
      </c>
      <c r="N251" s="6">
        <v>0</v>
      </c>
      <c r="O251" s="30">
        <f t="shared" si="22"/>
        <v>0</v>
      </c>
      <c r="P251" s="30">
        <f t="shared" si="23"/>
        <v>0</v>
      </c>
      <c r="Q251" s="1">
        <f>COUNTIFS($P:$P, "&gt;" &amp; $P251) + 1</f>
        <v>4746</v>
      </c>
      <c r="R251" s="63">
        <f>(COUNTIFS($P:$P, "&gt;" &amp; $P251) + 1) / (COUNTA($I:$I) - 1)</f>
        <v>0.94920000000000004</v>
      </c>
      <c r="S251" s="23">
        <f>SUMIFS($P:$P, $Q:$Q, "&lt;" &amp; $Q251)</f>
        <v>186547861</v>
      </c>
    </row>
    <row r="252" spans="1:19" x14ac:dyDescent="0.25">
      <c r="A252" s="1">
        <v>247</v>
      </c>
      <c r="B252" s="1" t="s">
        <v>2</v>
      </c>
      <c r="C252" s="1" t="str">
        <f>IF($B252 = "Production Item", _xlfn.XLOOKUP($A252, 'Instrument Table'!$J:$J, 'Instrument Table'!$B:$B, $C251), IF($B252 = "Service Item", _xlfn.XLOOKUP($A252, 'Instrument Table'!$I:$I, 'Instrument Table'!$B:$B, $C251), _xlfn.XLOOKUP($A252, 'Instrument Table'!$H:$H, 'Instrument Table'!$B:$B, $C251)))</f>
        <v>Grand Piano</v>
      </c>
      <c r="D252" s="1" t="str">
        <f>VLOOKUP($C252, 'Instrument Table'!$B:$C, 2, FALSE)</f>
        <v>Pianos</v>
      </c>
      <c r="E252" s="1">
        <f t="shared" si="18"/>
        <v>1</v>
      </c>
      <c r="F252" s="1">
        <f>_xlfn.XLOOKUP($C252, 'Instrument Table'!$B:$B, 'Instrument Table'!$A:$A, "")</f>
        <v>10</v>
      </c>
      <c r="G252" s="1" t="str">
        <f>TEXT(IF($B252 = "Retail Item", IF((ROW($A252) - 4504 - _xlfn.XMATCH($C252, $C$4506:$C$5005, 0, 1)) &lt;= VLOOKUP($C252, 'Instrument Table'!$B:$D, 3, FALSE), ROW($A252) - 4504 - _xlfn.XMATCH($C252, $C$4506:$C$5005, 0, 1), 0), 0), "00")</f>
        <v>00</v>
      </c>
      <c r="H252" s="1" t="str">
        <f t="shared" si="19"/>
        <v>246</v>
      </c>
      <c r="I252" s="1" t="str">
        <f t="shared" si="20"/>
        <v>11000-246</v>
      </c>
      <c r="J252" s="1" t="str">
        <f t="shared" si="21"/>
        <v>Grand piano production item #246</v>
      </c>
      <c r="K252" s="1" t="str">
        <f>IF(SUM(COUNTIFS(I:I, I252)) &gt; 1, "DUPLICATE", "UNIQUE")</f>
        <v>UNIQUE</v>
      </c>
      <c r="L252" s="18">
        <v>0</v>
      </c>
      <c r="M252" s="28">
        <v>16</v>
      </c>
      <c r="N252" s="6">
        <v>64</v>
      </c>
      <c r="O252" s="30">
        <f t="shared" si="22"/>
        <v>0</v>
      </c>
      <c r="P252" s="30">
        <f t="shared" si="23"/>
        <v>1024</v>
      </c>
      <c r="Q252" s="1">
        <f>COUNTIFS($P:$P, "&gt;" &amp; $P252) + 1</f>
        <v>3667</v>
      </c>
      <c r="R252" s="63">
        <f>(COUNTIFS($P:$P, "&gt;" &amp; $P252) + 1) / (COUNTA($I:$I) - 1)</f>
        <v>0.73340000000000005</v>
      </c>
      <c r="S252" s="23">
        <f>SUMIFS($P:$P, $Q:$Q, "&lt;" &amp; $Q252)</f>
        <v>186145961</v>
      </c>
    </row>
    <row r="253" spans="1:19" x14ac:dyDescent="0.25">
      <c r="A253" s="1">
        <v>248</v>
      </c>
      <c r="B253" s="1" t="s">
        <v>2</v>
      </c>
      <c r="C253" s="1" t="str">
        <f>IF($B253 = "Production Item", _xlfn.XLOOKUP($A253, 'Instrument Table'!$J:$J, 'Instrument Table'!$B:$B, $C252), IF($B253 = "Service Item", _xlfn.XLOOKUP($A253, 'Instrument Table'!$I:$I, 'Instrument Table'!$B:$B, $C252), _xlfn.XLOOKUP($A253, 'Instrument Table'!$H:$H, 'Instrument Table'!$B:$B, $C252)))</f>
        <v>Grand Piano</v>
      </c>
      <c r="D253" s="1" t="str">
        <f>VLOOKUP($C253, 'Instrument Table'!$B:$C, 2, FALSE)</f>
        <v>Pianos</v>
      </c>
      <c r="E253" s="1">
        <f t="shared" si="18"/>
        <v>1</v>
      </c>
      <c r="F253" s="1">
        <f>_xlfn.XLOOKUP($C253, 'Instrument Table'!$B:$B, 'Instrument Table'!$A:$A, "")</f>
        <v>10</v>
      </c>
      <c r="G253" s="1" t="str">
        <f>TEXT(IF($B253 = "Retail Item", IF((ROW($A253) - 4504 - _xlfn.XMATCH($C253, $C$4506:$C$5005, 0, 1)) &lt;= VLOOKUP($C253, 'Instrument Table'!$B:$D, 3, FALSE), ROW($A253) - 4504 - _xlfn.XMATCH($C253, $C$4506:$C$5005, 0, 1), 0), 0), "00")</f>
        <v>00</v>
      </c>
      <c r="H253" s="1" t="str">
        <f t="shared" si="19"/>
        <v>247</v>
      </c>
      <c r="I253" s="1" t="str">
        <f t="shared" si="20"/>
        <v>11000-247</v>
      </c>
      <c r="J253" s="1" t="str">
        <f t="shared" si="21"/>
        <v>Grand piano production item #247</v>
      </c>
      <c r="K253" s="1" t="str">
        <f>IF(SUM(COUNTIFS(I:I, I253)) &gt; 1, "DUPLICATE", "UNIQUE")</f>
        <v>UNIQUE</v>
      </c>
      <c r="L253" s="18">
        <v>0</v>
      </c>
      <c r="M253" s="28">
        <v>40</v>
      </c>
      <c r="N253" s="6">
        <v>36</v>
      </c>
      <c r="O253" s="30">
        <f t="shared" si="22"/>
        <v>0</v>
      </c>
      <c r="P253" s="30">
        <f t="shared" si="23"/>
        <v>1440</v>
      </c>
      <c r="Q253" s="1">
        <f>COUNTIFS($P:$P, "&gt;" &amp; $P253) + 1</f>
        <v>3494</v>
      </c>
      <c r="R253" s="63">
        <f>(COUNTIFS($P:$P, "&gt;" &amp; $P253) + 1) / (COUNTA($I:$I) - 1)</f>
        <v>0.69879999999999998</v>
      </c>
      <c r="S253" s="23">
        <f>SUMIFS($P:$P, $Q:$Q, "&lt;" &amp; $Q253)</f>
        <v>185928856</v>
      </c>
    </row>
    <row r="254" spans="1:19" x14ac:dyDescent="0.25">
      <c r="A254" s="1">
        <v>249</v>
      </c>
      <c r="B254" s="1" t="s">
        <v>2</v>
      </c>
      <c r="C254" s="1" t="str">
        <f>IF($B254 = "Production Item", _xlfn.XLOOKUP($A254, 'Instrument Table'!$J:$J, 'Instrument Table'!$B:$B, $C253), IF($B254 = "Service Item", _xlfn.XLOOKUP($A254, 'Instrument Table'!$I:$I, 'Instrument Table'!$B:$B, $C253), _xlfn.XLOOKUP($A254, 'Instrument Table'!$H:$H, 'Instrument Table'!$B:$B, $C253)))</f>
        <v>Grand Piano</v>
      </c>
      <c r="D254" s="1" t="str">
        <f>VLOOKUP($C254, 'Instrument Table'!$B:$C, 2, FALSE)</f>
        <v>Pianos</v>
      </c>
      <c r="E254" s="1">
        <f t="shared" si="18"/>
        <v>1</v>
      </c>
      <c r="F254" s="1">
        <f>_xlfn.XLOOKUP($C254, 'Instrument Table'!$B:$B, 'Instrument Table'!$A:$A, "")</f>
        <v>10</v>
      </c>
      <c r="G254" s="1" t="str">
        <f>TEXT(IF($B254 = "Retail Item", IF((ROW($A254) - 4504 - _xlfn.XMATCH($C254, $C$4506:$C$5005, 0, 1)) &lt;= VLOOKUP($C254, 'Instrument Table'!$B:$D, 3, FALSE), ROW($A254) - 4504 - _xlfn.XMATCH($C254, $C$4506:$C$5005, 0, 1), 0), 0), "00")</f>
        <v>00</v>
      </c>
      <c r="H254" s="1" t="str">
        <f t="shared" si="19"/>
        <v>248</v>
      </c>
      <c r="I254" s="1" t="str">
        <f t="shared" si="20"/>
        <v>11000-248</v>
      </c>
      <c r="J254" s="1" t="str">
        <f t="shared" si="21"/>
        <v>Grand piano production item #248</v>
      </c>
      <c r="K254" s="1" t="str">
        <f>IF(SUM(COUNTIFS(I:I, I254)) &gt; 1, "DUPLICATE", "UNIQUE")</f>
        <v>UNIQUE</v>
      </c>
      <c r="L254" s="18">
        <v>1</v>
      </c>
      <c r="M254" s="28">
        <v>94</v>
      </c>
      <c r="N254" s="6">
        <v>289</v>
      </c>
      <c r="O254" s="30">
        <f t="shared" si="22"/>
        <v>94</v>
      </c>
      <c r="P254" s="30">
        <f t="shared" si="23"/>
        <v>27166</v>
      </c>
      <c r="Q254" s="1">
        <f>COUNTIFS($P:$P, "&gt;" &amp; $P254) + 1</f>
        <v>749</v>
      </c>
      <c r="R254" s="63">
        <f>(COUNTIFS($P:$P, "&gt;" &amp; $P254) + 1) / (COUNTA($I:$I) - 1)</f>
        <v>0.14979999999999999</v>
      </c>
      <c r="S254" s="23">
        <f>SUMIFS($P:$P, $Q:$Q, "&lt;" &amp; $Q254)</f>
        <v>160478430</v>
      </c>
    </row>
    <row r="255" spans="1:19" x14ac:dyDescent="0.25">
      <c r="A255" s="1">
        <v>250</v>
      </c>
      <c r="B255" s="1" t="s">
        <v>2</v>
      </c>
      <c r="C255" s="1" t="str">
        <f>IF($B255 = "Production Item", _xlfn.XLOOKUP($A255, 'Instrument Table'!$J:$J, 'Instrument Table'!$B:$B, $C254), IF($B255 = "Service Item", _xlfn.XLOOKUP($A255, 'Instrument Table'!$I:$I, 'Instrument Table'!$B:$B, $C254), _xlfn.XLOOKUP($A255, 'Instrument Table'!$H:$H, 'Instrument Table'!$B:$B, $C254)))</f>
        <v>Grand Piano</v>
      </c>
      <c r="D255" s="1" t="str">
        <f>VLOOKUP($C255, 'Instrument Table'!$B:$C, 2, FALSE)</f>
        <v>Pianos</v>
      </c>
      <c r="E255" s="1">
        <f t="shared" si="18"/>
        <v>1</v>
      </c>
      <c r="F255" s="1">
        <f>_xlfn.XLOOKUP($C255, 'Instrument Table'!$B:$B, 'Instrument Table'!$A:$A, "")</f>
        <v>10</v>
      </c>
      <c r="G255" s="1" t="str">
        <f>TEXT(IF($B255 = "Retail Item", IF((ROW($A255) - 4504 - _xlfn.XMATCH($C255, $C$4506:$C$5005, 0, 1)) &lt;= VLOOKUP($C255, 'Instrument Table'!$B:$D, 3, FALSE), ROW($A255) - 4504 - _xlfn.XMATCH($C255, $C$4506:$C$5005, 0, 1), 0), 0), "00")</f>
        <v>00</v>
      </c>
      <c r="H255" s="1" t="str">
        <f t="shared" si="19"/>
        <v>249</v>
      </c>
      <c r="I255" s="1" t="str">
        <f t="shared" si="20"/>
        <v>11000-249</v>
      </c>
      <c r="J255" s="1" t="str">
        <f t="shared" si="21"/>
        <v>Grand piano production item #249</v>
      </c>
      <c r="K255" s="1" t="str">
        <f>IF(SUM(COUNTIFS(I:I, I255)) &gt; 1, "DUPLICATE", "UNIQUE")</f>
        <v>UNIQUE</v>
      </c>
      <c r="L255" s="18">
        <v>1</v>
      </c>
      <c r="M255" s="28">
        <v>34</v>
      </c>
      <c r="N255" s="6">
        <v>289</v>
      </c>
      <c r="O255" s="30">
        <f t="shared" si="22"/>
        <v>34</v>
      </c>
      <c r="P255" s="30">
        <f t="shared" si="23"/>
        <v>9826</v>
      </c>
      <c r="Q255" s="1">
        <f>COUNTIFS($P:$P, "&gt;" &amp; $P255) + 1</f>
        <v>1784</v>
      </c>
      <c r="R255" s="63">
        <f>(COUNTIFS($P:$P, "&gt;" &amp; $P255) + 1) / (COUNTA($I:$I) - 1)</f>
        <v>0.35680000000000001</v>
      </c>
      <c r="S255" s="23">
        <f>SUMIFS($P:$P, $Q:$Q, "&lt;" &amp; $Q255)</f>
        <v>178085076</v>
      </c>
    </row>
    <row r="256" spans="1:19" x14ac:dyDescent="0.25">
      <c r="A256" s="1">
        <v>251</v>
      </c>
      <c r="B256" s="1" t="s">
        <v>2</v>
      </c>
      <c r="C256" s="1" t="str">
        <f>IF($B256 = "Production Item", _xlfn.XLOOKUP($A256, 'Instrument Table'!$J:$J, 'Instrument Table'!$B:$B, $C255), IF($B256 = "Service Item", _xlfn.XLOOKUP($A256, 'Instrument Table'!$I:$I, 'Instrument Table'!$B:$B, $C255), _xlfn.XLOOKUP($A256, 'Instrument Table'!$H:$H, 'Instrument Table'!$B:$B, $C255)))</f>
        <v>Grand Piano</v>
      </c>
      <c r="D256" s="1" t="str">
        <f>VLOOKUP($C256, 'Instrument Table'!$B:$C, 2, FALSE)</f>
        <v>Pianos</v>
      </c>
      <c r="E256" s="1">
        <f t="shared" si="18"/>
        <v>1</v>
      </c>
      <c r="F256" s="1">
        <f>_xlfn.XLOOKUP($C256, 'Instrument Table'!$B:$B, 'Instrument Table'!$A:$A, "")</f>
        <v>10</v>
      </c>
      <c r="G256" s="1" t="str">
        <f>TEXT(IF($B256 = "Retail Item", IF((ROW($A256) - 4504 - _xlfn.XMATCH($C256, $C$4506:$C$5005, 0, 1)) &lt;= VLOOKUP($C256, 'Instrument Table'!$B:$D, 3, FALSE), ROW($A256) - 4504 - _xlfn.XMATCH($C256, $C$4506:$C$5005, 0, 1), 0), 0), "00")</f>
        <v>00</v>
      </c>
      <c r="H256" s="1" t="str">
        <f t="shared" si="19"/>
        <v>250</v>
      </c>
      <c r="I256" s="1" t="str">
        <f t="shared" si="20"/>
        <v>11000-250</v>
      </c>
      <c r="J256" s="1" t="str">
        <f t="shared" si="21"/>
        <v>Grand piano production item #250</v>
      </c>
      <c r="K256" s="1" t="str">
        <f>IF(SUM(COUNTIFS(I:I, I256)) &gt; 1, "DUPLICATE", "UNIQUE")</f>
        <v>UNIQUE</v>
      </c>
      <c r="L256" s="18">
        <v>1</v>
      </c>
      <c r="M256" s="28">
        <v>86</v>
      </c>
      <c r="N256" s="6">
        <v>16</v>
      </c>
      <c r="O256" s="30">
        <f t="shared" si="22"/>
        <v>86</v>
      </c>
      <c r="P256" s="30">
        <f t="shared" si="23"/>
        <v>1376</v>
      </c>
      <c r="Q256" s="1">
        <f>COUNTIFS($P:$P, "&gt;" &amp; $P256) + 1</f>
        <v>3517</v>
      </c>
      <c r="R256" s="63">
        <f>(COUNTIFS($P:$P, "&gt;" &amp; $P256) + 1) / (COUNTA($I:$I) - 1)</f>
        <v>0.70340000000000003</v>
      </c>
      <c r="S256" s="23">
        <f>SUMIFS($P:$P, $Q:$Q, "&lt;" &amp; $Q256)</f>
        <v>185961339</v>
      </c>
    </row>
    <row r="257" spans="1:19" x14ac:dyDescent="0.25">
      <c r="A257" s="1">
        <v>252</v>
      </c>
      <c r="B257" s="1" t="s">
        <v>2</v>
      </c>
      <c r="C257" s="1" t="str">
        <f>IF($B257 = "Production Item", _xlfn.XLOOKUP($A257, 'Instrument Table'!$J:$J, 'Instrument Table'!$B:$B, $C256), IF($B257 = "Service Item", _xlfn.XLOOKUP($A257, 'Instrument Table'!$I:$I, 'Instrument Table'!$B:$B, $C256), _xlfn.XLOOKUP($A257, 'Instrument Table'!$H:$H, 'Instrument Table'!$B:$B, $C256)))</f>
        <v>Grand Piano</v>
      </c>
      <c r="D257" s="1" t="str">
        <f>VLOOKUP($C257, 'Instrument Table'!$B:$C, 2, FALSE)</f>
        <v>Pianos</v>
      </c>
      <c r="E257" s="1">
        <f t="shared" si="18"/>
        <v>1</v>
      </c>
      <c r="F257" s="1">
        <f>_xlfn.XLOOKUP($C257, 'Instrument Table'!$B:$B, 'Instrument Table'!$A:$A, "")</f>
        <v>10</v>
      </c>
      <c r="G257" s="1" t="str">
        <f>TEXT(IF($B257 = "Retail Item", IF((ROW($A257) - 4504 - _xlfn.XMATCH($C257, $C$4506:$C$5005, 0, 1)) &lt;= VLOOKUP($C257, 'Instrument Table'!$B:$D, 3, FALSE), ROW($A257) - 4504 - _xlfn.XMATCH($C257, $C$4506:$C$5005, 0, 1), 0), 0), "00")</f>
        <v>00</v>
      </c>
      <c r="H257" s="1" t="str">
        <f t="shared" si="19"/>
        <v>251</v>
      </c>
      <c r="I257" s="1" t="str">
        <f t="shared" si="20"/>
        <v>11000-251</v>
      </c>
      <c r="J257" s="1" t="str">
        <f t="shared" si="21"/>
        <v>Grand piano production item #251</v>
      </c>
      <c r="K257" s="1" t="str">
        <f>IF(SUM(COUNTIFS(I:I, I257)) &gt; 1, "DUPLICATE", "UNIQUE")</f>
        <v>UNIQUE</v>
      </c>
      <c r="L257" s="18">
        <v>1</v>
      </c>
      <c r="M257" s="28">
        <v>58</v>
      </c>
      <c r="N257" s="6">
        <v>0</v>
      </c>
      <c r="O257" s="30">
        <f t="shared" si="22"/>
        <v>58</v>
      </c>
      <c r="P257" s="30">
        <f t="shared" si="23"/>
        <v>0</v>
      </c>
      <c r="Q257" s="1">
        <f>COUNTIFS($P:$P, "&gt;" &amp; $P257) + 1</f>
        <v>4746</v>
      </c>
      <c r="R257" s="63">
        <f>(COUNTIFS($P:$P, "&gt;" &amp; $P257) + 1) / (COUNTA($I:$I) - 1)</f>
        <v>0.94920000000000004</v>
      </c>
      <c r="S257" s="23">
        <f>SUMIFS($P:$P, $Q:$Q, "&lt;" &amp; $Q257)</f>
        <v>186547861</v>
      </c>
    </row>
    <row r="258" spans="1:19" x14ac:dyDescent="0.25">
      <c r="A258" s="1">
        <v>253</v>
      </c>
      <c r="B258" s="1" t="s">
        <v>2</v>
      </c>
      <c r="C258" s="1" t="str">
        <f>IF($B258 = "Production Item", _xlfn.XLOOKUP($A258, 'Instrument Table'!$J:$J, 'Instrument Table'!$B:$B, $C257), IF($B258 = "Service Item", _xlfn.XLOOKUP($A258, 'Instrument Table'!$I:$I, 'Instrument Table'!$B:$B, $C257), _xlfn.XLOOKUP($A258, 'Instrument Table'!$H:$H, 'Instrument Table'!$B:$B, $C257)))</f>
        <v>Grand Piano</v>
      </c>
      <c r="D258" s="1" t="str">
        <f>VLOOKUP($C258, 'Instrument Table'!$B:$C, 2, FALSE)</f>
        <v>Pianos</v>
      </c>
      <c r="E258" s="1">
        <f t="shared" si="18"/>
        <v>1</v>
      </c>
      <c r="F258" s="1">
        <f>_xlfn.XLOOKUP($C258, 'Instrument Table'!$B:$B, 'Instrument Table'!$A:$A, "")</f>
        <v>10</v>
      </c>
      <c r="G258" s="1" t="str">
        <f>TEXT(IF($B258 = "Retail Item", IF((ROW($A258) - 4504 - _xlfn.XMATCH($C258, $C$4506:$C$5005, 0, 1)) &lt;= VLOOKUP($C258, 'Instrument Table'!$B:$D, 3, FALSE), ROW($A258) - 4504 - _xlfn.XMATCH($C258, $C$4506:$C$5005, 0, 1), 0), 0), "00")</f>
        <v>00</v>
      </c>
      <c r="H258" s="1" t="str">
        <f t="shared" si="19"/>
        <v>252</v>
      </c>
      <c r="I258" s="1" t="str">
        <f t="shared" si="20"/>
        <v>11000-252</v>
      </c>
      <c r="J258" s="1" t="str">
        <f t="shared" si="21"/>
        <v>Grand piano production item #252</v>
      </c>
      <c r="K258" s="1" t="str">
        <f>IF(SUM(COUNTIFS(I:I, I258)) &gt; 1, "DUPLICATE", "UNIQUE")</f>
        <v>UNIQUE</v>
      </c>
      <c r="L258" s="18">
        <v>1</v>
      </c>
      <c r="M258" s="28">
        <v>1</v>
      </c>
      <c r="N258" s="6">
        <v>400</v>
      </c>
      <c r="O258" s="30">
        <f t="shared" si="22"/>
        <v>1</v>
      </c>
      <c r="P258" s="30">
        <f t="shared" si="23"/>
        <v>400</v>
      </c>
      <c r="Q258" s="1">
        <f>COUNTIFS($P:$P, "&gt;" &amp; $P258) + 1</f>
        <v>4090</v>
      </c>
      <c r="R258" s="63">
        <f>(COUNTIFS($P:$P, "&gt;" &amp; $P258) + 1) / (COUNTA($I:$I) - 1)</f>
        <v>0.81799999999999995</v>
      </c>
      <c r="S258" s="23">
        <f>SUMIFS($P:$P, $Q:$Q, "&lt;" &amp; $Q258)</f>
        <v>186440882</v>
      </c>
    </row>
    <row r="259" spans="1:19" x14ac:dyDescent="0.25">
      <c r="A259" s="1">
        <v>254</v>
      </c>
      <c r="B259" s="1" t="s">
        <v>2</v>
      </c>
      <c r="C259" s="1" t="str">
        <f>IF($B259 = "Production Item", _xlfn.XLOOKUP($A259, 'Instrument Table'!$J:$J, 'Instrument Table'!$B:$B, $C258), IF($B259 = "Service Item", _xlfn.XLOOKUP($A259, 'Instrument Table'!$I:$I, 'Instrument Table'!$B:$B, $C258), _xlfn.XLOOKUP($A259, 'Instrument Table'!$H:$H, 'Instrument Table'!$B:$B, $C258)))</f>
        <v>Grand Piano</v>
      </c>
      <c r="D259" s="1" t="str">
        <f>VLOOKUP($C259, 'Instrument Table'!$B:$C, 2, FALSE)</f>
        <v>Pianos</v>
      </c>
      <c r="E259" s="1">
        <f t="shared" si="18"/>
        <v>1</v>
      </c>
      <c r="F259" s="1">
        <f>_xlfn.XLOOKUP($C259, 'Instrument Table'!$B:$B, 'Instrument Table'!$A:$A, "")</f>
        <v>10</v>
      </c>
      <c r="G259" s="1" t="str">
        <f>TEXT(IF($B259 = "Retail Item", IF((ROW($A259) - 4504 - _xlfn.XMATCH($C259, $C$4506:$C$5005, 0, 1)) &lt;= VLOOKUP($C259, 'Instrument Table'!$B:$D, 3, FALSE), ROW($A259) - 4504 - _xlfn.XMATCH($C259, $C$4506:$C$5005, 0, 1), 0), 0), "00")</f>
        <v>00</v>
      </c>
      <c r="H259" s="1" t="str">
        <f t="shared" si="19"/>
        <v>253</v>
      </c>
      <c r="I259" s="1" t="str">
        <f t="shared" si="20"/>
        <v>11000-253</v>
      </c>
      <c r="J259" s="1" t="str">
        <f t="shared" si="21"/>
        <v>Grand piano production item #253</v>
      </c>
      <c r="K259" s="1" t="str">
        <f>IF(SUM(COUNTIFS(I:I, I259)) &gt; 1, "DUPLICATE", "UNIQUE")</f>
        <v>UNIQUE</v>
      </c>
      <c r="L259" s="18">
        <v>0</v>
      </c>
      <c r="M259" s="28">
        <v>39</v>
      </c>
      <c r="N259" s="6">
        <v>36</v>
      </c>
      <c r="O259" s="30">
        <f t="shared" si="22"/>
        <v>0</v>
      </c>
      <c r="P259" s="30">
        <f t="shared" si="23"/>
        <v>1404</v>
      </c>
      <c r="Q259" s="1">
        <f>COUNTIFS($P:$P, "&gt;" &amp; $P259) + 1</f>
        <v>3509</v>
      </c>
      <c r="R259" s="63">
        <f>(COUNTIFS($P:$P, "&gt;" &amp; $P259) + 1) / (COUNTA($I:$I) - 1)</f>
        <v>0.70179999999999998</v>
      </c>
      <c r="S259" s="23">
        <f>SUMIFS($P:$P, $Q:$Q, "&lt;" &amp; $Q259)</f>
        <v>185950143</v>
      </c>
    </row>
    <row r="260" spans="1:19" x14ac:dyDescent="0.25">
      <c r="A260" s="1">
        <v>255</v>
      </c>
      <c r="B260" s="1" t="s">
        <v>2</v>
      </c>
      <c r="C260" s="1" t="str">
        <f>IF($B260 = "Production Item", _xlfn.XLOOKUP($A260, 'Instrument Table'!$J:$J, 'Instrument Table'!$B:$B, $C259), IF($B260 = "Service Item", _xlfn.XLOOKUP($A260, 'Instrument Table'!$I:$I, 'Instrument Table'!$B:$B, $C259), _xlfn.XLOOKUP($A260, 'Instrument Table'!$H:$H, 'Instrument Table'!$B:$B, $C259)))</f>
        <v>Grand Piano</v>
      </c>
      <c r="D260" s="1" t="str">
        <f>VLOOKUP($C260, 'Instrument Table'!$B:$C, 2, FALSE)</f>
        <v>Pianos</v>
      </c>
      <c r="E260" s="1">
        <f t="shared" si="18"/>
        <v>1</v>
      </c>
      <c r="F260" s="1">
        <f>_xlfn.XLOOKUP($C260, 'Instrument Table'!$B:$B, 'Instrument Table'!$A:$A, "")</f>
        <v>10</v>
      </c>
      <c r="G260" s="1" t="str">
        <f>TEXT(IF($B260 = "Retail Item", IF((ROW($A260) - 4504 - _xlfn.XMATCH($C260, $C$4506:$C$5005, 0, 1)) &lt;= VLOOKUP($C260, 'Instrument Table'!$B:$D, 3, FALSE), ROW($A260) - 4504 - _xlfn.XMATCH($C260, $C$4506:$C$5005, 0, 1), 0), 0), "00")</f>
        <v>00</v>
      </c>
      <c r="H260" s="1" t="str">
        <f t="shared" si="19"/>
        <v>254</v>
      </c>
      <c r="I260" s="1" t="str">
        <f t="shared" si="20"/>
        <v>11000-254</v>
      </c>
      <c r="J260" s="1" t="str">
        <f t="shared" si="21"/>
        <v>Grand piano production item #254</v>
      </c>
      <c r="K260" s="1" t="str">
        <f>IF(SUM(COUNTIFS(I:I, I260)) &gt; 1, "DUPLICATE", "UNIQUE")</f>
        <v>UNIQUE</v>
      </c>
      <c r="L260" s="18">
        <v>2</v>
      </c>
      <c r="M260" s="28">
        <v>44</v>
      </c>
      <c r="N260" s="6">
        <v>100</v>
      </c>
      <c r="O260" s="30">
        <f t="shared" si="22"/>
        <v>88</v>
      </c>
      <c r="P260" s="30">
        <f t="shared" si="23"/>
        <v>4400</v>
      </c>
      <c r="Q260" s="1">
        <f>COUNTIFS($P:$P, "&gt;" &amp; $P260) + 1</f>
        <v>2565</v>
      </c>
      <c r="R260" s="63">
        <f>(COUNTIFS($P:$P, "&gt;" &amp; $P260) + 1) / (COUNTA($I:$I) - 1)</f>
        <v>0.51300000000000001</v>
      </c>
      <c r="S260" s="23">
        <f>SUMIFS($P:$P, $Q:$Q, "&lt;" &amp; $Q260)</f>
        <v>183411854</v>
      </c>
    </row>
    <row r="261" spans="1:19" x14ac:dyDescent="0.25">
      <c r="A261" s="1">
        <v>256</v>
      </c>
      <c r="B261" s="1" t="s">
        <v>2</v>
      </c>
      <c r="C261" s="1" t="str">
        <f>IF($B261 = "Production Item", _xlfn.XLOOKUP($A261, 'Instrument Table'!$J:$J, 'Instrument Table'!$B:$B, $C260), IF($B261 = "Service Item", _xlfn.XLOOKUP($A261, 'Instrument Table'!$I:$I, 'Instrument Table'!$B:$B, $C260), _xlfn.XLOOKUP($A261, 'Instrument Table'!$H:$H, 'Instrument Table'!$B:$B, $C260)))</f>
        <v>Grand Piano</v>
      </c>
      <c r="D261" s="1" t="str">
        <f>VLOOKUP($C261, 'Instrument Table'!$B:$C, 2, FALSE)</f>
        <v>Pianos</v>
      </c>
      <c r="E261" s="1">
        <f t="shared" si="18"/>
        <v>1</v>
      </c>
      <c r="F261" s="1">
        <f>_xlfn.XLOOKUP($C261, 'Instrument Table'!$B:$B, 'Instrument Table'!$A:$A, "")</f>
        <v>10</v>
      </c>
      <c r="G261" s="1" t="str">
        <f>TEXT(IF($B261 = "Retail Item", IF((ROW($A261) - 4504 - _xlfn.XMATCH($C261, $C$4506:$C$5005, 0, 1)) &lt;= VLOOKUP($C261, 'Instrument Table'!$B:$D, 3, FALSE), ROW($A261) - 4504 - _xlfn.XMATCH($C261, $C$4506:$C$5005, 0, 1), 0), 0), "00")</f>
        <v>00</v>
      </c>
      <c r="H261" s="1" t="str">
        <f t="shared" si="19"/>
        <v>255</v>
      </c>
      <c r="I261" s="1" t="str">
        <f t="shared" si="20"/>
        <v>11000-255</v>
      </c>
      <c r="J261" s="1" t="str">
        <f t="shared" si="21"/>
        <v>Grand piano production item #255</v>
      </c>
      <c r="K261" s="1" t="str">
        <f>IF(SUM(COUNTIFS(I:I, I261)) &gt; 1, "DUPLICATE", "UNIQUE")</f>
        <v>UNIQUE</v>
      </c>
      <c r="L261" s="18">
        <v>1</v>
      </c>
      <c r="M261" s="28">
        <v>89</v>
      </c>
      <c r="N261" s="6">
        <v>289</v>
      </c>
      <c r="O261" s="30">
        <f t="shared" si="22"/>
        <v>89</v>
      </c>
      <c r="P261" s="30">
        <f t="shared" si="23"/>
        <v>25721</v>
      </c>
      <c r="Q261" s="1">
        <f>COUNTIFS($P:$P, "&gt;" &amp; $P261) + 1</f>
        <v>798</v>
      </c>
      <c r="R261" s="63">
        <f>(COUNTIFS($P:$P, "&gt;" &amp; $P261) + 1) / (COUNTA($I:$I) - 1)</f>
        <v>0.15959999999999999</v>
      </c>
      <c r="S261" s="23">
        <f>SUMIFS($P:$P, $Q:$Q, "&lt;" &amp; $Q261)</f>
        <v>161776320</v>
      </c>
    </row>
    <row r="262" spans="1:19" x14ac:dyDescent="0.25">
      <c r="A262" s="1">
        <v>257</v>
      </c>
      <c r="B262" s="1" t="s">
        <v>2</v>
      </c>
      <c r="C262" s="1" t="str">
        <f>IF($B262 = "Production Item", _xlfn.XLOOKUP($A262, 'Instrument Table'!$J:$J, 'Instrument Table'!$B:$B, $C261), IF($B262 = "Service Item", _xlfn.XLOOKUP($A262, 'Instrument Table'!$I:$I, 'Instrument Table'!$B:$B, $C261), _xlfn.XLOOKUP($A262, 'Instrument Table'!$H:$H, 'Instrument Table'!$B:$B, $C261)))</f>
        <v>Grand Piano</v>
      </c>
      <c r="D262" s="1" t="str">
        <f>VLOOKUP($C262, 'Instrument Table'!$B:$C, 2, FALSE)</f>
        <v>Pianos</v>
      </c>
      <c r="E262" s="1">
        <f t="shared" si="18"/>
        <v>1</v>
      </c>
      <c r="F262" s="1">
        <f>_xlfn.XLOOKUP($C262, 'Instrument Table'!$B:$B, 'Instrument Table'!$A:$A, "")</f>
        <v>10</v>
      </c>
      <c r="G262" s="1" t="str">
        <f>TEXT(IF($B262 = "Retail Item", IF((ROW($A262) - 4504 - _xlfn.XMATCH($C262, $C$4506:$C$5005, 0, 1)) &lt;= VLOOKUP($C262, 'Instrument Table'!$B:$D, 3, FALSE), ROW($A262) - 4504 - _xlfn.XMATCH($C262, $C$4506:$C$5005, 0, 1), 0), 0), "00")</f>
        <v>00</v>
      </c>
      <c r="H262" s="1" t="str">
        <f t="shared" si="19"/>
        <v>256</v>
      </c>
      <c r="I262" s="1" t="str">
        <f t="shared" si="20"/>
        <v>11000-256</v>
      </c>
      <c r="J262" s="1" t="str">
        <f t="shared" si="21"/>
        <v>Grand piano production item #256</v>
      </c>
      <c r="K262" s="1" t="str">
        <f>IF(SUM(COUNTIFS(I:I, I262)) &gt; 1, "DUPLICATE", "UNIQUE")</f>
        <v>UNIQUE</v>
      </c>
      <c r="L262" s="18">
        <v>1</v>
      </c>
      <c r="M262" s="28">
        <v>66</v>
      </c>
      <c r="N262" s="6">
        <v>81</v>
      </c>
      <c r="O262" s="30">
        <f t="shared" si="22"/>
        <v>66</v>
      </c>
      <c r="P262" s="30">
        <f t="shared" si="23"/>
        <v>5346</v>
      </c>
      <c r="Q262" s="1">
        <f>COUNTIFS($P:$P, "&gt;" &amp; $P262) + 1</f>
        <v>2378</v>
      </c>
      <c r="R262" s="63">
        <f>(COUNTIFS($P:$P, "&gt;" &amp; $P262) + 1) / (COUNTA($I:$I) - 1)</f>
        <v>0.47560000000000002</v>
      </c>
      <c r="S262" s="23">
        <f>SUMIFS($P:$P, $Q:$Q, "&lt;" &amp; $Q262)</f>
        <v>182500083</v>
      </c>
    </row>
    <row r="263" spans="1:19" x14ac:dyDescent="0.25">
      <c r="A263" s="1">
        <v>258</v>
      </c>
      <c r="B263" s="1" t="s">
        <v>2</v>
      </c>
      <c r="C263" s="1" t="str">
        <f>IF($B263 = "Production Item", _xlfn.XLOOKUP($A263, 'Instrument Table'!$J:$J, 'Instrument Table'!$B:$B, $C262), IF($B263 = "Service Item", _xlfn.XLOOKUP($A263, 'Instrument Table'!$I:$I, 'Instrument Table'!$B:$B, $C262), _xlfn.XLOOKUP($A263, 'Instrument Table'!$H:$H, 'Instrument Table'!$B:$B, $C262)))</f>
        <v>Grand Piano</v>
      </c>
      <c r="D263" s="1" t="str">
        <f>VLOOKUP($C263, 'Instrument Table'!$B:$C, 2, FALSE)</f>
        <v>Pianos</v>
      </c>
      <c r="E263" s="1">
        <f t="shared" ref="E263:E326" si="24">IF($B263 = "Production Item", 1, IF($B263 = "Service Item", 2, IF($B263 = "Retail Item", 3, "")))</f>
        <v>1</v>
      </c>
      <c r="F263" s="1">
        <f>_xlfn.XLOOKUP($C263, 'Instrument Table'!$B:$B, 'Instrument Table'!$A:$A, "")</f>
        <v>10</v>
      </c>
      <c r="G263" s="1" t="str">
        <f>TEXT(IF($B263 = "Retail Item", IF((ROW($A263) - 4504 - _xlfn.XMATCH($C263, $C$4506:$C$5005, 0, 1)) &lt;= VLOOKUP($C263, 'Instrument Table'!$B:$D, 3, FALSE), ROW($A263) - 4504 - _xlfn.XMATCH($C263, $C$4506:$C$5005, 0, 1), 0), 0), "00")</f>
        <v>00</v>
      </c>
      <c r="H263" s="1" t="str">
        <f t="shared" ref="H263:H326" si="25">TEXT(IF($E263 &amp; $F263 &amp; $G263 = $E262 &amp; $F262 &amp; $G262, 1 + H262, 0), "000")</f>
        <v>257</v>
      </c>
      <c r="I263" s="1" t="str">
        <f t="shared" ref="I263:I326" si="26" xml:space="preserve"> _xlfn.CONCAT($E263, $F263, $G263, "-", H263)</f>
        <v>11000-257</v>
      </c>
      <c r="J263" s="1" t="str">
        <f t="shared" ref="J263:J326" si="27">LEFT($C263, 1) &amp; LOWER(RIGHT($C263, LEN($C263) - 1)) &amp; IF(AND($G263 &lt;&gt; "00", $B263 = "Retail Item"), " model #" &amp; $G263, " " &amp; LOWER($B263) &amp; " #" &amp; $H263)</f>
        <v>Grand piano production item #257</v>
      </c>
      <c r="K263" s="1" t="str">
        <f>IF(SUM(COUNTIFS(I:I, I263)) &gt; 1, "DUPLICATE", "UNIQUE")</f>
        <v>UNIQUE</v>
      </c>
      <c r="L263" s="18">
        <v>1</v>
      </c>
      <c r="M263" s="28">
        <v>78</v>
      </c>
      <c r="N263" s="6">
        <v>0</v>
      </c>
      <c r="O263" s="30">
        <f t="shared" ref="O263:O326" si="28">$L263 * $M263</f>
        <v>78</v>
      </c>
      <c r="P263" s="30">
        <f t="shared" ref="P263:P326" si="29">$N263 * $M263</f>
        <v>0</v>
      </c>
      <c r="Q263" s="1">
        <f>COUNTIFS($P:$P, "&gt;" &amp; $P263) + 1</f>
        <v>4746</v>
      </c>
      <c r="R263" s="63">
        <f>(COUNTIFS($P:$P, "&gt;" &amp; $P263) + 1) / (COUNTA($I:$I) - 1)</f>
        <v>0.94920000000000004</v>
      </c>
      <c r="S263" s="23">
        <f>SUMIFS($P:$P, $Q:$Q, "&lt;" &amp; $Q263)</f>
        <v>186547861</v>
      </c>
    </row>
    <row r="264" spans="1:19" x14ac:dyDescent="0.25">
      <c r="A264" s="1">
        <v>259</v>
      </c>
      <c r="B264" s="1" t="s">
        <v>2</v>
      </c>
      <c r="C264" s="1" t="str">
        <f>IF($B264 = "Production Item", _xlfn.XLOOKUP($A264, 'Instrument Table'!$J:$J, 'Instrument Table'!$B:$B, $C263), IF($B264 = "Service Item", _xlfn.XLOOKUP($A264, 'Instrument Table'!$I:$I, 'Instrument Table'!$B:$B, $C263), _xlfn.XLOOKUP($A264, 'Instrument Table'!$H:$H, 'Instrument Table'!$B:$B, $C263)))</f>
        <v>Grand Piano</v>
      </c>
      <c r="D264" s="1" t="str">
        <f>VLOOKUP($C264, 'Instrument Table'!$B:$C, 2, FALSE)</f>
        <v>Pianos</v>
      </c>
      <c r="E264" s="1">
        <f t="shared" si="24"/>
        <v>1</v>
      </c>
      <c r="F264" s="1">
        <f>_xlfn.XLOOKUP($C264, 'Instrument Table'!$B:$B, 'Instrument Table'!$A:$A, "")</f>
        <v>10</v>
      </c>
      <c r="G264" s="1" t="str">
        <f>TEXT(IF($B264 = "Retail Item", IF((ROW($A264) - 4504 - _xlfn.XMATCH($C264, $C$4506:$C$5005, 0, 1)) &lt;= VLOOKUP($C264, 'Instrument Table'!$B:$D, 3, FALSE), ROW($A264) - 4504 - _xlfn.XMATCH($C264, $C$4506:$C$5005, 0, 1), 0), 0), "00")</f>
        <v>00</v>
      </c>
      <c r="H264" s="1" t="str">
        <f t="shared" si="25"/>
        <v>258</v>
      </c>
      <c r="I264" s="1" t="str">
        <f t="shared" si="26"/>
        <v>11000-258</v>
      </c>
      <c r="J264" s="1" t="str">
        <f t="shared" si="27"/>
        <v>Grand piano production item #258</v>
      </c>
      <c r="K264" s="1" t="str">
        <f>IF(SUM(COUNTIFS(I:I, I264)) &gt; 1, "DUPLICATE", "UNIQUE")</f>
        <v>UNIQUE</v>
      </c>
      <c r="L264" s="18">
        <v>8</v>
      </c>
      <c r="M264" s="28">
        <v>52</v>
      </c>
      <c r="N264" s="6">
        <v>81</v>
      </c>
      <c r="O264" s="30">
        <f t="shared" si="28"/>
        <v>416</v>
      </c>
      <c r="P264" s="30">
        <f t="shared" si="29"/>
        <v>4212</v>
      </c>
      <c r="Q264" s="1">
        <f>COUNTIFS($P:$P, "&gt;" &amp; $P264) + 1</f>
        <v>2613</v>
      </c>
      <c r="R264" s="63">
        <f>(COUNTIFS($P:$P, "&gt;" &amp; $P264) + 1) / (COUNTA($I:$I) - 1)</f>
        <v>0.52259999999999995</v>
      </c>
      <c r="S264" s="23">
        <f>SUMIFS($P:$P, $Q:$Q, "&lt;" &amp; $Q264)</f>
        <v>183618325</v>
      </c>
    </row>
    <row r="265" spans="1:19" x14ac:dyDescent="0.25">
      <c r="A265" s="1">
        <v>260</v>
      </c>
      <c r="B265" s="1" t="s">
        <v>2</v>
      </c>
      <c r="C265" s="1" t="str">
        <f>IF($B265 = "Production Item", _xlfn.XLOOKUP($A265, 'Instrument Table'!$J:$J, 'Instrument Table'!$B:$B, $C264), IF($B265 = "Service Item", _xlfn.XLOOKUP($A265, 'Instrument Table'!$I:$I, 'Instrument Table'!$B:$B, $C264), _xlfn.XLOOKUP($A265, 'Instrument Table'!$H:$H, 'Instrument Table'!$B:$B, $C264)))</f>
        <v>Grand Piano</v>
      </c>
      <c r="D265" s="1" t="str">
        <f>VLOOKUP($C265, 'Instrument Table'!$B:$C, 2, FALSE)</f>
        <v>Pianos</v>
      </c>
      <c r="E265" s="1">
        <f t="shared" si="24"/>
        <v>1</v>
      </c>
      <c r="F265" s="1">
        <f>_xlfn.XLOOKUP($C265, 'Instrument Table'!$B:$B, 'Instrument Table'!$A:$A, "")</f>
        <v>10</v>
      </c>
      <c r="G265" s="1" t="str">
        <f>TEXT(IF($B265 = "Retail Item", IF((ROW($A265) - 4504 - _xlfn.XMATCH($C265, $C$4506:$C$5005, 0, 1)) &lt;= VLOOKUP($C265, 'Instrument Table'!$B:$D, 3, FALSE), ROW($A265) - 4504 - _xlfn.XMATCH($C265, $C$4506:$C$5005, 0, 1), 0), 0), "00")</f>
        <v>00</v>
      </c>
      <c r="H265" s="1" t="str">
        <f t="shared" si="25"/>
        <v>259</v>
      </c>
      <c r="I265" s="1" t="str">
        <f t="shared" si="26"/>
        <v>11000-259</v>
      </c>
      <c r="J265" s="1" t="str">
        <f t="shared" si="27"/>
        <v>Grand piano production item #259</v>
      </c>
      <c r="K265" s="1" t="str">
        <f>IF(SUM(COUNTIFS(I:I, I265)) &gt; 1, "DUPLICATE", "UNIQUE")</f>
        <v>UNIQUE</v>
      </c>
      <c r="L265" s="18">
        <v>1</v>
      </c>
      <c r="M265" s="28">
        <v>25</v>
      </c>
      <c r="N265" s="6">
        <v>81</v>
      </c>
      <c r="O265" s="30">
        <f t="shared" si="28"/>
        <v>25</v>
      </c>
      <c r="P265" s="30">
        <f t="shared" si="29"/>
        <v>2025</v>
      </c>
      <c r="Q265" s="1">
        <f>COUNTIFS($P:$P, "&gt;" &amp; $P265) + 1</f>
        <v>3241</v>
      </c>
      <c r="R265" s="63">
        <f>(COUNTIFS($P:$P, "&gt;" &amp; $P265) + 1) / (COUNTA($I:$I) - 1)</f>
        <v>0.6482</v>
      </c>
      <c r="S265" s="23">
        <f>SUMIFS($P:$P, $Q:$Q, "&lt;" &amp; $Q265)</f>
        <v>185492863</v>
      </c>
    </row>
    <row r="266" spans="1:19" x14ac:dyDescent="0.25">
      <c r="A266" s="1">
        <v>261</v>
      </c>
      <c r="B266" s="1" t="s">
        <v>2</v>
      </c>
      <c r="C266" s="1" t="str">
        <f>IF($B266 = "Production Item", _xlfn.XLOOKUP($A266, 'Instrument Table'!$J:$J, 'Instrument Table'!$B:$B, $C265), IF($B266 = "Service Item", _xlfn.XLOOKUP($A266, 'Instrument Table'!$I:$I, 'Instrument Table'!$B:$B, $C265), _xlfn.XLOOKUP($A266, 'Instrument Table'!$H:$H, 'Instrument Table'!$B:$B, $C265)))</f>
        <v>Grand Piano</v>
      </c>
      <c r="D266" s="1" t="str">
        <f>VLOOKUP($C266, 'Instrument Table'!$B:$C, 2, FALSE)</f>
        <v>Pianos</v>
      </c>
      <c r="E266" s="1">
        <f t="shared" si="24"/>
        <v>1</v>
      </c>
      <c r="F266" s="1">
        <f>_xlfn.XLOOKUP($C266, 'Instrument Table'!$B:$B, 'Instrument Table'!$A:$A, "")</f>
        <v>10</v>
      </c>
      <c r="G266" s="1" t="str">
        <f>TEXT(IF($B266 = "Retail Item", IF((ROW($A266) - 4504 - _xlfn.XMATCH($C266, $C$4506:$C$5005, 0, 1)) &lt;= VLOOKUP($C266, 'Instrument Table'!$B:$D, 3, FALSE), ROW($A266) - 4504 - _xlfn.XMATCH($C266, $C$4506:$C$5005, 0, 1), 0), 0), "00")</f>
        <v>00</v>
      </c>
      <c r="H266" s="1" t="str">
        <f t="shared" si="25"/>
        <v>260</v>
      </c>
      <c r="I266" s="1" t="str">
        <f t="shared" si="26"/>
        <v>11000-260</v>
      </c>
      <c r="J266" s="1" t="str">
        <f t="shared" si="27"/>
        <v>Grand piano production item #260</v>
      </c>
      <c r="K266" s="1" t="str">
        <f>IF(SUM(COUNTIFS(I:I, I266)) &gt; 1, "DUPLICATE", "UNIQUE")</f>
        <v>UNIQUE</v>
      </c>
      <c r="L266" s="18">
        <v>4</v>
      </c>
      <c r="M266" s="28">
        <v>29</v>
      </c>
      <c r="N266" s="6">
        <v>169</v>
      </c>
      <c r="O266" s="30">
        <f t="shared" si="28"/>
        <v>116</v>
      </c>
      <c r="P266" s="30">
        <f t="shared" si="29"/>
        <v>4901</v>
      </c>
      <c r="Q266" s="1">
        <f>COUNTIFS($P:$P, "&gt;" &amp; $P266) + 1</f>
        <v>2462</v>
      </c>
      <c r="R266" s="63">
        <f>(COUNTIFS($P:$P, "&gt;" &amp; $P266) + 1) / (COUNTA($I:$I) - 1)</f>
        <v>0.4924</v>
      </c>
      <c r="S266" s="23">
        <f>SUMIFS($P:$P, $Q:$Q, "&lt;" &amp; $Q266)</f>
        <v>182931819</v>
      </c>
    </row>
    <row r="267" spans="1:19" x14ac:dyDescent="0.25">
      <c r="A267" s="1">
        <v>262</v>
      </c>
      <c r="B267" s="1" t="s">
        <v>2</v>
      </c>
      <c r="C267" s="1" t="str">
        <f>IF($B267 = "Production Item", _xlfn.XLOOKUP($A267, 'Instrument Table'!$J:$J, 'Instrument Table'!$B:$B, $C266), IF($B267 = "Service Item", _xlfn.XLOOKUP($A267, 'Instrument Table'!$I:$I, 'Instrument Table'!$B:$B, $C266), _xlfn.XLOOKUP($A267, 'Instrument Table'!$H:$H, 'Instrument Table'!$B:$B, $C266)))</f>
        <v>Grand Piano</v>
      </c>
      <c r="D267" s="1" t="str">
        <f>VLOOKUP($C267, 'Instrument Table'!$B:$C, 2, FALSE)</f>
        <v>Pianos</v>
      </c>
      <c r="E267" s="1">
        <f t="shared" si="24"/>
        <v>1</v>
      </c>
      <c r="F267" s="1">
        <f>_xlfn.XLOOKUP($C267, 'Instrument Table'!$B:$B, 'Instrument Table'!$A:$A, "")</f>
        <v>10</v>
      </c>
      <c r="G267" s="1" t="str">
        <f>TEXT(IF($B267 = "Retail Item", IF((ROW($A267) - 4504 - _xlfn.XMATCH($C267, $C$4506:$C$5005, 0, 1)) &lt;= VLOOKUP($C267, 'Instrument Table'!$B:$D, 3, FALSE), ROW($A267) - 4504 - _xlfn.XMATCH($C267, $C$4506:$C$5005, 0, 1), 0), 0), "00")</f>
        <v>00</v>
      </c>
      <c r="H267" s="1" t="str">
        <f t="shared" si="25"/>
        <v>261</v>
      </c>
      <c r="I267" s="1" t="str">
        <f t="shared" si="26"/>
        <v>11000-261</v>
      </c>
      <c r="J267" s="1" t="str">
        <f t="shared" si="27"/>
        <v>Grand piano production item #261</v>
      </c>
      <c r="K267" s="1" t="str">
        <f>IF(SUM(COUNTIFS(I:I, I267)) &gt; 1, "DUPLICATE", "UNIQUE")</f>
        <v>UNIQUE</v>
      </c>
      <c r="L267" s="18">
        <v>32</v>
      </c>
      <c r="M267" s="28">
        <v>97</v>
      </c>
      <c r="N267" s="6">
        <v>289</v>
      </c>
      <c r="O267" s="30">
        <f t="shared" si="28"/>
        <v>3104</v>
      </c>
      <c r="P267" s="30">
        <f t="shared" si="29"/>
        <v>28033</v>
      </c>
      <c r="Q267" s="1">
        <f>COUNTIFS($P:$P, "&gt;" &amp; $P267) + 1</f>
        <v>729</v>
      </c>
      <c r="R267" s="63">
        <f>(COUNTIFS($P:$P, "&gt;" &amp; $P267) + 1) / (COUNTA($I:$I) - 1)</f>
        <v>0.14580000000000001</v>
      </c>
      <c r="S267" s="23">
        <f>SUMIFS($P:$P, $Q:$Q, "&lt;" &amp; $Q267)</f>
        <v>159927664</v>
      </c>
    </row>
    <row r="268" spans="1:19" x14ac:dyDescent="0.25">
      <c r="A268" s="1">
        <v>263</v>
      </c>
      <c r="B268" s="1" t="s">
        <v>2</v>
      </c>
      <c r="C268" s="1" t="str">
        <f>IF($B268 = "Production Item", _xlfn.XLOOKUP($A268, 'Instrument Table'!$J:$J, 'Instrument Table'!$B:$B, $C267), IF($B268 = "Service Item", _xlfn.XLOOKUP($A268, 'Instrument Table'!$I:$I, 'Instrument Table'!$B:$B, $C267), _xlfn.XLOOKUP($A268, 'Instrument Table'!$H:$H, 'Instrument Table'!$B:$B, $C267)))</f>
        <v>Grand Piano</v>
      </c>
      <c r="D268" s="1" t="str">
        <f>VLOOKUP($C268, 'Instrument Table'!$B:$C, 2, FALSE)</f>
        <v>Pianos</v>
      </c>
      <c r="E268" s="1">
        <f t="shared" si="24"/>
        <v>1</v>
      </c>
      <c r="F268" s="1">
        <f>_xlfn.XLOOKUP($C268, 'Instrument Table'!$B:$B, 'Instrument Table'!$A:$A, "")</f>
        <v>10</v>
      </c>
      <c r="G268" s="1" t="str">
        <f>TEXT(IF($B268 = "Retail Item", IF((ROW($A268) - 4504 - _xlfn.XMATCH($C268, $C$4506:$C$5005, 0, 1)) &lt;= VLOOKUP($C268, 'Instrument Table'!$B:$D, 3, FALSE), ROW($A268) - 4504 - _xlfn.XMATCH($C268, $C$4506:$C$5005, 0, 1), 0), 0), "00")</f>
        <v>00</v>
      </c>
      <c r="H268" s="1" t="str">
        <f t="shared" si="25"/>
        <v>262</v>
      </c>
      <c r="I268" s="1" t="str">
        <f t="shared" si="26"/>
        <v>11000-262</v>
      </c>
      <c r="J268" s="1" t="str">
        <f t="shared" si="27"/>
        <v>Grand piano production item #262</v>
      </c>
      <c r="K268" s="1" t="str">
        <f>IF(SUM(COUNTIFS(I:I, I268)) &gt; 1, "DUPLICATE", "UNIQUE")</f>
        <v>UNIQUE</v>
      </c>
      <c r="L268" s="18">
        <v>0</v>
      </c>
      <c r="M268" s="28">
        <v>95</v>
      </c>
      <c r="N268" s="6">
        <v>169</v>
      </c>
      <c r="O268" s="30">
        <f t="shared" si="28"/>
        <v>0</v>
      </c>
      <c r="P268" s="30">
        <f t="shared" si="29"/>
        <v>16055</v>
      </c>
      <c r="Q268" s="1">
        <f>COUNTIFS($P:$P, "&gt;" &amp; $P268) + 1</f>
        <v>1279</v>
      </c>
      <c r="R268" s="63">
        <f>(COUNTIFS($P:$P, "&gt;" &amp; $P268) + 1) / (COUNTA($I:$I) - 1)</f>
        <v>0.25580000000000003</v>
      </c>
      <c r="S268" s="23">
        <f>SUMIFS($P:$P, $Q:$Q, "&lt;" &amp; $Q268)</f>
        <v>171640770</v>
      </c>
    </row>
    <row r="269" spans="1:19" x14ac:dyDescent="0.25">
      <c r="A269" s="1">
        <v>264</v>
      </c>
      <c r="B269" s="1" t="s">
        <v>2</v>
      </c>
      <c r="C269" s="1" t="str">
        <f>IF($B269 = "Production Item", _xlfn.XLOOKUP($A269, 'Instrument Table'!$J:$J, 'Instrument Table'!$B:$B, $C268), IF($B269 = "Service Item", _xlfn.XLOOKUP($A269, 'Instrument Table'!$I:$I, 'Instrument Table'!$B:$B, $C268), _xlfn.XLOOKUP($A269, 'Instrument Table'!$H:$H, 'Instrument Table'!$B:$B, $C268)))</f>
        <v>Grand Piano</v>
      </c>
      <c r="D269" s="1" t="str">
        <f>VLOOKUP($C269, 'Instrument Table'!$B:$C, 2, FALSE)</f>
        <v>Pianos</v>
      </c>
      <c r="E269" s="1">
        <f t="shared" si="24"/>
        <v>1</v>
      </c>
      <c r="F269" s="1">
        <f>_xlfn.XLOOKUP($C269, 'Instrument Table'!$B:$B, 'Instrument Table'!$A:$A, "")</f>
        <v>10</v>
      </c>
      <c r="G269" s="1" t="str">
        <f>TEXT(IF($B269 = "Retail Item", IF((ROW($A269) - 4504 - _xlfn.XMATCH($C269, $C$4506:$C$5005, 0, 1)) &lt;= VLOOKUP($C269, 'Instrument Table'!$B:$D, 3, FALSE), ROW($A269) - 4504 - _xlfn.XMATCH($C269, $C$4506:$C$5005, 0, 1), 0), 0), "00")</f>
        <v>00</v>
      </c>
      <c r="H269" s="1" t="str">
        <f t="shared" si="25"/>
        <v>263</v>
      </c>
      <c r="I269" s="1" t="str">
        <f t="shared" si="26"/>
        <v>11000-263</v>
      </c>
      <c r="J269" s="1" t="str">
        <f t="shared" si="27"/>
        <v>Grand piano production item #263</v>
      </c>
      <c r="K269" s="1" t="str">
        <f>IF(SUM(COUNTIFS(I:I, I269)) &gt; 1, "DUPLICATE", "UNIQUE")</f>
        <v>UNIQUE</v>
      </c>
      <c r="L269" s="18">
        <v>1</v>
      </c>
      <c r="M269" s="28">
        <v>88</v>
      </c>
      <c r="N269" s="6">
        <v>121</v>
      </c>
      <c r="O269" s="30">
        <f t="shared" si="28"/>
        <v>88</v>
      </c>
      <c r="P269" s="30">
        <f t="shared" si="29"/>
        <v>10648</v>
      </c>
      <c r="Q269" s="1">
        <f>COUNTIFS($P:$P, "&gt;" &amp; $P269) + 1</f>
        <v>1716</v>
      </c>
      <c r="R269" s="63">
        <f>(COUNTIFS($P:$P, "&gt;" &amp; $P269) + 1) / (COUNTA($I:$I) - 1)</f>
        <v>0.34320000000000001</v>
      </c>
      <c r="S269" s="23">
        <f>SUMIFS($P:$P, $Q:$Q, "&lt;" &amp; $Q269)</f>
        <v>177385796</v>
      </c>
    </row>
    <row r="270" spans="1:19" x14ac:dyDescent="0.25">
      <c r="A270" s="1">
        <v>265</v>
      </c>
      <c r="B270" s="1" t="s">
        <v>2</v>
      </c>
      <c r="C270" s="1" t="str">
        <f>IF($B270 = "Production Item", _xlfn.XLOOKUP($A270, 'Instrument Table'!$J:$J, 'Instrument Table'!$B:$B, $C269), IF($B270 = "Service Item", _xlfn.XLOOKUP($A270, 'Instrument Table'!$I:$I, 'Instrument Table'!$B:$B, $C269), _xlfn.XLOOKUP($A270, 'Instrument Table'!$H:$H, 'Instrument Table'!$B:$B, $C269)))</f>
        <v>Grand Piano</v>
      </c>
      <c r="D270" s="1" t="str">
        <f>VLOOKUP($C270, 'Instrument Table'!$B:$C, 2, FALSE)</f>
        <v>Pianos</v>
      </c>
      <c r="E270" s="1">
        <f t="shared" si="24"/>
        <v>1</v>
      </c>
      <c r="F270" s="1">
        <f>_xlfn.XLOOKUP($C270, 'Instrument Table'!$B:$B, 'Instrument Table'!$A:$A, "")</f>
        <v>10</v>
      </c>
      <c r="G270" s="1" t="str">
        <f>TEXT(IF($B270 = "Retail Item", IF((ROW($A270) - 4504 - _xlfn.XMATCH($C270, $C$4506:$C$5005, 0, 1)) &lt;= VLOOKUP($C270, 'Instrument Table'!$B:$D, 3, FALSE), ROW($A270) - 4504 - _xlfn.XMATCH($C270, $C$4506:$C$5005, 0, 1), 0), 0), "00")</f>
        <v>00</v>
      </c>
      <c r="H270" s="1" t="str">
        <f t="shared" si="25"/>
        <v>264</v>
      </c>
      <c r="I270" s="1" t="str">
        <f t="shared" si="26"/>
        <v>11000-264</v>
      </c>
      <c r="J270" s="1" t="str">
        <f t="shared" si="27"/>
        <v>Grand piano production item #264</v>
      </c>
      <c r="K270" s="1" t="str">
        <f>IF(SUM(COUNTIFS(I:I, I270)) &gt; 1, "DUPLICATE", "UNIQUE")</f>
        <v>UNIQUE</v>
      </c>
      <c r="L270" s="18">
        <v>1</v>
      </c>
      <c r="M270" s="28">
        <v>93</v>
      </c>
      <c r="N270" s="6">
        <v>361</v>
      </c>
      <c r="O270" s="30">
        <f t="shared" si="28"/>
        <v>93</v>
      </c>
      <c r="P270" s="30">
        <f t="shared" si="29"/>
        <v>33573</v>
      </c>
      <c r="Q270" s="1">
        <f>COUNTIFS($P:$P, "&gt;" &amp; $P270) + 1</f>
        <v>624</v>
      </c>
      <c r="R270" s="63">
        <f>(COUNTIFS($P:$P, "&gt;" &amp; $P270) + 1) / (COUNTA($I:$I) - 1)</f>
        <v>0.12479999999999999</v>
      </c>
      <c r="S270" s="23">
        <f>SUMIFS($P:$P, $Q:$Q, "&lt;" &amp; $Q270)</f>
        <v>156697721</v>
      </c>
    </row>
    <row r="271" spans="1:19" x14ac:dyDescent="0.25">
      <c r="A271" s="1">
        <v>266</v>
      </c>
      <c r="B271" s="1" t="s">
        <v>2</v>
      </c>
      <c r="C271" s="1" t="str">
        <f>IF($B271 = "Production Item", _xlfn.XLOOKUP($A271, 'Instrument Table'!$J:$J, 'Instrument Table'!$B:$B, $C270), IF($B271 = "Service Item", _xlfn.XLOOKUP($A271, 'Instrument Table'!$I:$I, 'Instrument Table'!$B:$B, $C270), _xlfn.XLOOKUP($A271, 'Instrument Table'!$H:$H, 'Instrument Table'!$B:$B, $C270)))</f>
        <v>Grand Piano</v>
      </c>
      <c r="D271" s="1" t="str">
        <f>VLOOKUP($C271, 'Instrument Table'!$B:$C, 2, FALSE)</f>
        <v>Pianos</v>
      </c>
      <c r="E271" s="1">
        <f t="shared" si="24"/>
        <v>1</v>
      </c>
      <c r="F271" s="1">
        <f>_xlfn.XLOOKUP($C271, 'Instrument Table'!$B:$B, 'Instrument Table'!$A:$A, "")</f>
        <v>10</v>
      </c>
      <c r="G271" s="1" t="str">
        <f>TEXT(IF($B271 = "Retail Item", IF((ROW($A271) - 4504 - _xlfn.XMATCH($C271, $C$4506:$C$5005, 0, 1)) &lt;= VLOOKUP($C271, 'Instrument Table'!$B:$D, 3, FALSE), ROW($A271) - 4504 - _xlfn.XMATCH($C271, $C$4506:$C$5005, 0, 1), 0), 0), "00")</f>
        <v>00</v>
      </c>
      <c r="H271" s="1" t="str">
        <f t="shared" si="25"/>
        <v>265</v>
      </c>
      <c r="I271" s="1" t="str">
        <f t="shared" si="26"/>
        <v>11000-265</v>
      </c>
      <c r="J271" s="1" t="str">
        <f t="shared" si="27"/>
        <v>Grand piano production item #265</v>
      </c>
      <c r="K271" s="1" t="str">
        <f>IF(SUM(COUNTIFS(I:I, I271)) &gt; 1, "DUPLICATE", "UNIQUE")</f>
        <v>UNIQUE</v>
      </c>
      <c r="L271" s="18">
        <v>32</v>
      </c>
      <c r="M271" s="28">
        <v>74</v>
      </c>
      <c r="N271" s="6">
        <v>0</v>
      </c>
      <c r="O271" s="30">
        <f t="shared" si="28"/>
        <v>2368</v>
      </c>
      <c r="P271" s="30">
        <f t="shared" si="29"/>
        <v>0</v>
      </c>
      <c r="Q271" s="1">
        <f>COUNTIFS($P:$P, "&gt;" &amp; $P271) + 1</f>
        <v>4746</v>
      </c>
      <c r="R271" s="63">
        <f>(COUNTIFS($P:$P, "&gt;" &amp; $P271) + 1) / (COUNTA($I:$I) - 1)</f>
        <v>0.94920000000000004</v>
      </c>
      <c r="S271" s="23">
        <f>SUMIFS($P:$P, $Q:$Q, "&lt;" &amp; $Q271)</f>
        <v>186547861</v>
      </c>
    </row>
    <row r="272" spans="1:19" x14ac:dyDescent="0.25">
      <c r="A272" s="1">
        <v>267</v>
      </c>
      <c r="B272" s="1" t="s">
        <v>2</v>
      </c>
      <c r="C272" s="1" t="str">
        <f>IF($B272 = "Production Item", _xlfn.XLOOKUP($A272, 'Instrument Table'!$J:$J, 'Instrument Table'!$B:$B, $C271), IF($B272 = "Service Item", _xlfn.XLOOKUP($A272, 'Instrument Table'!$I:$I, 'Instrument Table'!$B:$B, $C271), _xlfn.XLOOKUP($A272, 'Instrument Table'!$H:$H, 'Instrument Table'!$B:$B, $C271)))</f>
        <v>Grand Piano</v>
      </c>
      <c r="D272" s="1" t="str">
        <f>VLOOKUP($C272, 'Instrument Table'!$B:$C, 2, FALSE)</f>
        <v>Pianos</v>
      </c>
      <c r="E272" s="1">
        <f t="shared" si="24"/>
        <v>1</v>
      </c>
      <c r="F272" s="1">
        <f>_xlfn.XLOOKUP($C272, 'Instrument Table'!$B:$B, 'Instrument Table'!$A:$A, "")</f>
        <v>10</v>
      </c>
      <c r="G272" s="1" t="str">
        <f>TEXT(IF($B272 = "Retail Item", IF((ROW($A272) - 4504 - _xlfn.XMATCH($C272, $C$4506:$C$5005, 0, 1)) &lt;= VLOOKUP($C272, 'Instrument Table'!$B:$D, 3, FALSE), ROW($A272) - 4504 - _xlfn.XMATCH($C272, $C$4506:$C$5005, 0, 1), 0), 0), "00")</f>
        <v>00</v>
      </c>
      <c r="H272" s="1" t="str">
        <f t="shared" si="25"/>
        <v>266</v>
      </c>
      <c r="I272" s="1" t="str">
        <f t="shared" si="26"/>
        <v>11000-266</v>
      </c>
      <c r="J272" s="1" t="str">
        <f t="shared" si="27"/>
        <v>Grand piano production item #266</v>
      </c>
      <c r="K272" s="1" t="str">
        <f>IF(SUM(COUNTIFS(I:I, I272)) &gt; 1, "DUPLICATE", "UNIQUE")</f>
        <v>UNIQUE</v>
      </c>
      <c r="L272" s="18">
        <v>0</v>
      </c>
      <c r="M272" s="28">
        <v>53</v>
      </c>
      <c r="N272" s="6">
        <v>400</v>
      </c>
      <c r="O272" s="30">
        <f t="shared" si="28"/>
        <v>0</v>
      </c>
      <c r="P272" s="30">
        <f t="shared" si="29"/>
        <v>21200</v>
      </c>
      <c r="Q272" s="1">
        <f>COUNTIFS($P:$P, "&gt;" &amp; $P272) + 1</f>
        <v>994</v>
      </c>
      <c r="R272" s="63">
        <f>(COUNTIFS($P:$P, "&gt;" &amp; $P272) + 1) / (COUNTA($I:$I) - 1)</f>
        <v>0.1988</v>
      </c>
      <c r="S272" s="23">
        <f>SUMIFS($P:$P, $Q:$Q, "&lt;" &amp; $Q272)</f>
        <v>166363948</v>
      </c>
    </row>
    <row r="273" spans="1:19" x14ac:dyDescent="0.25">
      <c r="A273" s="1">
        <v>268</v>
      </c>
      <c r="B273" s="1" t="s">
        <v>2</v>
      </c>
      <c r="C273" s="1" t="str">
        <f>IF($B273 = "Production Item", _xlfn.XLOOKUP($A273, 'Instrument Table'!$J:$J, 'Instrument Table'!$B:$B, $C272), IF($B273 = "Service Item", _xlfn.XLOOKUP($A273, 'Instrument Table'!$I:$I, 'Instrument Table'!$B:$B, $C272), _xlfn.XLOOKUP($A273, 'Instrument Table'!$H:$H, 'Instrument Table'!$B:$B, $C272)))</f>
        <v>Grand Piano</v>
      </c>
      <c r="D273" s="1" t="str">
        <f>VLOOKUP($C273, 'Instrument Table'!$B:$C, 2, FALSE)</f>
        <v>Pianos</v>
      </c>
      <c r="E273" s="1">
        <f t="shared" si="24"/>
        <v>1</v>
      </c>
      <c r="F273" s="1">
        <f>_xlfn.XLOOKUP($C273, 'Instrument Table'!$B:$B, 'Instrument Table'!$A:$A, "")</f>
        <v>10</v>
      </c>
      <c r="G273" s="1" t="str">
        <f>TEXT(IF($B273 = "Retail Item", IF((ROW($A273) - 4504 - _xlfn.XMATCH($C273, $C$4506:$C$5005, 0, 1)) &lt;= VLOOKUP($C273, 'Instrument Table'!$B:$D, 3, FALSE), ROW($A273) - 4504 - _xlfn.XMATCH($C273, $C$4506:$C$5005, 0, 1), 0), 0), "00")</f>
        <v>00</v>
      </c>
      <c r="H273" s="1" t="str">
        <f t="shared" si="25"/>
        <v>267</v>
      </c>
      <c r="I273" s="1" t="str">
        <f t="shared" si="26"/>
        <v>11000-267</v>
      </c>
      <c r="J273" s="1" t="str">
        <f t="shared" si="27"/>
        <v>Grand piano production item #267</v>
      </c>
      <c r="K273" s="1" t="str">
        <f>IF(SUM(COUNTIFS(I:I, I273)) &gt; 1, "DUPLICATE", "UNIQUE")</f>
        <v>UNIQUE</v>
      </c>
      <c r="L273" s="18">
        <v>1</v>
      </c>
      <c r="M273" s="28">
        <v>69</v>
      </c>
      <c r="N273" s="6">
        <v>196</v>
      </c>
      <c r="O273" s="30">
        <f t="shared" si="28"/>
        <v>69</v>
      </c>
      <c r="P273" s="30">
        <f t="shared" si="29"/>
        <v>13524</v>
      </c>
      <c r="Q273" s="1">
        <f>COUNTIFS($P:$P, "&gt;" &amp; $P273) + 1</f>
        <v>1459</v>
      </c>
      <c r="R273" s="63">
        <f>(COUNTIFS($P:$P, "&gt;" &amp; $P273) + 1) / (COUNTA($I:$I) - 1)</f>
        <v>0.2918</v>
      </c>
      <c r="S273" s="23">
        <f>SUMIFS($P:$P, $Q:$Q, "&lt;" &amp; $Q273)</f>
        <v>174295313</v>
      </c>
    </row>
    <row r="274" spans="1:19" x14ac:dyDescent="0.25">
      <c r="A274" s="1">
        <v>269</v>
      </c>
      <c r="B274" s="1" t="s">
        <v>2</v>
      </c>
      <c r="C274" s="1" t="str">
        <f>IF($B274 = "Production Item", _xlfn.XLOOKUP($A274, 'Instrument Table'!$J:$J, 'Instrument Table'!$B:$B, $C273), IF($B274 = "Service Item", _xlfn.XLOOKUP($A274, 'Instrument Table'!$I:$I, 'Instrument Table'!$B:$B, $C273), _xlfn.XLOOKUP($A274, 'Instrument Table'!$H:$H, 'Instrument Table'!$B:$B, $C273)))</f>
        <v>Grand Piano</v>
      </c>
      <c r="D274" s="1" t="str">
        <f>VLOOKUP($C274, 'Instrument Table'!$B:$C, 2, FALSE)</f>
        <v>Pianos</v>
      </c>
      <c r="E274" s="1">
        <f t="shared" si="24"/>
        <v>1</v>
      </c>
      <c r="F274" s="1">
        <f>_xlfn.XLOOKUP($C274, 'Instrument Table'!$B:$B, 'Instrument Table'!$A:$A, "")</f>
        <v>10</v>
      </c>
      <c r="G274" s="1" t="str">
        <f>TEXT(IF($B274 = "Retail Item", IF((ROW($A274) - 4504 - _xlfn.XMATCH($C274, $C$4506:$C$5005, 0, 1)) &lt;= VLOOKUP($C274, 'Instrument Table'!$B:$D, 3, FALSE), ROW($A274) - 4504 - _xlfn.XMATCH($C274, $C$4506:$C$5005, 0, 1), 0), 0), "00")</f>
        <v>00</v>
      </c>
      <c r="H274" s="1" t="str">
        <f t="shared" si="25"/>
        <v>268</v>
      </c>
      <c r="I274" s="1" t="str">
        <f t="shared" si="26"/>
        <v>11000-268</v>
      </c>
      <c r="J274" s="1" t="str">
        <f t="shared" si="27"/>
        <v>Grand piano production item #268</v>
      </c>
      <c r="K274" s="1" t="str">
        <f>IF(SUM(COUNTIFS(I:I, I274)) &gt; 1, "DUPLICATE", "UNIQUE")</f>
        <v>UNIQUE</v>
      </c>
      <c r="L274" s="18">
        <v>1</v>
      </c>
      <c r="M274" s="28">
        <v>16</v>
      </c>
      <c r="N274" s="6">
        <v>361</v>
      </c>
      <c r="O274" s="30">
        <f t="shared" si="28"/>
        <v>16</v>
      </c>
      <c r="P274" s="30">
        <f t="shared" si="29"/>
        <v>5776</v>
      </c>
      <c r="Q274" s="1">
        <f>COUNTIFS($P:$P, "&gt;" &amp; $P274) + 1</f>
        <v>2306</v>
      </c>
      <c r="R274" s="63">
        <f>(COUNTIFS($P:$P, "&gt;" &amp; $P274) + 1) / (COUNTA($I:$I) - 1)</f>
        <v>0.4612</v>
      </c>
      <c r="S274" s="23">
        <f>SUMIFS($P:$P, $Q:$Q, "&lt;" &amp; $Q274)</f>
        <v>182098979</v>
      </c>
    </row>
    <row r="275" spans="1:19" x14ac:dyDescent="0.25">
      <c r="A275" s="1">
        <v>270</v>
      </c>
      <c r="B275" s="1" t="s">
        <v>2</v>
      </c>
      <c r="C275" s="1" t="str">
        <f>IF($B275 = "Production Item", _xlfn.XLOOKUP($A275, 'Instrument Table'!$J:$J, 'Instrument Table'!$B:$B, $C274), IF($B275 = "Service Item", _xlfn.XLOOKUP($A275, 'Instrument Table'!$I:$I, 'Instrument Table'!$B:$B, $C274), _xlfn.XLOOKUP($A275, 'Instrument Table'!$H:$H, 'Instrument Table'!$B:$B, $C274)))</f>
        <v>Grand Piano</v>
      </c>
      <c r="D275" s="1" t="str">
        <f>VLOOKUP($C275, 'Instrument Table'!$B:$C, 2, FALSE)</f>
        <v>Pianos</v>
      </c>
      <c r="E275" s="1">
        <f t="shared" si="24"/>
        <v>1</v>
      </c>
      <c r="F275" s="1">
        <f>_xlfn.XLOOKUP($C275, 'Instrument Table'!$B:$B, 'Instrument Table'!$A:$A, "")</f>
        <v>10</v>
      </c>
      <c r="G275" s="1" t="str">
        <f>TEXT(IF($B275 = "Retail Item", IF((ROW($A275) - 4504 - _xlfn.XMATCH($C275, $C$4506:$C$5005, 0, 1)) &lt;= VLOOKUP($C275, 'Instrument Table'!$B:$D, 3, FALSE), ROW($A275) - 4504 - _xlfn.XMATCH($C275, $C$4506:$C$5005, 0, 1), 0), 0), "00")</f>
        <v>00</v>
      </c>
      <c r="H275" s="1" t="str">
        <f t="shared" si="25"/>
        <v>269</v>
      </c>
      <c r="I275" s="1" t="str">
        <f t="shared" si="26"/>
        <v>11000-269</v>
      </c>
      <c r="J275" s="1" t="str">
        <f t="shared" si="27"/>
        <v>Grand piano production item #269</v>
      </c>
      <c r="K275" s="1" t="str">
        <f>IF(SUM(COUNTIFS(I:I, I275)) &gt; 1, "DUPLICATE", "UNIQUE")</f>
        <v>UNIQUE</v>
      </c>
      <c r="L275" s="18">
        <v>1</v>
      </c>
      <c r="M275" s="28">
        <v>78</v>
      </c>
      <c r="N275" s="6">
        <v>25</v>
      </c>
      <c r="O275" s="30">
        <f t="shared" si="28"/>
        <v>78</v>
      </c>
      <c r="P275" s="30">
        <f t="shared" si="29"/>
        <v>1950</v>
      </c>
      <c r="Q275" s="1">
        <f>COUNTIFS($P:$P, "&gt;" &amp; $P275) + 1</f>
        <v>3274</v>
      </c>
      <c r="R275" s="63">
        <f>(COUNTIFS($P:$P, "&gt;" &amp; $P275) + 1) / (COUNTA($I:$I) - 1)</f>
        <v>0.65480000000000005</v>
      </c>
      <c r="S275" s="23">
        <f>SUMIFS($P:$P, $Q:$Q, "&lt;" &amp; $Q275)</f>
        <v>185558900</v>
      </c>
    </row>
    <row r="276" spans="1:19" x14ac:dyDescent="0.25">
      <c r="A276" s="1">
        <v>271</v>
      </c>
      <c r="B276" s="1" t="s">
        <v>2</v>
      </c>
      <c r="C276" s="1" t="str">
        <f>IF($B276 = "Production Item", _xlfn.XLOOKUP($A276, 'Instrument Table'!$J:$J, 'Instrument Table'!$B:$B, $C275), IF($B276 = "Service Item", _xlfn.XLOOKUP($A276, 'Instrument Table'!$I:$I, 'Instrument Table'!$B:$B, $C275), _xlfn.XLOOKUP($A276, 'Instrument Table'!$H:$H, 'Instrument Table'!$B:$B, $C275)))</f>
        <v>Grand Piano</v>
      </c>
      <c r="D276" s="1" t="str">
        <f>VLOOKUP($C276, 'Instrument Table'!$B:$C, 2, FALSE)</f>
        <v>Pianos</v>
      </c>
      <c r="E276" s="1">
        <f t="shared" si="24"/>
        <v>1</v>
      </c>
      <c r="F276" s="1">
        <f>_xlfn.XLOOKUP($C276, 'Instrument Table'!$B:$B, 'Instrument Table'!$A:$A, "")</f>
        <v>10</v>
      </c>
      <c r="G276" s="1" t="str">
        <f>TEXT(IF($B276 = "Retail Item", IF((ROW($A276) - 4504 - _xlfn.XMATCH($C276, $C$4506:$C$5005, 0, 1)) &lt;= VLOOKUP($C276, 'Instrument Table'!$B:$D, 3, FALSE), ROW($A276) - 4504 - _xlfn.XMATCH($C276, $C$4506:$C$5005, 0, 1), 0), 0), "00")</f>
        <v>00</v>
      </c>
      <c r="H276" s="1" t="str">
        <f t="shared" si="25"/>
        <v>270</v>
      </c>
      <c r="I276" s="1" t="str">
        <f t="shared" si="26"/>
        <v>11000-270</v>
      </c>
      <c r="J276" s="1" t="str">
        <f t="shared" si="27"/>
        <v>Grand piano production item #270</v>
      </c>
      <c r="K276" s="1" t="str">
        <f>IF(SUM(COUNTIFS(I:I, I276)) &gt; 1, "DUPLICATE", "UNIQUE")</f>
        <v>UNIQUE</v>
      </c>
      <c r="L276" s="18">
        <v>32</v>
      </c>
      <c r="M276" s="28">
        <v>89</v>
      </c>
      <c r="N276" s="6">
        <v>289</v>
      </c>
      <c r="O276" s="30">
        <f t="shared" si="28"/>
        <v>2848</v>
      </c>
      <c r="P276" s="30">
        <f t="shared" si="29"/>
        <v>25721</v>
      </c>
      <c r="Q276" s="1">
        <f>COUNTIFS($P:$P, "&gt;" &amp; $P276) + 1</f>
        <v>798</v>
      </c>
      <c r="R276" s="63">
        <f>(COUNTIFS($P:$P, "&gt;" &amp; $P276) + 1) / (COUNTA($I:$I) - 1)</f>
        <v>0.15959999999999999</v>
      </c>
      <c r="S276" s="23">
        <f>SUMIFS($P:$P, $Q:$Q, "&lt;" &amp; $Q276)</f>
        <v>161776320</v>
      </c>
    </row>
    <row r="277" spans="1:19" x14ac:dyDescent="0.25">
      <c r="A277" s="1">
        <v>272</v>
      </c>
      <c r="B277" s="1" t="s">
        <v>2</v>
      </c>
      <c r="C277" s="1" t="str">
        <f>IF($B277 = "Production Item", _xlfn.XLOOKUP($A277, 'Instrument Table'!$J:$J, 'Instrument Table'!$B:$B, $C276), IF($B277 = "Service Item", _xlfn.XLOOKUP($A277, 'Instrument Table'!$I:$I, 'Instrument Table'!$B:$B, $C276), _xlfn.XLOOKUP($A277, 'Instrument Table'!$H:$H, 'Instrument Table'!$B:$B, $C276)))</f>
        <v>Grand Piano</v>
      </c>
      <c r="D277" s="1" t="str">
        <f>VLOOKUP($C277, 'Instrument Table'!$B:$C, 2, FALSE)</f>
        <v>Pianos</v>
      </c>
      <c r="E277" s="1">
        <f t="shared" si="24"/>
        <v>1</v>
      </c>
      <c r="F277" s="1">
        <f>_xlfn.XLOOKUP($C277, 'Instrument Table'!$B:$B, 'Instrument Table'!$A:$A, "")</f>
        <v>10</v>
      </c>
      <c r="G277" s="1" t="str">
        <f>TEXT(IF($B277 = "Retail Item", IF((ROW($A277) - 4504 - _xlfn.XMATCH($C277, $C$4506:$C$5005, 0, 1)) &lt;= VLOOKUP($C277, 'Instrument Table'!$B:$D, 3, FALSE), ROW($A277) - 4504 - _xlfn.XMATCH($C277, $C$4506:$C$5005, 0, 1), 0), 0), "00")</f>
        <v>00</v>
      </c>
      <c r="H277" s="1" t="str">
        <f t="shared" si="25"/>
        <v>271</v>
      </c>
      <c r="I277" s="1" t="str">
        <f t="shared" si="26"/>
        <v>11000-271</v>
      </c>
      <c r="J277" s="1" t="str">
        <f t="shared" si="27"/>
        <v>Grand piano production item #271</v>
      </c>
      <c r="K277" s="1" t="str">
        <f>IF(SUM(COUNTIFS(I:I, I277)) &gt; 1, "DUPLICATE", "UNIQUE")</f>
        <v>UNIQUE</v>
      </c>
      <c r="L277" s="18">
        <v>0</v>
      </c>
      <c r="M277" s="28">
        <v>11</v>
      </c>
      <c r="N277" s="6">
        <v>256</v>
      </c>
      <c r="O277" s="30">
        <f t="shared" si="28"/>
        <v>0</v>
      </c>
      <c r="P277" s="30">
        <f t="shared" si="29"/>
        <v>2816</v>
      </c>
      <c r="Q277" s="1">
        <f>COUNTIFS($P:$P, "&gt;" &amp; $P277) + 1</f>
        <v>2954</v>
      </c>
      <c r="R277" s="63">
        <f>(COUNTIFS($P:$P, "&gt;" &amp; $P277) + 1) / (COUNTA($I:$I) - 1)</f>
        <v>0.59079999999999999</v>
      </c>
      <c r="S277" s="23">
        <f>SUMIFS($P:$P, $Q:$Q, "&lt;" &amp; $Q277)</f>
        <v>184806461</v>
      </c>
    </row>
    <row r="278" spans="1:19" x14ac:dyDescent="0.25">
      <c r="A278" s="1">
        <v>273</v>
      </c>
      <c r="B278" s="1" t="s">
        <v>2</v>
      </c>
      <c r="C278" s="1" t="str">
        <f>IF($B278 = "Production Item", _xlfn.XLOOKUP($A278, 'Instrument Table'!$J:$J, 'Instrument Table'!$B:$B, $C277), IF($B278 = "Service Item", _xlfn.XLOOKUP($A278, 'Instrument Table'!$I:$I, 'Instrument Table'!$B:$B, $C277), _xlfn.XLOOKUP($A278, 'Instrument Table'!$H:$H, 'Instrument Table'!$B:$B, $C277)))</f>
        <v>Grand Piano</v>
      </c>
      <c r="D278" s="1" t="str">
        <f>VLOOKUP($C278, 'Instrument Table'!$B:$C, 2, FALSE)</f>
        <v>Pianos</v>
      </c>
      <c r="E278" s="1">
        <f t="shared" si="24"/>
        <v>1</v>
      </c>
      <c r="F278" s="1">
        <f>_xlfn.XLOOKUP($C278, 'Instrument Table'!$B:$B, 'Instrument Table'!$A:$A, "")</f>
        <v>10</v>
      </c>
      <c r="G278" s="1" t="str">
        <f>TEXT(IF($B278 = "Retail Item", IF((ROW($A278) - 4504 - _xlfn.XMATCH($C278, $C$4506:$C$5005, 0, 1)) &lt;= VLOOKUP($C278, 'Instrument Table'!$B:$D, 3, FALSE), ROW($A278) - 4504 - _xlfn.XMATCH($C278, $C$4506:$C$5005, 0, 1), 0), 0), "00")</f>
        <v>00</v>
      </c>
      <c r="H278" s="1" t="str">
        <f t="shared" si="25"/>
        <v>272</v>
      </c>
      <c r="I278" s="1" t="str">
        <f t="shared" si="26"/>
        <v>11000-272</v>
      </c>
      <c r="J278" s="1" t="str">
        <f t="shared" si="27"/>
        <v>Grand piano production item #272</v>
      </c>
      <c r="K278" s="1" t="str">
        <f>IF(SUM(COUNTIFS(I:I, I278)) &gt; 1, "DUPLICATE", "UNIQUE")</f>
        <v>UNIQUE</v>
      </c>
      <c r="L278" s="18">
        <v>2</v>
      </c>
      <c r="M278" s="28">
        <v>78</v>
      </c>
      <c r="N278" s="6">
        <v>121</v>
      </c>
      <c r="O278" s="30">
        <f t="shared" si="28"/>
        <v>156</v>
      </c>
      <c r="P278" s="30">
        <f t="shared" si="29"/>
        <v>9438</v>
      </c>
      <c r="Q278" s="1">
        <f>COUNTIFS($P:$P, "&gt;" &amp; $P278) + 1</f>
        <v>1826</v>
      </c>
      <c r="R278" s="63">
        <f>(COUNTIFS($P:$P, "&gt;" &amp; $P278) + 1) / (COUNTA($I:$I) - 1)</f>
        <v>0.36520000000000002</v>
      </c>
      <c r="S278" s="23">
        <f>SUMIFS($P:$P, $Q:$Q, "&lt;" &amp; $Q278)</f>
        <v>178489701</v>
      </c>
    </row>
    <row r="279" spans="1:19" x14ac:dyDescent="0.25">
      <c r="A279" s="1">
        <v>274</v>
      </c>
      <c r="B279" s="1" t="s">
        <v>2</v>
      </c>
      <c r="C279" s="1" t="str">
        <f>IF($B279 = "Production Item", _xlfn.XLOOKUP($A279, 'Instrument Table'!$J:$J, 'Instrument Table'!$B:$B, $C278), IF($B279 = "Service Item", _xlfn.XLOOKUP($A279, 'Instrument Table'!$I:$I, 'Instrument Table'!$B:$B, $C278), _xlfn.XLOOKUP($A279, 'Instrument Table'!$H:$H, 'Instrument Table'!$B:$B, $C278)))</f>
        <v>Grand Piano</v>
      </c>
      <c r="D279" s="1" t="str">
        <f>VLOOKUP($C279, 'Instrument Table'!$B:$C, 2, FALSE)</f>
        <v>Pianos</v>
      </c>
      <c r="E279" s="1">
        <f t="shared" si="24"/>
        <v>1</v>
      </c>
      <c r="F279" s="1">
        <f>_xlfn.XLOOKUP($C279, 'Instrument Table'!$B:$B, 'Instrument Table'!$A:$A, "")</f>
        <v>10</v>
      </c>
      <c r="G279" s="1" t="str">
        <f>TEXT(IF($B279 = "Retail Item", IF((ROW($A279) - 4504 - _xlfn.XMATCH($C279, $C$4506:$C$5005, 0, 1)) &lt;= VLOOKUP($C279, 'Instrument Table'!$B:$D, 3, FALSE), ROW($A279) - 4504 - _xlfn.XMATCH($C279, $C$4506:$C$5005, 0, 1), 0), 0), "00")</f>
        <v>00</v>
      </c>
      <c r="H279" s="1" t="str">
        <f t="shared" si="25"/>
        <v>273</v>
      </c>
      <c r="I279" s="1" t="str">
        <f t="shared" si="26"/>
        <v>11000-273</v>
      </c>
      <c r="J279" s="1" t="str">
        <f t="shared" si="27"/>
        <v>Grand piano production item #273</v>
      </c>
      <c r="K279" s="1" t="str">
        <f>IF(SUM(COUNTIFS(I:I, I279)) &gt; 1, "DUPLICATE", "UNIQUE")</f>
        <v>UNIQUE</v>
      </c>
      <c r="L279" s="18">
        <v>0</v>
      </c>
      <c r="M279" s="28">
        <v>83</v>
      </c>
      <c r="N279" s="6">
        <v>196</v>
      </c>
      <c r="O279" s="30">
        <f t="shared" si="28"/>
        <v>0</v>
      </c>
      <c r="P279" s="30">
        <f t="shared" si="29"/>
        <v>16268</v>
      </c>
      <c r="Q279" s="1">
        <f>COUNTIFS($P:$P, "&gt;" &amp; $P279) + 1</f>
        <v>1258</v>
      </c>
      <c r="R279" s="63">
        <f>(COUNTIFS($P:$P, "&gt;" &amp; $P279) + 1) / (COUNTA($I:$I) - 1)</f>
        <v>0.25159999999999999</v>
      </c>
      <c r="S279" s="23">
        <f>SUMIFS($P:$P, $Q:$Q, "&lt;" &amp; $Q279)</f>
        <v>171300616</v>
      </c>
    </row>
    <row r="280" spans="1:19" x14ac:dyDescent="0.25">
      <c r="A280" s="1">
        <v>275</v>
      </c>
      <c r="B280" s="1" t="s">
        <v>2</v>
      </c>
      <c r="C280" s="1" t="str">
        <f>IF($B280 = "Production Item", _xlfn.XLOOKUP($A280, 'Instrument Table'!$J:$J, 'Instrument Table'!$B:$B, $C279), IF($B280 = "Service Item", _xlfn.XLOOKUP($A280, 'Instrument Table'!$I:$I, 'Instrument Table'!$B:$B, $C279), _xlfn.XLOOKUP($A280, 'Instrument Table'!$H:$H, 'Instrument Table'!$B:$B, $C279)))</f>
        <v>Grand Piano</v>
      </c>
      <c r="D280" s="1" t="str">
        <f>VLOOKUP($C280, 'Instrument Table'!$B:$C, 2, FALSE)</f>
        <v>Pianos</v>
      </c>
      <c r="E280" s="1">
        <f t="shared" si="24"/>
        <v>1</v>
      </c>
      <c r="F280" s="1">
        <f>_xlfn.XLOOKUP($C280, 'Instrument Table'!$B:$B, 'Instrument Table'!$A:$A, "")</f>
        <v>10</v>
      </c>
      <c r="G280" s="1" t="str">
        <f>TEXT(IF($B280 = "Retail Item", IF((ROW($A280) - 4504 - _xlfn.XMATCH($C280, $C$4506:$C$5005, 0, 1)) &lt;= VLOOKUP($C280, 'Instrument Table'!$B:$D, 3, FALSE), ROW($A280) - 4504 - _xlfn.XMATCH($C280, $C$4506:$C$5005, 0, 1), 0), 0), "00")</f>
        <v>00</v>
      </c>
      <c r="H280" s="1" t="str">
        <f t="shared" si="25"/>
        <v>274</v>
      </c>
      <c r="I280" s="1" t="str">
        <f t="shared" si="26"/>
        <v>11000-274</v>
      </c>
      <c r="J280" s="1" t="str">
        <f t="shared" si="27"/>
        <v>Grand piano production item #274</v>
      </c>
      <c r="K280" s="1" t="str">
        <f>IF(SUM(COUNTIFS(I:I, I280)) &gt; 1, "DUPLICATE", "UNIQUE")</f>
        <v>UNIQUE</v>
      </c>
      <c r="L280" s="18">
        <v>0</v>
      </c>
      <c r="M280" s="28">
        <v>97</v>
      </c>
      <c r="N280" s="6">
        <v>225</v>
      </c>
      <c r="O280" s="30">
        <f t="shared" si="28"/>
        <v>0</v>
      </c>
      <c r="P280" s="30">
        <f t="shared" si="29"/>
        <v>21825</v>
      </c>
      <c r="Q280" s="1">
        <f>COUNTIFS($P:$P, "&gt;" &amp; $P280) + 1</f>
        <v>961</v>
      </c>
      <c r="R280" s="63">
        <f>(COUNTIFS($P:$P, "&gt;" &amp; $P280) + 1) / (COUNTA($I:$I) - 1)</f>
        <v>0.19220000000000001</v>
      </c>
      <c r="S280" s="23">
        <f>SUMIFS($P:$P, $Q:$Q, "&lt;" &amp; $Q280)</f>
        <v>165651656</v>
      </c>
    </row>
    <row r="281" spans="1:19" x14ac:dyDescent="0.25">
      <c r="A281" s="1">
        <v>276</v>
      </c>
      <c r="B281" s="1" t="s">
        <v>2</v>
      </c>
      <c r="C281" s="1" t="str">
        <f>IF($B281 = "Production Item", _xlfn.XLOOKUP($A281, 'Instrument Table'!$J:$J, 'Instrument Table'!$B:$B, $C280), IF($B281 = "Service Item", _xlfn.XLOOKUP($A281, 'Instrument Table'!$I:$I, 'Instrument Table'!$B:$B, $C280), _xlfn.XLOOKUP($A281, 'Instrument Table'!$H:$H, 'Instrument Table'!$B:$B, $C280)))</f>
        <v>Grand Piano</v>
      </c>
      <c r="D281" s="1" t="str">
        <f>VLOOKUP($C281, 'Instrument Table'!$B:$C, 2, FALSE)</f>
        <v>Pianos</v>
      </c>
      <c r="E281" s="1">
        <f t="shared" si="24"/>
        <v>1</v>
      </c>
      <c r="F281" s="1">
        <f>_xlfn.XLOOKUP($C281, 'Instrument Table'!$B:$B, 'Instrument Table'!$A:$A, "")</f>
        <v>10</v>
      </c>
      <c r="G281" s="1" t="str">
        <f>TEXT(IF($B281 = "Retail Item", IF((ROW($A281) - 4504 - _xlfn.XMATCH($C281, $C$4506:$C$5005, 0, 1)) &lt;= VLOOKUP($C281, 'Instrument Table'!$B:$D, 3, FALSE), ROW($A281) - 4504 - _xlfn.XMATCH($C281, $C$4506:$C$5005, 0, 1), 0), 0), "00")</f>
        <v>00</v>
      </c>
      <c r="H281" s="1" t="str">
        <f t="shared" si="25"/>
        <v>275</v>
      </c>
      <c r="I281" s="1" t="str">
        <f t="shared" si="26"/>
        <v>11000-275</v>
      </c>
      <c r="J281" s="1" t="str">
        <f t="shared" si="27"/>
        <v>Grand piano production item #275</v>
      </c>
      <c r="K281" s="1" t="str">
        <f>IF(SUM(COUNTIFS(I:I, I281)) &gt; 1, "DUPLICATE", "UNIQUE")</f>
        <v>UNIQUE</v>
      </c>
      <c r="L281" s="18">
        <v>32</v>
      </c>
      <c r="M281" s="28">
        <v>2</v>
      </c>
      <c r="N281" s="6">
        <v>64</v>
      </c>
      <c r="O281" s="30">
        <f t="shared" si="28"/>
        <v>64</v>
      </c>
      <c r="P281" s="30">
        <f t="shared" si="29"/>
        <v>128</v>
      </c>
      <c r="Q281" s="1">
        <f>COUNTIFS($P:$P, "&gt;" &amp; $P281) + 1</f>
        <v>4418</v>
      </c>
      <c r="R281" s="63">
        <f>(COUNTIFS($P:$P, "&gt;" &amp; $P281) + 1) / (COUNTA($I:$I) - 1)</f>
        <v>0.88360000000000005</v>
      </c>
      <c r="S281" s="23">
        <f>SUMIFS($P:$P, $Q:$Q, "&lt;" &amp; $Q281)</f>
        <v>186528515</v>
      </c>
    </row>
    <row r="282" spans="1:19" x14ac:dyDescent="0.25">
      <c r="A282" s="1">
        <v>277</v>
      </c>
      <c r="B282" s="1" t="s">
        <v>2</v>
      </c>
      <c r="C282" s="1" t="str">
        <f>IF($B282 = "Production Item", _xlfn.XLOOKUP($A282, 'Instrument Table'!$J:$J, 'Instrument Table'!$B:$B, $C281), IF($B282 = "Service Item", _xlfn.XLOOKUP($A282, 'Instrument Table'!$I:$I, 'Instrument Table'!$B:$B, $C281), _xlfn.XLOOKUP($A282, 'Instrument Table'!$H:$H, 'Instrument Table'!$B:$B, $C281)))</f>
        <v>Grand Piano</v>
      </c>
      <c r="D282" s="1" t="str">
        <f>VLOOKUP($C282, 'Instrument Table'!$B:$C, 2, FALSE)</f>
        <v>Pianos</v>
      </c>
      <c r="E282" s="1">
        <f t="shared" si="24"/>
        <v>1</v>
      </c>
      <c r="F282" s="1">
        <f>_xlfn.XLOOKUP($C282, 'Instrument Table'!$B:$B, 'Instrument Table'!$A:$A, "")</f>
        <v>10</v>
      </c>
      <c r="G282" s="1" t="str">
        <f>TEXT(IF($B282 = "Retail Item", IF((ROW($A282) - 4504 - _xlfn.XMATCH($C282, $C$4506:$C$5005, 0, 1)) &lt;= VLOOKUP($C282, 'Instrument Table'!$B:$D, 3, FALSE), ROW($A282) - 4504 - _xlfn.XMATCH($C282, $C$4506:$C$5005, 0, 1), 0), 0), "00")</f>
        <v>00</v>
      </c>
      <c r="H282" s="1" t="str">
        <f t="shared" si="25"/>
        <v>276</v>
      </c>
      <c r="I282" s="1" t="str">
        <f t="shared" si="26"/>
        <v>11000-276</v>
      </c>
      <c r="J282" s="1" t="str">
        <f t="shared" si="27"/>
        <v>Grand piano production item #276</v>
      </c>
      <c r="K282" s="1" t="str">
        <f>IF(SUM(COUNTIFS(I:I, I282)) &gt; 1, "DUPLICATE", "UNIQUE")</f>
        <v>UNIQUE</v>
      </c>
      <c r="L282" s="18">
        <v>0</v>
      </c>
      <c r="M282" s="28">
        <v>86</v>
      </c>
      <c r="N282" s="6">
        <v>4</v>
      </c>
      <c r="O282" s="30">
        <f t="shared" si="28"/>
        <v>0</v>
      </c>
      <c r="P282" s="30">
        <f t="shared" si="29"/>
        <v>344</v>
      </c>
      <c r="Q282" s="1">
        <f>COUNTIFS($P:$P, "&gt;" &amp; $P282) + 1</f>
        <v>4159</v>
      </c>
      <c r="R282" s="63">
        <f>(COUNTIFS($P:$P, "&gt;" &amp; $P282) + 1) / (COUNTA($I:$I) - 1)</f>
        <v>0.83179999999999998</v>
      </c>
      <c r="S282" s="23">
        <f>SUMIFS($P:$P, $Q:$Q, "&lt;" &amp; $Q282)</f>
        <v>186466883</v>
      </c>
    </row>
    <row r="283" spans="1:19" x14ac:dyDescent="0.25">
      <c r="A283" s="1">
        <v>278</v>
      </c>
      <c r="B283" s="1" t="s">
        <v>2</v>
      </c>
      <c r="C283" s="1" t="str">
        <f>IF($B283 = "Production Item", _xlfn.XLOOKUP($A283, 'Instrument Table'!$J:$J, 'Instrument Table'!$B:$B, $C282), IF($B283 = "Service Item", _xlfn.XLOOKUP($A283, 'Instrument Table'!$I:$I, 'Instrument Table'!$B:$B, $C282), _xlfn.XLOOKUP($A283, 'Instrument Table'!$H:$H, 'Instrument Table'!$B:$B, $C282)))</f>
        <v>Grand Piano</v>
      </c>
      <c r="D283" s="1" t="str">
        <f>VLOOKUP($C283, 'Instrument Table'!$B:$C, 2, FALSE)</f>
        <v>Pianos</v>
      </c>
      <c r="E283" s="1">
        <f t="shared" si="24"/>
        <v>1</v>
      </c>
      <c r="F283" s="1">
        <f>_xlfn.XLOOKUP($C283, 'Instrument Table'!$B:$B, 'Instrument Table'!$A:$A, "")</f>
        <v>10</v>
      </c>
      <c r="G283" s="1" t="str">
        <f>TEXT(IF($B283 = "Retail Item", IF((ROW($A283) - 4504 - _xlfn.XMATCH($C283, $C$4506:$C$5005, 0, 1)) &lt;= VLOOKUP($C283, 'Instrument Table'!$B:$D, 3, FALSE), ROW($A283) - 4504 - _xlfn.XMATCH($C283, $C$4506:$C$5005, 0, 1), 0), 0), "00")</f>
        <v>00</v>
      </c>
      <c r="H283" s="1" t="str">
        <f t="shared" si="25"/>
        <v>277</v>
      </c>
      <c r="I283" s="1" t="str">
        <f t="shared" si="26"/>
        <v>11000-277</v>
      </c>
      <c r="J283" s="1" t="str">
        <f t="shared" si="27"/>
        <v>Grand piano production item #277</v>
      </c>
      <c r="K283" s="1" t="str">
        <f>IF(SUM(COUNTIFS(I:I, I283)) &gt; 1, "DUPLICATE", "UNIQUE")</f>
        <v>UNIQUE</v>
      </c>
      <c r="L283" s="18">
        <v>1</v>
      </c>
      <c r="M283" s="28">
        <v>74</v>
      </c>
      <c r="N283" s="6">
        <v>64</v>
      </c>
      <c r="O283" s="30">
        <f t="shared" si="28"/>
        <v>74</v>
      </c>
      <c r="P283" s="30">
        <f t="shared" si="29"/>
        <v>4736</v>
      </c>
      <c r="Q283" s="1">
        <f>COUNTIFS($P:$P, "&gt;" &amp; $P283) + 1</f>
        <v>2494</v>
      </c>
      <c r="R283" s="63">
        <f>(COUNTIFS($P:$P, "&gt;" &amp; $P283) + 1) / (COUNTA($I:$I) - 1)</f>
        <v>0.49880000000000002</v>
      </c>
      <c r="S283" s="23">
        <f>SUMIFS($P:$P, $Q:$Q, "&lt;" &amp; $Q283)</f>
        <v>183086836</v>
      </c>
    </row>
    <row r="284" spans="1:19" x14ac:dyDescent="0.25">
      <c r="A284" s="1">
        <v>279</v>
      </c>
      <c r="B284" s="1" t="s">
        <v>2</v>
      </c>
      <c r="C284" s="1" t="str">
        <f>IF($B284 = "Production Item", _xlfn.XLOOKUP($A284, 'Instrument Table'!$J:$J, 'Instrument Table'!$B:$B, $C283), IF($B284 = "Service Item", _xlfn.XLOOKUP($A284, 'Instrument Table'!$I:$I, 'Instrument Table'!$B:$B, $C283), _xlfn.XLOOKUP($A284, 'Instrument Table'!$H:$H, 'Instrument Table'!$B:$B, $C283)))</f>
        <v>Grand Piano</v>
      </c>
      <c r="D284" s="1" t="str">
        <f>VLOOKUP($C284, 'Instrument Table'!$B:$C, 2, FALSE)</f>
        <v>Pianos</v>
      </c>
      <c r="E284" s="1">
        <f t="shared" si="24"/>
        <v>1</v>
      </c>
      <c r="F284" s="1">
        <f>_xlfn.XLOOKUP($C284, 'Instrument Table'!$B:$B, 'Instrument Table'!$A:$A, "")</f>
        <v>10</v>
      </c>
      <c r="G284" s="1" t="str">
        <f>TEXT(IF($B284 = "Retail Item", IF((ROW($A284) - 4504 - _xlfn.XMATCH($C284, $C$4506:$C$5005, 0, 1)) &lt;= VLOOKUP($C284, 'Instrument Table'!$B:$D, 3, FALSE), ROW($A284) - 4504 - _xlfn.XMATCH($C284, $C$4506:$C$5005, 0, 1), 0), 0), "00")</f>
        <v>00</v>
      </c>
      <c r="H284" s="1" t="str">
        <f t="shared" si="25"/>
        <v>278</v>
      </c>
      <c r="I284" s="1" t="str">
        <f t="shared" si="26"/>
        <v>11000-278</v>
      </c>
      <c r="J284" s="1" t="str">
        <f t="shared" si="27"/>
        <v>Grand piano production item #278</v>
      </c>
      <c r="K284" s="1" t="str">
        <f>IF(SUM(COUNTIFS(I:I, I284)) &gt; 1, "DUPLICATE", "UNIQUE")</f>
        <v>UNIQUE</v>
      </c>
      <c r="L284" s="18">
        <v>0</v>
      </c>
      <c r="M284" s="28">
        <v>37</v>
      </c>
      <c r="N284" s="6">
        <v>361</v>
      </c>
      <c r="O284" s="30">
        <f t="shared" si="28"/>
        <v>0</v>
      </c>
      <c r="P284" s="30">
        <f t="shared" si="29"/>
        <v>13357</v>
      </c>
      <c r="Q284" s="1">
        <f>COUNTIFS($P:$P, "&gt;" &amp; $P284) + 1</f>
        <v>1468</v>
      </c>
      <c r="R284" s="63">
        <f>(COUNTIFS($P:$P, "&gt;" &amp; $P284) + 1) / (COUNTA($I:$I) - 1)</f>
        <v>0.29360000000000003</v>
      </c>
      <c r="S284" s="23">
        <f>SUMIFS($P:$P, $Q:$Q, "&lt;" &amp; $Q284)</f>
        <v>174416557</v>
      </c>
    </row>
    <row r="285" spans="1:19" x14ac:dyDescent="0.25">
      <c r="A285" s="1">
        <v>280</v>
      </c>
      <c r="B285" s="1" t="s">
        <v>2</v>
      </c>
      <c r="C285" s="1" t="str">
        <f>IF($B285 = "Production Item", _xlfn.XLOOKUP($A285, 'Instrument Table'!$J:$J, 'Instrument Table'!$B:$B, $C284), IF($B285 = "Service Item", _xlfn.XLOOKUP($A285, 'Instrument Table'!$I:$I, 'Instrument Table'!$B:$B, $C284), _xlfn.XLOOKUP($A285, 'Instrument Table'!$H:$H, 'Instrument Table'!$B:$B, $C284)))</f>
        <v>Grand Piano</v>
      </c>
      <c r="D285" s="1" t="str">
        <f>VLOOKUP($C285, 'Instrument Table'!$B:$C, 2, FALSE)</f>
        <v>Pianos</v>
      </c>
      <c r="E285" s="1">
        <f t="shared" si="24"/>
        <v>1</v>
      </c>
      <c r="F285" s="1">
        <f>_xlfn.XLOOKUP($C285, 'Instrument Table'!$B:$B, 'Instrument Table'!$A:$A, "")</f>
        <v>10</v>
      </c>
      <c r="G285" s="1" t="str">
        <f>TEXT(IF($B285 = "Retail Item", IF((ROW($A285) - 4504 - _xlfn.XMATCH($C285, $C$4506:$C$5005, 0, 1)) &lt;= VLOOKUP($C285, 'Instrument Table'!$B:$D, 3, FALSE), ROW($A285) - 4504 - _xlfn.XMATCH($C285, $C$4506:$C$5005, 0, 1), 0), 0), "00")</f>
        <v>00</v>
      </c>
      <c r="H285" s="1" t="str">
        <f t="shared" si="25"/>
        <v>279</v>
      </c>
      <c r="I285" s="1" t="str">
        <f t="shared" si="26"/>
        <v>11000-279</v>
      </c>
      <c r="J285" s="1" t="str">
        <f t="shared" si="27"/>
        <v>Grand piano production item #279</v>
      </c>
      <c r="K285" s="1" t="str">
        <f>IF(SUM(COUNTIFS(I:I, I285)) &gt; 1, "DUPLICATE", "UNIQUE")</f>
        <v>UNIQUE</v>
      </c>
      <c r="L285" s="18">
        <v>8</v>
      </c>
      <c r="M285" s="28">
        <v>60</v>
      </c>
      <c r="N285" s="6">
        <v>36</v>
      </c>
      <c r="O285" s="30">
        <f t="shared" si="28"/>
        <v>480</v>
      </c>
      <c r="P285" s="30">
        <f t="shared" si="29"/>
        <v>2160</v>
      </c>
      <c r="Q285" s="1">
        <f>COUNTIFS($P:$P, "&gt;" &amp; $P285) + 1</f>
        <v>3181</v>
      </c>
      <c r="R285" s="63">
        <f>(COUNTIFS($P:$P, "&gt;" &amp; $P285) + 1) / (COUNTA($I:$I) - 1)</f>
        <v>0.63619999999999999</v>
      </c>
      <c r="S285" s="23">
        <f>SUMIFS($P:$P, $Q:$Q, "&lt;" &amp; $Q285)</f>
        <v>185367052</v>
      </c>
    </row>
    <row r="286" spans="1:19" x14ac:dyDescent="0.25">
      <c r="A286" s="1">
        <v>281</v>
      </c>
      <c r="B286" s="1" t="s">
        <v>2</v>
      </c>
      <c r="C286" s="1" t="str">
        <f>IF($B286 = "Production Item", _xlfn.XLOOKUP($A286, 'Instrument Table'!$J:$J, 'Instrument Table'!$B:$B, $C285), IF($B286 = "Service Item", _xlfn.XLOOKUP($A286, 'Instrument Table'!$I:$I, 'Instrument Table'!$B:$B, $C285), _xlfn.XLOOKUP($A286, 'Instrument Table'!$H:$H, 'Instrument Table'!$B:$B, $C285)))</f>
        <v>Grand Piano</v>
      </c>
      <c r="D286" s="1" t="str">
        <f>VLOOKUP($C286, 'Instrument Table'!$B:$C, 2, FALSE)</f>
        <v>Pianos</v>
      </c>
      <c r="E286" s="1">
        <f t="shared" si="24"/>
        <v>1</v>
      </c>
      <c r="F286" s="1">
        <f>_xlfn.XLOOKUP($C286, 'Instrument Table'!$B:$B, 'Instrument Table'!$A:$A, "")</f>
        <v>10</v>
      </c>
      <c r="G286" s="1" t="str">
        <f>TEXT(IF($B286 = "Retail Item", IF((ROW($A286) - 4504 - _xlfn.XMATCH($C286, $C$4506:$C$5005, 0, 1)) &lt;= VLOOKUP($C286, 'Instrument Table'!$B:$D, 3, FALSE), ROW($A286) - 4504 - _xlfn.XMATCH($C286, $C$4506:$C$5005, 0, 1), 0), 0), "00")</f>
        <v>00</v>
      </c>
      <c r="H286" s="1" t="str">
        <f t="shared" si="25"/>
        <v>280</v>
      </c>
      <c r="I286" s="1" t="str">
        <f t="shared" si="26"/>
        <v>11000-280</v>
      </c>
      <c r="J286" s="1" t="str">
        <f t="shared" si="27"/>
        <v>Grand piano production item #280</v>
      </c>
      <c r="K286" s="1" t="str">
        <f>IF(SUM(COUNTIFS(I:I, I286)) &gt; 1, "DUPLICATE", "UNIQUE")</f>
        <v>UNIQUE</v>
      </c>
      <c r="L286" s="18">
        <v>1</v>
      </c>
      <c r="M286" s="28">
        <v>51</v>
      </c>
      <c r="N286" s="6">
        <v>169</v>
      </c>
      <c r="O286" s="30">
        <f t="shared" si="28"/>
        <v>51</v>
      </c>
      <c r="P286" s="30">
        <f t="shared" si="29"/>
        <v>8619</v>
      </c>
      <c r="Q286" s="1">
        <f>COUNTIFS($P:$P, "&gt;" &amp; $P286) + 1</f>
        <v>1920</v>
      </c>
      <c r="R286" s="63">
        <f>(COUNTIFS($P:$P, "&gt;" &amp; $P286) + 1) / (COUNTA($I:$I) - 1)</f>
        <v>0.38400000000000001</v>
      </c>
      <c r="S286" s="23">
        <f>SUMIFS($P:$P, $Q:$Q, "&lt;" &amp; $Q286)</f>
        <v>179337593</v>
      </c>
    </row>
    <row r="287" spans="1:19" x14ac:dyDescent="0.25">
      <c r="A287" s="1">
        <v>282</v>
      </c>
      <c r="B287" s="1" t="s">
        <v>2</v>
      </c>
      <c r="C287" s="1" t="str">
        <f>IF($B287 = "Production Item", _xlfn.XLOOKUP($A287, 'Instrument Table'!$J:$J, 'Instrument Table'!$B:$B, $C286), IF($B287 = "Service Item", _xlfn.XLOOKUP($A287, 'Instrument Table'!$I:$I, 'Instrument Table'!$B:$B, $C286), _xlfn.XLOOKUP($A287, 'Instrument Table'!$H:$H, 'Instrument Table'!$B:$B, $C286)))</f>
        <v>Grand Piano</v>
      </c>
      <c r="D287" s="1" t="str">
        <f>VLOOKUP($C287, 'Instrument Table'!$B:$C, 2, FALSE)</f>
        <v>Pianos</v>
      </c>
      <c r="E287" s="1">
        <f t="shared" si="24"/>
        <v>1</v>
      </c>
      <c r="F287" s="1">
        <f>_xlfn.XLOOKUP($C287, 'Instrument Table'!$B:$B, 'Instrument Table'!$A:$A, "")</f>
        <v>10</v>
      </c>
      <c r="G287" s="1" t="str">
        <f>TEXT(IF($B287 = "Retail Item", IF((ROW($A287) - 4504 - _xlfn.XMATCH($C287, $C$4506:$C$5005, 0, 1)) &lt;= VLOOKUP($C287, 'Instrument Table'!$B:$D, 3, FALSE), ROW($A287) - 4504 - _xlfn.XMATCH($C287, $C$4506:$C$5005, 0, 1), 0), 0), "00")</f>
        <v>00</v>
      </c>
      <c r="H287" s="1" t="str">
        <f t="shared" si="25"/>
        <v>281</v>
      </c>
      <c r="I287" s="1" t="str">
        <f t="shared" si="26"/>
        <v>11000-281</v>
      </c>
      <c r="J287" s="1" t="str">
        <f t="shared" si="27"/>
        <v>Grand piano production item #281</v>
      </c>
      <c r="K287" s="1" t="str">
        <f>IF(SUM(COUNTIFS(I:I, I287)) &gt; 1, "DUPLICATE", "UNIQUE")</f>
        <v>UNIQUE</v>
      </c>
      <c r="L287" s="18">
        <v>1</v>
      </c>
      <c r="M287" s="28">
        <v>13</v>
      </c>
      <c r="N287" s="6">
        <v>324</v>
      </c>
      <c r="O287" s="30">
        <f t="shared" si="28"/>
        <v>13</v>
      </c>
      <c r="P287" s="30">
        <f t="shared" si="29"/>
        <v>4212</v>
      </c>
      <c r="Q287" s="1">
        <f>COUNTIFS($P:$P, "&gt;" &amp; $P287) + 1</f>
        <v>2613</v>
      </c>
      <c r="R287" s="63">
        <f>(COUNTIFS($P:$P, "&gt;" &amp; $P287) + 1) / (COUNTA($I:$I) - 1)</f>
        <v>0.52259999999999995</v>
      </c>
      <c r="S287" s="23">
        <f>SUMIFS($P:$P, $Q:$Q, "&lt;" &amp; $Q287)</f>
        <v>183618325</v>
      </c>
    </row>
    <row r="288" spans="1:19" x14ac:dyDescent="0.25">
      <c r="A288" s="1">
        <v>283</v>
      </c>
      <c r="B288" s="1" t="s">
        <v>2</v>
      </c>
      <c r="C288" s="1" t="str">
        <f>IF($B288 = "Production Item", _xlfn.XLOOKUP($A288, 'Instrument Table'!$J:$J, 'Instrument Table'!$B:$B, $C287), IF($B288 = "Service Item", _xlfn.XLOOKUP($A288, 'Instrument Table'!$I:$I, 'Instrument Table'!$B:$B, $C287), _xlfn.XLOOKUP($A288, 'Instrument Table'!$H:$H, 'Instrument Table'!$B:$B, $C287)))</f>
        <v>Grand Piano</v>
      </c>
      <c r="D288" s="1" t="str">
        <f>VLOOKUP($C288, 'Instrument Table'!$B:$C, 2, FALSE)</f>
        <v>Pianos</v>
      </c>
      <c r="E288" s="1">
        <f t="shared" si="24"/>
        <v>1</v>
      </c>
      <c r="F288" s="1">
        <f>_xlfn.XLOOKUP($C288, 'Instrument Table'!$B:$B, 'Instrument Table'!$A:$A, "")</f>
        <v>10</v>
      </c>
      <c r="G288" s="1" t="str">
        <f>TEXT(IF($B288 = "Retail Item", IF((ROW($A288) - 4504 - _xlfn.XMATCH($C288, $C$4506:$C$5005, 0, 1)) &lt;= VLOOKUP($C288, 'Instrument Table'!$B:$D, 3, FALSE), ROW($A288) - 4504 - _xlfn.XMATCH($C288, $C$4506:$C$5005, 0, 1), 0), 0), "00")</f>
        <v>00</v>
      </c>
      <c r="H288" s="1" t="str">
        <f t="shared" si="25"/>
        <v>282</v>
      </c>
      <c r="I288" s="1" t="str">
        <f t="shared" si="26"/>
        <v>11000-282</v>
      </c>
      <c r="J288" s="1" t="str">
        <f t="shared" si="27"/>
        <v>Grand piano production item #282</v>
      </c>
      <c r="K288" s="1" t="str">
        <f>IF(SUM(COUNTIFS(I:I, I288)) &gt; 1, "DUPLICATE", "UNIQUE")</f>
        <v>UNIQUE</v>
      </c>
      <c r="L288" s="18">
        <v>1</v>
      </c>
      <c r="M288" s="28">
        <v>38</v>
      </c>
      <c r="N288" s="6">
        <v>289</v>
      </c>
      <c r="O288" s="30">
        <f t="shared" si="28"/>
        <v>38</v>
      </c>
      <c r="P288" s="30">
        <f t="shared" si="29"/>
        <v>10982</v>
      </c>
      <c r="Q288" s="1">
        <f>COUNTIFS($P:$P, "&gt;" &amp; $P288) + 1</f>
        <v>1686</v>
      </c>
      <c r="R288" s="63">
        <f>(COUNTIFS($P:$P, "&gt;" &amp; $P288) + 1) / (COUNTA($I:$I) - 1)</f>
        <v>0.3372</v>
      </c>
      <c r="S288" s="23">
        <f>SUMIFS($P:$P, $Q:$Q, "&lt;" &amp; $Q288)</f>
        <v>177060628</v>
      </c>
    </row>
    <row r="289" spans="1:19" x14ac:dyDescent="0.25">
      <c r="A289" s="1">
        <v>284</v>
      </c>
      <c r="B289" s="1" t="s">
        <v>2</v>
      </c>
      <c r="C289" s="1" t="str">
        <f>IF($B289 = "Production Item", _xlfn.XLOOKUP($A289, 'Instrument Table'!$J:$J, 'Instrument Table'!$B:$B, $C288), IF($B289 = "Service Item", _xlfn.XLOOKUP($A289, 'Instrument Table'!$I:$I, 'Instrument Table'!$B:$B, $C288), _xlfn.XLOOKUP($A289, 'Instrument Table'!$H:$H, 'Instrument Table'!$B:$B, $C288)))</f>
        <v>Grand Piano</v>
      </c>
      <c r="D289" s="1" t="str">
        <f>VLOOKUP($C289, 'Instrument Table'!$B:$C, 2, FALSE)</f>
        <v>Pianos</v>
      </c>
      <c r="E289" s="1">
        <f t="shared" si="24"/>
        <v>1</v>
      </c>
      <c r="F289" s="1">
        <f>_xlfn.XLOOKUP($C289, 'Instrument Table'!$B:$B, 'Instrument Table'!$A:$A, "")</f>
        <v>10</v>
      </c>
      <c r="G289" s="1" t="str">
        <f>TEXT(IF($B289 = "Retail Item", IF((ROW($A289) - 4504 - _xlfn.XMATCH($C289, $C$4506:$C$5005, 0, 1)) &lt;= VLOOKUP($C289, 'Instrument Table'!$B:$D, 3, FALSE), ROW($A289) - 4504 - _xlfn.XMATCH($C289, $C$4506:$C$5005, 0, 1), 0), 0), "00")</f>
        <v>00</v>
      </c>
      <c r="H289" s="1" t="str">
        <f t="shared" si="25"/>
        <v>283</v>
      </c>
      <c r="I289" s="1" t="str">
        <f t="shared" si="26"/>
        <v>11000-283</v>
      </c>
      <c r="J289" s="1" t="str">
        <f t="shared" si="27"/>
        <v>Grand piano production item #283</v>
      </c>
      <c r="K289" s="1" t="str">
        <f>IF(SUM(COUNTIFS(I:I, I289)) &gt; 1, "DUPLICATE", "UNIQUE")</f>
        <v>UNIQUE</v>
      </c>
      <c r="L289" s="18">
        <v>1</v>
      </c>
      <c r="M289" s="28">
        <v>54</v>
      </c>
      <c r="N289" s="6">
        <v>144</v>
      </c>
      <c r="O289" s="30">
        <f t="shared" si="28"/>
        <v>54</v>
      </c>
      <c r="P289" s="30">
        <f t="shared" si="29"/>
        <v>7776</v>
      </c>
      <c r="Q289" s="1">
        <f>COUNTIFS($P:$P, "&gt;" &amp; $P289) + 1</f>
        <v>2019</v>
      </c>
      <c r="R289" s="63">
        <f>(COUNTIFS($P:$P, "&gt;" &amp; $P289) + 1) / (COUNTA($I:$I) - 1)</f>
        <v>0.40379999999999999</v>
      </c>
      <c r="S289" s="23">
        <f>SUMIFS($P:$P, $Q:$Q, "&lt;" &amp; $Q289)</f>
        <v>180145621</v>
      </c>
    </row>
    <row r="290" spans="1:19" x14ac:dyDescent="0.25">
      <c r="A290" s="1">
        <v>285</v>
      </c>
      <c r="B290" s="1" t="s">
        <v>2</v>
      </c>
      <c r="C290" s="1" t="str">
        <f>IF($B290 = "Production Item", _xlfn.XLOOKUP($A290, 'Instrument Table'!$J:$J, 'Instrument Table'!$B:$B, $C289), IF($B290 = "Service Item", _xlfn.XLOOKUP($A290, 'Instrument Table'!$I:$I, 'Instrument Table'!$B:$B, $C289), _xlfn.XLOOKUP($A290, 'Instrument Table'!$H:$H, 'Instrument Table'!$B:$B, $C289)))</f>
        <v>Grand Piano</v>
      </c>
      <c r="D290" s="1" t="str">
        <f>VLOOKUP($C290, 'Instrument Table'!$B:$C, 2, FALSE)</f>
        <v>Pianos</v>
      </c>
      <c r="E290" s="1">
        <f t="shared" si="24"/>
        <v>1</v>
      </c>
      <c r="F290" s="1">
        <f>_xlfn.XLOOKUP($C290, 'Instrument Table'!$B:$B, 'Instrument Table'!$A:$A, "")</f>
        <v>10</v>
      </c>
      <c r="G290" s="1" t="str">
        <f>TEXT(IF($B290 = "Retail Item", IF((ROW($A290) - 4504 - _xlfn.XMATCH($C290, $C$4506:$C$5005, 0, 1)) &lt;= VLOOKUP($C290, 'Instrument Table'!$B:$D, 3, FALSE), ROW($A290) - 4504 - _xlfn.XMATCH($C290, $C$4506:$C$5005, 0, 1), 0), 0), "00")</f>
        <v>00</v>
      </c>
      <c r="H290" s="1" t="str">
        <f t="shared" si="25"/>
        <v>284</v>
      </c>
      <c r="I290" s="1" t="str">
        <f t="shared" si="26"/>
        <v>11000-284</v>
      </c>
      <c r="J290" s="1" t="str">
        <f t="shared" si="27"/>
        <v>Grand piano production item #284</v>
      </c>
      <c r="K290" s="1" t="str">
        <f>IF(SUM(COUNTIFS(I:I, I290)) &gt; 1, "DUPLICATE", "UNIQUE")</f>
        <v>UNIQUE</v>
      </c>
      <c r="L290" s="18">
        <v>8</v>
      </c>
      <c r="M290" s="28">
        <v>70</v>
      </c>
      <c r="N290" s="6">
        <v>0</v>
      </c>
      <c r="O290" s="30">
        <f t="shared" si="28"/>
        <v>560</v>
      </c>
      <c r="P290" s="30">
        <f t="shared" si="29"/>
        <v>0</v>
      </c>
      <c r="Q290" s="1">
        <f>COUNTIFS($P:$P, "&gt;" &amp; $P290) + 1</f>
        <v>4746</v>
      </c>
      <c r="R290" s="63">
        <f>(COUNTIFS($P:$P, "&gt;" &amp; $P290) + 1) / (COUNTA($I:$I) - 1)</f>
        <v>0.94920000000000004</v>
      </c>
      <c r="S290" s="23">
        <f>SUMIFS($P:$P, $Q:$Q, "&lt;" &amp; $Q290)</f>
        <v>186547861</v>
      </c>
    </row>
    <row r="291" spans="1:19" x14ac:dyDescent="0.25">
      <c r="A291" s="1">
        <v>286</v>
      </c>
      <c r="B291" s="1" t="s">
        <v>2</v>
      </c>
      <c r="C291" s="1" t="str">
        <f>IF($B291 = "Production Item", _xlfn.XLOOKUP($A291, 'Instrument Table'!$J:$J, 'Instrument Table'!$B:$B, $C290), IF($B291 = "Service Item", _xlfn.XLOOKUP($A291, 'Instrument Table'!$I:$I, 'Instrument Table'!$B:$B, $C290), _xlfn.XLOOKUP($A291, 'Instrument Table'!$H:$H, 'Instrument Table'!$B:$B, $C290)))</f>
        <v>Grand Piano</v>
      </c>
      <c r="D291" s="1" t="str">
        <f>VLOOKUP($C291, 'Instrument Table'!$B:$C, 2, FALSE)</f>
        <v>Pianos</v>
      </c>
      <c r="E291" s="1">
        <f t="shared" si="24"/>
        <v>1</v>
      </c>
      <c r="F291" s="1">
        <f>_xlfn.XLOOKUP($C291, 'Instrument Table'!$B:$B, 'Instrument Table'!$A:$A, "")</f>
        <v>10</v>
      </c>
      <c r="G291" s="1" t="str">
        <f>TEXT(IF($B291 = "Retail Item", IF((ROW($A291) - 4504 - _xlfn.XMATCH($C291, $C$4506:$C$5005, 0, 1)) &lt;= VLOOKUP($C291, 'Instrument Table'!$B:$D, 3, FALSE), ROW($A291) - 4504 - _xlfn.XMATCH($C291, $C$4506:$C$5005, 0, 1), 0), 0), "00")</f>
        <v>00</v>
      </c>
      <c r="H291" s="1" t="str">
        <f t="shared" si="25"/>
        <v>285</v>
      </c>
      <c r="I291" s="1" t="str">
        <f t="shared" si="26"/>
        <v>11000-285</v>
      </c>
      <c r="J291" s="1" t="str">
        <f t="shared" si="27"/>
        <v>Grand piano production item #285</v>
      </c>
      <c r="K291" s="1" t="str">
        <f>IF(SUM(COUNTIFS(I:I, I291)) &gt; 1, "DUPLICATE", "UNIQUE")</f>
        <v>UNIQUE</v>
      </c>
      <c r="L291" s="18">
        <v>1</v>
      </c>
      <c r="M291" s="28">
        <v>96</v>
      </c>
      <c r="N291" s="6">
        <v>81</v>
      </c>
      <c r="O291" s="30">
        <f t="shared" si="28"/>
        <v>96</v>
      </c>
      <c r="P291" s="30">
        <f t="shared" si="29"/>
        <v>7776</v>
      </c>
      <c r="Q291" s="1">
        <f>COUNTIFS($P:$P, "&gt;" &amp; $P291) + 1</f>
        <v>2019</v>
      </c>
      <c r="R291" s="63">
        <f>(COUNTIFS($P:$P, "&gt;" &amp; $P291) + 1) / (COUNTA($I:$I) - 1)</f>
        <v>0.40379999999999999</v>
      </c>
      <c r="S291" s="23">
        <f>SUMIFS($P:$P, $Q:$Q, "&lt;" &amp; $Q291)</f>
        <v>180145621</v>
      </c>
    </row>
    <row r="292" spans="1:19" x14ac:dyDescent="0.25">
      <c r="A292" s="1">
        <v>287</v>
      </c>
      <c r="B292" s="1" t="s">
        <v>2</v>
      </c>
      <c r="C292" s="1" t="str">
        <f>IF($B292 = "Production Item", _xlfn.XLOOKUP($A292, 'Instrument Table'!$J:$J, 'Instrument Table'!$B:$B, $C291), IF($B292 = "Service Item", _xlfn.XLOOKUP($A292, 'Instrument Table'!$I:$I, 'Instrument Table'!$B:$B, $C291), _xlfn.XLOOKUP($A292, 'Instrument Table'!$H:$H, 'Instrument Table'!$B:$B, $C291)))</f>
        <v>Grand Piano</v>
      </c>
      <c r="D292" s="1" t="str">
        <f>VLOOKUP($C292, 'Instrument Table'!$B:$C, 2, FALSE)</f>
        <v>Pianos</v>
      </c>
      <c r="E292" s="1">
        <f t="shared" si="24"/>
        <v>1</v>
      </c>
      <c r="F292" s="1">
        <f>_xlfn.XLOOKUP($C292, 'Instrument Table'!$B:$B, 'Instrument Table'!$A:$A, "")</f>
        <v>10</v>
      </c>
      <c r="G292" s="1" t="str">
        <f>TEXT(IF($B292 = "Retail Item", IF((ROW($A292) - 4504 - _xlfn.XMATCH($C292, $C$4506:$C$5005, 0, 1)) &lt;= VLOOKUP($C292, 'Instrument Table'!$B:$D, 3, FALSE), ROW($A292) - 4504 - _xlfn.XMATCH($C292, $C$4506:$C$5005, 0, 1), 0), 0), "00")</f>
        <v>00</v>
      </c>
      <c r="H292" s="1" t="str">
        <f t="shared" si="25"/>
        <v>286</v>
      </c>
      <c r="I292" s="1" t="str">
        <f t="shared" si="26"/>
        <v>11000-286</v>
      </c>
      <c r="J292" s="1" t="str">
        <f t="shared" si="27"/>
        <v>Grand piano production item #286</v>
      </c>
      <c r="K292" s="1" t="str">
        <f>IF(SUM(COUNTIFS(I:I, I292)) &gt; 1, "DUPLICATE", "UNIQUE")</f>
        <v>UNIQUE</v>
      </c>
      <c r="L292" s="18">
        <v>1</v>
      </c>
      <c r="M292" s="28">
        <v>37</v>
      </c>
      <c r="N292" s="6">
        <v>16</v>
      </c>
      <c r="O292" s="30">
        <f t="shared" si="28"/>
        <v>37</v>
      </c>
      <c r="P292" s="30">
        <f t="shared" si="29"/>
        <v>592</v>
      </c>
      <c r="Q292" s="1">
        <f>COUNTIFS($P:$P, "&gt;" &amp; $P292) + 1</f>
        <v>3947</v>
      </c>
      <c r="R292" s="63">
        <f>(COUNTIFS($P:$P, "&gt;" &amp; $P292) + 1) / (COUNTA($I:$I) - 1)</f>
        <v>0.78939999999999999</v>
      </c>
      <c r="S292" s="23">
        <f>SUMIFS($P:$P, $Q:$Q, "&lt;" &amp; $Q292)</f>
        <v>186368477</v>
      </c>
    </row>
    <row r="293" spans="1:19" x14ac:dyDescent="0.25">
      <c r="A293" s="1">
        <v>288</v>
      </c>
      <c r="B293" s="1" t="s">
        <v>2</v>
      </c>
      <c r="C293" s="1" t="str">
        <f>IF($B293 = "Production Item", _xlfn.XLOOKUP($A293, 'Instrument Table'!$J:$J, 'Instrument Table'!$B:$B, $C292), IF($B293 = "Service Item", _xlfn.XLOOKUP($A293, 'Instrument Table'!$I:$I, 'Instrument Table'!$B:$B, $C292), _xlfn.XLOOKUP($A293, 'Instrument Table'!$H:$H, 'Instrument Table'!$B:$B, $C292)))</f>
        <v>Grand Piano</v>
      </c>
      <c r="D293" s="1" t="str">
        <f>VLOOKUP($C293, 'Instrument Table'!$B:$C, 2, FALSE)</f>
        <v>Pianos</v>
      </c>
      <c r="E293" s="1">
        <f t="shared" si="24"/>
        <v>1</v>
      </c>
      <c r="F293" s="1">
        <f>_xlfn.XLOOKUP($C293, 'Instrument Table'!$B:$B, 'Instrument Table'!$A:$A, "")</f>
        <v>10</v>
      </c>
      <c r="G293" s="1" t="str">
        <f>TEXT(IF($B293 = "Retail Item", IF((ROW($A293) - 4504 - _xlfn.XMATCH($C293, $C$4506:$C$5005, 0, 1)) &lt;= VLOOKUP($C293, 'Instrument Table'!$B:$D, 3, FALSE), ROW($A293) - 4504 - _xlfn.XMATCH($C293, $C$4506:$C$5005, 0, 1), 0), 0), "00")</f>
        <v>00</v>
      </c>
      <c r="H293" s="1" t="str">
        <f t="shared" si="25"/>
        <v>287</v>
      </c>
      <c r="I293" s="1" t="str">
        <f t="shared" si="26"/>
        <v>11000-287</v>
      </c>
      <c r="J293" s="1" t="str">
        <f t="shared" si="27"/>
        <v>Grand piano production item #287</v>
      </c>
      <c r="K293" s="1" t="str">
        <f>IF(SUM(COUNTIFS(I:I, I293)) &gt; 1, "DUPLICATE", "UNIQUE")</f>
        <v>UNIQUE</v>
      </c>
      <c r="L293" s="18">
        <v>2</v>
      </c>
      <c r="M293" s="28">
        <v>32</v>
      </c>
      <c r="N293" s="6">
        <v>169</v>
      </c>
      <c r="O293" s="30">
        <f t="shared" si="28"/>
        <v>64</v>
      </c>
      <c r="P293" s="30">
        <f t="shared" si="29"/>
        <v>5408</v>
      </c>
      <c r="Q293" s="1">
        <f>COUNTIFS($P:$P, "&gt;" &amp; $P293) + 1</f>
        <v>2371</v>
      </c>
      <c r="R293" s="63">
        <f>(COUNTIFS($P:$P, "&gt;" &amp; $P293) + 1) / (COUNTA($I:$I) - 1)</f>
        <v>0.47420000000000001</v>
      </c>
      <c r="S293" s="23">
        <f>SUMIFS($P:$P, $Q:$Q, "&lt;" &amp; $Q293)</f>
        <v>182462339</v>
      </c>
    </row>
    <row r="294" spans="1:19" x14ac:dyDescent="0.25">
      <c r="A294" s="1">
        <v>289</v>
      </c>
      <c r="B294" s="1" t="s">
        <v>2</v>
      </c>
      <c r="C294" s="1" t="str">
        <f>IF($B294 = "Production Item", _xlfn.XLOOKUP($A294, 'Instrument Table'!$J:$J, 'Instrument Table'!$B:$B, $C293), IF($B294 = "Service Item", _xlfn.XLOOKUP($A294, 'Instrument Table'!$I:$I, 'Instrument Table'!$B:$B, $C293), _xlfn.XLOOKUP($A294, 'Instrument Table'!$H:$H, 'Instrument Table'!$B:$B, $C293)))</f>
        <v>Grand Piano</v>
      </c>
      <c r="D294" s="1" t="str">
        <f>VLOOKUP($C294, 'Instrument Table'!$B:$C, 2, FALSE)</f>
        <v>Pianos</v>
      </c>
      <c r="E294" s="1">
        <f t="shared" si="24"/>
        <v>1</v>
      </c>
      <c r="F294" s="1">
        <f>_xlfn.XLOOKUP($C294, 'Instrument Table'!$B:$B, 'Instrument Table'!$A:$A, "")</f>
        <v>10</v>
      </c>
      <c r="G294" s="1" t="str">
        <f>TEXT(IF($B294 = "Retail Item", IF((ROW($A294) - 4504 - _xlfn.XMATCH($C294, $C$4506:$C$5005, 0, 1)) &lt;= VLOOKUP($C294, 'Instrument Table'!$B:$D, 3, FALSE), ROW($A294) - 4504 - _xlfn.XMATCH($C294, $C$4506:$C$5005, 0, 1), 0), 0), "00")</f>
        <v>00</v>
      </c>
      <c r="H294" s="1" t="str">
        <f t="shared" si="25"/>
        <v>288</v>
      </c>
      <c r="I294" s="1" t="str">
        <f t="shared" si="26"/>
        <v>11000-288</v>
      </c>
      <c r="J294" s="1" t="str">
        <f t="shared" si="27"/>
        <v>Grand piano production item #288</v>
      </c>
      <c r="K294" s="1" t="str">
        <f>IF(SUM(COUNTIFS(I:I, I294)) &gt; 1, "DUPLICATE", "UNIQUE")</f>
        <v>UNIQUE</v>
      </c>
      <c r="L294" s="18">
        <v>0</v>
      </c>
      <c r="M294" s="28">
        <v>27</v>
      </c>
      <c r="N294" s="6">
        <v>324</v>
      </c>
      <c r="O294" s="30">
        <f t="shared" si="28"/>
        <v>0</v>
      </c>
      <c r="P294" s="30">
        <f t="shared" si="29"/>
        <v>8748</v>
      </c>
      <c r="Q294" s="1">
        <f>COUNTIFS($P:$P, "&gt;" &amp; $P294) + 1</f>
        <v>1906</v>
      </c>
      <c r="R294" s="63">
        <f>(COUNTIFS($P:$P, "&gt;" &amp; $P294) + 1) / (COUNTA($I:$I) - 1)</f>
        <v>0.38119999999999998</v>
      </c>
      <c r="S294" s="23">
        <f>SUMIFS($P:$P, $Q:$Q, "&lt;" &amp; $Q294)</f>
        <v>179216213</v>
      </c>
    </row>
    <row r="295" spans="1:19" x14ac:dyDescent="0.25">
      <c r="A295" s="1">
        <v>290</v>
      </c>
      <c r="B295" s="1" t="s">
        <v>2</v>
      </c>
      <c r="C295" s="1" t="str">
        <f>IF($B295 = "Production Item", _xlfn.XLOOKUP($A295, 'Instrument Table'!$J:$J, 'Instrument Table'!$B:$B, $C294), IF($B295 = "Service Item", _xlfn.XLOOKUP($A295, 'Instrument Table'!$I:$I, 'Instrument Table'!$B:$B, $C294), _xlfn.XLOOKUP($A295, 'Instrument Table'!$H:$H, 'Instrument Table'!$B:$B, $C294)))</f>
        <v>Grand Piano</v>
      </c>
      <c r="D295" s="1" t="str">
        <f>VLOOKUP($C295, 'Instrument Table'!$B:$C, 2, FALSE)</f>
        <v>Pianos</v>
      </c>
      <c r="E295" s="1">
        <f t="shared" si="24"/>
        <v>1</v>
      </c>
      <c r="F295" s="1">
        <f>_xlfn.XLOOKUP($C295, 'Instrument Table'!$B:$B, 'Instrument Table'!$A:$A, "")</f>
        <v>10</v>
      </c>
      <c r="G295" s="1" t="str">
        <f>TEXT(IF($B295 = "Retail Item", IF((ROW($A295) - 4504 - _xlfn.XMATCH($C295, $C$4506:$C$5005, 0, 1)) &lt;= VLOOKUP($C295, 'Instrument Table'!$B:$D, 3, FALSE), ROW($A295) - 4504 - _xlfn.XMATCH($C295, $C$4506:$C$5005, 0, 1), 0), 0), "00")</f>
        <v>00</v>
      </c>
      <c r="H295" s="1" t="str">
        <f t="shared" si="25"/>
        <v>289</v>
      </c>
      <c r="I295" s="1" t="str">
        <f t="shared" si="26"/>
        <v>11000-289</v>
      </c>
      <c r="J295" s="1" t="str">
        <f t="shared" si="27"/>
        <v>Grand piano production item #289</v>
      </c>
      <c r="K295" s="1" t="str">
        <f>IF(SUM(COUNTIFS(I:I, I295)) &gt; 1, "DUPLICATE", "UNIQUE")</f>
        <v>UNIQUE</v>
      </c>
      <c r="L295" s="18">
        <v>1</v>
      </c>
      <c r="M295" s="28">
        <v>96</v>
      </c>
      <c r="N295" s="6">
        <v>25</v>
      </c>
      <c r="O295" s="30">
        <f t="shared" si="28"/>
        <v>96</v>
      </c>
      <c r="P295" s="30">
        <f t="shared" si="29"/>
        <v>2400</v>
      </c>
      <c r="Q295" s="1">
        <f>COUNTIFS($P:$P, "&gt;" &amp; $P295) + 1</f>
        <v>3090</v>
      </c>
      <c r="R295" s="63">
        <f>(COUNTIFS($P:$P, "&gt;" &amp; $P295) + 1) / (COUNTA($I:$I) - 1)</f>
        <v>0.61799999999999999</v>
      </c>
      <c r="S295" s="23">
        <f>SUMIFS($P:$P, $Q:$Q, "&lt;" &amp; $Q295)</f>
        <v>185158622</v>
      </c>
    </row>
    <row r="296" spans="1:19" x14ac:dyDescent="0.25">
      <c r="A296" s="1">
        <v>291</v>
      </c>
      <c r="B296" s="1" t="s">
        <v>2</v>
      </c>
      <c r="C296" s="1" t="str">
        <f>IF($B296 = "Production Item", _xlfn.XLOOKUP($A296, 'Instrument Table'!$J:$J, 'Instrument Table'!$B:$B, $C295), IF($B296 = "Service Item", _xlfn.XLOOKUP($A296, 'Instrument Table'!$I:$I, 'Instrument Table'!$B:$B, $C295), _xlfn.XLOOKUP($A296, 'Instrument Table'!$H:$H, 'Instrument Table'!$B:$B, $C295)))</f>
        <v>Grand Piano</v>
      </c>
      <c r="D296" s="1" t="str">
        <f>VLOOKUP($C296, 'Instrument Table'!$B:$C, 2, FALSE)</f>
        <v>Pianos</v>
      </c>
      <c r="E296" s="1">
        <f t="shared" si="24"/>
        <v>1</v>
      </c>
      <c r="F296" s="1">
        <f>_xlfn.XLOOKUP($C296, 'Instrument Table'!$B:$B, 'Instrument Table'!$A:$A, "")</f>
        <v>10</v>
      </c>
      <c r="G296" s="1" t="str">
        <f>TEXT(IF($B296 = "Retail Item", IF((ROW($A296) - 4504 - _xlfn.XMATCH($C296, $C$4506:$C$5005, 0, 1)) &lt;= VLOOKUP($C296, 'Instrument Table'!$B:$D, 3, FALSE), ROW($A296) - 4504 - _xlfn.XMATCH($C296, $C$4506:$C$5005, 0, 1), 0), 0), "00")</f>
        <v>00</v>
      </c>
      <c r="H296" s="1" t="str">
        <f t="shared" si="25"/>
        <v>290</v>
      </c>
      <c r="I296" s="1" t="str">
        <f t="shared" si="26"/>
        <v>11000-290</v>
      </c>
      <c r="J296" s="1" t="str">
        <f t="shared" si="27"/>
        <v>Grand piano production item #290</v>
      </c>
      <c r="K296" s="1" t="str">
        <f>IF(SUM(COUNTIFS(I:I, I296)) &gt; 1, "DUPLICATE", "UNIQUE")</f>
        <v>UNIQUE</v>
      </c>
      <c r="L296" s="18">
        <v>1</v>
      </c>
      <c r="M296" s="28">
        <v>75</v>
      </c>
      <c r="N296" s="6">
        <v>324</v>
      </c>
      <c r="O296" s="30">
        <f t="shared" si="28"/>
        <v>75</v>
      </c>
      <c r="P296" s="30">
        <f t="shared" si="29"/>
        <v>24300</v>
      </c>
      <c r="Q296" s="1">
        <f>COUNTIFS($P:$P, "&gt;" &amp; $P296) + 1</f>
        <v>863</v>
      </c>
      <c r="R296" s="63">
        <f>(COUNTIFS($P:$P, "&gt;" &amp; $P296) + 1) / (COUNTA($I:$I) - 1)</f>
        <v>0.1726</v>
      </c>
      <c r="S296" s="23">
        <f>SUMIFS($P:$P, $Q:$Q, "&lt;" &amp; $Q296)</f>
        <v>163401697</v>
      </c>
    </row>
    <row r="297" spans="1:19" x14ac:dyDescent="0.25">
      <c r="A297" s="1">
        <v>292</v>
      </c>
      <c r="B297" s="1" t="s">
        <v>2</v>
      </c>
      <c r="C297" s="1" t="str">
        <f>IF($B297 = "Production Item", _xlfn.XLOOKUP($A297, 'Instrument Table'!$J:$J, 'Instrument Table'!$B:$B, $C296), IF($B297 = "Service Item", _xlfn.XLOOKUP($A297, 'Instrument Table'!$I:$I, 'Instrument Table'!$B:$B, $C296), _xlfn.XLOOKUP($A297, 'Instrument Table'!$H:$H, 'Instrument Table'!$B:$B, $C296)))</f>
        <v>Grand Piano</v>
      </c>
      <c r="D297" s="1" t="str">
        <f>VLOOKUP($C297, 'Instrument Table'!$B:$C, 2, FALSE)</f>
        <v>Pianos</v>
      </c>
      <c r="E297" s="1">
        <f t="shared" si="24"/>
        <v>1</v>
      </c>
      <c r="F297" s="1">
        <f>_xlfn.XLOOKUP($C297, 'Instrument Table'!$B:$B, 'Instrument Table'!$A:$A, "")</f>
        <v>10</v>
      </c>
      <c r="G297" s="1" t="str">
        <f>TEXT(IF($B297 = "Retail Item", IF((ROW($A297) - 4504 - _xlfn.XMATCH($C297, $C$4506:$C$5005, 0, 1)) &lt;= VLOOKUP($C297, 'Instrument Table'!$B:$D, 3, FALSE), ROW($A297) - 4504 - _xlfn.XMATCH($C297, $C$4506:$C$5005, 0, 1), 0), 0), "00")</f>
        <v>00</v>
      </c>
      <c r="H297" s="1" t="str">
        <f t="shared" si="25"/>
        <v>291</v>
      </c>
      <c r="I297" s="1" t="str">
        <f t="shared" si="26"/>
        <v>11000-291</v>
      </c>
      <c r="J297" s="1" t="str">
        <f t="shared" si="27"/>
        <v>Grand piano production item #291</v>
      </c>
      <c r="K297" s="1" t="str">
        <f>IF(SUM(COUNTIFS(I:I, I297)) &gt; 1, "DUPLICATE", "UNIQUE")</f>
        <v>UNIQUE</v>
      </c>
      <c r="L297" s="18">
        <v>0</v>
      </c>
      <c r="M297" s="28">
        <v>29</v>
      </c>
      <c r="N297" s="6">
        <v>196</v>
      </c>
      <c r="O297" s="30">
        <f t="shared" si="28"/>
        <v>0</v>
      </c>
      <c r="P297" s="30">
        <f t="shared" si="29"/>
        <v>5684</v>
      </c>
      <c r="Q297" s="1">
        <f>COUNTIFS($P:$P, "&gt;" &amp; $P297) + 1</f>
        <v>2322</v>
      </c>
      <c r="R297" s="63">
        <f>(COUNTIFS($P:$P, "&gt;" &amp; $P297) + 1) / (COUNTA($I:$I) - 1)</f>
        <v>0.46439999999999998</v>
      </c>
      <c r="S297" s="23">
        <f>SUMIFS($P:$P, $Q:$Q, "&lt;" &amp; $Q297)</f>
        <v>182190656</v>
      </c>
    </row>
    <row r="298" spans="1:19" x14ac:dyDescent="0.25">
      <c r="A298" s="1">
        <v>293</v>
      </c>
      <c r="B298" s="1" t="s">
        <v>2</v>
      </c>
      <c r="C298" s="1" t="str">
        <f>IF($B298 = "Production Item", _xlfn.XLOOKUP($A298, 'Instrument Table'!$J:$J, 'Instrument Table'!$B:$B, $C297), IF($B298 = "Service Item", _xlfn.XLOOKUP($A298, 'Instrument Table'!$I:$I, 'Instrument Table'!$B:$B, $C297), _xlfn.XLOOKUP($A298, 'Instrument Table'!$H:$H, 'Instrument Table'!$B:$B, $C297)))</f>
        <v>Grand Piano</v>
      </c>
      <c r="D298" s="1" t="str">
        <f>VLOOKUP($C298, 'Instrument Table'!$B:$C, 2, FALSE)</f>
        <v>Pianos</v>
      </c>
      <c r="E298" s="1">
        <f t="shared" si="24"/>
        <v>1</v>
      </c>
      <c r="F298" s="1">
        <f>_xlfn.XLOOKUP($C298, 'Instrument Table'!$B:$B, 'Instrument Table'!$A:$A, "")</f>
        <v>10</v>
      </c>
      <c r="G298" s="1" t="str">
        <f>TEXT(IF($B298 = "Retail Item", IF((ROW($A298) - 4504 - _xlfn.XMATCH($C298, $C$4506:$C$5005, 0, 1)) &lt;= VLOOKUP($C298, 'Instrument Table'!$B:$D, 3, FALSE), ROW($A298) - 4504 - _xlfn.XMATCH($C298, $C$4506:$C$5005, 0, 1), 0), 0), "00")</f>
        <v>00</v>
      </c>
      <c r="H298" s="1" t="str">
        <f t="shared" si="25"/>
        <v>292</v>
      </c>
      <c r="I298" s="1" t="str">
        <f t="shared" si="26"/>
        <v>11000-292</v>
      </c>
      <c r="J298" s="1" t="str">
        <f t="shared" si="27"/>
        <v>Grand piano production item #292</v>
      </c>
      <c r="K298" s="1" t="str">
        <f>IF(SUM(COUNTIFS(I:I, I298)) &gt; 1, "DUPLICATE", "UNIQUE")</f>
        <v>UNIQUE</v>
      </c>
      <c r="L298" s="18">
        <v>0</v>
      </c>
      <c r="M298" s="28">
        <v>9</v>
      </c>
      <c r="N298" s="6">
        <v>225</v>
      </c>
      <c r="O298" s="30">
        <f t="shared" si="28"/>
        <v>0</v>
      </c>
      <c r="P298" s="30">
        <f t="shared" si="29"/>
        <v>2025</v>
      </c>
      <c r="Q298" s="1">
        <f>COUNTIFS($P:$P, "&gt;" &amp; $P298) + 1</f>
        <v>3241</v>
      </c>
      <c r="R298" s="63">
        <f>(COUNTIFS($P:$P, "&gt;" &amp; $P298) + 1) / (COUNTA($I:$I) - 1)</f>
        <v>0.6482</v>
      </c>
      <c r="S298" s="23">
        <f>SUMIFS($P:$P, $Q:$Q, "&lt;" &amp; $Q298)</f>
        <v>185492863</v>
      </c>
    </row>
    <row r="299" spans="1:19" x14ac:dyDescent="0.25">
      <c r="A299" s="1">
        <v>294</v>
      </c>
      <c r="B299" s="1" t="s">
        <v>2</v>
      </c>
      <c r="C299" s="1" t="str">
        <f>IF($B299 = "Production Item", _xlfn.XLOOKUP($A299, 'Instrument Table'!$J:$J, 'Instrument Table'!$B:$B, $C298), IF($B299 = "Service Item", _xlfn.XLOOKUP($A299, 'Instrument Table'!$I:$I, 'Instrument Table'!$B:$B, $C298), _xlfn.XLOOKUP($A299, 'Instrument Table'!$H:$H, 'Instrument Table'!$B:$B, $C298)))</f>
        <v>Grand Piano</v>
      </c>
      <c r="D299" s="1" t="str">
        <f>VLOOKUP($C299, 'Instrument Table'!$B:$C, 2, FALSE)</f>
        <v>Pianos</v>
      </c>
      <c r="E299" s="1">
        <f t="shared" si="24"/>
        <v>1</v>
      </c>
      <c r="F299" s="1">
        <f>_xlfn.XLOOKUP($C299, 'Instrument Table'!$B:$B, 'Instrument Table'!$A:$A, "")</f>
        <v>10</v>
      </c>
      <c r="G299" s="1" t="str">
        <f>TEXT(IF($B299 = "Retail Item", IF((ROW($A299) - 4504 - _xlfn.XMATCH($C299, $C$4506:$C$5005, 0, 1)) &lt;= VLOOKUP($C299, 'Instrument Table'!$B:$D, 3, FALSE), ROW($A299) - 4504 - _xlfn.XMATCH($C299, $C$4506:$C$5005, 0, 1), 0), 0), "00")</f>
        <v>00</v>
      </c>
      <c r="H299" s="1" t="str">
        <f t="shared" si="25"/>
        <v>293</v>
      </c>
      <c r="I299" s="1" t="str">
        <f t="shared" si="26"/>
        <v>11000-293</v>
      </c>
      <c r="J299" s="1" t="str">
        <f t="shared" si="27"/>
        <v>Grand piano production item #293</v>
      </c>
      <c r="K299" s="1" t="str">
        <f>IF(SUM(COUNTIFS(I:I, I299)) &gt; 1, "DUPLICATE", "UNIQUE")</f>
        <v>UNIQUE</v>
      </c>
      <c r="L299" s="18">
        <v>0</v>
      </c>
      <c r="M299" s="28">
        <v>46</v>
      </c>
      <c r="N299" s="6">
        <v>256</v>
      </c>
      <c r="O299" s="30">
        <f t="shared" si="28"/>
        <v>0</v>
      </c>
      <c r="P299" s="30">
        <f t="shared" si="29"/>
        <v>11776</v>
      </c>
      <c r="Q299" s="1">
        <f>COUNTIFS($P:$P, "&gt;" &amp; $P299) + 1</f>
        <v>1598</v>
      </c>
      <c r="R299" s="63">
        <f>(COUNTIFS($P:$P, "&gt;" &amp; $P299) + 1) / (COUNTA($I:$I) - 1)</f>
        <v>0.3196</v>
      </c>
      <c r="S299" s="23">
        <f>SUMIFS($P:$P, $Q:$Q, "&lt;" &amp; $Q299)</f>
        <v>176055060</v>
      </c>
    </row>
    <row r="300" spans="1:19" x14ac:dyDescent="0.25">
      <c r="A300" s="1">
        <v>295</v>
      </c>
      <c r="B300" s="1" t="s">
        <v>2</v>
      </c>
      <c r="C300" s="1" t="str">
        <f>IF($B300 = "Production Item", _xlfn.XLOOKUP($A300, 'Instrument Table'!$J:$J, 'Instrument Table'!$B:$B, $C299), IF($B300 = "Service Item", _xlfn.XLOOKUP($A300, 'Instrument Table'!$I:$I, 'Instrument Table'!$B:$B, $C299), _xlfn.XLOOKUP($A300, 'Instrument Table'!$H:$H, 'Instrument Table'!$B:$B, $C299)))</f>
        <v>Grand Piano</v>
      </c>
      <c r="D300" s="1" t="str">
        <f>VLOOKUP($C300, 'Instrument Table'!$B:$C, 2, FALSE)</f>
        <v>Pianos</v>
      </c>
      <c r="E300" s="1">
        <f t="shared" si="24"/>
        <v>1</v>
      </c>
      <c r="F300" s="1">
        <f>_xlfn.XLOOKUP($C300, 'Instrument Table'!$B:$B, 'Instrument Table'!$A:$A, "")</f>
        <v>10</v>
      </c>
      <c r="G300" s="1" t="str">
        <f>TEXT(IF($B300 = "Retail Item", IF((ROW($A300) - 4504 - _xlfn.XMATCH($C300, $C$4506:$C$5005, 0, 1)) &lt;= VLOOKUP($C300, 'Instrument Table'!$B:$D, 3, FALSE), ROW($A300) - 4504 - _xlfn.XMATCH($C300, $C$4506:$C$5005, 0, 1), 0), 0), "00")</f>
        <v>00</v>
      </c>
      <c r="H300" s="1" t="str">
        <f t="shared" si="25"/>
        <v>294</v>
      </c>
      <c r="I300" s="1" t="str">
        <f t="shared" si="26"/>
        <v>11000-294</v>
      </c>
      <c r="J300" s="1" t="str">
        <f t="shared" si="27"/>
        <v>Grand piano production item #294</v>
      </c>
      <c r="K300" s="1" t="str">
        <f>IF(SUM(COUNTIFS(I:I, I300)) &gt; 1, "DUPLICATE", "UNIQUE")</f>
        <v>UNIQUE</v>
      </c>
      <c r="L300" s="18">
        <v>0</v>
      </c>
      <c r="M300" s="28">
        <v>26</v>
      </c>
      <c r="N300" s="6">
        <v>49</v>
      </c>
      <c r="O300" s="30">
        <f t="shared" si="28"/>
        <v>0</v>
      </c>
      <c r="P300" s="30">
        <f t="shared" si="29"/>
        <v>1274</v>
      </c>
      <c r="Q300" s="1">
        <f>COUNTIFS($P:$P, "&gt;" &amp; $P300) + 1</f>
        <v>3579</v>
      </c>
      <c r="R300" s="63">
        <f>(COUNTIFS($P:$P, "&gt;" &amp; $P300) + 1) / (COUNTA($I:$I) - 1)</f>
        <v>0.71579999999999999</v>
      </c>
      <c r="S300" s="23">
        <f>SUMIFS($P:$P, $Q:$Q, "&lt;" &amp; $Q300)</f>
        <v>186043798</v>
      </c>
    </row>
    <row r="301" spans="1:19" x14ac:dyDescent="0.25">
      <c r="A301" s="1">
        <v>296</v>
      </c>
      <c r="B301" s="1" t="s">
        <v>2</v>
      </c>
      <c r="C301" s="1" t="str">
        <f>IF($B301 = "Production Item", _xlfn.XLOOKUP($A301, 'Instrument Table'!$J:$J, 'Instrument Table'!$B:$B, $C300), IF($B301 = "Service Item", _xlfn.XLOOKUP($A301, 'Instrument Table'!$I:$I, 'Instrument Table'!$B:$B, $C300), _xlfn.XLOOKUP($A301, 'Instrument Table'!$H:$H, 'Instrument Table'!$B:$B, $C300)))</f>
        <v>Grand Piano</v>
      </c>
      <c r="D301" s="1" t="str">
        <f>VLOOKUP($C301, 'Instrument Table'!$B:$C, 2, FALSE)</f>
        <v>Pianos</v>
      </c>
      <c r="E301" s="1">
        <f t="shared" si="24"/>
        <v>1</v>
      </c>
      <c r="F301" s="1">
        <f>_xlfn.XLOOKUP($C301, 'Instrument Table'!$B:$B, 'Instrument Table'!$A:$A, "")</f>
        <v>10</v>
      </c>
      <c r="G301" s="1" t="str">
        <f>TEXT(IF($B301 = "Retail Item", IF((ROW($A301) - 4504 - _xlfn.XMATCH($C301, $C$4506:$C$5005, 0, 1)) &lt;= VLOOKUP($C301, 'Instrument Table'!$B:$D, 3, FALSE), ROW($A301) - 4504 - _xlfn.XMATCH($C301, $C$4506:$C$5005, 0, 1), 0), 0), "00")</f>
        <v>00</v>
      </c>
      <c r="H301" s="1" t="str">
        <f t="shared" si="25"/>
        <v>295</v>
      </c>
      <c r="I301" s="1" t="str">
        <f t="shared" si="26"/>
        <v>11000-295</v>
      </c>
      <c r="J301" s="1" t="str">
        <f t="shared" si="27"/>
        <v>Grand piano production item #295</v>
      </c>
      <c r="K301" s="1" t="str">
        <f>IF(SUM(COUNTIFS(I:I, I301)) &gt; 1, "DUPLICATE", "UNIQUE")</f>
        <v>UNIQUE</v>
      </c>
      <c r="L301" s="18">
        <v>32</v>
      </c>
      <c r="M301" s="28">
        <v>30</v>
      </c>
      <c r="N301" s="6">
        <v>324</v>
      </c>
      <c r="O301" s="30">
        <f t="shared" si="28"/>
        <v>960</v>
      </c>
      <c r="P301" s="30">
        <f t="shared" si="29"/>
        <v>9720</v>
      </c>
      <c r="Q301" s="1">
        <f>COUNTIFS($P:$P, "&gt;" &amp; $P301) + 1</f>
        <v>1795</v>
      </c>
      <c r="R301" s="63">
        <f>(COUNTIFS($P:$P, "&gt;" &amp; $P301) + 1) / (COUNTA($I:$I) - 1)</f>
        <v>0.35899999999999999</v>
      </c>
      <c r="S301" s="23">
        <f>SUMIFS($P:$P, $Q:$Q, "&lt;" &amp; $Q301)</f>
        <v>178192728</v>
      </c>
    </row>
    <row r="302" spans="1:19" x14ac:dyDescent="0.25">
      <c r="A302" s="1">
        <v>297</v>
      </c>
      <c r="B302" s="1" t="s">
        <v>2</v>
      </c>
      <c r="C302" s="1" t="str">
        <f>IF($B302 = "Production Item", _xlfn.XLOOKUP($A302, 'Instrument Table'!$J:$J, 'Instrument Table'!$B:$B, $C301), IF($B302 = "Service Item", _xlfn.XLOOKUP($A302, 'Instrument Table'!$I:$I, 'Instrument Table'!$B:$B, $C301), _xlfn.XLOOKUP($A302, 'Instrument Table'!$H:$H, 'Instrument Table'!$B:$B, $C301)))</f>
        <v>Grand Piano</v>
      </c>
      <c r="D302" s="1" t="str">
        <f>VLOOKUP($C302, 'Instrument Table'!$B:$C, 2, FALSE)</f>
        <v>Pianos</v>
      </c>
      <c r="E302" s="1">
        <f t="shared" si="24"/>
        <v>1</v>
      </c>
      <c r="F302" s="1">
        <f>_xlfn.XLOOKUP($C302, 'Instrument Table'!$B:$B, 'Instrument Table'!$A:$A, "")</f>
        <v>10</v>
      </c>
      <c r="G302" s="1" t="str">
        <f>TEXT(IF($B302 = "Retail Item", IF((ROW($A302) - 4504 - _xlfn.XMATCH($C302, $C$4506:$C$5005, 0, 1)) &lt;= VLOOKUP($C302, 'Instrument Table'!$B:$D, 3, FALSE), ROW($A302) - 4504 - _xlfn.XMATCH($C302, $C$4506:$C$5005, 0, 1), 0), 0), "00")</f>
        <v>00</v>
      </c>
      <c r="H302" s="1" t="str">
        <f t="shared" si="25"/>
        <v>296</v>
      </c>
      <c r="I302" s="1" t="str">
        <f t="shared" si="26"/>
        <v>11000-296</v>
      </c>
      <c r="J302" s="1" t="str">
        <f t="shared" si="27"/>
        <v>Grand piano production item #296</v>
      </c>
      <c r="K302" s="1" t="str">
        <f>IF(SUM(COUNTIFS(I:I, I302)) &gt; 1, "DUPLICATE", "UNIQUE")</f>
        <v>UNIQUE</v>
      </c>
      <c r="L302" s="18">
        <v>1</v>
      </c>
      <c r="M302" s="28">
        <v>78</v>
      </c>
      <c r="N302" s="6">
        <v>25</v>
      </c>
      <c r="O302" s="30">
        <f t="shared" si="28"/>
        <v>78</v>
      </c>
      <c r="P302" s="30">
        <f t="shared" si="29"/>
        <v>1950</v>
      </c>
      <c r="Q302" s="1">
        <f>COUNTIFS($P:$P, "&gt;" &amp; $P302) + 1</f>
        <v>3274</v>
      </c>
      <c r="R302" s="63">
        <f>(COUNTIFS($P:$P, "&gt;" &amp; $P302) + 1) / (COUNTA($I:$I) - 1)</f>
        <v>0.65480000000000005</v>
      </c>
      <c r="S302" s="23">
        <f>SUMIFS($P:$P, $Q:$Q, "&lt;" &amp; $Q302)</f>
        <v>185558900</v>
      </c>
    </row>
    <row r="303" spans="1:19" x14ac:dyDescent="0.25">
      <c r="A303" s="1">
        <v>298</v>
      </c>
      <c r="B303" s="1" t="s">
        <v>2</v>
      </c>
      <c r="C303" s="1" t="str">
        <f>IF($B303 = "Production Item", _xlfn.XLOOKUP($A303, 'Instrument Table'!$J:$J, 'Instrument Table'!$B:$B, $C302), IF($B303 = "Service Item", _xlfn.XLOOKUP($A303, 'Instrument Table'!$I:$I, 'Instrument Table'!$B:$B, $C302), _xlfn.XLOOKUP($A303, 'Instrument Table'!$H:$H, 'Instrument Table'!$B:$B, $C302)))</f>
        <v>Grand Piano</v>
      </c>
      <c r="D303" s="1" t="str">
        <f>VLOOKUP($C303, 'Instrument Table'!$B:$C, 2, FALSE)</f>
        <v>Pianos</v>
      </c>
      <c r="E303" s="1">
        <f t="shared" si="24"/>
        <v>1</v>
      </c>
      <c r="F303" s="1">
        <f>_xlfn.XLOOKUP($C303, 'Instrument Table'!$B:$B, 'Instrument Table'!$A:$A, "")</f>
        <v>10</v>
      </c>
      <c r="G303" s="1" t="str">
        <f>TEXT(IF($B303 = "Retail Item", IF((ROW($A303) - 4504 - _xlfn.XMATCH($C303, $C$4506:$C$5005, 0, 1)) &lt;= VLOOKUP($C303, 'Instrument Table'!$B:$D, 3, FALSE), ROW($A303) - 4504 - _xlfn.XMATCH($C303, $C$4506:$C$5005, 0, 1), 0), 0), "00")</f>
        <v>00</v>
      </c>
      <c r="H303" s="1" t="str">
        <f t="shared" si="25"/>
        <v>297</v>
      </c>
      <c r="I303" s="1" t="str">
        <f t="shared" si="26"/>
        <v>11000-297</v>
      </c>
      <c r="J303" s="1" t="str">
        <f t="shared" si="27"/>
        <v>Grand piano production item #297</v>
      </c>
      <c r="K303" s="1" t="str">
        <f>IF(SUM(COUNTIFS(I:I, I303)) &gt; 1, "DUPLICATE", "UNIQUE")</f>
        <v>UNIQUE</v>
      </c>
      <c r="L303" s="18">
        <v>1</v>
      </c>
      <c r="M303" s="28">
        <v>47</v>
      </c>
      <c r="N303" s="6">
        <v>324</v>
      </c>
      <c r="O303" s="30">
        <f t="shared" si="28"/>
        <v>47</v>
      </c>
      <c r="P303" s="30">
        <f t="shared" si="29"/>
        <v>15228</v>
      </c>
      <c r="Q303" s="1">
        <f>COUNTIFS($P:$P, "&gt;" &amp; $P303) + 1</f>
        <v>1333</v>
      </c>
      <c r="R303" s="63">
        <f>(COUNTIFS($P:$P, "&gt;" &amp; $P303) + 1) / (COUNTA($I:$I) - 1)</f>
        <v>0.2666</v>
      </c>
      <c r="S303" s="23">
        <f>SUMIFS($P:$P, $Q:$Q, "&lt;" &amp; $Q303)</f>
        <v>172485652</v>
      </c>
    </row>
    <row r="304" spans="1:19" x14ac:dyDescent="0.25">
      <c r="A304" s="1">
        <v>299</v>
      </c>
      <c r="B304" s="1" t="s">
        <v>2</v>
      </c>
      <c r="C304" s="1" t="str">
        <f>IF($B304 = "Production Item", _xlfn.XLOOKUP($A304, 'Instrument Table'!$J:$J, 'Instrument Table'!$B:$B, $C303), IF($B304 = "Service Item", _xlfn.XLOOKUP($A304, 'Instrument Table'!$I:$I, 'Instrument Table'!$B:$B, $C303), _xlfn.XLOOKUP($A304, 'Instrument Table'!$H:$H, 'Instrument Table'!$B:$B, $C303)))</f>
        <v>Grand Piano</v>
      </c>
      <c r="D304" s="1" t="str">
        <f>VLOOKUP($C304, 'Instrument Table'!$B:$C, 2, FALSE)</f>
        <v>Pianos</v>
      </c>
      <c r="E304" s="1">
        <f t="shared" si="24"/>
        <v>1</v>
      </c>
      <c r="F304" s="1">
        <f>_xlfn.XLOOKUP($C304, 'Instrument Table'!$B:$B, 'Instrument Table'!$A:$A, "")</f>
        <v>10</v>
      </c>
      <c r="G304" s="1" t="str">
        <f>TEXT(IF($B304 = "Retail Item", IF((ROW($A304) - 4504 - _xlfn.XMATCH($C304, $C$4506:$C$5005, 0, 1)) &lt;= VLOOKUP($C304, 'Instrument Table'!$B:$D, 3, FALSE), ROW($A304) - 4504 - _xlfn.XMATCH($C304, $C$4506:$C$5005, 0, 1), 0), 0), "00")</f>
        <v>00</v>
      </c>
      <c r="H304" s="1" t="str">
        <f t="shared" si="25"/>
        <v>298</v>
      </c>
      <c r="I304" s="1" t="str">
        <f t="shared" si="26"/>
        <v>11000-298</v>
      </c>
      <c r="J304" s="1" t="str">
        <f t="shared" si="27"/>
        <v>Grand piano production item #298</v>
      </c>
      <c r="K304" s="1" t="str">
        <f>IF(SUM(COUNTIFS(I:I, I304)) &gt; 1, "DUPLICATE", "UNIQUE")</f>
        <v>UNIQUE</v>
      </c>
      <c r="L304" s="18">
        <v>16</v>
      </c>
      <c r="M304" s="28">
        <v>50</v>
      </c>
      <c r="N304" s="6">
        <v>4</v>
      </c>
      <c r="O304" s="30">
        <f t="shared" si="28"/>
        <v>800</v>
      </c>
      <c r="P304" s="30">
        <f t="shared" si="29"/>
        <v>200</v>
      </c>
      <c r="Q304" s="1">
        <f>COUNTIFS($P:$P, "&gt;" &amp; $P304) + 1</f>
        <v>4322</v>
      </c>
      <c r="R304" s="63">
        <f>(COUNTIFS($P:$P, "&gt;" &amp; $P304) + 1) / (COUNTA($I:$I) - 1)</f>
        <v>0.86439999999999995</v>
      </c>
      <c r="S304" s="23">
        <f>SUMIFS($P:$P, $Q:$Q, "&lt;" &amp; $Q304)</f>
        <v>186512097</v>
      </c>
    </row>
    <row r="305" spans="1:19" x14ac:dyDescent="0.25">
      <c r="A305" s="1">
        <v>300</v>
      </c>
      <c r="B305" s="1" t="s">
        <v>2</v>
      </c>
      <c r="C305" s="1" t="str">
        <f>IF($B305 = "Production Item", _xlfn.XLOOKUP($A305, 'Instrument Table'!$J:$J, 'Instrument Table'!$B:$B, $C304), IF($B305 = "Service Item", _xlfn.XLOOKUP($A305, 'Instrument Table'!$I:$I, 'Instrument Table'!$B:$B, $C304), _xlfn.XLOOKUP($A305, 'Instrument Table'!$H:$H, 'Instrument Table'!$B:$B, $C304)))</f>
        <v>Grand Piano</v>
      </c>
      <c r="D305" s="1" t="str">
        <f>VLOOKUP($C305, 'Instrument Table'!$B:$C, 2, FALSE)</f>
        <v>Pianos</v>
      </c>
      <c r="E305" s="1">
        <f t="shared" si="24"/>
        <v>1</v>
      </c>
      <c r="F305" s="1">
        <f>_xlfn.XLOOKUP($C305, 'Instrument Table'!$B:$B, 'Instrument Table'!$A:$A, "")</f>
        <v>10</v>
      </c>
      <c r="G305" s="1" t="str">
        <f>TEXT(IF($B305 = "Retail Item", IF((ROW($A305) - 4504 - _xlfn.XMATCH($C305, $C$4506:$C$5005, 0, 1)) &lt;= VLOOKUP($C305, 'Instrument Table'!$B:$D, 3, FALSE), ROW($A305) - 4504 - _xlfn.XMATCH($C305, $C$4506:$C$5005, 0, 1), 0), 0), "00")</f>
        <v>00</v>
      </c>
      <c r="H305" s="1" t="str">
        <f t="shared" si="25"/>
        <v>299</v>
      </c>
      <c r="I305" s="1" t="str">
        <f t="shared" si="26"/>
        <v>11000-299</v>
      </c>
      <c r="J305" s="1" t="str">
        <f t="shared" si="27"/>
        <v>Grand piano production item #299</v>
      </c>
      <c r="K305" s="1" t="str">
        <f>IF(SUM(COUNTIFS(I:I, I305)) &gt; 1, "DUPLICATE", "UNIQUE")</f>
        <v>UNIQUE</v>
      </c>
      <c r="L305" s="18">
        <v>8</v>
      </c>
      <c r="M305" s="28">
        <v>85</v>
      </c>
      <c r="N305" s="6">
        <v>25</v>
      </c>
      <c r="O305" s="30">
        <f t="shared" si="28"/>
        <v>680</v>
      </c>
      <c r="P305" s="30">
        <f t="shared" si="29"/>
        <v>2125</v>
      </c>
      <c r="Q305" s="1">
        <f>COUNTIFS($P:$P, "&gt;" &amp; $P305) + 1</f>
        <v>3189</v>
      </c>
      <c r="R305" s="63">
        <f>(COUNTIFS($P:$P, "&gt;" &amp; $P305) + 1) / (COUNTA($I:$I) - 1)</f>
        <v>0.63780000000000003</v>
      </c>
      <c r="S305" s="23">
        <f>SUMIFS($P:$P, $Q:$Q, "&lt;" &amp; $Q305)</f>
        <v>185384306</v>
      </c>
    </row>
    <row r="306" spans="1:19" x14ac:dyDescent="0.25">
      <c r="A306" s="1">
        <v>301</v>
      </c>
      <c r="B306" s="1" t="s">
        <v>2</v>
      </c>
      <c r="C306" s="1" t="str">
        <f>IF($B306 = "Production Item", _xlfn.XLOOKUP($A306, 'Instrument Table'!$J:$J, 'Instrument Table'!$B:$B, $C305), IF($B306 = "Service Item", _xlfn.XLOOKUP($A306, 'Instrument Table'!$I:$I, 'Instrument Table'!$B:$B, $C305), _xlfn.XLOOKUP($A306, 'Instrument Table'!$H:$H, 'Instrument Table'!$B:$B, $C305)))</f>
        <v>Grand Piano</v>
      </c>
      <c r="D306" s="1" t="str">
        <f>VLOOKUP($C306, 'Instrument Table'!$B:$C, 2, FALSE)</f>
        <v>Pianos</v>
      </c>
      <c r="E306" s="1">
        <f t="shared" si="24"/>
        <v>1</v>
      </c>
      <c r="F306" s="1">
        <f>_xlfn.XLOOKUP($C306, 'Instrument Table'!$B:$B, 'Instrument Table'!$A:$A, "")</f>
        <v>10</v>
      </c>
      <c r="G306" s="1" t="str">
        <f>TEXT(IF($B306 = "Retail Item", IF((ROW($A306) - 4504 - _xlfn.XMATCH($C306, $C$4506:$C$5005, 0, 1)) &lt;= VLOOKUP($C306, 'Instrument Table'!$B:$D, 3, FALSE), ROW($A306) - 4504 - _xlfn.XMATCH($C306, $C$4506:$C$5005, 0, 1), 0), 0), "00")</f>
        <v>00</v>
      </c>
      <c r="H306" s="1" t="str">
        <f t="shared" si="25"/>
        <v>300</v>
      </c>
      <c r="I306" s="1" t="str">
        <f t="shared" si="26"/>
        <v>11000-300</v>
      </c>
      <c r="J306" s="1" t="str">
        <f t="shared" si="27"/>
        <v>Grand piano production item #300</v>
      </c>
      <c r="K306" s="1" t="str">
        <f>IF(SUM(COUNTIFS(I:I, I306)) &gt; 1, "DUPLICATE", "UNIQUE")</f>
        <v>UNIQUE</v>
      </c>
      <c r="L306" s="18">
        <v>0</v>
      </c>
      <c r="M306" s="28">
        <v>25</v>
      </c>
      <c r="N306" s="6">
        <v>100</v>
      </c>
      <c r="O306" s="30">
        <f t="shared" si="28"/>
        <v>0</v>
      </c>
      <c r="P306" s="30">
        <f t="shared" si="29"/>
        <v>2500</v>
      </c>
      <c r="Q306" s="1">
        <f>COUNTIFS($P:$P, "&gt;" &amp; $P306) + 1</f>
        <v>3044</v>
      </c>
      <c r="R306" s="63">
        <f>(COUNTIFS($P:$P, "&gt;" &amp; $P306) + 1) / (COUNTA($I:$I) - 1)</f>
        <v>0.60880000000000001</v>
      </c>
      <c r="S306" s="23">
        <f>SUMIFS($P:$P, $Q:$Q, "&lt;" &amp; $Q306)</f>
        <v>185045549</v>
      </c>
    </row>
    <row r="307" spans="1:19" x14ac:dyDescent="0.25">
      <c r="A307" s="1">
        <v>302</v>
      </c>
      <c r="B307" s="1" t="s">
        <v>2</v>
      </c>
      <c r="C307" s="1" t="str">
        <f>IF($B307 = "Production Item", _xlfn.XLOOKUP($A307, 'Instrument Table'!$J:$J, 'Instrument Table'!$B:$B, $C306), IF($B307 = "Service Item", _xlfn.XLOOKUP($A307, 'Instrument Table'!$I:$I, 'Instrument Table'!$B:$B, $C306), _xlfn.XLOOKUP($A307, 'Instrument Table'!$H:$H, 'Instrument Table'!$B:$B, $C306)))</f>
        <v>Grand Piano</v>
      </c>
      <c r="D307" s="1" t="str">
        <f>VLOOKUP($C307, 'Instrument Table'!$B:$C, 2, FALSE)</f>
        <v>Pianos</v>
      </c>
      <c r="E307" s="1">
        <f t="shared" si="24"/>
        <v>1</v>
      </c>
      <c r="F307" s="1">
        <f>_xlfn.XLOOKUP($C307, 'Instrument Table'!$B:$B, 'Instrument Table'!$A:$A, "")</f>
        <v>10</v>
      </c>
      <c r="G307" s="1" t="str">
        <f>TEXT(IF($B307 = "Retail Item", IF((ROW($A307) - 4504 - _xlfn.XMATCH($C307, $C$4506:$C$5005, 0, 1)) &lt;= VLOOKUP($C307, 'Instrument Table'!$B:$D, 3, FALSE), ROW($A307) - 4504 - _xlfn.XMATCH($C307, $C$4506:$C$5005, 0, 1), 0), 0), "00")</f>
        <v>00</v>
      </c>
      <c r="H307" s="1" t="str">
        <f t="shared" si="25"/>
        <v>301</v>
      </c>
      <c r="I307" s="1" t="str">
        <f t="shared" si="26"/>
        <v>11000-301</v>
      </c>
      <c r="J307" s="1" t="str">
        <f t="shared" si="27"/>
        <v>Grand piano production item #301</v>
      </c>
      <c r="K307" s="1" t="str">
        <f>IF(SUM(COUNTIFS(I:I, I307)) &gt; 1, "DUPLICATE", "UNIQUE")</f>
        <v>UNIQUE</v>
      </c>
      <c r="L307" s="18">
        <v>0</v>
      </c>
      <c r="M307" s="28">
        <v>87</v>
      </c>
      <c r="N307" s="6">
        <v>36</v>
      </c>
      <c r="O307" s="30">
        <f t="shared" si="28"/>
        <v>0</v>
      </c>
      <c r="P307" s="30">
        <f t="shared" si="29"/>
        <v>3132</v>
      </c>
      <c r="Q307" s="1">
        <f>COUNTIFS($P:$P, "&gt;" &amp; $P307) + 1</f>
        <v>2878</v>
      </c>
      <c r="R307" s="63">
        <f>(COUNTIFS($P:$P, "&gt;" &amp; $P307) + 1) / (COUNTA($I:$I) - 1)</f>
        <v>0.5756</v>
      </c>
      <c r="S307" s="23">
        <f>SUMIFS($P:$P, $Q:$Q, "&lt;" &amp; $Q307)</f>
        <v>184580770</v>
      </c>
    </row>
    <row r="308" spans="1:19" x14ac:dyDescent="0.25">
      <c r="A308" s="1">
        <v>303</v>
      </c>
      <c r="B308" s="1" t="s">
        <v>2</v>
      </c>
      <c r="C308" s="1" t="str">
        <f>IF($B308 = "Production Item", _xlfn.XLOOKUP($A308, 'Instrument Table'!$J:$J, 'Instrument Table'!$B:$B, $C307), IF($B308 = "Service Item", _xlfn.XLOOKUP($A308, 'Instrument Table'!$I:$I, 'Instrument Table'!$B:$B, $C307), _xlfn.XLOOKUP($A308, 'Instrument Table'!$H:$H, 'Instrument Table'!$B:$B, $C307)))</f>
        <v>Grand Piano</v>
      </c>
      <c r="D308" s="1" t="str">
        <f>VLOOKUP($C308, 'Instrument Table'!$B:$C, 2, FALSE)</f>
        <v>Pianos</v>
      </c>
      <c r="E308" s="1">
        <f t="shared" si="24"/>
        <v>1</v>
      </c>
      <c r="F308" s="1">
        <f>_xlfn.XLOOKUP($C308, 'Instrument Table'!$B:$B, 'Instrument Table'!$A:$A, "")</f>
        <v>10</v>
      </c>
      <c r="G308" s="1" t="str">
        <f>TEXT(IF($B308 = "Retail Item", IF((ROW($A308) - 4504 - _xlfn.XMATCH($C308, $C$4506:$C$5005, 0, 1)) &lt;= VLOOKUP($C308, 'Instrument Table'!$B:$D, 3, FALSE), ROW($A308) - 4504 - _xlfn.XMATCH($C308, $C$4506:$C$5005, 0, 1), 0), 0), "00")</f>
        <v>00</v>
      </c>
      <c r="H308" s="1" t="str">
        <f t="shared" si="25"/>
        <v>302</v>
      </c>
      <c r="I308" s="1" t="str">
        <f t="shared" si="26"/>
        <v>11000-302</v>
      </c>
      <c r="J308" s="1" t="str">
        <f t="shared" si="27"/>
        <v>Grand piano production item #302</v>
      </c>
      <c r="K308" s="1" t="str">
        <f>IF(SUM(COUNTIFS(I:I, I308)) &gt; 1, "DUPLICATE", "UNIQUE")</f>
        <v>UNIQUE</v>
      </c>
      <c r="L308" s="18">
        <v>4</v>
      </c>
      <c r="M308" s="28">
        <v>57</v>
      </c>
      <c r="N308" s="6">
        <v>100</v>
      </c>
      <c r="O308" s="30">
        <f t="shared" si="28"/>
        <v>228</v>
      </c>
      <c r="P308" s="30">
        <f t="shared" si="29"/>
        <v>5700</v>
      </c>
      <c r="Q308" s="1">
        <f>COUNTIFS($P:$P, "&gt;" &amp; $P308) + 1</f>
        <v>2315</v>
      </c>
      <c r="R308" s="63">
        <f>(COUNTIFS($P:$P, "&gt;" &amp; $P308) + 1) / (COUNTA($I:$I) - 1)</f>
        <v>0.46300000000000002</v>
      </c>
      <c r="S308" s="23">
        <f>SUMIFS($P:$P, $Q:$Q, "&lt;" &amp; $Q308)</f>
        <v>182150773</v>
      </c>
    </row>
    <row r="309" spans="1:19" x14ac:dyDescent="0.25">
      <c r="A309" s="1">
        <v>304</v>
      </c>
      <c r="B309" s="1" t="s">
        <v>2</v>
      </c>
      <c r="C309" s="1" t="str">
        <f>IF($B309 = "Production Item", _xlfn.XLOOKUP($A309, 'Instrument Table'!$J:$J, 'Instrument Table'!$B:$B, $C308), IF($B309 = "Service Item", _xlfn.XLOOKUP($A309, 'Instrument Table'!$I:$I, 'Instrument Table'!$B:$B, $C308), _xlfn.XLOOKUP($A309, 'Instrument Table'!$H:$H, 'Instrument Table'!$B:$B, $C308)))</f>
        <v>Grand Piano</v>
      </c>
      <c r="D309" s="1" t="str">
        <f>VLOOKUP($C309, 'Instrument Table'!$B:$C, 2, FALSE)</f>
        <v>Pianos</v>
      </c>
      <c r="E309" s="1">
        <f t="shared" si="24"/>
        <v>1</v>
      </c>
      <c r="F309" s="1">
        <f>_xlfn.XLOOKUP($C309, 'Instrument Table'!$B:$B, 'Instrument Table'!$A:$A, "")</f>
        <v>10</v>
      </c>
      <c r="G309" s="1" t="str">
        <f>TEXT(IF($B309 = "Retail Item", IF((ROW($A309) - 4504 - _xlfn.XMATCH($C309, $C$4506:$C$5005, 0, 1)) &lt;= VLOOKUP($C309, 'Instrument Table'!$B:$D, 3, FALSE), ROW($A309) - 4504 - _xlfn.XMATCH($C309, $C$4506:$C$5005, 0, 1), 0), 0), "00")</f>
        <v>00</v>
      </c>
      <c r="H309" s="1" t="str">
        <f t="shared" si="25"/>
        <v>303</v>
      </c>
      <c r="I309" s="1" t="str">
        <f t="shared" si="26"/>
        <v>11000-303</v>
      </c>
      <c r="J309" s="1" t="str">
        <f t="shared" si="27"/>
        <v>Grand piano production item #303</v>
      </c>
      <c r="K309" s="1" t="str">
        <f>IF(SUM(COUNTIFS(I:I, I309)) &gt; 1, "DUPLICATE", "UNIQUE")</f>
        <v>UNIQUE</v>
      </c>
      <c r="L309" s="18">
        <v>32</v>
      </c>
      <c r="M309" s="28">
        <v>72</v>
      </c>
      <c r="N309" s="6">
        <v>121</v>
      </c>
      <c r="O309" s="30">
        <f t="shared" si="28"/>
        <v>2304</v>
      </c>
      <c r="P309" s="30">
        <f t="shared" si="29"/>
        <v>8712</v>
      </c>
      <c r="Q309" s="1">
        <f>COUNTIFS($P:$P, "&gt;" &amp; $P309) + 1</f>
        <v>1908</v>
      </c>
      <c r="R309" s="63">
        <f>(COUNTIFS($P:$P, "&gt;" &amp; $P309) + 1) / (COUNTA($I:$I) - 1)</f>
        <v>0.38159999999999999</v>
      </c>
      <c r="S309" s="23">
        <f>SUMIFS($P:$P, $Q:$Q, "&lt;" &amp; $Q309)</f>
        <v>179233709</v>
      </c>
    </row>
    <row r="310" spans="1:19" x14ac:dyDescent="0.25">
      <c r="A310" s="1">
        <v>305</v>
      </c>
      <c r="B310" s="1" t="s">
        <v>2</v>
      </c>
      <c r="C310" s="1" t="str">
        <f>IF($B310 = "Production Item", _xlfn.XLOOKUP($A310, 'Instrument Table'!$J:$J, 'Instrument Table'!$B:$B, $C309), IF($B310 = "Service Item", _xlfn.XLOOKUP($A310, 'Instrument Table'!$I:$I, 'Instrument Table'!$B:$B, $C309), _xlfn.XLOOKUP($A310, 'Instrument Table'!$H:$H, 'Instrument Table'!$B:$B, $C309)))</f>
        <v>Grand Piano</v>
      </c>
      <c r="D310" s="1" t="str">
        <f>VLOOKUP($C310, 'Instrument Table'!$B:$C, 2, FALSE)</f>
        <v>Pianos</v>
      </c>
      <c r="E310" s="1">
        <f t="shared" si="24"/>
        <v>1</v>
      </c>
      <c r="F310" s="1">
        <f>_xlfn.XLOOKUP($C310, 'Instrument Table'!$B:$B, 'Instrument Table'!$A:$A, "")</f>
        <v>10</v>
      </c>
      <c r="G310" s="1" t="str">
        <f>TEXT(IF($B310 = "Retail Item", IF((ROW($A310) - 4504 - _xlfn.XMATCH($C310, $C$4506:$C$5005, 0, 1)) &lt;= VLOOKUP($C310, 'Instrument Table'!$B:$D, 3, FALSE), ROW($A310) - 4504 - _xlfn.XMATCH($C310, $C$4506:$C$5005, 0, 1), 0), 0), "00")</f>
        <v>00</v>
      </c>
      <c r="H310" s="1" t="str">
        <f t="shared" si="25"/>
        <v>304</v>
      </c>
      <c r="I310" s="1" t="str">
        <f t="shared" si="26"/>
        <v>11000-304</v>
      </c>
      <c r="J310" s="1" t="str">
        <f t="shared" si="27"/>
        <v>Grand piano production item #304</v>
      </c>
      <c r="K310" s="1" t="str">
        <f>IF(SUM(COUNTIFS(I:I, I310)) &gt; 1, "DUPLICATE", "UNIQUE")</f>
        <v>UNIQUE</v>
      </c>
      <c r="L310" s="18">
        <v>32</v>
      </c>
      <c r="M310" s="28">
        <v>57</v>
      </c>
      <c r="N310" s="6">
        <v>64</v>
      </c>
      <c r="O310" s="30">
        <f t="shared" si="28"/>
        <v>1824</v>
      </c>
      <c r="P310" s="30">
        <f t="shared" si="29"/>
        <v>3648</v>
      </c>
      <c r="Q310" s="1">
        <f>COUNTIFS($P:$P, "&gt;" &amp; $P310) + 1</f>
        <v>2729</v>
      </c>
      <c r="R310" s="63">
        <f>(COUNTIFS($P:$P, "&gt;" &amp; $P310) + 1) / (COUNTA($I:$I) - 1)</f>
        <v>0.54579999999999995</v>
      </c>
      <c r="S310" s="23">
        <f>SUMIFS($P:$P, $Q:$Q, "&lt;" &amp; $Q310)</f>
        <v>184074962</v>
      </c>
    </row>
    <row r="311" spans="1:19" x14ac:dyDescent="0.25">
      <c r="A311" s="1">
        <v>306</v>
      </c>
      <c r="B311" s="1" t="s">
        <v>2</v>
      </c>
      <c r="C311" s="1" t="str">
        <f>IF($B311 = "Production Item", _xlfn.XLOOKUP($A311, 'Instrument Table'!$J:$J, 'Instrument Table'!$B:$B, $C310), IF($B311 = "Service Item", _xlfn.XLOOKUP($A311, 'Instrument Table'!$I:$I, 'Instrument Table'!$B:$B, $C310), _xlfn.XLOOKUP($A311, 'Instrument Table'!$H:$H, 'Instrument Table'!$B:$B, $C310)))</f>
        <v>Grand Piano</v>
      </c>
      <c r="D311" s="1" t="str">
        <f>VLOOKUP($C311, 'Instrument Table'!$B:$C, 2, FALSE)</f>
        <v>Pianos</v>
      </c>
      <c r="E311" s="1">
        <f t="shared" si="24"/>
        <v>1</v>
      </c>
      <c r="F311" s="1">
        <f>_xlfn.XLOOKUP($C311, 'Instrument Table'!$B:$B, 'Instrument Table'!$A:$A, "")</f>
        <v>10</v>
      </c>
      <c r="G311" s="1" t="str">
        <f>TEXT(IF($B311 = "Retail Item", IF((ROW($A311) - 4504 - _xlfn.XMATCH($C311, $C$4506:$C$5005, 0, 1)) &lt;= VLOOKUP($C311, 'Instrument Table'!$B:$D, 3, FALSE), ROW($A311) - 4504 - _xlfn.XMATCH($C311, $C$4506:$C$5005, 0, 1), 0), 0), "00")</f>
        <v>00</v>
      </c>
      <c r="H311" s="1" t="str">
        <f t="shared" si="25"/>
        <v>305</v>
      </c>
      <c r="I311" s="1" t="str">
        <f t="shared" si="26"/>
        <v>11000-305</v>
      </c>
      <c r="J311" s="1" t="str">
        <f t="shared" si="27"/>
        <v>Grand piano production item #305</v>
      </c>
      <c r="K311" s="1" t="str">
        <f>IF(SUM(COUNTIFS(I:I, I311)) &gt; 1, "DUPLICATE", "UNIQUE")</f>
        <v>UNIQUE</v>
      </c>
      <c r="L311" s="18">
        <v>0</v>
      </c>
      <c r="M311" s="28">
        <v>77</v>
      </c>
      <c r="N311" s="6">
        <v>196</v>
      </c>
      <c r="O311" s="30">
        <f t="shared" si="28"/>
        <v>0</v>
      </c>
      <c r="P311" s="30">
        <f t="shared" si="29"/>
        <v>15092</v>
      </c>
      <c r="Q311" s="1">
        <f>COUNTIFS($P:$P, "&gt;" &amp; $P311) + 1</f>
        <v>1342</v>
      </c>
      <c r="R311" s="63">
        <f>(COUNTIFS($P:$P, "&gt;" &amp; $P311) + 1) / (COUNTA($I:$I) - 1)</f>
        <v>0.26840000000000003</v>
      </c>
      <c r="S311" s="23">
        <f>SUMIFS($P:$P, $Q:$Q, "&lt;" &amp; $Q311)</f>
        <v>172622350</v>
      </c>
    </row>
    <row r="312" spans="1:19" x14ac:dyDescent="0.25">
      <c r="A312" s="1">
        <v>307</v>
      </c>
      <c r="B312" s="1" t="s">
        <v>2</v>
      </c>
      <c r="C312" s="1" t="str">
        <f>IF($B312 = "Production Item", _xlfn.XLOOKUP($A312, 'Instrument Table'!$J:$J, 'Instrument Table'!$B:$B, $C311), IF($B312 = "Service Item", _xlfn.XLOOKUP($A312, 'Instrument Table'!$I:$I, 'Instrument Table'!$B:$B, $C311), _xlfn.XLOOKUP($A312, 'Instrument Table'!$H:$H, 'Instrument Table'!$B:$B, $C311)))</f>
        <v>Grand Piano</v>
      </c>
      <c r="D312" s="1" t="str">
        <f>VLOOKUP($C312, 'Instrument Table'!$B:$C, 2, FALSE)</f>
        <v>Pianos</v>
      </c>
      <c r="E312" s="1">
        <f t="shared" si="24"/>
        <v>1</v>
      </c>
      <c r="F312" s="1">
        <f>_xlfn.XLOOKUP($C312, 'Instrument Table'!$B:$B, 'Instrument Table'!$A:$A, "")</f>
        <v>10</v>
      </c>
      <c r="G312" s="1" t="str">
        <f>TEXT(IF($B312 = "Retail Item", IF((ROW($A312) - 4504 - _xlfn.XMATCH($C312, $C$4506:$C$5005, 0, 1)) &lt;= VLOOKUP($C312, 'Instrument Table'!$B:$D, 3, FALSE), ROW($A312) - 4504 - _xlfn.XMATCH($C312, $C$4506:$C$5005, 0, 1), 0), 0), "00")</f>
        <v>00</v>
      </c>
      <c r="H312" s="1" t="str">
        <f t="shared" si="25"/>
        <v>306</v>
      </c>
      <c r="I312" s="1" t="str">
        <f t="shared" si="26"/>
        <v>11000-306</v>
      </c>
      <c r="J312" s="1" t="str">
        <f t="shared" si="27"/>
        <v>Grand piano production item #306</v>
      </c>
      <c r="K312" s="1" t="str">
        <f>IF(SUM(COUNTIFS(I:I, I312)) &gt; 1, "DUPLICATE", "UNIQUE")</f>
        <v>UNIQUE</v>
      </c>
      <c r="L312" s="18">
        <v>1</v>
      </c>
      <c r="M312" s="28">
        <v>64</v>
      </c>
      <c r="N312" s="6">
        <v>36</v>
      </c>
      <c r="O312" s="30">
        <f t="shared" si="28"/>
        <v>64</v>
      </c>
      <c r="P312" s="30">
        <f t="shared" si="29"/>
        <v>2304</v>
      </c>
      <c r="Q312" s="1">
        <f>COUNTIFS($P:$P, "&gt;" &amp; $P312) + 1</f>
        <v>3118</v>
      </c>
      <c r="R312" s="63">
        <f>(COUNTIFS($P:$P, "&gt;" &amp; $P312) + 1) / (COUNTA($I:$I) - 1)</f>
        <v>0.62360000000000004</v>
      </c>
      <c r="S312" s="23">
        <f>SUMIFS($P:$P, $Q:$Q, "&lt;" &amp; $Q312)</f>
        <v>185224654</v>
      </c>
    </row>
    <row r="313" spans="1:19" x14ac:dyDescent="0.25">
      <c r="A313" s="1">
        <v>308</v>
      </c>
      <c r="B313" s="1" t="s">
        <v>2</v>
      </c>
      <c r="C313" s="1" t="str">
        <f>IF($B313 = "Production Item", _xlfn.XLOOKUP($A313, 'Instrument Table'!$J:$J, 'Instrument Table'!$B:$B, $C312), IF($B313 = "Service Item", _xlfn.XLOOKUP($A313, 'Instrument Table'!$I:$I, 'Instrument Table'!$B:$B, $C312), _xlfn.XLOOKUP($A313, 'Instrument Table'!$H:$H, 'Instrument Table'!$B:$B, $C312)))</f>
        <v>Grand Piano</v>
      </c>
      <c r="D313" s="1" t="str">
        <f>VLOOKUP($C313, 'Instrument Table'!$B:$C, 2, FALSE)</f>
        <v>Pianos</v>
      </c>
      <c r="E313" s="1">
        <f t="shared" si="24"/>
        <v>1</v>
      </c>
      <c r="F313" s="1">
        <f>_xlfn.XLOOKUP($C313, 'Instrument Table'!$B:$B, 'Instrument Table'!$A:$A, "")</f>
        <v>10</v>
      </c>
      <c r="G313" s="1" t="str">
        <f>TEXT(IF($B313 = "Retail Item", IF((ROW($A313) - 4504 - _xlfn.XMATCH($C313, $C$4506:$C$5005, 0, 1)) &lt;= VLOOKUP($C313, 'Instrument Table'!$B:$D, 3, FALSE), ROW($A313) - 4504 - _xlfn.XMATCH($C313, $C$4506:$C$5005, 0, 1), 0), 0), "00")</f>
        <v>00</v>
      </c>
      <c r="H313" s="1" t="str">
        <f t="shared" si="25"/>
        <v>307</v>
      </c>
      <c r="I313" s="1" t="str">
        <f t="shared" si="26"/>
        <v>11000-307</v>
      </c>
      <c r="J313" s="1" t="str">
        <f t="shared" si="27"/>
        <v>Grand piano production item #307</v>
      </c>
      <c r="K313" s="1" t="str">
        <f>IF(SUM(COUNTIFS(I:I, I313)) &gt; 1, "DUPLICATE", "UNIQUE")</f>
        <v>UNIQUE</v>
      </c>
      <c r="L313" s="18">
        <v>4</v>
      </c>
      <c r="M313" s="28">
        <v>79</v>
      </c>
      <c r="N313" s="6">
        <v>9</v>
      </c>
      <c r="O313" s="30">
        <f t="shared" si="28"/>
        <v>316</v>
      </c>
      <c r="P313" s="30">
        <f t="shared" si="29"/>
        <v>711</v>
      </c>
      <c r="Q313" s="1">
        <f>COUNTIFS($P:$P, "&gt;" &amp; $P313) + 1</f>
        <v>3870</v>
      </c>
      <c r="R313" s="63">
        <f>(COUNTIFS($P:$P, "&gt;" &amp; $P313) + 1) / (COUNTA($I:$I) - 1)</f>
        <v>0.77400000000000002</v>
      </c>
      <c r="S313" s="23">
        <f>SUMIFS($P:$P, $Q:$Q, "&lt;" &amp; $Q313)</f>
        <v>186318007</v>
      </c>
    </row>
    <row r="314" spans="1:19" x14ac:dyDescent="0.25">
      <c r="A314" s="1">
        <v>309</v>
      </c>
      <c r="B314" s="1" t="s">
        <v>2</v>
      </c>
      <c r="C314" s="1" t="str">
        <f>IF($B314 = "Production Item", _xlfn.XLOOKUP($A314, 'Instrument Table'!$J:$J, 'Instrument Table'!$B:$B, $C313), IF($B314 = "Service Item", _xlfn.XLOOKUP($A314, 'Instrument Table'!$I:$I, 'Instrument Table'!$B:$B, $C313), _xlfn.XLOOKUP($A314, 'Instrument Table'!$H:$H, 'Instrument Table'!$B:$B, $C313)))</f>
        <v>Grand Piano</v>
      </c>
      <c r="D314" s="1" t="str">
        <f>VLOOKUP($C314, 'Instrument Table'!$B:$C, 2, FALSE)</f>
        <v>Pianos</v>
      </c>
      <c r="E314" s="1">
        <f t="shared" si="24"/>
        <v>1</v>
      </c>
      <c r="F314" s="1">
        <f>_xlfn.XLOOKUP($C314, 'Instrument Table'!$B:$B, 'Instrument Table'!$A:$A, "")</f>
        <v>10</v>
      </c>
      <c r="G314" s="1" t="str">
        <f>TEXT(IF($B314 = "Retail Item", IF((ROW($A314) - 4504 - _xlfn.XMATCH($C314, $C$4506:$C$5005, 0, 1)) &lt;= VLOOKUP($C314, 'Instrument Table'!$B:$D, 3, FALSE), ROW($A314) - 4504 - _xlfn.XMATCH($C314, $C$4506:$C$5005, 0, 1), 0), 0), "00")</f>
        <v>00</v>
      </c>
      <c r="H314" s="1" t="str">
        <f t="shared" si="25"/>
        <v>308</v>
      </c>
      <c r="I314" s="1" t="str">
        <f t="shared" si="26"/>
        <v>11000-308</v>
      </c>
      <c r="J314" s="1" t="str">
        <f t="shared" si="27"/>
        <v>Grand piano production item #308</v>
      </c>
      <c r="K314" s="1" t="str">
        <f>IF(SUM(COUNTIFS(I:I, I314)) &gt; 1, "DUPLICATE", "UNIQUE")</f>
        <v>UNIQUE</v>
      </c>
      <c r="L314" s="18">
        <v>1</v>
      </c>
      <c r="M314" s="28">
        <v>73</v>
      </c>
      <c r="N314" s="6">
        <v>361</v>
      </c>
      <c r="O314" s="30">
        <f t="shared" si="28"/>
        <v>73</v>
      </c>
      <c r="P314" s="30">
        <f t="shared" si="29"/>
        <v>26353</v>
      </c>
      <c r="Q314" s="1">
        <f>COUNTIFS($P:$P, "&gt;" &amp; $P314) + 1</f>
        <v>776</v>
      </c>
      <c r="R314" s="63">
        <f>(COUNTIFS($P:$P, "&gt;" &amp; $P314) + 1) / (COUNTA($I:$I) - 1)</f>
        <v>0.1552</v>
      </c>
      <c r="S314" s="23">
        <f>SUMIFS($P:$P, $Q:$Q, "&lt;" &amp; $Q314)</f>
        <v>161202360</v>
      </c>
    </row>
    <row r="315" spans="1:19" x14ac:dyDescent="0.25">
      <c r="A315" s="1">
        <v>310</v>
      </c>
      <c r="B315" s="1" t="s">
        <v>2</v>
      </c>
      <c r="C315" s="1" t="str">
        <f>IF($B315 = "Production Item", _xlfn.XLOOKUP($A315, 'Instrument Table'!$J:$J, 'Instrument Table'!$B:$B, $C314), IF($B315 = "Service Item", _xlfn.XLOOKUP($A315, 'Instrument Table'!$I:$I, 'Instrument Table'!$B:$B, $C314), _xlfn.XLOOKUP($A315, 'Instrument Table'!$H:$H, 'Instrument Table'!$B:$B, $C314)))</f>
        <v>Grand Piano</v>
      </c>
      <c r="D315" s="1" t="str">
        <f>VLOOKUP($C315, 'Instrument Table'!$B:$C, 2, FALSE)</f>
        <v>Pianos</v>
      </c>
      <c r="E315" s="1">
        <f t="shared" si="24"/>
        <v>1</v>
      </c>
      <c r="F315" s="1">
        <f>_xlfn.XLOOKUP($C315, 'Instrument Table'!$B:$B, 'Instrument Table'!$A:$A, "")</f>
        <v>10</v>
      </c>
      <c r="G315" s="1" t="str">
        <f>TEXT(IF($B315 = "Retail Item", IF((ROW($A315) - 4504 - _xlfn.XMATCH($C315, $C$4506:$C$5005, 0, 1)) &lt;= VLOOKUP($C315, 'Instrument Table'!$B:$D, 3, FALSE), ROW($A315) - 4504 - _xlfn.XMATCH($C315, $C$4506:$C$5005, 0, 1), 0), 0), "00")</f>
        <v>00</v>
      </c>
      <c r="H315" s="1" t="str">
        <f t="shared" si="25"/>
        <v>309</v>
      </c>
      <c r="I315" s="1" t="str">
        <f t="shared" si="26"/>
        <v>11000-309</v>
      </c>
      <c r="J315" s="1" t="str">
        <f t="shared" si="27"/>
        <v>Grand piano production item #309</v>
      </c>
      <c r="K315" s="1" t="str">
        <f>IF(SUM(COUNTIFS(I:I, I315)) &gt; 1, "DUPLICATE", "UNIQUE")</f>
        <v>UNIQUE</v>
      </c>
      <c r="L315" s="18">
        <v>16</v>
      </c>
      <c r="M315" s="28">
        <v>58</v>
      </c>
      <c r="N315" s="6">
        <v>100</v>
      </c>
      <c r="O315" s="30">
        <f t="shared" si="28"/>
        <v>928</v>
      </c>
      <c r="P315" s="30">
        <f t="shared" si="29"/>
        <v>5800</v>
      </c>
      <c r="Q315" s="1">
        <f>COUNTIFS($P:$P, "&gt;" &amp; $P315) + 1</f>
        <v>2299</v>
      </c>
      <c r="R315" s="63">
        <f>(COUNTIFS($P:$P, "&gt;" &amp; $P315) + 1) / (COUNTA($I:$I) - 1)</f>
        <v>0.45979999999999999</v>
      </c>
      <c r="S315" s="23">
        <f>SUMIFS($P:$P, $Q:$Q, "&lt;" &amp; $Q315)</f>
        <v>182058415</v>
      </c>
    </row>
    <row r="316" spans="1:19" x14ac:dyDescent="0.25">
      <c r="A316" s="1">
        <v>311</v>
      </c>
      <c r="B316" s="1" t="s">
        <v>2</v>
      </c>
      <c r="C316" s="1" t="str">
        <f>IF($B316 = "Production Item", _xlfn.XLOOKUP($A316, 'Instrument Table'!$J:$J, 'Instrument Table'!$B:$B, $C315), IF($B316 = "Service Item", _xlfn.XLOOKUP($A316, 'Instrument Table'!$I:$I, 'Instrument Table'!$B:$B, $C315), _xlfn.XLOOKUP($A316, 'Instrument Table'!$H:$H, 'Instrument Table'!$B:$B, $C315)))</f>
        <v>Grand Piano</v>
      </c>
      <c r="D316" s="1" t="str">
        <f>VLOOKUP($C316, 'Instrument Table'!$B:$C, 2, FALSE)</f>
        <v>Pianos</v>
      </c>
      <c r="E316" s="1">
        <f t="shared" si="24"/>
        <v>1</v>
      </c>
      <c r="F316" s="1">
        <f>_xlfn.XLOOKUP($C316, 'Instrument Table'!$B:$B, 'Instrument Table'!$A:$A, "")</f>
        <v>10</v>
      </c>
      <c r="G316" s="1" t="str">
        <f>TEXT(IF($B316 = "Retail Item", IF((ROW($A316) - 4504 - _xlfn.XMATCH($C316, $C$4506:$C$5005, 0, 1)) &lt;= VLOOKUP($C316, 'Instrument Table'!$B:$D, 3, FALSE), ROW($A316) - 4504 - _xlfn.XMATCH($C316, $C$4506:$C$5005, 0, 1), 0), 0), "00")</f>
        <v>00</v>
      </c>
      <c r="H316" s="1" t="str">
        <f t="shared" si="25"/>
        <v>310</v>
      </c>
      <c r="I316" s="1" t="str">
        <f t="shared" si="26"/>
        <v>11000-310</v>
      </c>
      <c r="J316" s="1" t="str">
        <f t="shared" si="27"/>
        <v>Grand piano production item #310</v>
      </c>
      <c r="K316" s="1" t="str">
        <f>IF(SUM(COUNTIFS(I:I, I316)) &gt; 1, "DUPLICATE", "UNIQUE")</f>
        <v>UNIQUE</v>
      </c>
      <c r="L316" s="18">
        <v>1</v>
      </c>
      <c r="M316" s="28">
        <v>2</v>
      </c>
      <c r="N316" s="6">
        <v>225</v>
      </c>
      <c r="O316" s="30">
        <f t="shared" si="28"/>
        <v>2</v>
      </c>
      <c r="P316" s="30">
        <f t="shared" si="29"/>
        <v>450</v>
      </c>
      <c r="Q316" s="1">
        <f>COUNTIFS($P:$P, "&gt;" &amp; $P316) + 1</f>
        <v>4054</v>
      </c>
      <c r="R316" s="63">
        <f>(COUNTIFS($P:$P, "&gt;" &amp; $P316) + 1) / (COUNTA($I:$I) - 1)</f>
        <v>0.81079999999999997</v>
      </c>
      <c r="S316" s="23">
        <f>SUMIFS($P:$P, $Q:$Q, "&lt;" &amp; $Q316)</f>
        <v>186425250</v>
      </c>
    </row>
    <row r="317" spans="1:19" x14ac:dyDescent="0.25">
      <c r="A317" s="1">
        <v>312</v>
      </c>
      <c r="B317" s="1" t="s">
        <v>2</v>
      </c>
      <c r="C317" s="1" t="str">
        <f>IF($B317 = "Production Item", _xlfn.XLOOKUP($A317, 'Instrument Table'!$J:$J, 'Instrument Table'!$B:$B, $C316), IF($B317 = "Service Item", _xlfn.XLOOKUP($A317, 'Instrument Table'!$I:$I, 'Instrument Table'!$B:$B, $C316), _xlfn.XLOOKUP($A317, 'Instrument Table'!$H:$H, 'Instrument Table'!$B:$B, $C316)))</f>
        <v>Grand Piano</v>
      </c>
      <c r="D317" s="1" t="str">
        <f>VLOOKUP($C317, 'Instrument Table'!$B:$C, 2, FALSE)</f>
        <v>Pianos</v>
      </c>
      <c r="E317" s="1">
        <f t="shared" si="24"/>
        <v>1</v>
      </c>
      <c r="F317" s="1">
        <f>_xlfn.XLOOKUP($C317, 'Instrument Table'!$B:$B, 'Instrument Table'!$A:$A, "")</f>
        <v>10</v>
      </c>
      <c r="G317" s="1" t="str">
        <f>TEXT(IF($B317 = "Retail Item", IF((ROW($A317) - 4504 - _xlfn.XMATCH($C317, $C$4506:$C$5005, 0, 1)) &lt;= VLOOKUP($C317, 'Instrument Table'!$B:$D, 3, FALSE), ROW($A317) - 4504 - _xlfn.XMATCH($C317, $C$4506:$C$5005, 0, 1), 0), 0), "00")</f>
        <v>00</v>
      </c>
      <c r="H317" s="1" t="str">
        <f t="shared" si="25"/>
        <v>311</v>
      </c>
      <c r="I317" s="1" t="str">
        <f t="shared" si="26"/>
        <v>11000-311</v>
      </c>
      <c r="J317" s="1" t="str">
        <f t="shared" si="27"/>
        <v>Grand piano production item #311</v>
      </c>
      <c r="K317" s="1" t="str">
        <f>IF(SUM(COUNTIFS(I:I, I317)) &gt; 1, "DUPLICATE", "UNIQUE")</f>
        <v>UNIQUE</v>
      </c>
      <c r="L317" s="18">
        <v>0</v>
      </c>
      <c r="M317" s="28">
        <v>39</v>
      </c>
      <c r="N317" s="6">
        <v>16</v>
      </c>
      <c r="O317" s="30">
        <f t="shared" si="28"/>
        <v>0</v>
      </c>
      <c r="P317" s="30">
        <f t="shared" si="29"/>
        <v>624</v>
      </c>
      <c r="Q317" s="1">
        <f>COUNTIFS($P:$P, "&gt;" &amp; $P317) + 1</f>
        <v>3928</v>
      </c>
      <c r="R317" s="63">
        <f>(COUNTIFS($P:$P, "&gt;" &amp; $P317) + 1) / (COUNTA($I:$I) - 1)</f>
        <v>0.78559999999999997</v>
      </c>
      <c r="S317" s="23">
        <f>SUMIFS($P:$P, $Q:$Q, "&lt;" &amp; $Q317)</f>
        <v>186357008</v>
      </c>
    </row>
    <row r="318" spans="1:19" x14ac:dyDescent="0.25">
      <c r="A318" s="1">
        <v>313</v>
      </c>
      <c r="B318" s="1" t="s">
        <v>2</v>
      </c>
      <c r="C318" s="1" t="str">
        <f>IF($B318 = "Production Item", _xlfn.XLOOKUP($A318, 'Instrument Table'!$J:$J, 'Instrument Table'!$B:$B, $C317), IF($B318 = "Service Item", _xlfn.XLOOKUP($A318, 'Instrument Table'!$I:$I, 'Instrument Table'!$B:$B, $C317), _xlfn.XLOOKUP($A318, 'Instrument Table'!$H:$H, 'Instrument Table'!$B:$B, $C317)))</f>
        <v>Grand Piano</v>
      </c>
      <c r="D318" s="1" t="str">
        <f>VLOOKUP($C318, 'Instrument Table'!$B:$C, 2, FALSE)</f>
        <v>Pianos</v>
      </c>
      <c r="E318" s="1">
        <f t="shared" si="24"/>
        <v>1</v>
      </c>
      <c r="F318" s="1">
        <f>_xlfn.XLOOKUP($C318, 'Instrument Table'!$B:$B, 'Instrument Table'!$A:$A, "")</f>
        <v>10</v>
      </c>
      <c r="G318" s="1" t="str">
        <f>TEXT(IF($B318 = "Retail Item", IF((ROW($A318) - 4504 - _xlfn.XMATCH($C318, $C$4506:$C$5005, 0, 1)) &lt;= VLOOKUP($C318, 'Instrument Table'!$B:$D, 3, FALSE), ROW($A318) - 4504 - _xlfn.XMATCH($C318, $C$4506:$C$5005, 0, 1), 0), 0), "00")</f>
        <v>00</v>
      </c>
      <c r="H318" s="1" t="str">
        <f t="shared" si="25"/>
        <v>312</v>
      </c>
      <c r="I318" s="1" t="str">
        <f t="shared" si="26"/>
        <v>11000-312</v>
      </c>
      <c r="J318" s="1" t="str">
        <f t="shared" si="27"/>
        <v>Grand piano production item #312</v>
      </c>
      <c r="K318" s="1" t="str">
        <f>IF(SUM(COUNTIFS(I:I, I318)) &gt; 1, "DUPLICATE", "UNIQUE")</f>
        <v>UNIQUE</v>
      </c>
      <c r="L318" s="18">
        <v>0</v>
      </c>
      <c r="M318" s="28">
        <v>46</v>
      </c>
      <c r="N318" s="6">
        <v>25</v>
      </c>
      <c r="O318" s="30">
        <f t="shared" si="28"/>
        <v>0</v>
      </c>
      <c r="P318" s="30">
        <f t="shared" si="29"/>
        <v>1150</v>
      </c>
      <c r="Q318" s="1">
        <f>COUNTIFS($P:$P, "&gt;" &amp; $P318) + 1</f>
        <v>3633</v>
      </c>
      <c r="R318" s="63">
        <f>(COUNTIFS($P:$P, "&gt;" &amp; $P318) + 1) / (COUNTA($I:$I) - 1)</f>
        <v>0.72660000000000002</v>
      </c>
      <c r="S318" s="23">
        <f>SUMIFS($P:$P, $Q:$Q, "&lt;" &amp; $Q318)</f>
        <v>186108704</v>
      </c>
    </row>
    <row r="319" spans="1:19" x14ac:dyDescent="0.25">
      <c r="A319" s="1">
        <v>314</v>
      </c>
      <c r="B319" s="1" t="s">
        <v>2</v>
      </c>
      <c r="C319" s="1" t="str">
        <f>IF($B319 = "Production Item", _xlfn.XLOOKUP($A319, 'Instrument Table'!$J:$J, 'Instrument Table'!$B:$B, $C318), IF($B319 = "Service Item", _xlfn.XLOOKUP($A319, 'Instrument Table'!$I:$I, 'Instrument Table'!$B:$B, $C318), _xlfn.XLOOKUP($A319, 'Instrument Table'!$H:$H, 'Instrument Table'!$B:$B, $C318)))</f>
        <v>Grand Piano</v>
      </c>
      <c r="D319" s="1" t="str">
        <f>VLOOKUP($C319, 'Instrument Table'!$B:$C, 2, FALSE)</f>
        <v>Pianos</v>
      </c>
      <c r="E319" s="1">
        <f t="shared" si="24"/>
        <v>1</v>
      </c>
      <c r="F319" s="1">
        <f>_xlfn.XLOOKUP($C319, 'Instrument Table'!$B:$B, 'Instrument Table'!$A:$A, "")</f>
        <v>10</v>
      </c>
      <c r="G319" s="1" t="str">
        <f>TEXT(IF($B319 = "Retail Item", IF((ROW($A319) - 4504 - _xlfn.XMATCH($C319, $C$4506:$C$5005, 0, 1)) &lt;= VLOOKUP($C319, 'Instrument Table'!$B:$D, 3, FALSE), ROW($A319) - 4504 - _xlfn.XMATCH($C319, $C$4506:$C$5005, 0, 1), 0), 0), "00")</f>
        <v>00</v>
      </c>
      <c r="H319" s="1" t="str">
        <f t="shared" si="25"/>
        <v>313</v>
      </c>
      <c r="I319" s="1" t="str">
        <f t="shared" si="26"/>
        <v>11000-313</v>
      </c>
      <c r="J319" s="1" t="str">
        <f t="shared" si="27"/>
        <v>Grand piano production item #313</v>
      </c>
      <c r="K319" s="1" t="str">
        <f>IF(SUM(COUNTIFS(I:I, I319)) &gt; 1, "DUPLICATE", "UNIQUE")</f>
        <v>UNIQUE</v>
      </c>
      <c r="L319" s="18">
        <v>0</v>
      </c>
      <c r="M319" s="28">
        <v>67</v>
      </c>
      <c r="N319" s="6">
        <v>225</v>
      </c>
      <c r="O319" s="30">
        <f t="shared" si="28"/>
        <v>0</v>
      </c>
      <c r="P319" s="30">
        <f t="shared" si="29"/>
        <v>15075</v>
      </c>
      <c r="Q319" s="1">
        <f>COUNTIFS($P:$P, "&gt;" &amp; $P319) + 1</f>
        <v>1345</v>
      </c>
      <c r="R319" s="63">
        <f>(COUNTIFS($P:$P, "&gt;" &amp; $P319) + 1) / (COUNTA($I:$I) - 1)</f>
        <v>0.26900000000000002</v>
      </c>
      <c r="S319" s="23">
        <f>SUMIFS($P:$P, $Q:$Q, "&lt;" &amp; $Q319)</f>
        <v>172667626</v>
      </c>
    </row>
    <row r="320" spans="1:19" x14ac:dyDescent="0.25">
      <c r="A320" s="1">
        <v>315</v>
      </c>
      <c r="B320" s="1" t="s">
        <v>2</v>
      </c>
      <c r="C320" s="1" t="str">
        <f>IF($B320 = "Production Item", _xlfn.XLOOKUP($A320, 'Instrument Table'!$J:$J, 'Instrument Table'!$B:$B, $C319), IF($B320 = "Service Item", _xlfn.XLOOKUP($A320, 'Instrument Table'!$I:$I, 'Instrument Table'!$B:$B, $C319), _xlfn.XLOOKUP($A320, 'Instrument Table'!$H:$H, 'Instrument Table'!$B:$B, $C319)))</f>
        <v>Grand Piano</v>
      </c>
      <c r="D320" s="1" t="str">
        <f>VLOOKUP($C320, 'Instrument Table'!$B:$C, 2, FALSE)</f>
        <v>Pianos</v>
      </c>
      <c r="E320" s="1">
        <f t="shared" si="24"/>
        <v>1</v>
      </c>
      <c r="F320" s="1">
        <f>_xlfn.XLOOKUP($C320, 'Instrument Table'!$B:$B, 'Instrument Table'!$A:$A, "")</f>
        <v>10</v>
      </c>
      <c r="G320" s="1" t="str">
        <f>TEXT(IF($B320 = "Retail Item", IF((ROW($A320) - 4504 - _xlfn.XMATCH($C320, $C$4506:$C$5005, 0, 1)) &lt;= VLOOKUP($C320, 'Instrument Table'!$B:$D, 3, FALSE), ROW($A320) - 4504 - _xlfn.XMATCH($C320, $C$4506:$C$5005, 0, 1), 0), 0), "00")</f>
        <v>00</v>
      </c>
      <c r="H320" s="1" t="str">
        <f t="shared" si="25"/>
        <v>314</v>
      </c>
      <c r="I320" s="1" t="str">
        <f t="shared" si="26"/>
        <v>11000-314</v>
      </c>
      <c r="J320" s="1" t="str">
        <f t="shared" si="27"/>
        <v>Grand piano production item #314</v>
      </c>
      <c r="K320" s="1" t="str">
        <f>IF(SUM(COUNTIFS(I:I, I320)) &gt; 1, "DUPLICATE", "UNIQUE")</f>
        <v>UNIQUE</v>
      </c>
      <c r="L320" s="18">
        <v>0</v>
      </c>
      <c r="M320" s="28">
        <v>66</v>
      </c>
      <c r="N320" s="6">
        <v>196</v>
      </c>
      <c r="O320" s="30">
        <f t="shared" si="28"/>
        <v>0</v>
      </c>
      <c r="P320" s="30">
        <f t="shared" si="29"/>
        <v>12936</v>
      </c>
      <c r="Q320" s="1">
        <f>COUNTIFS($P:$P, "&gt;" &amp; $P320) + 1</f>
        <v>1505</v>
      </c>
      <c r="R320" s="63">
        <f>(COUNTIFS($P:$P, "&gt;" &amp; $P320) + 1) / (COUNTA($I:$I) - 1)</f>
        <v>0.30099999999999999</v>
      </c>
      <c r="S320" s="23">
        <f>SUMIFS($P:$P, $Q:$Q, "&lt;" &amp; $Q320)</f>
        <v>174904603</v>
      </c>
    </row>
    <row r="321" spans="1:19" x14ac:dyDescent="0.25">
      <c r="A321" s="1">
        <v>316</v>
      </c>
      <c r="B321" s="1" t="s">
        <v>2</v>
      </c>
      <c r="C321" s="1" t="str">
        <f>IF($B321 = "Production Item", _xlfn.XLOOKUP($A321, 'Instrument Table'!$J:$J, 'Instrument Table'!$B:$B, $C320), IF($B321 = "Service Item", _xlfn.XLOOKUP($A321, 'Instrument Table'!$I:$I, 'Instrument Table'!$B:$B, $C320), _xlfn.XLOOKUP($A321, 'Instrument Table'!$H:$H, 'Instrument Table'!$B:$B, $C320)))</f>
        <v>Grand Piano</v>
      </c>
      <c r="D321" s="1" t="str">
        <f>VLOOKUP($C321, 'Instrument Table'!$B:$C, 2, FALSE)</f>
        <v>Pianos</v>
      </c>
      <c r="E321" s="1">
        <f t="shared" si="24"/>
        <v>1</v>
      </c>
      <c r="F321" s="1">
        <f>_xlfn.XLOOKUP($C321, 'Instrument Table'!$B:$B, 'Instrument Table'!$A:$A, "")</f>
        <v>10</v>
      </c>
      <c r="G321" s="1" t="str">
        <f>TEXT(IF($B321 = "Retail Item", IF((ROW($A321) - 4504 - _xlfn.XMATCH($C321, $C$4506:$C$5005, 0, 1)) &lt;= VLOOKUP($C321, 'Instrument Table'!$B:$D, 3, FALSE), ROW($A321) - 4504 - _xlfn.XMATCH($C321, $C$4506:$C$5005, 0, 1), 0), 0), "00")</f>
        <v>00</v>
      </c>
      <c r="H321" s="1" t="str">
        <f t="shared" si="25"/>
        <v>315</v>
      </c>
      <c r="I321" s="1" t="str">
        <f t="shared" si="26"/>
        <v>11000-315</v>
      </c>
      <c r="J321" s="1" t="str">
        <f t="shared" si="27"/>
        <v>Grand piano production item #315</v>
      </c>
      <c r="K321" s="1" t="str">
        <f>IF(SUM(COUNTIFS(I:I, I321)) &gt; 1, "DUPLICATE", "UNIQUE")</f>
        <v>UNIQUE</v>
      </c>
      <c r="L321" s="18">
        <v>1</v>
      </c>
      <c r="M321" s="28">
        <v>76</v>
      </c>
      <c r="N321" s="6">
        <v>169</v>
      </c>
      <c r="O321" s="30">
        <f t="shared" si="28"/>
        <v>76</v>
      </c>
      <c r="P321" s="30">
        <f t="shared" si="29"/>
        <v>12844</v>
      </c>
      <c r="Q321" s="1">
        <f>COUNTIFS($P:$P, "&gt;" &amp; $P321) + 1</f>
        <v>1510</v>
      </c>
      <c r="R321" s="63">
        <f>(COUNTIFS($P:$P, "&gt;" &amp; $P321) + 1) / (COUNTA($I:$I) - 1)</f>
        <v>0.30199999999999999</v>
      </c>
      <c r="S321" s="23">
        <f>SUMIFS($P:$P, $Q:$Q, "&lt;" &amp; $Q321)</f>
        <v>174969283</v>
      </c>
    </row>
    <row r="322" spans="1:19" x14ac:dyDescent="0.25">
      <c r="A322" s="1">
        <v>317</v>
      </c>
      <c r="B322" s="1" t="s">
        <v>2</v>
      </c>
      <c r="C322" s="1" t="str">
        <f>IF($B322 = "Production Item", _xlfn.XLOOKUP($A322, 'Instrument Table'!$J:$J, 'Instrument Table'!$B:$B, $C321), IF($B322 = "Service Item", _xlfn.XLOOKUP($A322, 'Instrument Table'!$I:$I, 'Instrument Table'!$B:$B, $C321), _xlfn.XLOOKUP($A322, 'Instrument Table'!$H:$H, 'Instrument Table'!$B:$B, $C321)))</f>
        <v>Grand Piano</v>
      </c>
      <c r="D322" s="1" t="str">
        <f>VLOOKUP($C322, 'Instrument Table'!$B:$C, 2, FALSE)</f>
        <v>Pianos</v>
      </c>
      <c r="E322" s="1">
        <f t="shared" si="24"/>
        <v>1</v>
      </c>
      <c r="F322" s="1">
        <f>_xlfn.XLOOKUP($C322, 'Instrument Table'!$B:$B, 'Instrument Table'!$A:$A, "")</f>
        <v>10</v>
      </c>
      <c r="G322" s="1" t="str">
        <f>TEXT(IF($B322 = "Retail Item", IF((ROW($A322) - 4504 - _xlfn.XMATCH($C322, $C$4506:$C$5005, 0, 1)) &lt;= VLOOKUP($C322, 'Instrument Table'!$B:$D, 3, FALSE), ROW($A322) - 4504 - _xlfn.XMATCH($C322, $C$4506:$C$5005, 0, 1), 0), 0), "00")</f>
        <v>00</v>
      </c>
      <c r="H322" s="1" t="str">
        <f t="shared" si="25"/>
        <v>316</v>
      </c>
      <c r="I322" s="1" t="str">
        <f t="shared" si="26"/>
        <v>11000-316</v>
      </c>
      <c r="J322" s="1" t="str">
        <f t="shared" si="27"/>
        <v>Grand piano production item #316</v>
      </c>
      <c r="K322" s="1" t="str">
        <f>IF(SUM(COUNTIFS(I:I, I322)) &gt; 1, "DUPLICATE", "UNIQUE")</f>
        <v>UNIQUE</v>
      </c>
      <c r="L322" s="18">
        <v>1</v>
      </c>
      <c r="M322" s="28">
        <v>14</v>
      </c>
      <c r="N322" s="6">
        <v>121</v>
      </c>
      <c r="O322" s="30">
        <f t="shared" si="28"/>
        <v>14</v>
      </c>
      <c r="P322" s="30">
        <f t="shared" si="29"/>
        <v>1694</v>
      </c>
      <c r="Q322" s="1">
        <f>COUNTIFS($P:$P, "&gt;" &amp; $P322) + 1</f>
        <v>3372</v>
      </c>
      <c r="R322" s="63">
        <f>(COUNTIFS($P:$P, "&gt;" &amp; $P322) + 1) / (COUNTA($I:$I) - 1)</f>
        <v>0.6744</v>
      </c>
      <c r="S322" s="23">
        <f>SUMIFS($P:$P, $Q:$Q, "&lt;" &amp; $Q322)</f>
        <v>185738674</v>
      </c>
    </row>
    <row r="323" spans="1:19" x14ac:dyDescent="0.25">
      <c r="A323" s="1">
        <v>318</v>
      </c>
      <c r="B323" s="1" t="s">
        <v>2</v>
      </c>
      <c r="C323" s="1" t="str">
        <f>IF($B323 = "Production Item", _xlfn.XLOOKUP($A323, 'Instrument Table'!$J:$J, 'Instrument Table'!$B:$B, $C322), IF($B323 = "Service Item", _xlfn.XLOOKUP($A323, 'Instrument Table'!$I:$I, 'Instrument Table'!$B:$B, $C322), _xlfn.XLOOKUP($A323, 'Instrument Table'!$H:$H, 'Instrument Table'!$B:$B, $C322)))</f>
        <v>Grand Piano</v>
      </c>
      <c r="D323" s="1" t="str">
        <f>VLOOKUP($C323, 'Instrument Table'!$B:$C, 2, FALSE)</f>
        <v>Pianos</v>
      </c>
      <c r="E323" s="1">
        <f t="shared" si="24"/>
        <v>1</v>
      </c>
      <c r="F323" s="1">
        <f>_xlfn.XLOOKUP($C323, 'Instrument Table'!$B:$B, 'Instrument Table'!$A:$A, "")</f>
        <v>10</v>
      </c>
      <c r="G323" s="1" t="str">
        <f>TEXT(IF($B323 = "Retail Item", IF((ROW($A323) - 4504 - _xlfn.XMATCH($C323, $C$4506:$C$5005, 0, 1)) &lt;= VLOOKUP($C323, 'Instrument Table'!$B:$D, 3, FALSE), ROW($A323) - 4504 - _xlfn.XMATCH($C323, $C$4506:$C$5005, 0, 1), 0), 0), "00")</f>
        <v>00</v>
      </c>
      <c r="H323" s="1" t="str">
        <f t="shared" si="25"/>
        <v>317</v>
      </c>
      <c r="I323" s="1" t="str">
        <f t="shared" si="26"/>
        <v>11000-317</v>
      </c>
      <c r="J323" s="1" t="str">
        <f t="shared" si="27"/>
        <v>Grand piano production item #317</v>
      </c>
      <c r="K323" s="1" t="str">
        <f>IF(SUM(COUNTIFS(I:I, I323)) &gt; 1, "DUPLICATE", "UNIQUE")</f>
        <v>UNIQUE</v>
      </c>
      <c r="L323" s="18">
        <v>0</v>
      </c>
      <c r="M323" s="28">
        <v>2</v>
      </c>
      <c r="N323" s="6">
        <v>100</v>
      </c>
      <c r="O323" s="30">
        <f t="shared" si="28"/>
        <v>0</v>
      </c>
      <c r="P323" s="30">
        <f t="shared" si="29"/>
        <v>200</v>
      </c>
      <c r="Q323" s="1">
        <f>COUNTIFS($P:$P, "&gt;" &amp; $P323) + 1</f>
        <v>4322</v>
      </c>
      <c r="R323" s="63">
        <f>(COUNTIFS($P:$P, "&gt;" &amp; $P323) + 1) / (COUNTA($I:$I) - 1)</f>
        <v>0.86439999999999995</v>
      </c>
      <c r="S323" s="23">
        <f>SUMIFS($P:$P, $Q:$Q, "&lt;" &amp; $Q323)</f>
        <v>186512097</v>
      </c>
    </row>
    <row r="324" spans="1:19" x14ac:dyDescent="0.25">
      <c r="A324" s="1">
        <v>319</v>
      </c>
      <c r="B324" s="1" t="s">
        <v>2</v>
      </c>
      <c r="C324" s="1" t="str">
        <f>IF($B324 = "Production Item", _xlfn.XLOOKUP($A324, 'Instrument Table'!$J:$J, 'Instrument Table'!$B:$B, $C323), IF($B324 = "Service Item", _xlfn.XLOOKUP($A324, 'Instrument Table'!$I:$I, 'Instrument Table'!$B:$B, $C323), _xlfn.XLOOKUP($A324, 'Instrument Table'!$H:$H, 'Instrument Table'!$B:$B, $C323)))</f>
        <v>Grand Piano</v>
      </c>
      <c r="D324" s="1" t="str">
        <f>VLOOKUP($C324, 'Instrument Table'!$B:$C, 2, FALSE)</f>
        <v>Pianos</v>
      </c>
      <c r="E324" s="1">
        <f t="shared" si="24"/>
        <v>1</v>
      </c>
      <c r="F324" s="1">
        <f>_xlfn.XLOOKUP($C324, 'Instrument Table'!$B:$B, 'Instrument Table'!$A:$A, "")</f>
        <v>10</v>
      </c>
      <c r="G324" s="1" t="str">
        <f>TEXT(IF($B324 = "Retail Item", IF((ROW($A324) - 4504 - _xlfn.XMATCH($C324, $C$4506:$C$5005, 0, 1)) &lt;= VLOOKUP($C324, 'Instrument Table'!$B:$D, 3, FALSE), ROW($A324) - 4504 - _xlfn.XMATCH($C324, $C$4506:$C$5005, 0, 1), 0), 0), "00")</f>
        <v>00</v>
      </c>
      <c r="H324" s="1" t="str">
        <f t="shared" si="25"/>
        <v>318</v>
      </c>
      <c r="I324" s="1" t="str">
        <f t="shared" si="26"/>
        <v>11000-318</v>
      </c>
      <c r="J324" s="1" t="str">
        <f t="shared" si="27"/>
        <v>Grand piano production item #318</v>
      </c>
      <c r="K324" s="1" t="str">
        <f>IF(SUM(COUNTIFS(I:I, I324)) &gt; 1, "DUPLICATE", "UNIQUE")</f>
        <v>UNIQUE</v>
      </c>
      <c r="L324" s="18">
        <v>0</v>
      </c>
      <c r="M324" s="28">
        <v>96</v>
      </c>
      <c r="N324" s="6">
        <v>169</v>
      </c>
      <c r="O324" s="30">
        <f t="shared" si="28"/>
        <v>0</v>
      </c>
      <c r="P324" s="30">
        <f t="shared" si="29"/>
        <v>16224</v>
      </c>
      <c r="Q324" s="1">
        <f>COUNTIFS($P:$P, "&gt;" &amp; $P324) + 1</f>
        <v>1262</v>
      </c>
      <c r="R324" s="63">
        <f>(COUNTIFS($P:$P, "&gt;" &amp; $P324) + 1) / (COUNTA($I:$I) - 1)</f>
        <v>0.25240000000000001</v>
      </c>
      <c r="S324" s="23">
        <f>SUMIFS($P:$P, $Q:$Q, "&lt;" &amp; $Q324)</f>
        <v>171365642</v>
      </c>
    </row>
    <row r="325" spans="1:19" x14ac:dyDescent="0.25">
      <c r="A325" s="1">
        <v>320</v>
      </c>
      <c r="B325" s="1" t="s">
        <v>2</v>
      </c>
      <c r="C325" s="1" t="str">
        <f>IF($B325 = "Production Item", _xlfn.XLOOKUP($A325, 'Instrument Table'!$J:$J, 'Instrument Table'!$B:$B, $C324), IF($B325 = "Service Item", _xlfn.XLOOKUP($A325, 'Instrument Table'!$I:$I, 'Instrument Table'!$B:$B, $C324), _xlfn.XLOOKUP($A325, 'Instrument Table'!$H:$H, 'Instrument Table'!$B:$B, $C324)))</f>
        <v>Grand Piano</v>
      </c>
      <c r="D325" s="1" t="str">
        <f>VLOOKUP($C325, 'Instrument Table'!$B:$C, 2, FALSE)</f>
        <v>Pianos</v>
      </c>
      <c r="E325" s="1">
        <f t="shared" si="24"/>
        <v>1</v>
      </c>
      <c r="F325" s="1">
        <f>_xlfn.XLOOKUP($C325, 'Instrument Table'!$B:$B, 'Instrument Table'!$A:$A, "")</f>
        <v>10</v>
      </c>
      <c r="G325" s="1" t="str">
        <f>TEXT(IF($B325 = "Retail Item", IF((ROW($A325) - 4504 - _xlfn.XMATCH($C325, $C$4506:$C$5005, 0, 1)) &lt;= VLOOKUP($C325, 'Instrument Table'!$B:$D, 3, FALSE), ROW($A325) - 4504 - _xlfn.XMATCH($C325, $C$4506:$C$5005, 0, 1), 0), 0), "00")</f>
        <v>00</v>
      </c>
      <c r="H325" s="1" t="str">
        <f t="shared" si="25"/>
        <v>319</v>
      </c>
      <c r="I325" s="1" t="str">
        <f t="shared" si="26"/>
        <v>11000-319</v>
      </c>
      <c r="J325" s="1" t="str">
        <f t="shared" si="27"/>
        <v>Grand piano production item #319</v>
      </c>
      <c r="K325" s="1" t="str">
        <f>IF(SUM(COUNTIFS(I:I, I325)) &gt; 1, "DUPLICATE", "UNIQUE")</f>
        <v>UNIQUE</v>
      </c>
      <c r="L325" s="18">
        <v>1</v>
      </c>
      <c r="M325" s="28">
        <v>14</v>
      </c>
      <c r="N325" s="6">
        <v>225</v>
      </c>
      <c r="O325" s="30">
        <f t="shared" si="28"/>
        <v>14</v>
      </c>
      <c r="P325" s="30">
        <f t="shared" si="29"/>
        <v>3150</v>
      </c>
      <c r="Q325" s="1">
        <f>COUNTIFS($P:$P, "&gt;" &amp; $P325) + 1</f>
        <v>2869</v>
      </c>
      <c r="R325" s="63">
        <f>(COUNTIFS($P:$P, "&gt;" &amp; $P325) + 1) / (COUNTA($I:$I) - 1)</f>
        <v>0.57379999999999998</v>
      </c>
      <c r="S325" s="23">
        <f>SUMIFS($P:$P, $Q:$Q, "&lt;" &amp; $Q325)</f>
        <v>184552484</v>
      </c>
    </row>
    <row r="326" spans="1:19" x14ac:dyDescent="0.25">
      <c r="A326" s="1">
        <v>321</v>
      </c>
      <c r="B326" s="1" t="s">
        <v>2</v>
      </c>
      <c r="C326" s="1" t="str">
        <f>IF($B326 = "Production Item", _xlfn.XLOOKUP($A326, 'Instrument Table'!$J:$J, 'Instrument Table'!$B:$B, $C325), IF($B326 = "Service Item", _xlfn.XLOOKUP($A326, 'Instrument Table'!$I:$I, 'Instrument Table'!$B:$B, $C325), _xlfn.XLOOKUP($A326, 'Instrument Table'!$H:$H, 'Instrument Table'!$B:$B, $C325)))</f>
        <v>Grand Piano</v>
      </c>
      <c r="D326" s="1" t="str">
        <f>VLOOKUP($C326, 'Instrument Table'!$B:$C, 2, FALSE)</f>
        <v>Pianos</v>
      </c>
      <c r="E326" s="1">
        <f t="shared" si="24"/>
        <v>1</v>
      </c>
      <c r="F326" s="1">
        <f>_xlfn.XLOOKUP($C326, 'Instrument Table'!$B:$B, 'Instrument Table'!$A:$A, "")</f>
        <v>10</v>
      </c>
      <c r="G326" s="1" t="str">
        <f>TEXT(IF($B326 = "Retail Item", IF((ROW($A326) - 4504 - _xlfn.XMATCH($C326, $C$4506:$C$5005, 0, 1)) &lt;= VLOOKUP($C326, 'Instrument Table'!$B:$D, 3, FALSE), ROW($A326) - 4504 - _xlfn.XMATCH($C326, $C$4506:$C$5005, 0, 1), 0), 0), "00")</f>
        <v>00</v>
      </c>
      <c r="H326" s="1" t="str">
        <f t="shared" si="25"/>
        <v>320</v>
      </c>
      <c r="I326" s="1" t="str">
        <f t="shared" si="26"/>
        <v>11000-320</v>
      </c>
      <c r="J326" s="1" t="str">
        <f t="shared" si="27"/>
        <v>Grand piano production item #320</v>
      </c>
      <c r="K326" s="1" t="str">
        <f>IF(SUM(COUNTIFS(I:I, I326)) &gt; 1, "DUPLICATE", "UNIQUE")</f>
        <v>UNIQUE</v>
      </c>
      <c r="L326" s="18">
        <v>1</v>
      </c>
      <c r="M326" s="28">
        <v>56</v>
      </c>
      <c r="N326" s="6">
        <v>289</v>
      </c>
      <c r="O326" s="30">
        <f t="shared" si="28"/>
        <v>56</v>
      </c>
      <c r="P326" s="30">
        <f t="shared" si="29"/>
        <v>16184</v>
      </c>
      <c r="Q326" s="1">
        <f>COUNTIFS($P:$P, "&gt;" &amp; $P326) + 1</f>
        <v>1268</v>
      </c>
      <c r="R326" s="63">
        <f>(COUNTIFS($P:$P, "&gt;" &amp; $P326) + 1) / (COUNTA($I:$I) - 1)</f>
        <v>0.25359999999999999</v>
      </c>
      <c r="S326" s="23">
        <f>SUMIFS($P:$P, $Q:$Q, "&lt;" &amp; $Q326)</f>
        <v>171462914</v>
      </c>
    </row>
    <row r="327" spans="1:19" x14ac:dyDescent="0.25">
      <c r="A327" s="1">
        <v>322</v>
      </c>
      <c r="B327" s="1" t="s">
        <v>2</v>
      </c>
      <c r="C327" s="1" t="str">
        <f>IF($B327 = "Production Item", _xlfn.XLOOKUP($A327, 'Instrument Table'!$J:$J, 'Instrument Table'!$B:$B, $C326), IF($B327 = "Service Item", _xlfn.XLOOKUP($A327, 'Instrument Table'!$I:$I, 'Instrument Table'!$B:$B, $C326), _xlfn.XLOOKUP($A327, 'Instrument Table'!$H:$H, 'Instrument Table'!$B:$B, $C326)))</f>
        <v>Grand Piano</v>
      </c>
      <c r="D327" s="1" t="str">
        <f>VLOOKUP($C327, 'Instrument Table'!$B:$C, 2, FALSE)</f>
        <v>Pianos</v>
      </c>
      <c r="E327" s="1">
        <f t="shared" ref="E327:E390" si="30">IF($B327 = "Production Item", 1, IF($B327 = "Service Item", 2, IF($B327 = "Retail Item", 3, "")))</f>
        <v>1</v>
      </c>
      <c r="F327" s="1">
        <f>_xlfn.XLOOKUP($C327, 'Instrument Table'!$B:$B, 'Instrument Table'!$A:$A, "")</f>
        <v>10</v>
      </c>
      <c r="G327" s="1" t="str">
        <f>TEXT(IF($B327 = "Retail Item", IF((ROW($A327) - 4504 - _xlfn.XMATCH($C327, $C$4506:$C$5005, 0, 1)) &lt;= VLOOKUP($C327, 'Instrument Table'!$B:$D, 3, FALSE), ROW($A327) - 4504 - _xlfn.XMATCH($C327, $C$4506:$C$5005, 0, 1), 0), 0), "00")</f>
        <v>00</v>
      </c>
      <c r="H327" s="1" t="str">
        <f t="shared" ref="H327:H390" si="31">TEXT(IF($E327 &amp; $F327 &amp; $G327 = $E326 &amp; $F326 &amp; $G326, 1 + H326, 0), "000")</f>
        <v>321</v>
      </c>
      <c r="I327" s="1" t="str">
        <f t="shared" ref="I327:I390" si="32" xml:space="preserve"> _xlfn.CONCAT($E327, $F327, $G327, "-", H327)</f>
        <v>11000-321</v>
      </c>
      <c r="J327" s="1" t="str">
        <f t="shared" ref="J327:J390" si="33">LEFT($C327, 1) &amp; LOWER(RIGHT($C327, LEN($C327) - 1)) &amp; IF(AND($G327 &lt;&gt; "00", $B327 = "Retail Item"), " model #" &amp; $G327, " " &amp; LOWER($B327) &amp; " #" &amp; $H327)</f>
        <v>Grand piano production item #321</v>
      </c>
      <c r="K327" s="1" t="str">
        <f>IF(SUM(COUNTIFS(I:I, I327)) &gt; 1, "DUPLICATE", "UNIQUE")</f>
        <v>UNIQUE</v>
      </c>
      <c r="L327" s="18">
        <v>32</v>
      </c>
      <c r="M327" s="28">
        <v>79</v>
      </c>
      <c r="N327" s="6">
        <v>324</v>
      </c>
      <c r="O327" s="30">
        <f t="shared" ref="O327:O390" si="34">$L327 * $M327</f>
        <v>2528</v>
      </c>
      <c r="P327" s="30">
        <f t="shared" ref="P327:P390" si="35">$N327 * $M327</f>
        <v>25596</v>
      </c>
      <c r="Q327" s="1">
        <f>COUNTIFS($P:$P, "&gt;" &amp; $P327) + 1</f>
        <v>810</v>
      </c>
      <c r="R327" s="63">
        <f>(COUNTIFS($P:$P, "&gt;" &amp; $P327) + 1) / (COUNTA($I:$I) - 1)</f>
        <v>0.16200000000000001</v>
      </c>
      <c r="S327" s="23">
        <f>SUMIFS($P:$P, $Q:$Q, "&lt;" &amp; $Q327)</f>
        <v>162084341</v>
      </c>
    </row>
    <row r="328" spans="1:19" x14ac:dyDescent="0.25">
      <c r="A328" s="1">
        <v>323</v>
      </c>
      <c r="B328" s="1" t="s">
        <v>2</v>
      </c>
      <c r="C328" s="1" t="str">
        <f>IF($B328 = "Production Item", _xlfn.XLOOKUP($A328, 'Instrument Table'!$J:$J, 'Instrument Table'!$B:$B, $C327), IF($B328 = "Service Item", _xlfn.XLOOKUP($A328, 'Instrument Table'!$I:$I, 'Instrument Table'!$B:$B, $C327), _xlfn.XLOOKUP($A328, 'Instrument Table'!$H:$H, 'Instrument Table'!$B:$B, $C327)))</f>
        <v>Grand Piano</v>
      </c>
      <c r="D328" s="1" t="str">
        <f>VLOOKUP($C328, 'Instrument Table'!$B:$C, 2, FALSE)</f>
        <v>Pianos</v>
      </c>
      <c r="E328" s="1">
        <f t="shared" si="30"/>
        <v>1</v>
      </c>
      <c r="F328" s="1">
        <f>_xlfn.XLOOKUP($C328, 'Instrument Table'!$B:$B, 'Instrument Table'!$A:$A, "")</f>
        <v>10</v>
      </c>
      <c r="G328" s="1" t="str">
        <f>TEXT(IF($B328 = "Retail Item", IF((ROW($A328) - 4504 - _xlfn.XMATCH($C328, $C$4506:$C$5005, 0, 1)) &lt;= VLOOKUP($C328, 'Instrument Table'!$B:$D, 3, FALSE), ROW($A328) - 4504 - _xlfn.XMATCH($C328, $C$4506:$C$5005, 0, 1), 0), 0), "00")</f>
        <v>00</v>
      </c>
      <c r="H328" s="1" t="str">
        <f t="shared" si="31"/>
        <v>322</v>
      </c>
      <c r="I328" s="1" t="str">
        <f t="shared" si="32"/>
        <v>11000-322</v>
      </c>
      <c r="J328" s="1" t="str">
        <f t="shared" si="33"/>
        <v>Grand piano production item #322</v>
      </c>
      <c r="K328" s="1" t="str">
        <f>IF(SUM(COUNTIFS(I:I, I328)) &gt; 1, "DUPLICATE", "UNIQUE")</f>
        <v>UNIQUE</v>
      </c>
      <c r="L328" s="18">
        <v>0</v>
      </c>
      <c r="M328" s="28">
        <v>14</v>
      </c>
      <c r="N328" s="6">
        <v>121</v>
      </c>
      <c r="O328" s="30">
        <f t="shared" si="34"/>
        <v>0</v>
      </c>
      <c r="P328" s="30">
        <f t="shared" si="35"/>
        <v>1694</v>
      </c>
      <c r="Q328" s="1">
        <f>COUNTIFS($P:$P, "&gt;" &amp; $P328) + 1</f>
        <v>3372</v>
      </c>
      <c r="R328" s="63">
        <f>(COUNTIFS($P:$P, "&gt;" &amp; $P328) + 1) / (COUNTA($I:$I) - 1)</f>
        <v>0.6744</v>
      </c>
      <c r="S328" s="23">
        <f>SUMIFS($P:$P, $Q:$Q, "&lt;" &amp; $Q328)</f>
        <v>185738674</v>
      </c>
    </row>
    <row r="329" spans="1:19" x14ac:dyDescent="0.25">
      <c r="A329" s="1">
        <v>324</v>
      </c>
      <c r="B329" s="1" t="s">
        <v>2</v>
      </c>
      <c r="C329" s="1" t="str">
        <f>IF($B329 = "Production Item", _xlfn.XLOOKUP($A329, 'Instrument Table'!$J:$J, 'Instrument Table'!$B:$B, $C328), IF($B329 = "Service Item", _xlfn.XLOOKUP($A329, 'Instrument Table'!$I:$I, 'Instrument Table'!$B:$B, $C328), _xlfn.XLOOKUP($A329, 'Instrument Table'!$H:$H, 'Instrument Table'!$B:$B, $C328)))</f>
        <v>Grand Piano</v>
      </c>
      <c r="D329" s="1" t="str">
        <f>VLOOKUP($C329, 'Instrument Table'!$B:$C, 2, FALSE)</f>
        <v>Pianos</v>
      </c>
      <c r="E329" s="1">
        <f t="shared" si="30"/>
        <v>1</v>
      </c>
      <c r="F329" s="1">
        <f>_xlfn.XLOOKUP($C329, 'Instrument Table'!$B:$B, 'Instrument Table'!$A:$A, "")</f>
        <v>10</v>
      </c>
      <c r="G329" s="1" t="str">
        <f>TEXT(IF($B329 = "Retail Item", IF((ROW($A329) - 4504 - _xlfn.XMATCH($C329, $C$4506:$C$5005, 0, 1)) &lt;= VLOOKUP($C329, 'Instrument Table'!$B:$D, 3, FALSE), ROW($A329) - 4504 - _xlfn.XMATCH($C329, $C$4506:$C$5005, 0, 1), 0), 0), "00")</f>
        <v>00</v>
      </c>
      <c r="H329" s="1" t="str">
        <f t="shared" si="31"/>
        <v>323</v>
      </c>
      <c r="I329" s="1" t="str">
        <f t="shared" si="32"/>
        <v>11000-323</v>
      </c>
      <c r="J329" s="1" t="str">
        <f t="shared" si="33"/>
        <v>Grand piano production item #323</v>
      </c>
      <c r="K329" s="1" t="str">
        <f>IF(SUM(COUNTIFS(I:I, I329)) &gt; 1, "DUPLICATE", "UNIQUE")</f>
        <v>UNIQUE</v>
      </c>
      <c r="L329" s="18">
        <v>0</v>
      </c>
      <c r="M329" s="28">
        <v>91</v>
      </c>
      <c r="N329" s="6">
        <v>9</v>
      </c>
      <c r="O329" s="30">
        <f t="shared" si="34"/>
        <v>0</v>
      </c>
      <c r="P329" s="30">
        <f t="shared" si="35"/>
        <v>819</v>
      </c>
      <c r="Q329" s="1">
        <f>COUNTIFS($P:$P, "&gt;" &amp; $P329) + 1</f>
        <v>3780</v>
      </c>
      <c r="R329" s="63">
        <f>(COUNTIFS($P:$P, "&gt;" &amp; $P329) + 1) / (COUNTA($I:$I) - 1)</f>
        <v>0.75600000000000001</v>
      </c>
      <c r="S329" s="23">
        <f>SUMIFS($P:$P, $Q:$Q, "&lt;" &amp; $Q329)</f>
        <v>186249566</v>
      </c>
    </row>
    <row r="330" spans="1:19" x14ac:dyDescent="0.25">
      <c r="A330" s="1">
        <v>325</v>
      </c>
      <c r="B330" s="1" t="s">
        <v>2</v>
      </c>
      <c r="C330" s="1" t="str">
        <f>IF($B330 = "Production Item", _xlfn.XLOOKUP($A330, 'Instrument Table'!$J:$J, 'Instrument Table'!$B:$B, $C329), IF($B330 = "Service Item", _xlfn.XLOOKUP($A330, 'Instrument Table'!$I:$I, 'Instrument Table'!$B:$B, $C329), _xlfn.XLOOKUP($A330, 'Instrument Table'!$H:$H, 'Instrument Table'!$B:$B, $C329)))</f>
        <v>Grand Piano</v>
      </c>
      <c r="D330" s="1" t="str">
        <f>VLOOKUP($C330, 'Instrument Table'!$B:$C, 2, FALSE)</f>
        <v>Pianos</v>
      </c>
      <c r="E330" s="1">
        <f t="shared" si="30"/>
        <v>1</v>
      </c>
      <c r="F330" s="1">
        <f>_xlfn.XLOOKUP($C330, 'Instrument Table'!$B:$B, 'Instrument Table'!$A:$A, "")</f>
        <v>10</v>
      </c>
      <c r="G330" s="1" t="str">
        <f>TEXT(IF($B330 = "Retail Item", IF((ROW($A330) - 4504 - _xlfn.XMATCH($C330, $C$4506:$C$5005, 0, 1)) &lt;= VLOOKUP($C330, 'Instrument Table'!$B:$D, 3, FALSE), ROW($A330) - 4504 - _xlfn.XMATCH($C330, $C$4506:$C$5005, 0, 1), 0), 0), "00")</f>
        <v>00</v>
      </c>
      <c r="H330" s="1" t="str">
        <f t="shared" si="31"/>
        <v>324</v>
      </c>
      <c r="I330" s="1" t="str">
        <f t="shared" si="32"/>
        <v>11000-324</v>
      </c>
      <c r="J330" s="1" t="str">
        <f t="shared" si="33"/>
        <v>Grand piano production item #324</v>
      </c>
      <c r="K330" s="1" t="str">
        <f>IF(SUM(COUNTIFS(I:I, I330)) &gt; 1, "DUPLICATE", "UNIQUE")</f>
        <v>UNIQUE</v>
      </c>
      <c r="L330" s="18">
        <v>0</v>
      </c>
      <c r="M330" s="28">
        <v>95</v>
      </c>
      <c r="N330" s="6">
        <v>256</v>
      </c>
      <c r="O330" s="30">
        <f t="shared" si="34"/>
        <v>0</v>
      </c>
      <c r="P330" s="30">
        <f t="shared" si="35"/>
        <v>24320</v>
      </c>
      <c r="Q330" s="1">
        <f>COUNTIFS($P:$P, "&gt;" &amp; $P330) + 1</f>
        <v>861</v>
      </c>
      <c r="R330" s="63">
        <f>(COUNTIFS($P:$P, "&gt;" &amp; $P330) + 1) / (COUNTA($I:$I) - 1)</f>
        <v>0.17219999999999999</v>
      </c>
      <c r="S330" s="23">
        <f>SUMIFS($P:$P, $Q:$Q, "&lt;" &amp; $Q330)</f>
        <v>163353057</v>
      </c>
    </row>
    <row r="331" spans="1:19" x14ac:dyDescent="0.25">
      <c r="A331" s="1">
        <v>326</v>
      </c>
      <c r="B331" s="1" t="s">
        <v>2</v>
      </c>
      <c r="C331" s="1" t="str">
        <f>IF($B331 = "Production Item", _xlfn.XLOOKUP($A331, 'Instrument Table'!$J:$J, 'Instrument Table'!$B:$B, $C330), IF($B331 = "Service Item", _xlfn.XLOOKUP($A331, 'Instrument Table'!$I:$I, 'Instrument Table'!$B:$B, $C330), _xlfn.XLOOKUP($A331, 'Instrument Table'!$H:$H, 'Instrument Table'!$B:$B, $C330)))</f>
        <v>Grand Piano</v>
      </c>
      <c r="D331" s="1" t="str">
        <f>VLOOKUP($C331, 'Instrument Table'!$B:$C, 2, FALSE)</f>
        <v>Pianos</v>
      </c>
      <c r="E331" s="1">
        <f t="shared" si="30"/>
        <v>1</v>
      </c>
      <c r="F331" s="1">
        <f>_xlfn.XLOOKUP($C331, 'Instrument Table'!$B:$B, 'Instrument Table'!$A:$A, "")</f>
        <v>10</v>
      </c>
      <c r="G331" s="1" t="str">
        <f>TEXT(IF($B331 = "Retail Item", IF((ROW($A331) - 4504 - _xlfn.XMATCH($C331, $C$4506:$C$5005, 0, 1)) &lt;= VLOOKUP($C331, 'Instrument Table'!$B:$D, 3, FALSE), ROW($A331) - 4504 - _xlfn.XMATCH($C331, $C$4506:$C$5005, 0, 1), 0), 0), "00")</f>
        <v>00</v>
      </c>
      <c r="H331" s="1" t="str">
        <f t="shared" si="31"/>
        <v>325</v>
      </c>
      <c r="I331" s="1" t="str">
        <f t="shared" si="32"/>
        <v>11000-325</v>
      </c>
      <c r="J331" s="1" t="str">
        <f t="shared" si="33"/>
        <v>Grand piano production item #325</v>
      </c>
      <c r="K331" s="1" t="str">
        <f>IF(SUM(COUNTIFS(I:I, I331)) &gt; 1, "DUPLICATE", "UNIQUE")</f>
        <v>UNIQUE</v>
      </c>
      <c r="L331" s="18">
        <v>0</v>
      </c>
      <c r="M331" s="28">
        <v>31</v>
      </c>
      <c r="N331" s="6">
        <v>121</v>
      </c>
      <c r="O331" s="30">
        <f t="shared" si="34"/>
        <v>0</v>
      </c>
      <c r="P331" s="30">
        <f t="shared" si="35"/>
        <v>3751</v>
      </c>
      <c r="Q331" s="1">
        <f>COUNTIFS($P:$P, "&gt;" &amp; $P331) + 1</f>
        <v>2707</v>
      </c>
      <c r="R331" s="63">
        <f>(COUNTIFS($P:$P, "&gt;" &amp; $P331) + 1) / (COUNTA($I:$I) - 1)</f>
        <v>0.54139999999999999</v>
      </c>
      <c r="S331" s="23">
        <f>SUMIFS($P:$P, $Q:$Q, "&lt;" &amp; $Q331)</f>
        <v>183993129</v>
      </c>
    </row>
    <row r="332" spans="1:19" x14ac:dyDescent="0.25">
      <c r="A332" s="1">
        <v>327</v>
      </c>
      <c r="B332" s="1" t="s">
        <v>2</v>
      </c>
      <c r="C332" s="1" t="str">
        <f>IF($B332 = "Production Item", _xlfn.XLOOKUP($A332, 'Instrument Table'!$J:$J, 'Instrument Table'!$B:$B, $C331), IF($B332 = "Service Item", _xlfn.XLOOKUP($A332, 'Instrument Table'!$I:$I, 'Instrument Table'!$B:$B, $C331), _xlfn.XLOOKUP($A332, 'Instrument Table'!$H:$H, 'Instrument Table'!$B:$B, $C331)))</f>
        <v>Grand Piano</v>
      </c>
      <c r="D332" s="1" t="str">
        <f>VLOOKUP($C332, 'Instrument Table'!$B:$C, 2, FALSE)</f>
        <v>Pianos</v>
      </c>
      <c r="E332" s="1">
        <f t="shared" si="30"/>
        <v>1</v>
      </c>
      <c r="F332" s="1">
        <f>_xlfn.XLOOKUP($C332, 'Instrument Table'!$B:$B, 'Instrument Table'!$A:$A, "")</f>
        <v>10</v>
      </c>
      <c r="G332" s="1" t="str">
        <f>TEXT(IF($B332 = "Retail Item", IF((ROW($A332) - 4504 - _xlfn.XMATCH($C332, $C$4506:$C$5005, 0, 1)) &lt;= VLOOKUP($C332, 'Instrument Table'!$B:$D, 3, FALSE), ROW($A332) - 4504 - _xlfn.XMATCH($C332, $C$4506:$C$5005, 0, 1), 0), 0), "00")</f>
        <v>00</v>
      </c>
      <c r="H332" s="1" t="str">
        <f t="shared" si="31"/>
        <v>326</v>
      </c>
      <c r="I332" s="1" t="str">
        <f t="shared" si="32"/>
        <v>11000-326</v>
      </c>
      <c r="J332" s="1" t="str">
        <f t="shared" si="33"/>
        <v>Grand piano production item #326</v>
      </c>
      <c r="K332" s="1" t="str">
        <f>IF(SUM(COUNTIFS(I:I, I332)) &gt; 1, "DUPLICATE", "UNIQUE")</f>
        <v>UNIQUE</v>
      </c>
      <c r="L332" s="18">
        <v>0</v>
      </c>
      <c r="M332" s="28">
        <v>14</v>
      </c>
      <c r="N332" s="6">
        <v>100</v>
      </c>
      <c r="O332" s="30">
        <f t="shared" si="34"/>
        <v>0</v>
      </c>
      <c r="P332" s="30">
        <f t="shared" si="35"/>
        <v>1400</v>
      </c>
      <c r="Q332" s="1">
        <f>COUNTIFS($P:$P, "&gt;" &amp; $P332) + 1</f>
        <v>3510</v>
      </c>
      <c r="R332" s="63">
        <f>(COUNTIFS($P:$P, "&gt;" &amp; $P332) + 1) / (COUNTA($I:$I) - 1)</f>
        <v>0.70199999999999996</v>
      </c>
      <c r="S332" s="23">
        <f>SUMIFS($P:$P, $Q:$Q, "&lt;" &amp; $Q332)</f>
        <v>185951547</v>
      </c>
    </row>
    <row r="333" spans="1:19" x14ac:dyDescent="0.25">
      <c r="A333" s="1">
        <v>328</v>
      </c>
      <c r="B333" s="1" t="s">
        <v>2</v>
      </c>
      <c r="C333" s="1" t="str">
        <f>IF($B333 = "Production Item", _xlfn.XLOOKUP($A333, 'Instrument Table'!$J:$J, 'Instrument Table'!$B:$B, $C332), IF($B333 = "Service Item", _xlfn.XLOOKUP($A333, 'Instrument Table'!$I:$I, 'Instrument Table'!$B:$B, $C332), _xlfn.XLOOKUP($A333, 'Instrument Table'!$H:$H, 'Instrument Table'!$B:$B, $C332)))</f>
        <v>Grand Piano</v>
      </c>
      <c r="D333" s="1" t="str">
        <f>VLOOKUP($C333, 'Instrument Table'!$B:$C, 2, FALSE)</f>
        <v>Pianos</v>
      </c>
      <c r="E333" s="1">
        <f t="shared" si="30"/>
        <v>1</v>
      </c>
      <c r="F333" s="1">
        <f>_xlfn.XLOOKUP($C333, 'Instrument Table'!$B:$B, 'Instrument Table'!$A:$A, "")</f>
        <v>10</v>
      </c>
      <c r="G333" s="1" t="str">
        <f>TEXT(IF($B333 = "Retail Item", IF((ROW($A333) - 4504 - _xlfn.XMATCH($C333, $C$4506:$C$5005, 0, 1)) &lt;= VLOOKUP($C333, 'Instrument Table'!$B:$D, 3, FALSE), ROW($A333) - 4504 - _xlfn.XMATCH($C333, $C$4506:$C$5005, 0, 1), 0), 0), "00")</f>
        <v>00</v>
      </c>
      <c r="H333" s="1" t="str">
        <f t="shared" si="31"/>
        <v>327</v>
      </c>
      <c r="I333" s="1" t="str">
        <f t="shared" si="32"/>
        <v>11000-327</v>
      </c>
      <c r="J333" s="1" t="str">
        <f t="shared" si="33"/>
        <v>Grand piano production item #327</v>
      </c>
      <c r="K333" s="1" t="str">
        <f>IF(SUM(COUNTIFS(I:I, I333)) &gt; 1, "DUPLICATE", "UNIQUE")</f>
        <v>UNIQUE</v>
      </c>
      <c r="L333" s="18">
        <v>0</v>
      </c>
      <c r="M333" s="28">
        <v>97</v>
      </c>
      <c r="N333" s="6">
        <v>169</v>
      </c>
      <c r="O333" s="30">
        <f t="shared" si="34"/>
        <v>0</v>
      </c>
      <c r="P333" s="30">
        <f t="shared" si="35"/>
        <v>16393</v>
      </c>
      <c r="Q333" s="1">
        <f>COUNTIFS($P:$P, "&gt;" &amp; $P333) + 1</f>
        <v>1254</v>
      </c>
      <c r="R333" s="63">
        <f>(COUNTIFS($P:$P, "&gt;" &amp; $P333) + 1) / (COUNTA($I:$I) - 1)</f>
        <v>0.25080000000000002</v>
      </c>
      <c r="S333" s="23">
        <f>SUMIFS($P:$P, $Q:$Q, "&lt;" &amp; $Q333)</f>
        <v>171235223</v>
      </c>
    </row>
    <row r="334" spans="1:19" x14ac:dyDescent="0.25">
      <c r="A334" s="1">
        <v>329</v>
      </c>
      <c r="B334" s="1" t="s">
        <v>2</v>
      </c>
      <c r="C334" s="1" t="str">
        <f>IF($B334 = "Production Item", _xlfn.XLOOKUP($A334, 'Instrument Table'!$J:$J, 'Instrument Table'!$B:$B, $C333), IF($B334 = "Service Item", _xlfn.XLOOKUP($A334, 'Instrument Table'!$I:$I, 'Instrument Table'!$B:$B, $C333), _xlfn.XLOOKUP($A334, 'Instrument Table'!$H:$H, 'Instrument Table'!$B:$B, $C333)))</f>
        <v>Grand Piano</v>
      </c>
      <c r="D334" s="1" t="str">
        <f>VLOOKUP($C334, 'Instrument Table'!$B:$C, 2, FALSE)</f>
        <v>Pianos</v>
      </c>
      <c r="E334" s="1">
        <f t="shared" si="30"/>
        <v>1</v>
      </c>
      <c r="F334" s="1">
        <f>_xlfn.XLOOKUP($C334, 'Instrument Table'!$B:$B, 'Instrument Table'!$A:$A, "")</f>
        <v>10</v>
      </c>
      <c r="G334" s="1" t="str">
        <f>TEXT(IF($B334 = "Retail Item", IF((ROW($A334) - 4504 - _xlfn.XMATCH($C334, $C$4506:$C$5005, 0, 1)) &lt;= VLOOKUP($C334, 'Instrument Table'!$B:$D, 3, FALSE), ROW($A334) - 4504 - _xlfn.XMATCH($C334, $C$4506:$C$5005, 0, 1), 0), 0), "00")</f>
        <v>00</v>
      </c>
      <c r="H334" s="1" t="str">
        <f t="shared" si="31"/>
        <v>328</v>
      </c>
      <c r="I334" s="1" t="str">
        <f t="shared" si="32"/>
        <v>11000-328</v>
      </c>
      <c r="J334" s="1" t="str">
        <f t="shared" si="33"/>
        <v>Grand piano production item #328</v>
      </c>
      <c r="K334" s="1" t="str">
        <f>IF(SUM(COUNTIFS(I:I, I334)) &gt; 1, "DUPLICATE", "UNIQUE")</f>
        <v>UNIQUE</v>
      </c>
      <c r="L334" s="18">
        <v>2</v>
      </c>
      <c r="M334" s="28">
        <v>89</v>
      </c>
      <c r="N334" s="6">
        <v>225</v>
      </c>
      <c r="O334" s="30">
        <f t="shared" si="34"/>
        <v>178</v>
      </c>
      <c r="P334" s="30">
        <f t="shared" si="35"/>
        <v>20025</v>
      </c>
      <c r="Q334" s="1">
        <f>COUNTIFS($P:$P, "&gt;" &amp; $P334) + 1</f>
        <v>1055</v>
      </c>
      <c r="R334" s="63">
        <f>(COUNTIFS($P:$P, "&gt;" &amp; $P334) + 1) / (COUNTA($I:$I) - 1)</f>
        <v>0.21099999999999999</v>
      </c>
      <c r="S334" s="23">
        <f>SUMIFS($P:$P, $Q:$Q, "&lt;" &amp; $Q334)</f>
        <v>167623196</v>
      </c>
    </row>
    <row r="335" spans="1:19" x14ac:dyDescent="0.25">
      <c r="A335" s="1">
        <v>330</v>
      </c>
      <c r="B335" s="1" t="s">
        <v>2</v>
      </c>
      <c r="C335" s="1" t="str">
        <f>IF($B335 = "Production Item", _xlfn.XLOOKUP($A335, 'Instrument Table'!$J:$J, 'Instrument Table'!$B:$B, $C334), IF($B335 = "Service Item", _xlfn.XLOOKUP($A335, 'Instrument Table'!$I:$I, 'Instrument Table'!$B:$B, $C334), _xlfn.XLOOKUP($A335, 'Instrument Table'!$H:$H, 'Instrument Table'!$B:$B, $C334)))</f>
        <v>Grand Piano</v>
      </c>
      <c r="D335" s="1" t="str">
        <f>VLOOKUP($C335, 'Instrument Table'!$B:$C, 2, FALSE)</f>
        <v>Pianos</v>
      </c>
      <c r="E335" s="1">
        <f t="shared" si="30"/>
        <v>1</v>
      </c>
      <c r="F335" s="1">
        <f>_xlfn.XLOOKUP($C335, 'Instrument Table'!$B:$B, 'Instrument Table'!$A:$A, "")</f>
        <v>10</v>
      </c>
      <c r="G335" s="1" t="str">
        <f>TEXT(IF($B335 = "Retail Item", IF((ROW($A335) - 4504 - _xlfn.XMATCH($C335, $C$4506:$C$5005, 0, 1)) &lt;= VLOOKUP($C335, 'Instrument Table'!$B:$D, 3, FALSE), ROW($A335) - 4504 - _xlfn.XMATCH($C335, $C$4506:$C$5005, 0, 1), 0), 0), "00")</f>
        <v>00</v>
      </c>
      <c r="H335" s="1" t="str">
        <f t="shared" si="31"/>
        <v>329</v>
      </c>
      <c r="I335" s="1" t="str">
        <f t="shared" si="32"/>
        <v>11000-329</v>
      </c>
      <c r="J335" s="1" t="str">
        <f t="shared" si="33"/>
        <v>Grand piano production item #329</v>
      </c>
      <c r="K335" s="1" t="str">
        <f>IF(SUM(COUNTIFS(I:I, I335)) &gt; 1, "DUPLICATE", "UNIQUE")</f>
        <v>UNIQUE</v>
      </c>
      <c r="L335" s="18">
        <v>0</v>
      </c>
      <c r="M335" s="28">
        <v>77</v>
      </c>
      <c r="N335" s="6">
        <v>225</v>
      </c>
      <c r="O335" s="30">
        <f t="shared" si="34"/>
        <v>0</v>
      </c>
      <c r="P335" s="30">
        <f t="shared" si="35"/>
        <v>17325</v>
      </c>
      <c r="Q335" s="1">
        <f>COUNTIFS($P:$P, "&gt;" &amp; $P335) + 1</f>
        <v>1200</v>
      </c>
      <c r="R335" s="63">
        <f>(COUNTIFS($P:$P, "&gt;" &amp; $P335) + 1) / (COUNTA($I:$I) - 1)</f>
        <v>0.24</v>
      </c>
      <c r="S335" s="23">
        <f>SUMIFS($P:$P, $Q:$Q, "&lt;" &amp; $Q335)</f>
        <v>170326211</v>
      </c>
    </row>
    <row r="336" spans="1:19" x14ac:dyDescent="0.25">
      <c r="A336" s="1">
        <v>331</v>
      </c>
      <c r="B336" s="1" t="s">
        <v>2</v>
      </c>
      <c r="C336" s="1" t="str">
        <f>IF($B336 = "Production Item", _xlfn.XLOOKUP($A336, 'Instrument Table'!$J:$J, 'Instrument Table'!$B:$B, $C335), IF($B336 = "Service Item", _xlfn.XLOOKUP($A336, 'Instrument Table'!$I:$I, 'Instrument Table'!$B:$B, $C335), _xlfn.XLOOKUP($A336, 'Instrument Table'!$H:$H, 'Instrument Table'!$B:$B, $C335)))</f>
        <v>Grand Piano</v>
      </c>
      <c r="D336" s="1" t="str">
        <f>VLOOKUP($C336, 'Instrument Table'!$B:$C, 2, FALSE)</f>
        <v>Pianos</v>
      </c>
      <c r="E336" s="1">
        <f t="shared" si="30"/>
        <v>1</v>
      </c>
      <c r="F336" s="1">
        <f>_xlfn.XLOOKUP($C336, 'Instrument Table'!$B:$B, 'Instrument Table'!$A:$A, "")</f>
        <v>10</v>
      </c>
      <c r="G336" s="1" t="str">
        <f>TEXT(IF($B336 = "Retail Item", IF((ROW($A336) - 4504 - _xlfn.XMATCH($C336, $C$4506:$C$5005, 0, 1)) &lt;= VLOOKUP($C336, 'Instrument Table'!$B:$D, 3, FALSE), ROW($A336) - 4504 - _xlfn.XMATCH($C336, $C$4506:$C$5005, 0, 1), 0), 0), "00")</f>
        <v>00</v>
      </c>
      <c r="H336" s="1" t="str">
        <f t="shared" si="31"/>
        <v>330</v>
      </c>
      <c r="I336" s="1" t="str">
        <f t="shared" si="32"/>
        <v>11000-330</v>
      </c>
      <c r="J336" s="1" t="str">
        <f t="shared" si="33"/>
        <v>Grand piano production item #330</v>
      </c>
      <c r="K336" s="1" t="str">
        <f>IF(SUM(COUNTIFS(I:I, I336)) &gt; 1, "DUPLICATE", "UNIQUE")</f>
        <v>UNIQUE</v>
      </c>
      <c r="L336" s="18">
        <v>1</v>
      </c>
      <c r="M336" s="28">
        <v>41</v>
      </c>
      <c r="N336" s="6">
        <v>169</v>
      </c>
      <c r="O336" s="30">
        <f t="shared" si="34"/>
        <v>41</v>
      </c>
      <c r="P336" s="30">
        <f t="shared" si="35"/>
        <v>6929</v>
      </c>
      <c r="Q336" s="1">
        <f>COUNTIFS($P:$P, "&gt;" &amp; $P336) + 1</f>
        <v>2144</v>
      </c>
      <c r="R336" s="63">
        <f>(COUNTIFS($P:$P, "&gt;" &amp; $P336) + 1) / (COUNTA($I:$I) - 1)</f>
        <v>0.42880000000000001</v>
      </c>
      <c r="S336" s="23">
        <f>SUMIFS($P:$P, $Q:$Q, "&lt;" &amp; $Q336)</f>
        <v>181072180</v>
      </c>
    </row>
    <row r="337" spans="1:19" x14ac:dyDescent="0.25">
      <c r="A337" s="1">
        <v>332</v>
      </c>
      <c r="B337" s="1" t="s">
        <v>2</v>
      </c>
      <c r="C337" s="1" t="str">
        <f>IF($B337 = "Production Item", _xlfn.XLOOKUP($A337, 'Instrument Table'!$J:$J, 'Instrument Table'!$B:$B, $C336), IF($B337 = "Service Item", _xlfn.XLOOKUP($A337, 'Instrument Table'!$I:$I, 'Instrument Table'!$B:$B, $C336), _xlfn.XLOOKUP($A337, 'Instrument Table'!$H:$H, 'Instrument Table'!$B:$B, $C336)))</f>
        <v>Grand Piano</v>
      </c>
      <c r="D337" s="1" t="str">
        <f>VLOOKUP($C337, 'Instrument Table'!$B:$C, 2, FALSE)</f>
        <v>Pianos</v>
      </c>
      <c r="E337" s="1">
        <f t="shared" si="30"/>
        <v>1</v>
      </c>
      <c r="F337" s="1">
        <f>_xlfn.XLOOKUP($C337, 'Instrument Table'!$B:$B, 'Instrument Table'!$A:$A, "")</f>
        <v>10</v>
      </c>
      <c r="G337" s="1" t="str">
        <f>TEXT(IF($B337 = "Retail Item", IF((ROW($A337) - 4504 - _xlfn.XMATCH($C337, $C$4506:$C$5005, 0, 1)) &lt;= VLOOKUP($C337, 'Instrument Table'!$B:$D, 3, FALSE), ROW($A337) - 4504 - _xlfn.XMATCH($C337, $C$4506:$C$5005, 0, 1), 0), 0), "00")</f>
        <v>00</v>
      </c>
      <c r="H337" s="1" t="str">
        <f t="shared" si="31"/>
        <v>331</v>
      </c>
      <c r="I337" s="1" t="str">
        <f t="shared" si="32"/>
        <v>11000-331</v>
      </c>
      <c r="J337" s="1" t="str">
        <f t="shared" si="33"/>
        <v>Grand piano production item #331</v>
      </c>
      <c r="K337" s="1" t="str">
        <f>IF(SUM(COUNTIFS(I:I, I337)) &gt; 1, "DUPLICATE", "UNIQUE")</f>
        <v>UNIQUE</v>
      </c>
      <c r="L337" s="18">
        <v>2</v>
      </c>
      <c r="M337" s="28">
        <v>76</v>
      </c>
      <c r="N337" s="6">
        <v>100</v>
      </c>
      <c r="O337" s="30">
        <f t="shared" si="34"/>
        <v>152</v>
      </c>
      <c r="P337" s="30">
        <f t="shared" si="35"/>
        <v>7600</v>
      </c>
      <c r="Q337" s="1">
        <f>COUNTIFS($P:$P, "&gt;" &amp; $P337) + 1</f>
        <v>2061</v>
      </c>
      <c r="R337" s="63">
        <f>(COUNTIFS($P:$P, "&gt;" &amp; $P337) + 1) / (COUNTA($I:$I) - 1)</f>
        <v>0.41220000000000001</v>
      </c>
      <c r="S337" s="23">
        <f>SUMIFS($P:$P, $Q:$Q, "&lt;" &amp; $Q337)</f>
        <v>180468906</v>
      </c>
    </row>
    <row r="338" spans="1:19" x14ac:dyDescent="0.25">
      <c r="A338" s="1">
        <v>333</v>
      </c>
      <c r="B338" s="1" t="s">
        <v>2</v>
      </c>
      <c r="C338" s="1" t="str">
        <f>IF($B338 = "Production Item", _xlfn.XLOOKUP($A338, 'Instrument Table'!$J:$J, 'Instrument Table'!$B:$B, $C337), IF($B338 = "Service Item", _xlfn.XLOOKUP($A338, 'Instrument Table'!$I:$I, 'Instrument Table'!$B:$B, $C337), _xlfn.XLOOKUP($A338, 'Instrument Table'!$H:$H, 'Instrument Table'!$B:$B, $C337)))</f>
        <v>Grand Piano</v>
      </c>
      <c r="D338" s="1" t="str">
        <f>VLOOKUP($C338, 'Instrument Table'!$B:$C, 2, FALSE)</f>
        <v>Pianos</v>
      </c>
      <c r="E338" s="1">
        <f t="shared" si="30"/>
        <v>1</v>
      </c>
      <c r="F338" s="1">
        <f>_xlfn.XLOOKUP($C338, 'Instrument Table'!$B:$B, 'Instrument Table'!$A:$A, "")</f>
        <v>10</v>
      </c>
      <c r="G338" s="1" t="str">
        <f>TEXT(IF($B338 = "Retail Item", IF((ROW($A338) - 4504 - _xlfn.XMATCH($C338, $C$4506:$C$5005, 0, 1)) &lt;= VLOOKUP($C338, 'Instrument Table'!$B:$D, 3, FALSE), ROW($A338) - 4504 - _xlfn.XMATCH($C338, $C$4506:$C$5005, 0, 1), 0), 0), "00")</f>
        <v>00</v>
      </c>
      <c r="H338" s="1" t="str">
        <f t="shared" si="31"/>
        <v>332</v>
      </c>
      <c r="I338" s="1" t="str">
        <f t="shared" si="32"/>
        <v>11000-332</v>
      </c>
      <c r="J338" s="1" t="str">
        <f t="shared" si="33"/>
        <v>Grand piano production item #332</v>
      </c>
      <c r="K338" s="1" t="str">
        <f>IF(SUM(COUNTIFS(I:I, I338)) &gt; 1, "DUPLICATE", "UNIQUE")</f>
        <v>UNIQUE</v>
      </c>
      <c r="L338" s="18">
        <v>1</v>
      </c>
      <c r="M338" s="28">
        <v>64</v>
      </c>
      <c r="N338" s="6">
        <v>1</v>
      </c>
      <c r="O338" s="30">
        <f t="shared" si="34"/>
        <v>64</v>
      </c>
      <c r="P338" s="30">
        <f t="shared" si="35"/>
        <v>64</v>
      </c>
      <c r="Q338" s="1">
        <f>COUNTIFS($P:$P, "&gt;" &amp; $P338) + 1</f>
        <v>4553</v>
      </c>
      <c r="R338" s="63">
        <f>(COUNTIFS($P:$P, "&gt;" &amp; $P338) + 1) / (COUNTA($I:$I) - 1)</f>
        <v>0.91059999999999997</v>
      </c>
      <c r="S338" s="23">
        <f>SUMIFS($P:$P, $Q:$Q, "&lt;" &amp; $Q338)</f>
        <v>186540850</v>
      </c>
    </row>
    <row r="339" spans="1:19" x14ac:dyDescent="0.25">
      <c r="A339" s="1">
        <v>334</v>
      </c>
      <c r="B339" s="1" t="s">
        <v>2</v>
      </c>
      <c r="C339" s="1" t="str">
        <f>IF($B339 = "Production Item", _xlfn.XLOOKUP($A339, 'Instrument Table'!$J:$J, 'Instrument Table'!$B:$B, $C338), IF($B339 = "Service Item", _xlfn.XLOOKUP($A339, 'Instrument Table'!$I:$I, 'Instrument Table'!$B:$B, $C338), _xlfn.XLOOKUP($A339, 'Instrument Table'!$H:$H, 'Instrument Table'!$B:$B, $C338)))</f>
        <v>Grand Piano</v>
      </c>
      <c r="D339" s="1" t="str">
        <f>VLOOKUP($C339, 'Instrument Table'!$B:$C, 2, FALSE)</f>
        <v>Pianos</v>
      </c>
      <c r="E339" s="1">
        <f t="shared" si="30"/>
        <v>1</v>
      </c>
      <c r="F339" s="1">
        <f>_xlfn.XLOOKUP($C339, 'Instrument Table'!$B:$B, 'Instrument Table'!$A:$A, "")</f>
        <v>10</v>
      </c>
      <c r="G339" s="1" t="str">
        <f>TEXT(IF($B339 = "Retail Item", IF((ROW($A339) - 4504 - _xlfn.XMATCH($C339, $C$4506:$C$5005, 0, 1)) &lt;= VLOOKUP($C339, 'Instrument Table'!$B:$D, 3, FALSE), ROW($A339) - 4504 - _xlfn.XMATCH($C339, $C$4506:$C$5005, 0, 1), 0), 0), "00")</f>
        <v>00</v>
      </c>
      <c r="H339" s="1" t="str">
        <f t="shared" si="31"/>
        <v>333</v>
      </c>
      <c r="I339" s="1" t="str">
        <f t="shared" si="32"/>
        <v>11000-333</v>
      </c>
      <c r="J339" s="1" t="str">
        <f t="shared" si="33"/>
        <v>Grand piano production item #333</v>
      </c>
      <c r="K339" s="1" t="str">
        <f>IF(SUM(COUNTIFS(I:I, I339)) &gt; 1, "DUPLICATE", "UNIQUE")</f>
        <v>UNIQUE</v>
      </c>
      <c r="L339" s="18">
        <v>16</v>
      </c>
      <c r="M339" s="28">
        <v>71</v>
      </c>
      <c r="N339" s="6">
        <v>81</v>
      </c>
      <c r="O339" s="30">
        <f t="shared" si="34"/>
        <v>1136</v>
      </c>
      <c r="P339" s="30">
        <f t="shared" si="35"/>
        <v>5751</v>
      </c>
      <c r="Q339" s="1">
        <f>COUNTIFS($P:$P, "&gt;" &amp; $P339) + 1</f>
        <v>2310</v>
      </c>
      <c r="R339" s="63">
        <f>(COUNTIFS($P:$P, "&gt;" &amp; $P339) + 1) / (COUNTA($I:$I) - 1)</f>
        <v>0.46200000000000002</v>
      </c>
      <c r="S339" s="23">
        <f>SUMIFS($P:$P, $Q:$Q, "&lt;" &amp; $Q339)</f>
        <v>182122067</v>
      </c>
    </row>
    <row r="340" spans="1:19" x14ac:dyDescent="0.25">
      <c r="A340" s="1">
        <v>335</v>
      </c>
      <c r="B340" s="1" t="s">
        <v>2</v>
      </c>
      <c r="C340" s="1" t="str">
        <f>IF($B340 = "Production Item", _xlfn.XLOOKUP($A340, 'Instrument Table'!$J:$J, 'Instrument Table'!$B:$B, $C339), IF($B340 = "Service Item", _xlfn.XLOOKUP($A340, 'Instrument Table'!$I:$I, 'Instrument Table'!$B:$B, $C339), _xlfn.XLOOKUP($A340, 'Instrument Table'!$H:$H, 'Instrument Table'!$B:$B, $C339)))</f>
        <v>Grand Piano</v>
      </c>
      <c r="D340" s="1" t="str">
        <f>VLOOKUP($C340, 'Instrument Table'!$B:$C, 2, FALSE)</f>
        <v>Pianos</v>
      </c>
      <c r="E340" s="1">
        <f t="shared" si="30"/>
        <v>1</v>
      </c>
      <c r="F340" s="1">
        <f>_xlfn.XLOOKUP($C340, 'Instrument Table'!$B:$B, 'Instrument Table'!$A:$A, "")</f>
        <v>10</v>
      </c>
      <c r="G340" s="1" t="str">
        <f>TEXT(IF($B340 = "Retail Item", IF((ROW($A340) - 4504 - _xlfn.XMATCH($C340, $C$4506:$C$5005, 0, 1)) &lt;= VLOOKUP($C340, 'Instrument Table'!$B:$D, 3, FALSE), ROW($A340) - 4504 - _xlfn.XMATCH($C340, $C$4506:$C$5005, 0, 1), 0), 0), "00")</f>
        <v>00</v>
      </c>
      <c r="H340" s="1" t="str">
        <f t="shared" si="31"/>
        <v>334</v>
      </c>
      <c r="I340" s="1" t="str">
        <f t="shared" si="32"/>
        <v>11000-334</v>
      </c>
      <c r="J340" s="1" t="str">
        <f t="shared" si="33"/>
        <v>Grand piano production item #334</v>
      </c>
      <c r="K340" s="1" t="str">
        <f>IF(SUM(COUNTIFS(I:I, I340)) &gt; 1, "DUPLICATE", "UNIQUE")</f>
        <v>UNIQUE</v>
      </c>
      <c r="L340" s="18">
        <v>0</v>
      </c>
      <c r="M340" s="28">
        <v>22</v>
      </c>
      <c r="N340" s="6">
        <v>256</v>
      </c>
      <c r="O340" s="30">
        <f t="shared" si="34"/>
        <v>0</v>
      </c>
      <c r="P340" s="30">
        <f t="shared" si="35"/>
        <v>5632</v>
      </c>
      <c r="Q340" s="1">
        <f>COUNTIFS($P:$P, "&gt;" &amp; $P340) + 1</f>
        <v>2330</v>
      </c>
      <c r="R340" s="63">
        <f>(COUNTIFS($P:$P, "&gt;" &amp; $P340) + 1) / (COUNTA($I:$I) - 1)</f>
        <v>0.46600000000000003</v>
      </c>
      <c r="S340" s="23">
        <f>SUMIFS($P:$P, $Q:$Q, "&lt;" &amp; $Q340)</f>
        <v>182236031</v>
      </c>
    </row>
    <row r="341" spans="1:19" x14ac:dyDescent="0.25">
      <c r="A341" s="1">
        <v>336</v>
      </c>
      <c r="B341" s="1" t="s">
        <v>2</v>
      </c>
      <c r="C341" s="1" t="str">
        <f>IF($B341 = "Production Item", _xlfn.XLOOKUP($A341, 'Instrument Table'!$J:$J, 'Instrument Table'!$B:$B, $C340), IF($B341 = "Service Item", _xlfn.XLOOKUP($A341, 'Instrument Table'!$I:$I, 'Instrument Table'!$B:$B, $C340), _xlfn.XLOOKUP($A341, 'Instrument Table'!$H:$H, 'Instrument Table'!$B:$B, $C340)))</f>
        <v>Grand Piano</v>
      </c>
      <c r="D341" s="1" t="str">
        <f>VLOOKUP($C341, 'Instrument Table'!$B:$C, 2, FALSE)</f>
        <v>Pianos</v>
      </c>
      <c r="E341" s="1">
        <f t="shared" si="30"/>
        <v>1</v>
      </c>
      <c r="F341" s="1">
        <f>_xlfn.XLOOKUP($C341, 'Instrument Table'!$B:$B, 'Instrument Table'!$A:$A, "")</f>
        <v>10</v>
      </c>
      <c r="G341" s="1" t="str">
        <f>TEXT(IF($B341 = "Retail Item", IF((ROW($A341) - 4504 - _xlfn.XMATCH($C341, $C$4506:$C$5005, 0, 1)) &lt;= VLOOKUP($C341, 'Instrument Table'!$B:$D, 3, FALSE), ROW($A341) - 4504 - _xlfn.XMATCH($C341, $C$4506:$C$5005, 0, 1), 0), 0), "00")</f>
        <v>00</v>
      </c>
      <c r="H341" s="1" t="str">
        <f t="shared" si="31"/>
        <v>335</v>
      </c>
      <c r="I341" s="1" t="str">
        <f t="shared" si="32"/>
        <v>11000-335</v>
      </c>
      <c r="J341" s="1" t="str">
        <f t="shared" si="33"/>
        <v>Grand piano production item #335</v>
      </c>
      <c r="K341" s="1" t="str">
        <f>IF(SUM(COUNTIFS(I:I, I341)) &gt; 1, "DUPLICATE", "UNIQUE")</f>
        <v>UNIQUE</v>
      </c>
      <c r="L341" s="18">
        <v>16</v>
      </c>
      <c r="M341" s="28">
        <v>4</v>
      </c>
      <c r="N341" s="6">
        <v>16</v>
      </c>
      <c r="O341" s="30">
        <f t="shared" si="34"/>
        <v>64</v>
      </c>
      <c r="P341" s="30">
        <f t="shared" si="35"/>
        <v>64</v>
      </c>
      <c r="Q341" s="1">
        <f>COUNTIFS($P:$P, "&gt;" &amp; $P341) + 1</f>
        <v>4553</v>
      </c>
      <c r="R341" s="63">
        <f>(COUNTIFS($P:$P, "&gt;" &amp; $P341) + 1) / (COUNTA($I:$I) - 1)</f>
        <v>0.91059999999999997</v>
      </c>
      <c r="S341" s="23">
        <f>SUMIFS($P:$P, $Q:$Q, "&lt;" &amp; $Q341)</f>
        <v>186540850</v>
      </c>
    </row>
    <row r="342" spans="1:19" x14ac:dyDescent="0.25">
      <c r="A342" s="1">
        <v>337</v>
      </c>
      <c r="B342" s="1" t="s">
        <v>2</v>
      </c>
      <c r="C342" s="1" t="str">
        <f>IF($B342 = "Production Item", _xlfn.XLOOKUP($A342, 'Instrument Table'!$J:$J, 'Instrument Table'!$B:$B, $C341), IF($B342 = "Service Item", _xlfn.XLOOKUP($A342, 'Instrument Table'!$I:$I, 'Instrument Table'!$B:$B, $C341), _xlfn.XLOOKUP($A342, 'Instrument Table'!$H:$H, 'Instrument Table'!$B:$B, $C341)))</f>
        <v>Grand Piano</v>
      </c>
      <c r="D342" s="1" t="str">
        <f>VLOOKUP($C342, 'Instrument Table'!$B:$C, 2, FALSE)</f>
        <v>Pianos</v>
      </c>
      <c r="E342" s="1">
        <f t="shared" si="30"/>
        <v>1</v>
      </c>
      <c r="F342" s="1">
        <f>_xlfn.XLOOKUP($C342, 'Instrument Table'!$B:$B, 'Instrument Table'!$A:$A, "")</f>
        <v>10</v>
      </c>
      <c r="G342" s="1" t="str">
        <f>TEXT(IF($B342 = "Retail Item", IF((ROW($A342) - 4504 - _xlfn.XMATCH($C342, $C$4506:$C$5005, 0, 1)) &lt;= VLOOKUP($C342, 'Instrument Table'!$B:$D, 3, FALSE), ROW($A342) - 4504 - _xlfn.XMATCH($C342, $C$4506:$C$5005, 0, 1), 0), 0), "00")</f>
        <v>00</v>
      </c>
      <c r="H342" s="1" t="str">
        <f t="shared" si="31"/>
        <v>336</v>
      </c>
      <c r="I342" s="1" t="str">
        <f t="shared" si="32"/>
        <v>11000-336</v>
      </c>
      <c r="J342" s="1" t="str">
        <f t="shared" si="33"/>
        <v>Grand piano production item #336</v>
      </c>
      <c r="K342" s="1" t="str">
        <f>IF(SUM(COUNTIFS(I:I, I342)) &gt; 1, "DUPLICATE", "UNIQUE")</f>
        <v>UNIQUE</v>
      </c>
      <c r="L342" s="18">
        <v>1</v>
      </c>
      <c r="M342" s="28">
        <v>18</v>
      </c>
      <c r="N342" s="6">
        <v>100</v>
      </c>
      <c r="O342" s="30">
        <f t="shared" si="34"/>
        <v>18</v>
      </c>
      <c r="P342" s="30">
        <f t="shared" si="35"/>
        <v>1800</v>
      </c>
      <c r="Q342" s="1">
        <f>COUNTIFS($P:$P, "&gt;" &amp; $P342) + 1</f>
        <v>3333</v>
      </c>
      <c r="R342" s="63">
        <f>(COUNTIFS($P:$P, "&gt;" &amp; $P342) + 1) / (COUNTA($I:$I) - 1)</f>
        <v>0.66659999999999997</v>
      </c>
      <c r="S342" s="23">
        <f>SUMIFS($P:$P, $Q:$Q, "&lt;" &amp; $Q342)</f>
        <v>185669981</v>
      </c>
    </row>
    <row r="343" spans="1:19" x14ac:dyDescent="0.25">
      <c r="A343" s="1">
        <v>338</v>
      </c>
      <c r="B343" s="1" t="s">
        <v>2</v>
      </c>
      <c r="C343" s="1" t="str">
        <f>IF($B343 = "Production Item", _xlfn.XLOOKUP($A343, 'Instrument Table'!$J:$J, 'Instrument Table'!$B:$B, $C342), IF($B343 = "Service Item", _xlfn.XLOOKUP($A343, 'Instrument Table'!$I:$I, 'Instrument Table'!$B:$B, $C342), _xlfn.XLOOKUP($A343, 'Instrument Table'!$H:$H, 'Instrument Table'!$B:$B, $C342)))</f>
        <v>Grand Piano</v>
      </c>
      <c r="D343" s="1" t="str">
        <f>VLOOKUP($C343, 'Instrument Table'!$B:$C, 2, FALSE)</f>
        <v>Pianos</v>
      </c>
      <c r="E343" s="1">
        <f t="shared" si="30"/>
        <v>1</v>
      </c>
      <c r="F343" s="1">
        <f>_xlfn.XLOOKUP($C343, 'Instrument Table'!$B:$B, 'Instrument Table'!$A:$A, "")</f>
        <v>10</v>
      </c>
      <c r="G343" s="1" t="str">
        <f>TEXT(IF($B343 = "Retail Item", IF((ROW($A343) - 4504 - _xlfn.XMATCH($C343, $C$4506:$C$5005, 0, 1)) &lt;= VLOOKUP($C343, 'Instrument Table'!$B:$D, 3, FALSE), ROW($A343) - 4504 - _xlfn.XMATCH($C343, $C$4506:$C$5005, 0, 1), 0), 0), "00")</f>
        <v>00</v>
      </c>
      <c r="H343" s="1" t="str">
        <f t="shared" si="31"/>
        <v>337</v>
      </c>
      <c r="I343" s="1" t="str">
        <f t="shared" si="32"/>
        <v>11000-337</v>
      </c>
      <c r="J343" s="1" t="str">
        <f t="shared" si="33"/>
        <v>Grand piano production item #337</v>
      </c>
      <c r="K343" s="1" t="str">
        <f>IF(SUM(COUNTIFS(I:I, I343)) &gt; 1, "DUPLICATE", "UNIQUE")</f>
        <v>UNIQUE</v>
      </c>
      <c r="L343" s="18">
        <v>1</v>
      </c>
      <c r="M343" s="28">
        <v>64</v>
      </c>
      <c r="N343" s="6">
        <v>25</v>
      </c>
      <c r="O343" s="30">
        <f t="shared" si="34"/>
        <v>64</v>
      </c>
      <c r="P343" s="30">
        <f t="shared" si="35"/>
        <v>1600</v>
      </c>
      <c r="Q343" s="1">
        <f>COUNTIFS($P:$P, "&gt;" &amp; $P343) + 1</f>
        <v>3401</v>
      </c>
      <c r="R343" s="63">
        <f>(COUNTIFS($P:$P, "&gt;" &amp; $P343) + 1) / (COUNTA($I:$I) - 1)</f>
        <v>0.68020000000000003</v>
      </c>
      <c r="S343" s="23">
        <f>SUMIFS($P:$P, $Q:$Q, "&lt;" &amp; $Q343)</f>
        <v>185786623</v>
      </c>
    </row>
    <row r="344" spans="1:19" x14ac:dyDescent="0.25">
      <c r="A344" s="1">
        <v>339</v>
      </c>
      <c r="B344" s="1" t="s">
        <v>2</v>
      </c>
      <c r="C344" s="1" t="str">
        <f>IF($B344 = "Production Item", _xlfn.XLOOKUP($A344, 'Instrument Table'!$J:$J, 'Instrument Table'!$B:$B, $C343), IF($B344 = "Service Item", _xlfn.XLOOKUP($A344, 'Instrument Table'!$I:$I, 'Instrument Table'!$B:$B, $C343), _xlfn.XLOOKUP($A344, 'Instrument Table'!$H:$H, 'Instrument Table'!$B:$B, $C343)))</f>
        <v>Grand Piano</v>
      </c>
      <c r="D344" s="1" t="str">
        <f>VLOOKUP($C344, 'Instrument Table'!$B:$C, 2, FALSE)</f>
        <v>Pianos</v>
      </c>
      <c r="E344" s="1">
        <f t="shared" si="30"/>
        <v>1</v>
      </c>
      <c r="F344" s="1">
        <f>_xlfn.XLOOKUP($C344, 'Instrument Table'!$B:$B, 'Instrument Table'!$A:$A, "")</f>
        <v>10</v>
      </c>
      <c r="G344" s="1" t="str">
        <f>TEXT(IF($B344 = "Retail Item", IF((ROW($A344) - 4504 - _xlfn.XMATCH($C344, $C$4506:$C$5005, 0, 1)) &lt;= VLOOKUP($C344, 'Instrument Table'!$B:$D, 3, FALSE), ROW($A344) - 4504 - _xlfn.XMATCH($C344, $C$4506:$C$5005, 0, 1), 0), 0), "00")</f>
        <v>00</v>
      </c>
      <c r="H344" s="1" t="str">
        <f t="shared" si="31"/>
        <v>338</v>
      </c>
      <c r="I344" s="1" t="str">
        <f t="shared" si="32"/>
        <v>11000-338</v>
      </c>
      <c r="J344" s="1" t="str">
        <f t="shared" si="33"/>
        <v>Grand piano production item #338</v>
      </c>
      <c r="K344" s="1" t="str">
        <f>IF(SUM(COUNTIFS(I:I, I344)) &gt; 1, "DUPLICATE", "UNIQUE")</f>
        <v>UNIQUE</v>
      </c>
      <c r="L344" s="18">
        <v>16</v>
      </c>
      <c r="M344" s="28">
        <v>3</v>
      </c>
      <c r="N344" s="6">
        <v>100</v>
      </c>
      <c r="O344" s="30">
        <f t="shared" si="34"/>
        <v>48</v>
      </c>
      <c r="P344" s="30">
        <f t="shared" si="35"/>
        <v>300</v>
      </c>
      <c r="Q344" s="1">
        <f>COUNTIFS($P:$P, "&gt;" &amp; $P344) + 1</f>
        <v>4215</v>
      </c>
      <c r="R344" s="63">
        <f>(COUNTIFS($P:$P, "&gt;" &amp; $P344) + 1) / (COUNTA($I:$I) - 1)</f>
        <v>0.84299999999999997</v>
      </c>
      <c r="S344" s="23">
        <f>SUMIFS($P:$P, $Q:$Q, "&lt;" &amp; $Q344)</f>
        <v>186485027</v>
      </c>
    </row>
    <row r="345" spans="1:19" x14ac:dyDescent="0.25">
      <c r="A345" s="1">
        <v>340</v>
      </c>
      <c r="B345" s="1" t="s">
        <v>2</v>
      </c>
      <c r="C345" s="1" t="str">
        <f>IF($B345 = "Production Item", _xlfn.XLOOKUP($A345, 'Instrument Table'!$J:$J, 'Instrument Table'!$B:$B, $C344), IF($B345 = "Service Item", _xlfn.XLOOKUP($A345, 'Instrument Table'!$I:$I, 'Instrument Table'!$B:$B, $C344), _xlfn.XLOOKUP($A345, 'Instrument Table'!$H:$H, 'Instrument Table'!$B:$B, $C344)))</f>
        <v>Grand Piano</v>
      </c>
      <c r="D345" s="1" t="str">
        <f>VLOOKUP($C345, 'Instrument Table'!$B:$C, 2, FALSE)</f>
        <v>Pianos</v>
      </c>
      <c r="E345" s="1">
        <f t="shared" si="30"/>
        <v>1</v>
      </c>
      <c r="F345" s="1">
        <f>_xlfn.XLOOKUP($C345, 'Instrument Table'!$B:$B, 'Instrument Table'!$A:$A, "")</f>
        <v>10</v>
      </c>
      <c r="G345" s="1" t="str">
        <f>TEXT(IF($B345 = "Retail Item", IF((ROW($A345) - 4504 - _xlfn.XMATCH($C345, $C$4506:$C$5005, 0, 1)) &lt;= VLOOKUP($C345, 'Instrument Table'!$B:$D, 3, FALSE), ROW($A345) - 4504 - _xlfn.XMATCH($C345, $C$4506:$C$5005, 0, 1), 0), 0), "00")</f>
        <v>00</v>
      </c>
      <c r="H345" s="1" t="str">
        <f t="shared" si="31"/>
        <v>339</v>
      </c>
      <c r="I345" s="1" t="str">
        <f t="shared" si="32"/>
        <v>11000-339</v>
      </c>
      <c r="J345" s="1" t="str">
        <f t="shared" si="33"/>
        <v>Grand piano production item #339</v>
      </c>
      <c r="K345" s="1" t="str">
        <f>IF(SUM(COUNTIFS(I:I, I345)) &gt; 1, "DUPLICATE", "UNIQUE")</f>
        <v>UNIQUE</v>
      </c>
      <c r="L345" s="18">
        <v>4</v>
      </c>
      <c r="M345" s="28">
        <v>84</v>
      </c>
      <c r="N345" s="6">
        <v>144</v>
      </c>
      <c r="O345" s="30">
        <f t="shared" si="34"/>
        <v>336</v>
      </c>
      <c r="P345" s="30">
        <f t="shared" si="35"/>
        <v>12096</v>
      </c>
      <c r="Q345" s="1">
        <f>COUNTIFS($P:$P, "&gt;" &amp; $P345) + 1</f>
        <v>1572</v>
      </c>
      <c r="R345" s="63">
        <f>(COUNTIFS($P:$P, "&gt;" &amp; $P345) + 1) / (COUNTA($I:$I) - 1)</f>
        <v>0.31440000000000001</v>
      </c>
      <c r="S345" s="23">
        <f>SUMIFS($P:$P, $Q:$Q, "&lt;" &amp; $Q345)</f>
        <v>175743737</v>
      </c>
    </row>
    <row r="346" spans="1:19" x14ac:dyDescent="0.25">
      <c r="A346" s="1">
        <v>341</v>
      </c>
      <c r="B346" s="1" t="s">
        <v>2</v>
      </c>
      <c r="C346" s="1" t="str">
        <f>IF($B346 = "Production Item", _xlfn.XLOOKUP($A346, 'Instrument Table'!$J:$J, 'Instrument Table'!$B:$B, $C345), IF($B346 = "Service Item", _xlfn.XLOOKUP($A346, 'Instrument Table'!$I:$I, 'Instrument Table'!$B:$B, $C345), _xlfn.XLOOKUP($A346, 'Instrument Table'!$H:$H, 'Instrument Table'!$B:$B, $C345)))</f>
        <v>Grand Piano</v>
      </c>
      <c r="D346" s="1" t="str">
        <f>VLOOKUP($C346, 'Instrument Table'!$B:$C, 2, FALSE)</f>
        <v>Pianos</v>
      </c>
      <c r="E346" s="1">
        <f t="shared" si="30"/>
        <v>1</v>
      </c>
      <c r="F346" s="1">
        <f>_xlfn.XLOOKUP($C346, 'Instrument Table'!$B:$B, 'Instrument Table'!$A:$A, "")</f>
        <v>10</v>
      </c>
      <c r="G346" s="1" t="str">
        <f>TEXT(IF($B346 = "Retail Item", IF((ROW($A346) - 4504 - _xlfn.XMATCH($C346, $C$4506:$C$5005, 0, 1)) &lt;= VLOOKUP($C346, 'Instrument Table'!$B:$D, 3, FALSE), ROW($A346) - 4504 - _xlfn.XMATCH($C346, $C$4506:$C$5005, 0, 1), 0), 0), "00")</f>
        <v>00</v>
      </c>
      <c r="H346" s="1" t="str">
        <f t="shared" si="31"/>
        <v>340</v>
      </c>
      <c r="I346" s="1" t="str">
        <f t="shared" si="32"/>
        <v>11000-340</v>
      </c>
      <c r="J346" s="1" t="str">
        <f t="shared" si="33"/>
        <v>Grand piano production item #340</v>
      </c>
      <c r="K346" s="1" t="str">
        <f>IF(SUM(COUNTIFS(I:I, I346)) &gt; 1, "DUPLICATE", "UNIQUE")</f>
        <v>UNIQUE</v>
      </c>
      <c r="L346" s="18">
        <v>4</v>
      </c>
      <c r="M346" s="28">
        <v>27</v>
      </c>
      <c r="N346" s="6">
        <v>225</v>
      </c>
      <c r="O346" s="30">
        <f t="shared" si="34"/>
        <v>108</v>
      </c>
      <c r="P346" s="30">
        <f t="shared" si="35"/>
        <v>6075</v>
      </c>
      <c r="Q346" s="1">
        <f>COUNTIFS($P:$P, "&gt;" &amp; $P346) + 1</f>
        <v>2248</v>
      </c>
      <c r="R346" s="63">
        <f>(COUNTIFS($P:$P, "&gt;" &amp; $P346) + 1) / (COUNTA($I:$I) - 1)</f>
        <v>0.4496</v>
      </c>
      <c r="S346" s="23">
        <f>SUMIFS($P:$P, $Q:$Q, "&lt;" &amp; $Q346)</f>
        <v>181754966</v>
      </c>
    </row>
    <row r="347" spans="1:19" x14ac:dyDescent="0.25">
      <c r="A347" s="1">
        <v>342</v>
      </c>
      <c r="B347" s="1" t="s">
        <v>2</v>
      </c>
      <c r="C347" s="1" t="str">
        <f>IF($B347 = "Production Item", _xlfn.XLOOKUP($A347, 'Instrument Table'!$J:$J, 'Instrument Table'!$B:$B, $C346), IF($B347 = "Service Item", _xlfn.XLOOKUP($A347, 'Instrument Table'!$I:$I, 'Instrument Table'!$B:$B, $C346), _xlfn.XLOOKUP($A347, 'Instrument Table'!$H:$H, 'Instrument Table'!$B:$B, $C346)))</f>
        <v>Grand Piano</v>
      </c>
      <c r="D347" s="1" t="str">
        <f>VLOOKUP($C347, 'Instrument Table'!$B:$C, 2, FALSE)</f>
        <v>Pianos</v>
      </c>
      <c r="E347" s="1">
        <f t="shared" si="30"/>
        <v>1</v>
      </c>
      <c r="F347" s="1">
        <f>_xlfn.XLOOKUP($C347, 'Instrument Table'!$B:$B, 'Instrument Table'!$A:$A, "")</f>
        <v>10</v>
      </c>
      <c r="G347" s="1" t="str">
        <f>TEXT(IF($B347 = "Retail Item", IF((ROW($A347) - 4504 - _xlfn.XMATCH($C347, $C$4506:$C$5005, 0, 1)) &lt;= VLOOKUP($C347, 'Instrument Table'!$B:$D, 3, FALSE), ROW($A347) - 4504 - _xlfn.XMATCH($C347, $C$4506:$C$5005, 0, 1), 0), 0), "00")</f>
        <v>00</v>
      </c>
      <c r="H347" s="1" t="str">
        <f t="shared" si="31"/>
        <v>341</v>
      </c>
      <c r="I347" s="1" t="str">
        <f t="shared" si="32"/>
        <v>11000-341</v>
      </c>
      <c r="J347" s="1" t="str">
        <f t="shared" si="33"/>
        <v>Grand piano production item #341</v>
      </c>
      <c r="K347" s="1" t="str">
        <f>IF(SUM(COUNTIFS(I:I, I347)) &gt; 1, "DUPLICATE", "UNIQUE")</f>
        <v>UNIQUE</v>
      </c>
      <c r="L347" s="18">
        <v>0</v>
      </c>
      <c r="M347" s="28">
        <v>4</v>
      </c>
      <c r="N347" s="6">
        <v>144</v>
      </c>
      <c r="O347" s="30">
        <f t="shared" si="34"/>
        <v>0</v>
      </c>
      <c r="P347" s="30">
        <f t="shared" si="35"/>
        <v>576</v>
      </c>
      <c r="Q347" s="1">
        <f>COUNTIFS($P:$P, "&gt;" &amp; $P347) + 1</f>
        <v>3957</v>
      </c>
      <c r="R347" s="63">
        <f>(COUNTIFS($P:$P, "&gt;" &amp; $P347) + 1) / (COUNTA($I:$I) - 1)</f>
        <v>0.79139999999999999</v>
      </c>
      <c r="S347" s="23">
        <f>SUMIFS($P:$P, $Q:$Q, "&lt;" &amp; $Q347)</f>
        <v>186374368</v>
      </c>
    </row>
    <row r="348" spans="1:19" x14ac:dyDescent="0.25">
      <c r="A348" s="1">
        <v>343</v>
      </c>
      <c r="B348" s="1" t="s">
        <v>2</v>
      </c>
      <c r="C348" s="1" t="str">
        <f>IF($B348 = "Production Item", _xlfn.XLOOKUP($A348, 'Instrument Table'!$J:$J, 'Instrument Table'!$B:$B, $C347), IF($B348 = "Service Item", _xlfn.XLOOKUP($A348, 'Instrument Table'!$I:$I, 'Instrument Table'!$B:$B, $C347), _xlfn.XLOOKUP($A348, 'Instrument Table'!$H:$H, 'Instrument Table'!$B:$B, $C347)))</f>
        <v>Grand Piano</v>
      </c>
      <c r="D348" s="1" t="str">
        <f>VLOOKUP($C348, 'Instrument Table'!$B:$C, 2, FALSE)</f>
        <v>Pianos</v>
      </c>
      <c r="E348" s="1">
        <f t="shared" si="30"/>
        <v>1</v>
      </c>
      <c r="F348" s="1">
        <f>_xlfn.XLOOKUP($C348, 'Instrument Table'!$B:$B, 'Instrument Table'!$A:$A, "")</f>
        <v>10</v>
      </c>
      <c r="G348" s="1" t="str">
        <f>TEXT(IF($B348 = "Retail Item", IF((ROW($A348) - 4504 - _xlfn.XMATCH($C348, $C$4506:$C$5005, 0, 1)) &lt;= VLOOKUP($C348, 'Instrument Table'!$B:$D, 3, FALSE), ROW($A348) - 4504 - _xlfn.XMATCH($C348, $C$4506:$C$5005, 0, 1), 0), 0), "00")</f>
        <v>00</v>
      </c>
      <c r="H348" s="1" t="str">
        <f t="shared" si="31"/>
        <v>342</v>
      </c>
      <c r="I348" s="1" t="str">
        <f t="shared" si="32"/>
        <v>11000-342</v>
      </c>
      <c r="J348" s="1" t="str">
        <f t="shared" si="33"/>
        <v>Grand piano production item #342</v>
      </c>
      <c r="K348" s="1" t="str">
        <f>IF(SUM(COUNTIFS(I:I, I348)) &gt; 1, "DUPLICATE", "UNIQUE")</f>
        <v>UNIQUE</v>
      </c>
      <c r="L348" s="18">
        <v>16</v>
      </c>
      <c r="M348" s="28">
        <v>11</v>
      </c>
      <c r="N348" s="6">
        <v>36</v>
      </c>
      <c r="O348" s="30">
        <f t="shared" si="34"/>
        <v>176</v>
      </c>
      <c r="P348" s="30">
        <f t="shared" si="35"/>
        <v>396</v>
      </c>
      <c r="Q348" s="1">
        <f>COUNTIFS($P:$P, "&gt;" &amp; $P348) + 1</f>
        <v>4100</v>
      </c>
      <c r="R348" s="63">
        <f>(COUNTIFS($P:$P, "&gt;" &amp; $P348) + 1) / (COUNTA($I:$I) - 1)</f>
        <v>0.82</v>
      </c>
      <c r="S348" s="23">
        <f>SUMIFS($P:$P, $Q:$Q, "&lt;" &amp; $Q348)</f>
        <v>186444882</v>
      </c>
    </row>
    <row r="349" spans="1:19" x14ac:dyDescent="0.25">
      <c r="A349" s="1">
        <v>344</v>
      </c>
      <c r="B349" s="1" t="s">
        <v>2</v>
      </c>
      <c r="C349" s="1" t="str">
        <f>IF($B349 = "Production Item", _xlfn.XLOOKUP($A349, 'Instrument Table'!$J:$J, 'Instrument Table'!$B:$B, $C348), IF($B349 = "Service Item", _xlfn.XLOOKUP($A349, 'Instrument Table'!$I:$I, 'Instrument Table'!$B:$B, $C348), _xlfn.XLOOKUP($A349, 'Instrument Table'!$H:$H, 'Instrument Table'!$B:$B, $C348)))</f>
        <v>Grand Piano</v>
      </c>
      <c r="D349" s="1" t="str">
        <f>VLOOKUP($C349, 'Instrument Table'!$B:$C, 2, FALSE)</f>
        <v>Pianos</v>
      </c>
      <c r="E349" s="1">
        <f t="shared" si="30"/>
        <v>1</v>
      </c>
      <c r="F349" s="1">
        <f>_xlfn.XLOOKUP($C349, 'Instrument Table'!$B:$B, 'Instrument Table'!$A:$A, "")</f>
        <v>10</v>
      </c>
      <c r="G349" s="1" t="str">
        <f>TEXT(IF($B349 = "Retail Item", IF((ROW($A349) - 4504 - _xlfn.XMATCH($C349, $C$4506:$C$5005, 0, 1)) &lt;= VLOOKUP($C349, 'Instrument Table'!$B:$D, 3, FALSE), ROW($A349) - 4504 - _xlfn.XMATCH($C349, $C$4506:$C$5005, 0, 1), 0), 0), "00")</f>
        <v>00</v>
      </c>
      <c r="H349" s="1" t="str">
        <f t="shared" si="31"/>
        <v>343</v>
      </c>
      <c r="I349" s="1" t="str">
        <f t="shared" si="32"/>
        <v>11000-343</v>
      </c>
      <c r="J349" s="1" t="str">
        <f t="shared" si="33"/>
        <v>Grand piano production item #343</v>
      </c>
      <c r="K349" s="1" t="str">
        <f>IF(SUM(COUNTIFS(I:I, I349)) &gt; 1, "DUPLICATE", "UNIQUE")</f>
        <v>UNIQUE</v>
      </c>
      <c r="L349" s="18">
        <v>2</v>
      </c>
      <c r="M349" s="28">
        <v>18</v>
      </c>
      <c r="N349" s="6">
        <v>81</v>
      </c>
      <c r="O349" s="30">
        <f t="shared" si="34"/>
        <v>36</v>
      </c>
      <c r="P349" s="30">
        <f t="shared" si="35"/>
        <v>1458</v>
      </c>
      <c r="Q349" s="1">
        <f>COUNTIFS($P:$P, "&gt;" &amp; $P349) + 1</f>
        <v>3477</v>
      </c>
      <c r="R349" s="63">
        <f>(COUNTIFS($P:$P, "&gt;" &amp; $P349) + 1) / (COUNTA($I:$I) - 1)</f>
        <v>0.69540000000000002</v>
      </c>
      <c r="S349" s="23">
        <f>SUMIFS($P:$P, $Q:$Q, "&lt;" &amp; $Q349)</f>
        <v>185904150</v>
      </c>
    </row>
    <row r="350" spans="1:19" x14ac:dyDescent="0.25">
      <c r="A350" s="1">
        <v>345</v>
      </c>
      <c r="B350" s="1" t="s">
        <v>2</v>
      </c>
      <c r="C350" s="1" t="str">
        <f>IF($B350 = "Production Item", _xlfn.XLOOKUP($A350, 'Instrument Table'!$J:$J, 'Instrument Table'!$B:$B, $C349), IF($B350 = "Service Item", _xlfn.XLOOKUP($A350, 'Instrument Table'!$I:$I, 'Instrument Table'!$B:$B, $C349), _xlfn.XLOOKUP($A350, 'Instrument Table'!$H:$H, 'Instrument Table'!$B:$B, $C349)))</f>
        <v>Grand Piano</v>
      </c>
      <c r="D350" s="1" t="str">
        <f>VLOOKUP($C350, 'Instrument Table'!$B:$C, 2, FALSE)</f>
        <v>Pianos</v>
      </c>
      <c r="E350" s="1">
        <f t="shared" si="30"/>
        <v>1</v>
      </c>
      <c r="F350" s="1">
        <f>_xlfn.XLOOKUP($C350, 'Instrument Table'!$B:$B, 'Instrument Table'!$A:$A, "")</f>
        <v>10</v>
      </c>
      <c r="G350" s="1" t="str">
        <f>TEXT(IF($B350 = "Retail Item", IF((ROW($A350) - 4504 - _xlfn.XMATCH($C350, $C$4506:$C$5005, 0, 1)) &lt;= VLOOKUP($C350, 'Instrument Table'!$B:$D, 3, FALSE), ROW($A350) - 4504 - _xlfn.XMATCH($C350, $C$4506:$C$5005, 0, 1), 0), 0), "00")</f>
        <v>00</v>
      </c>
      <c r="H350" s="1" t="str">
        <f t="shared" si="31"/>
        <v>344</v>
      </c>
      <c r="I350" s="1" t="str">
        <f t="shared" si="32"/>
        <v>11000-344</v>
      </c>
      <c r="J350" s="1" t="str">
        <f t="shared" si="33"/>
        <v>Grand piano production item #344</v>
      </c>
      <c r="K350" s="1" t="str">
        <f>IF(SUM(COUNTIFS(I:I, I350)) &gt; 1, "DUPLICATE", "UNIQUE")</f>
        <v>UNIQUE</v>
      </c>
      <c r="L350" s="18">
        <v>0</v>
      </c>
      <c r="M350" s="28">
        <v>9</v>
      </c>
      <c r="N350" s="6">
        <v>256</v>
      </c>
      <c r="O350" s="30">
        <f t="shared" si="34"/>
        <v>0</v>
      </c>
      <c r="P350" s="30">
        <f t="shared" si="35"/>
        <v>2304</v>
      </c>
      <c r="Q350" s="1">
        <f>COUNTIFS($P:$P, "&gt;" &amp; $P350) + 1</f>
        <v>3118</v>
      </c>
      <c r="R350" s="63">
        <f>(COUNTIFS($P:$P, "&gt;" &amp; $P350) + 1) / (COUNTA($I:$I) - 1)</f>
        <v>0.62360000000000004</v>
      </c>
      <c r="S350" s="23">
        <f>SUMIFS($P:$P, $Q:$Q, "&lt;" &amp; $Q350)</f>
        <v>185224654</v>
      </c>
    </row>
    <row r="351" spans="1:19" x14ac:dyDescent="0.25">
      <c r="A351" s="1">
        <v>346</v>
      </c>
      <c r="B351" s="1" t="s">
        <v>2</v>
      </c>
      <c r="C351" s="1" t="str">
        <f>IF($B351 = "Production Item", _xlfn.XLOOKUP($A351, 'Instrument Table'!$J:$J, 'Instrument Table'!$B:$B, $C350), IF($B351 = "Service Item", _xlfn.XLOOKUP($A351, 'Instrument Table'!$I:$I, 'Instrument Table'!$B:$B, $C350), _xlfn.XLOOKUP($A351, 'Instrument Table'!$H:$H, 'Instrument Table'!$B:$B, $C350)))</f>
        <v>Grand Piano</v>
      </c>
      <c r="D351" s="1" t="str">
        <f>VLOOKUP($C351, 'Instrument Table'!$B:$C, 2, FALSE)</f>
        <v>Pianos</v>
      </c>
      <c r="E351" s="1">
        <f t="shared" si="30"/>
        <v>1</v>
      </c>
      <c r="F351" s="1">
        <f>_xlfn.XLOOKUP($C351, 'Instrument Table'!$B:$B, 'Instrument Table'!$A:$A, "")</f>
        <v>10</v>
      </c>
      <c r="G351" s="1" t="str">
        <f>TEXT(IF($B351 = "Retail Item", IF((ROW($A351) - 4504 - _xlfn.XMATCH($C351, $C$4506:$C$5005, 0, 1)) &lt;= VLOOKUP($C351, 'Instrument Table'!$B:$D, 3, FALSE), ROW($A351) - 4504 - _xlfn.XMATCH($C351, $C$4506:$C$5005, 0, 1), 0), 0), "00")</f>
        <v>00</v>
      </c>
      <c r="H351" s="1" t="str">
        <f t="shared" si="31"/>
        <v>345</v>
      </c>
      <c r="I351" s="1" t="str">
        <f t="shared" si="32"/>
        <v>11000-345</v>
      </c>
      <c r="J351" s="1" t="str">
        <f t="shared" si="33"/>
        <v>Grand piano production item #345</v>
      </c>
      <c r="K351" s="1" t="str">
        <f>IF(SUM(COUNTIFS(I:I, I351)) &gt; 1, "DUPLICATE", "UNIQUE")</f>
        <v>UNIQUE</v>
      </c>
      <c r="L351" s="18">
        <v>1</v>
      </c>
      <c r="M351" s="28">
        <v>68</v>
      </c>
      <c r="N351" s="6">
        <v>100</v>
      </c>
      <c r="O351" s="30">
        <f t="shared" si="34"/>
        <v>68</v>
      </c>
      <c r="P351" s="30">
        <f t="shared" si="35"/>
        <v>6800</v>
      </c>
      <c r="Q351" s="1">
        <f>COUNTIFS($P:$P, "&gt;" &amp; $P351) + 1</f>
        <v>2166</v>
      </c>
      <c r="R351" s="63">
        <f>(COUNTIFS($P:$P, "&gt;" &amp; $P351) + 1) / (COUNTA($I:$I) - 1)</f>
        <v>0.43319999999999997</v>
      </c>
      <c r="S351" s="23">
        <f>SUMIFS($P:$P, $Q:$Q, "&lt;" &amp; $Q351)</f>
        <v>181223492</v>
      </c>
    </row>
    <row r="352" spans="1:19" x14ac:dyDescent="0.25">
      <c r="A352" s="1">
        <v>347</v>
      </c>
      <c r="B352" s="1" t="s">
        <v>2</v>
      </c>
      <c r="C352" s="1" t="str">
        <f>IF($B352 = "Production Item", _xlfn.XLOOKUP($A352, 'Instrument Table'!$J:$J, 'Instrument Table'!$B:$B, $C351), IF($B352 = "Service Item", _xlfn.XLOOKUP($A352, 'Instrument Table'!$I:$I, 'Instrument Table'!$B:$B, $C351), _xlfn.XLOOKUP($A352, 'Instrument Table'!$H:$H, 'Instrument Table'!$B:$B, $C351)))</f>
        <v>Grand Piano</v>
      </c>
      <c r="D352" s="1" t="str">
        <f>VLOOKUP($C352, 'Instrument Table'!$B:$C, 2, FALSE)</f>
        <v>Pianos</v>
      </c>
      <c r="E352" s="1">
        <f t="shared" si="30"/>
        <v>1</v>
      </c>
      <c r="F352" s="1">
        <f>_xlfn.XLOOKUP($C352, 'Instrument Table'!$B:$B, 'Instrument Table'!$A:$A, "")</f>
        <v>10</v>
      </c>
      <c r="G352" s="1" t="str">
        <f>TEXT(IF($B352 = "Retail Item", IF((ROW($A352) - 4504 - _xlfn.XMATCH($C352, $C$4506:$C$5005, 0, 1)) &lt;= VLOOKUP($C352, 'Instrument Table'!$B:$D, 3, FALSE), ROW($A352) - 4504 - _xlfn.XMATCH($C352, $C$4506:$C$5005, 0, 1), 0), 0), "00")</f>
        <v>00</v>
      </c>
      <c r="H352" s="1" t="str">
        <f t="shared" si="31"/>
        <v>346</v>
      </c>
      <c r="I352" s="1" t="str">
        <f t="shared" si="32"/>
        <v>11000-346</v>
      </c>
      <c r="J352" s="1" t="str">
        <f t="shared" si="33"/>
        <v>Grand piano production item #346</v>
      </c>
      <c r="K352" s="1" t="str">
        <f>IF(SUM(COUNTIFS(I:I, I352)) &gt; 1, "DUPLICATE", "UNIQUE")</f>
        <v>UNIQUE</v>
      </c>
      <c r="L352" s="18">
        <v>1</v>
      </c>
      <c r="M352" s="28">
        <v>85</v>
      </c>
      <c r="N352" s="6">
        <v>36</v>
      </c>
      <c r="O352" s="30">
        <f t="shared" si="34"/>
        <v>85</v>
      </c>
      <c r="P352" s="30">
        <f t="shared" si="35"/>
        <v>3060</v>
      </c>
      <c r="Q352" s="1">
        <f>COUNTIFS($P:$P, "&gt;" &amp; $P352) + 1</f>
        <v>2890</v>
      </c>
      <c r="R352" s="63">
        <f>(COUNTIFS($P:$P, "&gt;" &amp; $P352) + 1) / (COUNTA($I:$I) - 1)</f>
        <v>0.57799999999999996</v>
      </c>
      <c r="S352" s="23">
        <f>SUMIFS($P:$P, $Q:$Q, "&lt;" &amp; $Q352)</f>
        <v>184617793</v>
      </c>
    </row>
    <row r="353" spans="1:19" x14ac:dyDescent="0.25">
      <c r="A353" s="1">
        <v>348</v>
      </c>
      <c r="B353" s="1" t="s">
        <v>2</v>
      </c>
      <c r="C353" s="1" t="str">
        <f>IF($B353 = "Production Item", _xlfn.XLOOKUP($A353, 'Instrument Table'!$J:$J, 'Instrument Table'!$B:$B, $C352), IF($B353 = "Service Item", _xlfn.XLOOKUP($A353, 'Instrument Table'!$I:$I, 'Instrument Table'!$B:$B, $C352), _xlfn.XLOOKUP($A353, 'Instrument Table'!$H:$H, 'Instrument Table'!$B:$B, $C352)))</f>
        <v>Grand Piano</v>
      </c>
      <c r="D353" s="1" t="str">
        <f>VLOOKUP($C353, 'Instrument Table'!$B:$C, 2, FALSE)</f>
        <v>Pianos</v>
      </c>
      <c r="E353" s="1">
        <f t="shared" si="30"/>
        <v>1</v>
      </c>
      <c r="F353" s="1">
        <f>_xlfn.XLOOKUP($C353, 'Instrument Table'!$B:$B, 'Instrument Table'!$A:$A, "")</f>
        <v>10</v>
      </c>
      <c r="G353" s="1" t="str">
        <f>TEXT(IF($B353 = "Retail Item", IF((ROW($A353) - 4504 - _xlfn.XMATCH($C353, $C$4506:$C$5005, 0, 1)) &lt;= VLOOKUP($C353, 'Instrument Table'!$B:$D, 3, FALSE), ROW($A353) - 4504 - _xlfn.XMATCH($C353, $C$4506:$C$5005, 0, 1), 0), 0), "00")</f>
        <v>00</v>
      </c>
      <c r="H353" s="1" t="str">
        <f t="shared" si="31"/>
        <v>347</v>
      </c>
      <c r="I353" s="1" t="str">
        <f t="shared" si="32"/>
        <v>11000-347</v>
      </c>
      <c r="J353" s="1" t="str">
        <f t="shared" si="33"/>
        <v>Grand piano production item #347</v>
      </c>
      <c r="K353" s="1" t="str">
        <f>IF(SUM(COUNTIFS(I:I, I353)) &gt; 1, "DUPLICATE", "UNIQUE")</f>
        <v>UNIQUE</v>
      </c>
      <c r="L353" s="18">
        <v>1</v>
      </c>
      <c r="M353" s="28">
        <v>76</v>
      </c>
      <c r="N353" s="6">
        <v>0</v>
      </c>
      <c r="O353" s="30">
        <f t="shared" si="34"/>
        <v>76</v>
      </c>
      <c r="P353" s="30">
        <f t="shared" si="35"/>
        <v>0</v>
      </c>
      <c r="Q353" s="1">
        <f>COUNTIFS($P:$P, "&gt;" &amp; $P353) + 1</f>
        <v>4746</v>
      </c>
      <c r="R353" s="63">
        <f>(COUNTIFS($P:$P, "&gt;" &amp; $P353) + 1) / (COUNTA($I:$I) - 1)</f>
        <v>0.94920000000000004</v>
      </c>
      <c r="S353" s="23">
        <f>SUMIFS($P:$P, $Q:$Q, "&lt;" &amp; $Q353)</f>
        <v>186547861</v>
      </c>
    </row>
    <row r="354" spans="1:19" x14ac:dyDescent="0.25">
      <c r="A354" s="1">
        <v>349</v>
      </c>
      <c r="B354" s="1" t="s">
        <v>2</v>
      </c>
      <c r="C354" s="1" t="str">
        <f>IF($B354 = "Production Item", _xlfn.XLOOKUP($A354, 'Instrument Table'!$J:$J, 'Instrument Table'!$B:$B, $C353), IF($B354 = "Service Item", _xlfn.XLOOKUP($A354, 'Instrument Table'!$I:$I, 'Instrument Table'!$B:$B, $C353), _xlfn.XLOOKUP($A354, 'Instrument Table'!$H:$H, 'Instrument Table'!$B:$B, $C353)))</f>
        <v>Grand Piano</v>
      </c>
      <c r="D354" s="1" t="str">
        <f>VLOOKUP($C354, 'Instrument Table'!$B:$C, 2, FALSE)</f>
        <v>Pianos</v>
      </c>
      <c r="E354" s="1">
        <f t="shared" si="30"/>
        <v>1</v>
      </c>
      <c r="F354" s="1">
        <f>_xlfn.XLOOKUP($C354, 'Instrument Table'!$B:$B, 'Instrument Table'!$A:$A, "")</f>
        <v>10</v>
      </c>
      <c r="G354" s="1" t="str">
        <f>TEXT(IF($B354 = "Retail Item", IF((ROW($A354) - 4504 - _xlfn.XMATCH($C354, $C$4506:$C$5005, 0, 1)) &lt;= VLOOKUP($C354, 'Instrument Table'!$B:$D, 3, FALSE), ROW($A354) - 4504 - _xlfn.XMATCH($C354, $C$4506:$C$5005, 0, 1), 0), 0), "00")</f>
        <v>00</v>
      </c>
      <c r="H354" s="1" t="str">
        <f t="shared" si="31"/>
        <v>348</v>
      </c>
      <c r="I354" s="1" t="str">
        <f t="shared" si="32"/>
        <v>11000-348</v>
      </c>
      <c r="J354" s="1" t="str">
        <f t="shared" si="33"/>
        <v>Grand piano production item #348</v>
      </c>
      <c r="K354" s="1" t="str">
        <f>IF(SUM(COUNTIFS(I:I, I354)) &gt; 1, "DUPLICATE", "UNIQUE")</f>
        <v>UNIQUE</v>
      </c>
      <c r="L354" s="18">
        <v>4</v>
      </c>
      <c r="M354" s="28">
        <v>80</v>
      </c>
      <c r="N354" s="6">
        <v>4</v>
      </c>
      <c r="O354" s="30">
        <f t="shared" si="34"/>
        <v>320</v>
      </c>
      <c r="P354" s="30">
        <f t="shared" si="35"/>
        <v>320</v>
      </c>
      <c r="Q354" s="1">
        <f>COUNTIFS($P:$P, "&gt;" &amp; $P354) + 1</f>
        <v>4192</v>
      </c>
      <c r="R354" s="63">
        <f>(COUNTIFS($P:$P, "&gt;" &amp; $P354) + 1) / (COUNTA($I:$I) - 1)</f>
        <v>0.83840000000000003</v>
      </c>
      <c r="S354" s="23">
        <f>SUMIFS($P:$P, $Q:$Q, "&lt;" &amp; $Q354)</f>
        <v>186477838</v>
      </c>
    </row>
    <row r="355" spans="1:19" x14ac:dyDescent="0.25">
      <c r="A355" s="1">
        <v>350</v>
      </c>
      <c r="B355" s="1" t="s">
        <v>2</v>
      </c>
      <c r="C355" s="1" t="str">
        <f>IF($B355 = "Production Item", _xlfn.XLOOKUP($A355, 'Instrument Table'!$J:$J, 'Instrument Table'!$B:$B, $C354), IF($B355 = "Service Item", _xlfn.XLOOKUP($A355, 'Instrument Table'!$I:$I, 'Instrument Table'!$B:$B, $C354), _xlfn.XLOOKUP($A355, 'Instrument Table'!$H:$H, 'Instrument Table'!$B:$B, $C354)))</f>
        <v>Grand Piano</v>
      </c>
      <c r="D355" s="1" t="str">
        <f>VLOOKUP($C355, 'Instrument Table'!$B:$C, 2, FALSE)</f>
        <v>Pianos</v>
      </c>
      <c r="E355" s="1">
        <f t="shared" si="30"/>
        <v>1</v>
      </c>
      <c r="F355" s="1">
        <f>_xlfn.XLOOKUP($C355, 'Instrument Table'!$B:$B, 'Instrument Table'!$A:$A, "")</f>
        <v>10</v>
      </c>
      <c r="G355" s="1" t="str">
        <f>TEXT(IF($B355 = "Retail Item", IF((ROW($A355) - 4504 - _xlfn.XMATCH($C355, $C$4506:$C$5005, 0, 1)) &lt;= VLOOKUP($C355, 'Instrument Table'!$B:$D, 3, FALSE), ROW($A355) - 4504 - _xlfn.XMATCH($C355, $C$4506:$C$5005, 0, 1), 0), 0), "00")</f>
        <v>00</v>
      </c>
      <c r="H355" s="1" t="str">
        <f t="shared" si="31"/>
        <v>349</v>
      </c>
      <c r="I355" s="1" t="str">
        <f t="shared" si="32"/>
        <v>11000-349</v>
      </c>
      <c r="J355" s="1" t="str">
        <f t="shared" si="33"/>
        <v>Grand piano production item #349</v>
      </c>
      <c r="K355" s="1" t="str">
        <f>IF(SUM(COUNTIFS(I:I, I355)) &gt; 1, "DUPLICATE", "UNIQUE")</f>
        <v>UNIQUE</v>
      </c>
      <c r="L355" s="18">
        <v>0</v>
      </c>
      <c r="M355" s="28">
        <v>87</v>
      </c>
      <c r="N355" s="6">
        <v>289</v>
      </c>
      <c r="O355" s="30">
        <f t="shared" si="34"/>
        <v>0</v>
      </c>
      <c r="P355" s="30">
        <f t="shared" si="35"/>
        <v>25143</v>
      </c>
      <c r="Q355" s="1">
        <f>COUNTIFS($P:$P, "&gt;" &amp; $P355) + 1</f>
        <v>822</v>
      </c>
      <c r="R355" s="63">
        <f>(COUNTIFS($P:$P, "&gt;" &amp; $P355) + 1) / (COUNTA($I:$I) - 1)</f>
        <v>0.16439999999999999</v>
      </c>
      <c r="S355" s="23">
        <f>SUMIFS($P:$P, $Q:$Q, "&lt;" &amp; $Q355)</f>
        <v>162388580</v>
      </c>
    </row>
    <row r="356" spans="1:19" x14ac:dyDescent="0.25">
      <c r="A356" s="1">
        <v>351</v>
      </c>
      <c r="B356" s="1" t="s">
        <v>2</v>
      </c>
      <c r="C356" s="1" t="str">
        <f>IF($B356 = "Production Item", _xlfn.XLOOKUP($A356, 'Instrument Table'!$J:$J, 'Instrument Table'!$B:$B, $C355), IF($B356 = "Service Item", _xlfn.XLOOKUP($A356, 'Instrument Table'!$I:$I, 'Instrument Table'!$B:$B, $C355), _xlfn.XLOOKUP($A356, 'Instrument Table'!$H:$H, 'Instrument Table'!$B:$B, $C355)))</f>
        <v>Grand Piano</v>
      </c>
      <c r="D356" s="1" t="str">
        <f>VLOOKUP($C356, 'Instrument Table'!$B:$C, 2, FALSE)</f>
        <v>Pianos</v>
      </c>
      <c r="E356" s="1">
        <f t="shared" si="30"/>
        <v>1</v>
      </c>
      <c r="F356" s="1">
        <f>_xlfn.XLOOKUP($C356, 'Instrument Table'!$B:$B, 'Instrument Table'!$A:$A, "")</f>
        <v>10</v>
      </c>
      <c r="G356" s="1" t="str">
        <f>TEXT(IF($B356 = "Retail Item", IF((ROW($A356) - 4504 - _xlfn.XMATCH($C356, $C$4506:$C$5005, 0, 1)) &lt;= VLOOKUP($C356, 'Instrument Table'!$B:$D, 3, FALSE), ROW($A356) - 4504 - _xlfn.XMATCH($C356, $C$4506:$C$5005, 0, 1), 0), 0), "00")</f>
        <v>00</v>
      </c>
      <c r="H356" s="1" t="str">
        <f t="shared" si="31"/>
        <v>350</v>
      </c>
      <c r="I356" s="1" t="str">
        <f t="shared" si="32"/>
        <v>11000-350</v>
      </c>
      <c r="J356" s="1" t="str">
        <f t="shared" si="33"/>
        <v>Grand piano production item #350</v>
      </c>
      <c r="K356" s="1" t="str">
        <f>IF(SUM(COUNTIFS(I:I, I356)) &gt; 1, "DUPLICATE", "UNIQUE")</f>
        <v>UNIQUE</v>
      </c>
      <c r="L356" s="18">
        <v>0</v>
      </c>
      <c r="M356" s="28">
        <v>85</v>
      </c>
      <c r="N356" s="6">
        <v>0</v>
      </c>
      <c r="O356" s="30">
        <f t="shared" si="34"/>
        <v>0</v>
      </c>
      <c r="P356" s="30">
        <f t="shared" si="35"/>
        <v>0</v>
      </c>
      <c r="Q356" s="1">
        <f>COUNTIFS($P:$P, "&gt;" &amp; $P356) + 1</f>
        <v>4746</v>
      </c>
      <c r="R356" s="63">
        <f>(COUNTIFS($P:$P, "&gt;" &amp; $P356) + 1) / (COUNTA($I:$I) - 1)</f>
        <v>0.94920000000000004</v>
      </c>
      <c r="S356" s="23">
        <f>SUMIFS($P:$P, $Q:$Q, "&lt;" &amp; $Q356)</f>
        <v>186547861</v>
      </c>
    </row>
    <row r="357" spans="1:19" x14ac:dyDescent="0.25">
      <c r="A357" s="1">
        <v>352</v>
      </c>
      <c r="B357" s="1" t="s">
        <v>2</v>
      </c>
      <c r="C357" s="1" t="str">
        <f>IF($B357 = "Production Item", _xlfn.XLOOKUP($A357, 'Instrument Table'!$J:$J, 'Instrument Table'!$B:$B, $C356), IF($B357 = "Service Item", _xlfn.XLOOKUP($A357, 'Instrument Table'!$I:$I, 'Instrument Table'!$B:$B, $C356), _xlfn.XLOOKUP($A357, 'Instrument Table'!$H:$H, 'Instrument Table'!$B:$B, $C356)))</f>
        <v>Grand Piano</v>
      </c>
      <c r="D357" s="1" t="str">
        <f>VLOOKUP($C357, 'Instrument Table'!$B:$C, 2, FALSE)</f>
        <v>Pianos</v>
      </c>
      <c r="E357" s="1">
        <f t="shared" si="30"/>
        <v>1</v>
      </c>
      <c r="F357" s="1">
        <f>_xlfn.XLOOKUP($C357, 'Instrument Table'!$B:$B, 'Instrument Table'!$A:$A, "")</f>
        <v>10</v>
      </c>
      <c r="G357" s="1" t="str">
        <f>TEXT(IF($B357 = "Retail Item", IF((ROW($A357) - 4504 - _xlfn.XMATCH($C357, $C$4506:$C$5005, 0, 1)) &lt;= VLOOKUP($C357, 'Instrument Table'!$B:$D, 3, FALSE), ROW($A357) - 4504 - _xlfn.XMATCH($C357, $C$4506:$C$5005, 0, 1), 0), 0), "00")</f>
        <v>00</v>
      </c>
      <c r="H357" s="1" t="str">
        <f t="shared" si="31"/>
        <v>351</v>
      </c>
      <c r="I357" s="1" t="str">
        <f t="shared" si="32"/>
        <v>11000-351</v>
      </c>
      <c r="J357" s="1" t="str">
        <f t="shared" si="33"/>
        <v>Grand piano production item #351</v>
      </c>
      <c r="K357" s="1" t="str">
        <f>IF(SUM(COUNTIFS(I:I, I357)) &gt; 1, "DUPLICATE", "UNIQUE")</f>
        <v>UNIQUE</v>
      </c>
      <c r="L357" s="18">
        <v>32</v>
      </c>
      <c r="M357" s="28">
        <v>27</v>
      </c>
      <c r="N357" s="6">
        <v>0</v>
      </c>
      <c r="O357" s="30">
        <f t="shared" si="34"/>
        <v>864</v>
      </c>
      <c r="P357" s="30">
        <f t="shared" si="35"/>
        <v>0</v>
      </c>
      <c r="Q357" s="1">
        <f>COUNTIFS($P:$P, "&gt;" &amp; $P357) + 1</f>
        <v>4746</v>
      </c>
      <c r="R357" s="63">
        <f>(COUNTIFS($P:$P, "&gt;" &amp; $P357) + 1) / (COUNTA($I:$I) - 1)</f>
        <v>0.94920000000000004</v>
      </c>
      <c r="S357" s="23">
        <f>SUMIFS($P:$P, $Q:$Q, "&lt;" &amp; $Q357)</f>
        <v>186547861</v>
      </c>
    </row>
    <row r="358" spans="1:19" x14ac:dyDescent="0.25">
      <c r="A358" s="1">
        <v>353</v>
      </c>
      <c r="B358" s="1" t="s">
        <v>2</v>
      </c>
      <c r="C358" s="1" t="str">
        <f>IF($B358 = "Production Item", _xlfn.XLOOKUP($A358, 'Instrument Table'!$J:$J, 'Instrument Table'!$B:$B, $C357), IF($B358 = "Service Item", _xlfn.XLOOKUP($A358, 'Instrument Table'!$I:$I, 'Instrument Table'!$B:$B, $C357), _xlfn.XLOOKUP($A358, 'Instrument Table'!$H:$H, 'Instrument Table'!$B:$B, $C357)))</f>
        <v>Grand Piano</v>
      </c>
      <c r="D358" s="1" t="str">
        <f>VLOOKUP($C358, 'Instrument Table'!$B:$C, 2, FALSE)</f>
        <v>Pianos</v>
      </c>
      <c r="E358" s="1">
        <f t="shared" si="30"/>
        <v>1</v>
      </c>
      <c r="F358" s="1">
        <f>_xlfn.XLOOKUP($C358, 'Instrument Table'!$B:$B, 'Instrument Table'!$A:$A, "")</f>
        <v>10</v>
      </c>
      <c r="G358" s="1" t="str">
        <f>TEXT(IF($B358 = "Retail Item", IF((ROW($A358) - 4504 - _xlfn.XMATCH($C358, $C$4506:$C$5005, 0, 1)) &lt;= VLOOKUP($C358, 'Instrument Table'!$B:$D, 3, FALSE), ROW($A358) - 4504 - _xlfn.XMATCH($C358, $C$4506:$C$5005, 0, 1), 0), 0), "00")</f>
        <v>00</v>
      </c>
      <c r="H358" s="1" t="str">
        <f t="shared" si="31"/>
        <v>352</v>
      </c>
      <c r="I358" s="1" t="str">
        <f t="shared" si="32"/>
        <v>11000-352</v>
      </c>
      <c r="J358" s="1" t="str">
        <f t="shared" si="33"/>
        <v>Grand piano production item #352</v>
      </c>
      <c r="K358" s="1" t="str">
        <f>IF(SUM(COUNTIFS(I:I, I358)) &gt; 1, "DUPLICATE", "UNIQUE")</f>
        <v>UNIQUE</v>
      </c>
      <c r="L358" s="18">
        <v>16</v>
      </c>
      <c r="M358" s="28">
        <v>44</v>
      </c>
      <c r="N358" s="6">
        <v>0</v>
      </c>
      <c r="O358" s="30">
        <f t="shared" si="34"/>
        <v>704</v>
      </c>
      <c r="P358" s="30">
        <f t="shared" si="35"/>
        <v>0</v>
      </c>
      <c r="Q358" s="1">
        <f>COUNTIFS($P:$P, "&gt;" &amp; $P358) + 1</f>
        <v>4746</v>
      </c>
      <c r="R358" s="63">
        <f>(COUNTIFS($P:$P, "&gt;" &amp; $P358) + 1) / (COUNTA($I:$I) - 1)</f>
        <v>0.94920000000000004</v>
      </c>
      <c r="S358" s="23">
        <f>SUMIFS($P:$P, $Q:$Q, "&lt;" &amp; $Q358)</f>
        <v>186547861</v>
      </c>
    </row>
    <row r="359" spans="1:19" x14ac:dyDescent="0.25">
      <c r="A359" s="1">
        <v>354</v>
      </c>
      <c r="B359" s="1" t="s">
        <v>2</v>
      </c>
      <c r="C359" s="1" t="str">
        <f>IF($B359 = "Production Item", _xlfn.XLOOKUP($A359, 'Instrument Table'!$J:$J, 'Instrument Table'!$B:$B, $C358), IF($B359 = "Service Item", _xlfn.XLOOKUP($A359, 'Instrument Table'!$I:$I, 'Instrument Table'!$B:$B, $C358), _xlfn.XLOOKUP($A359, 'Instrument Table'!$H:$H, 'Instrument Table'!$B:$B, $C358)))</f>
        <v>Grand Piano</v>
      </c>
      <c r="D359" s="1" t="str">
        <f>VLOOKUP($C359, 'Instrument Table'!$B:$C, 2, FALSE)</f>
        <v>Pianos</v>
      </c>
      <c r="E359" s="1">
        <f t="shared" si="30"/>
        <v>1</v>
      </c>
      <c r="F359" s="1">
        <f>_xlfn.XLOOKUP($C359, 'Instrument Table'!$B:$B, 'Instrument Table'!$A:$A, "")</f>
        <v>10</v>
      </c>
      <c r="G359" s="1" t="str">
        <f>TEXT(IF($B359 = "Retail Item", IF((ROW($A359) - 4504 - _xlfn.XMATCH($C359, $C$4506:$C$5005, 0, 1)) &lt;= VLOOKUP($C359, 'Instrument Table'!$B:$D, 3, FALSE), ROW($A359) - 4504 - _xlfn.XMATCH($C359, $C$4506:$C$5005, 0, 1), 0), 0), "00")</f>
        <v>00</v>
      </c>
      <c r="H359" s="1" t="str">
        <f t="shared" si="31"/>
        <v>353</v>
      </c>
      <c r="I359" s="1" t="str">
        <f t="shared" si="32"/>
        <v>11000-353</v>
      </c>
      <c r="J359" s="1" t="str">
        <f t="shared" si="33"/>
        <v>Grand piano production item #353</v>
      </c>
      <c r="K359" s="1" t="str">
        <f>IF(SUM(COUNTIFS(I:I, I359)) &gt; 1, "DUPLICATE", "UNIQUE")</f>
        <v>UNIQUE</v>
      </c>
      <c r="L359" s="18">
        <v>1</v>
      </c>
      <c r="M359" s="28">
        <v>68</v>
      </c>
      <c r="N359" s="6">
        <v>225</v>
      </c>
      <c r="O359" s="30">
        <f t="shared" si="34"/>
        <v>68</v>
      </c>
      <c r="P359" s="30">
        <f t="shared" si="35"/>
        <v>15300</v>
      </c>
      <c r="Q359" s="1">
        <f>COUNTIFS($P:$P, "&gt;" &amp; $P359) + 1</f>
        <v>1330</v>
      </c>
      <c r="R359" s="63">
        <f>(COUNTIFS($P:$P, "&gt;" &amp; $P359) + 1) / (COUNTA($I:$I) - 1)</f>
        <v>0.26600000000000001</v>
      </c>
      <c r="S359" s="23">
        <f>SUMIFS($P:$P, $Q:$Q, "&lt;" &amp; $Q359)</f>
        <v>172439802</v>
      </c>
    </row>
    <row r="360" spans="1:19" x14ac:dyDescent="0.25">
      <c r="A360" s="1">
        <v>355</v>
      </c>
      <c r="B360" s="1" t="s">
        <v>2</v>
      </c>
      <c r="C360" s="1" t="str">
        <f>IF($B360 = "Production Item", _xlfn.XLOOKUP($A360, 'Instrument Table'!$J:$J, 'Instrument Table'!$B:$B, $C359), IF($B360 = "Service Item", _xlfn.XLOOKUP($A360, 'Instrument Table'!$I:$I, 'Instrument Table'!$B:$B, $C359), _xlfn.XLOOKUP($A360, 'Instrument Table'!$H:$H, 'Instrument Table'!$B:$B, $C359)))</f>
        <v>Grand Piano</v>
      </c>
      <c r="D360" s="1" t="str">
        <f>VLOOKUP($C360, 'Instrument Table'!$B:$C, 2, FALSE)</f>
        <v>Pianos</v>
      </c>
      <c r="E360" s="1">
        <f t="shared" si="30"/>
        <v>1</v>
      </c>
      <c r="F360" s="1">
        <f>_xlfn.XLOOKUP($C360, 'Instrument Table'!$B:$B, 'Instrument Table'!$A:$A, "")</f>
        <v>10</v>
      </c>
      <c r="G360" s="1" t="str">
        <f>TEXT(IF($B360 = "Retail Item", IF((ROW($A360) - 4504 - _xlfn.XMATCH($C360, $C$4506:$C$5005, 0, 1)) &lt;= VLOOKUP($C360, 'Instrument Table'!$B:$D, 3, FALSE), ROW($A360) - 4504 - _xlfn.XMATCH($C360, $C$4506:$C$5005, 0, 1), 0), 0), "00")</f>
        <v>00</v>
      </c>
      <c r="H360" s="1" t="str">
        <f t="shared" si="31"/>
        <v>354</v>
      </c>
      <c r="I360" s="1" t="str">
        <f t="shared" si="32"/>
        <v>11000-354</v>
      </c>
      <c r="J360" s="1" t="str">
        <f t="shared" si="33"/>
        <v>Grand piano production item #354</v>
      </c>
      <c r="K360" s="1" t="str">
        <f>IF(SUM(COUNTIFS(I:I, I360)) &gt; 1, "DUPLICATE", "UNIQUE")</f>
        <v>UNIQUE</v>
      </c>
      <c r="L360" s="18">
        <v>1</v>
      </c>
      <c r="M360" s="28">
        <v>93</v>
      </c>
      <c r="N360" s="6">
        <v>4</v>
      </c>
      <c r="O360" s="30">
        <f t="shared" si="34"/>
        <v>93</v>
      </c>
      <c r="P360" s="30">
        <f t="shared" si="35"/>
        <v>372</v>
      </c>
      <c r="Q360" s="1">
        <f>COUNTIFS($P:$P, "&gt;" &amp; $P360) + 1</f>
        <v>4130</v>
      </c>
      <c r="R360" s="63">
        <f>(COUNTIFS($P:$P, "&gt;" &amp; $P360) + 1) / (COUNTA($I:$I) - 1)</f>
        <v>0.82599999999999996</v>
      </c>
      <c r="S360" s="23">
        <f>SUMIFS($P:$P, $Q:$Q, "&lt;" &amp; $Q360)</f>
        <v>186456508</v>
      </c>
    </row>
    <row r="361" spans="1:19" x14ac:dyDescent="0.25">
      <c r="A361" s="1">
        <v>356</v>
      </c>
      <c r="B361" s="1" t="s">
        <v>2</v>
      </c>
      <c r="C361" s="1" t="str">
        <f>IF($B361 = "Production Item", _xlfn.XLOOKUP($A361, 'Instrument Table'!$J:$J, 'Instrument Table'!$B:$B, $C360), IF($B361 = "Service Item", _xlfn.XLOOKUP($A361, 'Instrument Table'!$I:$I, 'Instrument Table'!$B:$B, $C360), _xlfn.XLOOKUP($A361, 'Instrument Table'!$H:$H, 'Instrument Table'!$B:$B, $C360)))</f>
        <v>Grand Piano</v>
      </c>
      <c r="D361" s="1" t="str">
        <f>VLOOKUP($C361, 'Instrument Table'!$B:$C, 2, FALSE)</f>
        <v>Pianos</v>
      </c>
      <c r="E361" s="1">
        <f t="shared" si="30"/>
        <v>1</v>
      </c>
      <c r="F361" s="1">
        <f>_xlfn.XLOOKUP($C361, 'Instrument Table'!$B:$B, 'Instrument Table'!$A:$A, "")</f>
        <v>10</v>
      </c>
      <c r="G361" s="1" t="str">
        <f>TEXT(IF($B361 = "Retail Item", IF((ROW($A361) - 4504 - _xlfn.XMATCH($C361, $C$4506:$C$5005, 0, 1)) &lt;= VLOOKUP($C361, 'Instrument Table'!$B:$D, 3, FALSE), ROW($A361) - 4504 - _xlfn.XMATCH($C361, $C$4506:$C$5005, 0, 1), 0), 0), "00")</f>
        <v>00</v>
      </c>
      <c r="H361" s="1" t="str">
        <f t="shared" si="31"/>
        <v>355</v>
      </c>
      <c r="I361" s="1" t="str">
        <f t="shared" si="32"/>
        <v>11000-355</v>
      </c>
      <c r="J361" s="1" t="str">
        <f t="shared" si="33"/>
        <v>Grand piano production item #355</v>
      </c>
      <c r="K361" s="1" t="str">
        <f>IF(SUM(COUNTIFS(I:I, I361)) &gt; 1, "DUPLICATE", "UNIQUE")</f>
        <v>UNIQUE</v>
      </c>
      <c r="L361" s="18">
        <v>16</v>
      </c>
      <c r="M361" s="28">
        <v>62</v>
      </c>
      <c r="N361" s="6">
        <v>256</v>
      </c>
      <c r="O361" s="30">
        <f t="shared" si="34"/>
        <v>992</v>
      </c>
      <c r="P361" s="30">
        <f t="shared" si="35"/>
        <v>15872</v>
      </c>
      <c r="Q361" s="1">
        <f>COUNTIFS($P:$P, "&gt;" &amp; $P361) + 1</f>
        <v>1291</v>
      </c>
      <c r="R361" s="63">
        <f>(COUNTIFS($P:$P, "&gt;" &amp; $P361) + 1) / (COUNTA($I:$I) - 1)</f>
        <v>0.25819999999999999</v>
      </c>
      <c r="S361" s="23">
        <f>SUMIFS($P:$P, $Q:$Q, "&lt;" &amp; $Q361)</f>
        <v>171831793</v>
      </c>
    </row>
    <row r="362" spans="1:19" x14ac:dyDescent="0.25">
      <c r="A362" s="1">
        <v>357</v>
      </c>
      <c r="B362" s="1" t="s">
        <v>2</v>
      </c>
      <c r="C362" s="1" t="str">
        <f>IF($B362 = "Production Item", _xlfn.XLOOKUP($A362, 'Instrument Table'!$J:$J, 'Instrument Table'!$B:$B, $C361), IF($B362 = "Service Item", _xlfn.XLOOKUP($A362, 'Instrument Table'!$I:$I, 'Instrument Table'!$B:$B, $C361), _xlfn.XLOOKUP($A362, 'Instrument Table'!$H:$H, 'Instrument Table'!$B:$B, $C361)))</f>
        <v>Grand Piano</v>
      </c>
      <c r="D362" s="1" t="str">
        <f>VLOOKUP($C362, 'Instrument Table'!$B:$C, 2, FALSE)</f>
        <v>Pianos</v>
      </c>
      <c r="E362" s="1">
        <f t="shared" si="30"/>
        <v>1</v>
      </c>
      <c r="F362" s="1">
        <f>_xlfn.XLOOKUP($C362, 'Instrument Table'!$B:$B, 'Instrument Table'!$A:$A, "")</f>
        <v>10</v>
      </c>
      <c r="G362" s="1" t="str">
        <f>TEXT(IF($B362 = "Retail Item", IF((ROW($A362) - 4504 - _xlfn.XMATCH($C362, $C$4506:$C$5005, 0, 1)) &lt;= VLOOKUP($C362, 'Instrument Table'!$B:$D, 3, FALSE), ROW($A362) - 4504 - _xlfn.XMATCH($C362, $C$4506:$C$5005, 0, 1), 0), 0), "00")</f>
        <v>00</v>
      </c>
      <c r="H362" s="1" t="str">
        <f t="shared" si="31"/>
        <v>356</v>
      </c>
      <c r="I362" s="1" t="str">
        <f t="shared" si="32"/>
        <v>11000-356</v>
      </c>
      <c r="J362" s="1" t="str">
        <f t="shared" si="33"/>
        <v>Grand piano production item #356</v>
      </c>
      <c r="K362" s="1" t="str">
        <f>IF(SUM(COUNTIFS(I:I, I362)) &gt; 1, "DUPLICATE", "UNIQUE")</f>
        <v>UNIQUE</v>
      </c>
      <c r="L362" s="18">
        <v>8</v>
      </c>
      <c r="M362" s="28">
        <v>31</v>
      </c>
      <c r="N362" s="6">
        <v>361</v>
      </c>
      <c r="O362" s="30">
        <f t="shared" si="34"/>
        <v>248</v>
      </c>
      <c r="P362" s="30">
        <f t="shared" si="35"/>
        <v>11191</v>
      </c>
      <c r="Q362" s="1">
        <f>COUNTIFS($P:$P, "&gt;" &amp; $P362) + 1</f>
        <v>1668</v>
      </c>
      <c r="R362" s="63">
        <f>(COUNTIFS($P:$P, "&gt;" &amp; $P362) + 1) / (COUNTA($I:$I) - 1)</f>
        <v>0.33360000000000001</v>
      </c>
      <c r="S362" s="23">
        <f>SUMIFS($P:$P, $Q:$Q, "&lt;" &amp; $Q362)</f>
        <v>176861155</v>
      </c>
    </row>
    <row r="363" spans="1:19" x14ac:dyDescent="0.25">
      <c r="A363" s="1">
        <v>358</v>
      </c>
      <c r="B363" s="1" t="s">
        <v>2</v>
      </c>
      <c r="C363" s="1" t="str">
        <f>IF($B363 = "Production Item", _xlfn.XLOOKUP($A363, 'Instrument Table'!$J:$J, 'Instrument Table'!$B:$B, $C362), IF($B363 = "Service Item", _xlfn.XLOOKUP($A363, 'Instrument Table'!$I:$I, 'Instrument Table'!$B:$B, $C362), _xlfn.XLOOKUP($A363, 'Instrument Table'!$H:$H, 'Instrument Table'!$B:$B, $C362)))</f>
        <v>Grand Piano</v>
      </c>
      <c r="D363" s="1" t="str">
        <f>VLOOKUP($C363, 'Instrument Table'!$B:$C, 2, FALSE)</f>
        <v>Pianos</v>
      </c>
      <c r="E363" s="1">
        <f t="shared" si="30"/>
        <v>1</v>
      </c>
      <c r="F363" s="1">
        <f>_xlfn.XLOOKUP($C363, 'Instrument Table'!$B:$B, 'Instrument Table'!$A:$A, "")</f>
        <v>10</v>
      </c>
      <c r="G363" s="1" t="str">
        <f>TEXT(IF($B363 = "Retail Item", IF((ROW($A363) - 4504 - _xlfn.XMATCH($C363, $C$4506:$C$5005, 0, 1)) &lt;= VLOOKUP($C363, 'Instrument Table'!$B:$D, 3, FALSE), ROW($A363) - 4504 - _xlfn.XMATCH($C363, $C$4506:$C$5005, 0, 1), 0), 0), "00")</f>
        <v>00</v>
      </c>
      <c r="H363" s="1" t="str">
        <f t="shared" si="31"/>
        <v>357</v>
      </c>
      <c r="I363" s="1" t="str">
        <f t="shared" si="32"/>
        <v>11000-357</v>
      </c>
      <c r="J363" s="1" t="str">
        <f t="shared" si="33"/>
        <v>Grand piano production item #357</v>
      </c>
      <c r="K363" s="1" t="str">
        <f>IF(SUM(COUNTIFS(I:I, I363)) &gt; 1, "DUPLICATE", "UNIQUE")</f>
        <v>UNIQUE</v>
      </c>
      <c r="L363" s="18">
        <v>1</v>
      </c>
      <c r="M363" s="28">
        <v>11</v>
      </c>
      <c r="N363" s="6">
        <v>144</v>
      </c>
      <c r="O363" s="30">
        <f t="shared" si="34"/>
        <v>11</v>
      </c>
      <c r="P363" s="30">
        <f t="shared" si="35"/>
        <v>1584</v>
      </c>
      <c r="Q363" s="1">
        <f>COUNTIFS($P:$P, "&gt;" &amp; $P363) + 1</f>
        <v>3415</v>
      </c>
      <c r="R363" s="63">
        <f>(COUNTIFS($P:$P, "&gt;" &amp; $P363) + 1) / (COUNTA($I:$I) - 1)</f>
        <v>0.68300000000000005</v>
      </c>
      <c r="S363" s="23">
        <f>SUMIFS($P:$P, $Q:$Q, "&lt;" &amp; $Q363)</f>
        <v>185809023</v>
      </c>
    </row>
    <row r="364" spans="1:19" x14ac:dyDescent="0.25">
      <c r="A364" s="1">
        <v>359</v>
      </c>
      <c r="B364" s="1" t="s">
        <v>2</v>
      </c>
      <c r="C364" s="1" t="str">
        <f>IF($B364 = "Production Item", _xlfn.XLOOKUP($A364, 'Instrument Table'!$J:$J, 'Instrument Table'!$B:$B, $C363), IF($B364 = "Service Item", _xlfn.XLOOKUP($A364, 'Instrument Table'!$I:$I, 'Instrument Table'!$B:$B, $C363), _xlfn.XLOOKUP($A364, 'Instrument Table'!$H:$H, 'Instrument Table'!$B:$B, $C363)))</f>
        <v>Grand Piano</v>
      </c>
      <c r="D364" s="1" t="str">
        <f>VLOOKUP($C364, 'Instrument Table'!$B:$C, 2, FALSE)</f>
        <v>Pianos</v>
      </c>
      <c r="E364" s="1">
        <f t="shared" si="30"/>
        <v>1</v>
      </c>
      <c r="F364" s="1">
        <f>_xlfn.XLOOKUP($C364, 'Instrument Table'!$B:$B, 'Instrument Table'!$A:$A, "")</f>
        <v>10</v>
      </c>
      <c r="G364" s="1" t="str">
        <f>TEXT(IF($B364 = "Retail Item", IF((ROW($A364) - 4504 - _xlfn.XMATCH($C364, $C$4506:$C$5005, 0, 1)) &lt;= VLOOKUP($C364, 'Instrument Table'!$B:$D, 3, FALSE), ROW($A364) - 4504 - _xlfn.XMATCH($C364, $C$4506:$C$5005, 0, 1), 0), 0), "00")</f>
        <v>00</v>
      </c>
      <c r="H364" s="1" t="str">
        <f t="shared" si="31"/>
        <v>358</v>
      </c>
      <c r="I364" s="1" t="str">
        <f t="shared" si="32"/>
        <v>11000-358</v>
      </c>
      <c r="J364" s="1" t="str">
        <f t="shared" si="33"/>
        <v>Grand piano production item #358</v>
      </c>
      <c r="K364" s="1" t="str">
        <f>IF(SUM(COUNTIFS(I:I, I364)) &gt; 1, "DUPLICATE", "UNIQUE")</f>
        <v>UNIQUE</v>
      </c>
      <c r="L364" s="18">
        <v>2</v>
      </c>
      <c r="M364" s="28">
        <v>17</v>
      </c>
      <c r="N364" s="6">
        <v>169</v>
      </c>
      <c r="O364" s="30">
        <f t="shared" si="34"/>
        <v>34</v>
      </c>
      <c r="P364" s="30">
        <f t="shared" si="35"/>
        <v>2873</v>
      </c>
      <c r="Q364" s="1">
        <f>COUNTIFS($P:$P, "&gt;" &amp; $P364) + 1</f>
        <v>2944</v>
      </c>
      <c r="R364" s="63">
        <f>(COUNTIFS($P:$P, "&gt;" &amp; $P364) + 1) / (COUNTA($I:$I) - 1)</f>
        <v>0.58879999999999999</v>
      </c>
      <c r="S364" s="23">
        <f>SUMIFS($P:$P, $Q:$Q, "&lt;" &amp; $Q364)</f>
        <v>184777849</v>
      </c>
    </row>
    <row r="365" spans="1:19" x14ac:dyDescent="0.25">
      <c r="A365" s="1">
        <v>360</v>
      </c>
      <c r="B365" s="1" t="s">
        <v>2</v>
      </c>
      <c r="C365" s="1" t="str">
        <f>IF($B365 = "Production Item", _xlfn.XLOOKUP($A365, 'Instrument Table'!$J:$J, 'Instrument Table'!$B:$B, $C364), IF($B365 = "Service Item", _xlfn.XLOOKUP($A365, 'Instrument Table'!$I:$I, 'Instrument Table'!$B:$B, $C364), _xlfn.XLOOKUP($A365, 'Instrument Table'!$H:$H, 'Instrument Table'!$B:$B, $C364)))</f>
        <v>Grand Piano</v>
      </c>
      <c r="D365" s="1" t="str">
        <f>VLOOKUP($C365, 'Instrument Table'!$B:$C, 2, FALSE)</f>
        <v>Pianos</v>
      </c>
      <c r="E365" s="1">
        <f t="shared" si="30"/>
        <v>1</v>
      </c>
      <c r="F365" s="1">
        <f>_xlfn.XLOOKUP($C365, 'Instrument Table'!$B:$B, 'Instrument Table'!$A:$A, "")</f>
        <v>10</v>
      </c>
      <c r="G365" s="1" t="str">
        <f>TEXT(IF($B365 = "Retail Item", IF((ROW($A365) - 4504 - _xlfn.XMATCH($C365, $C$4506:$C$5005, 0, 1)) &lt;= VLOOKUP($C365, 'Instrument Table'!$B:$D, 3, FALSE), ROW($A365) - 4504 - _xlfn.XMATCH($C365, $C$4506:$C$5005, 0, 1), 0), 0), "00")</f>
        <v>00</v>
      </c>
      <c r="H365" s="1" t="str">
        <f t="shared" si="31"/>
        <v>359</v>
      </c>
      <c r="I365" s="1" t="str">
        <f t="shared" si="32"/>
        <v>11000-359</v>
      </c>
      <c r="J365" s="1" t="str">
        <f t="shared" si="33"/>
        <v>Grand piano production item #359</v>
      </c>
      <c r="K365" s="1" t="str">
        <f>IF(SUM(COUNTIFS(I:I, I365)) &gt; 1, "DUPLICATE", "UNIQUE")</f>
        <v>UNIQUE</v>
      </c>
      <c r="L365" s="18">
        <v>4</v>
      </c>
      <c r="M365" s="28">
        <v>37</v>
      </c>
      <c r="N365" s="6">
        <v>49</v>
      </c>
      <c r="O365" s="30">
        <f t="shared" si="34"/>
        <v>148</v>
      </c>
      <c r="P365" s="30">
        <f t="shared" si="35"/>
        <v>1813</v>
      </c>
      <c r="Q365" s="1">
        <f>COUNTIFS($P:$P, "&gt;" &amp; $P365) + 1</f>
        <v>3325</v>
      </c>
      <c r="R365" s="63">
        <f>(COUNTIFS($P:$P, "&gt;" &amp; $P365) + 1) / (COUNTA($I:$I) - 1)</f>
        <v>0.66500000000000004</v>
      </c>
      <c r="S365" s="23">
        <f>SUMIFS($P:$P, $Q:$Q, "&lt;" &amp; $Q365)</f>
        <v>185655517</v>
      </c>
    </row>
    <row r="366" spans="1:19" x14ac:dyDescent="0.25">
      <c r="A366" s="1">
        <v>361</v>
      </c>
      <c r="B366" s="1" t="s">
        <v>2</v>
      </c>
      <c r="C366" s="1" t="str">
        <f>IF($B366 = "Production Item", _xlfn.XLOOKUP($A366, 'Instrument Table'!$J:$J, 'Instrument Table'!$B:$B, $C365), IF($B366 = "Service Item", _xlfn.XLOOKUP($A366, 'Instrument Table'!$I:$I, 'Instrument Table'!$B:$B, $C365), _xlfn.XLOOKUP($A366, 'Instrument Table'!$H:$H, 'Instrument Table'!$B:$B, $C365)))</f>
        <v>Grand Piano</v>
      </c>
      <c r="D366" s="1" t="str">
        <f>VLOOKUP($C366, 'Instrument Table'!$B:$C, 2, FALSE)</f>
        <v>Pianos</v>
      </c>
      <c r="E366" s="1">
        <f t="shared" si="30"/>
        <v>1</v>
      </c>
      <c r="F366" s="1">
        <f>_xlfn.XLOOKUP($C366, 'Instrument Table'!$B:$B, 'Instrument Table'!$A:$A, "")</f>
        <v>10</v>
      </c>
      <c r="G366" s="1" t="str">
        <f>TEXT(IF($B366 = "Retail Item", IF((ROW($A366) - 4504 - _xlfn.XMATCH($C366, $C$4506:$C$5005, 0, 1)) &lt;= VLOOKUP($C366, 'Instrument Table'!$B:$D, 3, FALSE), ROW($A366) - 4504 - _xlfn.XMATCH($C366, $C$4506:$C$5005, 0, 1), 0), 0), "00")</f>
        <v>00</v>
      </c>
      <c r="H366" s="1" t="str">
        <f t="shared" si="31"/>
        <v>360</v>
      </c>
      <c r="I366" s="1" t="str">
        <f t="shared" si="32"/>
        <v>11000-360</v>
      </c>
      <c r="J366" s="1" t="str">
        <f t="shared" si="33"/>
        <v>Grand piano production item #360</v>
      </c>
      <c r="K366" s="1" t="str">
        <f>IF(SUM(COUNTIFS(I:I, I366)) &gt; 1, "DUPLICATE", "UNIQUE")</f>
        <v>UNIQUE</v>
      </c>
      <c r="L366" s="18">
        <v>1</v>
      </c>
      <c r="M366" s="28">
        <v>58</v>
      </c>
      <c r="N366" s="6">
        <v>400</v>
      </c>
      <c r="O366" s="30">
        <f t="shared" si="34"/>
        <v>58</v>
      </c>
      <c r="P366" s="30">
        <f t="shared" si="35"/>
        <v>23200</v>
      </c>
      <c r="Q366" s="1">
        <f>COUNTIFS($P:$P, "&gt;" &amp; $P366) + 1</f>
        <v>896</v>
      </c>
      <c r="R366" s="63">
        <f>(COUNTIFS($P:$P, "&gt;" &amp; $P366) + 1) / (COUNTA($I:$I) - 1)</f>
        <v>0.1792</v>
      </c>
      <c r="S366" s="23">
        <f>SUMIFS($P:$P, $Q:$Q, "&lt;" &amp; $Q366)</f>
        <v>164187987</v>
      </c>
    </row>
    <row r="367" spans="1:19" x14ac:dyDescent="0.25">
      <c r="A367" s="1">
        <v>362</v>
      </c>
      <c r="B367" s="1" t="s">
        <v>2</v>
      </c>
      <c r="C367" s="1" t="str">
        <f>IF($B367 = "Production Item", _xlfn.XLOOKUP($A367, 'Instrument Table'!$J:$J, 'Instrument Table'!$B:$B, $C366), IF($B367 = "Service Item", _xlfn.XLOOKUP($A367, 'Instrument Table'!$I:$I, 'Instrument Table'!$B:$B, $C366), _xlfn.XLOOKUP($A367, 'Instrument Table'!$H:$H, 'Instrument Table'!$B:$B, $C366)))</f>
        <v>Grand Piano</v>
      </c>
      <c r="D367" s="1" t="str">
        <f>VLOOKUP($C367, 'Instrument Table'!$B:$C, 2, FALSE)</f>
        <v>Pianos</v>
      </c>
      <c r="E367" s="1">
        <f t="shared" si="30"/>
        <v>1</v>
      </c>
      <c r="F367" s="1">
        <f>_xlfn.XLOOKUP($C367, 'Instrument Table'!$B:$B, 'Instrument Table'!$A:$A, "")</f>
        <v>10</v>
      </c>
      <c r="G367" s="1" t="str">
        <f>TEXT(IF($B367 = "Retail Item", IF((ROW($A367) - 4504 - _xlfn.XMATCH($C367, $C$4506:$C$5005, 0, 1)) &lt;= VLOOKUP($C367, 'Instrument Table'!$B:$D, 3, FALSE), ROW($A367) - 4504 - _xlfn.XMATCH($C367, $C$4506:$C$5005, 0, 1), 0), 0), "00")</f>
        <v>00</v>
      </c>
      <c r="H367" s="1" t="str">
        <f t="shared" si="31"/>
        <v>361</v>
      </c>
      <c r="I367" s="1" t="str">
        <f t="shared" si="32"/>
        <v>11000-361</v>
      </c>
      <c r="J367" s="1" t="str">
        <f t="shared" si="33"/>
        <v>Grand piano production item #361</v>
      </c>
      <c r="K367" s="1" t="str">
        <f>IF(SUM(COUNTIFS(I:I, I367)) &gt; 1, "DUPLICATE", "UNIQUE")</f>
        <v>UNIQUE</v>
      </c>
      <c r="L367" s="18">
        <v>16</v>
      </c>
      <c r="M367" s="28">
        <v>17</v>
      </c>
      <c r="N367" s="6">
        <v>256</v>
      </c>
      <c r="O367" s="30">
        <f t="shared" si="34"/>
        <v>272</v>
      </c>
      <c r="P367" s="30">
        <f t="shared" si="35"/>
        <v>4352</v>
      </c>
      <c r="Q367" s="1">
        <f>COUNTIFS($P:$P, "&gt;" &amp; $P367) + 1</f>
        <v>2576</v>
      </c>
      <c r="R367" s="63">
        <f>(COUNTIFS($P:$P, "&gt;" &amp; $P367) + 1) / (COUNTA($I:$I) - 1)</f>
        <v>0.51519999999999999</v>
      </c>
      <c r="S367" s="23">
        <f>SUMIFS($P:$P, $Q:$Q, "&lt;" &amp; $Q367)</f>
        <v>183460086</v>
      </c>
    </row>
    <row r="368" spans="1:19" x14ac:dyDescent="0.25">
      <c r="A368" s="1">
        <v>363</v>
      </c>
      <c r="B368" s="1" t="s">
        <v>2</v>
      </c>
      <c r="C368" s="1" t="str">
        <f>IF($B368 = "Production Item", _xlfn.XLOOKUP($A368, 'Instrument Table'!$J:$J, 'Instrument Table'!$B:$B, $C367), IF($B368 = "Service Item", _xlfn.XLOOKUP($A368, 'Instrument Table'!$I:$I, 'Instrument Table'!$B:$B, $C367), _xlfn.XLOOKUP($A368, 'Instrument Table'!$H:$H, 'Instrument Table'!$B:$B, $C367)))</f>
        <v>Grand Piano</v>
      </c>
      <c r="D368" s="1" t="str">
        <f>VLOOKUP($C368, 'Instrument Table'!$B:$C, 2, FALSE)</f>
        <v>Pianos</v>
      </c>
      <c r="E368" s="1">
        <f t="shared" si="30"/>
        <v>1</v>
      </c>
      <c r="F368" s="1">
        <f>_xlfn.XLOOKUP($C368, 'Instrument Table'!$B:$B, 'Instrument Table'!$A:$A, "")</f>
        <v>10</v>
      </c>
      <c r="G368" s="1" t="str">
        <f>TEXT(IF($B368 = "Retail Item", IF((ROW($A368) - 4504 - _xlfn.XMATCH($C368, $C$4506:$C$5005, 0, 1)) &lt;= VLOOKUP($C368, 'Instrument Table'!$B:$D, 3, FALSE), ROW($A368) - 4504 - _xlfn.XMATCH($C368, $C$4506:$C$5005, 0, 1), 0), 0), "00")</f>
        <v>00</v>
      </c>
      <c r="H368" s="1" t="str">
        <f t="shared" si="31"/>
        <v>362</v>
      </c>
      <c r="I368" s="1" t="str">
        <f t="shared" si="32"/>
        <v>11000-362</v>
      </c>
      <c r="J368" s="1" t="str">
        <f t="shared" si="33"/>
        <v>Grand piano production item #362</v>
      </c>
      <c r="K368" s="1" t="str">
        <f>IF(SUM(COUNTIFS(I:I, I368)) &gt; 1, "DUPLICATE", "UNIQUE")</f>
        <v>UNIQUE</v>
      </c>
      <c r="L368" s="18">
        <v>0</v>
      </c>
      <c r="M368" s="28">
        <v>96</v>
      </c>
      <c r="N368" s="6">
        <v>16</v>
      </c>
      <c r="O368" s="30">
        <f t="shared" si="34"/>
        <v>0</v>
      </c>
      <c r="P368" s="30">
        <f t="shared" si="35"/>
        <v>1536</v>
      </c>
      <c r="Q368" s="1">
        <f>COUNTIFS($P:$P, "&gt;" &amp; $P368) + 1</f>
        <v>3444</v>
      </c>
      <c r="R368" s="63">
        <f>(COUNTIFS($P:$P, "&gt;" &amp; $P368) + 1) / (COUNTA($I:$I) - 1)</f>
        <v>0.68879999999999997</v>
      </c>
      <c r="S368" s="23">
        <f>SUMIFS($P:$P, $Q:$Q, "&lt;" &amp; $Q368)</f>
        <v>185854606</v>
      </c>
    </row>
    <row r="369" spans="1:19" x14ac:dyDescent="0.25">
      <c r="A369" s="1">
        <v>364</v>
      </c>
      <c r="B369" s="1" t="s">
        <v>2</v>
      </c>
      <c r="C369" s="1" t="str">
        <f>IF($B369 = "Production Item", _xlfn.XLOOKUP($A369, 'Instrument Table'!$J:$J, 'Instrument Table'!$B:$B, $C368), IF($B369 = "Service Item", _xlfn.XLOOKUP($A369, 'Instrument Table'!$I:$I, 'Instrument Table'!$B:$B, $C368), _xlfn.XLOOKUP($A369, 'Instrument Table'!$H:$H, 'Instrument Table'!$B:$B, $C368)))</f>
        <v>Grand Piano</v>
      </c>
      <c r="D369" s="1" t="str">
        <f>VLOOKUP($C369, 'Instrument Table'!$B:$C, 2, FALSE)</f>
        <v>Pianos</v>
      </c>
      <c r="E369" s="1">
        <f t="shared" si="30"/>
        <v>1</v>
      </c>
      <c r="F369" s="1">
        <f>_xlfn.XLOOKUP($C369, 'Instrument Table'!$B:$B, 'Instrument Table'!$A:$A, "")</f>
        <v>10</v>
      </c>
      <c r="G369" s="1" t="str">
        <f>TEXT(IF($B369 = "Retail Item", IF((ROW($A369) - 4504 - _xlfn.XMATCH($C369, $C$4506:$C$5005, 0, 1)) &lt;= VLOOKUP($C369, 'Instrument Table'!$B:$D, 3, FALSE), ROW($A369) - 4504 - _xlfn.XMATCH($C369, $C$4506:$C$5005, 0, 1), 0), 0), "00")</f>
        <v>00</v>
      </c>
      <c r="H369" s="1" t="str">
        <f t="shared" si="31"/>
        <v>363</v>
      </c>
      <c r="I369" s="1" t="str">
        <f t="shared" si="32"/>
        <v>11000-363</v>
      </c>
      <c r="J369" s="1" t="str">
        <f t="shared" si="33"/>
        <v>Grand piano production item #363</v>
      </c>
      <c r="K369" s="1" t="str">
        <f>IF(SUM(COUNTIFS(I:I, I369)) &gt; 1, "DUPLICATE", "UNIQUE")</f>
        <v>UNIQUE</v>
      </c>
      <c r="L369" s="18">
        <v>1</v>
      </c>
      <c r="M369" s="28">
        <v>28</v>
      </c>
      <c r="N369" s="6">
        <v>0</v>
      </c>
      <c r="O369" s="30">
        <f t="shared" si="34"/>
        <v>28</v>
      </c>
      <c r="P369" s="30">
        <f t="shared" si="35"/>
        <v>0</v>
      </c>
      <c r="Q369" s="1">
        <f>COUNTIFS($P:$P, "&gt;" &amp; $P369) + 1</f>
        <v>4746</v>
      </c>
      <c r="R369" s="63">
        <f>(COUNTIFS($P:$P, "&gt;" &amp; $P369) + 1) / (COUNTA($I:$I) - 1)</f>
        <v>0.94920000000000004</v>
      </c>
      <c r="S369" s="23">
        <f>SUMIFS($P:$P, $Q:$Q, "&lt;" &amp; $Q369)</f>
        <v>186547861</v>
      </c>
    </row>
    <row r="370" spans="1:19" x14ac:dyDescent="0.25">
      <c r="A370" s="1">
        <v>365</v>
      </c>
      <c r="B370" s="1" t="s">
        <v>2</v>
      </c>
      <c r="C370" s="1" t="str">
        <f>IF($B370 = "Production Item", _xlfn.XLOOKUP($A370, 'Instrument Table'!$J:$J, 'Instrument Table'!$B:$B, $C369), IF($B370 = "Service Item", _xlfn.XLOOKUP($A370, 'Instrument Table'!$I:$I, 'Instrument Table'!$B:$B, $C369), _xlfn.XLOOKUP($A370, 'Instrument Table'!$H:$H, 'Instrument Table'!$B:$B, $C369)))</f>
        <v>Grand Piano</v>
      </c>
      <c r="D370" s="1" t="str">
        <f>VLOOKUP($C370, 'Instrument Table'!$B:$C, 2, FALSE)</f>
        <v>Pianos</v>
      </c>
      <c r="E370" s="1">
        <f t="shared" si="30"/>
        <v>1</v>
      </c>
      <c r="F370" s="1">
        <f>_xlfn.XLOOKUP($C370, 'Instrument Table'!$B:$B, 'Instrument Table'!$A:$A, "")</f>
        <v>10</v>
      </c>
      <c r="G370" s="1" t="str">
        <f>TEXT(IF($B370 = "Retail Item", IF((ROW($A370) - 4504 - _xlfn.XMATCH($C370, $C$4506:$C$5005, 0, 1)) &lt;= VLOOKUP($C370, 'Instrument Table'!$B:$D, 3, FALSE), ROW($A370) - 4504 - _xlfn.XMATCH($C370, $C$4506:$C$5005, 0, 1), 0), 0), "00")</f>
        <v>00</v>
      </c>
      <c r="H370" s="1" t="str">
        <f t="shared" si="31"/>
        <v>364</v>
      </c>
      <c r="I370" s="1" t="str">
        <f t="shared" si="32"/>
        <v>11000-364</v>
      </c>
      <c r="J370" s="1" t="str">
        <f t="shared" si="33"/>
        <v>Grand piano production item #364</v>
      </c>
      <c r="K370" s="1" t="str">
        <f>IF(SUM(COUNTIFS(I:I, I370)) &gt; 1, "DUPLICATE", "UNIQUE")</f>
        <v>UNIQUE</v>
      </c>
      <c r="L370" s="18">
        <v>0</v>
      </c>
      <c r="M370" s="28">
        <v>12</v>
      </c>
      <c r="N370" s="6">
        <v>256</v>
      </c>
      <c r="O370" s="30">
        <f t="shared" si="34"/>
        <v>0</v>
      </c>
      <c r="P370" s="30">
        <f t="shared" si="35"/>
        <v>3072</v>
      </c>
      <c r="Q370" s="1">
        <f>COUNTIFS($P:$P, "&gt;" &amp; $P370) + 1</f>
        <v>2885</v>
      </c>
      <c r="R370" s="63">
        <f>(COUNTIFS($P:$P, "&gt;" &amp; $P370) + 1) / (COUNTA($I:$I) - 1)</f>
        <v>0.57699999999999996</v>
      </c>
      <c r="S370" s="23">
        <f>SUMIFS($P:$P, $Q:$Q, "&lt;" &amp; $Q370)</f>
        <v>184602433</v>
      </c>
    </row>
    <row r="371" spans="1:19" x14ac:dyDescent="0.25">
      <c r="A371" s="1">
        <v>366</v>
      </c>
      <c r="B371" s="1" t="s">
        <v>2</v>
      </c>
      <c r="C371" s="1" t="str">
        <f>IF($B371 = "Production Item", _xlfn.XLOOKUP($A371, 'Instrument Table'!$J:$J, 'Instrument Table'!$B:$B, $C370), IF($B371 = "Service Item", _xlfn.XLOOKUP($A371, 'Instrument Table'!$I:$I, 'Instrument Table'!$B:$B, $C370), _xlfn.XLOOKUP($A371, 'Instrument Table'!$H:$H, 'Instrument Table'!$B:$B, $C370)))</f>
        <v>Grand Piano</v>
      </c>
      <c r="D371" s="1" t="str">
        <f>VLOOKUP($C371, 'Instrument Table'!$B:$C, 2, FALSE)</f>
        <v>Pianos</v>
      </c>
      <c r="E371" s="1">
        <f t="shared" si="30"/>
        <v>1</v>
      </c>
      <c r="F371" s="1">
        <f>_xlfn.XLOOKUP($C371, 'Instrument Table'!$B:$B, 'Instrument Table'!$A:$A, "")</f>
        <v>10</v>
      </c>
      <c r="G371" s="1" t="str">
        <f>TEXT(IF($B371 = "Retail Item", IF((ROW($A371) - 4504 - _xlfn.XMATCH($C371, $C$4506:$C$5005, 0, 1)) &lt;= VLOOKUP($C371, 'Instrument Table'!$B:$D, 3, FALSE), ROW($A371) - 4504 - _xlfn.XMATCH($C371, $C$4506:$C$5005, 0, 1), 0), 0), "00")</f>
        <v>00</v>
      </c>
      <c r="H371" s="1" t="str">
        <f t="shared" si="31"/>
        <v>365</v>
      </c>
      <c r="I371" s="1" t="str">
        <f t="shared" si="32"/>
        <v>11000-365</v>
      </c>
      <c r="J371" s="1" t="str">
        <f t="shared" si="33"/>
        <v>Grand piano production item #365</v>
      </c>
      <c r="K371" s="1" t="str">
        <f>IF(SUM(COUNTIFS(I:I, I371)) &gt; 1, "DUPLICATE", "UNIQUE")</f>
        <v>UNIQUE</v>
      </c>
      <c r="L371" s="18">
        <v>2</v>
      </c>
      <c r="M371" s="28">
        <v>88</v>
      </c>
      <c r="N371" s="6">
        <v>25</v>
      </c>
      <c r="O371" s="30">
        <f t="shared" si="34"/>
        <v>176</v>
      </c>
      <c r="P371" s="30">
        <f t="shared" si="35"/>
        <v>2200</v>
      </c>
      <c r="Q371" s="1">
        <f>COUNTIFS($P:$P, "&gt;" &amp; $P371) + 1</f>
        <v>3168</v>
      </c>
      <c r="R371" s="63">
        <f>(COUNTIFS($P:$P, "&gt;" &amp; $P371) + 1) / (COUNTA($I:$I) - 1)</f>
        <v>0.63360000000000005</v>
      </c>
      <c r="S371" s="23">
        <f>SUMIFS($P:$P, $Q:$Q, "&lt;" &amp; $Q371)</f>
        <v>185338595</v>
      </c>
    </row>
    <row r="372" spans="1:19" x14ac:dyDescent="0.25">
      <c r="A372" s="1">
        <v>367</v>
      </c>
      <c r="B372" s="1" t="s">
        <v>2</v>
      </c>
      <c r="C372" s="1" t="str">
        <f>IF($B372 = "Production Item", _xlfn.XLOOKUP($A372, 'Instrument Table'!$J:$J, 'Instrument Table'!$B:$B, $C371), IF($B372 = "Service Item", _xlfn.XLOOKUP($A372, 'Instrument Table'!$I:$I, 'Instrument Table'!$B:$B, $C371), _xlfn.XLOOKUP($A372, 'Instrument Table'!$H:$H, 'Instrument Table'!$B:$B, $C371)))</f>
        <v>Grand Piano</v>
      </c>
      <c r="D372" s="1" t="str">
        <f>VLOOKUP($C372, 'Instrument Table'!$B:$C, 2, FALSE)</f>
        <v>Pianos</v>
      </c>
      <c r="E372" s="1">
        <f t="shared" si="30"/>
        <v>1</v>
      </c>
      <c r="F372" s="1">
        <f>_xlfn.XLOOKUP($C372, 'Instrument Table'!$B:$B, 'Instrument Table'!$A:$A, "")</f>
        <v>10</v>
      </c>
      <c r="G372" s="1" t="str">
        <f>TEXT(IF($B372 = "Retail Item", IF((ROW($A372) - 4504 - _xlfn.XMATCH($C372, $C$4506:$C$5005, 0, 1)) &lt;= VLOOKUP($C372, 'Instrument Table'!$B:$D, 3, FALSE), ROW($A372) - 4504 - _xlfn.XMATCH($C372, $C$4506:$C$5005, 0, 1), 0), 0), "00")</f>
        <v>00</v>
      </c>
      <c r="H372" s="1" t="str">
        <f t="shared" si="31"/>
        <v>366</v>
      </c>
      <c r="I372" s="1" t="str">
        <f t="shared" si="32"/>
        <v>11000-366</v>
      </c>
      <c r="J372" s="1" t="str">
        <f t="shared" si="33"/>
        <v>Grand piano production item #366</v>
      </c>
      <c r="K372" s="1" t="str">
        <f>IF(SUM(COUNTIFS(I:I, I372)) &gt; 1, "DUPLICATE", "UNIQUE")</f>
        <v>UNIQUE</v>
      </c>
      <c r="L372" s="18">
        <v>0</v>
      </c>
      <c r="M372" s="28">
        <v>10</v>
      </c>
      <c r="N372" s="6">
        <v>121</v>
      </c>
      <c r="O372" s="30">
        <f t="shared" si="34"/>
        <v>0</v>
      </c>
      <c r="P372" s="30">
        <f t="shared" si="35"/>
        <v>1210</v>
      </c>
      <c r="Q372" s="1">
        <f>COUNTIFS($P:$P, "&gt;" &amp; $P372) + 1</f>
        <v>3603</v>
      </c>
      <c r="R372" s="63">
        <f>(COUNTIFS($P:$P, "&gt;" &amp; $P372) + 1) / (COUNTA($I:$I) - 1)</f>
        <v>0.72060000000000002</v>
      </c>
      <c r="S372" s="23">
        <f>SUMIFS($P:$P, $Q:$Q, "&lt;" &amp; $Q372)</f>
        <v>186073388</v>
      </c>
    </row>
    <row r="373" spans="1:19" x14ac:dyDescent="0.25">
      <c r="A373" s="1">
        <v>368</v>
      </c>
      <c r="B373" s="1" t="s">
        <v>2</v>
      </c>
      <c r="C373" s="1" t="str">
        <f>IF($B373 = "Production Item", _xlfn.XLOOKUP($A373, 'Instrument Table'!$J:$J, 'Instrument Table'!$B:$B, $C372), IF($B373 = "Service Item", _xlfn.XLOOKUP($A373, 'Instrument Table'!$I:$I, 'Instrument Table'!$B:$B, $C372), _xlfn.XLOOKUP($A373, 'Instrument Table'!$H:$H, 'Instrument Table'!$B:$B, $C372)))</f>
        <v>Grand Piano</v>
      </c>
      <c r="D373" s="1" t="str">
        <f>VLOOKUP($C373, 'Instrument Table'!$B:$C, 2, FALSE)</f>
        <v>Pianos</v>
      </c>
      <c r="E373" s="1">
        <f t="shared" si="30"/>
        <v>1</v>
      </c>
      <c r="F373" s="1">
        <f>_xlfn.XLOOKUP($C373, 'Instrument Table'!$B:$B, 'Instrument Table'!$A:$A, "")</f>
        <v>10</v>
      </c>
      <c r="G373" s="1" t="str">
        <f>TEXT(IF($B373 = "Retail Item", IF((ROW($A373) - 4504 - _xlfn.XMATCH($C373, $C$4506:$C$5005, 0, 1)) &lt;= VLOOKUP($C373, 'Instrument Table'!$B:$D, 3, FALSE), ROW($A373) - 4504 - _xlfn.XMATCH($C373, $C$4506:$C$5005, 0, 1), 0), 0), "00")</f>
        <v>00</v>
      </c>
      <c r="H373" s="1" t="str">
        <f t="shared" si="31"/>
        <v>367</v>
      </c>
      <c r="I373" s="1" t="str">
        <f t="shared" si="32"/>
        <v>11000-367</v>
      </c>
      <c r="J373" s="1" t="str">
        <f t="shared" si="33"/>
        <v>Grand piano production item #367</v>
      </c>
      <c r="K373" s="1" t="str">
        <f>IF(SUM(COUNTIFS(I:I, I373)) &gt; 1, "DUPLICATE", "UNIQUE")</f>
        <v>UNIQUE</v>
      </c>
      <c r="L373" s="18">
        <v>32</v>
      </c>
      <c r="M373" s="28">
        <v>31</v>
      </c>
      <c r="N373" s="6">
        <v>121</v>
      </c>
      <c r="O373" s="30">
        <f t="shared" si="34"/>
        <v>992</v>
      </c>
      <c r="P373" s="30">
        <f t="shared" si="35"/>
        <v>3751</v>
      </c>
      <c r="Q373" s="1">
        <f>COUNTIFS($P:$P, "&gt;" &amp; $P373) + 1</f>
        <v>2707</v>
      </c>
      <c r="R373" s="63">
        <f>(COUNTIFS($P:$P, "&gt;" &amp; $P373) + 1) / (COUNTA($I:$I) - 1)</f>
        <v>0.54139999999999999</v>
      </c>
      <c r="S373" s="23">
        <f>SUMIFS($P:$P, $Q:$Q, "&lt;" &amp; $Q373)</f>
        <v>183993129</v>
      </c>
    </row>
    <row r="374" spans="1:19" x14ac:dyDescent="0.25">
      <c r="A374" s="1">
        <v>369</v>
      </c>
      <c r="B374" s="1" t="s">
        <v>2</v>
      </c>
      <c r="C374" s="1" t="str">
        <f>IF($B374 = "Production Item", _xlfn.XLOOKUP($A374, 'Instrument Table'!$J:$J, 'Instrument Table'!$B:$B, $C373), IF($B374 = "Service Item", _xlfn.XLOOKUP($A374, 'Instrument Table'!$I:$I, 'Instrument Table'!$B:$B, $C373), _xlfn.XLOOKUP($A374, 'Instrument Table'!$H:$H, 'Instrument Table'!$B:$B, $C373)))</f>
        <v>Grand Piano</v>
      </c>
      <c r="D374" s="1" t="str">
        <f>VLOOKUP($C374, 'Instrument Table'!$B:$C, 2, FALSE)</f>
        <v>Pianos</v>
      </c>
      <c r="E374" s="1">
        <f t="shared" si="30"/>
        <v>1</v>
      </c>
      <c r="F374" s="1">
        <f>_xlfn.XLOOKUP($C374, 'Instrument Table'!$B:$B, 'Instrument Table'!$A:$A, "")</f>
        <v>10</v>
      </c>
      <c r="G374" s="1" t="str">
        <f>TEXT(IF($B374 = "Retail Item", IF((ROW($A374) - 4504 - _xlfn.XMATCH($C374, $C$4506:$C$5005, 0, 1)) &lt;= VLOOKUP($C374, 'Instrument Table'!$B:$D, 3, FALSE), ROW($A374) - 4504 - _xlfn.XMATCH($C374, $C$4506:$C$5005, 0, 1), 0), 0), "00")</f>
        <v>00</v>
      </c>
      <c r="H374" s="1" t="str">
        <f t="shared" si="31"/>
        <v>368</v>
      </c>
      <c r="I374" s="1" t="str">
        <f t="shared" si="32"/>
        <v>11000-368</v>
      </c>
      <c r="J374" s="1" t="str">
        <f t="shared" si="33"/>
        <v>Grand piano production item #368</v>
      </c>
      <c r="K374" s="1" t="str">
        <f>IF(SUM(COUNTIFS(I:I, I374)) &gt; 1, "DUPLICATE", "UNIQUE")</f>
        <v>UNIQUE</v>
      </c>
      <c r="L374" s="18">
        <v>0</v>
      </c>
      <c r="M374" s="28">
        <v>94</v>
      </c>
      <c r="N374" s="6">
        <v>225</v>
      </c>
      <c r="O374" s="30">
        <f t="shared" si="34"/>
        <v>0</v>
      </c>
      <c r="P374" s="30">
        <f t="shared" si="35"/>
        <v>21150</v>
      </c>
      <c r="Q374" s="1">
        <f>COUNTIFS($P:$P, "&gt;" &amp; $P374) + 1</f>
        <v>997</v>
      </c>
      <c r="R374" s="63">
        <f>(COUNTIFS($P:$P, "&gt;" &amp; $P374) + 1) / (COUNTA($I:$I) - 1)</f>
        <v>0.19939999999999999</v>
      </c>
      <c r="S374" s="23">
        <f>SUMIFS($P:$P, $Q:$Q, "&lt;" &amp; $Q374)</f>
        <v>166427548</v>
      </c>
    </row>
    <row r="375" spans="1:19" x14ac:dyDescent="0.25">
      <c r="A375" s="1">
        <v>370</v>
      </c>
      <c r="B375" s="1" t="s">
        <v>2</v>
      </c>
      <c r="C375" s="1" t="str">
        <f>IF($B375 = "Production Item", _xlfn.XLOOKUP($A375, 'Instrument Table'!$J:$J, 'Instrument Table'!$B:$B, $C374), IF($B375 = "Service Item", _xlfn.XLOOKUP($A375, 'Instrument Table'!$I:$I, 'Instrument Table'!$B:$B, $C374), _xlfn.XLOOKUP($A375, 'Instrument Table'!$H:$H, 'Instrument Table'!$B:$B, $C374)))</f>
        <v>Grand Piano</v>
      </c>
      <c r="D375" s="1" t="str">
        <f>VLOOKUP($C375, 'Instrument Table'!$B:$C, 2, FALSE)</f>
        <v>Pianos</v>
      </c>
      <c r="E375" s="1">
        <f t="shared" si="30"/>
        <v>1</v>
      </c>
      <c r="F375" s="1">
        <f>_xlfn.XLOOKUP($C375, 'Instrument Table'!$B:$B, 'Instrument Table'!$A:$A, "")</f>
        <v>10</v>
      </c>
      <c r="G375" s="1" t="str">
        <f>TEXT(IF($B375 = "Retail Item", IF((ROW($A375) - 4504 - _xlfn.XMATCH($C375, $C$4506:$C$5005, 0, 1)) &lt;= VLOOKUP($C375, 'Instrument Table'!$B:$D, 3, FALSE), ROW($A375) - 4504 - _xlfn.XMATCH($C375, $C$4506:$C$5005, 0, 1), 0), 0), "00")</f>
        <v>00</v>
      </c>
      <c r="H375" s="1" t="str">
        <f t="shared" si="31"/>
        <v>369</v>
      </c>
      <c r="I375" s="1" t="str">
        <f t="shared" si="32"/>
        <v>11000-369</v>
      </c>
      <c r="J375" s="1" t="str">
        <f t="shared" si="33"/>
        <v>Grand piano production item #369</v>
      </c>
      <c r="K375" s="1" t="str">
        <f>IF(SUM(COUNTIFS(I:I, I375)) &gt; 1, "DUPLICATE", "UNIQUE")</f>
        <v>UNIQUE</v>
      </c>
      <c r="L375" s="18">
        <v>4</v>
      </c>
      <c r="M375" s="28">
        <v>27</v>
      </c>
      <c r="N375" s="6">
        <v>100</v>
      </c>
      <c r="O375" s="30">
        <f t="shared" si="34"/>
        <v>108</v>
      </c>
      <c r="P375" s="30">
        <f t="shared" si="35"/>
        <v>2700</v>
      </c>
      <c r="Q375" s="1">
        <f>COUNTIFS($P:$P, "&gt;" &amp; $P375) + 1</f>
        <v>2983</v>
      </c>
      <c r="R375" s="63">
        <f>(COUNTIFS($P:$P, "&gt;" &amp; $P375) + 1) / (COUNTA($I:$I) - 1)</f>
        <v>0.59660000000000002</v>
      </c>
      <c r="S375" s="23">
        <f>SUMIFS($P:$P, $Q:$Q, "&lt;" &amp; $Q375)</f>
        <v>184886582</v>
      </c>
    </row>
    <row r="376" spans="1:19" x14ac:dyDescent="0.25">
      <c r="A376" s="1">
        <v>371</v>
      </c>
      <c r="B376" s="1" t="s">
        <v>2</v>
      </c>
      <c r="C376" s="1" t="str">
        <f>IF($B376 = "Production Item", _xlfn.XLOOKUP($A376, 'Instrument Table'!$J:$J, 'Instrument Table'!$B:$B, $C375), IF($B376 = "Service Item", _xlfn.XLOOKUP($A376, 'Instrument Table'!$I:$I, 'Instrument Table'!$B:$B, $C375), _xlfn.XLOOKUP($A376, 'Instrument Table'!$H:$H, 'Instrument Table'!$B:$B, $C375)))</f>
        <v>Grand Piano</v>
      </c>
      <c r="D376" s="1" t="str">
        <f>VLOOKUP($C376, 'Instrument Table'!$B:$C, 2, FALSE)</f>
        <v>Pianos</v>
      </c>
      <c r="E376" s="1">
        <f t="shared" si="30"/>
        <v>1</v>
      </c>
      <c r="F376" s="1">
        <f>_xlfn.XLOOKUP($C376, 'Instrument Table'!$B:$B, 'Instrument Table'!$A:$A, "")</f>
        <v>10</v>
      </c>
      <c r="G376" s="1" t="str">
        <f>TEXT(IF($B376 = "Retail Item", IF((ROW($A376) - 4504 - _xlfn.XMATCH($C376, $C$4506:$C$5005, 0, 1)) &lt;= VLOOKUP($C376, 'Instrument Table'!$B:$D, 3, FALSE), ROW($A376) - 4504 - _xlfn.XMATCH($C376, $C$4506:$C$5005, 0, 1), 0), 0), "00")</f>
        <v>00</v>
      </c>
      <c r="H376" s="1" t="str">
        <f t="shared" si="31"/>
        <v>370</v>
      </c>
      <c r="I376" s="1" t="str">
        <f t="shared" si="32"/>
        <v>11000-370</v>
      </c>
      <c r="J376" s="1" t="str">
        <f t="shared" si="33"/>
        <v>Grand piano production item #370</v>
      </c>
      <c r="K376" s="1" t="str">
        <f>IF(SUM(COUNTIFS(I:I, I376)) &gt; 1, "DUPLICATE", "UNIQUE")</f>
        <v>UNIQUE</v>
      </c>
      <c r="L376" s="18">
        <v>0</v>
      </c>
      <c r="M376" s="28">
        <v>82</v>
      </c>
      <c r="N376" s="6">
        <v>225</v>
      </c>
      <c r="O376" s="30">
        <f t="shared" si="34"/>
        <v>0</v>
      </c>
      <c r="P376" s="30">
        <f t="shared" si="35"/>
        <v>18450</v>
      </c>
      <c r="Q376" s="1">
        <f>COUNTIFS($P:$P, "&gt;" &amp; $P376) + 1</f>
        <v>1134</v>
      </c>
      <c r="R376" s="63">
        <f>(COUNTIFS($P:$P, "&gt;" &amp; $P376) + 1) / (COUNTA($I:$I) - 1)</f>
        <v>0.2268</v>
      </c>
      <c r="S376" s="23">
        <f>SUMIFS($P:$P, $Q:$Q, "&lt;" &amp; $Q376)</f>
        <v>169142039</v>
      </c>
    </row>
    <row r="377" spans="1:19" x14ac:dyDescent="0.25">
      <c r="A377" s="1">
        <v>372</v>
      </c>
      <c r="B377" s="1" t="s">
        <v>2</v>
      </c>
      <c r="C377" s="1" t="str">
        <f>IF($B377 = "Production Item", _xlfn.XLOOKUP($A377, 'Instrument Table'!$J:$J, 'Instrument Table'!$B:$B, $C376), IF($B377 = "Service Item", _xlfn.XLOOKUP($A377, 'Instrument Table'!$I:$I, 'Instrument Table'!$B:$B, $C376), _xlfn.XLOOKUP($A377, 'Instrument Table'!$H:$H, 'Instrument Table'!$B:$B, $C376)))</f>
        <v>Grand Piano</v>
      </c>
      <c r="D377" s="1" t="str">
        <f>VLOOKUP($C377, 'Instrument Table'!$B:$C, 2, FALSE)</f>
        <v>Pianos</v>
      </c>
      <c r="E377" s="1">
        <f t="shared" si="30"/>
        <v>1</v>
      </c>
      <c r="F377" s="1">
        <f>_xlfn.XLOOKUP($C377, 'Instrument Table'!$B:$B, 'Instrument Table'!$A:$A, "")</f>
        <v>10</v>
      </c>
      <c r="G377" s="1" t="str">
        <f>TEXT(IF($B377 = "Retail Item", IF((ROW($A377) - 4504 - _xlfn.XMATCH($C377, $C$4506:$C$5005, 0, 1)) &lt;= VLOOKUP($C377, 'Instrument Table'!$B:$D, 3, FALSE), ROW($A377) - 4504 - _xlfn.XMATCH($C377, $C$4506:$C$5005, 0, 1), 0), 0), "00")</f>
        <v>00</v>
      </c>
      <c r="H377" s="1" t="str">
        <f t="shared" si="31"/>
        <v>371</v>
      </c>
      <c r="I377" s="1" t="str">
        <f t="shared" si="32"/>
        <v>11000-371</v>
      </c>
      <c r="J377" s="1" t="str">
        <f t="shared" si="33"/>
        <v>Grand piano production item #371</v>
      </c>
      <c r="K377" s="1" t="str">
        <f>IF(SUM(COUNTIFS(I:I, I377)) &gt; 1, "DUPLICATE", "UNIQUE")</f>
        <v>UNIQUE</v>
      </c>
      <c r="L377" s="18">
        <v>32</v>
      </c>
      <c r="M377" s="28">
        <v>61</v>
      </c>
      <c r="N377" s="6">
        <v>36</v>
      </c>
      <c r="O377" s="30">
        <f t="shared" si="34"/>
        <v>1952</v>
      </c>
      <c r="P377" s="30">
        <f t="shared" si="35"/>
        <v>2196</v>
      </c>
      <c r="Q377" s="1">
        <f>COUNTIFS($P:$P, "&gt;" &amp; $P377) + 1</f>
        <v>3175</v>
      </c>
      <c r="R377" s="63">
        <f>(COUNTIFS($P:$P, "&gt;" &amp; $P377) + 1) / (COUNTA($I:$I) - 1)</f>
        <v>0.63500000000000001</v>
      </c>
      <c r="S377" s="23">
        <f>SUMIFS($P:$P, $Q:$Q, "&lt;" &amp; $Q377)</f>
        <v>185353986</v>
      </c>
    </row>
    <row r="378" spans="1:19" x14ac:dyDescent="0.25">
      <c r="A378" s="1">
        <v>373</v>
      </c>
      <c r="B378" s="1" t="s">
        <v>2</v>
      </c>
      <c r="C378" s="1" t="str">
        <f>IF($B378 = "Production Item", _xlfn.XLOOKUP($A378, 'Instrument Table'!$J:$J, 'Instrument Table'!$B:$B, $C377), IF($B378 = "Service Item", _xlfn.XLOOKUP($A378, 'Instrument Table'!$I:$I, 'Instrument Table'!$B:$B, $C377), _xlfn.XLOOKUP($A378, 'Instrument Table'!$H:$H, 'Instrument Table'!$B:$B, $C377)))</f>
        <v>Grand Piano</v>
      </c>
      <c r="D378" s="1" t="str">
        <f>VLOOKUP($C378, 'Instrument Table'!$B:$C, 2, FALSE)</f>
        <v>Pianos</v>
      </c>
      <c r="E378" s="1">
        <f t="shared" si="30"/>
        <v>1</v>
      </c>
      <c r="F378" s="1">
        <f>_xlfn.XLOOKUP($C378, 'Instrument Table'!$B:$B, 'Instrument Table'!$A:$A, "")</f>
        <v>10</v>
      </c>
      <c r="G378" s="1" t="str">
        <f>TEXT(IF($B378 = "Retail Item", IF((ROW($A378) - 4504 - _xlfn.XMATCH($C378, $C$4506:$C$5005, 0, 1)) &lt;= VLOOKUP($C378, 'Instrument Table'!$B:$D, 3, FALSE), ROW($A378) - 4504 - _xlfn.XMATCH($C378, $C$4506:$C$5005, 0, 1), 0), 0), "00")</f>
        <v>00</v>
      </c>
      <c r="H378" s="1" t="str">
        <f t="shared" si="31"/>
        <v>372</v>
      </c>
      <c r="I378" s="1" t="str">
        <f t="shared" si="32"/>
        <v>11000-372</v>
      </c>
      <c r="J378" s="1" t="str">
        <f t="shared" si="33"/>
        <v>Grand piano production item #372</v>
      </c>
      <c r="K378" s="1" t="str">
        <f>IF(SUM(COUNTIFS(I:I, I378)) &gt; 1, "DUPLICATE", "UNIQUE")</f>
        <v>UNIQUE</v>
      </c>
      <c r="L378" s="18">
        <v>1</v>
      </c>
      <c r="M378" s="28">
        <v>7</v>
      </c>
      <c r="N378" s="6">
        <v>144</v>
      </c>
      <c r="O378" s="30">
        <f t="shared" si="34"/>
        <v>7</v>
      </c>
      <c r="P378" s="30">
        <f t="shared" si="35"/>
        <v>1008</v>
      </c>
      <c r="Q378" s="1">
        <f>COUNTIFS($P:$P, "&gt;" &amp; $P378) + 1</f>
        <v>3673</v>
      </c>
      <c r="R378" s="63">
        <f>(COUNTIFS($P:$P, "&gt;" &amp; $P378) + 1) / (COUNTA($I:$I) - 1)</f>
        <v>0.73460000000000003</v>
      </c>
      <c r="S378" s="23">
        <f>SUMIFS($P:$P, $Q:$Q, "&lt;" &amp; $Q378)</f>
        <v>186152095</v>
      </c>
    </row>
    <row r="379" spans="1:19" x14ac:dyDescent="0.25">
      <c r="A379" s="1">
        <v>374</v>
      </c>
      <c r="B379" s="1" t="s">
        <v>2</v>
      </c>
      <c r="C379" s="1" t="str">
        <f>IF($B379 = "Production Item", _xlfn.XLOOKUP($A379, 'Instrument Table'!$J:$J, 'Instrument Table'!$B:$B, $C378), IF($B379 = "Service Item", _xlfn.XLOOKUP($A379, 'Instrument Table'!$I:$I, 'Instrument Table'!$B:$B, $C378), _xlfn.XLOOKUP($A379, 'Instrument Table'!$H:$H, 'Instrument Table'!$B:$B, $C378)))</f>
        <v>Grand Piano</v>
      </c>
      <c r="D379" s="1" t="str">
        <f>VLOOKUP($C379, 'Instrument Table'!$B:$C, 2, FALSE)</f>
        <v>Pianos</v>
      </c>
      <c r="E379" s="1">
        <f t="shared" si="30"/>
        <v>1</v>
      </c>
      <c r="F379" s="1">
        <f>_xlfn.XLOOKUP($C379, 'Instrument Table'!$B:$B, 'Instrument Table'!$A:$A, "")</f>
        <v>10</v>
      </c>
      <c r="G379" s="1" t="str">
        <f>TEXT(IF($B379 = "Retail Item", IF((ROW($A379) - 4504 - _xlfn.XMATCH($C379, $C$4506:$C$5005, 0, 1)) &lt;= VLOOKUP($C379, 'Instrument Table'!$B:$D, 3, FALSE), ROW($A379) - 4504 - _xlfn.XMATCH($C379, $C$4506:$C$5005, 0, 1), 0), 0), "00")</f>
        <v>00</v>
      </c>
      <c r="H379" s="1" t="str">
        <f t="shared" si="31"/>
        <v>373</v>
      </c>
      <c r="I379" s="1" t="str">
        <f t="shared" si="32"/>
        <v>11000-373</v>
      </c>
      <c r="J379" s="1" t="str">
        <f t="shared" si="33"/>
        <v>Grand piano production item #373</v>
      </c>
      <c r="K379" s="1" t="str">
        <f>IF(SUM(COUNTIFS(I:I, I379)) &gt; 1, "DUPLICATE", "UNIQUE")</f>
        <v>UNIQUE</v>
      </c>
      <c r="L379" s="18">
        <v>1</v>
      </c>
      <c r="M379" s="28">
        <v>85</v>
      </c>
      <c r="N379" s="6">
        <v>9</v>
      </c>
      <c r="O379" s="30">
        <f t="shared" si="34"/>
        <v>85</v>
      </c>
      <c r="P379" s="30">
        <f t="shared" si="35"/>
        <v>765</v>
      </c>
      <c r="Q379" s="1">
        <f>COUNTIFS($P:$P, "&gt;" &amp; $P379) + 1</f>
        <v>3822</v>
      </c>
      <c r="R379" s="63">
        <f>(COUNTIFS($P:$P, "&gt;" &amp; $P379) + 1) / (COUNTA($I:$I) - 1)</f>
        <v>0.76439999999999997</v>
      </c>
      <c r="S379" s="23">
        <f>SUMIFS($P:$P, $Q:$Q, "&lt;" &amp; $Q379)</f>
        <v>186282670</v>
      </c>
    </row>
    <row r="380" spans="1:19" x14ac:dyDescent="0.25">
      <c r="A380" s="1">
        <v>375</v>
      </c>
      <c r="B380" s="1" t="s">
        <v>2</v>
      </c>
      <c r="C380" s="1" t="str">
        <f>IF($B380 = "Production Item", _xlfn.XLOOKUP($A380, 'Instrument Table'!$J:$J, 'Instrument Table'!$B:$B, $C379), IF($B380 = "Service Item", _xlfn.XLOOKUP($A380, 'Instrument Table'!$I:$I, 'Instrument Table'!$B:$B, $C379), _xlfn.XLOOKUP($A380, 'Instrument Table'!$H:$H, 'Instrument Table'!$B:$B, $C379)))</f>
        <v>Grand Piano</v>
      </c>
      <c r="D380" s="1" t="str">
        <f>VLOOKUP($C380, 'Instrument Table'!$B:$C, 2, FALSE)</f>
        <v>Pianos</v>
      </c>
      <c r="E380" s="1">
        <f t="shared" si="30"/>
        <v>1</v>
      </c>
      <c r="F380" s="1">
        <f>_xlfn.XLOOKUP($C380, 'Instrument Table'!$B:$B, 'Instrument Table'!$A:$A, "")</f>
        <v>10</v>
      </c>
      <c r="G380" s="1" t="str">
        <f>TEXT(IF($B380 = "Retail Item", IF((ROW($A380) - 4504 - _xlfn.XMATCH($C380, $C$4506:$C$5005, 0, 1)) &lt;= VLOOKUP($C380, 'Instrument Table'!$B:$D, 3, FALSE), ROW($A380) - 4504 - _xlfn.XMATCH($C380, $C$4506:$C$5005, 0, 1), 0), 0), "00")</f>
        <v>00</v>
      </c>
      <c r="H380" s="1" t="str">
        <f t="shared" si="31"/>
        <v>374</v>
      </c>
      <c r="I380" s="1" t="str">
        <f t="shared" si="32"/>
        <v>11000-374</v>
      </c>
      <c r="J380" s="1" t="str">
        <f t="shared" si="33"/>
        <v>Grand piano production item #374</v>
      </c>
      <c r="K380" s="1" t="str">
        <f>IF(SUM(COUNTIFS(I:I, I380)) &gt; 1, "DUPLICATE", "UNIQUE")</f>
        <v>UNIQUE</v>
      </c>
      <c r="L380" s="18">
        <v>0</v>
      </c>
      <c r="M380" s="28">
        <v>7</v>
      </c>
      <c r="N380" s="6">
        <v>64</v>
      </c>
      <c r="O380" s="30">
        <f t="shared" si="34"/>
        <v>0</v>
      </c>
      <c r="P380" s="30">
        <f t="shared" si="35"/>
        <v>448</v>
      </c>
      <c r="Q380" s="1">
        <f>COUNTIFS($P:$P, "&gt;" &amp; $P380) + 1</f>
        <v>4062</v>
      </c>
      <c r="R380" s="63">
        <f>(COUNTIFS($P:$P, "&gt;" &amp; $P380) + 1) / (COUNTA($I:$I) - 1)</f>
        <v>0.81240000000000001</v>
      </c>
      <c r="S380" s="23">
        <f>SUMIFS($P:$P, $Q:$Q, "&lt;" &amp; $Q380)</f>
        <v>186428850</v>
      </c>
    </row>
    <row r="381" spans="1:19" x14ac:dyDescent="0.25">
      <c r="A381" s="1">
        <v>376</v>
      </c>
      <c r="B381" s="1" t="s">
        <v>2</v>
      </c>
      <c r="C381" s="1" t="str">
        <f>IF($B381 = "Production Item", _xlfn.XLOOKUP($A381, 'Instrument Table'!$J:$J, 'Instrument Table'!$B:$B, $C380), IF($B381 = "Service Item", _xlfn.XLOOKUP($A381, 'Instrument Table'!$I:$I, 'Instrument Table'!$B:$B, $C380), _xlfn.XLOOKUP($A381, 'Instrument Table'!$H:$H, 'Instrument Table'!$B:$B, $C380)))</f>
        <v>Grand Piano</v>
      </c>
      <c r="D381" s="1" t="str">
        <f>VLOOKUP($C381, 'Instrument Table'!$B:$C, 2, FALSE)</f>
        <v>Pianos</v>
      </c>
      <c r="E381" s="1">
        <f t="shared" si="30"/>
        <v>1</v>
      </c>
      <c r="F381" s="1">
        <f>_xlfn.XLOOKUP($C381, 'Instrument Table'!$B:$B, 'Instrument Table'!$A:$A, "")</f>
        <v>10</v>
      </c>
      <c r="G381" s="1" t="str">
        <f>TEXT(IF($B381 = "Retail Item", IF((ROW($A381) - 4504 - _xlfn.XMATCH($C381, $C$4506:$C$5005, 0, 1)) &lt;= VLOOKUP($C381, 'Instrument Table'!$B:$D, 3, FALSE), ROW($A381) - 4504 - _xlfn.XMATCH($C381, $C$4506:$C$5005, 0, 1), 0), 0), "00")</f>
        <v>00</v>
      </c>
      <c r="H381" s="1" t="str">
        <f t="shared" si="31"/>
        <v>375</v>
      </c>
      <c r="I381" s="1" t="str">
        <f t="shared" si="32"/>
        <v>11000-375</v>
      </c>
      <c r="J381" s="1" t="str">
        <f t="shared" si="33"/>
        <v>Grand piano production item #375</v>
      </c>
      <c r="K381" s="1" t="str">
        <f>IF(SUM(COUNTIFS(I:I, I381)) &gt; 1, "DUPLICATE", "UNIQUE")</f>
        <v>UNIQUE</v>
      </c>
      <c r="L381" s="18">
        <v>4</v>
      </c>
      <c r="M381" s="28">
        <v>62</v>
      </c>
      <c r="N381" s="6">
        <v>4</v>
      </c>
      <c r="O381" s="30">
        <f t="shared" si="34"/>
        <v>248</v>
      </c>
      <c r="P381" s="30">
        <f t="shared" si="35"/>
        <v>248</v>
      </c>
      <c r="Q381" s="1">
        <f>COUNTIFS($P:$P, "&gt;" &amp; $P381) + 1</f>
        <v>4277</v>
      </c>
      <c r="R381" s="63">
        <f>(COUNTIFS($P:$P, "&gt;" &amp; $P381) + 1) / (COUNTA($I:$I) - 1)</f>
        <v>0.85540000000000005</v>
      </c>
      <c r="S381" s="23">
        <f>SUMIFS($P:$P, $Q:$Q, "&lt;" &amp; $Q381)</f>
        <v>186502027</v>
      </c>
    </row>
    <row r="382" spans="1:19" x14ac:dyDescent="0.25">
      <c r="A382" s="1">
        <v>377</v>
      </c>
      <c r="B382" s="1" t="s">
        <v>2</v>
      </c>
      <c r="C382" s="1" t="str">
        <f>IF($B382 = "Production Item", _xlfn.XLOOKUP($A382, 'Instrument Table'!$J:$J, 'Instrument Table'!$B:$B, $C381), IF($B382 = "Service Item", _xlfn.XLOOKUP($A382, 'Instrument Table'!$I:$I, 'Instrument Table'!$B:$B, $C381), _xlfn.XLOOKUP($A382, 'Instrument Table'!$H:$H, 'Instrument Table'!$B:$B, $C381)))</f>
        <v>Grand Piano</v>
      </c>
      <c r="D382" s="1" t="str">
        <f>VLOOKUP($C382, 'Instrument Table'!$B:$C, 2, FALSE)</f>
        <v>Pianos</v>
      </c>
      <c r="E382" s="1">
        <f t="shared" si="30"/>
        <v>1</v>
      </c>
      <c r="F382" s="1">
        <f>_xlfn.XLOOKUP($C382, 'Instrument Table'!$B:$B, 'Instrument Table'!$A:$A, "")</f>
        <v>10</v>
      </c>
      <c r="G382" s="1" t="str">
        <f>TEXT(IF($B382 = "Retail Item", IF((ROW($A382) - 4504 - _xlfn.XMATCH($C382, $C$4506:$C$5005, 0, 1)) &lt;= VLOOKUP($C382, 'Instrument Table'!$B:$D, 3, FALSE), ROW($A382) - 4504 - _xlfn.XMATCH($C382, $C$4506:$C$5005, 0, 1), 0), 0), "00")</f>
        <v>00</v>
      </c>
      <c r="H382" s="1" t="str">
        <f t="shared" si="31"/>
        <v>376</v>
      </c>
      <c r="I382" s="1" t="str">
        <f t="shared" si="32"/>
        <v>11000-376</v>
      </c>
      <c r="J382" s="1" t="str">
        <f t="shared" si="33"/>
        <v>Grand piano production item #376</v>
      </c>
      <c r="K382" s="1" t="str">
        <f>IF(SUM(COUNTIFS(I:I, I382)) &gt; 1, "DUPLICATE", "UNIQUE")</f>
        <v>UNIQUE</v>
      </c>
      <c r="L382" s="18">
        <v>2</v>
      </c>
      <c r="M382" s="28">
        <v>41</v>
      </c>
      <c r="N382" s="6">
        <v>196</v>
      </c>
      <c r="O382" s="30">
        <f t="shared" si="34"/>
        <v>82</v>
      </c>
      <c r="P382" s="30">
        <f t="shared" si="35"/>
        <v>8036</v>
      </c>
      <c r="Q382" s="1">
        <f>COUNTIFS($P:$P, "&gt;" &amp; $P382) + 1</f>
        <v>1982</v>
      </c>
      <c r="R382" s="63">
        <f>(COUNTIFS($P:$P, "&gt;" &amp; $P382) + 1) / (COUNTA($I:$I) - 1)</f>
        <v>0.39639999999999997</v>
      </c>
      <c r="S382" s="23">
        <f>SUMIFS($P:$P, $Q:$Q, "&lt;" &amp; $Q382)</f>
        <v>179852830</v>
      </c>
    </row>
    <row r="383" spans="1:19" x14ac:dyDescent="0.25">
      <c r="A383" s="1">
        <v>378</v>
      </c>
      <c r="B383" s="1" t="s">
        <v>2</v>
      </c>
      <c r="C383" s="1" t="str">
        <f>IF($B383 = "Production Item", _xlfn.XLOOKUP($A383, 'Instrument Table'!$J:$J, 'Instrument Table'!$B:$B, $C382), IF($B383 = "Service Item", _xlfn.XLOOKUP($A383, 'Instrument Table'!$I:$I, 'Instrument Table'!$B:$B, $C382), _xlfn.XLOOKUP($A383, 'Instrument Table'!$H:$H, 'Instrument Table'!$B:$B, $C382)))</f>
        <v>Grand Piano</v>
      </c>
      <c r="D383" s="1" t="str">
        <f>VLOOKUP($C383, 'Instrument Table'!$B:$C, 2, FALSE)</f>
        <v>Pianos</v>
      </c>
      <c r="E383" s="1">
        <f t="shared" si="30"/>
        <v>1</v>
      </c>
      <c r="F383" s="1">
        <f>_xlfn.XLOOKUP($C383, 'Instrument Table'!$B:$B, 'Instrument Table'!$A:$A, "")</f>
        <v>10</v>
      </c>
      <c r="G383" s="1" t="str">
        <f>TEXT(IF($B383 = "Retail Item", IF((ROW($A383) - 4504 - _xlfn.XMATCH($C383, $C$4506:$C$5005, 0, 1)) &lt;= VLOOKUP($C383, 'Instrument Table'!$B:$D, 3, FALSE), ROW($A383) - 4504 - _xlfn.XMATCH($C383, $C$4506:$C$5005, 0, 1), 0), 0), "00")</f>
        <v>00</v>
      </c>
      <c r="H383" s="1" t="str">
        <f t="shared" si="31"/>
        <v>377</v>
      </c>
      <c r="I383" s="1" t="str">
        <f t="shared" si="32"/>
        <v>11000-377</v>
      </c>
      <c r="J383" s="1" t="str">
        <f t="shared" si="33"/>
        <v>Grand piano production item #377</v>
      </c>
      <c r="K383" s="1" t="str">
        <f>IF(SUM(COUNTIFS(I:I, I383)) &gt; 1, "DUPLICATE", "UNIQUE")</f>
        <v>UNIQUE</v>
      </c>
      <c r="L383" s="18">
        <v>4</v>
      </c>
      <c r="M383" s="28">
        <v>90</v>
      </c>
      <c r="N383" s="6">
        <v>36</v>
      </c>
      <c r="O383" s="30">
        <f t="shared" si="34"/>
        <v>360</v>
      </c>
      <c r="P383" s="30">
        <f t="shared" si="35"/>
        <v>3240</v>
      </c>
      <c r="Q383" s="1">
        <f>COUNTIFS($P:$P, "&gt;" &amp; $P383) + 1</f>
        <v>2839</v>
      </c>
      <c r="R383" s="63">
        <f>(COUNTIFS($P:$P, "&gt;" &amp; $P383) + 1) / (COUNTA($I:$I) - 1)</f>
        <v>0.56779999999999997</v>
      </c>
      <c r="S383" s="23">
        <f>SUMIFS($P:$P, $Q:$Q, "&lt;" &amp; $Q383)</f>
        <v>184456190</v>
      </c>
    </row>
    <row r="384" spans="1:19" x14ac:dyDescent="0.25">
      <c r="A384" s="1">
        <v>379</v>
      </c>
      <c r="B384" s="1" t="s">
        <v>2</v>
      </c>
      <c r="C384" s="1" t="str">
        <f>IF($B384 = "Production Item", _xlfn.XLOOKUP($A384, 'Instrument Table'!$J:$J, 'Instrument Table'!$B:$B, $C383), IF($B384 = "Service Item", _xlfn.XLOOKUP($A384, 'Instrument Table'!$I:$I, 'Instrument Table'!$B:$B, $C383), _xlfn.XLOOKUP($A384, 'Instrument Table'!$H:$H, 'Instrument Table'!$B:$B, $C383)))</f>
        <v>Grand Piano</v>
      </c>
      <c r="D384" s="1" t="str">
        <f>VLOOKUP($C384, 'Instrument Table'!$B:$C, 2, FALSE)</f>
        <v>Pianos</v>
      </c>
      <c r="E384" s="1">
        <f t="shared" si="30"/>
        <v>1</v>
      </c>
      <c r="F384" s="1">
        <f>_xlfn.XLOOKUP($C384, 'Instrument Table'!$B:$B, 'Instrument Table'!$A:$A, "")</f>
        <v>10</v>
      </c>
      <c r="G384" s="1" t="str">
        <f>TEXT(IF($B384 = "Retail Item", IF((ROW($A384) - 4504 - _xlfn.XMATCH($C384, $C$4506:$C$5005, 0, 1)) &lt;= VLOOKUP($C384, 'Instrument Table'!$B:$D, 3, FALSE), ROW($A384) - 4504 - _xlfn.XMATCH($C384, $C$4506:$C$5005, 0, 1), 0), 0), "00")</f>
        <v>00</v>
      </c>
      <c r="H384" s="1" t="str">
        <f t="shared" si="31"/>
        <v>378</v>
      </c>
      <c r="I384" s="1" t="str">
        <f t="shared" si="32"/>
        <v>11000-378</v>
      </c>
      <c r="J384" s="1" t="str">
        <f t="shared" si="33"/>
        <v>Grand piano production item #378</v>
      </c>
      <c r="K384" s="1" t="str">
        <f>IF(SUM(COUNTIFS(I:I, I384)) &gt; 1, "DUPLICATE", "UNIQUE")</f>
        <v>UNIQUE</v>
      </c>
      <c r="L384" s="18">
        <v>1</v>
      </c>
      <c r="M384" s="28">
        <v>93</v>
      </c>
      <c r="N384" s="6">
        <v>16</v>
      </c>
      <c r="O384" s="30">
        <f t="shared" si="34"/>
        <v>93</v>
      </c>
      <c r="P384" s="30">
        <f t="shared" si="35"/>
        <v>1488</v>
      </c>
      <c r="Q384" s="1">
        <f>COUNTIFS($P:$P, "&gt;" &amp; $P384) + 1</f>
        <v>3463</v>
      </c>
      <c r="R384" s="63">
        <f>(COUNTIFS($P:$P, "&gt;" &amp; $P384) + 1) / (COUNTA($I:$I) - 1)</f>
        <v>0.69259999999999999</v>
      </c>
      <c r="S384" s="23">
        <f>SUMIFS($P:$P, $Q:$Q, "&lt;" &amp; $Q384)</f>
        <v>185883471</v>
      </c>
    </row>
    <row r="385" spans="1:19" x14ac:dyDescent="0.25">
      <c r="A385" s="1">
        <v>380</v>
      </c>
      <c r="B385" s="1" t="s">
        <v>2</v>
      </c>
      <c r="C385" s="1" t="str">
        <f>IF($B385 = "Production Item", _xlfn.XLOOKUP($A385, 'Instrument Table'!$J:$J, 'Instrument Table'!$B:$B, $C384), IF($B385 = "Service Item", _xlfn.XLOOKUP($A385, 'Instrument Table'!$I:$I, 'Instrument Table'!$B:$B, $C384), _xlfn.XLOOKUP($A385, 'Instrument Table'!$H:$H, 'Instrument Table'!$B:$B, $C384)))</f>
        <v>Grand Piano</v>
      </c>
      <c r="D385" s="1" t="str">
        <f>VLOOKUP($C385, 'Instrument Table'!$B:$C, 2, FALSE)</f>
        <v>Pianos</v>
      </c>
      <c r="E385" s="1">
        <f t="shared" si="30"/>
        <v>1</v>
      </c>
      <c r="F385" s="1">
        <f>_xlfn.XLOOKUP($C385, 'Instrument Table'!$B:$B, 'Instrument Table'!$A:$A, "")</f>
        <v>10</v>
      </c>
      <c r="G385" s="1" t="str">
        <f>TEXT(IF($B385 = "Retail Item", IF((ROW($A385) - 4504 - _xlfn.XMATCH($C385, $C$4506:$C$5005, 0, 1)) &lt;= VLOOKUP($C385, 'Instrument Table'!$B:$D, 3, FALSE), ROW($A385) - 4504 - _xlfn.XMATCH($C385, $C$4506:$C$5005, 0, 1), 0), 0), "00")</f>
        <v>00</v>
      </c>
      <c r="H385" s="1" t="str">
        <f t="shared" si="31"/>
        <v>379</v>
      </c>
      <c r="I385" s="1" t="str">
        <f t="shared" si="32"/>
        <v>11000-379</v>
      </c>
      <c r="J385" s="1" t="str">
        <f t="shared" si="33"/>
        <v>Grand piano production item #379</v>
      </c>
      <c r="K385" s="1" t="str">
        <f>IF(SUM(COUNTIFS(I:I, I385)) &gt; 1, "DUPLICATE", "UNIQUE")</f>
        <v>UNIQUE</v>
      </c>
      <c r="L385" s="18">
        <v>0</v>
      </c>
      <c r="M385" s="28">
        <v>97</v>
      </c>
      <c r="N385" s="6">
        <v>225</v>
      </c>
      <c r="O385" s="30">
        <f t="shared" si="34"/>
        <v>0</v>
      </c>
      <c r="P385" s="30">
        <f t="shared" si="35"/>
        <v>21825</v>
      </c>
      <c r="Q385" s="1">
        <f>COUNTIFS($P:$P, "&gt;" &amp; $P385) + 1</f>
        <v>961</v>
      </c>
      <c r="R385" s="63">
        <f>(COUNTIFS($P:$P, "&gt;" &amp; $P385) + 1) / (COUNTA($I:$I) - 1)</f>
        <v>0.19220000000000001</v>
      </c>
      <c r="S385" s="23">
        <f>SUMIFS($P:$P, $Q:$Q, "&lt;" &amp; $Q385)</f>
        <v>165651656</v>
      </c>
    </row>
    <row r="386" spans="1:19" x14ac:dyDescent="0.25">
      <c r="A386" s="1">
        <v>381</v>
      </c>
      <c r="B386" s="1" t="s">
        <v>2</v>
      </c>
      <c r="C386" s="1" t="str">
        <f>IF($B386 = "Production Item", _xlfn.XLOOKUP($A386, 'Instrument Table'!$J:$J, 'Instrument Table'!$B:$B, $C385), IF($B386 = "Service Item", _xlfn.XLOOKUP($A386, 'Instrument Table'!$I:$I, 'Instrument Table'!$B:$B, $C385), _xlfn.XLOOKUP($A386, 'Instrument Table'!$H:$H, 'Instrument Table'!$B:$B, $C385)))</f>
        <v>Grand Piano</v>
      </c>
      <c r="D386" s="1" t="str">
        <f>VLOOKUP($C386, 'Instrument Table'!$B:$C, 2, FALSE)</f>
        <v>Pianos</v>
      </c>
      <c r="E386" s="1">
        <f t="shared" si="30"/>
        <v>1</v>
      </c>
      <c r="F386" s="1">
        <f>_xlfn.XLOOKUP($C386, 'Instrument Table'!$B:$B, 'Instrument Table'!$A:$A, "")</f>
        <v>10</v>
      </c>
      <c r="G386" s="1" t="str">
        <f>TEXT(IF($B386 = "Retail Item", IF((ROW($A386) - 4504 - _xlfn.XMATCH($C386, $C$4506:$C$5005, 0, 1)) &lt;= VLOOKUP($C386, 'Instrument Table'!$B:$D, 3, FALSE), ROW($A386) - 4504 - _xlfn.XMATCH($C386, $C$4506:$C$5005, 0, 1), 0), 0), "00")</f>
        <v>00</v>
      </c>
      <c r="H386" s="1" t="str">
        <f t="shared" si="31"/>
        <v>380</v>
      </c>
      <c r="I386" s="1" t="str">
        <f t="shared" si="32"/>
        <v>11000-380</v>
      </c>
      <c r="J386" s="1" t="str">
        <f t="shared" si="33"/>
        <v>Grand piano production item #380</v>
      </c>
      <c r="K386" s="1" t="str">
        <f>IF(SUM(COUNTIFS(I:I, I386)) &gt; 1, "DUPLICATE", "UNIQUE")</f>
        <v>UNIQUE</v>
      </c>
      <c r="L386" s="18">
        <v>0</v>
      </c>
      <c r="M386" s="28">
        <v>70</v>
      </c>
      <c r="N386" s="6">
        <v>289</v>
      </c>
      <c r="O386" s="30">
        <f t="shared" si="34"/>
        <v>0</v>
      </c>
      <c r="P386" s="30">
        <f t="shared" si="35"/>
        <v>20230</v>
      </c>
      <c r="Q386" s="1">
        <f>COUNTIFS($P:$P, "&gt;" &amp; $P386) + 1</f>
        <v>1043</v>
      </c>
      <c r="R386" s="63">
        <f>(COUNTIFS($P:$P, "&gt;" &amp; $P386) + 1) / (COUNTA($I:$I) - 1)</f>
        <v>0.20860000000000001</v>
      </c>
      <c r="S386" s="23">
        <f>SUMIFS($P:$P, $Q:$Q, "&lt;" &amp; $Q386)</f>
        <v>167380806</v>
      </c>
    </row>
    <row r="387" spans="1:19" x14ac:dyDescent="0.25">
      <c r="A387" s="1">
        <v>382</v>
      </c>
      <c r="B387" s="1" t="s">
        <v>2</v>
      </c>
      <c r="C387" s="1" t="str">
        <f>IF($B387 = "Production Item", _xlfn.XLOOKUP($A387, 'Instrument Table'!$J:$J, 'Instrument Table'!$B:$B, $C386), IF($B387 = "Service Item", _xlfn.XLOOKUP($A387, 'Instrument Table'!$I:$I, 'Instrument Table'!$B:$B, $C386), _xlfn.XLOOKUP($A387, 'Instrument Table'!$H:$H, 'Instrument Table'!$B:$B, $C386)))</f>
        <v>Grand Piano</v>
      </c>
      <c r="D387" s="1" t="str">
        <f>VLOOKUP($C387, 'Instrument Table'!$B:$C, 2, FALSE)</f>
        <v>Pianos</v>
      </c>
      <c r="E387" s="1">
        <f t="shared" si="30"/>
        <v>1</v>
      </c>
      <c r="F387" s="1">
        <f>_xlfn.XLOOKUP($C387, 'Instrument Table'!$B:$B, 'Instrument Table'!$A:$A, "")</f>
        <v>10</v>
      </c>
      <c r="G387" s="1" t="str">
        <f>TEXT(IF($B387 = "Retail Item", IF((ROW($A387) - 4504 - _xlfn.XMATCH($C387, $C$4506:$C$5005, 0, 1)) &lt;= VLOOKUP($C387, 'Instrument Table'!$B:$D, 3, FALSE), ROW($A387) - 4504 - _xlfn.XMATCH($C387, $C$4506:$C$5005, 0, 1), 0), 0), "00")</f>
        <v>00</v>
      </c>
      <c r="H387" s="1" t="str">
        <f t="shared" si="31"/>
        <v>381</v>
      </c>
      <c r="I387" s="1" t="str">
        <f t="shared" si="32"/>
        <v>11000-381</v>
      </c>
      <c r="J387" s="1" t="str">
        <f t="shared" si="33"/>
        <v>Grand piano production item #381</v>
      </c>
      <c r="K387" s="1" t="str">
        <f>IF(SUM(COUNTIFS(I:I, I387)) &gt; 1, "DUPLICATE", "UNIQUE")</f>
        <v>UNIQUE</v>
      </c>
      <c r="L387" s="18">
        <v>0</v>
      </c>
      <c r="M387" s="28">
        <v>30</v>
      </c>
      <c r="N387" s="6">
        <v>196</v>
      </c>
      <c r="O387" s="30">
        <f t="shared" si="34"/>
        <v>0</v>
      </c>
      <c r="P387" s="30">
        <f t="shared" si="35"/>
        <v>5880</v>
      </c>
      <c r="Q387" s="1">
        <f>COUNTIFS($P:$P, "&gt;" &amp; $P387) + 1</f>
        <v>2282</v>
      </c>
      <c r="R387" s="63">
        <f>(COUNTIFS($P:$P, "&gt;" &amp; $P387) + 1) / (COUNTA($I:$I) - 1)</f>
        <v>0.45639999999999997</v>
      </c>
      <c r="S387" s="23">
        <f>SUMIFS($P:$P, $Q:$Q, "&lt;" &amp; $Q387)</f>
        <v>181959196</v>
      </c>
    </row>
    <row r="388" spans="1:19" x14ac:dyDescent="0.25">
      <c r="A388" s="1">
        <v>383</v>
      </c>
      <c r="B388" s="1" t="s">
        <v>2</v>
      </c>
      <c r="C388" s="1" t="str">
        <f>IF($B388 = "Production Item", _xlfn.XLOOKUP($A388, 'Instrument Table'!$J:$J, 'Instrument Table'!$B:$B, $C387), IF($B388 = "Service Item", _xlfn.XLOOKUP($A388, 'Instrument Table'!$I:$I, 'Instrument Table'!$B:$B, $C387), _xlfn.XLOOKUP($A388, 'Instrument Table'!$H:$H, 'Instrument Table'!$B:$B, $C387)))</f>
        <v>Grand Piano</v>
      </c>
      <c r="D388" s="1" t="str">
        <f>VLOOKUP($C388, 'Instrument Table'!$B:$C, 2, FALSE)</f>
        <v>Pianos</v>
      </c>
      <c r="E388" s="1">
        <f t="shared" si="30"/>
        <v>1</v>
      </c>
      <c r="F388" s="1">
        <f>_xlfn.XLOOKUP($C388, 'Instrument Table'!$B:$B, 'Instrument Table'!$A:$A, "")</f>
        <v>10</v>
      </c>
      <c r="G388" s="1" t="str">
        <f>TEXT(IF($B388 = "Retail Item", IF((ROW($A388) - 4504 - _xlfn.XMATCH($C388, $C$4506:$C$5005, 0, 1)) &lt;= VLOOKUP($C388, 'Instrument Table'!$B:$D, 3, FALSE), ROW($A388) - 4504 - _xlfn.XMATCH($C388, $C$4506:$C$5005, 0, 1), 0), 0), "00")</f>
        <v>00</v>
      </c>
      <c r="H388" s="1" t="str">
        <f t="shared" si="31"/>
        <v>382</v>
      </c>
      <c r="I388" s="1" t="str">
        <f t="shared" si="32"/>
        <v>11000-382</v>
      </c>
      <c r="J388" s="1" t="str">
        <f t="shared" si="33"/>
        <v>Grand piano production item #382</v>
      </c>
      <c r="K388" s="1" t="str">
        <f>IF(SUM(COUNTIFS(I:I, I388)) &gt; 1, "DUPLICATE", "UNIQUE")</f>
        <v>UNIQUE</v>
      </c>
      <c r="L388" s="18">
        <v>0</v>
      </c>
      <c r="M388" s="28">
        <v>62</v>
      </c>
      <c r="N388" s="6">
        <v>361</v>
      </c>
      <c r="O388" s="30">
        <f t="shared" si="34"/>
        <v>0</v>
      </c>
      <c r="P388" s="30">
        <f t="shared" si="35"/>
        <v>22382</v>
      </c>
      <c r="Q388" s="1">
        <f>COUNTIFS($P:$P, "&gt;" &amp; $P388) + 1</f>
        <v>933</v>
      </c>
      <c r="R388" s="63">
        <f>(COUNTIFS($P:$P, "&gt;" &amp; $P388) + 1) / (COUNTA($I:$I) - 1)</f>
        <v>0.18659999999999999</v>
      </c>
      <c r="S388" s="23">
        <f>SUMIFS($P:$P, $Q:$Q, "&lt;" &amp; $Q388)</f>
        <v>165031473</v>
      </c>
    </row>
    <row r="389" spans="1:19" x14ac:dyDescent="0.25">
      <c r="A389" s="1">
        <v>384</v>
      </c>
      <c r="B389" s="1" t="s">
        <v>2</v>
      </c>
      <c r="C389" s="1" t="str">
        <f>IF($B389 = "Production Item", _xlfn.XLOOKUP($A389, 'Instrument Table'!$J:$J, 'Instrument Table'!$B:$B, $C388), IF($B389 = "Service Item", _xlfn.XLOOKUP($A389, 'Instrument Table'!$I:$I, 'Instrument Table'!$B:$B, $C388), _xlfn.XLOOKUP($A389, 'Instrument Table'!$H:$H, 'Instrument Table'!$B:$B, $C388)))</f>
        <v>Grand Piano</v>
      </c>
      <c r="D389" s="1" t="str">
        <f>VLOOKUP($C389, 'Instrument Table'!$B:$C, 2, FALSE)</f>
        <v>Pianos</v>
      </c>
      <c r="E389" s="1">
        <f t="shared" si="30"/>
        <v>1</v>
      </c>
      <c r="F389" s="1">
        <f>_xlfn.XLOOKUP($C389, 'Instrument Table'!$B:$B, 'Instrument Table'!$A:$A, "")</f>
        <v>10</v>
      </c>
      <c r="G389" s="1" t="str">
        <f>TEXT(IF($B389 = "Retail Item", IF((ROW($A389) - 4504 - _xlfn.XMATCH($C389, $C$4506:$C$5005, 0, 1)) &lt;= VLOOKUP($C389, 'Instrument Table'!$B:$D, 3, FALSE), ROW($A389) - 4504 - _xlfn.XMATCH($C389, $C$4506:$C$5005, 0, 1), 0), 0), "00")</f>
        <v>00</v>
      </c>
      <c r="H389" s="1" t="str">
        <f t="shared" si="31"/>
        <v>383</v>
      </c>
      <c r="I389" s="1" t="str">
        <f t="shared" si="32"/>
        <v>11000-383</v>
      </c>
      <c r="J389" s="1" t="str">
        <f t="shared" si="33"/>
        <v>Grand piano production item #383</v>
      </c>
      <c r="K389" s="1" t="str">
        <f>IF(SUM(COUNTIFS(I:I, I389)) &gt; 1, "DUPLICATE", "UNIQUE")</f>
        <v>UNIQUE</v>
      </c>
      <c r="L389" s="18">
        <v>32</v>
      </c>
      <c r="M389" s="28">
        <v>47</v>
      </c>
      <c r="N389" s="6">
        <v>144</v>
      </c>
      <c r="O389" s="30">
        <f t="shared" si="34"/>
        <v>1504</v>
      </c>
      <c r="P389" s="30">
        <f t="shared" si="35"/>
        <v>6768</v>
      </c>
      <c r="Q389" s="1">
        <f>COUNTIFS($P:$P, "&gt;" &amp; $P389) + 1</f>
        <v>2174</v>
      </c>
      <c r="R389" s="63">
        <f>(COUNTIFS($P:$P, "&gt;" &amp; $P389) + 1) / (COUNTA($I:$I) - 1)</f>
        <v>0.43480000000000002</v>
      </c>
      <c r="S389" s="23">
        <f>SUMIFS($P:$P, $Q:$Q, "&lt;" &amp; $Q389)</f>
        <v>181277820</v>
      </c>
    </row>
    <row r="390" spans="1:19" x14ac:dyDescent="0.25">
      <c r="A390" s="1">
        <v>385</v>
      </c>
      <c r="B390" s="1" t="s">
        <v>2</v>
      </c>
      <c r="C390" s="1" t="str">
        <f>IF($B390 = "Production Item", _xlfn.XLOOKUP($A390, 'Instrument Table'!$J:$J, 'Instrument Table'!$B:$B, $C389), IF($B390 = "Service Item", _xlfn.XLOOKUP($A390, 'Instrument Table'!$I:$I, 'Instrument Table'!$B:$B, $C389), _xlfn.XLOOKUP($A390, 'Instrument Table'!$H:$H, 'Instrument Table'!$B:$B, $C389)))</f>
        <v>Grand Piano</v>
      </c>
      <c r="D390" s="1" t="str">
        <f>VLOOKUP($C390, 'Instrument Table'!$B:$C, 2, FALSE)</f>
        <v>Pianos</v>
      </c>
      <c r="E390" s="1">
        <f t="shared" si="30"/>
        <v>1</v>
      </c>
      <c r="F390" s="1">
        <f>_xlfn.XLOOKUP($C390, 'Instrument Table'!$B:$B, 'Instrument Table'!$A:$A, "")</f>
        <v>10</v>
      </c>
      <c r="G390" s="1" t="str">
        <f>TEXT(IF($B390 = "Retail Item", IF((ROW($A390) - 4504 - _xlfn.XMATCH($C390, $C$4506:$C$5005, 0, 1)) &lt;= VLOOKUP($C390, 'Instrument Table'!$B:$D, 3, FALSE), ROW($A390) - 4504 - _xlfn.XMATCH($C390, $C$4506:$C$5005, 0, 1), 0), 0), "00")</f>
        <v>00</v>
      </c>
      <c r="H390" s="1" t="str">
        <f t="shared" si="31"/>
        <v>384</v>
      </c>
      <c r="I390" s="1" t="str">
        <f t="shared" si="32"/>
        <v>11000-384</v>
      </c>
      <c r="J390" s="1" t="str">
        <f t="shared" si="33"/>
        <v>Grand piano production item #384</v>
      </c>
      <c r="K390" s="1" t="str">
        <f>IF(SUM(COUNTIFS(I:I, I390)) &gt; 1, "DUPLICATE", "UNIQUE")</f>
        <v>UNIQUE</v>
      </c>
      <c r="L390" s="18">
        <v>4</v>
      </c>
      <c r="M390" s="28">
        <v>9</v>
      </c>
      <c r="N390" s="6">
        <v>289</v>
      </c>
      <c r="O390" s="30">
        <f t="shared" si="34"/>
        <v>36</v>
      </c>
      <c r="P390" s="30">
        <f t="shared" si="35"/>
        <v>2601</v>
      </c>
      <c r="Q390" s="1">
        <f>COUNTIFS($P:$P, "&gt;" &amp; $P390) + 1</f>
        <v>3006</v>
      </c>
      <c r="R390" s="63">
        <f>(COUNTIFS($P:$P, "&gt;" &amp; $P390) + 1) / (COUNTA($I:$I) - 1)</f>
        <v>0.60119999999999996</v>
      </c>
      <c r="S390" s="23">
        <f>SUMIFS($P:$P, $Q:$Q, "&lt;" &amp; $Q390)</f>
        <v>184947870</v>
      </c>
    </row>
    <row r="391" spans="1:19" x14ac:dyDescent="0.25">
      <c r="A391" s="1">
        <v>386</v>
      </c>
      <c r="B391" s="1" t="s">
        <v>2</v>
      </c>
      <c r="C391" s="1" t="str">
        <f>IF($B391 = "Production Item", _xlfn.XLOOKUP($A391, 'Instrument Table'!$J:$J, 'Instrument Table'!$B:$B, $C390), IF($B391 = "Service Item", _xlfn.XLOOKUP($A391, 'Instrument Table'!$I:$I, 'Instrument Table'!$B:$B, $C390), _xlfn.XLOOKUP($A391, 'Instrument Table'!$H:$H, 'Instrument Table'!$B:$B, $C390)))</f>
        <v>Grand Piano</v>
      </c>
      <c r="D391" s="1" t="str">
        <f>VLOOKUP($C391, 'Instrument Table'!$B:$C, 2, FALSE)</f>
        <v>Pianos</v>
      </c>
      <c r="E391" s="1">
        <f t="shared" ref="E391:E454" si="36">IF($B391 = "Production Item", 1, IF($B391 = "Service Item", 2, IF($B391 = "Retail Item", 3, "")))</f>
        <v>1</v>
      </c>
      <c r="F391" s="1">
        <f>_xlfn.XLOOKUP($C391, 'Instrument Table'!$B:$B, 'Instrument Table'!$A:$A, "")</f>
        <v>10</v>
      </c>
      <c r="G391" s="1" t="str">
        <f>TEXT(IF($B391 = "Retail Item", IF((ROW($A391) - 4504 - _xlfn.XMATCH($C391, $C$4506:$C$5005, 0, 1)) &lt;= VLOOKUP($C391, 'Instrument Table'!$B:$D, 3, FALSE), ROW($A391) - 4504 - _xlfn.XMATCH($C391, $C$4506:$C$5005, 0, 1), 0), 0), "00")</f>
        <v>00</v>
      </c>
      <c r="H391" s="1" t="str">
        <f t="shared" ref="H391:H454" si="37">TEXT(IF($E391 &amp; $F391 &amp; $G391 = $E390 &amp; $F390 &amp; $G390, 1 + H390, 0), "000")</f>
        <v>385</v>
      </c>
      <c r="I391" s="1" t="str">
        <f t="shared" ref="I391:I454" si="38" xml:space="preserve"> _xlfn.CONCAT($E391, $F391, $G391, "-", H391)</f>
        <v>11000-385</v>
      </c>
      <c r="J391" s="1" t="str">
        <f t="shared" ref="J391:J454" si="39">LEFT($C391, 1) &amp; LOWER(RIGHT($C391, LEN($C391) - 1)) &amp; IF(AND($G391 &lt;&gt; "00", $B391 = "Retail Item"), " model #" &amp; $G391, " " &amp; LOWER($B391) &amp; " #" &amp; $H391)</f>
        <v>Grand piano production item #385</v>
      </c>
      <c r="K391" s="1" t="str">
        <f>IF(SUM(COUNTIFS(I:I, I391)) &gt; 1, "DUPLICATE", "UNIQUE")</f>
        <v>UNIQUE</v>
      </c>
      <c r="L391" s="18">
        <v>2</v>
      </c>
      <c r="M391" s="28">
        <v>96</v>
      </c>
      <c r="N391" s="6">
        <v>0</v>
      </c>
      <c r="O391" s="30">
        <f t="shared" ref="O391:O454" si="40">$L391 * $M391</f>
        <v>192</v>
      </c>
      <c r="P391" s="30">
        <f t="shared" ref="P391:P454" si="41">$N391 * $M391</f>
        <v>0</v>
      </c>
      <c r="Q391" s="1">
        <f>COUNTIFS($P:$P, "&gt;" &amp; $P391) + 1</f>
        <v>4746</v>
      </c>
      <c r="R391" s="63">
        <f>(COUNTIFS($P:$P, "&gt;" &amp; $P391) + 1) / (COUNTA($I:$I) - 1)</f>
        <v>0.94920000000000004</v>
      </c>
      <c r="S391" s="23">
        <f>SUMIFS($P:$P, $Q:$Q, "&lt;" &amp; $Q391)</f>
        <v>186547861</v>
      </c>
    </row>
    <row r="392" spans="1:19" x14ac:dyDescent="0.25">
      <c r="A392" s="1">
        <v>387</v>
      </c>
      <c r="B392" s="1" t="s">
        <v>2</v>
      </c>
      <c r="C392" s="1" t="str">
        <f>IF($B392 = "Production Item", _xlfn.XLOOKUP($A392, 'Instrument Table'!$J:$J, 'Instrument Table'!$B:$B, $C391), IF($B392 = "Service Item", _xlfn.XLOOKUP($A392, 'Instrument Table'!$I:$I, 'Instrument Table'!$B:$B, $C391), _xlfn.XLOOKUP($A392, 'Instrument Table'!$H:$H, 'Instrument Table'!$B:$B, $C391)))</f>
        <v>Grand Piano</v>
      </c>
      <c r="D392" s="1" t="str">
        <f>VLOOKUP($C392, 'Instrument Table'!$B:$C, 2, FALSE)</f>
        <v>Pianos</v>
      </c>
      <c r="E392" s="1">
        <f t="shared" si="36"/>
        <v>1</v>
      </c>
      <c r="F392" s="1">
        <f>_xlfn.XLOOKUP($C392, 'Instrument Table'!$B:$B, 'Instrument Table'!$A:$A, "")</f>
        <v>10</v>
      </c>
      <c r="G392" s="1" t="str">
        <f>TEXT(IF($B392 = "Retail Item", IF((ROW($A392) - 4504 - _xlfn.XMATCH($C392, $C$4506:$C$5005, 0, 1)) &lt;= VLOOKUP($C392, 'Instrument Table'!$B:$D, 3, FALSE), ROW($A392) - 4504 - _xlfn.XMATCH($C392, $C$4506:$C$5005, 0, 1), 0), 0), "00")</f>
        <v>00</v>
      </c>
      <c r="H392" s="1" t="str">
        <f t="shared" si="37"/>
        <v>386</v>
      </c>
      <c r="I392" s="1" t="str">
        <f t="shared" si="38"/>
        <v>11000-386</v>
      </c>
      <c r="J392" s="1" t="str">
        <f t="shared" si="39"/>
        <v>Grand piano production item #386</v>
      </c>
      <c r="K392" s="1" t="str">
        <f>IF(SUM(COUNTIFS(I:I, I392)) &gt; 1, "DUPLICATE", "UNIQUE")</f>
        <v>UNIQUE</v>
      </c>
      <c r="L392" s="18">
        <v>0</v>
      </c>
      <c r="M392" s="28">
        <v>33</v>
      </c>
      <c r="N392" s="6">
        <v>4</v>
      </c>
      <c r="O392" s="30">
        <f t="shared" si="40"/>
        <v>0</v>
      </c>
      <c r="P392" s="30">
        <f t="shared" si="41"/>
        <v>132</v>
      </c>
      <c r="Q392" s="1">
        <f>COUNTIFS($P:$P, "&gt;" &amp; $P392) + 1</f>
        <v>4415</v>
      </c>
      <c r="R392" s="63">
        <f>(COUNTIFS($P:$P, "&gt;" &amp; $P392) + 1) / (COUNTA($I:$I) - 1)</f>
        <v>0.88300000000000001</v>
      </c>
      <c r="S392" s="23">
        <f>SUMIFS($P:$P, $Q:$Q, "&lt;" &amp; $Q392)</f>
        <v>186528121</v>
      </c>
    </row>
    <row r="393" spans="1:19" x14ac:dyDescent="0.25">
      <c r="A393" s="1">
        <v>388</v>
      </c>
      <c r="B393" s="1" t="s">
        <v>2</v>
      </c>
      <c r="C393" s="1" t="str">
        <f>IF($B393 = "Production Item", _xlfn.XLOOKUP($A393, 'Instrument Table'!$J:$J, 'Instrument Table'!$B:$B, $C392), IF($B393 = "Service Item", _xlfn.XLOOKUP($A393, 'Instrument Table'!$I:$I, 'Instrument Table'!$B:$B, $C392), _xlfn.XLOOKUP($A393, 'Instrument Table'!$H:$H, 'Instrument Table'!$B:$B, $C392)))</f>
        <v>Grand Piano</v>
      </c>
      <c r="D393" s="1" t="str">
        <f>VLOOKUP($C393, 'Instrument Table'!$B:$C, 2, FALSE)</f>
        <v>Pianos</v>
      </c>
      <c r="E393" s="1">
        <f t="shared" si="36"/>
        <v>1</v>
      </c>
      <c r="F393" s="1">
        <f>_xlfn.XLOOKUP($C393, 'Instrument Table'!$B:$B, 'Instrument Table'!$A:$A, "")</f>
        <v>10</v>
      </c>
      <c r="G393" s="1" t="str">
        <f>TEXT(IF($B393 = "Retail Item", IF((ROW($A393) - 4504 - _xlfn.XMATCH($C393, $C$4506:$C$5005, 0, 1)) &lt;= VLOOKUP($C393, 'Instrument Table'!$B:$D, 3, FALSE), ROW($A393) - 4504 - _xlfn.XMATCH($C393, $C$4506:$C$5005, 0, 1), 0), 0), "00")</f>
        <v>00</v>
      </c>
      <c r="H393" s="1" t="str">
        <f t="shared" si="37"/>
        <v>387</v>
      </c>
      <c r="I393" s="1" t="str">
        <f t="shared" si="38"/>
        <v>11000-387</v>
      </c>
      <c r="J393" s="1" t="str">
        <f t="shared" si="39"/>
        <v>Grand piano production item #387</v>
      </c>
      <c r="K393" s="1" t="str">
        <f>IF(SUM(COUNTIFS(I:I, I393)) &gt; 1, "DUPLICATE", "UNIQUE")</f>
        <v>UNIQUE</v>
      </c>
      <c r="L393" s="18">
        <v>1</v>
      </c>
      <c r="M393" s="28">
        <v>85</v>
      </c>
      <c r="N393" s="6">
        <v>64</v>
      </c>
      <c r="O393" s="30">
        <f t="shared" si="40"/>
        <v>85</v>
      </c>
      <c r="P393" s="30">
        <f t="shared" si="41"/>
        <v>5440</v>
      </c>
      <c r="Q393" s="1">
        <f>COUNTIFS($P:$P, "&gt;" &amp; $P393) + 1</f>
        <v>2364</v>
      </c>
      <c r="R393" s="63">
        <f>(COUNTIFS($P:$P, "&gt;" &amp; $P393) + 1) / (COUNTA($I:$I) - 1)</f>
        <v>0.4728</v>
      </c>
      <c r="S393" s="23">
        <f>SUMIFS($P:$P, $Q:$Q, "&lt;" &amp; $Q393)</f>
        <v>182424297</v>
      </c>
    </row>
    <row r="394" spans="1:19" x14ac:dyDescent="0.25">
      <c r="A394" s="1">
        <v>389</v>
      </c>
      <c r="B394" s="1" t="s">
        <v>2</v>
      </c>
      <c r="C394" s="1" t="str">
        <f>IF($B394 = "Production Item", _xlfn.XLOOKUP($A394, 'Instrument Table'!$J:$J, 'Instrument Table'!$B:$B, $C393), IF($B394 = "Service Item", _xlfn.XLOOKUP($A394, 'Instrument Table'!$I:$I, 'Instrument Table'!$B:$B, $C393), _xlfn.XLOOKUP($A394, 'Instrument Table'!$H:$H, 'Instrument Table'!$B:$B, $C393)))</f>
        <v>Grand Piano</v>
      </c>
      <c r="D394" s="1" t="str">
        <f>VLOOKUP($C394, 'Instrument Table'!$B:$C, 2, FALSE)</f>
        <v>Pianos</v>
      </c>
      <c r="E394" s="1">
        <f t="shared" si="36"/>
        <v>1</v>
      </c>
      <c r="F394" s="1">
        <f>_xlfn.XLOOKUP($C394, 'Instrument Table'!$B:$B, 'Instrument Table'!$A:$A, "")</f>
        <v>10</v>
      </c>
      <c r="G394" s="1" t="str">
        <f>TEXT(IF($B394 = "Retail Item", IF((ROW($A394) - 4504 - _xlfn.XMATCH($C394, $C$4506:$C$5005, 0, 1)) &lt;= VLOOKUP($C394, 'Instrument Table'!$B:$D, 3, FALSE), ROW($A394) - 4504 - _xlfn.XMATCH($C394, $C$4506:$C$5005, 0, 1), 0), 0), "00")</f>
        <v>00</v>
      </c>
      <c r="H394" s="1" t="str">
        <f t="shared" si="37"/>
        <v>388</v>
      </c>
      <c r="I394" s="1" t="str">
        <f t="shared" si="38"/>
        <v>11000-388</v>
      </c>
      <c r="J394" s="1" t="str">
        <f t="shared" si="39"/>
        <v>Grand piano production item #388</v>
      </c>
      <c r="K394" s="1" t="str">
        <f>IF(SUM(COUNTIFS(I:I, I394)) &gt; 1, "DUPLICATE", "UNIQUE")</f>
        <v>UNIQUE</v>
      </c>
      <c r="L394" s="18">
        <v>0</v>
      </c>
      <c r="M394" s="28">
        <v>54</v>
      </c>
      <c r="N394" s="6">
        <v>0</v>
      </c>
      <c r="O394" s="30">
        <f t="shared" si="40"/>
        <v>0</v>
      </c>
      <c r="P394" s="30">
        <f t="shared" si="41"/>
        <v>0</v>
      </c>
      <c r="Q394" s="1">
        <f>COUNTIFS($P:$P, "&gt;" &amp; $P394) + 1</f>
        <v>4746</v>
      </c>
      <c r="R394" s="63">
        <f>(COUNTIFS($P:$P, "&gt;" &amp; $P394) + 1) / (COUNTA($I:$I) - 1)</f>
        <v>0.94920000000000004</v>
      </c>
      <c r="S394" s="23">
        <f>SUMIFS($P:$P, $Q:$Q, "&lt;" &amp; $Q394)</f>
        <v>186547861</v>
      </c>
    </row>
    <row r="395" spans="1:19" x14ac:dyDescent="0.25">
      <c r="A395" s="1">
        <v>390</v>
      </c>
      <c r="B395" s="1" t="s">
        <v>2</v>
      </c>
      <c r="C395" s="1" t="str">
        <f>IF($B395 = "Production Item", _xlfn.XLOOKUP($A395, 'Instrument Table'!$J:$J, 'Instrument Table'!$B:$B, $C394), IF($B395 = "Service Item", _xlfn.XLOOKUP($A395, 'Instrument Table'!$I:$I, 'Instrument Table'!$B:$B, $C394), _xlfn.XLOOKUP($A395, 'Instrument Table'!$H:$H, 'Instrument Table'!$B:$B, $C394)))</f>
        <v>Grand Piano</v>
      </c>
      <c r="D395" s="1" t="str">
        <f>VLOOKUP($C395, 'Instrument Table'!$B:$C, 2, FALSE)</f>
        <v>Pianos</v>
      </c>
      <c r="E395" s="1">
        <f t="shared" si="36"/>
        <v>1</v>
      </c>
      <c r="F395" s="1">
        <f>_xlfn.XLOOKUP($C395, 'Instrument Table'!$B:$B, 'Instrument Table'!$A:$A, "")</f>
        <v>10</v>
      </c>
      <c r="G395" s="1" t="str">
        <f>TEXT(IF($B395 = "Retail Item", IF((ROW($A395) - 4504 - _xlfn.XMATCH($C395, $C$4506:$C$5005, 0, 1)) &lt;= VLOOKUP($C395, 'Instrument Table'!$B:$D, 3, FALSE), ROW($A395) - 4504 - _xlfn.XMATCH($C395, $C$4506:$C$5005, 0, 1), 0), 0), "00")</f>
        <v>00</v>
      </c>
      <c r="H395" s="1" t="str">
        <f t="shared" si="37"/>
        <v>389</v>
      </c>
      <c r="I395" s="1" t="str">
        <f t="shared" si="38"/>
        <v>11000-389</v>
      </c>
      <c r="J395" s="1" t="str">
        <f t="shared" si="39"/>
        <v>Grand piano production item #389</v>
      </c>
      <c r="K395" s="1" t="str">
        <f>IF(SUM(COUNTIFS(I:I, I395)) &gt; 1, "DUPLICATE", "UNIQUE")</f>
        <v>UNIQUE</v>
      </c>
      <c r="L395" s="18">
        <v>1</v>
      </c>
      <c r="M395" s="28">
        <v>27</v>
      </c>
      <c r="N395" s="6">
        <v>400</v>
      </c>
      <c r="O395" s="30">
        <f t="shared" si="40"/>
        <v>27</v>
      </c>
      <c r="P395" s="30">
        <f t="shared" si="41"/>
        <v>10800</v>
      </c>
      <c r="Q395" s="1">
        <f>COUNTIFS($P:$P, "&gt;" &amp; $P395) + 1</f>
        <v>1703</v>
      </c>
      <c r="R395" s="63">
        <f>(COUNTIFS($P:$P, "&gt;" &amp; $P395) + 1) / (COUNTA($I:$I) - 1)</f>
        <v>0.34060000000000001</v>
      </c>
      <c r="S395" s="23">
        <f>SUMIFS($P:$P, $Q:$Q, "&lt;" &amp; $Q395)</f>
        <v>177245912</v>
      </c>
    </row>
    <row r="396" spans="1:19" x14ac:dyDescent="0.25">
      <c r="A396" s="1">
        <v>391</v>
      </c>
      <c r="B396" s="1" t="s">
        <v>2</v>
      </c>
      <c r="C396" s="1" t="str">
        <f>IF($B396 = "Production Item", _xlfn.XLOOKUP($A396, 'Instrument Table'!$J:$J, 'Instrument Table'!$B:$B, $C395), IF($B396 = "Service Item", _xlfn.XLOOKUP($A396, 'Instrument Table'!$I:$I, 'Instrument Table'!$B:$B, $C395), _xlfn.XLOOKUP($A396, 'Instrument Table'!$H:$H, 'Instrument Table'!$B:$B, $C395)))</f>
        <v>Grand Piano</v>
      </c>
      <c r="D396" s="1" t="str">
        <f>VLOOKUP($C396, 'Instrument Table'!$B:$C, 2, FALSE)</f>
        <v>Pianos</v>
      </c>
      <c r="E396" s="1">
        <f t="shared" si="36"/>
        <v>1</v>
      </c>
      <c r="F396" s="1">
        <f>_xlfn.XLOOKUP($C396, 'Instrument Table'!$B:$B, 'Instrument Table'!$A:$A, "")</f>
        <v>10</v>
      </c>
      <c r="G396" s="1" t="str">
        <f>TEXT(IF($B396 = "Retail Item", IF((ROW($A396) - 4504 - _xlfn.XMATCH($C396, $C$4506:$C$5005, 0, 1)) &lt;= VLOOKUP($C396, 'Instrument Table'!$B:$D, 3, FALSE), ROW($A396) - 4504 - _xlfn.XMATCH($C396, $C$4506:$C$5005, 0, 1), 0), 0), "00")</f>
        <v>00</v>
      </c>
      <c r="H396" s="1" t="str">
        <f t="shared" si="37"/>
        <v>390</v>
      </c>
      <c r="I396" s="1" t="str">
        <f t="shared" si="38"/>
        <v>11000-390</v>
      </c>
      <c r="J396" s="1" t="str">
        <f t="shared" si="39"/>
        <v>Grand piano production item #390</v>
      </c>
      <c r="K396" s="1" t="str">
        <f>IF(SUM(COUNTIFS(I:I, I396)) &gt; 1, "DUPLICATE", "UNIQUE")</f>
        <v>UNIQUE</v>
      </c>
      <c r="L396" s="18">
        <v>0</v>
      </c>
      <c r="M396" s="28">
        <v>31</v>
      </c>
      <c r="N396" s="6">
        <v>144</v>
      </c>
      <c r="O396" s="30">
        <f t="shared" si="40"/>
        <v>0</v>
      </c>
      <c r="P396" s="30">
        <f t="shared" si="41"/>
        <v>4464</v>
      </c>
      <c r="Q396" s="1">
        <f>COUNTIFS($P:$P, "&gt;" &amp; $P396) + 1</f>
        <v>2555</v>
      </c>
      <c r="R396" s="63">
        <f>(COUNTIFS($P:$P, "&gt;" &amp; $P396) + 1) / (COUNTA($I:$I) - 1)</f>
        <v>0.51100000000000001</v>
      </c>
      <c r="S396" s="23">
        <f>SUMIFS($P:$P, $Q:$Q, "&lt;" &amp; $Q396)</f>
        <v>183367348</v>
      </c>
    </row>
    <row r="397" spans="1:19" x14ac:dyDescent="0.25">
      <c r="A397" s="1">
        <v>392</v>
      </c>
      <c r="B397" s="1" t="s">
        <v>2</v>
      </c>
      <c r="C397" s="1" t="str">
        <f>IF($B397 = "Production Item", _xlfn.XLOOKUP($A397, 'Instrument Table'!$J:$J, 'Instrument Table'!$B:$B, $C396), IF($B397 = "Service Item", _xlfn.XLOOKUP($A397, 'Instrument Table'!$I:$I, 'Instrument Table'!$B:$B, $C396), _xlfn.XLOOKUP($A397, 'Instrument Table'!$H:$H, 'Instrument Table'!$B:$B, $C396)))</f>
        <v>Grand Piano</v>
      </c>
      <c r="D397" s="1" t="str">
        <f>VLOOKUP($C397, 'Instrument Table'!$B:$C, 2, FALSE)</f>
        <v>Pianos</v>
      </c>
      <c r="E397" s="1">
        <f t="shared" si="36"/>
        <v>1</v>
      </c>
      <c r="F397" s="1">
        <f>_xlfn.XLOOKUP($C397, 'Instrument Table'!$B:$B, 'Instrument Table'!$A:$A, "")</f>
        <v>10</v>
      </c>
      <c r="G397" s="1" t="str">
        <f>TEXT(IF($B397 = "Retail Item", IF((ROW($A397) - 4504 - _xlfn.XMATCH($C397, $C$4506:$C$5005, 0, 1)) &lt;= VLOOKUP($C397, 'Instrument Table'!$B:$D, 3, FALSE), ROW($A397) - 4504 - _xlfn.XMATCH($C397, $C$4506:$C$5005, 0, 1), 0), 0), "00")</f>
        <v>00</v>
      </c>
      <c r="H397" s="1" t="str">
        <f t="shared" si="37"/>
        <v>391</v>
      </c>
      <c r="I397" s="1" t="str">
        <f t="shared" si="38"/>
        <v>11000-391</v>
      </c>
      <c r="J397" s="1" t="str">
        <f t="shared" si="39"/>
        <v>Grand piano production item #391</v>
      </c>
      <c r="K397" s="1" t="str">
        <f>IF(SUM(COUNTIFS(I:I, I397)) &gt; 1, "DUPLICATE", "UNIQUE")</f>
        <v>UNIQUE</v>
      </c>
      <c r="L397" s="18">
        <v>1</v>
      </c>
      <c r="M397" s="28">
        <v>10</v>
      </c>
      <c r="N397" s="6">
        <v>144</v>
      </c>
      <c r="O397" s="30">
        <f t="shared" si="40"/>
        <v>10</v>
      </c>
      <c r="P397" s="30">
        <f t="shared" si="41"/>
        <v>1440</v>
      </c>
      <c r="Q397" s="1">
        <f>COUNTIFS($P:$P, "&gt;" &amp; $P397) + 1</f>
        <v>3494</v>
      </c>
      <c r="R397" s="63">
        <f>(COUNTIFS($P:$P, "&gt;" &amp; $P397) + 1) / (COUNTA($I:$I) - 1)</f>
        <v>0.69879999999999998</v>
      </c>
      <c r="S397" s="23">
        <f>SUMIFS($P:$P, $Q:$Q, "&lt;" &amp; $Q397)</f>
        <v>185928856</v>
      </c>
    </row>
    <row r="398" spans="1:19" x14ac:dyDescent="0.25">
      <c r="A398" s="1">
        <v>393</v>
      </c>
      <c r="B398" s="1" t="s">
        <v>2</v>
      </c>
      <c r="C398" s="1" t="str">
        <f>IF($B398 = "Production Item", _xlfn.XLOOKUP($A398, 'Instrument Table'!$J:$J, 'Instrument Table'!$B:$B, $C397), IF($B398 = "Service Item", _xlfn.XLOOKUP($A398, 'Instrument Table'!$I:$I, 'Instrument Table'!$B:$B, $C397), _xlfn.XLOOKUP($A398, 'Instrument Table'!$H:$H, 'Instrument Table'!$B:$B, $C397)))</f>
        <v>Grand Piano</v>
      </c>
      <c r="D398" s="1" t="str">
        <f>VLOOKUP($C398, 'Instrument Table'!$B:$C, 2, FALSE)</f>
        <v>Pianos</v>
      </c>
      <c r="E398" s="1">
        <f t="shared" si="36"/>
        <v>1</v>
      </c>
      <c r="F398" s="1">
        <f>_xlfn.XLOOKUP($C398, 'Instrument Table'!$B:$B, 'Instrument Table'!$A:$A, "")</f>
        <v>10</v>
      </c>
      <c r="G398" s="1" t="str">
        <f>TEXT(IF($B398 = "Retail Item", IF((ROW($A398) - 4504 - _xlfn.XMATCH($C398, $C$4506:$C$5005, 0, 1)) &lt;= VLOOKUP($C398, 'Instrument Table'!$B:$D, 3, FALSE), ROW($A398) - 4504 - _xlfn.XMATCH($C398, $C$4506:$C$5005, 0, 1), 0), 0), "00")</f>
        <v>00</v>
      </c>
      <c r="H398" s="1" t="str">
        <f t="shared" si="37"/>
        <v>392</v>
      </c>
      <c r="I398" s="1" t="str">
        <f t="shared" si="38"/>
        <v>11000-392</v>
      </c>
      <c r="J398" s="1" t="str">
        <f t="shared" si="39"/>
        <v>Grand piano production item #392</v>
      </c>
      <c r="K398" s="1" t="str">
        <f>IF(SUM(COUNTIFS(I:I, I398)) &gt; 1, "DUPLICATE", "UNIQUE")</f>
        <v>UNIQUE</v>
      </c>
      <c r="L398" s="18">
        <v>8</v>
      </c>
      <c r="M398" s="28">
        <v>37</v>
      </c>
      <c r="N398" s="6">
        <v>36</v>
      </c>
      <c r="O398" s="30">
        <f t="shared" si="40"/>
        <v>296</v>
      </c>
      <c r="P398" s="30">
        <f t="shared" si="41"/>
        <v>1332</v>
      </c>
      <c r="Q398" s="1">
        <f>COUNTIFS($P:$P, "&gt;" &amp; $P398) + 1</f>
        <v>3543</v>
      </c>
      <c r="R398" s="63">
        <f>(COUNTIFS($P:$P, "&gt;" &amp; $P398) + 1) / (COUNTA($I:$I) - 1)</f>
        <v>0.70860000000000001</v>
      </c>
      <c r="S398" s="23">
        <f>SUMIFS($P:$P, $Q:$Q, "&lt;" &amp; $Q398)</f>
        <v>185996757</v>
      </c>
    </row>
    <row r="399" spans="1:19" x14ac:dyDescent="0.25">
      <c r="A399" s="1">
        <v>394</v>
      </c>
      <c r="B399" s="1" t="s">
        <v>2</v>
      </c>
      <c r="C399" s="1" t="str">
        <f>IF($B399 = "Production Item", _xlfn.XLOOKUP($A399, 'Instrument Table'!$J:$J, 'Instrument Table'!$B:$B, $C398), IF($B399 = "Service Item", _xlfn.XLOOKUP($A399, 'Instrument Table'!$I:$I, 'Instrument Table'!$B:$B, $C398), _xlfn.XLOOKUP($A399, 'Instrument Table'!$H:$H, 'Instrument Table'!$B:$B, $C398)))</f>
        <v>Grand Piano</v>
      </c>
      <c r="D399" s="1" t="str">
        <f>VLOOKUP($C399, 'Instrument Table'!$B:$C, 2, FALSE)</f>
        <v>Pianos</v>
      </c>
      <c r="E399" s="1">
        <f t="shared" si="36"/>
        <v>1</v>
      </c>
      <c r="F399" s="1">
        <f>_xlfn.XLOOKUP($C399, 'Instrument Table'!$B:$B, 'Instrument Table'!$A:$A, "")</f>
        <v>10</v>
      </c>
      <c r="G399" s="1" t="str">
        <f>TEXT(IF($B399 = "Retail Item", IF((ROW($A399) - 4504 - _xlfn.XMATCH($C399, $C$4506:$C$5005, 0, 1)) &lt;= VLOOKUP($C399, 'Instrument Table'!$B:$D, 3, FALSE), ROW($A399) - 4504 - _xlfn.XMATCH($C399, $C$4506:$C$5005, 0, 1), 0), 0), "00")</f>
        <v>00</v>
      </c>
      <c r="H399" s="1" t="str">
        <f t="shared" si="37"/>
        <v>393</v>
      </c>
      <c r="I399" s="1" t="str">
        <f t="shared" si="38"/>
        <v>11000-393</v>
      </c>
      <c r="J399" s="1" t="str">
        <f t="shared" si="39"/>
        <v>Grand piano production item #393</v>
      </c>
      <c r="K399" s="1" t="str">
        <f>IF(SUM(COUNTIFS(I:I, I399)) &gt; 1, "DUPLICATE", "UNIQUE")</f>
        <v>UNIQUE</v>
      </c>
      <c r="L399" s="18">
        <v>0</v>
      </c>
      <c r="M399" s="28">
        <v>12</v>
      </c>
      <c r="N399" s="6">
        <v>324</v>
      </c>
      <c r="O399" s="30">
        <f t="shared" si="40"/>
        <v>0</v>
      </c>
      <c r="P399" s="30">
        <f t="shared" si="41"/>
        <v>3888</v>
      </c>
      <c r="Q399" s="1">
        <f>COUNTIFS($P:$P, "&gt;" &amp; $P399) + 1</f>
        <v>2679</v>
      </c>
      <c r="R399" s="63">
        <f>(COUNTIFS($P:$P, "&gt;" &amp; $P399) + 1) / (COUNTA($I:$I) - 1)</f>
        <v>0.53580000000000005</v>
      </c>
      <c r="S399" s="23">
        <f>SUMIFS($P:$P, $Q:$Q, "&lt;" &amp; $Q399)</f>
        <v>183885792</v>
      </c>
    </row>
    <row r="400" spans="1:19" x14ac:dyDescent="0.25">
      <c r="A400" s="1">
        <v>395</v>
      </c>
      <c r="B400" s="1" t="s">
        <v>2</v>
      </c>
      <c r="C400" s="1" t="str">
        <f>IF($B400 = "Production Item", _xlfn.XLOOKUP($A400, 'Instrument Table'!$J:$J, 'Instrument Table'!$B:$B, $C399), IF($B400 = "Service Item", _xlfn.XLOOKUP($A400, 'Instrument Table'!$I:$I, 'Instrument Table'!$B:$B, $C399), _xlfn.XLOOKUP($A400, 'Instrument Table'!$H:$H, 'Instrument Table'!$B:$B, $C399)))</f>
        <v>Grand Piano</v>
      </c>
      <c r="D400" s="1" t="str">
        <f>VLOOKUP($C400, 'Instrument Table'!$B:$C, 2, FALSE)</f>
        <v>Pianos</v>
      </c>
      <c r="E400" s="1">
        <f t="shared" si="36"/>
        <v>1</v>
      </c>
      <c r="F400" s="1">
        <f>_xlfn.XLOOKUP($C400, 'Instrument Table'!$B:$B, 'Instrument Table'!$A:$A, "")</f>
        <v>10</v>
      </c>
      <c r="G400" s="1" t="str">
        <f>TEXT(IF($B400 = "Retail Item", IF((ROW($A400) - 4504 - _xlfn.XMATCH($C400, $C$4506:$C$5005, 0, 1)) &lt;= VLOOKUP($C400, 'Instrument Table'!$B:$D, 3, FALSE), ROW($A400) - 4504 - _xlfn.XMATCH($C400, $C$4506:$C$5005, 0, 1), 0), 0), "00")</f>
        <v>00</v>
      </c>
      <c r="H400" s="1" t="str">
        <f t="shared" si="37"/>
        <v>394</v>
      </c>
      <c r="I400" s="1" t="str">
        <f t="shared" si="38"/>
        <v>11000-394</v>
      </c>
      <c r="J400" s="1" t="str">
        <f t="shared" si="39"/>
        <v>Grand piano production item #394</v>
      </c>
      <c r="K400" s="1" t="str">
        <f>IF(SUM(COUNTIFS(I:I, I400)) &gt; 1, "DUPLICATE", "UNIQUE")</f>
        <v>UNIQUE</v>
      </c>
      <c r="L400" s="18">
        <v>0</v>
      </c>
      <c r="M400" s="28">
        <v>39</v>
      </c>
      <c r="N400" s="6">
        <v>64</v>
      </c>
      <c r="O400" s="30">
        <f t="shared" si="40"/>
        <v>0</v>
      </c>
      <c r="P400" s="30">
        <f t="shared" si="41"/>
        <v>2496</v>
      </c>
      <c r="Q400" s="1">
        <f>COUNTIFS($P:$P, "&gt;" &amp; $P400) + 1</f>
        <v>3053</v>
      </c>
      <c r="R400" s="63">
        <f>(COUNTIFS($P:$P, "&gt;" &amp; $P400) + 1) / (COUNTA($I:$I) - 1)</f>
        <v>0.61060000000000003</v>
      </c>
      <c r="S400" s="23">
        <f>SUMIFS($P:$P, $Q:$Q, "&lt;" &amp; $Q400)</f>
        <v>185068046</v>
      </c>
    </row>
    <row r="401" spans="1:19" x14ac:dyDescent="0.25">
      <c r="A401" s="1">
        <v>396</v>
      </c>
      <c r="B401" s="1" t="s">
        <v>2</v>
      </c>
      <c r="C401" s="1" t="str">
        <f>IF($B401 = "Production Item", _xlfn.XLOOKUP($A401, 'Instrument Table'!$J:$J, 'Instrument Table'!$B:$B, $C400), IF($B401 = "Service Item", _xlfn.XLOOKUP($A401, 'Instrument Table'!$I:$I, 'Instrument Table'!$B:$B, $C400), _xlfn.XLOOKUP($A401, 'Instrument Table'!$H:$H, 'Instrument Table'!$B:$B, $C400)))</f>
        <v>Grand Piano</v>
      </c>
      <c r="D401" s="1" t="str">
        <f>VLOOKUP($C401, 'Instrument Table'!$B:$C, 2, FALSE)</f>
        <v>Pianos</v>
      </c>
      <c r="E401" s="1">
        <f t="shared" si="36"/>
        <v>1</v>
      </c>
      <c r="F401" s="1">
        <f>_xlfn.XLOOKUP($C401, 'Instrument Table'!$B:$B, 'Instrument Table'!$A:$A, "")</f>
        <v>10</v>
      </c>
      <c r="G401" s="1" t="str">
        <f>TEXT(IF($B401 = "Retail Item", IF((ROW($A401) - 4504 - _xlfn.XMATCH($C401, $C$4506:$C$5005, 0, 1)) &lt;= VLOOKUP($C401, 'Instrument Table'!$B:$D, 3, FALSE), ROW($A401) - 4504 - _xlfn.XMATCH($C401, $C$4506:$C$5005, 0, 1), 0), 0), "00")</f>
        <v>00</v>
      </c>
      <c r="H401" s="1" t="str">
        <f t="shared" si="37"/>
        <v>395</v>
      </c>
      <c r="I401" s="1" t="str">
        <f t="shared" si="38"/>
        <v>11000-395</v>
      </c>
      <c r="J401" s="1" t="str">
        <f t="shared" si="39"/>
        <v>Grand piano production item #395</v>
      </c>
      <c r="K401" s="1" t="str">
        <f>IF(SUM(COUNTIFS(I:I, I401)) &gt; 1, "DUPLICATE", "UNIQUE")</f>
        <v>UNIQUE</v>
      </c>
      <c r="L401" s="18">
        <v>4</v>
      </c>
      <c r="M401" s="28">
        <v>64</v>
      </c>
      <c r="N401" s="6">
        <v>256</v>
      </c>
      <c r="O401" s="30">
        <f t="shared" si="40"/>
        <v>256</v>
      </c>
      <c r="P401" s="30">
        <f t="shared" si="41"/>
        <v>16384</v>
      </c>
      <c r="Q401" s="1">
        <f>COUNTIFS($P:$P, "&gt;" &amp; $P401) + 1</f>
        <v>1255</v>
      </c>
      <c r="R401" s="63">
        <f>(COUNTIFS($P:$P, "&gt;" &amp; $P401) + 1) / (COUNTA($I:$I) - 1)</f>
        <v>0.251</v>
      </c>
      <c r="S401" s="23">
        <f>SUMIFS($P:$P, $Q:$Q, "&lt;" &amp; $Q401)</f>
        <v>171251616</v>
      </c>
    </row>
    <row r="402" spans="1:19" x14ac:dyDescent="0.25">
      <c r="A402" s="1">
        <v>397</v>
      </c>
      <c r="B402" s="1" t="s">
        <v>2</v>
      </c>
      <c r="C402" s="1" t="str">
        <f>IF($B402 = "Production Item", _xlfn.XLOOKUP($A402, 'Instrument Table'!$J:$J, 'Instrument Table'!$B:$B, $C401), IF($B402 = "Service Item", _xlfn.XLOOKUP($A402, 'Instrument Table'!$I:$I, 'Instrument Table'!$B:$B, $C401), _xlfn.XLOOKUP($A402, 'Instrument Table'!$H:$H, 'Instrument Table'!$B:$B, $C401)))</f>
        <v>Grand Piano</v>
      </c>
      <c r="D402" s="1" t="str">
        <f>VLOOKUP($C402, 'Instrument Table'!$B:$C, 2, FALSE)</f>
        <v>Pianos</v>
      </c>
      <c r="E402" s="1">
        <f t="shared" si="36"/>
        <v>1</v>
      </c>
      <c r="F402" s="1">
        <f>_xlfn.XLOOKUP($C402, 'Instrument Table'!$B:$B, 'Instrument Table'!$A:$A, "")</f>
        <v>10</v>
      </c>
      <c r="G402" s="1" t="str">
        <f>TEXT(IF($B402 = "Retail Item", IF((ROW($A402) - 4504 - _xlfn.XMATCH($C402, $C$4506:$C$5005, 0, 1)) &lt;= VLOOKUP($C402, 'Instrument Table'!$B:$D, 3, FALSE), ROW($A402) - 4504 - _xlfn.XMATCH($C402, $C$4506:$C$5005, 0, 1), 0), 0), "00")</f>
        <v>00</v>
      </c>
      <c r="H402" s="1" t="str">
        <f t="shared" si="37"/>
        <v>396</v>
      </c>
      <c r="I402" s="1" t="str">
        <f t="shared" si="38"/>
        <v>11000-396</v>
      </c>
      <c r="J402" s="1" t="str">
        <f t="shared" si="39"/>
        <v>Grand piano production item #396</v>
      </c>
      <c r="K402" s="1" t="str">
        <f>IF(SUM(COUNTIFS(I:I, I402)) &gt; 1, "DUPLICATE", "UNIQUE")</f>
        <v>UNIQUE</v>
      </c>
      <c r="L402" s="18">
        <v>8</v>
      </c>
      <c r="M402" s="28">
        <v>55</v>
      </c>
      <c r="N402" s="6">
        <v>4</v>
      </c>
      <c r="O402" s="30">
        <f t="shared" si="40"/>
        <v>440</v>
      </c>
      <c r="P402" s="30">
        <f t="shared" si="41"/>
        <v>220</v>
      </c>
      <c r="Q402" s="1">
        <f>COUNTIFS($P:$P, "&gt;" &amp; $P402) + 1</f>
        <v>4302</v>
      </c>
      <c r="R402" s="63">
        <f>(COUNTIFS($P:$P, "&gt;" &amp; $P402) + 1) / (COUNTA($I:$I) - 1)</f>
        <v>0.86040000000000005</v>
      </c>
      <c r="S402" s="23">
        <f>SUMIFS($P:$P, $Q:$Q, "&lt;" &amp; $Q402)</f>
        <v>186507886</v>
      </c>
    </row>
    <row r="403" spans="1:19" x14ac:dyDescent="0.25">
      <c r="A403" s="1">
        <v>398</v>
      </c>
      <c r="B403" s="1" t="s">
        <v>2</v>
      </c>
      <c r="C403" s="1" t="str">
        <f>IF($B403 = "Production Item", _xlfn.XLOOKUP($A403, 'Instrument Table'!$J:$J, 'Instrument Table'!$B:$B, $C402), IF($B403 = "Service Item", _xlfn.XLOOKUP($A403, 'Instrument Table'!$I:$I, 'Instrument Table'!$B:$B, $C402), _xlfn.XLOOKUP($A403, 'Instrument Table'!$H:$H, 'Instrument Table'!$B:$B, $C402)))</f>
        <v>Grand Piano</v>
      </c>
      <c r="D403" s="1" t="str">
        <f>VLOOKUP($C403, 'Instrument Table'!$B:$C, 2, FALSE)</f>
        <v>Pianos</v>
      </c>
      <c r="E403" s="1">
        <f t="shared" si="36"/>
        <v>1</v>
      </c>
      <c r="F403" s="1">
        <f>_xlfn.XLOOKUP($C403, 'Instrument Table'!$B:$B, 'Instrument Table'!$A:$A, "")</f>
        <v>10</v>
      </c>
      <c r="G403" s="1" t="str">
        <f>TEXT(IF($B403 = "Retail Item", IF((ROW($A403) - 4504 - _xlfn.XMATCH($C403, $C$4506:$C$5005, 0, 1)) &lt;= VLOOKUP($C403, 'Instrument Table'!$B:$D, 3, FALSE), ROW($A403) - 4504 - _xlfn.XMATCH($C403, $C$4506:$C$5005, 0, 1), 0), 0), "00")</f>
        <v>00</v>
      </c>
      <c r="H403" s="1" t="str">
        <f t="shared" si="37"/>
        <v>397</v>
      </c>
      <c r="I403" s="1" t="str">
        <f t="shared" si="38"/>
        <v>11000-397</v>
      </c>
      <c r="J403" s="1" t="str">
        <f t="shared" si="39"/>
        <v>Grand piano production item #397</v>
      </c>
      <c r="K403" s="1" t="str">
        <f>IF(SUM(COUNTIFS(I:I, I403)) &gt; 1, "DUPLICATE", "UNIQUE")</f>
        <v>UNIQUE</v>
      </c>
      <c r="L403" s="18">
        <v>1</v>
      </c>
      <c r="M403" s="28">
        <v>77</v>
      </c>
      <c r="N403" s="6">
        <v>196</v>
      </c>
      <c r="O403" s="30">
        <f t="shared" si="40"/>
        <v>77</v>
      </c>
      <c r="P403" s="30">
        <f t="shared" si="41"/>
        <v>15092</v>
      </c>
      <c r="Q403" s="1">
        <f>COUNTIFS($P:$P, "&gt;" &amp; $P403) + 1</f>
        <v>1342</v>
      </c>
      <c r="R403" s="63">
        <f>(COUNTIFS($P:$P, "&gt;" &amp; $P403) + 1) / (COUNTA($I:$I) - 1)</f>
        <v>0.26840000000000003</v>
      </c>
      <c r="S403" s="23">
        <f>SUMIFS($P:$P, $Q:$Q, "&lt;" &amp; $Q403)</f>
        <v>172622350</v>
      </c>
    </row>
    <row r="404" spans="1:19" x14ac:dyDescent="0.25">
      <c r="A404" s="1">
        <v>399</v>
      </c>
      <c r="B404" s="1" t="s">
        <v>2</v>
      </c>
      <c r="C404" s="1" t="str">
        <f>IF($B404 = "Production Item", _xlfn.XLOOKUP($A404, 'Instrument Table'!$J:$J, 'Instrument Table'!$B:$B, $C403), IF($B404 = "Service Item", _xlfn.XLOOKUP($A404, 'Instrument Table'!$I:$I, 'Instrument Table'!$B:$B, $C403), _xlfn.XLOOKUP($A404, 'Instrument Table'!$H:$H, 'Instrument Table'!$B:$B, $C403)))</f>
        <v>Grand Piano</v>
      </c>
      <c r="D404" s="1" t="str">
        <f>VLOOKUP($C404, 'Instrument Table'!$B:$C, 2, FALSE)</f>
        <v>Pianos</v>
      </c>
      <c r="E404" s="1">
        <f t="shared" si="36"/>
        <v>1</v>
      </c>
      <c r="F404" s="1">
        <f>_xlfn.XLOOKUP($C404, 'Instrument Table'!$B:$B, 'Instrument Table'!$A:$A, "")</f>
        <v>10</v>
      </c>
      <c r="G404" s="1" t="str">
        <f>TEXT(IF($B404 = "Retail Item", IF((ROW($A404) - 4504 - _xlfn.XMATCH($C404, $C$4506:$C$5005, 0, 1)) &lt;= VLOOKUP($C404, 'Instrument Table'!$B:$D, 3, FALSE), ROW($A404) - 4504 - _xlfn.XMATCH($C404, $C$4506:$C$5005, 0, 1), 0), 0), "00")</f>
        <v>00</v>
      </c>
      <c r="H404" s="1" t="str">
        <f t="shared" si="37"/>
        <v>398</v>
      </c>
      <c r="I404" s="1" t="str">
        <f t="shared" si="38"/>
        <v>11000-398</v>
      </c>
      <c r="J404" s="1" t="str">
        <f t="shared" si="39"/>
        <v>Grand piano production item #398</v>
      </c>
      <c r="K404" s="1" t="str">
        <f>IF(SUM(COUNTIFS(I:I, I404)) &gt; 1, "DUPLICATE", "UNIQUE")</f>
        <v>UNIQUE</v>
      </c>
      <c r="L404" s="18">
        <v>32</v>
      </c>
      <c r="M404" s="28">
        <v>59</v>
      </c>
      <c r="N404" s="6">
        <v>324</v>
      </c>
      <c r="O404" s="30">
        <f t="shared" si="40"/>
        <v>1888</v>
      </c>
      <c r="P404" s="30">
        <f t="shared" si="41"/>
        <v>19116</v>
      </c>
      <c r="Q404" s="1">
        <f>COUNTIFS($P:$P, "&gt;" &amp; $P404) + 1</f>
        <v>1099</v>
      </c>
      <c r="R404" s="63">
        <f>(COUNTIFS($P:$P, "&gt;" &amp; $P404) + 1) / (COUNTA($I:$I) - 1)</f>
        <v>0.2198</v>
      </c>
      <c r="S404" s="23">
        <f>SUMIFS($P:$P, $Q:$Q, "&lt;" &amp; $Q404)</f>
        <v>168484790</v>
      </c>
    </row>
    <row r="405" spans="1:19" x14ac:dyDescent="0.25">
      <c r="A405" s="1">
        <v>400</v>
      </c>
      <c r="B405" s="1" t="s">
        <v>2</v>
      </c>
      <c r="C405" s="1" t="str">
        <f>IF($B405 = "Production Item", _xlfn.XLOOKUP($A405, 'Instrument Table'!$J:$J, 'Instrument Table'!$B:$B, $C404), IF($B405 = "Service Item", _xlfn.XLOOKUP($A405, 'Instrument Table'!$I:$I, 'Instrument Table'!$B:$B, $C404), _xlfn.XLOOKUP($A405, 'Instrument Table'!$H:$H, 'Instrument Table'!$B:$B, $C404)))</f>
        <v>Grand Piano</v>
      </c>
      <c r="D405" s="1" t="str">
        <f>VLOOKUP($C405, 'Instrument Table'!$B:$C, 2, FALSE)</f>
        <v>Pianos</v>
      </c>
      <c r="E405" s="1">
        <f t="shared" si="36"/>
        <v>1</v>
      </c>
      <c r="F405" s="1">
        <f>_xlfn.XLOOKUP($C405, 'Instrument Table'!$B:$B, 'Instrument Table'!$A:$A, "")</f>
        <v>10</v>
      </c>
      <c r="G405" s="1" t="str">
        <f>TEXT(IF($B405 = "Retail Item", IF((ROW($A405) - 4504 - _xlfn.XMATCH($C405, $C$4506:$C$5005, 0, 1)) &lt;= VLOOKUP($C405, 'Instrument Table'!$B:$D, 3, FALSE), ROW($A405) - 4504 - _xlfn.XMATCH($C405, $C$4506:$C$5005, 0, 1), 0), 0), "00")</f>
        <v>00</v>
      </c>
      <c r="H405" s="1" t="str">
        <f t="shared" si="37"/>
        <v>399</v>
      </c>
      <c r="I405" s="1" t="str">
        <f t="shared" si="38"/>
        <v>11000-399</v>
      </c>
      <c r="J405" s="1" t="str">
        <f t="shared" si="39"/>
        <v>Grand piano production item #399</v>
      </c>
      <c r="K405" s="1" t="str">
        <f>IF(SUM(COUNTIFS(I:I, I405)) &gt; 1, "DUPLICATE", "UNIQUE")</f>
        <v>UNIQUE</v>
      </c>
      <c r="L405" s="18">
        <v>0</v>
      </c>
      <c r="M405" s="28">
        <v>83</v>
      </c>
      <c r="N405" s="6">
        <v>25</v>
      </c>
      <c r="O405" s="30">
        <f t="shared" si="40"/>
        <v>0</v>
      </c>
      <c r="P405" s="30">
        <f t="shared" si="41"/>
        <v>2075</v>
      </c>
      <c r="Q405" s="1">
        <f>COUNTIFS($P:$P, "&gt;" &amp; $P405) + 1</f>
        <v>3217</v>
      </c>
      <c r="R405" s="63">
        <f>(COUNTIFS($P:$P, "&gt;" &amp; $P405) + 1) / (COUNTA($I:$I) - 1)</f>
        <v>0.64339999999999997</v>
      </c>
      <c r="S405" s="23">
        <f>SUMIFS($P:$P, $Q:$Q, "&lt;" &amp; $Q405)</f>
        <v>185443402</v>
      </c>
    </row>
    <row r="406" spans="1:19" x14ac:dyDescent="0.25">
      <c r="A406" s="1">
        <v>401</v>
      </c>
      <c r="B406" s="1" t="s">
        <v>2</v>
      </c>
      <c r="C406" s="1" t="str">
        <f>IF($B406 = "Production Item", _xlfn.XLOOKUP($A406, 'Instrument Table'!$J:$J, 'Instrument Table'!$B:$B, $C405), IF($B406 = "Service Item", _xlfn.XLOOKUP($A406, 'Instrument Table'!$I:$I, 'Instrument Table'!$B:$B, $C405), _xlfn.XLOOKUP($A406, 'Instrument Table'!$H:$H, 'Instrument Table'!$B:$B, $C405)))</f>
        <v>Grand Piano</v>
      </c>
      <c r="D406" s="1" t="str">
        <f>VLOOKUP($C406, 'Instrument Table'!$B:$C, 2, FALSE)</f>
        <v>Pianos</v>
      </c>
      <c r="E406" s="1">
        <f t="shared" si="36"/>
        <v>1</v>
      </c>
      <c r="F406" s="1">
        <f>_xlfn.XLOOKUP($C406, 'Instrument Table'!$B:$B, 'Instrument Table'!$A:$A, "")</f>
        <v>10</v>
      </c>
      <c r="G406" s="1" t="str">
        <f>TEXT(IF($B406 = "Retail Item", IF((ROW($A406) - 4504 - _xlfn.XMATCH($C406, $C$4506:$C$5005, 0, 1)) &lt;= VLOOKUP($C406, 'Instrument Table'!$B:$D, 3, FALSE), ROW($A406) - 4504 - _xlfn.XMATCH($C406, $C$4506:$C$5005, 0, 1), 0), 0), "00")</f>
        <v>00</v>
      </c>
      <c r="H406" s="1" t="str">
        <f t="shared" si="37"/>
        <v>400</v>
      </c>
      <c r="I406" s="1" t="str">
        <f t="shared" si="38"/>
        <v>11000-400</v>
      </c>
      <c r="J406" s="1" t="str">
        <f t="shared" si="39"/>
        <v>Grand piano production item #400</v>
      </c>
      <c r="K406" s="1" t="str">
        <f>IF(SUM(COUNTIFS(I:I, I406)) &gt; 1, "DUPLICATE", "UNIQUE")</f>
        <v>UNIQUE</v>
      </c>
      <c r="L406" s="18">
        <v>32</v>
      </c>
      <c r="M406" s="28">
        <v>51</v>
      </c>
      <c r="N406" s="6">
        <v>324</v>
      </c>
      <c r="O406" s="30">
        <f t="shared" si="40"/>
        <v>1632</v>
      </c>
      <c r="P406" s="30">
        <f t="shared" si="41"/>
        <v>16524</v>
      </c>
      <c r="Q406" s="1">
        <f>COUNTIFS($P:$P, "&gt;" &amp; $P406) + 1</f>
        <v>1244</v>
      </c>
      <c r="R406" s="63">
        <f>(COUNTIFS($P:$P, "&gt;" &amp; $P406) + 1) / (COUNTA($I:$I) - 1)</f>
        <v>0.24879999999999999</v>
      </c>
      <c r="S406" s="23">
        <f>SUMIFS($P:$P, $Q:$Q, "&lt;" &amp; $Q406)</f>
        <v>171070482</v>
      </c>
    </row>
    <row r="407" spans="1:19" x14ac:dyDescent="0.25">
      <c r="A407" s="1">
        <v>402</v>
      </c>
      <c r="B407" s="1" t="s">
        <v>2</v>
      </c>
      <c r="C407" s="1" t="str">
        <f>IF($B407 = "Production Item", _xlfn.XLOOKUP($A407, 'Instrument Table'!$J:$J, 'Instrument Table'!$B:$B, $C406), IF($B407 = "Service Item", _xlfn.XLOOKUP($A407, 'Instrument Table'!$I:$I, 'Instrument Table'!$B:$B, $C406), _xlfn.XLOOKUP($A407, 'Instrument Table'!$H:$H, 'Instrument Table'!$B:$B, $C406)))</f>
        <v>Grand Piano</v>
      </c>
      <c r="D407" s="1" t="str">
        <f>VLOOKUP($C407, 'Instrument Table'!$B:$C, 2, FALSE)</f>
        <v>Pianos</v>
      </c>
      <c r="E407" s="1">
        <f t="shared" si="36"/>
        <v>1</v>
      </c>
      <c r="F407" s="1">
        <f>_xlfn.XLOOKUP($C407, 'Instrument Table'!$B:$B, 'Instrument Table'!$A:$A, "")</f>
        <v>10</v>
      </c>
      <c r="G407" s="1" t="str">
        <f>TEXT(IF($B407 = "Retail Item", IF((ROW($A407) - 4504 - _xlfn.XMATCH($C407, $C$4506:$C$5005, 0, 1)) &lt;= VLOOKUP($C407, 'Instrument Table'!$B:$D, 3, FALSE), ROW($A407) - 4504 - _xlfn.XMATCH($C407, $C$4506:$C$5005, 0, 1), 0), 0), "00")</f>
        <v>00</v>
      </c>
      <c r="H407" s="1" t="str">
        <f t="shared" si="37"/>
        <v>401</v>
      </c>
      <c r="I407" s="1" t="str">
        <f t="shared" si="38"/>
        <v>11000-401</v>
      </c>
      <c r="J407" s="1" t="str">
        <f t="shared" si="39"/>
        <v>Grand piano production item #401</v>
      </c>
      <c r="K407" s="1" t="str">
        <f>IF(SUM(COUNTIFS(I:I, I407)) &gt; 1, "DUPLICATE", "UNIQUE")</f>
        <v>UNIQUE</v>
      </c>
      <c r="L407" s="18">
        <v>16</v>
      </c>
      <c r="M407" s="28">
        <v>3</v>
      </c>
      <c r="N407" s="6">
        <v>64</v>
      </c>
      <c r="O407" s="30">
        <f t="shared" si="40"/>
        <v>48</v>
      </c>
      <c r="P407" s="30">
        <f t="shared" si="41"/>
        <v>192</v>
      </c>
      <c r="Q407" s="1">
        <f>COUNTIFS($P:$P, "&gt;" &amp; $P407) + 1</f>
        <v>4340</v>
      </c>
      <c r="R407" s="63">
        <f>(COUNTIFS($P:$P, "&gt;" &amp; $P407) + 1) / (COUNTA($I:$I) - 1)</f>
        <v>0.86799999999999999</v>
      </c>
      <c r="S407" s="23">
        <f>SUMIFS($P:$P, $Q:$Q, "&lt;" &amp; $Q407)</f>
        <v>186515669</v>
      </c>
    </row>
    <row r="408" spans="1:19" x14ac:dyDescent="0.25">
      <c r="A408" s="1">
        <v>403</v>
      </c>
      <c r="B408" s="1" t="s">
        <v>2</v>
      </c>
      <c r="C408" s="1" t="str">
        <f>IF($B408 = "Production Item", _xlfn.XLOOKUP($A408, 'Instrument Table'!$J:$J, 'Instrument Table'!$B:$B, $C407), IF($B408 = "Service Item", _xlfn.XLOOKUP($A408, 'Instrument Table'!$I:$I, 'Instrument Table'!$B:$B, $C407), _xlfn.XLOOKUP($A408, 'Instrument Table'!$H:$H, 'Instrument Table'!$B:$B, $C407)))</f>
        <v>Grand Piano</v>
      </c>
      <c r="D408" s="1" t="str">
        <f>VLOOKUP($C408, 'Instrument Table'!$B:$C, 2, FALSE)</f>
        <v>Pianos</v>
      </c>
      <c r="E408" s="1">
        <f t="shared" si="36"/>
        <v>1</v>
      </c>
      <c r="F408" s="1">
        <f>_xlfn.XLOOKUP($C408, 'Instrument Table'!$B:$B, 'Instrument Table'!$A:$A, "")</f>
        <v>10</v>
      </c>
      <c r="G408" s="1" t="str">
        <f>TEXT(IF($B408 = "Retail Item", IF((ROW($A408) - 4504 - _xlfn.XMATCH($C408, $C$4506:$C$5005, 0, 1)) &lt;= VLOOKUP($C408, 'Instrument Table'!$B:$D, 3, FALSE), ROW($A408) - 4504 - _xlfn.XMATCH($C408, $C$4506:$C$5005, 0, 1), 0), 0), "00")</f>
        <v>00</v>
      </c>
      <c r="H408" s="1" t="str">
        <f t="shared" si="37"/>
        <v>402</v>
      </c>
      <c r="I408" s="1" t="str">
        <f t="shared" si="38"/>
        <v>11000-402</v>
      </c>
      <c r="J408" s="1" t="str">
        <f t="shared" si="39"/>
        <v>Grand piano production item #402</v>
      </c>
      <c r="K408" s="1" t="str">
        <f>IF(SUM(COUNTIFS(I:I, I408)) &gt; 1, "DUPLICATE", "UNIQUE")</f>
        <v>UNIQUE</v>
      </c>
      <c r="L408" s="18">
        <v>8</v>
      </c>
      <c r="M408" s="28">
        <v>70</v>
      </c>
      <c r="N408" s="6">
        <v>81</v>
      </c>
      <c r="O408" s="30">
        <f t="shared" si="40"/>
        <v>560</v>
      </c>
      <c r="P408" s="30">
        <f t="shared" si="41"/>
        <v>5670</v>
      </c>
      <c r="Q408" s="1">
        <f>COUNTIFS($P:$P, "&gt;" &amp; $P408) + 1</f>
        <v>2325</v>
      </c>
      <c r="R408" s="63">
        <f>(COUNTIFS($P:$P, "&gt;" &amp; $P408) + 1) / (COUNTA($I:$I) - 1)</f>
        <v>0.46500000000000002</v>
      </c>
      <c r="S408" s="23">
        <f>SUMIFS($P:$P, $Q:$Q, "&lt;" &amp; $Q408)</f>
        <v>182207708</v>
      </c>
    </row>
    <row r="409" spans="1:19" x14ac:dyDescent="0.25">
      <c r="A409" s="1">
        <v>404</v>
      </c>
      <c r="B409" s="1" t="s">
        <v>2</v>
      </c>
      <c r="C409" s="1" t="str">
        <f>IF($B409 = "Production Item", _xlfn.XLOOKUP($A409, 'Instrument Table'!$J:$J, 'Instrument Table'!$B:$B, $C408), IF($B409 = "Service Item", _xlfn.XLOOKUP($A409, 'Instrument Table'!$I:$I, 'Instrument Table'!$B:$B, $C408), _xlfn.XLOOKUP($A409, 'Instrument Table'!$H:$H, 'Instrument Table'!$B:$B, $C408)))</f>
        <v>Grand Piano</v>
      </c>
      <c r="D409" s="1" t="str">
        <f>VLOOKUP($C409, 'Instrument Table'!$B:$C, 2, FALSE)</f>
        <v>Pianos</v>
      </c>
      <c r="E409" s="1">
        <f t="shared" si="36"/>
        <v>1</v>
      </c>
      <c r="F409" s="1">
        <f>_xlfn.XLOOKUP($C409, 'Instrument Table'!$B:$B, 'Instrument Table'!$A:$A, "")</f>
        <v>10</v>
      </c>
      <c r="G409" s="1" t="str">
        <f>TEXT(IF($B409 = "Retail Item", IF((ROW($A409) - 4504 - _xlfn.XMATCH($C409, $C$4506:$C$5005, 0, 1)) &lt;= VLOOKUP($C409, 'Instrument Table'!$B:$D, 3, FALSE), ROW($A409) - 4504 - _xlfn.XMATCH($C409, $C$4506:$C$5005, 0, 1), 0), 0), "00")</f>
        <v>00</v>
      </c>
      <c r="H409" s="1" t="str">
        <f t="shared" si="37"/>
        <v>403</v>
      </c>
      <c r="I409" s="1" t="str">
        <f t="shared" si="38"/>
        <v>11000-403</v>
      </c>
      <c r="J409" s="1" t="str">
        <f t="shared" si="39"/>
        <v>Grand piano production item #403</v>
      </c>
      <c r="K409" s="1" t="str">
        <f>IF(SUM(COUNTIFS(I:I, I409)) &gt; 1, "DUPLICATE", "UNIQUE")</f>
        <v>UNIQUE</v>
      </c>
      <c r="L409" s="18">
        <v>1</v>
      </c>
      <c r="M409" s="28">
        <v>96</v>
      </c>
      <c r="N409" s="6">
        <v>100</v>
      </c>
      <c r="O409" s="30">
        <f t="shared" si="40"/>
        <v>96</v>
      </c>
      <c r="P409" s="30">
        <f t="shared" si="41"/>
        <v>9600</v>
      </c>
      <c r="Q409" s="1">
        <f>COUNTIFS($P:$P, "&gt;" &amp; $P409) + 1</f>
        <v>1806</v>
      </c>
      <c r="R409" s="63">
        <f>(COUNTIFS($P:$P, "&gt;" &amp; $P409) + 1) / (COUNTA($I:$I) - 1)</f>
        <v>0.36120000000000002</v>
      </c>
      <c r="S409" s="23">
        <f>SUMIFS($P:$P, $Q:$Q, "&lt;" &amp; $Q409)</f>
        <v>178299320</v>
      </c>
    </row>
    <row r="410" spans="1:19" x14ac:dyDescent="0.25">
      <c r="A410" s="1">
        <v>405</v>
      </c>
      <c r="B410" s="1" t="s">
        <v>2</v>
      </c>
      <c r="C410" s="1" t="str">
        <f>IF($B410 = "Production Item", _xlfn.XLOOKUP($A410, 'Instrument Table'!$J:$J, 'Instrument Table'!$B:$B, $C409), IF($B410 = "Service Item", _xlfn.XLOOKUP($A410, 'Instrument Table'!$I:$I, 'Instrument Table'!$B:$B, $C409), _xlfn.XLOOKUP($A410, 'Instrument Table'!$H:$H, 'Instrument Table'!$B:$B, $C409)))</f>
        <v>Grand Piano</v>
      </c>
      <c r="D410" s="1" t="str">
        <f>VLOOKUP($C410, 'Instrument Table'!$B:$C, 2, FALSE)</f>
        <v>Pianos</v>
      </c>
      <c r="E410" s="1">
        <f t="shared" si="36"/>
        <v>1</v>
      </c>
      <c r="F410" s="1">
        <f>_xlfn.XLOOKUP($C410, 'Instrument Table'!$B:$B, 'Instrument Table'!$A:$A, "")</f>
        <v>10</v>
      </c>
      <c r="G410" s="1" t="str">
        <f>TEXT(IF($B410 = "Retail Item", IF((ROW($A410) - 4504 - _xlfn.XMATCH($C410, $C$4506:$C$5005, 0, 1)) &lt;= VLOOKUP($C410, 'Instrument Table'!$B:$D, 3, FALSE), ROW($A410) - 4504 - _xlfn.XMATCH($C410, $C$4506:$C$5005, 0, 1), 0), 0), "00")</f>
        <v>00</v>
      </c>
      <c r="H410" s="1" t="str">
        <f t="shared" si="37"/>
        <v>404</v>
      </c>
      <c r="I410" s="1" t="str">
        <f t="shared" si="38"/>
        <v>11000-404</v>
      </c>
      <c r="J410" s="1" t="str">
        <f t="shared" si="39"/>
        <v>Grand piano production item #404</v>
      </c>
      <c r="K410" s="1" t="str">
        <f>IF(SUM(COUNTIFS(I:I, I410)) &gt; 1, "DUPLICATE", "UNIQUE")</f>
        <v>UNIQUE</v>
      </c>
      <c r="L410" s="18">
        <v>1</v>
      </c>
      <c r="M410" s="28">
        <v>78</v>
      </c>
      <c r="N410" s="6">
        <v>256</v>
      </c>
      <c r="O410" s="30">
        <f t="shared" si="40"/>
        <v>78</v>
      </c>
      <c r="P410" s="30">
        <f t="shared" si="41"/>
        <v>19968</v>
      </c>
      <c r="Q410" s="1">
        <f>COUNTIFS($P:$P, "&gt;" &amp; $P410) + 1</f>
        <v>1059</v>
      </c>
      <c r="R410" s="63">
        <f>(COUNTIFS($P:$P, "&gt;" &amp; $P410) + 1) / (COUNTA($I:$I) - 1)</f>
        <v>0.21179999999999999</v>
      </c>
      <c r="S410" s="23">
        <f>SUMIFS($P:$P, $Q:$Q, "&lt;" &amp; $Q410)</f>
        <v>167703296</v>
      </c>
    </row>
    <row r="411" spans="1:19" x14ac:dyDescent="0.25">
      <c r="A411" s="1">
        <v>406</v>
      </c>
      <c r="B411" s="1" t="s">
        <v>2</v>
      </c>
      <c r="C411" s="1" t="str">
        <f>IF($B411 = "Production Item", _xlfn.XLOOKUP($A411, 'Instrument Table'!$J:$J, 'Instrument Table'!$B:$B, $C410), IF($B411 = "Service Item", _xlfn.XLOOKUP($A411, 'Instrument Table'!$I:$I, 'Instrument Table'!$B:$B, $C410), _xlfn.XLOOKUP($A411, 'Instrument Table'!$H:$H, 'Instrument Table'!$B:$B, $C410)))</f>
        <v>Grand Piano</v>
      </c>
      <c r="D411" s="1" t="str">
        <f>VLOOKUP($C411, 'Instrument Table'!$B:$C, 2, FALSE)</f>
        <v>Pianos</v>
      </c>
      <c r="E411" s="1">
        <f t="shared" si="36"/>
        <v>1</v>
      </c>
      <c r="F411" s="1">
        <f>_xlfn.XLOOKUP($C411, 'Instrument Table'!$B:$B, 'Instrument Table'!$A:$A, "")</f>
        <v>10</v>
      </c>
      <c r="G411" s="1" t="str">
        <f>TEXT(IF($B411 = "Retail Item", IF((ROW($A411) - 4504 - _xlfn.XMATCH($C411, $C$4506:$C$5005, 0, 1)) &lt;= VLOOKUP($C411, 'Instrument Table'!$B:$D, 3, FALSE), ROW($A411) - 4504 - _xlfn.XMATCH($C411, $C$4506:$C$5005, 0, 1), 0), 0), "00")</f>
        <v>00</v>
      </c>
      <c r="H411" s="1" t="str">
        <f t="shared" si="37"/>
        <v>405</v>
      </c>
      <c r="I411" s="1" t="str">
        <f t="shared" si="38"/>
        <v>11000-405</v>
      </c>
      <c r="J411" s="1" t="str">
        <f t="shared" si="39"/>
        <v>Grand piano production item #405</v>
      </c>
      <c r="K411" s="1" t="str">
        <f>IF(SUM(COUNTIFS(I:I, I411)) &gt; 1, "DUPLICATE", "UNIQUE")</f>
        <v>UNIQUE</v>
      </c>
      <c r="L411" s="18">
        <v>8</v>
      </c>
      <c r="M411" s="28">
        <v>38</v>
      </c>
      <c r="N411" s="6">
        <v>361</v>
      </c>
      <c r="O411" s="30">
        <f t="shared" si="40"/>
        <v>304</v>
      </c>
      <c r="P411" s="30">
        <f t="shared" si="41"/>
        <v>13718</v>
      </c>
      <c r="Q411" s="1">
        <f>COUNTIFS($P:$P, "&gt;" &amp; $P411) + 1</f>
        <v>1440</v>
      </c>
      <c r="R411" s="63">
        <f>(COUNTIFS($P:$P, "&gt;" &amp; $P411) + 1) / (COUNTA($I:$I) - 1)</f>
        <v>0.28799999999999998</v>
      </c>
      <c r="S411" s="23">
        <f>SUMIFS($P:$P, $Q:$Q, "&lt;" &amp; $Q411)</f>
        <v>174036329</v>
      </c>
    </row>
    <row r="412" spans="1:19" x14ac:dyDescent="0.25">
      <c r="A412" s="1">
        <v>407</v>
      </c>
      <c r="B412" s="1" t="s">
        <v>2</v>
      </c>
      <c r="C412" s="1" t="str">
        <f>IF($B412 = "Production Item", _xlfn.XLOOKUP($A412, 'Instrument Table'!$J:$J, 'Instrument Table'!$B:$B, $C411), IF($B412 = "Service Item", _xlfn.XLOOKUP($A412, 'Instrument Table'!$I:$I, 'Instrument Table'!$B:$B, $C411), _xlfn.XLOOKUP($A412, 'Instrument Table'!$H:$H, 'Instrument Table'!$B:$B, $C411)))</f>
        <v>Grand Piano</v>
      </c>
      <c r="D412" s="1" t="str">
        <f>VLOOKUP($C412, 'Instrument Table'!$B:$C, 2, FALSE)</f>
        <v>Pianos</v>
      </c>
      <c r="E412" s="1">
        <f t="shared" si="36"/>
        <v>1</v>
      </c>
      <c r="F412" s="1">
        <f>_xlfn.XLOOKUP($C412, 'Instrument Table'!$B:$B, 'Instrument Table'!$A:$A, "")</f>
        <v>10</v>
      </c>
      <c r="G412" s="1" t="str">
        <f>TEXT(IF($B412 = "Retail Item", IF((ROW($A412) - 4504 - _xlfn.XMATCH($C412, $C$4506:$C$5005, 0, 1)) &lt;= VLOOKUP($C412, 'Instrument Table'!$B:$D, 3, FALSE), ROW($A412) - 4504 - _xlfn.XMATCH($C412, $C$4506:$C$5005, 0, 1), 0), 0), "00")</f>
        <v>00</v>
      </c>
      <c r="H412" s="1" t="str">
        <f t="shared" si="37"/>
        <v>406</v>
      </c>
      <c r="I412" s="1" t="str">
        <f t="shared" si="38"/>
        <v>11000-406</v>
      </c>
      <c r="J412" s="1" t="str">
        <f t="shared" si="39"/>
        <v>Grand piano production item #406</v>
      </c>
      <c r="K412" s="1" t="str">
        <f>IF(SUM(COUNTIFS(I:I, I412)) &gt; 1, "DUPLICATE", "UNIQUE")</f>
        <v>UNIQUE</v>
      </c>
      <c r="L412" s="18">
        <v>4</v>
      </c>
      <c r="M412" s="28">
        <v>59</v>
      </c>
      <c r="N412" s="6">
        <v>144</v>
      </c>
      <c r="O412" s="30">
        <f t="shared" si="40"/>
        <v>236</v>
      </c>
      <c r="P412" s="30">
        <f t="shared" si="41"/>
        <v>8496</v>
      </c>
      <c r="Q412" s="1">
        <f>COUNTIFS($P:$P, "&gt;" &amp; $P412) + 1</f>
        <v>1928</v>
      </c>
      <c r="R412" s="63">
        <f>(COUNTIFS($P:$P, "&gt;" &amp; $P412) + 1) / (COUNTA($I:$I) - 1)</f>
        <v>0.3856</v>
      </c>
      <c r="S412" s="23">
        <f>SUMIFS($P:$P, $Q:$Q, "&lt;" &amp; $Q412)</f>
        <v>179406223</v>
      </c>
    </row>
    <row r="413" spans="1:19" x14ac:dyDescent="0.25">
      <c r="A413" s="1">
        <v>408</v>
      </c>
      <c r="B413" s="1" t="s">
        <v>2</v>
      </c>
      <c r="C413" s="1" t="str">
        <f>IF($B413 = "Production Item", _xlfn.XLOOKUP($A413, 'Instrument Table'!$J:$J, 'Instrument Table'!$B:$B, $C412), IF($B413 = "Service Item", _xlfn.XLOOKUP($A413, 'Instrument Table'!$I:$I, 'Instrument Table'!$B:$B, $C412), _xlfn.XLOOKUP($A413, 'Instrument Table'!$H:$H, 'Instrument Table'!$B:$B, $C412)))</f>
        <v>Grand Piano</v>
      </c>
      <c r="D413" s="1" t="str">
        <f>VLOOKUP($C413, 'Instrument Table'!$B:$C, 2, FALSE)</f>
        <v>Pianos</v>
      </c>
      <c r="E413" s="1">
        <f t="shared" si="36"/>
        <v>1</v>
      </c>
      <c r="F413" s="1">
        <f>_xlfn.XLOOKUP($C413, 'Instrument Table'!$B:$B, 'Instrument Table'!$A:$A, "")</f>
        <v>10</v>
      </c>
      <c r="G413" s="1" t="str">
        <f>TEXT(IF($B413 = "Retail Item", IF((ROW($A413) - 4504 - _xlfn.XMATCH($C413, $C$4506:$C$5005, 0, 1)) &lt;= VLOOKUP($C413, 'Instrument Table'!$B:$D, 3, FALSE), ROW($A413) - 4504 - _xlfn.XMATCH($C413, $C$4506:$C$5005, 0, 1), 0), 0), "00")</f>
        <v>00</v>
      </c>
      <c r="H413" s="1" t="str">
        <f t="shared" si="37"/>
        <v>407</v>
      </c>
      <c r="I413" s="1" t="str">
        <f t="shared" si="38"/>
        <v>11000-407</v>
      </c>
      <c r="J413" s="1" t="str">
        <f t="shared" si="39"/>
        <v>Grand piano production item #407</v>
      </c>
      <c r="K413" s="1" t="str">
        <f>IF(SUM(COUNTIFS(I:I, I413)) &gt; 1, "DUPLICATE", "UNIQUE")</f>
        <v>UNIQUE</v>
      </c>
      <c r="L413" s="18">
        <v>1</v>
      </c>
      <c r="M413" s="28">
        <v>22</v>
      </c>
      <c r="N413" s="6">
        <v>225</v>
      </c>
      <c r="O413" s="30">
        <f t="shared" si="40"/>
        <v>22</v>
      </c>
      <c r="P413" s="30">
        <f t="shared" si="41"/>
        <v>4950</v>
      </c>
      <c r="Q413" s="1">
        <f>COUNTIFS($P:$P, "&gt;" &amp; $P413) + 1</f>
        <v>2452</v>
      </c>
      <c r="R413" s="63">
        <f>(COUNTIFS($P:$P, "&gt;" &amp; $P413) + 1) / (COUNTA($I:$I) - 1)</f>
        <v>0.4904</v>
      </c>
      <c r="S413" s="23">
        <f>SUMIFS($P:$P, $Q:$Q, "&lt;" &amp; $Q413)</f>
        <v>182882449</v>
      </c>
    </row>
    <row r="414" spans="1:19" x14ac:dyDescent="0.25">
      <c r="A414" s="1">
        <v>409</v>
      </c>
      <c r="B414" s="1" t="s">
        <v>2</v>
      </c>
      <c r="C414" s="1" t="str">
        <f>IF($B414 = "Production Item", _xlfn.XLOOKUP($A414, 'Instrument Table'!$J:$J, 'Instrument Table'!$B:$B, $C413), IF($B414 = "Service Item", _xlfn.XLOOKUP($A414, 'Instrument Table'!$I:$I, 'Instrument Table'!$B:$B, $C413), _xlfn.XLOOKUP($A414, 'Instrument Table'!$H:$H, 'Instrument Table'!$B:$B, $C413)))</f>
        <v>Grand Piano</v>
      </c>
      <c r="D414" s="1" t="str">
        <f>VLOOKUP($C414, 'Instrument Table'!$B:$C, 2, FALSE)</f>
        <v>Pianos</v>
      </c>
      <c r="E414" s="1">
        <f t="shared" si="36"/>
        <v>1</v>
      </c>
      <c r="F414" s="1">
        <f>_xlfn.XLOOKUP($C414, 'Instrument Table'!$B:$B, 'Instrument Table'!$A:$A, "")</f>
        <v>10</v>
      </c>
      <c r="G414" s="1" t="str">
        <f>TEXT(IF($B414 = "Retail Item", IF((ROW($A414) - 4504 - _xlfn.XMATCH($C414, $C$4506:$C$5005, 0, 1)) &lt;= VLOOKUP($C414, 'Instrument Table'!$B:$D, 3, FALSE), ROW($A414) - 4504 - _xlfn.XMATCH($C414, $C$4506:$C$5005, 0, 1), 0), 0), "00")</f>
        <v>00</v>
      </c>
      <c r="H414" s="1" t="str">
        <f t="shared" si="37"/>
        <v>408</v>
      </c>
      <c r="I414" s="1" t="str">
        <f t="shared" si="38"/>
        <v>11000-408</v>
      </c>
      <c r="J414" s="1" t="str">
        <f t="shared" si="39"/>
        <v>Grand piano production item #408</v>
      </c>
      <c r="K414" s="1" t="str">
        <f>IF(SUM(COUNTIFS(I:I, I414)) &gt; 1, "DUPLICATE", "UNIQUE")</f>
        <v>UNIQUE</v>
      </c>
      <c r="L414" s="18">
        <v>0</v>
      </c>
      <c r="M414" s="28">
        <v>51</v>
      </c>
      <c r="N414" s="6">
        <v>81</v>
      </c>
      <c r="O414" s="30">
        <f t="shared" si="40"/>
        <v>0</v>
      </c>
      <c r="P414" s="30">
        <f t="shared" si="41"/>
        <v>4131</v>
      </c>
      <c r="Q414" s="1">
        <f>COUNTIFS($P:$P, "&gt;" &amp; $P414) + 1</f>
        <v>2625</v>
      </c>
      <c r="R414" s="63">
        <f>(COUNTIFS($P:$P, "&gt;" &amp; $P414) + 1) / (COUNTA($I:$I) - 1)</f>
        <v>0.52500000000000002</v>
      </c>
      <c r="S414" s="23">
        <f>SUMIFS($P:$P, $Q:$Q, "&lt;" &amp; $Q414)</f>
        <v>183668650</v>
      </c>
    </row>
    <row r="415" spans="1:19" x14ac:dyDescent="0.25">
      <c r="A415" s="1">
        <v>410</v>
      </c>
      <c r="B415" s="1" t="s">
        <v>2</v>
      </c>
      <c r="C415" s="1" t="str">
        <f>IF($B415 = "Production Item", _xlfn.XLOOKUP($A415, 'Instrument Table'!$J:$J, 'Instrument Table'!$B:$B, $C414), IF($B415 = "Service Item", _xlfn.XLOOKUP($A415, 'Instrument Table'!$I:$I, 'Instrument Table'!$B:$B, $C414), _xlfn.XLOOKUP($A415, 'Instrument Table'!$H:$H, 'Instrument Table'!$B:$B, $C414)))</f>
        <v>Grand Piano</v>
      </c>
      <c r="D415" s="1" t="str">
        <f>VLOOKUP($C415, 'Instrument Table'!$B:$C, 2, FALSE)</f>
        <v>Pianos</v>
      </c>
      <c r="E415" s="1">
        <f t="shared" si="36"/>
        <v>1</v>
      </c>
      <c r="F415" s="1">
        <f>_xlfn.XLOOKUP($C415, 'Instrument Table'!$B:$B, 'Instrument Table'!$A:$A, "")</f>
        <v>10</v>
      </c>
      <c r="G415" s="1" t="str">
        <f>TEXT(IF($B415 = "Retail Item", IF((ROW($A415) - 4504 - _xlfn.XMATCH($C415, $C$4506:$C$5005, 0, 1)) &lt;= VLOOKUP($C415, 'Instrument Table'!$B:$D, 3, FALSE), ROW($A415) - 4504 - _xlfn.XMATCH($C415, $C$4506:$C$5005, 0, 1), 0), 0), "00")</f>
        <v>00</v>
      </c>
      <c r="H415" s="1" t="str">
        <f t="shared" si="37"/>
        <v>409</v>
      </c>
      <c r="I415" s="1" t="str">
        <f t="shared" si="38"/>
        <v>11000-409</v>
      </c>
      <c r="J415" s="1" t="str">
        <f t="shared" si="39"/>
        <v>Grand piano production item #409</v>
      </c>
      <c r="K415" s="1" t="str">
        <f>IF(SUM(COUNTIFS(I:I, I415)) &gt; 1, "DUPLICATE", "UNIQUE")</f>
        <v>UNIQUE</v>
      </c>
      <c r="L415" s="18">
        <v>0</v>
      </c>
      <c r="M415" s="28">
        <v>94</v>
      </c>
      <c r="N415" s="6">
        <v>324</v>
      </c>
      <c r="O415" s="30">
        <f t="shared" si="40"/>
        <v>0</v>
      </c>
      <c r="P415" s="30">
        <f t="shared" si="41"/>
        <v>30456</v>
      </c>
      <c r="Q415" s="1">
        <f>COUNTIFS($P:$P, "&gt;" &amp; $P415) + 1</f>
        <v>682</v>
      </c>
      <c r="R415" s="63">
        <f>(COUNTIFS($P:$P, "&gt;" &amp; $P415) + 1) / (COUNTA($I:$I) - 1)</f>
        <v>0.13639999999999999</v>
      </c>
      <c r="S415" s="23">
        <f>SUMIFS($P:$P, $Q:$Q, "&lt;" &amp; $Q415)</f>
        <v>158546689</v>
      </c>
    </row>
    <row r="416" spans="1:19" x14ac:dyDescent="0.25">
      <c r="A416" s="1">
        <v>411</v>
      </c>
      <c r="B416" s="1" t="s">
        <v>2</v>
      </c>
      <c r="C416" s="1" t="str">
        <f>IF($B416 = "Production Item", _xlfn.XLOOKUP($A416, 'Instrument Table'!$J:$J, 'Instrument Table'!$B:$B, $C415), IF($B416 = "Service Item", _xlfn.XLOOKUP($A416, 'Instrument Table'!$I:$I, 'Instrument Table'!$B:$B, $C415), _xlfn.XLOOKUP($A416, 'Instrument Table'!$H:$H, 'Instrument Table'!$B:$B, $C415)))</f>
        <v>Grand Piano</v>
      </c>
      <c r="D416" s="1" t="str">
        <f>VLOOKUP($C416, 'Instrument Table'!$B:$C, 2, FALSE)</f>
        <v>Pianos</v>
      </c>
      <c r="E416" s="1">
        <f t="shared" si="36"/>
        <v>1</v>
      </c>
      <c r="F416" s="1">
        <f>_xlfn.XLOOKUP($C416, 'Instrument Table'!$B:$B, 'Instrument Table'!$A:$A, "")</f>
        <v>10</v>
      </c>
      <c r="G416" s="1" t="str">
        <f>TEXT(IF($B416 = "Retail Item", IF((ROW($A416) - 4504 - _xlfn.XMATCH($C416, $C$4506:$C$5005, 0, 1)) &lt;= VLOOKUP($C416, 'Instrument Table'!$B:$D, 3, FALSE), ROW($A416) - 4504 - _xlfn.XMATCH($C416, $C$4506:$C$5005, 0, 1), 0), 0), "00")</f>
        <v>00</v>
      </c>
      <c r="H416" s="1" t="str">
        <f t="shared" si="37"/>
        <v>410</v>
      </c>
      <c r="I416" s="1" t="str">
        <f t="shared" si="38"/>
        <v>11000-410</v>
      </c>
      <c r="J416" s="1" t="str">
        <f t="shared" si="39"/>
        <v>Grand piano production item #410</v>
      </c>
      <c r="K416" s="1" t="str">
        <f>IF(SUM(COUNTIFS(I:I, I416)) &gt; 1, "DUPLICATE", "UNIQUE")</f>
        <v>UNIQUE</v>
      </c>
      <c r="L416" s="18">
        <v>4</v>
      </c>
      <c r="M416" s="28">
        <v>93</v>
      </c>
      <c r="N416" s="6">
        <v>289</v>
      </c>
      <c r="O416" s="30">
        <f t="shared" si="40"/>
        <v>372</v>
      </c>
      <c r="P416" s="30">
        <f t="shared" si="41"/>
        <v>26877</v>
      </c>
      <c r="Q416" s="1">
        <f>COUNTIFS($P:$P, "&gt;" &amp; $P416) + 1</f>
        <v>760</v>
      </c>
      <c r="R416" s="63">
        <f>(COUNTIFS($P:$P, "&gt;" &amp; $P416) + 1) / (COUNTA($I:$I) - 1)</f>
        <v>0.152</v>
      </c>
      <c r="S416" s="23">
        <f>SUMIFS($P:$P, $Q:$Q, "&lt;" &amp; $Q416)</f>
        <v>160775662</v>
      </c>
    </row>
    <row r="417" spans="1:19" x14ac:dyDescent="0.25">
      <c r="A417" s="1">
        <v>412</v>
      </c>
      <c r="B417" s="1" t="s">
        <v>2</v>
      </c>
      <c r="C417" s="1" t="str">
        <f>IF($B417 = "Production Item", _xlfn.XLOOKUP($A417, 'Instrument Table'!$J:$J, 'Instrument Table'!$B:$B, $C416), IF($B417 = "Service Item", _xlfn.XLOOKUP($A417, 'Instrument Table'!$I:$I, 'Instrument Table'!$B:$B, $C416), _xlfn.XLOOKUP($A417, 'Instrument Table'!$H:$H, 'Instrument Table'!$B:$B, $C416)))</f>
        <v>Grand Piano</v>
      </c>
      <c r="D417" s="1" t="str">
        <f>VLOOKUP($C417, 'Instrument Table'!$B:$C, 2, FALSE)</f>
        <v>Pianos</v>
      </c>
      <c r="E417" s="1">
        <f t="shared" si="36"/>
        <v>1</v>
      </c>
      <c r="F417" s="1">
        <f>_xlfn.XLOOKUP($C417, 'Instrument Table'!$B:$B, 'Instrument Table'!$A:$A, "")</f>
        <v>10</v>
      </c>
      <c r="G417" s="1" t="str">
        <f>TEXT(IF($B417 = "Retail Item", IF((ROW($A417) - 4504 - _xlfn.XMATCH($C417, $C$4506:$C$5005, 0, 1)) &lt;= VLOOKUP($C417, 'Instrument Table'!$B:$D, 3, FALSE), ROW($A417) - 4504 - _xlfn.XMATCH($C417, $C$4506:$C$5005, 0, 1), 0), 0), "00")</f>
        <v>00</v>
      </c>
      <c r="H417" s="1" t="str">
        <f t="shared" si="37"/>
        <v>411</v>
      </c>
      <c r="I417" s="1" t="str">
        <f t="shared" si="38"/>
        <v>11000-411</v>
      </c>
      <c r="J417" s="1" t="str">
        <f t="shared" si="39"/>
        <v>Grand piano production item #411</v>
      </c>
      <c r="K417" s="1" t="str">
        <f>IF(SUM(COUNTIFS(I:I, I417)) &gt; 1, "DUPLICATE", "UNIQUE")</f>
        <v>UNIQUE</v>
      </c>
      <c r="L417" s="18">
        <v>32</v>
      </c>
      <c r="M417" s="28">
        <v>40</v>
      </c>
      <c r="N417" s="6">
        <v>9</v>
      </c>
      <c r="O417" s="30">
        <f t="shared" si="40"/>
        <v>1280</v>
      </c>
      <c r="P417" s="30">
        <f t="shared" si="41"/>
        <v>360</v>
      </c>
      <c r="Q417" s="1">
        <f>COUNTIFS($P:$P, "&gt;" &amp; $P417) + 1</f>
        <v>4137</v>
      </c>
      <c r="R417" s="63">
        <f>(COUNTIFS($P:$P, "&gt;" &amp; $P417) + 1) / (COUNTA($I:$I) - 1)</f>
        <v>0.82740000000000002</v>
      </c>
      <c r="S417" s="23">
        <f>SUMIFS($P:$P, $Q:$Q, "&lt;" &amp; $Q417)</f>
        <v>186459069</v>
      </c>
    </row>
    <row r="418" spans="1:19" x14ac:dyDescent="0.25">
      <c r="A418" s="1">
        <v>413</v>
      </c>
      <c r="B418" s="1" t="s">
        <v>2</v>
      </c>
      <c r="C418" s="1" t="str">
        <f>IF($B418 = "Production Item", _xlfn.XLOOKUP($A418, 'Instrument Table'!$J:$J, 'Instrument Table'!$B:$B, $C417), IF($B418 = "Service Item", _xlfn.XLOOKUP($A418, 'Instrument Table'!$I:$I, 'Instrument Table'!$B:$B, $C417), _xlfn.XLOOKUP($A418, 'Instrument Table'!$H:$H, 'Instrument Table'!$B:$B, $C417)))</f>
        <v>Grand Piano</v>
      </c>
      <c r="D418" s="1" t="str">
        <f>VLOOKUP($C418, 'Instrument Table'!$B:$C, 2, FALSE)</f>
        <v>Pianos</v>
      </c>
      <c r="E418" s="1">
        <f t="shared" si="36"/>
        <v>1</v>
      </c>
      <c r="F418" s="1">
        <f>_xlfn.XLOOKUP($C418, 'Instrument Table'!$B:$B, 'Instrument Table'!$A:$A, "")</f>
        <v>10</v>
      </c>
      <c r="G418" s="1" t="str">
        <f>TEXT(IF($B418 = "Retail Item", IF((ROW($A418) - 4504 - _xlfn.XMATCH($C418, $C$4506:$C$5005, 0, 1)) &lt;= VLOOKUP($C418, 'Instrument Table'!$B:$D, 3, FALSE), ROW($A418) - 4504 - _xlfn.XMATCH($C418, $C$4506:$C$5005, 0, 1), 0), 0), "00")</f>
        <v>00</v>
      </c>
      <c r="H418" s="1" t="str">
        <f t="shared" si="37"/>
        <v>412</v>
      </c>
      <c r="I418" s="1" t="str">
        <f t="shared" si="38"/>
        <v>11000-412</v>
      </c>
      <c r="J418" s="1" t="str">
        <f t="shared" si="39"/>
        <v>Grand piano production item #412</v>
      </c>
      <c r="K418" s="1" t="str">
        <f>IF(SUM(COUNTIFS(I:I, I418)) &gt; 1, "DUPLICATE", "UNIQUE")</f>
        <v>UNIQUE</v>
      </c>
      <c r="L418" s="18">
        <v>0</v>
      </c>
      <c r="M418" s="28">
        <v>12</v>
      </c>
      <c r="N418" s="6">
        <v>100</v>
      </c>
      <c r="O418" s="30">
        <f t="shared" si="40"/>
        <v>0</v>
      </c>
      <c r="P418" s="30">
        <f t="shared" si="41"/>
        <v>1200</v>
      </c>
      <c r="Q418" s="1">
        <f>COUNTIFS($P:$P, "&gt;" &amp; $P418) + 1</f>
        <v>3608</v>
      </c>
      <c r="R418" s="63">
        <f>(COUNTIFS($P:$P, "&gt;" &amp; $P418) + 1) / (COUNTA($I:$I) - 1)</f>
        <v>0.72160000000000002</v>
      </c>
      <c r="S418" s="23">
        <f>SUMIFS($P:$P, $Q:$Q, "&lt;" &amp; $Q418)</f>
        <v>186079438</v>
      </c>
    </row>
    <row r="419" spans="1:19" x14ac:dyDescent="0.25">
      <c r="A419" s="1">
        <v>414</v>
      </c>
      <c r="B419" s="1" t="s">
        <v>2</v>
      </c>
      <c r="C419" s="1" t="str">
        <f>IF($B419 = "Production Item", _xlfn.XLOOKUP($A419, 'Instrument Table'!$J:$J, 'Instrument Table'!$B:$B, $C418), IF($B419 = "Service Item", _xlfn.XLOOKUP($A419, 'Instrument Table'!$I:$I, 'Instrument Table'!$B:$B, $C418), _xlfn.XLOOKUP($A419, 'Instrument Table'!$H:$H, 'Instrument Table'!$B:$B, $C418)))</f>
        <v>Grand Piano</v>
      </c>
      <c r="D419" s="1" t="str">
        <f>VLOOKUP($C419, 'Instrument Table'!$B:$C, 2, FALSE)</f>
        <v>Pianos</v>
      </c>
      <c r="E419" s="1">
        <f t="shared" si="36"/>
        <v>1</v>
      </c>
      <c r="F419" s="1">
        <f>_xlfn.XLOOKUP($C419, 'Instrument Table'!$B:$B, 'Instrument Table'!$A:$A, "")</f>
        <v>10</v>
      </c>
      <c r="G419" s="1" t="str">
        <f>TEXT(IF($B419 = "Retail Item", IF((ROW($A419) - 4504 - _xlfn.XMATCH($C419, $C$4506:$C$5005, 0, 1)) &lt;= VLOOKUP($C419, 'Instrument Table'!$B:$D, 3, FALSE), ROW($A419) - 4504 - _xlfn.XMATCH($C419, $C$4506:$C$5005, 0, 1), 0), 0), "00")</f>
        <v>00</v>
      </c>
      <c r="H419" s="1" t="str">
        <f t="shared" si="37"/>
        <v>413</v>
      </c>
      <c r="I419" s="1" t="str">
        <f t="shared" si="38"/>
        <v>11000-413</v>
      </c>
      <c r="J419" s="1" t="str">
        <f t="shared" si="39"/>
        <v>Grand piano production item #413</v>
      </c>
      <c r="K419" s="1" t="str">
        <f>IF(SUM(COUNTIFS(I:I, I419)) &gt; 1, "DUPLICATE", "UNIQUE")</f>
        <v>UNIQUE</v>
      </c>
      <c r="L419" s="18">
        <v>0</v>
      </c>
      <c r="M419" s="28">
        <v>3</v>
      </c>
      <c r="N419" s="6">
        <v>1</v>
      </c>
      <c r="O419" s="30">
        <f t="shared" si="40"/>
        <v>0</v>
      </c>
      <c r="P419" s="30">
        <f t="shared" si="41"/>
        <v>3</v>
      </c>
      <c r="Q419" s="1">
        <f>COUNTIFS($P:$P, "&gt;" &amp; $P419) + 1</f>
        <v>4740</v>
      </c>
      <c r="R419" s="63">
        <f>(COUNTIFS($P:$P, "&gt;" &amp; $P419) + 1) / (COUNTA($I:$I) - 1)</f>
        <v>0.94799999999999995</v>
      </c>
      <c r="S419" s="23">
        <f>SUMIFS($P:$P, $Q:$Q, "&lt;" &amp; $Q419)</f>
        <v>186547850</v>
      </c>
    </row>
    <row r="420" spans="1:19" x14ac:dyDescent="0.25">
      <c r="A420" s="1">
        <v>415</v>
      </c>
      <c r="B420" s="1" t="s">
        <v>2</v>
      </c>
      <c r="C420" s="1" t="str">
        <f>IF($B420 = "Production Item", _xlfn.XLOOKUP($A420, 'Instrument Table'!$J:$J, 'Instrument Table'!$B:$B, $C419), IF($B420 = "Service Item", _xlfn.XLOOKUP($A420, 'Instrument Table'!$I:$I, 'Instrument Table'!$B:$B, $C419), _xlfn.XLOOKUP($A420, 'Instrument Table'!$H:$H, 'Instrument Table'!$B:$B, $C419)))</f>
        <v>Grand Piano</v>
      </c>
      <c r="D420" s="1" t="str">
        <f>VLOOKUP($C420, 'Instrument Table'!$B:$C, 2, FALSE)</f>
        <v>Pianos</v>
      </c>
      <c r="E420" s="1">
        <f t="shared" si="36"/>
        <v>1</v>
      </c>
      <c r="F420" s="1">
        <f>_xlfn.XLOOKUP($C420, 'Instrument Table'!$B:$B, 'Instrument Table'!$A:$A, "")</f>
        <v>10</v>
      </c>
      <c r="G420" s="1" t="str">
        <f>TEXT(IF($B420 = "Retail Item", IF((ROW($A420) - 4504 - _xlfn.XMATCH($C420, $C$4506:$C$5005, 0, 1)) &lt;= VLOOKUP($C420, 'Instrument Table'!$B:$D, 3, FALSE), ROW($A420) - 4504 - _xlfn.XMATCH($C420, $C$4506:$C$5005, 0, 1), 0), 0), "00")</f>
        <v>00</v>
      </c>
      <c r="H420" s="1" t="str">
        <f t="shared" si="37"/>
        <v>414</v>
      </c>
      <c r="I420" s="1" t="str">
        <f t="shared" si="38"/>
        <v>11000-414</v>
      </c>
      <c r="J420" s="1" t="str">
        <f t="shared" si="39"/>
        <v>Grand piano production item #414</v>
      </c>
      <c r="K420" s="1" t="str">
        <f>IF(SUM(COUNTIFS(I:I, I420)) &gt; 1, "DUPLICATE", "UNIQUE")</f>
        <v>UNIQUE</v>
      </c>
      <c r="L420" s="18">
        <v>0</v>
      </c>
      <c r="M420" s="28">
        <v>56</v>
      </c>
      <c r="N420" s="6">
        <v>4</v>
      </c>
      <c r="O420" s="30">
        <f t="shared" si="40"/>
        <v>0</v>
      </c>
      <c r="P420" s="30">
        <f t="shared" si="41"/>
        <v>224</v>
      </c>
      <c r="Q420" s="1">
        <f>COUNTIFS($P:$P, "&gt;" &amp; $P420) + 1</f>
        <v>4297</v>
      </c>
      <c r="R420" s="63">
        <f>(COUNTIFS($P:$P, "&gt;" &amp; $P420) + 1) / (COUNTA($I:$I) - 1)</f>
        <v>0.85940000000000005</v>
      </c>
      <c r="S420" s="23">
        <f>SUMIFS($P:$P, $Q:$Q, "&lt;" &amp; $Q420)</f>
        <v>186506766</v>
      </c>
    </row>
    <row r="421" spans="1:19" x14ac:dyDescent="0.25">
      <c r="A421" s="1">
        <v>416</v>
      </c>
      <c r="B421" s="1" t="s">
        <v>2</v>
      </c>
      <c r="C421" s="1" t="str">
        <f>IF($B421 = "Production Item", _xlfn.XLOOKUP($A421, 'Instrument Table'!$J:$J, 'Instrument Table'!$B:$B, $C420), IF($B421 = "Service Item", _xlfn.XLOOKUP($A421, 'Instrument Table'!$I:$I, 'Instrument Table'!$B:$B, $C420), _xlfn.XLOOKUP($A421, 'Instrument Table'!$H:$H, 'Instrument Table'!$B:$B, $C420)))</f>
        <v>Grand Piano</v>
      </c>
      <c r="D421" s="1" t="str">
        <f>VLOOKUP($C421, 'Instrument Table'!$B:$C, 2, FALSE)</f>
        <v>Pianos</v>
      </c>
      <c r="E421" s="1">
        <f t="shared" si="36"/>
        <v>1</v>
      </c>
      <c r="F421" s="1">
        <f>_xlfn.XLOOKUP($C421, 'Instrument Table'!$B:$B, 'Instrument Table'!$A:$A, "")</f>
        <v>10</v>
      </c>
      <c r="G421" s="1" t="str">
        <f>TEXT(IF($B421 = "Retail Item", IF((ROW($A421) - 4504 - _xlfn.XMATCH($C421, $C$4506:$C$5005, 0, 1)) &lt;= VLOOKUP($C421, 'Instrument Table'!$B:$D, 3, FALSE), ROW($A421) - 4504 - _xlfn.XMATCH($C421, $C$4506:$C$5005, 0, 1), 0), 0), "00")</f>
        <v>00</v>
      </c>
      <c r="H421" s="1" t="str">
        <f t="shared" si="37"/>
        <v>415</v>
      </c>
      <c r="I421" s="1" t="str">
        <f t="shared" si="38"/>
        <v>11000-415</v>
      </c>
      <c r="J421" s="1" t="str">
        <f t="shared" si="39"/>
        <v>Grand piano production item #415</v>
      </c>
      <c r="K421" s="1" t="str">
        <f>IF(SUM(COUNTIFS(I:I, I421)) &gt; 1, "DUPLICATE", "UNIQUE")</f>
        <v>UNIQUE</v>
      </c>
      <c r="L421" s="18">
        <v>0</v>
      </c>
      <c r="M421" s="28">
        <v>93</v>
      </c>
      <c r="N421" s="6">
        <v>400</v>
      </c>
      <c r="O421" s="30">
        <f t="shared" si="40"/>
        <v>0</v>
      </c>
      <c r="P421" s="30">
        <f t="shared" si="41"/>
        <v>37200</v>
      </c>
      <c r="Q421" s="1">
        <f>COUNTIFS($P:$P, "&gt;" &amp; $P421) + 1</f>
        <v>581</v>
      </c>
      <c r="R421" s="63">
        <f>(COUNTIFS($P:$P, "&gt;" &amp; $P421) + 1) / (COUNTA($I:$I) - 1)</f>
        <v>0.1162</v>
      </c>
      <c r="S421" s="23">
        <f>SUMIFS($P:$P, $Q:$Q, "&lt;" &amp; $Q421)</f>
        <v>155183973</v>
      </c>
    </row>
    <row r="422" spans="1:19" x14ac:dyDescent="0.25">
      <c r="A422" s="1">
        <v>417</v>
      </c>
      <c r="B422" s="1" t="s">
        <v>2</v>
      </c>
      <c r="C422" s="1" t="str">
        <f>IF($B422 = "Production Item", _xlfn.XLOOKUP($A422, 'Instrument Table'!$J:$J, 'Instrument Table'!$B:$B, $C421), IF($B422 = "Service Item", _xlfn.XLOOKUP($A422, 'Instrument Table'!$I:$I, 'Instrument Table'!$B:$B, $C421), _xlfn.XLOOKUP($A422, 'Instrument Table'!$H:$H, 'Instrument Table'!$B:$B, $C421)))</f>
        <v>Grand Piano</v>
      </c>
      <c r="D422" s="1" t="str">
        <f>VLOOKUP($C422, 'Instrument Table'!$B:$C, 2, FALSE)</f>
        <v>Pianos</v>
      </c>
      <c r="E422" s="1">
        <f t="shared" si="36"/>
        <v>1</v>
      </c>
      <c r="F422" s="1">
        <f>_xlfn.XLOOKUP($C422, 'Instrument Table'!$B:$B, 'Instrument Table'!$A:$A, "")</f>
        <v>10</v>
      </c>
      <c r="G422" s="1" t="str">
        <f>TEXT(IF($B422 = "Retail Item", IF((ROW($A422) - 4504 - _xlfn.XMATCH($C422, $C$4506:$C$5005, 0, 1)) &lt;= VLOOKUP($C422, 'Instrument Table'!$B:$D, 3, FALSE), ROW($A422) - 4504 - _xlfn.XMATCH($C422, $C$4506:$C$5005, 0, 1), 0), 0), "00")</f>
        <v>00</v>
      </c>
      <c r="H422" s="1" t="str">
        <f t="shared" si="37"/>
        <v>416</v>
      </c>
      <c r="I422" s="1" t="str">
        <f t="shared" si="38"/>
        <v>11000-416</v>
      </c>
      <c r="J422" s="1" t="str">
        <f t="shared" si="39"/>
        <v>Grand piano production item #416</v>
      </c>
      <c r="K422" s="1" t="str">
        <f>IF(SUM(COUNTIFS(I:I, I422)) &gt; 1, "DUPLICATE", "UNIQUE")</f>
        <v>UNIQUE</v>
      </c>
      <c r="L422" s="18">
        <v>0</v>
      </c>
      <c r="M422" s="28">
        <v>32</v>
      </c>
      <c r="N422" s="6">
        <v>144</v>
      </c>
      <c r="O422" s="30">
        <f t="shared" si="40"/>
        <v>0</v>
      </c>
      <c r="P422" s="30">
        <f t="shared" si="41"/>
        <v>4608</v>
      </c>
      <c r="Q422" s="1">
        <f>COUNTIFS($P:$P, "&gt;" &amp; $P422) + 1</f>
        <v>2515</v>
      </c>
      <c r="R422" s="63">
        <f>(COUNTIFS($P:$P, "&gt;" &amp; $P422) + 1) / (COUNTA($I:$I) - 1)</f>
        <v>0.503</v>
      </c>
      <c r="S422" s="23">
        <f>SUMIFS($P:$P, $Q:$Q, "&lt;" &amp; $Q422)</f>
        <v>183185375</v>
      </c>
    </row>
    <row r="423" spans="1:19" x14ac:dyDescent="0.25">
      <c r="A423" s="1">
        <v>418</v>
      </c>
      <c r="B423" s="1" t="s">
        <v>2</v>
      </c>
      <c r="C423" s="1" t="str">
        <f>IF($B423 = "Production Item", _xlfn.XLOOKUP($A423, 'Instrument Table'!$J:$J, 'Instrument Table'!$B:$B, $C422), IF($B423 = "Service Item", _xlfn.XLOOKUP($A423, 'Instrument Table'!$I:$I, 'Instrument Table'!$B:$B, $C422), _xlfn.XLOOKUP($A423, 'Instrument Table'!$H:$H, 'Instrument Table'!$B:$B, $C422)))</f>
        <v>Grand Piano</v>
      </c>
      <c r="D423" s="1" t="str">
        <f>VLOOKUP($C423, 'Instrument Table'!$B:$C, 2, FALSE)</f>
        <v>Pianos</v>
      </c>
      <c r="E423" s="1">
        <f t="shared" si="36"/>
        <v>1</v>
      </c>
      <c r="F423" s="1">
        <f>_xlfn.XLOOKUP($C423, 'Instrument Table'!$B:$B, 'Instrument Table'!$A:$A, "")</f>
        <v>10</v>
      </c>
      <c r="G423" s="1" t="str">
        <f>TEXT(IF($B423 = "Retail Item", IF((ROW($A423) - 4504 - _xlfn.XMATCH($C423, $C$4506:$C$5005, 0, 1)) &lt;= VLOOKUP($C423, 'Instrument Table'!$B:$D, 3, FALSE), ROW($A423) - 4504 - _xlfn.XMATCH($C423, $C$4506:$C$5005, 0, 1), 0), 0), "00")</f>
        <v>00</v>
      </c>
      <c r="H423" s="1" t="str">
        <f t="shared" si="37"/>
        <v>417</v>
      </c>
      <c r="I423" s="1" t="str">
        <f t="shared" si="38"/>
        <v>11000-417</v>
      </c>
      <c r="J423" s="1" t="str">
        <f t="shared" si="39"/>
        <v>Grand piano production item #417</v>
      </c>
      <c r="K423" s="1" t="str">
        <f>IF(SUM(COUNTIFS(I:I, I423)) &gt; 1, "DUPLICATE", "UNIQUE")</f>
        <v>UNIQUE</v>
      </c>
      <c r="L423" s="18">
        <v>0</v>
      </c>
      <c r="M423" s="28">
        <v>42</v>
      </c>
      <c r="N423" s="6">
        <v>4</v>
      </c>
      <c r="O423" s="30">
        <f t="shared" si="40"/>
        <v>0</v>
      </c>
      <c r="P423" s="30">
        <f t="shared" si="41"/>
        <v>168</v>
      </c>
      <c r="Q423" s="1">
        <f>COUNTIFS($P:$P, "&gt;" &amp; $P423) + 1</f>
        <v>4376</v>
      </c>
      <c r="R423" s="63">
        <f>(COUNTIFS($P:$P, "&gt;" &amp; $P423) + 1) / (COUNTA($I:$I) - 1)</f>
        <v>0.87519999999999998</v>
      </c>
      <c r="S423" s="23">
        <f>SUMIFS($P:$P, $Q:$Q, "&lt;" &amp; $Q423)</f>
        <v>186522191</v>
      </c>
    </row>
    <row r="424" spans="1:19" x14ac:dyDescent="0.25">
      <c r="A424" s="1">
        <v>419</v>
      </c>
      <c r="B424" s="1" t="s">
        <v>2</v>
      </c>
      <c r="C424" s="1" t="str">
        <f>IF($B424 = "Production Item", _xlfn.XLOOKUP($A424, 'Instrument Table'!$J:$J, 'Instrument Table'!$B:$B, $C423), IF($B424 = "Service Item", _xlfn.XLOOKUP($A424, 'Instrument Table'!$I:$I, 'Instrument Table'!$B:$B, $C423), _xlfn.XLOOKUP($A424, 'Instrument Table'!$H:$H, 'Instrument Table'!$B:$B, $C423)))</f>
        <v>Grand Piano</v>
      </c>
      <c r="D424" s="1" t="str">
        <f>VLOOKUP($C424, 'Instrument Table'!$B:$C, 2, FALSE)</f>
        <v>Pianos</v>
      </c>
      <c r="E424" s="1">
        <f t="shared" si="36"/>
        <v>1</v>
      </c>
      <c r="F424" s="1">
        <f>_xlfn.XLOOKUP($C424, 'Instrument Table'!$B:$B, 'Instrument Table'!$A:$A, "")</f>
        <v>10</v>
      </c>
      <c r="G424" s="1" t="str">
        <f>TEXT(IF($B424 = "Retail Item", IF((ROW($A424) - 4504 - _xlfn.XMATCH($C424, $C$4506:$C$5005, 0, 1)) &lt;= VLOOKUP($C424, 'Instrument Table'!$B:$D, 3, FALSE), ROW($A424) - 4504 - _xlfn.XMATCH($C424, $C$4506:$C$5005, 0, 1), 0), 0), "00")</f>
        <v>00</v>
      </c>
      <c r="H424" s="1" t="str">
        <f t="shared" si="37"/>
        <v>418</v>
      </c>
      <c r="I424" s="1" t="str">
        <f t="shared" si="38"/>
        <v>11000-418</v>
      </c>
      <c r="J424" s="1" t="str">
        <f t="shared" si="39"/>
        <v>Grand piano production item #418</v>
      </c>
      <c r="K424" s="1" t="str">
        <f>IF(SUM(COUNTIFS(I:I, I424)) &gt; 1, "DUPLICATE", "UNIQUE")</f>
        <v>UNIQUE</v>
      </c>
      <c r="L424" s="18">
        <v>8</v>
      </c>
      <c r="M424" s="28">
        <v>26</v>
      </c>
      <c r="N424" s="6">
        <v>400</v>
      </c>
      <c r="O424" s="30">
        <f t="shared" si="40"/>
        <v>208</v>
      </c>
      <c r="P424" s="30">
        <f t="shared" si="41"/>
        <v>10400</v>
      </c>
      <c r="Q424" s="1">
        <f>COUNTIFS($P:$P, "&gt;" &amp; $P424) + 1</f>
        <v>1738</v>
      </c>
      <c r="R424" s="63">
        <f>(COUNTIFS($P:$P, "&gt;" &amp; $P424) + 1) / (COUNTA($I:$I) - 1)</f>
        <v>0.34760000000000002</v>
      </c>
      <c r="S424" s="23">
        <f>SUMIFS($P:$P, $Q:$Q, "&lt;" &amp; $Q424)</f>
        <v>177617792</v>
      </c>
    </row>
    <row r="425" spans="1:19" x14ac:dyDescent="0.25">
      <c r="A425" s="1">
        <v>420</v>
      </c>
      <c r="B425" s="1" t="s">
        <v>2</v>
      </c>
      <c r="C425" s="1" t="str">
        <f>IF($B425 = "Production Item", _xlfn.XLOOKUP($A425, 'Instrument Table'!$J:$J, 'Instrument Table'!$B:$B, $C424), IF($B425 = "Service Item", _xlfn.XLOOKUP($A425, 'Instrument Table'!$I:$I, 'Instrument Table'!$B:$B, $C424), _xlfn.XLOOKUP($A425, 'Instrument Table'!$H:$H, 'Instrument Table'!$B:$B, $C424)))</f>
        <v>Grand Piano</v>
      </c>
      <c r="D425" s="1" t="str">
        <f>VLOOKUP($C425, 'Instrument Table'!$B:$C, 2, FALSE)</f>
        <v>Pianos</v>
      </c>
      <c r="E425" s="1">
        <f t="shared" si="36"/>
        <v>1</v>
      </c>
      <c r="F425" s="1">
        <f>_xlfn.XLOOKUP($C425, 'Instrument Table'!$B:$B, 'Instrument Table'!$A:$A, "")</f>
        <v>10</v>
      </c>
      <c r="G425" s="1" t="str">
        <f>TEXT(IF($B425 = "Retail Item", IF((ROW($A425) - 4504 - _xlfn.XMATCH($C425, $C$4506:$C$5005, 0, 1)) &lt;= VLOOKUP($C425, 'Instrument Table'!$B:$D, 3, FALSE), ROW($A425) - 4504 - _xlfn.XMATCH($C425, $C$4506:$C$5005, 0, 1), 0), 0), "00")</f>
        <v>00</v>
      </c>
      <c r="H425" s="1" t="str">
        <f t="shared" si="37"/>
        <v>419</v>
      </c>
      <c r="I425" s="1" t="str">
        <f t="shared" si="38"/>
        <v>11000-419</v>
      </c>
      <c r="J425" s="1" t="str">
        <f t="shared" si="39"/>
        <v>Grand piano production item #419</v>
      </c>
      <c r="K425" s="1" t="str">
        <f>IF(SUM(COUNTIFS(I:I, I425)) &gt; 1, "DUPLICATE", "UNIQUE")</f>
        <v>UNIQUE</v>
      </c>
      <c r="L425" s="18">
        <v>1</v>
      </c>
      <c r="M425" s="28">
        <v>11</v>
      </c>
      <c r="N425" s="6">
        <v>49</v>
      </c>
      <c r="O425" s="30">
        <f t="shared" si="40"/>
        <v>11</v>
      </c>
      <c r="P425" s="30">
        <f t="shared" si="41"/>
        <v>539</v>
      </c>
      <c r="Q425" s="1">
        <f>COUNTIFS($P:$P, "&gt;" &amp; $P425) + 1</f>
        <v>3994</v>
      </c>
      <c r="R425" s="63">
        <f>(COUNTIFS($P:$P, "&gt;" &amp; $P425) + 1) / (COUNTA($I:$I) - 1)</f>
        <v>0.79879999999999995</v>
      </c>
      <c r="S425" s="23">
        <f>SUMIFS($P:$P, $Q:$Q, "&lt;" &amp; $Q425)</f>
        <v>186395100</v>
      </c>
    </row>
    <row r="426" spans="1:19" x14ac:dyDescent="0.25">
      <c r="A426" s="1">
        <v>421</v>
      </c>
      <c r="B426" s="1" t="s">
        <v>2</v>
      </c>
      <c r="C426" s="1" t="str">
        <f>IF($B426 = "Production Item", _xlfn.XLOOKUP($A426, 'Instrument Table'!$J:$J, 'Instrument Table'!$B:$B, $C425), IF($B426 = "Service Item", _xlfn.XLOOKUP($A426, 'Instrument Table'!$I:$I, 'Instrument Table'!$B:$B, $C425), _xlfn.XLOOKUP($A426, 'Instrument Table'!$H:$H, 'Instrument Table'!$B:$B, $C425)))</f>
        <v>Grand Piano</v>
      </c>
      <c r="D426" s="1" t="str">
        <f>VLOOKUP($C426, 'Instrument Table'!$B:$C, 2, FALSE)</f>
        <v>Pianos</v>
      </c>
      <c r="E426" s="1">
        <f t="shared" si="36"/>
        <v>1</v>
      </c>
      <c r="F426" s="1">
        <f>_xlfn.XLOOKUP($C426, 'Instrument Table'!$B:$B, 'Instrument Table'!$A:$A, "")</f>
        <v>10</v>
      </c>
      <c r="G426" s="1" t="str">
        <f>TEXT(IF($B426 = "Retail Item", IF((ROW($A426) - 4504 - _xlfn.XMATCH($C426, $C$4506:$C$5005, 0, 1)) &lt;= VLOOKUP($C426, 'Instrument Table'!$B:$D, 3, FALSE), ROW($A426) - 4504 - _xlfn.XMATCH($C426, $C$4506:$C$5005, 0, 1), 0), 0), "00")</f>
        <v>00</v>
      </c>
      <c r="H426" s="1" t="str">
        <f t="shared" si="37"/>
        <v>420</v>
      </c>
      <c r="I426" s="1" t="str">
        <f t="shared" si="38"/>
        <v>11000-420</v>
      </c>
      <c r="J426" s="1" t="str">
        <f t="shared" si="39"/>
        <v>Grand piano production item #420</v>
      </c>
      <c r="K426" s="1" t="str">
        <f>IF(SUM(COUNTIFS(I:I, I426)) &gt; 1, "DUPLICATE", "UNIQUE")</f>
        <v>UNIQUE</v>
      </c>
      <c r="L426" s="18">
        <v>0</v>
      </c>
      <c r="M426" s="28">
        <v>88</v>
      </c>
      <c r="N426" s="6">
        <v>1</v>
      </c>
      <c r="O426" s="30">
        <f t="shared" si="40"/>
        <v>0</v>
      </c>
      <c r="P426" s="30">
        <f t="shared" si="41"/>
        <v>88</v>
      </c>
      <c r="Q426" s="1">
        <f>COUNTIFS($P:$P, "&gt;" &amp; $P426) + 1</f>
        <v>4484</v>
      </c>
      <c r="R426" s="63">
        <f>(COUNTIFS($P:$P, "&gt;" &amp; $P426) + 1) / (COUNTA($I:$I) - 1)</f>
        <v>0.89680000000000004</v>
      </c>
      <c r="S426" s="23">
        <f>SUMIFS($P:$P, $Q:$Q, "&lt;" &amp; $Q426)</f>
        <v>186535476</v>
      </c>
    </row>
    <row r="427" spans="1:19" x14ac:dyDescent="0.25">
      <c r="A427" s="1">
        <v>422</v>
      </c>
      <c r="B427" s="1" t="s">
        <v>2</v>
      </c>
      <c r="C427" s="1" t="str">
        <f>IF($B427 = "Production Item", _xlfn.XLOOKUP($A427, 'Instrument Table'!$J:$J, 'Instrument Table'!$B:$B, $C426), IF($B427 = "Service Item", _xlfn.XLOOKUP($A427, 'Instrument Table'!$I:$I, 'Instrument Table'!$B:$B, $C426), _xlfn.XLOOKUP($A427, 'Instrument Table'!$H:$H, 'Instrument Table'!$B:$B, $C426)))</f>
        <v>Grand Piano</v>
      </c>
      <c r="D427" s="1" t="str">
        <f>VLOOKUP($C427, 'Instrument Table'!$B:$C, 2, FALSE)</f>
        <v>Pianos</v>
      </c>
      <c r="E427" s="1">
        <f t="shared" si="36"/>
        <v>1</v>
      </c>
      <c r="F427" s="1">
        <f>_xlfn.XLOOKUP($C427, 'Instrument Table'!$B:$B, 'Instrument Table'!$A:$A, "")</f>
        <v>10</v>
      </c>
      <c r="G427" s="1" t="str">
        <f>TEXT(IF($B427 = "Retail Item", IF((ROW($A427) - 4504 - _xlfn.XMATCH($C427, $C$4506:$C$5005, 0, 1)) &lt;= VLOOKUP($C427, 'Instrument Table'!$B:$D, 3, FALSE), ROW($A427) - 4504 - _xlfn.XMATCH($C427, $C$4506:$C$5005, 0, 1), 0), 0), "00")</f>
        <v>00</v>
      </c>
      <c r="H427" s="1" t="str">
        <f t="shared" si="37"/>
        <v>421</v>
      </c>
      <c r="I427" s="1" t="str">
        <f t="shared" si="38"/>
        <v>11000-421</v>
      </c>
      <c r="J427" s="1" t="str">
        <f t="shared" si="39"/>
        <v>Grand piano production item #421</v>
      </c>
      <c r="K427" s="1" t="str">
        <f>IF(SUM(COUNTIFS(I:I, I427)) &gt; 1, "DUPLICATE", "UNIQUE")</f>
        <v>UNIQUE</v>
      </c>
      <c r="L427" s="18">
        <v>4</v>
      </c>
      <c r="M427" s="28">
        <v>86</v>
      </c>
      <c r="N427" s="6">
        <v>196</v>
      </c>
      <c r="O427" s="30">
        <f t="shared" si="40"/>
        <v>344</v>
      </c>
      <c r="P427" s="30">
        <f t="shared" si="41"/>
        <v>16856</v>
      </c>
      <c r="Q427" s="1">
        <f>COUNTIFS($P:$P, "&gt;" &amp; $P427) + 1</f>
        <v>1223</v>
      </c>
      <c r="R427" s="63">
        <f>(COUNTIFS($P:$P, "&gt;" &amp; $P427) + 1) / (COUNTA($I:$I) - 1)</f>
        <v>0.24460000000000001</v>
      </c>
      <c r="S427" s="23">
        <f>SUMIFS($P:$P, $Q:$Q, "&lt;" &amp; $Q427)</f>
        <v>170718947</v>
      </c>
    </row>
    <row r="428" spans="1:19" x14ac:dyDescent="0.25">
      <c r="A428" s="1">
        <v>423</v>
      </c>
      <c r="B428" s="1" t="s">
        <v>2</v>
      </c>
      <c r="C428" s="1" t="str">
        <f>IF($B428 = "Production Item", _xlfn.XLOOKUP($A428, 'Instrument Table'!$J:$J, 'Instrument Table'!$B:$B, $C427), IF($B428 = "Service Item", _xlfn.XLOOKUP($A428, 'Instrument Table'!$I:$I, 'Instrument Table'!$B:$B, $C427), _xlfn.XLOOKUP($A428, 'Instrument Table'!$H:$H, 'Instrument Table'!$B:$B, $C427)))</f>
        <v>Grand Piano</v>
      </c>
      <c r="D428" s="1" t="str">
        <f>VLOOKUP($C428, 'Instrument Table'!$B:$C, 2, FALSE)</f>
        <v>Pianos</v>
      </c>
      <c r="E428" s="1">
        <f t="shared" si="36"/>
        <v>1</v>
      </c>
      <c r="F428" s="1">
        <f>_xlfn.XLOOKUP($C428, 'Instrument Table'!$B:$B, 'Instrument Table'!$A:$A, "")</f>
        <v>10</v>
      </c>
      <c r="G428" s="1" t="str">
        <f>TEXT(IF($B428 = "Retail Item", IF((ROW($A428) - 4504 - _xlfn.XMATCH($C428, $C$4506:$C$5005, 0, 1)) &lt;= VLOOKUP($C428, 'Instrument Table'!$B:$D, 3, FALSE), ROW($A428) - 4504 - _xlfn.XMATCH($C428, $C$4506:$C$5005, 0, 1), 0), 0), "00")</f>
        <v>00</v>
      </c>
      <c r="H428" s="1" t="str">
        <f t="shared" si="37"/>
        <v>422</v>
      </c>
      <c r="I428" s="1" t="str">
        <f t="shared" si="38"/>
        <v>11000-422</v>
      </c>
      <c r="J428" s="1" t="str">
        <f t="shared" si="39"/>
        <v>Grand piano production item #422</v>
      </c>
      <c r="K428" s="1" t="str">
        <f>IF(SUM(COUNTIFS(I:I, I428)) &gt; 1, "DUPLICATE", "UNIQUE")</f>
        <v>UNIQUE</v>
      </c>
      <c r="L428" s="18">
        <v>1</v>
      </c>
      <c r="M428" s="28">
        <v>27</v>
      </c>
      <c r="N428" s="6">
        <v>225</v>
      </c>
      <c r="O428" s="30">
        <f t="shared" si="40"/>
        <v>27</v>
      </c>
      <c r="P428" s="30">
        <f t="shared" si="41"/>
        <v>6075</v>
      </c>
      <c r="Q428" s="1">
        <f>COUNTIFS($P:$P, "&gt;" &amp; $P428) + 1</f>
        <v>2248</v>
      </c>
      <c r="R428" s="63">
        <f>(COUNTIFS($P:$P, "&gt;" &amp; $P428) + 1) / (COUNTA($I:$I) - 1)</f>
        <v>0.4496</v>
      </c>
      <c r="S428" s="23">
        <f>SUMIFS($P:$P, $Q:$Q, "&lt;" &amp; $Q428)</f>
        <v>181754966</v>
      </c>
    </row>
    <row r="429" spans="1:19" x14ac:dyDescent="0.25">
      <c r="A429" s="1">
        <v>424</v>
      </c>
      <c r="B429" s="1" t="s">
        <v>2</v>
      </c>
      <c r="C429" s="1" t="str">
        <f>IF($B429 = "Production Item", _xlfn.XLOOKUP($A429, 'Instrument Table'!$J:$J, 'Instrument Table'!$B:$B, $C428), IF($B429 = "Service Item", _xlfn.XLOOKUP($A429, 'Instrument Table'!$I:$I, 'Instrument Table'!$B:$B, $C428), _xlfn.XLOOKUP($A429, 'Instrument Table'!$H:$H, 'Instrument Table'!$B:$B, $C428)))</f>
        <v>Grand Piano</v>
      </c>
      <c r="D429" s="1" t="str">
        <f>VLOOKUP($C429, 'Instrument Table'!$B:$C, 2, FALSE)</f>
        <v>Pianos</v>
      </c>
      <c r="E429" s="1">
        <f t="shared" si="36"/>
        <v>1</v>
      </c>
      <c r="F429" s="1">
        <f>_xlfn.XLOOKUP($C429, 'Instrument Table'!$B:$B, 'Instrument Table'!$A:$A, "")</f>
        <v>10</v>
      </c>
      <c r="G429" s="1" t="str">
        <f>TEXT(IF($B429 = "Retail Item", IF((ROW($A429) - 4504 - _xlfn.XMATCH($C429, $C$4506:$C$5005, 0, 1)) &lt;= VLOOKUP($C429, 'Instrument Table'!$B:$D, 3, FALSE), ROW($A429) - 4504 - _xlfn.XMATCH($C429, $C$4506:$C$5005, 0, 1), 0), 0), "00")</f>
        <v>00</v>
      </c>
      <c r="H429" s="1" t="str">
        <f t="shared" si="37"/>
        <v>423</v>
      </c>
      <c r="I429" s="1" t="str">
        <f t="shared" si="38"/>
        <v>11000-423</v>
      </c>
      <c r="J429" s="1" t="str">
        <f t="shared" si="39"/>
        <v>Grand piano production item #423</v>
      </c>
      <c r="K429" s="1" t="str">
        <f>IF(SUM(COUNTIFS(I:I, I429)) &gt; 1, "DUPLICATE", "UNIQUE")</f>
        <v>UNIQUE</v>
      </c>
      <c r="L429" s="18">
        <v>8</v>
      </c>
      <c r="M429" s="28">
        <v>10</v>
      </c>
      <c r="N429" s="6">
        <v>144</v>
      </c>
      <c r="O429" s="30">
        <f t="shared" si="40"/>
        <v>80</v>
      </c>
      <c r="P429" s="30">
        <f t="shared" si="41"/>
        <v>1440</v>
      </c>
      <c r="Q429" s="1">
        <f>COUNTIFS($P:$P, "&gt;" &amp; $P429) + 1</f>
        <v>3494</v>
      </c>
      <c r="R429" s="63">
        <f>(COUNTIFS($P:$P, "&gt;" &amp; $P429) + 1) / (COUNTA($I:$I) - 1)</f>
        <v>0.69879999999999998</v>
      </c>
      <c r="S429" s="23">
        <f>SUMIFS($P:$P, $Q:$Q, "&lt;" &amp; $Q429)</f>
        <v>185928856</v>
      </c>
    </row>
    <row r="430" spans="1:19" x14ac:dyDescent="0.25">
      <c r="A430" s="1">
        <v>425</v>
      </c>
      <c r="B430" s="1" t="s">
        <v>2</v>
      </c>
      <c r="C430" s="1" t="str">
        <f>IF($B430 = "Production Item", _xlfn.XLOOKUP($A430, 'Instrument Table'!$J:$J, 'Instrument Table'!$B:$B, $C429), IF($B430 = "Service Item", _xlfn.XLOOKUP($A430, 'Instrument Table'!$I:$I, 'Instrument Table'!$B:$B, $C429), _xlfn.XLOOKUP($A430, 'Instrument Table'!$H:$H, 'Instrument Table'!$B:$B, $C429)))</f>
        <v>Grand Piano</v>
      </c>
      <c r="D430" s="1" t="str">
        <f>VLOOKUP($C430, 'Instrument Table'!$B:$C, 2, FALSE)</f>
        <v>Pianos</v>
      </c>
      <c r="E430" s="1">
        <f t="shared" si="36"/>
        <v>1</v>
      </c>
      <c r="F430" s="1">
        <f>_xlfn.XLOOKUP($C430, 'Instrument Table'!$B:$B, 'Instrument Table'!$A:$A, "")</f>
        <v>10</v>
      </c>
      <c r="G430" s="1" t="str">
        <f>TEXT(IF($B430 = "Retail Item", IF((ROW($A430) - 4504 - _xlfn.XMATCH($C430, $C$4506:$C$5005, 0, 1)) &lt;= VLOOKUP($C430, 'Instrument Table'!$B:$D, 3, FALSE), ROW($A430) - 4504 - _xlfn.XMATCH($C430, $C$4506:$C$5005, 0, 1), 0), 0), "00")</f>
        <v>00</v>
      </c>
      <c r="H430" s="1" t="str">
        <f t="shared" si="37"/>
        <v>424</v>
      </c>
      <c r="I430" s="1" t="str">
        <f t="shared" si="38"/>
        <v>11000-424</v>
      </c>
      <c r="J430" s="1" t="str">
        <f t="shared" si="39"/>
        <v>Grand piano production item #424</v>
      </c>
      <c r="K430" s="1" t="str">
        <f>IF(SUM(COUNTIFS(I:I, I430)) &gt; 1, "DUPLICATE", "UNIQUE")</f>
        <v>UNIQUE</v>
      </c>
      <c r="L430" s="18">
        <v>1</v>
      </c>
      <c r="M430" s="28">
        <v>55</v>
      </c>
      <c r="N430" s="6">
        <v>81</v>
      </c>
      <c r="O430" s="30">
        <f t="shared" si="40"/>
        <v>55</v>
      </c>
      <c r="P430" s="30">
        <f t="shared" si="41"/>
        <v>4455</v>
      </c>
      <c r="Q430" s="1">
        <f>COUNTIFS($P:$P, "&gt;" &amp; $P430) + 1</f>
        <v>2560</v>
      </c>
      <c r="R430" s="63">
        <f>(COUNTIFS($P:$P, "&gt;" &amp; $P430) + 1) / (COUNTA($I:$I) - 1)</f>
        <v>0.51200000000000001</v>
      </c>
      <c r="S430" s="23">
        <f>SUMIFS($P:$P, $Q:$Q, "&lt;" &amp; $Q430)</f>
        <v>183389663</v>
      </c>
    </row>
    <row r="431" spans="1:19" x14ac:dyDescent="0.25">
      <c r="A431" s="1">
        <v>426</v>
      </c>
      <c r="B431" s="1" t="s">
        <v>2</v>
      </c>
      <c r="C431" s="1" t="str">
        <f>IF($B431 = "Production Item", _xlfn.XLOOKUP($A431, 'Instrument Table'!$J:$J, 'Instrument Table'!$B:$B, $C430), IF($B431 = "Service Item", _xlfn.XLOOKUP($A431, 'Instrument Table'!$I:$I, 'Instrument Table'!$B:$B, $C430), _xlfn.XLOOKUP($A431, 'Instrument Table'!$H:$H, 'Instrument Table'!$B:$B, $C430)))</f>
        <v>Grand Piano</v>
      </c>
      <c r="D431" s="1" t="str">
        <f>VLOOKUP($C431, 'Instrument Table'!$B:$C, 2, FALSE)</f>
        <v>Pianos</v>
      </c>
      <c r="E431" s="1">
        <f t="shared" si="36"/>
        <v>1</v>
      </c>
      <c r="F431" s="1">
        <f>_xlfn.XLOOKUP($C431, 'Instrument Table'!$B:$B, 'Instrument Table'!$A:$A, "")</f>
        <v>10</v>
      </c>
      <c r="G431" s="1" t="str">
        <f>TEXT(IF($B431 = "Retail Item", IF((ROW($A431) - 4504 - _xlfn.XMATCH($C431, $C$4506:$C$5005, 0, 1)) &lt;= VLOOKUP($C431, 'Instrument Table'!$B:$D, 3, FALSE), ROW($A431) - 4504 - _xlfn.XMATCH($C431, $C$4506:$C$5005, 0, 1), 0), 0), "00")</f>
        <v>00</v>
      </c>
      <c r="H431" s="1" t="str">
        <f t="shared" si="37"/>
        <v>425</v>
      </c>
      <c r="I431" s="1" t="str">
        <f t="shared" si="38"/>
        <v>11000-425</v>
      </c>
      <c r="J431" s="1" t="str">
        <f t="shared" si="39"/>
        <v>Grand piano production item #425</v>
      </c>
      <c r="K431" s="1" t="str">
        <f>IF(SUM(COUNTIFS(I:I, I431)) &gt; 1, "DUPLICATE", "UNIQUE")</f>
        <v>UNIQUE</v>
      </c>
      <c r="L431" s="18">
        <v>2</v>
      </c>
      <c r="M431" s="28">
        <v>19</v>
      </c>
      <c r="N431" s="6">
        <v>9</v>
      </c>
      <c r="O431" s="30">
        <f t="shared" si="40"/>
        <v>38</v>
      </c>
      <c r="P431" s="30">
        <f t="shared" si="41"/>
        <v>171</v>
      </c>
      <c r="Q431" s="1">
        <f>COUNTIFS($P:$P, "&gt;" &amp; $P431) + 1</f>
        <v>4371</v>
      </c>
      <c r="R431" s="63">
        <f>(COUNTIFS($P:$P, "&gt;" &amp; $P431) + 1) / (COUNTA($I:$I) - 1)</f>
        <v>0.87419999999999998</v>
      </c>
      <c r="S431" s="23">
        <f>SUMIFS($P:$P, $Q:$Q, "&lt;" &amp; $Q431)</f>
        <v>186521340</v>
      </c>
    </row>
    <row r="432" spans="1:19" x14ac:dyDescent="0.25">
      <c r="A432" s="1">
        <v>427</v>
      </c>
      <c r="B432" s="1" t="s">
        <v>2</v>
      </c>
      <c r="C432" s="1" t="str">
        <f>IF($B432 = "Production Item", _xlfn.XLOOKUP($A432, 'Instrument Table'!$J:$J, 'Instrument Table'!$B:$B, $C431), IF($B432 = "Service Item", _xlfn.XLOOKUP($A432, 'Instrument Table'!$I:$I, 'Instrument Table'!$B:$B, $C431), _xlfn.XLOOKUP($A432, 'Instrument Table'!$H:$H, 'Instrument Table'!$B:$B, $C431)))</f>
        <v>Grand Piano</v>
      </c>
      <c r="D432" s="1" t="str">
        <f>VLOOKUP($C432, 'Instrument Table'!$B:$C, 2, FALSE)</f>
        <v>Pianos</v>
      </c>
      <c r="E432" s="1">
        <f t="shared" si="36"/>
        <v>1</v>
      </c>
      <c r="F432" s="1">
        <f>_xlfn.XLOOKUP($C432, 'Instrument Table'!$B:$B, 'Instrument Table'!$A:$A, "")</f>
        <v>10</v>
      </c>
      <c r="G432" s="1" t="str">
        <f>TEXT(IF($B432 = "Retail Item", IF((ROW($A432) - 4504 - _xlfn.XMATCH($C432, $C$4506:$C$5005, 0, 1)) &lt;= VLOOKUP($C432, 'Instrument Table'!$B:$D, 3, FALSE), ROW($A432) - 4504 - _xlfn.XMATCH($C432, $C$4506:$C$5005, 0, 1), 0), 0), "00")</f>
        <v>00</v>
      </c>
      <c r="H432" s="1" t="str">
        <f t="shared" si="37"/>
        <v>426</v>
      </c>
      <c r="I432" s="1" t="str">
        <f t="shared" si="38"/>
        <v>11000-426</v>
      </c>
      <c r="J432" s="1" t="str">
        <f t="shared" si="39"/>
        <v>Grand piano production item #426</v>
      </c>
      <c r="K432" s="1" t="str">
        <f>IF(SUM(COUNTIFS(I:I, I432)) &gt; 1, "DUPLICATE", "UNIQUE")</f>
        <v>UNIQUE</v>
      </c>
      <c r="L432" s="18">
        <v>1</v>
      </c>
      <c r="M432" s="28">
        <v>14</v>
      </c>
      <c r="N432" s="6">
        <v>4</v>
      </c>
      <c r="O432" s="30">
        <f t="shared" si="40"/>
        <v>14</v>
      </c>
      <c r="P432" s="30">
        <f t="shared" si="41"/>
        <v>56</v>
      </c>
      <c r="Q432" s="1">
        <f>COUNTIFS($P:$P, "&gt;" &amp; $P432) + 1</f>
        <v>4589</v>
      </c>
      <c r="R432" s="63">
        <f>(COUNTIFS($P:$P, "&gt;" &amp; $P432) + 1) / (COUNTA($I:$I) - 1)</f>
        <v>0.91779999999999995</v>
      </c>
      <c r="S432" s="23">
        <f>SUMIFS($P:$P, $Q:$Q, "&lt;" &amp; $Q432)</f>
        <v>186543088</v>
      </c>
    </row>
    <row r="433" spans="1:19" x14ac:dyDescent="0.25">
      <c r="A433" s="1">
        <v>428</v>
      </c>
      <c r="B433" s="1" t="s">
        <v>2</v>
      </c>
      <c r="C433" s="1" t="str">
        <f>IF($B433 = "Production Item", _xlfn.XLOOKUP($A433, 'Instrument Table'!$J:$J, 'Instrument Table'!$B:$B, $C432), IF($B433 = "Service Item", _xlfn.XLOOKUP($A433, 'Instrument Table'!$I:$I, 'Instrument Table'!$B:$B, $C432), _xlfn.XLOOKUP($A433, 'Instrument Table'!$H:$H, 'Instrument Table'!$B:$B, $C432)))</f>
        <v>Grand Piano</v>
      </c>
      <c r="D433" s="1" t="str">
        <f>VLOOKUP($C433, 'Instrument Table'!$B:$C, 2, FALSE)</f>
        <v>Pianos</v>
      </c>
      <c r="E433" s="1">
        <f t="shared" si="36"/>
        <v>1</v>
      </c>
      <c r="F433" s="1">
        <f>_xlfn.XLOOKUP($C433, 'Instrument Table'!$B:$B, 'Instrument Table'!$A:$A, "")</f>
        <v>10</v>
      </c>
      <c r="G433" s="1" t="str">
        <f>TEXT(IF($B433 = "Retail Item", IF((ROW($A433) - 4504 - _xlfn.XMATCH($C433, $C$4506:$C$5005, 0, 1)) &lt;= VLOOKUP($C433, 'Instrument Table'!$B:$D, 3, FALSE), ROW($A433) - 4504 - _xlfn.XMATCH($C433, $C$4506:$C$5005, 0, 1), 0), 0), "00")</f>
        <v>00</v>
      </c>
      <c r="H433" s="1" t="str">
        <f t="shared" si="37"/>
        <v>427</v>
      </c>
      <c r="I433" s="1" t="str">
        <f t="shared" si="38"/>
        <v>11000-427</v>
      </c>
      <c r="J433" s="1" t="str">
        <f t="shared" si="39"/>
        <v>Grand piano production item #427</v>
      </c>
      <c r="K433" s="1" t="str">
        <f>IF(SUM(COUNTIFS(I:I, I433)) &gt; 1, "DUPLICATE", "UNIQUE")</f>
        <v>UNIQUE</v>
      </c>
      <c r="L433" s="18">
        <v>16</v>
      </c>
      <c r="M433" s="28">
        <v>47</v>
      </c>
      <c r="N433" s="6">
        <v>4</v>
      </c>
      <c r="O433" s="30">
        <f t="shared" si="40"/>
        <v>752</v>
      </c>
      <c r="P433" s="30">
        <f t="shared" si="41"/>
        <v>188</v>
      </c>
      <c r="Q433" s="1">
        <f>COUNTIFS($P:$P, "&gt;" &amp; $P433) + 1</f>
        <v>4348</v>
      </c>
      <c r="R433" s="63">
        <f>(COUNTIFS($P:$P, "&gt;" &amp; $P433) + 1) / (COUNTA($I:$I) - 1)</f>
        <v>0.86960000000000004</v>
      </c>
      <c r="S433" s="23">
        <f>SUMIFS($P:$P, $Q:$Q, "&lt;" &amp; $Q433)</f>
        <v>186517200</v>
      </c>
    </row>
    <row r="434" spans="1:19" x14ac:dyDescent="0.25">
      <c r="A434" s="1">
        <v>429</v>
      </c>
      <c r="B434" s="1" t="s">
        <v>2</v>
      </c>
      <c r="C434" s="1" t="str">
        <f>IF($B434 = "Production Item", _xlfn.XLOOKUP($A434, 'Instrument Table'!$J:$J, 'Instrument Table'!$B:$B, $C433), IF($B434 = "Service Item", _xlfn.XLOOKUP($A434, 'Instrument Table'!$I:$I, 'Instrument Table'!$B:$B, $C433), _xlfn.XLOOKUP($A434, 'Instrument Table'!$H:$H, 'Instrument Table'!$B:$B, $C433)))</f>
        <v>Grand Piano</v>
      </c>
      <c r="D434" s="1" t="str">
        <f>VLOOKUP($C434, 'Instrument Table'!$B:$C, 2, FALSE)</f>
        <v>Pianos</v>
      </c>
      <c r="E434" s="1">
        <f t="shared" si="36"/>
        <v>1</v>
      </c>
      <c r="F434" s="1">
        <f>_xlfn.XLOOKUP($C434, 'Instrument Table'!$B:$B, 'Instrument Table'!$A:$A, "")</f>
        <v>10</v>
      </c>
      <c r="G434" s="1" t="str">
        <f>TEXT(IF($B434 = "Retail Item", IF((ROW($A434) - 4504 - _xlfn.XMATCH($C434, $C$4506:$C$5005, 0, 1)) &lt;= VLOOKUP($C434, 'Instrument Table'!$B:$D, 3, FALSE), ROW($A434) - 4504 - _xlfn.XMATCH($C434, $C$4506:$C$5005, 0, 1), 0), 0), "00")</f>
        <v>00</v>
      </c>
      <c r="H434" s="1" t="str">
        <f t="shared" si="37"/>
        <v>428</v>
      </c>
      <c r="I434" s="1" t="str">
        <f t="shared" si="38"/>
        <v>11000-428</v>
      </c>
      <c r="J434" s="1" t="str">
        <f t="shared" si="39"/>
        <v>Grand piano production item #428</v>
      </c>
      <c r="K434" s="1" t="str">
        <f>IF(SUM(COUNTIFS(I:I, I434)) &gt; 1, "DUPLICATE", "UNIQUE")</f>
        <v>UNIQUE</v>
      </c>
      <c r="L434" s="18">
        <v>1</v>
      </c>
      <c r="M434" s="28">
        <v>55</v>
      </c>
      <c r="N434" s="6">
        <v>400</v>
      </c>
      <c r="O434" s="30">
        <f t="shared" si="40"/>
        <v>55</v>
      </c>
      <c r="P434" s="30">
        <f t="shared" si="41"/>
        <v>22000</v>
      </c>
      <c r="Q434" s="1">
        <f>COUNTIFS($P:$P, "&gt;" &amp; $P434) + 1</f>
        <v>958</v>
      </c>
      <c r="R434" s="63">
        <f>(COUNTIFS($P:$P, "&gt;" &amp; $P434) + 1) / (COUNTA($I:$I) - 1)</f>
        <v>0.19159999999999999</v>
      </c>
      <c r="S434" s="23">
        <f>SUMIFS($P:$P, $Q:$Q, "&lt;" &amp; $Q434)</f>
        <v>165585692</v>
      </c>
    </row>
    <row r="435" spans="1:19" x14ac:dyDescent="0.25">
      <c r="A435" s="1">
        <v>430</v>
      </c>
      <c r="B435" s="1" t="s">
        <v>2</v>
      </c>
      <c r="C435" s="1" t="str">
        <f>IF($B435 = "Production Item", _xlfn.XLOOKUP($A435, 'Instrument Table'!$J:$J, 'Instrument Table'!$B:$B, $C434), IF($B435 = "Service Item", _xlfn.XLOOKUP($A435, 'Instrument Table'!$I:$I, 'Instrument Table'!$B:$B, $C434), _xlfn.XLOOKUP($A435, 'Instrument Table'!$H:$H, 'Instrument Table'!$B:$B, $C434)))</f>
        <v>Grand Piano</v>
      </c>
      <c r="D435" s="1" t="str">
        <f>VLOOKUP($C435, 'Instrument Table'!$B:$C, 2, FALSE)</f>
        <v>Pianos</v>
      </c>
      <c r="E435" s="1">
        <f t="shared" si="36"/>
        <v>1</v>
      </c>
      <c r="F435" s="1">
        <f>_xlfn.XLOOKUP($C435, 'Instrument Table'!$B:$B, 'Instrument Table'!$A:$A, "")</f>
        <v>10</v>
      </c>
      <c r="G435" s="1" t="str">
        <f>TEXT(IF($B435 = "Retail Item", IF((ROW($A435) - 4504 - _xlfn.XMATCH($C435, $C$4506:$C$5005, 0, 1)) &lt;= VLOOKUP($C435, 'Instrument Table'!$B:$D, 3, FALSE), ROW($A435) - 4504 - _xlfn.XMATCH($C435, $C$4506:$C$5005, 0, 1), 0), 0), "00")</f>
        <v>00</v>
      </c>
      <c r="H435" s="1" t="str">
        <f t="shared" si="37"/>
        <v>429</v>
      </c>
      <c r="I435" s="1" t="str">
        <f t="shared" si="38"/>
        <v>11000-429</v>
      </c>
      <c r="J435" s="1" t="str">
        <f t="shared" si="39"/>
        <v>Grand piano production item #429</v>
      </c>
      <c r="K435" s="1" t="str">
        <f>IF(SUM(COUNTIFS(I:I, I435)) &gt; 1, "DUPLICATE", "UNIQUE")</f>
        <v>UNIQUE</v>
      </c>
      <c r="L435" s="18">
        <v>2</v>
      </c>
      <c r="M435" s="28">
        <v>67</v>
      </c>
      <c r="N435" s="6">
        <v>25</v>
      </c>
      <c r="O435" s="30">
        <f t="shared" si="40"/>
        <v>134</v>
      </c>
      <c r="P435" s="30">
        <f t="shared" si="41"/>
        <v>1675</v>
      </c>
      <c r="Q435" s="1">
        <f>COUNTIFS($P:$P, "&gt;" &amp; $P435) + 1</f>
        <v>3378</v>
      </c>
      <c r="R435" s="63">
        <f>(COUNTIFS($P:$P, "&gt;" &amp; $P435) + 1) / (COUNTA($I:$I) - 1)</f>
        <v>0.67559999999999998</v>
      </c>
      <c r="S435" s="23">
        <f>SUMIFS($P:$P, $Q:$Q, "&lt;" &amp; $Q435)</f>
        <v>185748834</v>
      </c>
    </row>
    <row r="436" spans="1:19" x14ac:dyDescent="0.25">
      <c r="A436" s="1">
        <v>431</v>
      </c>
      <c r="B436" s="1" t="s">
        <v>2</v>
      </c>
      <c r="C436" s="1" t="str">
        <f>IF($B436 = "Production Item", _xlfn.XLOOKUP($A436, 'Instrument Table'!$J:$J, 'Instrument Table'!$B:$B, $C435), IF($B436 = "Service Item", _xlfn.XLOOKUP($A436, 'Instrument Table'!$I:$I, 'Instrument Table'!$B:$B, $C435), _xlfn.XLOOKUP($A436, 'Instrument Table'!$H:$H, 'Instrument Table'!$B:$B, $C435)))</f>
        <v>Grand Piano</v>
      </c>
      <c r="D436" s="1" t="str">
        <f>VLOOKUP($C436, 'Instrument Table'!$B:$C, 2, FALSE)</f>
        <v>Pianos</v>
      </c>
      <c r="E436" s="1">
        <f t="shared" si="36"/>
        <v>1</v>
      </c>
      <c r="F436" s="1">
        <f>_xlfn.XLOOKUP($C436, 'Instrument Table'!$B:$B, 'Instrument Table'!$A:$A, "")</f>
        <v>10</v>
      </c>
      <c r="G436" s="1" t="str">
        <f>TEXT(IF($B436 = "Retail Item", IF((ROW($A436) - 4504 - _xlfn.XMATCH($C436, $C$4506:$C$5005, 0, 1)) &lt;= VLOOKUP($C436, 'Instrument Table'!$B:$D, 3, FALSE), ROW($A436) - 4504 - _xlfn.XMATCH($C436, $C$4506:$C$5005, 0, 1), 0), 0), "00")</f>
        <v>00</v>
      </c>
      <c r="H436" s="1" t="str">
        <f t="shared" si="37"/>
        <v>430</v>
      </c>
      <c r="I436" s="1" t="str">
        <f t="shared" si="38"/>
        <v>11000-430</v>
      </c>
      <c r="J436" s="1" t="str">
        <f t="shared" si="39"/>
        <v>Grand piano production item #430</v>
      </c>
      <c r="K436" s="1" t="str">
        <f>IF(SUM(COUNTIFS(I:I, I436)) &gt; 1, "DUPLICATE", "UNIQUE")</f>
        <v>UNIQUE</v>
      </c>
      <c r="L436" s="18">
        <v>1</v>
      </c>
      <c r="M436" s="28">
        <v>92</v>
      </c>
      <c r="N436" s="6">
        <v>0</v>
      </c>
      <c r="O436" s="30">
        <f t="shared" si="40"/>
        <v>92</v>
      </c>
      <c r="P436" s="30">
        <f t="shared" si="41"/>
        <v>0</v>
      </c>
      <c r="Q436" s="1">
        <f>COUNTIFS($P:$P, "&gt;" &amp; $P436) + 1</f>
        <v>4746</v>
      </c>
      <c r="R436" s="63">
        <f>(COUNTIFS($P:$P, "&gt;" &amp; $P436) + 1) / (COUNTA($I:$I) - 1)</f>
        <v>0.94920000000000004</v>
      </c>
      <c r="S436" s="23">
        <f>SUMIFS($P:$P, $Q:$Q, "&lt;" &amp; $Q436)</f>
        <v>186547861</v>
      </c>
    </row>
    <row r="437" spans="1:19" x14ac:dyDescent="0.25">
      <c r="A437" s="1">
        <v>432</v>
      </c>
      <c r="B437" s="1" t="s">
        <v>2</v>
      </c>
      <c r="C437" s="1" t="str">
        <f>IF($B437 = "Production Item", _xlfn.XLOOKUP($A437, 'Instrument Table'!$J:$J, 'Instrument Table'!$B:$B, $C436), IF($B437 = "Service Item", _xlfn.XLOOKUP($A437, 'Instrument Table'!$I:$I, 'Instrument Table'!$B:$B, $C436), _xlfn.XLOOKUP($A437, 'Instrument Table'!$H:$H, 'Instrument Table'!$B:$B, $C436)))</f>
        <v>Grand Piano</v>
      </c>
      <c r="D437" s="1" t="str">
        <f>VLOOKUP($C437, 'Instrument Table'!$B:$C, 2, FALSE)</f>
        <v>Pianos</v>
      </c>
      <c r="E437" s="1">
        <f t="shared" si="36"/>
        <v>1</v>
      </c>
      <c r="F437" s="1">
        <f>_xlfn.XLOOKUP($C437, 'Instrument Table'!$B:$B, 'Instrument Table'!$A:$A, "")</f>
        <v>10</v>
      </c>
      <c r="G437" s="1" t="str">
        <f>TEXT(IF($B437 = "Retail Item", IF((ROW($A437) - 4504 - _xlfn.XMATCH($C437, $C$4506:$C$5005, 0, 1)) &lt;= VLOOKUP($C437, 'Instrument Table'!$B:$D, 3, FALSE), ROW($A437) - 4504 - _xlfn.XMATCH($C437, $C$4506:$C$5005, 0, 1), 0), 0), "00")</f>
        <v>00</v>
      </c>
      <c r="H437" s="1" t="str">
        <f t="shared" si="37"/>
        <v>431</v>
      </c>
      <c r="I437" s="1" t="str">
        <f t="shared" si="38"/>
        <v>11000-431</v>
      </c>
      <c r="J437" s="1" t="str">
        <f t="shared" si="39"/>
        <v>Grand piano production item #431</v>
      </c>
      <c r="K437" s="1" t="str">
        <f>IF(SUM(COUNTIFS(I:I, I437)) &gt; 1, "DUPLICATE", "UNIQUE")</f>
        <v>UNIQUE</v>
      </c>
      <c r="L437" s="18">
        <v>1</v>
      </c>
      <c r="M437" s="28">
        <v>58</v>
      </c>
      <c r="N437" s="6">
        <v>144</v>
      </c>
      <c r="O437" s="30">
        <f t="shared" si="40"/>
        <v>58</v>
      </c>
      <c r="P437" s="30">
        <f t="shared" si="41"/>
        <v>8352</v>
      </c>
      <c r="Q437" s="1">
        <f>COUNTIFS($P:$P, "&gt;" &amp; $P437) + 1</f>
        <v>1947</v>
      </c>
      <c r="R437" s="63">
        <f>(COUNTIFS($P:$P, "&gt;" &amp; $P437) + 1) / (COUNTA($I:$I) - 1)</f>
        <v>0.38940000000000002</v>
      </c>
      <c r="S437" s="23">
        <f>SUMIFS($P:$P, $Q:$Q, "&lt;" &amp; $Q437)</f>
        <v>179566264</v>
      </c>
    </row>
    <row r="438" spans="1:19" x14ac:dyDescent="0.25">
      <c r="A438" s="1">
        <v>433</v>
      </c>
      <c r="B438" s="1" t="s">
        <v>2</v>
      </c>
      <c r="C438" s="1" t="str">
        <f>IF($B438 = "Production Item", _xlfn.XLOOKUP($A438, 'Instrument Table'!$J:$J, 'Instrument Table'!$B:$B, $C437), IF($B438 = "Service Item", _xlfn.XLOOKUP($A438, 'Instrument Table'!$I:$I, 'Instrument Table'!$B:$B, $C437), _xlfn.XLOOKUP($A438, 'Instrument Table'!$H:$H, 'Instrument Table'!$B:$B, $C437)))</f>
        <v>Grand Piano</v>
      </c>
      <c r="D438" s="1" t="str">
        <f>VLOOKUP($C438, 'Instrument Table'!$B:$C, 2, FALSE)</f>
        <v>Pianos</v>
      </c>
      <c r="E438" s="1">
        <f t="shared" si="36"/>
        <v>1</v>
      </c>
      <c r="F438" s="1">
        <f>_xlfn.XLOOKUP($C438, 'Instrument Table'!$B:$B, 'Instrument Table'!$A:$A, "")</f>
        <v>10</v>
      </c>
      <c r="G438" s="1" t="str">
        <f>TEXT(IF($B438 = "Retail Item", IF((ROW($A438) - 4504 - _xlfn.XMATCH($C438, $C$4506:$C$5005, 0, 1)) &lt;= VLOOKUP($C438, 'Instrument Table'!$B:$D, 3, FALSE), ROW($A438) - 4504 - _xlfn.XMATCH($C438, $C$4506:$C$5005, 0, 1), 0), 0), "00")</f>
        <v>00</v>
      </c>
      <c r="H438" s="1" t="str">
        <f t="shared" si="37"/>
        <v>432</v>
      </c>
      <c r="I438" s="1" t="str">
        <f t="shared" si="38"/>
        <v>11000-432</v>
      </c>
      <c r="J438" s="1" t="str">
        <f t="shared" si="39"/>
        <v>Grand piano production item #432</v>
      </c>
      <c r="K438" s="1" t="str">
        <f>IF(SUM(COUNTIFS(I:I, I438)) &gt; 1, "DUPLICATE", "UNIQUE")</f>
        <v>UNIQUE</v>
      </c>
      <c r="L438" s="18">
        <v>2</v>
      </c>
      <c r="M438" s="28">
        <v>65</v>
      </c>
      <c r="N438" s="6">
        <v>4</v>
      </c>
      <c r="O438" s="30">
        <f t="shared" si="40"/>
        <v>130</v>
      </c>
      <c r="P438" s="30">
        <f t="shared" si="41"/>
        <v>260</v>
      </c>
      <c r="Q438" s="1">
        <f>COUNTIFS($P:$P, "&gt;" &amp; $P438) + 1</f>
        <v>4256</v>
      </c>
      <c r="R438" s="63">
        <f>(COUNTIFS($P:$P, "&gt;" &amp; $P438) + 1) / (COUNTA($I:$I) - 1)</f>
        <v>0.85119999999999996</v>
      </c>
      <c r="S438" s="23">
        <f>SUMIFS($P:$P, $Q:$Q, "&lt;" &amp; $Q438)</f>
        <v>186496671</v>
      </c>
    </row>
    <row r="439" spans="1:19" x14ac:dyDescent="0.25">
      <c r="A439" s="1">
        <v>434</v>
      </c>
      <c r="B439" s="1" t="s">
        <v>2</v>
      </c>
      <c r="C439" s="1" t="str">
        <f>IF($B439 = "Production Item", _xlfn.XLOOKUP($A439, 'Instrument Table'!$J:$J, 'Instrument Table'!$B:$B, $C438), IF($B439 = "Service Item", _xlfn.XLOOKUP($A439, 'Instrument Table'!$I:$I, 'Instrument Table'!$B:$B, $C438), _xlfn.XLOOKUP($A439, 'Instrument Table'!$H:$H, 'Instrument Table'!$B:$B, $C438)))</f>
        <v>Grand Piano</v>
      </c>
      <c r="D439" s="1" t="str">
        <f>VLOOKUP($C439, 'Instrument Table'!$B:$C, 2, FALSE)</f>
        <v>Pianos</v>
      </c>
      <c r="E439" s="1">
        <f t="shared" si="36"/>
        <v>1</v>
      </c>
      <c r="F439" s="1">
        <f>_xlfn.XLOOKUP($C439, 'Instrument Table'!$B:$B, 'Instrument Table'!$A:$A, "")</f>
        <v>10</v>
      </c>
      <c r="G439" s="1" t="str">
        <f>TEXT(IF($B439 = "Retail Item", IF((ROW($A439) - 4504 - _xlfn.XMATCH($C439, $C$4506:$C$5005, 0, 1)) &lt;= VLOOKUP($C439, 'Instrument Table'!$B:$D, 3, FALSE), ROW($A439) - 4504 - _xlfn.XMATCH($C439, $C$4506:$C$5005, 0, 1), 0), 0), "00")</f>
        <v>00</v>
      </c>
      <c r="H439" s="1" t="str">
        <f t="shared" si="37"/>
        <v>433</v>
      </c>
      <c r="I439" s="1" t="str">
        <f t="shared" si="38"/>
        <v>11000-433</v>
      </c>
      <c r="J439" s="1" t="str">
        <f t="shared" si="39"/>
        <v>Grand piano production item #433</v>
      </c>
      <c r="K439" s="1" t="str">
        <f>IF(SUM(COUNTIFS(I:I, I439)) &gt; 1, "DUPLICATE", "UNIQUE")</f>
        <v>UNIQUE</v>
      </c>
      <c r="L439" s="18">
        <v>2</v>
      </c>
      <c r="M439" s="28">
        <v>60</v>
      </c>
      <c r="N439" s="6">
        <v>0</v>
      </c>
      <c r="O439" s="30">
        <f t="shared" si="40"/>
        <v>120</v>
      </c>
      <c r="P439" s="30">
        <f t="shared" si="41"/>
        <v>0</v>
      </c>
      <c r="Q439" s="1">
        <f>COUNTIFS($P:$P, "&gt;" &amp; $P439) + 1</f>
        <v>4746</v>
      </c>
      <c r="R439" s="63">
        <f>(COUNTIFS($P:$P, "&gt;" &amp; $P439) + 1) / (COUNTA($I:$I) - 1)</f>
        <v>0.94920000000000004</v>
      </c>
      <c r="S439" s="23">
        <f>SUMIFS($P:$P, $Q:$Q, "&lt;" &amp; $Q439)</f>
        <v>186547861</v>
      </c>
    </row>
    <row r="440" spans="1:19" x14ac:dyDescent="0.25">
      <c r="A440" s="1">
        <v>435</v>
      </c>
      <c r="B440" s="1" t="s">
        <v>2</v>
      </c>
      <c r="C440" s="1" t="str">
        <f>IF($B440 = "Production Item", _xlfn.XLOOKUP($A440, 'Instrument Table'!$J:$J, 'Instrument Table'!$B:$B, $C439), IF($B440 = "Service Item", _xlfn.XLOOKUP($A440, 'Instrument Table'!$I:$I, 'Instrument Table'!$B:$B, $C439), _xlfn.XLOOKUP($A440, 'Instrument Table'!$H:$H, 'Instrument Table'!$B:$B, $C439)))</f>
        <v>Grand Piano</v>
      </c>
      <c r="D440" s="1" t="str">
        <f>VLOOKUP($C440, 'Instrument Table'!$B:$C, 2, FALSE)</f>
        <v>Pianos</v>
      </c>
      <c r="E440" s="1">
        <f t="shared" si="36"/>
        <v>1</v>
      </c>
      <c r="F440" s="1">
        <f>_xlfn.XLOOKUP($C440, 'Instrument Table'!$B:$B, 'Instrument Table'!$A:$A, "")</f>
        <v>10</v>
      </c>
      <c r="G440" s="1" t="str">
        <f>TEXT(IF($B440 = "Retail Item", IF((ROW($A440) - 4504 - _xlfn.XMATCH($C440, $C$4506:$C$5005, 0, 1)) &lt;= VLOOKUP($C440, 'Instrument Table'!$B:$D, 3, FALSE), ROW($A440) - 4504 - _xlfn.XMATCH($C440, $C$4506:$C$5005, 0, 1), 0), 0), "00")</f>
        <v>00</v>
      </c>
      <c r="H440" s="1" t="str">
        <f t="shared" si="37"/>
        <v>434</v>
      </c>
      <c r="I440" s="1" t="str">
        <f t="shared" si="38"/>
        <v>11000-434</v>
      </c>
      <c r="J440" s="1" t="str">
        <f t="shared" si="39"/>
        <v>Grand piano production item #434</v>
      </c>
      <c r="K440" s="1" t="str">
        <f>IF(SUM(COUNTIFS(I:I, I440)) &gt; 1, "DUPLICATE", "UNIQUE")</f>
        <v>UNIQUE</v>
      </c>
      <c r="L440" s="18">
        <v>0</v>
      </c>
      <c r="M440" s="28">
        <v>67</v>
      </c>
      <c r="N440" s="6">
        <v>0</v>
      </c>
      <c r="O440" s="30">
        <f t="shared" si="40"/>
        <v>0</v>
      </c>
      <c r="P440" s="30">
        <f t="shared" si="41"/>
        <v>0</v>
      </c>
      <c r="Q440" s="1">
        <f>COUNTIFS($P:$P, "&gt;" &amp; $P440) + 1</f>
        <v>4746</v>
      </c>
      <c r="R440" s="63">
        <f>(COUNTIFS($P:$P, "&gt;" &amp; $P440) + 1) / (COUNTA($I:$I) - 1)</f>
        <v>0.94920000000000004</v>
      </c>
      <c r="S440" s="23">
        <f>SUMIFS($P:$P, $Q:$Q, "&lt;" &amp; $Q440)</f>
        <v>186547861</v>
      </c>
    </row>
    <row r="441" spans="1:19" x14ac:dyDescent="0.25">
      <c r="A441" s="1">
        <v>436</v>
      </c>
      <c r="B441" s="1" t="s">
        <v>2</v>
      </c>
      <c r="C441" s="1" t="str">
        <f>IF($B441 = "Production Item", _xlfn.XLOOKUP($A441, 'Instrument Table'!$J:$J, 'Instrument Table'!$B:$B, $C440), IF($B441 = "Service Item", _xlfn.XLOOKUP($A441, 'Instrument Table'!$I:$I, 'Instrument Table'!$B:$B, $C440), _xlfn.XLOOKUP($A441, 'Instrument Table'!$H:$H, 'Instrument Table'!$B:$B, $C440)))</f>
        <v>Grand Piano</v>
      </c>
      <c r="D441" s="1" t="str">
        <f>VLOOKUP($C441, 'Instrument Table'!$B:$C, 2, FALSE)</f>
        <v>Pianos</v>
      </c>
      <c r="E441" s="1">
        <f t="shared" si="36"/>
        <v>1</v>
      </c>
      <c r="F441" s="1">
        <f>_xlfn.XLOOKUP($C441, 'Instrument Table'!$B:$B, 'Instrument Table'!$A:$A, "")</f>
        <v>10</v>
      </c>
      <c r="G441" s="1" t="str">
        <f>TEXT(IF($B441 = "Retail Item", IF((ROW($A441) - 4504 - _xlfn.XMATCH($C441, $C$4506:$C$5005, 0, 1)) &lt;= VLOOKUP($C441, 'Instrument Table'!$B:$D, 3, FALSE), ROW($A441) - 4504 - _xlfn.XMATCH($C441, $C$4506:$C$5005, 0, 1), 0), 0), "00")</f>
        <v>00</v>
      </c>
      <c r="H441" s="1" t="str">
        <f t="shared" si="37"/>
        <v>435</v>
      </c>
      <c r="I441" s="1" t="str">
        <f t="shared" si="38"/>
        <v>11000-435</v>
      </c>
      <c r="J441" s="1" t="str">
        <f t="shared" si="39"/>
        <v>Grand piano production item #435</v>
      </c>
      <c r="K441" s="1" t="str">
        <f>IF(SUM(COUNTIFS(I:I, I441)) &gt; 1, "DUPLICATE", "UNIQUE")</f>
        <v>UNIQUE</v>
      </c>
      <c r="L441" s="18">
        <v>1</v>
      </c>
      <c r="M441" s="28">
        <v>63</v>
      </c>
      <c r="N441" s="6">
        <v>9</v>
      </c>
      <c r="O441" s="30">
        <f t="shared" si="40"/>
        <v>63</v>
      </c>
      <c r="P441" s="30">
        <f t="shared" si="41"/>
        <v>567</v>
      </c>
      <c r="Q441" s="1">
        <f>COUNTIFS($P:$P, "&gt;" &amp; $P441) + 1</f>
        <v>3972</v>
      </c>
      <c r="R441" s="63">
        <f>(COUNTIFS($P:$P, "&gt;" &amp; $P441) + 1) / (COUNTA($I:$I) - 1)</f>
        <v>0.7944</v>
      </c>
      <c r="S441" s="23">
        <f>SUMIFS($P:$P, $Q:$Q, "&lt;" &amp; $Q441)</f>
        <v>186383007</v>
      </c>
    </row>
    <row r="442" spans="1:19" x14ac:dyDescent="0.25">
      <c r="A442" s="1">
        <v>437</v>
      </c>
      <c r="B442" s="1" t="s">
        <v>2</v>
      </c>
      <c r="C442" s="1" t="str">
        <f>IF($B442 = "Production Item", _xlfn.XLOOKUP($A442, 'Instrument Table'!$J:$J, 'Instrument Table'!$B:$B, $C441), IF($B442 = "Service Item", _xlfn.XLOOKUP($A442, 'Instrument Table'!$I:$I, 'Instrument Table'!$B:$B, $C441), _xlfn.XLOOKUP($A442, 'Instrument Table'!$H:$H, 'Instrument Table'!$B:$B, $C441)))</f>
        <v>Grand Piano</v>
      </c>
      <c r="D442" s="1" t="str">
        <f>VLOOKUP($C442, 'Instrument Table'!$B:$C, 2, FALSE)</f>
        <v>Pianos</v>
      </c>
      <c r="E442" s="1">
        <f t="shared" si="36"/>
        <v>1</v>
      </c>
      <c r="F442" s="1">
        <f>_xlfn.XLOOKUP($C442, 'Instrument Table'!$B:$B, 'Instrument Table'!$A:$A, "")</f>
        <v>10</v>
      </c>
      <c r="G442" s="1" t="str">
        <f>TEXT(IF($B442 = "Retail Item", IF((ROW($A442) - 4504 - _xlfn.XMATCH($C442, $C$4506:$C$5005, 0, 1)) &lt;= VLOOKUP($C442, 'Instrument Table'!$B:$D, 3, FALSE), ROW($A442) - 4504 - _xlfn.XMATCH($C442, $C$4506:$C$5005, 0, 1), 0), 0), "00")</f>
        <v>00</v>
      </c>
      <c r="H442" s="1" t="str">
        <f t="shared" si="37"/>
        <v>436</v>
      </c>
      <c r="I442" s="1" t="str">
        <f t="shared" si="38"/>
        <v>11000-436</v>
      </c>
      <c r="J442" s="1" t="str">
        <f t="shared" si="39"/>
        <v>Grand piano production item #436</v>
      </c>
      <c r="K442" s="1" t="str">
        <f>IF(SUM(COUNTIFS(I:I, I442)) &gt; 1, "DUPLICATE", "UNIQUE")</f>
        <v>UNIQUE</v>
      </c>
      <c r="L442" s="18">
        <v>0</v>
      </c>
      <c r="M442" s="28">
        <v>38</v>
      </c>
      <c r="N442" s="6">
        <v>1</v>
      </c>
      <c r="O442" s="30">
        <f t="shared" si="40"/>
        <v>0</v>
      </c>
      <c r="P442" s="30">
        <f t="shared" si="41"/>
        <v>38</v>
      </c>
      <c r="Q442" s="1">
        <f>COUNTIFS($P:$P, "&gt;" &amp; $P442) + 1</f>
        <v>4645</v>
      </c>
      <c r="R442" s="63">
        <f>(COUNTIFS($P:$P, "&gt;" &amp; $P442) + 1) / (COUNTA($I:$I) - 1)</f>
        <v>0.92900000000000005</v>
      </c>
      <c r="S442" s="23">
        <f>SUMIFS($P:$P, $Q:$Q, "&lt;" &amp; $Q442)</f>
        <v>186545836</v>
      </c>
    </row>
    <row r="443" spans="1:19" x14ac:dyDescent="0.25">
      <c r="A443" s="1">
        <v>438</v>
      </c>
      <c r="B443" s="1" t="s">
        <v>2</v>
      </c>
      <c r="C443" s="1" t="str">
        <f>IF($B443 = "Production Item", _xlfn.XLOOKUP($A443, 'Instrument Table'!$J:$J, 'Instrument Table'!$B:$B, $C442), IF($B443 = "Service Item", _xlfn.XLOOKUP($A443, 'Instrument Table'!$I:$I, 'Instrument Table'!$B:$B, $C442), _xlfn.XLOOKUP($A443, 'Instrument Table'!$H:$H, 'Instrument Table'!$B:$B, $C442)))</f>
        <v>Grand Piano</v>
      </c>
      <c r="D443" s="1" t="str">
        <f>VLOOKUP($C443, 'Instrument Table'!$B:$C, 2, FALSE)</f>
        <v>Pianos</v>
      </c>
      <c r="E443" s="1">
        <f t="shared" si="36"/>
        <v>1</v>
      </c>
      <c r="F443" s="1">
        <f>_xlfn.XLOOKUP($C443, 'Instrument Table'!$B:$B, 'Instrument Table'!$A:$A, "")</f>
        <v>10</v>
      </c>
      <c r="G443" s="1" t="str">
        <f>TEXT(IF($B443 = "Retail Item", IF((ROW($A443) - 4504 - _xlfn.XMATCH($C443, $C$4506:$C$5005, 0, 1)) &lt;= VLOOKUP($C443, 'Instrument Table'!$B:$D, 3, FALSE), ROW($A443) - 4504 - _xlfn.XMATCH($C443, $C$4506:$C$5005, 0, 1), 0), 0), "00")</f>
        <v>00</v>
      </c>
      <c r="H443" s="1" t="str">
        <f t="shared" si="37"/>
        <v>437</v>
      </c>
      <c r="I443" s="1" t="str">
        <f t="shared" si="38"/>
        <v>11000-437</v>
      </c>
      <c r="J443" s="1" t="str">
        <f t="shared" si="39"/>
        <v>Grand piano production item #437</v>
      </c>
      <c r="K443" s="1" t="str">
        <f>IF(SUM(COUNTIFS(I:I, I443)) &gt; 1, "DUPLICATE", "UNIQUE")</f>
        <v>UNIQUE</v>
      </c>
      <c r="L443" s="18">
        <v>8</v>
      </c>
      <c r="M443" s="28">
        <v>86</v>
      </c>
      <c r="N443" s="6">
        <v>4</v>
      </c>
      <c r="O443" s="30">
        <f t="shared" si="40"/>
        <v>688</v>
      </c>
      <c r="P443" s="30">
        <f t="shared" si="41"/>
        <v>344</v>
      </c>
      <c r="Q443" s="1">
        <f>COUNTIFS($P:$P, "&gt;" &amp; $P443) + 1</f>
        <v>4159</v>
      </c>
      <c r="R443" s="63">
        <f>(COUNTIFS($P:$P, "&gt;" &amp; $P443) + 1) / (COUNTA($I:$I) - 1)</f>
        <v>0.83179999999999998</v>
      </c>
      <c r="S443" s="23">
        <f>SUMIFS($P:$P, $Q:$Q, "&lt;" &amp; $Q443)</f>
        <v>186466883</v>
      </c>
    </row>
    <row r="444" spans="1:19" x14ac:dyDescent="0.25">
      <c r="A444" s="1">
        <v>439</v>
      </c>
      <c r="B444" s="1" t="s">
        <v>2</v>
      </c>
      <c r="C444" s="1" t="str">
        <f>IF($B444 = "Production Item", _xlfn.XLOOKUP($A444, 'Instrument Table'!$J:$J, 'Instrument Table'!$B:$B, $C443), IF($B444 = "Service Item", _xlfn.XLOOKUP($A444, 'Instrument Table'!$I:$I, 'Instrument Table'!$B:$B, $C443), _xlfn.XLOOKUP($A444, 'Instrument Table'!$H:$H, 'Instrument Table'!$B:$B, $C443)))</f>
        <v>Grand Piano</v>
      </c>
      <c r="D444" s="1" t="str">
        <f>VLOOKUP($C444, 'Instrument Table'!$B:$C, 2, FALSE)</f>
        <v>Pianos</v>
      </c>
      <c r="E444" s="1">
        <f t="shared" si="36"/>
        <v>1</v>
      </c>
      <c r="F444" s="1">
        <f>_xlfn.XLOOKUP($C444, 'Instrument Table'!$B:$B, 'Instrument Table'!$A:$A, "")</f>
        <v>10</v>
      </c>
      <c r="G444" s="1" t="str">
        <f>TEXT(IF($B444 = "Retail Item", IF((ROW($A444) - 4504 - _xlfn.XMATCH($C444, $C$4506:$C$5005, 0, 1)) &lt;= VLOOKUP($C444, 'Instrument Table'!$B:$D, 3, FALSE), ROW($A444) - 4504 - _xlfn.XMATCH($C444, $C$4506:$C$5005, 0, 1), 0), 0), "00")</f>
        <v>00</v>
      </c>
      <c r="H444" s="1" t="str">
        <f t="shared" si="37"/>
        <v>438</v>
      </c>
      <c r="I444" s="1" t="str">
        <f t="shared" si="38"/>
        <v>11000-438</v>
      </c>
      <c r="J444" s="1" t="str">
        <f t="shared" si="39"/>
        <v>Grand piano production item #438</v>
      </c>
      <c r="K444" s="1" t="str">
        <f>IF(SUM(COUNTIFS(I:I, I444)) &gt; 1, "DUPLICATE", "UNIQUE")</f>
        <v>UNIQUE</v>
      </c>
      <c r="L444" s="18">
        <v>4</v>
      </c>
      <c r="M444" s="28">
        <v>13</v>
      </c>
      <c r="N444" s="6">
        <v>289</v>
      </c>
      <c r="O444" s="30">
        <f t="shared" si="40"/>
        <v>52</v>
      </c>
      <c r="P444" s="30">
        <f t="shared" si="41"/>
        <v>3757</v>
      </c>
      <c r="Q444" s="1">
        <f>COUNTIFS($P:$P, "&gt;" &amp; $P444) + 1</f>
        <v>2704</v>
      </c>
      <c r="R444" s="63">
        <f>(COUNTIFS($P:$P, "&gt;" &amp; $P444) + 1) / (COUNTA($I:$I) - 1)</f>
        <v>0.54079999999999995</v>
      </c>
      <c r="S444" s="23">
        <f>SUMIFS($P:$P, $Q:$Q, "&lt;" &amp; $Q444)</f>
        <v>183981858</v>
      </c>
    </row>
    <row r="445" spans="1:19" x14ac:dyDescent="0.25">
      <c r="A445" s="1">
        <v>440</v>
      </c>
      <c r="B445" s="1" t="s">
        <v>2</v>
      </c>
      <c r="C445" s="1" t="str">
        <f>IF($B445 = "Production Item", _xlfn.XLOOKUP($A445, 'Instrument Table'!$J:$J, 'Instrument Table'!$B:$B, $C444), IF($B445 = "Service Item", _xlfn.XLOOKUP($A445, 'Instrument Table'!$I:$I, 'Instrument Table'!$B:$B, $C444), _xlfn.XLOOKUP($A445, 'Instrument Table'!$H:$H, 'Instrument Table'!$B:$B, $C444)))</f>
        <v>Grand Piano</v>
      </c>
      <c r="D445" s="1" t="str">
        <f>VLOOKUP($C445, 'Instrument Table'!$B:$C, 2, FALSE)</f>
        <v>Pianos</v>
      </c>
      <c r="E445" s="1">
        <f t="shared" si="36"/>
        <v>1</v>
      </c>
      <c r="F445" s="1">
        <f>_xlfn.XLOOKUP($C445, 'Instrument Table'!$B:$B, 'Instrument Table'!$A:$A, "")</f>
        <v>10</v>
      </c>
      <c r="G445" s="1" t="str">
        <f>TEXT(IF($B445 = "Retail Item", IF((ROW($A445) - 4504 - _xlfn.XMATCH($C445, $C$4506:$C$5005, 0, 1)) &lt;= VLOOKUP($C445, 'Instrument Table'!$B:$D, 3, FALSE), ROW($A445) - 4504 - _xlfn.XMATCH($C445, $C$4506:$C$5005, 0, 1), 0), 0), "00")</f>
        <v>00</v>
      </c>
      <c r="H445" s="1" t="str">
        <f t="shared" si="37"/>
        <v>439</v>
      </c>
      <c r="I445" s="1" t="str">
        <f t="shared" si="38"/>
        <v>11000-439</v>
      </c>
      <c r="J445" s="1" t="str">
        <f t="shared" si="39"/>
        <v>Grand piano production item #439</v>
      </c>
      <c r="K445" s="1" t="str">
        <f>IF(SUM(COUNTIFS(I:I, I445)) &gt; 1, "DUPLICATE", "UNIQUE")</f>
        <v>UNIQUE</v>
      </c>
      <c r="L445" s="18">
        <v>0</v>
      </c>
      <c r="M445" s="28">
        <v>76</v>
      </c>
      <c r="N445" s="6">
        <v>196</v>
      </c>
      <c r="O445" s="30">
        <f t="shared" si="40"/>
        <v>0</v>
      </c>
      <c r="P445" s="30">
        <f t="shared" si="41"/>
        <v>14896</v>
      </c>
      <c r="Q445" s="1">
        <f>COUNTIFS($P:$P, "&gt;" &amp; $P445) + 1</f>
        <v>1357</v>
      </c>
      <c r="R445" s="63">
        <f>(COUNTIFS($P:$P, "&gt;" &amp; $P445) + 1) / (COUNTA($I:$I) - 1)</f>
        <v>0.27139999999999997</v>
      </c>
      <c r="S445" s="23">
        <f>SUMIFS($P:$P, $Q:$Q, "&lt;" &amp; $Q445)</f>
        <v>172847670</v>
      </c>
    </row>
    <row r="446" spans="1:19" x14ac:dyDescent="0.25">
      <c r="A446" s="1">
        <v>441</v>
      </c>
      <c r="B446" s="1" t="s">
        <v>2</v>
      </c>
      <c r="C446" s="1" t="str">
        <f>IF($B446 = "Production Item", _xlfn.XLOOKUP($A446, 'Instrument Table'!$J:$J, 'Instrument Table'!$B:$B, $C445), IF($B446 = "Service Item", _xlfn.XLOOKUP($A446, 'Instrument Table'!$I:$I, 'Instrument Table'!$B:$B, $C445), _xlfn.XLOOKUP($A446, 'Instrument Table'!$H:$H, 'Instrument Table'!$B:$B, $C445)))</f>
        <v>Grand Piano</v>
      </c>
      <c r="D446" s="1" t="str">
        <f>VLOOKUP($C446, 'Instrument Table'!$B:$C, 2, FALSE)</f>
        <v>Pianos</v>
      </c>
      <c r="E446" s="1">
        <f t="shared" si="36"/>
        <v>1</v>
      </c>
      <c r="F446" s="1">
        <f>_xlfn.XLOOKUP($C446, 'Instrument Table'!$B:$B, 'Instrument Table'!$A:$A, "")</f>
        <v>10</v>
      </c>
      <c r="G446" s="1" t="str">
        <f>TEXT(IF($B446 = "Retail Item", IF((ROW($A446) - 4504 - _xlfn.XMATCH($C446, $C$4506:$C$5005, 0, 1)) &lt;= VLOOKUP($C446, 'Instrument Table'!$B:$D, 3, FALSE), ROW($A446) - 4504 - _xlfn.XMATCH($C446, $C$4506:$C$5005, 0, 1), 0), 0), "00")</f>
        <v>00</v>
      </c>
      <c r="H446" s="1" t="str">
        <f t="shared" si="37"/>
        <v>440</v>
      </c>
      <c r="I446" s="1" t="str">
        <f t="shared" si="38"/>
        <v>11000-440</v>
      </c>
      <c r="J446" s="1" t="str">
        <f t="shared" si="39"/>
        <v>Grand piano production item #440</v>
      </c>
      <c r="K446" s="1" t="str">
        <f>IF(SUM(COUNTIFS(I:I, I446)) &gt; 1, "DUPLICATE", "UNIQUE")</f>
        <v>UNIQUE</v>
      </c>
      <c r="L446" s="18">
        <v>8</v>
      </c>
      <c r="M446" s="28">
        <v>74</v>
      </c>
      <c r="N446" s="6">
        <v>256</v>
      </c>
      <c r="O446" s="30">
        <f t="shared" si="40"/>
        <v>592</v>
      </c>
      <c r="P446" s="30">
        <f t="shared" si="41"/>
        <v>18944</v>
      </c>
      <c r="Q446" s="1">
        <f>COUNTIFS($P:$P, "&gt;" &amp; $P446) + 1</f>
        <v>1105</v>
      </c>
      <c r="R446" s="63">
        <f>(COUNTIFS($P:$P, "&gt;" &amp; $P446) + 1) / (COUNTA($I:$I) - 1)</f>
        <v>0.221</v>
      </c>
      <c r="S446" s="23">
        <f>SUMIFS($P:$P, $Q:$Q, "&lt;" &amp; $Q446)</f>
        <v>168599402</v>
      </c>
    </row>
    <row r="447" spans="1:19" x14ac:dyDescent="0.25">
      <c r="A447" s="1">
        <v>442</v>
      </c>
      <c r="B447" s="1" t="s">
        <v>2</v>
      </c>
      <c r="C447" s="1" t="str">
        <f>IF($B447 = "Production Item", _xlfn.XLOOKUP($A447, 'Instrument Table'!$J:$J, 'Instrument Table'!$B:$B, $C446), IF($B447 = "Service Item", _xlfn.XLOOKUP($A447, 'Instrument Table'!$I:$I, 'Instrument Table'!$B:$B, $C446), _xlfn.XLOOKUP($A447, 'Instrument Table'!$H:$H, 'Instrument Table'!$B:$B, $C446)))</f>
        <v>Grand Piano</v>
      </c>
      <c r="D447" s="1" t="str">
        <f>VLOOKUP($C447, 'Instrument Table'!$B:$C, 2, FALSE)</f>
        <v>Pianos</v>
      </c>
      <c r="E447" s="1">
        <f t="shared" si="36"/>
        <v>1</v>
      </c>
      <c r="F447" s="1">
        <f>_xlfn.XLOOKUP($C447, 'Instrument Table'!$B:$B, 'Instrument Table'!$A:$A, "")</f>
        <v>10</v>
      </c>
      <c r="G447" s="1" t="str">
        <f>TEXT(IF($B447 = "Retail Item", IF((ROW($A447) - 4504 - _xlfn.XMATCH($C447, $C$4506:$C$5005, 0, 1)) &lt;= VLOOKUP($C447, 'Instrument Table'!$B:$D, 3, FALSE), ROW($A447) - 4504 - _xlfn.XMATCH($C447, $C$4506:$C$5005, 0, 1), 0), 0), "00")</f>
        <v>00</v>
      </c>
      <c r="H447" s="1" t="str">
        <f t="shared" si="37"/>
        <v>441</v>
      </c>
      <c r="I447" s="1" t="str">
        <f t="shared" si="38"/>
        <v>11000-441</v>
      </c>
      <c r="J447" s="1" t="str">
        <f t="shared" si="39"/>
        <v>Grand piano production item #441</v>
      </c>
      <c r="K447" s="1" t="str">
        <f>IF(SUM(COUNTIFS(I:I, I447)) &gt; 1, "DUPLICATE", "UNIQUE")</f>
        <v>UNIQUE</v>
      </c>
      <c r="L447" s="18">
        <v>0</v>
      </c>
      <c r="M447" s="28">
        <v>54</v>
      </c>
      <c r="N447" s="6">
        <v>9</v>
      </c>
      <c r="O447" s="30">
        <f t="shared" si="40"/>
        <v>0</v>
      </c>
      <c r="P447" s="30">
        <f t="shared" si="41"/>
        <v>486</v>
      </c>
      <c r="Q447" s="1">
        <f>COUNTIFS($P:$P, "&gt;" &amp; $P447) + 1</f>
        <v>4039</v>
      </c>
      <c r="R447" s="63">
        <f>(COUNTIFS($P:$P, "&gt;" &amp; $P447) + 1) / (COUNTA($I:$I) - 1)</f>
        <v>0.80779999999999996</v>
      </c>
      <c r="S447" s="23">
        <f>SUMIFS($P:$P, $Q:$Q, "&lt;" &amp; $Q447)</f>
        <v>186418092</v>
      </c>
    </row>
    <row r="448" spans="1:19" x14ac:dyDescent="0.25">
      <c r="A448" s="1">
        <v>443</v>
      </c>
      <c r="B448" s="1" t="s">
        <v>2</v>
      </c>
      <c r="C448" s="1" t="str">
        <f>IF($B448 = "Production Item", _xlfn.XLOOKUP($A448, 'Instrument Table'!$J:$J, 'Instrument Table'!$B:$B, $C447), IF($B448 = "Service Item", _xlfn.XLOOKUP($A448, 'Instrument Table'!$I:$I, 'Instrument Table'!$B:$B, $C447), _xlfn.XLOOKUP($A448, 'Instrument Table'!$H:$H, 'Instrument Table'!$B:$B, $C447)))</f>
        <v>Grand Piano</v>
      </c>
      <c r="D448" s="1" t="str">
        <f>VLOOKUP($C448, 'Instrument Table'!$B:$C, 2, FALSE)</f>
        <v>Pianos</v>
      </c>
      <c r="E448" s="1">
        <f t="shared" si="36"/>
        <v>1</v>
      </c>
      <c r="F448" s="1">
        <f>_xlfn.XLOOKUP($C448, 'Instrument Table'!$B:$B, 'Instrument Table'!$A:$A, "")</f>
        <v>10</v>
      </c>
      <c r="G448" s="1" t="str">
        <f>TEXT(IF($B448 = "Retail Item", IF((ROW($A448) - 4504 - _xlfn.XMATCH($C448, $C$4506:$C$5005, 0, 1)) &lt;= VLOOKUP($C448, 'Instrument Table'!$B:$D, 3, FALSE), ROW($A448) - 4504 - _xlfn.XMATCH($C448, $C$4506:$C$5005, 0, 1), 0), 0), "00")</f>
        <v>00</v>
      </c>
      <c r="H448" s="1" t="str">
        <f t="shared" si="37"/>
        <v>442</v>
      </c>
      <c r="I448" s="1" t="str">
        <f t="shared" si="38"/>
        <v>11000-442</v>
      </c>
      <c r="J448" s="1" t="str">
        <f t="shared" si="39"/>
        <v>Grand piano production item #442</v>
      </c>
      <c r="K448" s="1" t="str">
        <f>IF(SUM(COUNTIFS(I:I, I448)) &gt; 1, "DUPLICATE", "UNIQUE")</f>
        <v>UNIQUE</v>
      </c>
      <c r="L448" s="18">
        <v>0</v>
      </c>
      <c r="M448" s="28">
        <v>29</v>
      </c>
      <c r="N448" s="6">
        <v>100</v>
      </c>
      <c r="O448" s="30">
        <f t="shared" si="40"/>
        <v>0</v>
      </c>
      <c r="P448" s="30">
        <f t="shared" si="41"/>
        <v>2900</v>
      </c>
      <c r="Q448" s="1">
        <f>COUNTIFS($P:$P, "&gt;" &amp; $P448) + 1</f>
        <v>2933</v>
      </c>
      <c r="R448" s="63">
        <f>(COUNTIFS($P:$P, "&gt;" &amp; $P448) + 1) / (COUNTA($I:$I) - 1)</f>
        <v>0.58660000000000001</v>
      </c>
      <c r="S448" s="23">
        <f>SUMIFS($P:$P, $Q:$Q, "&lt;" &amp; $Q448)</f>
        <v>184746065</v>
      </c>
    </row>
    <row r="449" spans="1:19" x14ac:dyDescent="0.25">
      <c r="A449" s="1">
        <v>444</v>
      </c>
      <c r="B449" s="1" t="s">
        <v>2</v>
      </c>
      <c r="C449" s="1" t="str">
        <f>IF($B449 = "Production Item", _xlfn.XLOOKUP($A449, 'Instrument Table'!$J:$J, 'Instrument Table'!$B:$B, $C448), IF($B449 = "Service Item", _xlfn.XLOOKUP($A449, 'Instrument Table'!$I:$I, 'Instrument Table'!$B:$B, $C448), _xlfn.XLOOKUP($A449, 'Instrument Table'!$H:$H, 'Instrument Table'!$B:$B, $C448)))</f>
        <v>Grand Piano</v>
      </c>
      <c r="D449" s="1" t="str">
        <f>VLOOKUP($C449, 'Instrument Table'!$B:$C, 2, FALSE)</f>
        <v>Pianos</v>
      </c>
      <c r="E449" s="1">
        <f t="shared" si="36"/>
        <v>1</v>
      </c>
      <c r="F449" s="1">
        <f>_xlfn.XLOOKUP($C449, 'Instrument Table'!$B:$B, 'Instrument Table'!$A:$A, "")</f>
        <v>10</v>
      </c>
      <c r="G449" s="1" t="str">
        <f>TEXT(IF($B449 = "Retail Item", IF((ROW($A449) - 4504 - _xlfn.XMATCH($C449, $C$4506:$C$5005, 0, 1)) &lt;= VLOOKUP($C449, 'Instrument Table'!$B:$D, 3, FALSE), ROW($A449) - 4504 - _xlfn.XMATCH($C449, $C$4506:$C$5005, 0, 1), 0), 0), "00")</f>
        <v>00</v>
      </c>
      <c r="H449" s="1" t="str">
        <f t="shared" si="37"/>
        <v>443</v>
      </c>
      <c r="I449" s="1" t="str">
        <f t="shared" si="38"/>
        <v>11000-443</v>
      </c>
      <c r="J449" s="1" t="str">
        <f t="shared" si="39"/>
        <v>Grand piano production item #443</v>
      </c>
      <c r="K449" s="1" t="str">
        <f>IF(SUM(COUNTIFS(I:I, I449)) &gt; 1, "DUPLICATE", "UNIQUE")</f>
        <v>UNIQUE</v>
      </c>
      <c r="L449" s="18">
        <v>4</v>
      </c>
      <c r="M449" s="28">
        <v>39</v>
      </c>
      <c r="N449" s="6">
        <v>0</v>
      </c>
      <c r="O449" s="30">
        <f t="shared" si="40"/>
        <v>156</v>
      </c>
      <c r="P449" s="30">
        <f t="shared" si="41"/>
        <v>0</v>
      </c>
      <c r="Q449" s="1">
        <f>COUNTIFS($P:$P, "&gt;" &amp; $P449) + 1</f>
        <v>4746</v>
      </c>
      <c r="R449" s="63">
        <f>(COUNTIFS($P:$P, "&gt;" &amp; $P449) + 1) / (COUNTA($I:$I) - 1)</f>
        <v>0.94920000000000004</v>
      </c>
      <c r="S449" s="23">
        <f>SUMIFS($P:$P, $Q:$Q, "&lt;" &amp; $Q449)</f>
        <v>186547861</v>
      </c>
    </row>
    <row r="450" spans="1:19" x14ac:dyDescent="0.25">
      <c r="A450" s="1">
        <v>445</v>
      </c>
      <c r="B450" s="1" t="s">
        <v>2</v>
      </c>
      <c r="C450" s="1" t="str">
        <f>IF($B450 = "Production Item", _xlfn.XLOOKUP($A450, 'Instrument Table'!$J:$J, 'Instrument Table'!$B:$B, $C449), IF($B450 = "Service Item", _xlfn.XLOOKUP($A450, 'Instrument Table'!$I:$I, 'Instrument Table'!$B:$B, $C449), _xlfn.XLOOKUP($A450, 'Instrument Table'!$H:$H, 'Instrument Table'!$B:$B, $C449)))</f>
        <v>Grand Piano</v>
      </c>
      <c r="D450" s="1" t="str">
        <f>VLOOKUP($C450, 'Instrument Table'!$B:$C, 2, FALSE)</f>
        <v>Pianos</v>
      </c>
      <c r="E450" s="1">
        <f t="shared" si="36"/>
        <v>1</v>
      </c>
      <c r="F450" s="1">
        <f>_xlfn.XLOOKUP($C450, 'Instrument Table'!$B:$B, 'Instrument Table'!$A:$A, "")</f>
        <v>10</v>
      </c>
      <c r="G450" s="1" t="str">
        <f>TEXT(IF($B450 = "Retail Item", IF((ROW($A450) - 4504 - _xlfn.XMATCH($C450, $C$4506:$C$5005, 0, 1)) &lt;= VLOOKUP($C450, 'Instrument Table'!$B:$D, 3, FALSE), ROW($A450) - 4504 - _xlfn.XMATCH($C450, $C$4506:$C$5005, 0, 1), 0), 0), "00")</f>
        <v>00</v>
      </c>
      <c r="H450" s="1" t="str">
        <f t="shared" si="37"/>
        <v>444</v>
      </c>
      <c r="I450" s="1" t="str">
        <f t="shared" si="38"/>
        <v>11000-444</v>
      </c>
      <c r="J450" s="1" t="str">
        <f t="shared" si="39"/>
        <v>Grand piano production item #444</v>
      </c>
      <c r="K450" s="1" t="str">
        <f>IF(SUM(COUNTIFS(I:I, I450)) &gt; 1, "DUPLICATE", "UNIQUE")</f>
        <v>UNIQUE</v>
      </c>
      <c r="L450" s="18">
        <v>1</v>
      </c>
      <c r="M450" s="28">
        <v>87</v>
      </c>
      <c r="N450" s="6">
        <v>400</v>
      </c>
      <c r="O450" s="30">
        <f t="shared" si="40"/>
        <v>87</v>
      </c>
      <c r="P450" s="30">
        <f t="shared" si="41"/>
        <v>34800</v>
      </c>
      <c r="Q450" s="1">
        <f>COUNTIFS($P:$P, "&gt;" &amp; $P450) + 1</f>
        <v>606</v>
      </c>
      <c r="R450" s="63">
        <f>(COUNTIFS($P:$P, "&gt;" &amp; $P450) + 1) / (COUNTA($I:$I) - 1)</f>
        <v>0.1212</v>
      </c>
      <c r="S450" s="23">
        <f>SUMIFS($P:$P, $Q:$Q, "&lt;" &amp; $Q450)</f>
        <v>156081020</v>
      </c>
    </row>
    <row r="451" spans="1:19" x14ac:dyDescent="0.25">
      <c r="A451" s="1">
        <v>446</v>
      </c>
      <c r="B451" s="1" t="s">
        <v>2</v>
      </c>
      <c r="C451" s="1" t="str">
        <f>IF($B451 = "Production Item", _xlfn.XLOOKUP($A451, 'Instrument Table'!$J:$J, 'Instrument Table'!$B:$B, $C450), IF($B451 = "Service Item", _xlfn.XLOOKUP($A451, 'Instrument Table'!$I:$I, 'Instrument Table'!$B:$B, $C450), _xlfn.XLOOKUP($A451, 'Instrument Table'!$H:$H, 'Instrument Table'!$B:$B, $C450)))</f>
        <v>Grand Piano</v>
      </c>
      <c r="D451" s="1" t="str">
        <f>VLOOKUP($C451, 'Instrument Table'!$B:$C, 2, FALSE)</f>
        <v>Pianos</v>
      </c>
      <c r="E451" s="1">
        <f t="shared" si="36"/>
        <v>1</v>
      </c>
      <c r="F451" s="1">
        <f>_xlfn.XLOOKUP($C451, 'Instrument Table'!$B:$B, 'Instrument Table'!$A:$A, "")</f>
        <v>10</v>
      </c>
      <c r="G451" s="1" t="str">
        <f>TEXT(IF($B451 = "Retail Item", IF((ROW($A451) - 4504 - _xlfn.XMATCH($C451, $C$4506:$C$5005, 0, 1)) &lt;= VLOOKUP($C451, 'Instrument Table'!$B:$D, 3, FALSE), ROW($A451) - 4504 - _xlfn.XMATCH($C451, $C$4506:$C$5005, 0, 1), 0), 0), "00")</f>
        <v>00</v>
      </c>
      <c r="H451" s="1" t="str">
        <f t="shared" si="37"/>
        <v>445</v>
      </c>
      <c r="I451" s="1" t="str">
        <f t="shared" si="38"/>
        <v>11000-445</v>
      </c>
      <c r="J451" s="1" t="str">
        <f t="shared" si="39"/>
        <v>Grand piano production item #445</v>
      </c>
      <c r="K451" s="1" t="str">
        <f>IF(SUM(COUNTIFS(I:I, I451)) &gt; 1, "DUPLICATE", "UNIQUE")</f>
        <v>UNIQUE</v>
      </c>
      <c r="L451" s="18">
        <v>1</v>
      </c>
      <c r="M451" s="28">
        <v>83</v>
      </c>
      <c r="N451" s="6">
        <v>100</v>
      </c>
      <c r="O451" s="30">
        <f t="shared" si="40"/>
        <v>83</v>
      </c>
      <c r="P451" s="30">
        <f t="shared" si="41"/>
        <v>8300</v>
      </c>
      <c r="Q451" s="1">
        <f>COUNTIFS($P:$P, "&gt;" &amp; $P451) + 1</f>
        <v>1952</v>
      </c>
      <c r="R451" s="63">
        <f>(COUNTIFS($P:$P, "&gt;" &amp; $P451) + 1) / (COUNTA($I:$I) - 1)</f>
        <v>0.39040000000000002</v>
      </c>
      <c r="S451" s="23">
        <f>SUMIFS($P:$P, $Q:$Q, "&lt;" &amp; $Q451)</f>
        <v>179607969</v>
      </c>
    </row>
    <row r="452" spans="1:19" x14ac:dyDescent="0.25">
      <c r="A452" s="1">
        <v>447</v>
      </c>
      <c r="B452" s="1" t="s">
        <v>2</v>
      </c>
      <c r="C452" s="1" t="str">
        <f>IF($B452 = "Production Item", _xlfn.XLOOKUP($A452, 'Instrument Table'!$J:$J, 'Instrument Table'!$B:$B, $C451), IF($B452 = "Service Item", _xlfn.XLOOKUP($A452, 'Instrument Table'!$I:$I, 'Instrument Table'!$B:$B, $C451), _xlfn.XLOOKUP($A452, 'Instrument Table'!$H:$H, 'Instrument Table'!$B:$B, $C451)))</f>
        <v>Grand Piano</v>
      </c>
      <c r="D452" s="1" t="str">
        <f>VLOOKUP($C452, 'Instrument Table'!$B:$C, 2, FALSE)</f>
        <v>Pianos</v>
      </c>
      <c r="E452" s="1">
        <f t="shared" si="36"/>
        <v>1</v>
      </c>
      <c r="F452" s="1">
        <f>_xlfn.XLOOKUP($C452, 'Instrument Table'!$B:$B, 'Instrument Table'!$A:$A, "")</f>
        <v>10</v>
      </c>
      <c r="G452" s="1" t="str">
        <f>TEXT(IF($B452 = "Retail Item", IF((ROW($A452) - 4504 - _xlfn.XMATCH($C452, $C$4506:$C$5005, 0, 1)) &lt;= VLOOKUP($C452, 'Instrument Table'!$B:$D, 3, FALSE), ROW($A452) - 4504 - _xlfn.XMATCH($C452, $C$4506:$C$5005, 0, 1), 0), 0), "00")</f>
        <v>00</v>
      </c>
      <c r="H452" s="1" t="str">
        <f t="shared" si="37"/>
        <v>446</v>
      </c>
      <c r="I452" s="1" t="str">
        <f t="shared" si="38"/>
        <v>11000-446</v>
      </c>
      <c r="J452" s="1" t="str">
        <f t="shared" si="39"/>
        <v>Grand piano production item #446</v>
      </c>
      <c r="K452" s="1" t="str">
        <f>IF(SUM(COUNTIFS(I:I, I452)) &gt; 1, "DUPLICATE", "UNIQUE")</f>
        <v>UNIQUE</v>
      </c>
      <c r="L452" s="18">
        <v>0</v>
      </c>
      <c r="M452" s="28">
        <v>58</v>
      </c>
      <c r="N452" s="6">
        <v>100</v>
      </c>
      <c r="O452" s="30">
        <f t="shared" si="40"/>
        <v>0</v>
      </c>
      <c r="P452" s="30">
        <f t="shared" si="41"/>
        <v>5800</v>
      </c>
      <c r="Q452" s="1">
        <f>COUNTIFS($P:$P, "&gt;" &amp; $P452) + 1</f>
        <v>2299</v>
      </c>
      <c r="R452" s="63">
        <f>(COUNTIFS($P:$P, "&gt;" &amp; $P452) + 1) / (COUNTA($I:$I) - 1)</f>
        <v>0.45979999999999999</v>
      </c>
      <c r="S452" s="23">
        <f>SUMIFS($P:$P, $Q:$Q, "&lt;" &amp; $Q452)</f>
        <v>182058415</v>
      </c>
    </row>
    <row r="453" spans="1:19" x14ac:dyDescent="0.25">
      <c r="A453" s="1">
        <v>448</v>
      </c>
      <c r="B453" s="1" t="s">
        <v>2</v>
      </c>
      <c r="C453" s="1" t="str">
        <f>IF($B453 = "Production Item", _xlfn.XLOOKUP($A453, 'Instrument Table'!$J:$J, 'Instrument Table'!$B:$B, $C452), IF($B453 = "Service Item", _xlfn.XLOOKUP($A453, 'Instrument Table'!$I:$I, 'Instrument Table'!$B:$B, $C452), _xlfn.XLOOKUP($A453, 'Instrument Table'!$H:$H, 'Instrument Table'!$B:$B, $C452)))</f>
        <v>Grand Piano</v>
      </c>
      <c r="D453" s="1" t="str">
        <f>VLOOKUP($C453, 'Instrument Table'!$B:$C, 2, FALSE)</f>
        <v>Pianos</v>
      </c>
      <c r="E453" s="1">
        <f t="shared" si="36"/>
        <v>1</v>
      </c>
      <c r="F453" s="1">
        <f>_xlfn.XLOOKUP($C453, 'Instrument Table'!$B:$B, 'Instrument Table'!$A:$A, "")</f>
        <v>10</v>
      </c>
      <c r="G453" s="1" t="str">
        <f>TEXT(IF($B453 = "Retail Item", IF((ROW($A453) - 4504 - _xlfn.XMATCH($C453, $C$4506:$C$5005, 0, 1)) &lt;= VLOOKUP($C453, 'Instrument Table'!$B:$D, 3, FALSE), ROW($A453) - 4504 - _xlfn.XMATCH($C453, $C$4506:$C$5005, 0, 1), 0), 0), "00")</f>
        <v>00</v>
      </c>
      <c r="H453" s="1" t="str">
        <f t="shared" si="37"/>
        <v>447</v>
      </c>
      <c r="I453" s="1" t="str">
        <f t="shared" si="38"/>
        <v>11000-447</v>
      </c>
      <c r="J453" s="1" t="str">
        <f t="shared" si="39"/>
        <v>Grand piano production item #447</v>
      </c>
      <c r="K453" s="1" t="str">
        <f>IF(SUM(COUNTIFS(I:I, I453)) &gt; 1, "DUPLICATE", "UNIQUE")</f>
        <v>UNIQUE</v>
      </c>
      <c r="L453" s="18">
        <v>2</v>
      </c>
      <c r="M453" s="28">
        <v>89</v>
      </c>
      <c r="N453" s="6">
        <v>361</v>
      </c>
      <c r="O453" s="30">
        <f t="shared" si="40"/>
        <v>178</v>
      </c>
      <c r="P453" s="30">
        <f t="shared" si="41"/>
        <v>32129</v>
      </c>
      <c r="Q453" s="1">
        <f>COUNTIFS($P:$P, "&gt;" &amp; $P453) + 1</f>
        <v>644</v>
      </c>
      <c r="R453" s="63">
        <f>(COUNTIFS($P:$P, "&gt;" &amp; $P453) + 1) / (COUNTA($I:$I) - 1)</f>
        <v>0.1288</v>
      </c>
      <c r="S453" s="23">
        <f>SUMIFS($P:$P, $Q:$Q, "&lt;" &amp; $Q453)</f>
        <v>157353040</v>
      </c>
    </row>
    <row r="454" spans="1:19" x14ac:dyDescent="0.25">
      <c r="A454" s="1">
        <v>449</v>
      </c>
      <c r="B454" s="1" t="s">
        <v>2</v>
      </c>
      <c r="C454" s="1" t="str">
        <f>IF($B454 = "Production Item", _xlfn.XLOOKUP($A454, 'Instrument Table'!$J:$J, 'Instrument Table'!$B:$B, $C453), IF($B454 = "Service Item", _xlfn.XLOOKUP($A454, 'Instrument Table'!$I:$I, 'Instrument Table'!$B:$B, $C453), _xlfn.XLOOKUP($A454, 'Instrument Table'!$H:$H, 'Instrument Table'!$B:$B, $C453)))</f>
        <v>Grand Piano</v>
      </c>
      <c r="D454" s="1" t="str">
        <f>VLOOKUP($C454, 'Instrument Table'!$B:$C, 2, FALSE)</f>
        <v>Pianos</v>
      </c>
      <c r="E454" s="1">
        <f t="shared" si="36"/>
        <v>1</v>
      </c>
      <c r="F454" s="1">
        <f>_xlfn.XLOOKUP($C454, 'Instrument Table'!$B:$B, 'Instrument Table'!$A:$A, "")</f>
        <v>10</v>
      </c>
      <c r="G454" s="1" t="str">
        <f>TEXT(IF($B454 = "Retail Item", IF((ROW($A454) - 4504 - _xlfn.XMATCH($C454, $C$4506:$C$5005, 0, 1)) &lt;= VLOOKUP($C454, 'Instrument Table'!$B:$D, 3, FALSE), ROW($A454) - 4504 - _xlfn.XMATCH($C454, $C$4506:$C$5005, 0, 1), 0), 0), "00")</f>
        <v>00</v>
      </c>
      <c r="H454" s="1" t="str">
        <f t="shared" si="37"/>
        <v>448</v>
      </c>
      <c r="I454" s="1" t="str">
        <f t="shared" si="38"/>
        <v>11000-448</v>
      </c>
      <c r="J454" s="1" t="str">
        <f t="shared" si="39"/>
        <v>Grand piano production item #448</v>
      </c>
      <c r="K454" s="1" t="str">
        <f>IF(SUM(COUNTIFS(I:I, I454)) &gt; 1, "DUPLICATE", "UNIQUE")</f>
        <v>UNIQUE</v>
      </c>
      <c r="L454" s="18">
        <v>8</v>
      </c>
      <c r="M454" s="28">
        <v>79</v>
      </c>
      <c r="N454" s="6">
        <v>144</v>
      </c>
      <c r="O454" s="30">
        <f t="shared" si="40"/>
        <v>632</v>
      </c>
      <c r="P454" s="30">
        <f t="shared" si="41"/>
        <v>11376</v>
      </c>
      <c r="Q454" s="1">
        <f>COUNTIFS($P:$P, "&gt;" &amp; $P454) + 1</f>
        <v>1648</v>
      </c>
      <c r="R454" s="63">
        <f>(COUNTIFS($P:$P, "&gt;" &amp; $P454) + 1) / (COUNTA($I:$I) - 1)</f>
        <v>0.3296</v>
      </c>
      <c r="S454" s="23">
        <f>SUMIFS($P:$P, $Q:$Q, "&lt;" &amp; $Q454)</f>
        <v>176635403</v>
      </c>
    </row>
    <row r="455" spans="1:19" x14ac:dyDescent="0.25">
      <c r="A455" s="1">
        <v>450</v>
      </c>
      <c r="B455" s="1" t="s">
        <v>2</v>
      </c>
      <c r="C455" s="1" t="str">
        <f>IF($B455 = "Production Item", _xlfn.XLOOKUP($A455, 'Instrument Table'!$J:$J, 'Instrument Table'!$B:$B, $C454), IF($B455 = "Service Item", _xlfn.XLOOKUP($A455, 'Instrument Table'!$I:$I, 'Instrument Table'!$B:$B, $C454), _xlfn.XLOOKUP($A455, 'Instrument Table'!$H:$H, 'Instrument Table'!$B:$B, $C454)))</f>
        <v>Grand Piano</v>
      </c>
      <c r="D455" s="1" t="str">
        <f>VLOOKUP($C455, 'Instrument Table'!$B:$C, 2, FALSE)</f>
        <v>Pianos</v>
      </c>
      <c r="E455" s="1">
        <f t="shared" ref="E455:E518" si="42">IF($B455 = "Production Item", 1, IF($B455 = "Service Item", 2, IF($B455 = "Retail Item", 3, "")))</f>
        <v>1</v>
      </c>
      <c r="F455" s="1">
        <f>_xlfn.XLOOKUP($C455, 'Instrument Table'!$B:$B, 'Instrument Table'!$A:$A, "")</f>
        <v>10</v>
      </c>
      <c r="G455" s="1" t="str">
        <f>TEXT(IF($B455 = "Retail Item", IF((ROW($A455) - 4504 - _xlfn.XMATCH($C455, $C$4506:$C$5005, 0, 1)) &lt;= VLOOKUP($C455, 'Instrument Table'!$B:$D, 3, FALSE), ROW($A455) - 4504 - _xlfn.XMATCH($C455, $C$4506:$C$5005, 0, 1), 0), 0), "00")</f>
        <v>00</v>
      </c>
      <c r="H455" s="1" t="str">
        <f t="shared" ref="H455:H518" si="43">TEXT(IF($E455 &amp; $F455 &amp; $G455 = $E454 &amp; $F454 &amp; $G454, 1 + H454, 0), "000")</f>
        <v>449</v>
      </c>
      <c r="I455" s="1" t="str">
        <f t="shared" ref="I455:I518" si="44" xml:space="preserve"> _xlfn.CONCAT($E455, $F455, $G455, "-", H455)</f>
        <v>11000-449</v>
      </c>
      <c r="J455" s="1" t="str">
        <f t="shared" ref="J455:J518" si="45">LEFT($C455, 1) &amp; LOWER(RIGHT($C455, LEN($C455) - 1)) &amp; IF(AND($G455 &lt;&gt; "00", $B455 = "Retail Item"), " model #" &amp; $G455, " " &amp; LOWER($B455) &amp; " #" &amp; $H455)</f>
        <v>Grand piano production item #449</v>
      </c>
      <c r="K455" s="1" t="str">
        <f>IF(SUM(COUNTIFS(I:I, I455)) &gt; 1, "DUPLICATE", "UNIQUE")</f>
        <v>UNIQUE</v>
      </c>
      <c r="L455" s="18">
        <v>0</v>
      </c>
      <c r="M455" s="28">
        <v>42</v>
      </c>
      <c r="N455" s="6">
        <v>144</v>
      </c>
      <c r="O455" s="30">
        <f t="shared" ref="O455:O518" si="46">$L455 * $M455</f>
        <v>0</v>
      </c>
      <c r="P455" s="30">
        <f t="shared" ref="P455:P518" si="47">$N455 * $M455</f>
        <v>6048</v>
      </c>
      <c r="Q455" s="1">
        <f>COUNTIFS($P:$P, "&gt;" &amp; $P455) + 1</f>
        <v>2258</v>
      </c>
      <c r="R455" s="63">
        <f>(COUNTIFS($P:$P, "&gt;" &amp; $P455) + 1) / (COUNTA($I:$I) - 1)</f>
        <v>0.4516</v>
      </c>
      <c r="S455" s="23">
        <f>SUMIFS($P:$P, $Q:$Q, "&lt;" &amp; $Q455)</f>
        <v>181815698</v>
      </c>
    </row>
    <row r="456" spans="1:19" x14ac:dyDescent="0.25">
      <c r="A456" s="1">
        <v>451</v>
      </c>
      <c r="B456" s="1" t="s">
        <v>2</v>
      </c>
      <c r="C456" s="1" t="str">
        <f>IF($B456 = "Production Item", _xlfn.XLOOKUP($A456, 'Instrument Table'!$J:$J, 'Instrument Table'!$B:$B, $C455), IF($B456 = "Service Item", _xlfn.XLOOKUP($A456, 'Instrument Table'!$I:$I, 'Instrument Table'!$B:$B, $C455), _xlfn.XLOOKUP($A456, 'Instrument Table'!$H:$H, 'Instrument Table'!$B:$B, $C455)))</f>
        <v>Grand Piano</v>
      </c>
      <c r="D456" s="1" t="str">
        <f>VLOOKUP($C456, 'Instrument Table'!$B:$C, 2, FALSE)</f>
        <v>Pianos</v>
      </c>
      <c r="E456" s="1">
        <f t="shared" si="42"/>
        <v>1</v>
      </c>
      <c r="F456" s="1">
        <f>_xlfn.XLOOKUP($C456, 'Instrument Table'!$B:$B, 'Instrument Table'!$A:$A, "")</f>
        <v>10</v>
      </c>
      <c r="G456" s="1" t="str">
        <f>TEXT(IF($B456 = "Retail Item", IF((ROW($A456) - 4504 - _xlfn.XMATCH($C456, $C$4506:$C$5005, 0, 1)) &lt;= VLOOKUP($C456, 'Instrument Table'!$B:$D, 3, FALSE), ROW($A456) - 4504 - _xlfn.XMATCH($C456, $C$4506:$C$5005, 0, 1), 0), 0), "00")</f>
        <v>00</v>
      </c>
      <c r="H456" s="1" t="str">
        <f t="shared" si="43"/>
        <v>450</v>
      </c>
      <c r="I456" s="1" t="str">
        <f t="shared" si="44"/>
        <v>11000-450</v>
      </c>
      <c r="J456" s="1" t="str">
        <f t="shared" si="45"/>
        <v>Grand piano production item #450</v>
      </c>
      <c r="K456" s="1" t="str">
        <f>IF(SUM(COUNTIFS(I:I, I456)) &gt; 1, "DUPLICATE", "UNIQUE")</f>
        <v>UNIQUE</v>
      </c>
      <c r="L456" s="18">
        <v>1</v>
      </c>
      <c r="M456" s="28">
        <v>71</v>
      </c>
      <c r="N456" s="6">
        <v>361</v>
      </c>
      <c r="O456" s="30">
        <f t="shared" si="46"/>
        <v>71</v>
      </c>
      <c r="P456" s="30">
        <f t="shared" si="47"/>
        <v>25631</v>
      </c>
      <c r="Q456" s="1">
        <f>COUNTIFS($P:$P, "&gt;" &amp; $P456) + 1</f>
        <v>805</v>
      </c>
      <c r="R456" s="63">
        <f>(COUNTIFS($P:$P, "&gt;" &amp; $P456) + 1) / (COUNTA($I:$I) - 1)</f>
        <v>0.161</v>
      </c>
      <c r="S456" s="23">
        <f>SUMIFS($P:$P, $Q:$Q, "&lt;" &amp; $Q456)</f>
        <v>161956279</v>
      </c>
    </row>
    <row r="457" spans="1:19" x14ac:dyDescent="0.25">
      <c r="A457" s="1">
        <v>452</v>
      </c>
      <c r="B457" s="1" t="s">
        <v>2</v>
      </c>
      <c r="C457" s="1" t="str">
        <f>IF($B457 = "Production Item", _xlfn.XLOOKUP($A457, 'Instrument Table'!$J:$J, 'Instrument Table'!$B:$B, $C456), IF($B457 = "Service Item", _xlfn.XLOOKUP($A457, 'Instrument Table'!$I:$I, 'Instrument Table'!$B:$B, $C456), _xlfn.XLOOKUP($A457, 'Instrument Table'!$H:$H, 'Instrument Table'!$B:$B, $C456)))</f>
        <v>Grand Piano</v>
      </c>
      <c r="D457" s="1" t="str">
        <f>VLOOKUP($C457, 'Instrument Table'!$B:$C, 2, FALSE)</f>
        <v>Pianos</v>
      </c>
      <c r="E457" s="1">
        <f t="shared" si="42"/>
        <v>1</v>
      </c>
      <c r="F457" s="1">
        <f>_xlfn.XLOOKUP($C457, 'Instrument Table'!$B:$B, 'Instrument Table'!$A:$A, "")</f>
        <v>10</v>
      </c>
      <c r="G457" s="1" t="str">
        <f>TEXT(IF($B457 = "Retail Item", IF((ROW($A457) - 4504 - _xlfn.XMATCH($C457, $C$4506:$C$5005, 0, 1)) &lt;= VLOOKUP($C457, 'Instrument Table'!$B:$D, 3, FALSE), ROW($A457) - 4504 - _xlfn.XMATCH($C457, $C$4506:$C$5005, 0, 1), 0), 0), "00")</f>
        <v>00</v>
      </c>
      <c r="H457" s="1" t="str">
        <f t="shared" si="43"/>
        <v>451</v>
      </c>
      <c r="I457" s="1" t="str">
        <f t="shared" si="44"/>
        <v>11000-451</v>
      </c>
      <c r="J457" s="1" t="str">
        <f t="shared" si="45"/>
        <v>Grand piano production item #451</v>
      </c>
      <c r="K457" s="1" t="str">
        <f>IF(SUM(COUNTIFS(I:I, I457)) &gt; 1, "DUPLICATE", "UNIQUE")</f>
        <v>UNIQUE</v>
      </c>
      <c r="L457" s="18">
        <v>4</v>
      </c>
      <c r="M457" s="28">
        <v>40</v>
      </c>
      <c r="N457" s="6">
        <v>81</v>
      </c>
      <c r="O457" s="30">
        <f t="shared" si="46"/>
        <v>160</v>
      </c>
      <c r="P457" s="30">
        <f t="shared" si="47"/>
        <v>3240</v>
      </c>
      <c r="Q457" s="1">
        <f>COUNTIFS($P:$P, "&gt;" &amp; $P457) + 1</f>
        <v>2839</v>
      </c>
      <c r="R457" s="63">
        <f>(COUNTIFS($P:$P, "&gt;" &amp; $P457) + 1) / (COUNTA($I:$I) - 1)</f>
        <v>0.56779999999999997</v>
      </c>
      <c r="S457" s="23">
        <f>SUMIFS($P:$P, $Q:$Q, "&lt;" &amp; $Q457)</f>
        <v>184456190</v>
      </c>
    </row>
    <row r="458" spans="1:19" x14ac:dyDescent="0.25">
      <c r="A458" s="1">
        <v>453</v>
      </c>
      <c r="B458" s="1" t="s">
        <v>2</v>
      </c>
      <c r="C458" s="1" t="str">
        <f>IF($B458 = "Production Item", _xlfn.XLOOKUP($A458, 'Instrument Table'!$J:$J, 'Instrument Table'!$B:$B, $C457), IF($B458 = "Service Item", _xlfn.XLOOKUP($A458, 'Instrument Table'!$I:$I, 'Instrument Table'!$B:$B, $C457), _xlfn.XLOOKUP($A458, 'Instrument Table'!$H:$H, 'Instrument Table'!$B:$B, $C457)))</f>
        <v>Grand Piano</v>
      </c>
      <c r="D458" s="1" t="str">
        <f>VLOOKUP($C458, 'Instrument Table'!$B:$C, 2, FALSE)</f>
        <v>Pianos</v>
      </c>
      <c r="E458" s="1">
        <f t="shared" si="42"/>
        <v>1</v>
      </c>
      <c r="F458" s="1">
        <f>_xlfn.XLOOKUP($C458, 'Instrument Table'!$B:$B, 'Instrument Table'!$A:$A, "")</f>
        <v>10</v>
      </c>
      <c r="G458" s="1" t="str">
        <f>TEXT(IF($B458 = "Retail Item", IF((ROW($A458) - 4504 - _xlfn.XMATCH($C458, $C$4506:$C$5005, 0, 1)) &lt;= VLOOKUP($C458, 'Instrument Table'!$B:$D, 3, FALSE), ROW($A458) - 4504 - _xlfn.XMATCH($C458, $C$4506:$C$5005, 0, 1), 0), 0), "00")</f>
        <v>00</v>
      </c>
      <c r="H458" s="1" t="str">
        <f t="shared" si="43"/>
        <v>452</v>
      </c>
      <c r="I458" s="1" t="str">
        <f t="shared" si="44"/>
        <v>11000-452</v>
      </c>
      <c r="J458" s="1" t="str">
        <f t="shared" si="45"/>
        <v>Grand piano production item #452</v>
      </c>
      <c r="K458" s="1" t="str">
        <f>IF(SUM(COUNTIFS(I:I, I458)) &gt; 1, "DUPLICATE", "UNIQUE")</f>
        <v>UNIQUE</v>
      </c>
      <c r="L458" s="18">
        <v>0</v>
      </c>
      <c r="M458" s="28">
        <v>1</v>
      </c>
      <c r="N458" s="6">
        <v>324</v>
      </c>
      <c r="O458" s="30">
        <f t="shared" si="46"/>
        <v>0</v>
      </c>
      <c r="P458" s="30">
        <f t="shared" si="47"/>
        <v>324</v>
      </c>
      <c r="Q458" s="1">
        <f>COUNTIFS($P:$P, "&gt;" &amp; $P458) + 1</f>
        <v>4180</v>
      </c>
      <c r="R458" s="63">
        <f>(COUNTIFS($P:$P, "&gt;" &amp; $P458) + 1) / (COUNTA($I:$I) - 1)</f>
        <v>0.83599999999999997</v>
      </c>
      <c r="S458" s="23">
        <f>SUMIFS($P:$P, $Q:$Q, "&lt;" &amp; $Q458)</f>
        <v>186473950</v>
      </c>
    </row>
    <row r="459" spans="1:19" x14ac:dyDescent="0.25">
      <c r="A459" s="1">
        <v>454</v>
      </c>
      <c r="B459" s="1" t="s">
        <v>2</v>
      </c>
      <c r="C459" s="1" t="str">
        <f>IF($B459 = "Production Item", _xlfn.XLOOKUP($A459, 'Instrument Table'!$J:$J, 'Instrument Table'!$B:$B, $C458), IF($B459 = "Service Item", _xlfn.XLOOKUP($A459, 'Instrument Table'!$I:$I, 'Instrument Table'!$B:$B, $C458), _xlfn.XLOOKUP($A459, 'Instrument Table'!$H:$H, 'Instrument Table'!$B:$B, $C458)))</f>
        <v>Grand Piano</v>
      </c>
      <c r="D459" s="1" t="str">
        <f>VLOOKUP($C459, 'Instrument Table'!$B:$C, 2, FALSE)</f>
        <v>Pianos</v>
      </c>
      <c r="E459" s="1">
        <f t="shared" si="42"/>
        <v>1</v>
      </c>
      <c r="F459" s="1">
        <f>_xlfn.XLOOKUP($C459, 'Instrument Table'!$B:$B, 'Instrument Table'!$A:$A, "")</f>
        <v>10</v>
      </c>
      <c r="G459" s="1" t="str">
        <f>TEXT(IF($B459 = "Retail Item", IF((ROW($A459) - 4504 - _xlfn.XMATCH($C459, $C$4506:$C$5005, 0, 1)) &lt;= VLOOKUP($C459, 'Instrument Table'!$B:$D, 3, FALSE), ROW($A459) - 4504 - _xlfn.XMATCH($C459, $C$4506:$C$5005, 0, 1), 0), 0), "00")</f>
        <v>00</v>
      </c>
      <c r="H459" s="1" t="str">
        <f t="shared" si="43"/>
        <v>453</v>
      </c>
      <c r="I459" s="1" t="str">
        <f t="shared" si="44"/>
        <v>11000-453</v>
      </c>
      <c r="J459" s="1" t="str">
        <f t="shared" si="45"/>
        <v>Grand piano production item #453</v>
      </c>
      <c r="K459" s="1" t="str">
        <f>IF(SUM(COUNTIFS(I:I, I459)) &gt; 1, "DUPLICATE", "UNIQUE")</f>
        <v>UNIQUE</v>
      </c>
      <c r="L459" s="18">
        <v>0</v>
      </c>
      <c r="M459" s="28">
        <v>63</v>
      </c>
      <c r="N459" s="6">
        <v>49</v>
      </c>
      <c r="O459" s="30">
        <f t="shared" si="46"/>
        <v>0</v>
      </c>
      <c r="P459" s="30">
        <f t="shared" si="47"/>
        <v>3087</v>
      </c>
      <c r="Q459" s="1">
        <f>COUNTIFS($P:$P, "&gt;" &amp; $P459) + 1</f>
        <v>2881</v>
      </c>
      <c r="R459" s="63">
        <f>(COUNTIFS($P:$P, "&gt;" &amp; $P459) + 1) / (COUNTA($I:$I) - 1)</f>
        <v>0.57620000000000005</v>
      </c>
      <c r="S459" s="23">
        <f>SUMIFS($P:$P, $Q:$Q, "&lt;" &amp; $Q459)</f>
        <v>184590094</v>
      </c>
    </row>
    <row r="460" spans="1:19" x14ac:dyDescent="0.25">
      <c r="A460" s="1">
        <v>455</v>
      </c>
      <c r="B460" s="1" t="s">
        <v>2</v>
      </c>
      <c r="C460" s="1" t="str">
        <f>IF($B460 = "Production Item", _xlfn.XLOOKUP($A460, 'Instrument Table'!$J:$J, 'Instrument Table'!$B:$B, $C459), IF($B460 = "Service Item", _xlfn.XLOOKUP($A460, 'Instrument Table'!$I:$I, 'Instrument Table'!$B:$B, $C459), _xlfn.XLOOKUP($A460, 'Instrument Table'!$H:$H, 'Instrument Table'!$B:$B, $C459)))</f>
        <v>Grand Piano</v>
      </c>
      <c r="D460" s="1" t="str">
        <f>VLOOKUP($C460, 'Instrument Table'!$B:$C, 2, FALSE)</f>
        <v>Pianos</v>
      </c>
      <c r="E460" s="1">
        <f t="shared" si="42"/>
        <v>1</v>
      </c>
      <c r="F460" s="1">
        <f>_xlfn.XLOOKUP($C460, 'Instrument Table'!$B:$B, 'Instrument Table'!$A:$A, "")</f>
        <v>10</v>
      </c>
      <c r="G460" s="1" t="str">
        <f>TEXT(IF($B460 = "Retail Item", IF((ROW($A460) - 4504 - _xlfn.XMATCH($C460, $C$4506:$C$5005, 0, 1)) &lt;= VLOOKUP($C460, 'Instrument Table'!$B:$D, 3, FALSE), ROW($A460) - 4504 - _xlfn.XMATCH($C460, $C$4506:$C$5005, 0, 1), 0), 0), "00")</f>
        <v>00</v>
      </c>
      <c r="H460" s="1" t="str">
        <f t="shared" si="43"/>
        <v>454</v>
      </c>
      <c r="I460" s="1" t="str">
        <f t="shared" si="44"/>
        <v>11000-454</v>
      </c>
      <c r="J460" s="1" t="str">
        <f t="shared" si="45"/>
        <v>Grand piano production item #454</v>
      </c>
      <c r="K460" s="1" t="str">
        <f>IF(SUM(COUNTIFS(I:I, I460)) &gt; 1, "DUPLICATE", "UNIQUE")</f>
        <v>UNIQUE</v>
      </c>
      <c r="L460" s="18">
        <v>1</v>
      </c>
      <c r="M460" s="28">
        <v>4</v>
      </c>
      <c r="N460" s="6">
        <v>196</v>
      </c>
      <c r="O460" s="30">
        <f t="shared" si="46"/>
        <v>4</v>
      </c>
      <c r="P460" s="30">
        <f t="shared" si="47"/>
        <v>784</v>
      </c>
      <c r="Q460" s="1">
        <f>COUNTIFS($P:$P, "&gt;" &amp; $P460) + 1</f>
        <v>3800</v>
      </c>
      <c r="R460" s="63">
        <f>(COUNTIFS($P:$P, "&gt;" &amp; $P460) + 1) / (COUNTA($I:$I) - 1)</f>
        <v>0.76</v>
      </c>
      <c r="S460" s="23">
        <f>SUMIFS($P:$P, $Q:$Q, "&lt;" &amp; $Q460)</f>
        <v>186265643</v>
      </c>
    </row>
    <row r="461" spans="1:19" x14ac:dyDescent="0.25">
      <c r="A461" s="1">
        <v>456</v>
      </c>
      <c r="B461" s="1" t="s">
        <v>2</v>
      </c>
      <c r="C461" s="1" t="str">
        <f>IF($B461 = "Production Item", _xlfn.XLOOKUP($A461, 'Instrument Table'!$J:$J, 'Instrument Table'!$B:$B, $C460), IF($B461 = "Service Item", _xlfn.XLOOKUP($A461, 'Instrument Table'!$I:$I, 'Instrument Table'!$B:$B, $C460), _xlfn.XLOOKUP($A461, 'Instrument Table'!$H:$H, 'Instrument Table'!$B:$B, $C460)))</f>
        <v>Grand Piano</v>
      </c>
      <c r="D461" s="1" t="str">
        <f>VLOOKUP($C461, 'Instrument Table'!$B:$C, 2, FALSE)</f>
        <v>Pianos</v>
      </c>
      <c r="E461" s="1">
        <f t="shared" si="42"/>
        <v>1</v>
      </c>
      <c r="F461" s="1">
        <f>_xlfn.XLOOKUP($C461, 'Instrument Table'!$B:$B, 'Instrument Table'!$A:$A, "")</f>
        <v>10</v>
      </c>
      <c r="G461" s="1" t="str">
        <f>TEXT(IF($B461 = "Retail Item", IF((ROW($A461) - 4504 - _xlfn.XMATCH($C461, $C$4506:$C$5005, 0, 1)) &lt;= VLOOKUP($C461, 'Instrument Table'!$B:$D, 3, FALSE), ROW($A461) - 4504 - _xlfn.XMATCH($C461, $C$4506:$C$5005, 0, 1), 0), 0), "00")</f>
        <v>00</v>
      </c>
      <c r="H461" s="1" t="str">
        <f t="shared" si="43"/>
        <v>455</v>
      </c>
      <c r="I461" s="1" t="str">
        <f t="shared" si="44"/>
        <v>11000-455</v>
      </c>
      <c r="J461" s="1" t="str">
        <f t="shared" si="45"/>
        <v>Grand piano production item #455</v>
      </c>
      <c r="K461" s="1" t="str">
        <f>IF(SUM(COUNTIFS(I:I, I461)) &gt; 1, "DUPLICATE", "UNIQUE")</f>
        <v>UNIQUE</v>
      </c>
      <c r="L461" s="18">
        <v>0</v>
      </c>
      <c r="M461" s="28">
        <v>39</v>
      </c>
      <c r="N461" s="6">
        <v>289</v>
      </c>
      <c r="O461" s="30">
        <f t="shared" si="46"/>
        <v>0</v>
      </c>
      <c r="P461" s="30">
        <f t="shared" si="47"/>
        <v>11271</v>
      </c>
      <c r="Q461" s="1">
        <f>COUNTIFS($P:$P, "&gt;" &amp; $P461) + 1</f>
        <v>1656</v>
      </c>
      <c r="R461" s="63">
        <f>(COUNTIFS($P:$P, "&gt;" &amp; $P461) + 1) / (COUNTA($I:$I) - 1)</f>
        <v>0.33119999999999999</v>
      </c>
      <c r="S461" s="23">
        <f>SUMIFS($P:$P, $Q:$Q, "&lt;" &amp; $Q461)</f>
        <v>176726187</v>
      </c>
    </row>
    <row r="462" spans="1:19" x14ac:dyDescent="0.25">
      <c r="A462" s="1">
        <v>457</v>
      </c>
      <c r="B462" s="1" t="s">
        <v>2</v>
      </c>
      <c r="C462" s="1" t="str">
        <f>IF($B462 = "Production Item", _xlfn.XLOOKUP($A462, 'Instrument Table'!$J:$J, 'Instrument Table'!$B:$B, $C461), IF($B462 = "Service Item", _xlfn.XLOOKUP($A462, 'Instrument Table'!$I:$I, 'Instrument Table'!$B:$B, $C461), _xlfn.XLOOKUP($A462, 'Instrument Table'!$H:$H, 'Instrument Table'!$B:$B, $C461)))</f>
        <v>Grand Piano</v>
      </c>
      <c r="D462" s="1" t="str">
        <f>VLOOKUP($C462, 'Instrument Table'!$B:$C, 2, FALSE)</f>
        <v>Pianos</v>
      </c>
      <c r="E462" s="1">
        <f t="shared" si="42"/>
        <v>1</v>
      </c>
      <c r="F462" s="1">
        <f>_xlfn.XLOOKUP($C462, 'Instrument Table'!$B:$B, 'Instrument Table'!$A:$A, "")</f>
        <v>10</v>
      </c>
      <c r="G462" s="1" t="str">
        <f>TEXT(IF($B462 = "Retail Item", IF((ROW($A462) - 4504 - _xlfn.XMATCH($C462, $C$4506:$C$5005, 0, 1)) &lt;= VLOOKUP($C462, 'Instrument Table'!$B:$D, 3, FALSE), ROW($A462) - 4504 - _xlfn.XMATCH($C462, $C$4506:$C$5005, 0, 1), 0), 0), "00")</f>
        <v>00</v>
      </c>
      <c r="H462" s="1" t="str">
        <f t="shared" si="43"/>
        <v>456</v>
      </c>
      <c r="I462" s="1" t="str">
        <f t="shared" si="44"/>
        <v>11000-456</v>
      </c>
      <c r="J462" s="1" t="str">
        <f t="shared" si="45"/>
        <v>Grand piano production item #456</v>
      </c>
      <c r="K462" s="1" t="str">
        <f>IF(SUM(COUNTIFS(I:I, I462)) &gt; 1, "DUPLICATE", "UNIQUE")</f>
        <v>UNIQUE</v>
      </c>
      <c r="L462" s="18">
        <v>1</v>
      </c>
      <c r="M462" s="28">
        <v>41</v>
      </c>
      <c r="N462" s="6">
        <v>324</v>
      </c>
      <c r="O462" s="30">
        <f t="shared" si="46"/>
        <v>41</v>
      </c>
      <c r="P462" s="30">
        <f t="shared" si="47"/>
        <v>13284</v>
      </c>
      <c r="Q462" s="1">
        <f>COUNTIFS($P:$P, "&gt;" &amp; $P462) + 1</f>
        <v>1482</v>
      </c>
      <c r="R462" s="63">
        <f>(COUNTIFS($P:$P, "&gt;" &amp; $P462) + 1) / (COUNTA($I:$I) - 1)</f>
        <v>0.2964</v>
      </c>
      <c r="S462" s="23">
        <f>SUMIFS($P:$P, $Q:$Q, "&lt;" &amp; $Q462)</f>
        <v>174603058</v>
      </c>
    </row>
    <row r="463" spans="1:19" x14ac:dyDescent="0.25">
      <c r="A463" s="1">
        <v>458</v>
      </c>
      <c r="B463" s="1" t="s">
        <v>2</v>
      </c>
      <c r="C463" s="1" t="str">
        <f>IF($B463 = "Production Item", _xlfn.XLOOKUP($A463, 'Instrument Table'!$J:$J, 'Instrument Table'!$B:$B, $C462), IF($B463 = "Service Item", _xlfn.XLOOKUP($A463, 'Instrument Table'!$I:$I, 'Instrument Table'!$B:$B, $C462), _xlfn.XLOOKUP($A463, 'Instrument Table'!$H:$H, 'Instrument Table'!$B:$B, $C462)))</f>
        <v>Grand Piano</v>
      </c>
      <c r="D463" s="1" t="str">
        <f>VLOOKUP($C463, 'Instrument Table'!$B:$C, 2, FALSE)</f>
        <v>Pianos</v>
      </c>
      <c r="E463" s="1">
        <f t="shared" si="42"/>
        <v>1</v>
      </c>
      <c r="F463" s="1">
        <f>_xlfn.XLOOKUP($C463, 'Instrument Table'!$B:$B, 'Instrument Table'!$A:$A, "")</f>
        <v>10</v>
      </c>
      <c r="G463" s="1" t="str">
        <f>TEXT(IF($B463 = "Retail Item", IF((ROW($A463) - 4504 - _xlfn.XMATCH($C463, $C$4506:$C$5005, 0, 1)) &lt;= VLOOKUP($C463, 'Instrument Table'!$B:$D, 3, FALSE), ROW($A463) - 4504 - _xlfn.XMATCH($C463, $C$4506:$C$5005, 0, 1), 0), 0), "00")</f>
        <v>00</v>
      </c>
      <c r="H463" s="1" t="str">
        <f t="shared" si="43"/>
        <v>457</v>
      </c>
      <c r="I463" s="1" t="str">
        <f t="shared" si="44"/>
        <v>11000-457</v>
      </c>
      <c r="J463" s="1" t="str">
        <f t="shared" si="45"/>
        <v>Grand piano production item #457</v>
      </c>
      <c r="K463" s="1" t="str">
        <f>IF(SUM(COUNTIFS(I:I, I463)) &gt; 1, "DUPLICATE", "UNIQUE")</f>
        <v>UNIQUE</v>
      </c>
      <c r="L463" s="18">
        <v>8</v>
      </c>
      <c r="M463" s="28">
        <v>22</v>
      </c>
      <c r="N463" s="6">
        <v>4</v>
      </c>
      <c r="O463" s="30">
        <f t="shared" si="46"/>
        <v>176</v>
      </c>
      <c r="P463" s="30">
        <f t="shared" si="47"/>
        <v>88</v>
      </c>
      <c r="Q463" s="1">
        <f>COUNTIFS($P:$P, "&gt;" &amp; $P463) + 1</f>
        <v>4484</v>
      </c>
      <c r="R463" s="63">
        <f>(COUNTIFS($P:$P, "&gt;" &amp; $P463) + 1) / (COUNTA($I:$I) - 1)</f>
        <v>0.89680000000000004</v>
      </c>
      <c r="S463" s="23">
        <f>SUMIFS($P:$P, $Q:$Q, "&lt;" &amp; $Q463)</f>
        <v>186535476</v>
      </c>
    </row>
    <row r="464" spans="1:19" x14ac:dyDescent="0.25">
      <c r="A464" s="1">
        <v>459</v>
      </c>
      <c r="B464" s="1" t="s">
        <v>2</v>
      </c>
      <c r="C464" s="1" t="str">
        <f>IF($B464 = "Production Item", _xlfn.XLOOKUP($A464, 'Instrument Table'!$J:$J, 'Instrument Table'!$B:$B, $C463), IF($B464 = "Service Item", _xlfn.XLOOKUP($A464, 'Instrument Table'!$I:$I, 'Instrument Table'!$B:$B, $C463), _xlfn.XLOOKUP($A464, 'Instrument Table'!$H:$H, 'Instrument Table'!$B:$B, $C463)))</f>
        <v>Grand Piano</v>
      </c>
      <c r="D464" s="1" t="str">
        <f>VLOOKUP($C464, 'Instrument Table'!$B:$C, 2, FALSE)</f>
        <v>Pianos</v>
      </c>
      <c r="E464" s="1">
        <f t="shared" si="42"/>
        <v>1</v>
      </c>
      <c r="F464" s="1">
        <f>_xlfn.XLOOKUP($C464, 'Instrument Table'!$B:$B, 'Instrument Table'!$A:$A, "")</f>
        <v>10</v>
      </c>
      <c r="G464" s="1" t="str">
        <f>TEXT(IF($B464 = "Retail Item", IF((ROW($A464) - 4504 - _xlfn.XMATCH($C464, $C$4506:$C$5005, 0, 1)) &lt;= VLOOKUP($C464, 'Instrument Table'!$B:$D, 3, FALSE), ROW($A464) - 4504 - _xlfn.XMATCH($C464, $C$4506:$C$5005, 0, 1), 0), 0), "00")</f>
        <v>00</v>
      </c>
      <c r="H464" s="1" t="str">
        <f t="shared" si="43"/>
        <v>458</v>
      </c>
      <c r="I464" s="1" t="str">
        <f t="shared" si="44"/>
        <v>11000-458</v>
      </c>
      <c r="J464" s="1" t="str">
        <f t="shared" si="45"/>
        <v>Grand piano production item #458</v>
      </c>
      <c r="K464" s="1" t="str">
        <f>IF(SUM(COUNTIFS(I:I, I464)) &gt; 1, "DUPLICATE", "UNIQUE")</f>
        <v>UNIQUE</v>
      </c>
      <c r="L464" s="18">
        <v>0</v>
      </c>
      <c r="M464" s="28">
        <v>82</v>
      </c>
      <c r="N464" s="6">
        <v>324</v>
      </c>
      <c r="O464" s="30">
        <f t="shared" si="46"/>
        <v>0</v>
      </c>
      <c r="P464" s="30">
        <f t="shared" si="47"/>
        <v>26568</v>
      </c>
      <c r="Q464" s="1">
        <f>COUNTIFS($P:$P, "&gt;" &amp; $P464) + 1</f>
        <v>771</v>
      </c>
      <c r="R464" s="63">
        <f>(COUNTIFS($P:$P, "&gt;" &amp; $P464) + 1) / (COUNTA($I:$I) - 1)</f>
        <v>0.1542</v>
      </c>
      <c r="S464" s="23">
        <f>SUMIFS($P:$P, $Q:$Q, "&lt;" &amp; $Q464)</f>
        <v>161069750</v>
      </c>
    </row>
    <row r="465" spans="1:19" x14ac:dyDescent="0.25">
      <c r="A465" s="1">
        <v>460</v>
      </c>
      <c r="B465" s="1" t="s">
        <v>2</v>
      </c>
      <c r="C465" s="1" t="str">
        <f>IF($B465 = "Production Item", _xlfn.XLOOKUP($A465, 'Instrument Table'!$J:$J, 'Instrument Table'!$B:$B, $C464), IF($B465 = "Service Item", _xlfn.XLOOKUP($A465, 'Instrument Table'!$I:$I, 'Instrument Table'!$B:$B, $C464), _xlfn.XLOOKUP($A465, 'Instrument Table'!$H:$H, 'Instrument Table'!$B:$B, $C464)))</f>
        <v>Grand Piano</v>
      </c>
      <c r="D465" s="1" t="str">
        <f>VLOOKUP($C465, 'Instrument Table'!$B:$C, 2, FALSE)</f>
        <v>Pianos</v>
      </c>
      <c r="E465" s="1">
        <f t="shared" si="42"/>
        <v>1</v>
      </c>
      <c r="F465" s="1">
        <f>_xlfn.XLOOKUP($C465, 'Instrument Table'!$B:$B, 'Instrument Table'!$A:$A, "")</f>
        <v>10</v>
      </c>
      <c r="G465" s="1" t="str">
        <f>TEXT(IF($B465 = "Retail Item", IF((ROW($A465) - 4504 - _xlfn.XMATCH($C465, $C$4506:$C$5005, 0, 1)) &lt;= VLOOKUP($C465, 'Instrument Table'!$B:$D, 3, FALSE), ROW($A465) - 4504 - _xlfn.XMATCH($C465, $C$4506:$C$5005, 0, 1), 0), 0), "00")</f>
        <v>00</v>
      </c>
      <c r="H465" s="1" t="str">
        <f t="shared" si="43"/>
        <v>459</v>
      </c>
      <c r="I465" s="1" t="str">
        <f t="shared" si="44"/>
        <v>11000-459</v>
      </c>
      <c r="J465" s="1" t="str">
        <f t="shared" si="45"/>
        <v>Grand piano production item #459</v>
      </c>
      <c r="K465" s="1" t="str">
        <f>IF(SUM(COUNTIFS(I:I, I465)) &gt; 1, "DUPLICATE", "UNIQUE")</f>
        <v>UNIQUE</v>
      </c>
      <c r="L465" s="18">
        <v>1</v>
      </c>
      <c r="M465" s="28">
        <v>84</v>
      </c>
      <c r="N465" s="6">
        <v>25</v>
      </c>
      <c r="O465" s="30">
        <f t="shared" si="46"/>
        <v>84</v>
      </c>
      <c r="P465" s="30">
        <f t="shared" si="47"/>
        <v>2100</v>
      </c>
      <c r="Q465" s="1">
        <f>COUNTIFS($P:$P, "&gt;" &amp; $P465) + 1</f>
        <v>3207</v>
      </c>
      <c r="R465" s="63">
        <f>(COUNTIFS($P:$P, "&gt;" &amp; $P465) + 1) / (COUNTA($I:$I) - 1)</f>
        <v>0.64139999999999997</v>
      </c>
      <c r="S465" s="23">
        <f>SUMIFS($P:$P, $Q:$Q, "&lt;" &amp; $Q465)</f>
        <v>185422450</v>
      </c>
    </row>
    <row r="466" spans="1:19" x14ac:dyDescent="0.25">
      <c r="A466" s="1">
        <v>461</v>
      </c>
      <c r="B466" s="1" t="s">
        <v>2</v>
      </c>
      <c r="C466" s="1" t="str">
        <f>IF($B466 = "Production Item", _xlfn.XLOOKUP($A466, 'Instrument Table'!$J:$J, 'Instrument Table'!$B:$B, $C465), IF($B466 = "Service Item", _xlfn.XLOOKUP($A466, 'Instrument Table'!$I:$I, 'Instrument Table'!$B:$B, $C465), _xlfn.XLOOKUP($A466, 'Instrument Table'!$H:$H, 'Instrument Table'!$B:$B, $C465)))</f>
        <v>Grand Piano</v>
      </c>
      <c r="D466" s="1" t="str">
        <f>VLOOKUP($C466, 'Instrument Table'!$B:$C, 2, FALSE)</f>
        <v>Pianos</v>
      </c>
      <c r="E466" s="1">
        <f t="shared" si="42"/>
        <v>1</v>
      </c>
      <c r="F466" s="1">
        <f>_xlfn.XLOOKUP($C466, 'Instrument Table'!$B:$B, 'Instrument Table'!$A:$A, "")</f>
        <v>10</v>
      </c>
      <c r="G466" s="1" t="str">
        <f>TEXT(IF($B466 = "Retail Item", IF((ROW($A466) - 4504 - _xlfn.XMATCH($C466, $C$4506:$C$5005, 0, 1)) &lt;= VLOOKUP($C466, 'Instrument Table'!$B:$D, 3, FALSE), ROW($A466) - 4504 - _xlfn.XMATCH($C466, $C$4506:$C$5005, 0, 1), 0), 0), "00")</f>
        <v>00</v>
      </c>
      <c r="H466" s="1" t="str">
        <f t="shared" si="43"/>
        <v>460</v>
      </c>
      <c r="I466" s="1" t="str">
        <f t="shared" si="44"/>
        <v>11000-460</v>
      </c>
      <c r="J466" s="1" t="str">
        <f t="shared" si="45"/>
        <v>Grand piano production item #460</v>
      </c>
      <c r="K466" s="1" t="str">
        <f>IF(SUM(COUNTIFS(I:I, I466)) &gt; 1, "DUPLICATE", "UNIQUE")</f>
        <v>UNIQUE</v>
      </c>
      <c r="L466" s="18">
        <v>8</v>
      </c>
      <c r="M466" s="28">
        <v>89</v>
      </c>
      <c r="N466" s="6">
        <v>36</v>
      </c>
      <c r="O466" s="30">
        <f t="shared" si="46"/>
        <v>712</v>
      </c>
      <c r="P466" s="30">
        <f t="shared" si="47"/>
        <v>3204</v>
      </c>
      <c r="Q466" s="1">
        <f>COUNTIFS($P:$P, "&gt;" &amp; $P466) + 1</f>
        <v>2853</v>
      </c>
      <c r="R466" s="63">
        <f>(COUNTIFS($P:$P, "&gt;" &amp; $P466) + 1) / (COUNTA($I:$I) - 1)</f>
        <v>0.5706</v>
      </c>
      <c r="S466" s="23">
        <f>SUMIFS($P:$P, $Q:$Q, "&lt;" &amp; $Q466)</f>
        <v>184501440</v>
      </c>
    </row>
    <row r="467" spans="1:19" x14ac:dyDescent="0.25">
      <c r="A467" s="1">
        <v>462</v>
      </c>
      <c r="B467" s="1" t="s">
        <v>2</v>
      </c>
      <c r="C467" s="1" t="str">
        <f>IF($B467 = "Production Item", _xlfn.XLOOKUP($A467, 'Instrument Table'!$J:$J, 'Instrument Table'!$B:$B, $C466), IF($B467 = "Service Item", _xlfn.XLOOKUP($A467, 'Instrument Table'!$I:$I, 'Instrument Table'!$B:$B, $C466), _xlfn.XLOOKUP($A467, 'Instrument Table'!$H:$H, 'Instrument Table'!$B:$B, $C466)))</f>
        <v>Grand Piano</v>
      </c>
      <c r="D467" s="1" t="str">
        <f>VLOOKUP($C467, 'Instrument Table'!$B:$C, 2, FALSE)</f>
        <v>Pianos</v>
      </c>
      <c r="E467" s="1">
        <f t="shared" si="42"/>
        <v>1</v>
      </c>
      <c r="F467" s="1">
        <f>_xlfn.XLOOKUP($C467, 'Instrument Table'!$B:$B, 'Instrument Table'!$A:$A, "")</f>
        <v>10</v>
      </c>
      <c r="G467" s="1" t="str">
        <f>TEXT(IF($B467 = "Retail Item", IF((ROW($A467) - 4504 - _xlfn.XMATCH($C467, $C$4506:$C$5005, 0, 1)) &lt;= VLOOKUP($C467, 'Instrument Table'!$B:$D, 3, FALSE), ROW($A467) - 4504 - _xlfn.XMATCH($C467, $C$4506:$C$5005, 0, 1), 0), 0), "00")</f>
        <v>00</v>
      </c>
      <c r="H467" s="1" t="str">
        <f t="shared" si="43"/>
        <v>461</v>
      </c>
      <c r="I467" s="1" t="str">
        <f t="shared" si="44"/>
        <v>11000-461</v>
      </c>
      <c r="J467" s="1" t="str">
        <f t="shared" si="45"/>
        <v>Grand piano production item #461</v>
      </c>
      <c r="K467" s="1" t="str">
        <f>IF(SUM(COUNTIFS(I:I, I467)) &gt; 1, "DUPLICATE", "UNIQUE")</f>
        <v>UNIQUE</v>
      </c>
      <c r="L467" s="18">
        <v>8</v>
      </c>
      <c r="M467" s="28">
        <v>40</v>
      </c>
      <c r="N467" s="6">
        <v>25</v>
      </c>
      <c r="O467" s="30">
        <f t="shared" si="46"/>
        <v>320</v>
      </c>
      <c r="P467" s="30">
        <f t="shared" si="47"/>
        <v>1000</v>
      </c>
      <c r="Q467" s="1">
        <f>COUNTIFS($P:$P, "&gt;" &amp; $P467) + 1</f>
        <v>3679</v>
      </c>
      <c r="R467" s="63">
        <f>(COUNTIFS($P:$P, "&gt;" &amp; $P467) + 1) / (COUNTA($I:$I) - 1)</f>
        <v>0.73580000000000001</v>
      </c>
      <c r="S467" s="23">
        <f>SUMIFS($P:$P, $Q:$Q, "&lt;" &amp; $Q467)</f>
        <v>186158143</v>
      </c>
    </row>
    <row r="468" spans="1:19" x14ac:dyDescent="0.25">
      <c r="A468" s="1">
        <v>463</v>
      </c>
      <c r="B468" s="1" t="s">
        <v>2</v>
      </c>
      <c r="C468" s="1" t="str">
        <f>IF($B468 = "Production Item", _xlfn.XLOOKUP($A468, 'Instrument Table'!$J:$J, 'Instrument Table'!$B:$B, $C467), IF($B468 = "Service Item", _xlfn.XLOOKUP($A468, 'Instrument Table'!$I:$I, 'Instrument Table'!$B:$B, $C467), _xlfn.XLOOKUP($A468, 'Instrument Table'!$H:$H, 'Instrument Table'!$B:$B, $C467)))</f>
        <v>Grand Piano</v>
      </c>
      <c r="D468" s="1" t="str">
        <f>VLOOKUP($C468, 'Instrument Table'!$B:$C, 2, FALSE)</f>
        <v>Pianos</v>
      </c>
      <c r="E468" s="1">
        <f t="shared" si="42"/>
        <v>1</v>
      </c>
      <c r="F468" s="1">
        <f>_xlfn.XLOOKUP($C468, 'Instrument Table'!$B:$B, 'Instrument Table'!$A:$A, "")</f>
        <v>10</v>
      </c>
      <c r="G468" s="1" t="str">
        <f>TEXT(IF($B468 = "Retail Item", IF((ROW($A468) - 4504 - _xlfn.XMATCH($C468, $C$4506:$C$5005, 0, 1)) &lt;= VLOOKUP($C468, 'Instrument Table'!$B:$D, 3, FALSE), ROW($A468) - 4504 - _xlfn.XMATCH($C468, $C$4506:$C$5005, 0, 1), 0), 0), "00")</f>
        <v>00</v>
      </c>
      <c r="H468" s="1" t="str">
        <f t="shared" si="43"/>
        <v>462</v>
      </c>
      <c r="I468" s="1" t="str">
        <f t="shared" si="44"/>
        <v>11000-462</v>
      </c>
      <c r="J468" s="1" t="str">
        <f t="shared" si="45"/>
        <v>Grand piano production item #462</v>
      </c>
      <c r="K468" s="1" t="str">
        <f>IF(SUM(COUNTIFS(I:I, I468)) &gt; 1, "DUPLICATE", "UNIQUE")</f>
        <v>UNIQUE</v>
      </c>
      <c r="L468" s="18">
        <v>4</v>
      </c>
      <c r="M468" s="28">
        <v>27</v>
      </c>
      <c r="N468" s="6">
        <v>4</v>
      </c>
      <c r="O468" s="30">
        <f t="shared" si="46"/>
        <v>108</v>
      </c>
      <c r="P468" s="30">
        <f t="shared" si="47"/>
        <v>108</v>
      </c>
      <c r="Q468" s="1">
        <f>COUNTIFS($P:$P, "&gt;" &amp; $P468) + 1</f>
        <v>4438</v>
      </c>
      <c r="R468" s="63">
        <f>(COUNTIFS($P:$P, "&gt;" &amp; $P468) + 1) / (COUNTA($I:$I) - 1)</f>
        <v>0.88759999999999994</v>
      </c>
      <c r="S468" s="23">
        <f>SUMIFS($P:$P, $Q:$Q, "&lt;" &amp; $Q468)</f>
        <v>186530920</v>
      </c>
    </row>
    <row r="469" spans="1:19" x14ac:dyDescent="0.25">
      <c r="A469" s="1">
        <v>464</v>
      </c>
      <c r="B469" s="1" t="s">
        <v>2</v>
      </c>
      <c r="C469" s="1" t="str">
        <f>IF($B469 = "Production Item", _xlfn.XLOOKUP($A469, 'Instrument Table'!$J:$J, 'Instrument Table'!$B:$B, $C468), IF($B469 = "Service Item", _xlfn.XLOOKUP($A469, 'Instrument Table'!$I:$I, 'Instrument Table'!$B:$B, $C468), _xlfn.XLOOKUP($A469, 'Instrument Table'!$H:$H, 'Instrument Table'!$B:$B, $C468)))</f>
        <v>Grand Piano</v>
      </c>
      <c r="D469" s="1" t="str">
        <f>VLOOKUP($C469, 'Instrument Table'!$B:$C, 2, FALSE)</f>
        <v>Pianos</v>
      </c>
      <c r="E469" s="1">
        <f t="shared" si="42"/>
        <v>1</v>
      </c>
      <c r="F469" s="1">
        <f>_xlfn.XLOOKUP($C469, 'Instrument Table'!$B:$B, 'Instrument Table'!$A:$A, "")</f>
        <v>10</v>
      </c>
      <c r="G469" s="1" t="str">
        <f>TEXT(IF($B469 = "Retail Item", IF((ROW($A469) - 4504 - _xlfn.XMATCH($C469, $C$4506:$C$5005, 0, 1)) &lt;= VLOOKUP($C469, 'Instrument Table'!$B:$D, 3, FALSE), ROW($A469) - 4504 - _xlfn.XMATCH($C469, $C$4506:$C$5005, 0, 1), 0), 0), "00")</f>
        <v>00</v>
      </c>
      <c r="H469" s="1" t="str">
        <f t="shared" si="43"/>
        <v>463</v>
      </c>
      <c r="I469" s="1" t="str">
        <f t="shared" si="44"/>
        <v>11000-463</v>
      </c>
      <c r="J469" s="1" t="str">
        <f t="shared" si="45"/>
        <v>Grand piano production item #463</v>
      </c>
      <c r="K469" s="1" t="str">
        <f>IF(SUM(COUNTIFS(I:I, I469)) &gt; 1, "DUPLICATE", "UNIQUE")</f>
        <v>UNIQUE</v>
      </c>
      <c r="L469" s="18">
        <v>4</v>
      </c>
      <c r="M469" s="28">
        <v>19</v>
      </c>
      <c r="N469" s="6">
        <v>16</v>
      </c>
      <c r="O469" s="30">
        <f t="shared" si="46"/>
        <v>76</v>
      </c>
      <c r="P469" s="30">
        <f t="shared" si="47"/>
        <v>304</v>
      </c>
      <c r="Q469" s="1">
        <f>COUNTIFS($P:$P, "&gt;" &amp; $P469) + 1</f>
        <v>4210</v>
      </c>
      <c r="R469" s="63">
        <f>(COUNTIFS($P:$P, "&gt;" &amp; $P469) + 1) / (COUNTA($I:$I) - 1)</f>
        <v>0.84199999999999997</v>
      </c>
      <c r="S469" s="23">
        <f>SUMIFS($P:$P, $Q:$Q, "&lt;" &amp; $Q469)</f>
        <v>186483507</v>
      </c>
    </row>
    <row r="470" spans="1:19" x14ac:dyDescent="0.25">
      <c r="A470" s="1">
        <v>465</v>
      </c>
      <c r="B470" s="1" t="s">
        <v>2</v>
      </c>
      <c r="C470" s="1" t="str">
        <f>IF($B470 = "Production Item", _xlfn.XLOOKUP($A470, 'Instrument Table'!$J:$J, 'Instrument Table'!$B:$B, $C469), IF($B470 = "Service Item", _xlfn.XLOOKUP($A470, 'Instrument Table'!$I:$I, 'Instrument Table'!$B:$B, $C469), _xlfn.XLOOKUP($A470, 'Instrument Table'!$H:$H, 'Instrument Table'!$B:$B, $C469)))</f>
        <v>Grand Piano</v>
      </c>
      <c r="D470" s="1" t="str">
        <f>VLOOKUP($C470, 'Instrument Table'!$B:$C, 2, FALSE)</f>
        <v>Pianos</v>
      </c>
      <c r="E470" s="1">
        <f t="shared" si="42"/>
        <v>1</v>
      </c>
      <c r="F470" s="1">
        <f>_xlfn.XLOOKUP($C470, 'Instrument Table'!$B:$B, 'Instrument Table'!$A:$A, "")</f>
        <v>10</v>
      </c>
      <c r="G470" s="1" t="str">
        <f>TEXT(IF($B470 = "Retail Item", IF((ROW($A470) - 4504 - _xlfn.XMATCH($C470, $C$4506:$C$5005, 0, 1)) &lt;= VLOOKUP($C470, 'Instrument Table'!$B:$D, 3, FALSE), ROW($A470) - 4504 - _xlfn.XMATCH($C470, $C$4506:$C$5005, 0, 1), 0), 0), "00")</f>
        <v>00</v>
      </c>
      <c r="H470" s="1" t="str">
        <f t="shared" si="43"/>
        <v>464</v>
      </c>
      <c r="I470" s="1" t="str">
        <f t="shared" si="44"/>
        <v>11000-464</v>
      </c>
      <c r="J470" s="1" t="str">
        <f t="shared" si="45"/>
        <v>Grand piano production item #464</v>
      </c>
      <c r="K470" s="1" t="str">
        <f>IF(SUM(COUNTIFS(I:I, I470)) &gt; 1, "DUPLICATE", "UNIQUE")</f>
        <v>UNIQUE</v>
      </c>
      <c r="L470" s="18">
        <v>16</v>
      </c>
      <c r="M470" s="28">
        <v>29</v>
      </c>
      <c r="N470" s="6">
        <v>1</v>
      </c>
      <c r="O470" s="30">
        <f t="shared" si="46"/>
        <v>464</v>
      </c>
      <c r="P470" s="30">
        <f t="shared" si="47"/>
        <v>29</v>
      </c>
      <c r="Q470" s="1">
        <f>COUNTIFS($P:$P, "&gt;" &amp; $P470) + 1</f>
        <v>4671</v>
      </c>
      <c r="R470" s="63">
        <f>(COUNTIFS($P:$P, "&gt;" &amp; $P470) + 1) / (COUNTA($I:$I) - 1)</f>
        <v>0.93420000000000003</v>
      </c>
      <c r="S470" s="23">
        <f>SUMIFS($P:$P, $Q:$Q, "&lt;" &amp; $Q470)</f>
        <v>186546718</v>
      </c>
    </row>
    <row r="471" spans="1:19" x14ac:dyDescent="0.25">
      <c r="A471" s="1">
        <v>466</v>
      </c>
      <c r="B471" s="1" t="s">
        <v>2</v>
      </c>
      <c r="C471" s="1" t="str">
        <f>IF($B471 = "Production Item", _xlfn.XLOOKUP($A471, 'Instrument Table'!$J:$J, 'Instrument Table'!$B:$B, $C470), IF($B471 = "Service Item", _xlfn.XLOOKUP($A471, 'Instrument Table'!$I:$I, 'Instrument Table'!$B:$B, $C470), _xlfn.XLOOKUP($A471, 'Instrument Table'!$H:$H, 'Instrument Table'!$B:$B, $C470)))</f>
        <v>Grand Piano</v>
      </c>
      <c r="D471" s="1" t="str">
        <f>VLOOKUP($C471, 'Instrument Table'!$B:$C, 2, FALSE)</f>
        <v>Pianos</v>
      </c>
      <c r="E471" s="1">
        <f t="shared" si="42"/>
        <v>1</v>
      </c>
      <c r="F471" s="1">
        <f>_xlfn.XLOOKUP($C471, 'Instrument Table'!$B:$B, 'Instrument Table'!$A:$A, "")</f>
        <v>10</v>
      </c>
      <c r="G471" s="1" t="str">
        <f>TEXT(IF($B471 = "Retail Item", IF((ROW($A471) - 4504 - _xlfn.XMATCH($C471, $C$4506:$C$5005, 0, 1)) &lt;= VLOOKUP($C471, 'Instrument Table'!$B:$D, 3, FALSE), ROW($A471) - 4504 - _xlfn.XMATCH($C471, $C$4506:$C$5005, 0, 1), 0), 0), "00")</f>
        <v>00</v>
      </c>
      <c r="H471" s="1" t="str">
        <f t="shared" si="43"/>
        <v>465</v>
      </c>
      <c r="I471" s="1" t="str">
        <f t="shared" si="44"/>
        <v>11000-465</v>
      </c>
      <c r="J471" s="1" t="str">
        <f t="shared" si="45"/>
        <v>Grand piano production item #465</v>
      </c>
      <c r="K471" s="1" t="str">
        <f>IF(SUM(COUNTIFS(I:I, I471)) &gt; 1, "DUPLICATE", "UNIQUE")</f>
        <v>UNIQUE</v>
      </c>
      <c r="L471" s="18">
        <v>1</v>
      </c>
      <c r="M471" s="28">
        <v>4</v>
      </c>
      <c r="N471" s="6">
        <v>144</v>
      </c>
      <c r="O471" s="30">
        <f t="shared" si="46"/>
        <v>4</v>
      </c>
      <c r="P471" s="30">
        <f t="shared" si="47"/>
        <v>576</v>
      </c>
      <c r="Q471" s="1">
        <f>COUNTIFS($P:$P, "&gt;" &amp; $P471) + 1</f>
        <v>3957</v>
      </c>
      <c r="R471" s="63">
        <f>(COUNTIFS($P:$P, "&gt;" &amp; $P471) + 1) / (COUNTA($I:$I) - 1)</f>
        <v>0.79139999999999999</v>
      </c>
      <c r="S471" s="23">
        <f>SUMIFS($P:$P, $Q:$Q, "&lt;" &amp; $Q471)</f>
        <v>186374368</v>
      </c>
    </row>
    <row r="472" spans="1:19" x14ac:dyDescent="0.25">
      <c r="A472" s="1">
        <v>467</v>
      </c>
      <c r="B472" s="1" t="s">
        <v>2</v>
      </c>
      <c r="C472" s="1" t="str">
        <f>IF($B472 = "Production Item", _xlfn.XLOOKUP($A472, 'Instrument Table'!$J:$J, 'Instrument Table'!$B:$B, $C471), IF($B472 = "Service Item", _xlfn.XLOOKUP($A472, 'Instrument Table'!$I:$I, 'Instrument Table'!$B:$B, $C471), _xlfn.XLOOKUP($A472, 'Instrument Table'!$H:$H, 'Instrument Table'!$B:$B, $C471)))</f>
        <v>Grand Piano</v>
      </c>
      <c r="D472" s="1" t="str">
        <f>VLOOKUP($C472, 'Instrument Table'!$B:$C, 2, FALSE)</f>
        <v>Pianos</v>
      </c>
      <c r="E472" s="1">
        <f t="shared" si="42"/>
        <v>1</v>
      </c>
      <c r="F472" s="1">
        <f>_xlfn.XLOOKUP($C472, 'Instrument Table'!$B:$B, 'Instrument Table'!$A:$A, "")</f>
        <v>10</v>
      </c>
      <c r="G472" s="1" t="str">
        <f>TEXT(IF($B472 = "Retail Item", IF((ROW($A472) - 4504 - _xlfn.XMATCH($C472, $C$4506:$C$5005, 0, 1)) &lt;= VLOOKUP($C472, 'Instrument Table'!$B:$D, 3, FALSE), ROW($A472) - 4504 - _xlfn.XMATCH($C472, $C$4506:$C$5005, 0, 1), 0), 0), "00")</f>
        <v>00</v>
      </c>
      <c r="H472" s="1" t="str">
        <f t="shared" si="43"/>
        <v>466</v>
      </c>
      <c r="I472" s="1" t="str">
        <f t="shared" si="44"/>
        <v>11000-466</v>
      </c>
      <c r="J472" s="1" t="str">
        <f t="shared" si="45"/>
        <v>Grand piano production item #466</v>
      </c>
      <c r="K472" s="1" t="str">
        <f>IF(SUM(COUNTIFS(I:I, I472)) &gt; 1, "DUPLICATE", "UNIQUE")</f>
        <v>UNIQUE</v>
      </c>
      <c r="L472" s="18">
        <v>0</v>
      </c>
      <c r="M472" s="28">
        <v>29</v>
      </c>
      <c r="N472" s="6">
        <v>361</v>
      </c>
      <c r="O472" s="30">
        <f t="shared" si="46"/>
        <v>0</v>
      </c>
      <c r="P472" s="30">
        <f t="shared" si="47"/>
        <v>10469</v>
      </c>
      <c r="Q472" s="1">
        <f>COUNTIFS($P:$P, "&gt;" &amp; $P472) + 1</f>
        <v>1734</v>
      </c>
      <c r="R472" s="63">
        <f>(COUNTIFS($P:$P, "&gt;" &amp; $P472) + 1) / (COUNTA($I:$I) - 1)</f>
        <v>0.3468</v>
      </c>
      <c r="S472" s="23">
        <f>SUMIFS($P:$P, $Q:$Q, "&lt;" &amp; $Q472)</f>
        <v>177576029</v>
      </c>
    </row>
    <row r="473" spans="1:19" x14ac:dyDescent="0.25">
      <c r="A473" s="1">
        <v>468</v>
      </c>
      <c r="B473" s="1" t="s">
        <v>2</v>
      </c>
      <c r="C473" s="1" t="str">
        <f>IF($B473 = "Production Item", _xlfn.XLOOKUP($A473, 'Instrument Table'!$J:$J, 'Instrument Table'!$B:$B, $C472), IF($B473 = "Service Item", _xlfn.XLOOKUP($A473, 'Instrument Table'!$I:$I, 'Instrument Table'!$B:$B, $C472), _xlfn.XLOOKUP($A473, 'Instrument Table'!$H:$H, 'Instrument Table'!$B:$B, $C472)))</f>
        <v>Grand Piano</v>
      </c>
      <c r="D473" s="1" t="str">
        <f>VLOOKUP($C473, 'Instrument Table'!$B:$C, 2, FALSE)</f>
        <v>Pianos</v>
      </c>
      <c r="E473" s="1">
        <f t="shared" si="42"/>
        <v>1</v>
      </c>
      <c r="F473" s="1">
        <f>_xlfn.XLOOKUP($C473, 'Instrument Table'!$B:$B, 'Instrument Table'!$A:$A, "")</f>
        <v>10</v>
      </c>
      <c r="G473" s="1" t="str">
        <f>TEXT(IF($B473 = "Retail Item", IF((ROW($A473) - 4504 - _xlfn.XMATCH($C473, $C$4506:$C$5005, 0, 1)) &lt;= VLOOKUP($C473, 'Instrument Table'!$B:$D, 3, FALSE), ROW($A473) - 4504 - _xlfn.XMATCH($C473, $C$4506:$C$5005, 0, 1), 0), 0), "00")</f>
        <v>00</v>
      </c>
      <c r="H473" s="1" t="str">
        <f t="shared" si="43"/>
        <v>467</v>
      </c>
      <c r="I473" s="1" t="str">
        <f t="shared" si="44"/>
        <v>11000-467</v>
      </c>
      <c r="J473" s="1" t="str">
        <f t="shared" si="45"/>
        <v>Grand piano production item #467</v>
      </c>
      <c r="K473" s="1" t="str">
        <f>IF(SUM(COUNTIFS(I:I, I473)) &gt; 1, "DUPLICATE", "UNIQUE")</f>
        <v>UNIQUE</v>
      </c>
      <c r="L473" s="18">
        <v>1</v>
      </c>
      <c r="M473" s="28">
        <v>29</v>
      </c>
      <c r="N473" s="6">
        <v>4</v>
      </c>
      <c r="O473" s="30">
        <f t="shared" si="46"/>
        <v>29</v>
      </c>
      <c r="P473" s="30">
        <f t="shared" si="47"/>
        <v>116</v>
      </c>
      <c r="Q473" s="1">
        <f>COUNTIFS($P:$P, "&gt;" &amp; $P473) + 1</f>
        <v>4434</v>
      </c>
      <c r="R473" s="63">
        <f>(COUNTIFS($P:$P, "&gt;" &amp; $P473) + 1) / (COUNTA($I:$I) - 1)</f>
        <v>0.88680000000000003</v>
      </c>
      <c r="S473" s="23">
        <f>SUMIFS($P:$P, $Q:$Q, "&lt;" &amp; $Q473)</f>
        <v>186530464</v>
      </c>
    </row>
    <row r="474" spans="1:19" x14ac:dyDescent="0.25">
      <c r="A474" s="1">
        <v>469</v>
      </c>
      <c r="B474" s="1" t="s">
        <v>2</v>
      </c>
      <c r="C474" s="1" t="str">
        <f>IF($B474 = "Production Item", _xlfn.XLOOKUP($A474, 'Instrument Table'!$J:$J, 'Instrument Table'!$B:$B, $C473), IF($B474 = "Service Item", _xlfn.XLOOKUP($A474, 'Instrument Table'!$I:$I, 'Instrument Table'!$B:$B, $C473), _xlfn.XLOOKUP($A474, 'Instrument Table'!$H:$H, 'Instrument Table'!$B:$B, $C473)))</f>
        <v>Grand Piano</v>
      </c>
      <c r="D474" s="1" t="str">
        <f>VLOOKUP($C474, 'Instrument Table'!$B:$C, 2, FALSE)</f>
        <v>Pianos</v>
      </c>
      <c r="E474" s="1">
        <f t="shared" si="42"/>
        <v>1</v>
      </c>
      <c r="F474" s="1">
        <f>_xlfn.XLOOKUP($C474, 'Instrument Table'!$B:$B, 'Instrument Table'!$A:$A, "")</f>
        <v>10</v>
      </c>
      <c r="G474" s="1" t="str">
        <f>TEXT(IF($B474 = "Retail Item", IF((ROW($A474) - 4504 - _xlfn.XMATCH($C474, $C$4506:$C$5005, 0, 1)) &lt;= VLOOKUP($C474, 'Instrument Table'!$B:$D, 3, FALSE), ROW($A474) - 4504 - _xlfn.XMATCH($C474, $C$4506:$C$5005, 0, 1), 0), 0), "00")</f>
        <v>00</v>
      </c>
      <c r="H474" s="1" t="str">
        <f t="shared" si="43"/>
        <v>468</v>
      </c>
      <c r="I474" s="1" t="str">
        <f t="shared" si="44"/>
        <v>11000-468</v>
      </c>
      <c r="J474" s="1" t="str">
        <f t="shared" si="45"/>
        <v>Grand piano production item #468</v>
      </c>
      <c r="K474" s="1" t="str">
        <f>IF(SUM(COUNTIFS(I:I, I474)) &gt; 1, "DUPLICATE", "UNIQUE")</f>
        <v>UNIQUE</v>
      </c>
      <c r="L474" s="18">
        <v>1</v>
      </c>
      <c r="M474" s="28">
        <v>24</v>
      </c>
      <c r="N474" s="6">
        <v>64</v>
      </c>
      <c r="O474" s="30">
        <f t="shared" si="46"/>
        <v>24</v>
      </c>
      <c r="P474" s="30">
        <f t="shared" si="47"/>
        <v>1536</v>
      </c>
      <c r="Q474" s="1">
        <f>COUNTIFS($P:$P, "&gt;" &amp; $P474) + 1</f>
        <v>3444</v>
      </c>
      <c r="R474" s="63">
        <f>(COUNTIFS($P:$P, "&gt;" &amp; $P474) + 1) / (COUNTA($I:$I) - 1)</f>
        <v>0.68879999999999997</v>
      </c>
      <c r="S474" s="23">
        <f>SUMIFS($P:$P, $Q:$Q, "&lt;" &amp; $Q474)</f>
        <v>185854606</v>
      </c>
    </row>
    <row r="475" spans="1:19" x14ac:dyDescent="0.25">
      <c r="A475" s="1">
        <v>470</v>
      </c>
      <c r="B475" s="1" t="s">
        <v>2</v>
      </c>
      <c r="C475" s="1" t="str">
        <f>IF($B475 = "Production Item", _xlfn.XLOOKUP($A475, 'Instrument Table'!$J:$J, 'Instrument Table'!$B:$B, $C474), IF($B475 = "Service Item", _xlfn.XLOOKUP($A475, 'Instrument Table'!$I:$I, 'Instrument Table'!$B:$B, $C474), _xlfn.XLOOKUP($A475, 'Instrument Table'!$H:$H, 'Instrument Table'!$B:$B, $C474)))</f>
        <v>Grand Piano</v>
      </c>
      <c r="D475" s="1" t="str">
        <f>VLOOKUP($C475, 'Instrument Table'!$B:$C, 2, FALSE)</f>
        <v>Pianos</v>
      </c>
      <c r="E475" s="1">
        <f t="shared" si="42"/>
        <v>1</v>
      </c>
      <c r="F475" s="1">
        <f>_xlfn.XLOOKUP($C475, 'Instrument Table'!$B:$B, 'Instrument Table'!$A:$A, "")</f>
        <v>10</v>
      </c>
      <c r="G475" s="1" t="str">
        <f>TEXT(IF($B475 = "Retail Item", IF((ROW($A475) - 4504 - _xlfn.XMATCH($C475, $C$4506:$C$5005, 0, 1)) &lt;= VLOOKUP($C475, 'Instrument Table'!$B:$D, 3, FALSE), ROW($A475) - 4504 - _xlfn.XMATCH($C475, $C$4506:$C$5005, 0, 1), 0), 0), "00")</f>
        <v>00</v>
      </c>
      <c r="H475" s="1" t="str">
        <f t="shared" si="43"/>
        <v>469</v>
      </c>
      <c r="I475" s="1" t="str">
        <f t="shared" si="44"/>
        <v>11000-469</v>
      </c>
      <c r="J475" s="1" t="str">
        <f t="shared" si="45"/>
        <v>Grand piano production item #469</v>
      </c>
      <c r="K475" s="1" t="str">
        <f>IF(SUM(COUNTIFS(I:I, I475)) &gt; 1, "DUPLICATE", "UNIQUE")</f>
        <v>UNIQUE</v>
      </c>
      <c r="L475" s="18">
        <v>1</v>
      </c>
      <c r="M475" s="28">
        <v>18</v>
      </c>
      <c r="N475" s="6">
        <v>81</v>
      </c>
      <c r="O475" s="30">
        <f t="shared" si="46"/>
        <v>18</v>
      </c>
      <c r="P475" s="30">
        <f t="shared" si="47"/>
        <v>1458</v>
      </c>
      <c r="Q475" s="1">
        <f>COUNTIFS($P:$P, "&gt;" &amp; $P475) + 1</f>
        <v>3477</v>
      </c>
      <c r="R475" s="63">
        <f>(COUNTIFS($P:$P, "&gt;" &amp; $P475) + 1) / (COUNTA($I:$I) - 1)</f>
        <v>0.69540000000000002</v>
      </c>
      <c r="S475" s="23">
        <f>SUMIFS($P:$P, $Q:$Q, "&lt;" &amp; $Q475)</f>
        <v>185904150</v>
      </c>
    </row>
    <row r="476" spans="1:19" x14ac:dyDescent="0.25">
      <c r="A476" s="1">
        <v>471</v>
      </c>
      <c r="B476" s="1" t="s">
        <v>2</v>
      </c>
      <c r="C476" s="1" t="str">
        <f>IF($B476 = "Production Item", _xlfn.XLOOKUP($A476, 'Instrument Table'!$J:$J, 'Instrument Table'!$B:$B, $C475), IF($B476 = "Service Item", _xlfn.XLOOKUP($A476, 'Instrument Table'!$I:$I, 'Instrument Table'!$B:$B, $C475), _xlfn.XLOOKUP($A476, 'Instrument Table'!$H:$H, 'Instrument Table'!$B:$B, $C475)))</f>
        <v>Grand Piano</v>
      </c>
      <c r="D476" s="1" t="str">
        <f>VLOOKUP($C476, 'Instrument Table'!$B:$C, 2, FALSE)</f>
        <v>Pianos</v>
      </c>
      <c r="E476" s="1">
        <f t="shared" si="42"/>
        <v>1</v>
      </c>
      <c r="F476" s="1">
        <f>_xlfn.XLOOKUP($C476, 'Instrument Table'!$B:$B, 'Instrument Table'!$A:$A, "")</f>
        <v>10</v>
      </c>
      <c r="G476" s="1" t="str">
        <f>TEXT(IF($B476 = "Retail Item", IF((ROW($A476) - 4504 - _xlfn.XMATCH($C476, $C$4506:$C$5005, 0, 1)) &lt;= VLOOKUP($C476, 'Instrument Table'!$B:$D, 3, FALSE), ROW($A476) - 4504 - _xlfn.XMATCH($C476, $C$4506:$C$5005, 0, 1), 0), 0), "00")</f>
        <v>00</v>
      </c>
      <c r="H476" s="1" t="str">
        <f t="shared" si="43"/>
        <v>470</v>
      </c>
      <c r="I476" s="1" t="str">
        <f t="shared" si="44"/>
        <v>11000-470</v>
      </c>
      <c r="J476" s="1" t="str">
        <f t="shared" si="45"/>
        <v>Grand piano production item #470</v>
      </c>
      <c r="K476" s="1" t="str">
        <f>IF(SUM(COUNTIFS(I:I, I476)) &gt; 1, "DUPLICATE", "UNIQUE")</f>
        <v>UNIQUE</v>
      </c>
      <c r="L476" s="18">
        <v>2</v>
      </c>
      <c r="M476" s="28">
        <v>69</v>
      </c>
      <c r="N476" s="6">
        <v>196</v>
      </c>
      <c r="O476" s="30">
        <f t="shared" si="46"/>
        <v>138</v>
      </c>
      <c r="P476" s="30">
        <f t="shared" si="47"/>
        <v>13524</v>
      </c>
      <c r="Q476" s="1">
        <f>COUNTIFS($P:$P, "&gt;" &amp; $P476) + 1</f>
        <v>1459</v>
      </c>
      <c r="R476" s="63">
        <f>(COUNTIFS($P:$P, "&gt;" &amp; $P476) + 1) / (COUNTA($I:$I) - 1)</f>
        <v>0.2918</v>
      </c>
      <c r="S476" s="23">
        <f>SUMIFS($P:$P, $Q:$Q, "&lt;" &amp; $Q476)</f>
        <v>174295313</v>
      </c>
    </row>
    <row r="477" spans="1:19" x14ac:dyDescent="0.25">
      <c r="A477" s="1">
        <v>472</v>
      </c>
      <c r="B477" s="1" t="s">
        <v>2</v>
      </c>
      <c r="C477" s="1" t="str">
        <f>IF($B477 = "Production Item", _xlfn.XLOOKUP($A477, 'Instrument Table'!$J:$J, 'Instrument Table'!$B:$B, $C476), IF($B477 = "Service Item", _xlfn.XLOOKUP($A477, 'Instrument Table'!$I:$I, 'Instrument Table'!$B:$B, $C476), _xlfn.XLOOKUP($A477, 'Instrument Table'!$H:$H, 'Instrument Table'!$B:$B, $C476)))</f>
        <v>Grand Piano</v>
      </c>
      <c r="D477" s="1" t="str">
        <f>VLOOKUP($C477, 'Instrument Table'!$B:$C, 2, FALSE)</f>
        <v>Pianos</v>
      </c>
      <c r="E477" s="1">
        <f t="shared" si="42"/>
        <v>1</v>
      </c>
      <c r="F477" s="1">
        <f>_xlfn.XLOOKUP($C477, 'Instrument Table'!$B:$B, 'Instrument Table'!$A:$A, "")</f>
        <v>10</v>
      </c>
      <c r="G477" s="1" t="str">
        <f>TEXT(IF($B477 = "Retail Item", IF((ROW($A477) - 4504 - _xlfn.XMATCH($C477, $C$4506:$C$5005, 0, 1)) &lt;= VLOOKUP($C477, 'Instrument Table'!$B:$D, 3, FALSE), ROW($A477) - 4504 - _xlfn.XMATCH($C477, $C$4506:$C$5005, 0, 1), 0), 0), "00")</f>
        <v>00</v>
      </c>
      <c r="H477" s="1" t="str">
        <f t="shared" si="43"/>
        <v>471</v>
      </c>
      <c r="I477" s="1" t="str">
        <f t="shared" si="44"/>
        <v>11000-471</v>
      </c>
      <c r="J477" s="1" t="str">
        <f t="shared" si="45"/>
        <v>Grand piano production item #471</v>
      </c>
      <c r="K477" s="1" t="str">
        <f>IF(SUM(COUNTIFS(I:I, I477)) &gt; 1, "DUPLICATE", "UNIQUE")</f>
        <v>UNIQUE</v>
      </c>
      <c r="L477" s="18">
        <v>16</v>
      </c>
      <c r="M477" s="28">
        <v>12</v>
      </c>
      <c r="N477" s="6">
        <v>16</v>
      </c>
      <c r="O477" s="30">
        <f t="shared" si="46"/>
        <v>192</v>
      </c>
      <c r="P477" s="30">
        <f t="shared" si="47"/>
        <v>192</v>
      </c>
      <c r="Q477" s="1">
        <f>COUNTIFS($P:$P, "&gt;" &amp; $P477) + 1</f>
        <v>4340</v>
      </c>
      <c r="R477" s="63">
        <f>(COUNTIFS($P:$P, "&gt;" &amp; $P477) + 1) / (COUNTA($I:$I) - 1)</f>
        <v>0.86799999999999999</v>
      </c>
      <c r="S477" s="23">
        <f>SUMIFS($P:$P, $Q:$Q, "&lt;" &amp; $Q477)</f>
        <v>186515669</v>
      </c>
    </row>
    <row r="478" spans="1:19" x14ac:dyDescent="0.25">
      <c r="A478" s="1">
        <v>473</v>
      </c>
      <c r="B478" s="1" t="s">
        <v>2</v>
      </c>
      <c r="C478" s="1" t="str">
        <f>IF($B478 = "Production Item", _xlfn.XLOOKUP($A478, 'Instrument Table'!$J:$J, 'Instrument Table'!$B:$B, $C477), IF($B478 = "Service Item", _xlfn.XLOOKUP($A478, 'Instrument Table'!$I:$I, 'Instrument Table'!$B:$B, $C477), _xlfn.XLOOKUP($A478, 'Instrument Table'!$H:$H, 'Instrument Table'!$B:$B, $C477)))</f>
        <v>Grand Piano</v>
      </c>
      <c r="D478" s="1" t="str">
        <f>VLOOKUP($C478, 'Instrument Table'!$B:$C, 2, FALSE)</f>
        <v>Pianos</v>
      </c>
      <c r="E478" s="1">
        <f t="shared" si="42"/>
        <v>1</v>
      </c>
      <c r="F478" s="1">
        <f>_xlfn.XLOOKUP($C478, 'Instrument Table'!$B:$B, 'Instrument Table'!$A:$A, "")</f>
        <v>10</v>
      </c>
      <c r="G478" s="1" t="str">
        <f>TEXT(IF($B478 = "Retail Item", IF((ROW($A478) - 4504 - _xlfn.XMATCH($C478, $C$4506:$C$5005, 0, 1)) &lt;= VLOOKUP($C478, 'Instrument Table'!$B:$D, 3, FALSE), ROW($A478) - 4504 - _xlfn.XMATCH($C478, $C$4506:$C$5005, 0, 1), 0), 0), "00")</f>
        <v>00</v>
      </c>
      <c r="H478" s="1" t="str">
        <f t="shared" si="43"/>
        <v>472</v>
      </c>
      <c r="I478" s="1" t="str">
        <f t="shared" si="44"/>
        <v>11000-472</v>
      </c>
      <c r="J478" s="1" t="str">
        <f t="shared" si="45"/>
        <v>Grand piano production item #472</v>
      </c>
      <c r="K478" s="1" t="str">
        <f>IF(SUM(COUNTIFS(I:I, I478)) &gt; 1, "DUPLICATE", "UNIQUE")</f>
        <v>UNIQUE</v>
      </c>
      <c r="L478" s="18">
        <v>1</v>
      </c>
      <c r="M478" s="28">
        <v>97</v>
      </c>
      <c r="N478" s="6">
        <v>100</v>
      </c>
      <c r="O478" s="30">
        <f t="shared" si="46"/>
        <v>97</v>
      </c>
      <c r="P478" s="30">
        <f t="shared" si="47"/>
        <v>9700</v>
      </c>
      <c r="Q478" s="1">
        <f>COUNTIFS($P:$P, "&gt;" &amp; $P478) + 1</f>
        <v>1799</v>
      </c>
      <c r="R478" s="63">
        <f>(COUNTIFS($P:$P, "&gt;" &amp; $P478) + 1) / (COUNTA($I:$I) - 1)</f>
        <v>0.35980000000000001</v>
      </c>
      <c r="S478" s="23">
        <f>SUMIFS($P:$P, $Q:$Q, "&lt;" &amp; $Q478)</f>
        <v>178231608</v>
      </c>
    </row>
    <row r="479" spans="1:19" x14ac:dyDescent="0.25">
      <c r="A479" s="1">
        <v>474</v>
      </c>
      <c r="B479" s="1" t="s">
        <v>2</v>
      </c>
      <c r="C479" s="1" t="str">
        <f>IF($B479 = "Production Item", _xlfn.XLOOKUP($A479, 'Instrument Table'!$J:$J, 'Instrument Table'!$B:$B, $C478), IF($B479 = "Service Item", _xlfn.XLOOKUP($A479, 'Instrument Table'!$I:$I, 'Instrument Table'!$B:$B, $C478), _xlfn.XLOOKUP($A479, 'Instrument Table'!$H:$H, 'Instrument Table'!$B:$B, $C478)))</f>
        <v>Grand Piano</v>
      </c>
      <c r="D479" s="1" t="str">
        <f>VLOOKUP($C479, 'Instrument Table'!$B:$C, 2, FALSE)</f>
        <v>Pianos</v>
      </c>
      <c r="E479" s="1">
        <f t="shared" si="42"/>
        <v>1</v>
      </c>
      <c r="F479" s="1">
        <f>_xlfn.XLOOKUP($C479, 'Instrument Table'!$B:$B, 'Instrument Table'!$A:$A, "")</f>
        <v>10</v>
      </c>
      <c r="G479" s="1" t="str">
        <f>TEXT(IF($B479 = "Retail Item", IF((ROW($A479) - 4504 - _xlfn.XMATCH($C479, $C$4506:$C$5005, 0, 1)) &lt;= VLOOKUP($C479, 'Instrument Table'!$B:$D, 3, FALSE), ROW($A479) - 4504 - _xlfn.XMATCH($C479, $C$4506:$C$5005, 0, 1), 0), 0), "00")</f>
        <v>00</v>
      </c>
      <c r="H479" s="1" t="str">
        <f t="shared" si="43"/>
        <v>473</v>
      </c>
      <c r="I479" s="1" t="str">
        <f t="shared" si="44"/>
        <v>11000-473</v>
      </c>
      <c r="J479" s="1" t="str">
        <f t="shared" si="45"/>
        <v>Grand piano production item #473</v>
      </c>
      <c r="K479" s="1" t="str">
        <f>IF(SUM(COUNTIFS(I:I, I479)) &gt; 1, "DUPLICATE", "UNIQUE")</f>
        <v>UNIQUE</v>
      </c>
      <c r="L479" s="18">
        <v>2</v>
      </c>
      <c r="M479" s="28">
        <v>90</v>
      </c>
      <c r="N479" s="6">
        <v>4</v>
      </c>
      <c r="O479" s="30">
        <f t="shared" si="46"/>
        <v>180</v>
      </c>
      <c r="P479" s="30">
        <f t="shared" si="47"/>
        <v>360</v>
      </c>
      <c r="Q479" s="1">
        <f>COUNTIFS($P:$P, "&gt;" &amp; $P479) + 1</f>
        <v>4137</v>
      </c>
      <c r="R479" s="63">
        <f>(COUNTIFS($P:$P, "&gt;" &amp; $P479) + 1) / (COUNTA($I:$I) - 1)</f>
        <v>0.82740000000000002</v>
      </c>
      <c r="S479" s="23">
        <f>SUMIFS($P:$P, $Q:$Q, "&lt;" &amp; $Q479)</f>
        <v>186459069</v>
      </c>
    </row>
    <row r="480" spans="1:19" x14ac:dyDescent="0.25">
      <c r="A480" s="1">
        <v>475</v>
      </c>
      <c r="B480" s="1" t="s">
        <v>2</v>
      </c>
      <c r="C480" s="1" t="str">
        <f>IF($B480 = "Production Item", _xlfn.XLOOKUP($A480, 'Instrument Table'!$J:$J, 'Instrument Table'!$B:$B, $C479), IF($B480 = "Service Item", _xlfn.XLOOKUP($A480, 'Instrument Table'!$I:$I, 'Instrument Table'!$B:$B, $C479), _xlfn.XLOOKUP($A480, 'Instrument Table'!$H:$H, 'Instrument Table'!$B:$B, $C479)))</f>
        <v>Grand Piano</v>
      </c>
      <c r="D480" s="1" t="str">
        <f>VLOOKUP($C480, 'Instrument Table'!$B:$C, 2, FALSE)</f>
        <v>Pianos</v>
      </c>
      <c r="E480" s="1">
        <f t="shared" si="42"/>
        <v>1</v>
      </c>
      <c r="F480" s="1">
        <f>_xlfn.XLOOKUP($C480, 'Instrument Table'!$B:$B, 'Instrument Table'!$A:$A, "")</f>
        <v>10</v>
      </c>
      <c r="G480" s="1" t="str">
        <f>TEXT(IF($B480 = "Retail Item", IF((ROW($A480) - 4504 - _xlfn.XMATCH($C480, $C$4506:$C$5005, 0, 1)) &lt;= VLOOKUP($C480, 'Instrument Table'!$B:$D, 3, FALSE), ROW($A480) - 4504 - _xlfn.XMATCH($C480, $C$4506:$C$5005, 0, 1), 0), 0), "00")</f>
        <v>00</v>
      </c>
      <c r="H480" s="1" t="str">
        <f t="shared" si="43"/>
        <v>474</v>
      </c>
      <c r="I480" s="1" t="str">
        <f t="shared" si="44"/>
        <v>11000-474</v>
      </c>
      <c r="J480" s="1" t="str">
        <f t="shared" si="45"/>
        <v>Grand piano production item #474</v>
      </c>
      <c r="K480" s="1" t="str">
        <f>IF(SUM(COUNTIFS(I:I, I480)) &gt; 1, "DUPLICATE", "UNIQUE")</f>
        <v>UNIQUE</v>
      </c>
      <c r="L480" s="18">
        <v>1</v>
      </c>
      <c r="M480" s="28">
        <v>2</v>
      </c>
      <c r="N480" s="6">
        <v>9</v>
      </c>
      <c r="O480" s="30">
        <f t="shared" si="46"/>
        <v>2</v>
      </c>
      <c r="P480" s="30">
        <f t="shared" si="47"/>
        <v>18</v>
      </c>
      <c r="Q480" s="1">
        <f>COUNTIFS($P:$P, "&gt;" &amp; $P480) + 1</f>
        <v>4697</v>
      </c>
      <c r="R480" s="63">
        <f>(COUNTIFS($P:$P, "&gt;" &amp; $P480) + 1) / (COUNTA($I:$I) - 1)</f>
        <v>0.93940000000000001</v>
      </c>
      <c r="S480" s="23">
        <f>SUMIFS($P:$P, $Q:$Q, "&lt;" &amp; $Q480)</f>
        <v>186547339</v>
      </c>
    </row>
    <row r="481" spans="1:19" x14ac:dyDescent="0.25">
      <c r="A481" s="1">
        <v>476</v>
      </c>
      <c r="B481" s="1" t="s">
        <v>2</v>
      </c>
      <c r="C481" s="1" t="str">
        <f>IF($B481 = "Production Item", _xlfn.XLOOKUP($A481, 'Instrument Table'!$J:$J, 'Instrument Table'!$B:$B, $C480), IF($B481 = "Service Item", _xlfn.XLOOKUP($A481, 'Instrument Table'!$I:$I, 'Instrument Table'!$B:$B, $C480), _xlfn.XLOOKUP($A481, 'Instrument Table'!$H:$H, 'Instrument Table'!$B:$B, $C480)))</f>
        <v>Grand Piano</v>
      </c>
      <c r="D481" s="1" t="str">
        <f>VLOOKUP($C481, 'Instrument Table'!$B:$C, 2, FALSE)</f>
        <v>Pianos</v>
      </c>
      <c r="E481" s="1">
        <f t="shared" si="42"/>
        <v>1</v>
      </c>
      <c r="F481" s="1">
        <f>_xlfn.XLOOKUP($C481, 'Instrument Table'!$B:$B, 'Instrument Table'!$A:$A, "")</f>
        <v>10</v>
      </c>
      <c r="G481" s="1" t="str">
        <f>TEXT(IF($B481 = "Retail Item", IF((ROW($A481) - 4504 - _xlfn.XMATCH($C481, $C$4506:$C$5005, 0, 1)) &lt;= VLOOKUP($C481, 'Instrument Table'!$B:$D, 3, FALSE), ROW($A481) - 4504 - _xlfn.XMATCH($C481, $C$4506:$C$5005, 0, 1), 0), 0), "00")</f>
        <v>00</v>
      </c>
      <c r="H481" s="1" t="str">
        <f t="shared" si="43"/>
        <v>475</v>
      </c>
      <c r="I481" s="1" t="str">
        <f t="shared" si="44"/>
        <v>11000-475</v>
      </c>
      <c r="J481" s="1" t="str">
        <f t="shared" si="45"/>
        <v>Grand piano production item #475</v>
      </c>
      <c r="K481" s="1" t="str">
        <f>IF(SUM(COUNTIFS(I:I, I481)) &gt; 1, "DUPLICATE", "UNIQUE")</f>
        <v>UNIQUE</v>
      </c>
      <c r="L481" s="18">
        <v>1</v>
      </c>
      <c r="M481" s="28">
        <v>67</v>
      </c>
      <c r="N481" s="6">
        <v>36</v>
      </c>
      <c r="O481" s="30">
        <f t="shared" si="46"/>
        <v>67</v>
      </c>
      <c r="P481" s="30">
        <f t="shared" si="47"/>
        <v>2412</v>
      </c>
      <c r="Q481" s="1">
        <f>COUNTIFS($P:$P, "&gt;" &amp; $P481) + 1</f>
        <v>3081</v>
      </c>
      <c r="R481" s="63">
        <f>(COUNTIFS($P:$P, "&gt;" &amp; $P481) + 1) / (COUNTA($I:$I) - 1)</f>
        <v>0.61619999999999997</v>
      </c>
      <c r="S481" s="23">
        <f>SUMIFS($P:$P, $Q:$Q, "&lt;" &amp; $Q481)</f>
        <v>185136940</v>
      </c>
    </row>
    <row r="482" spans="1:19" x14ac:dyDescent="0.25">
      <c r="A482" s="1">
        <v>477</v>
      </c>
      <c r="B482" s="1" t="s">
        <v>2</v>
      </c>
      <c r="C482" s="1" t="str">
        <f>IF($B482 = "Production Item", _xlfn.XLOOKUP($A482, 'Instrument Table'!$J:$J, 'Instrument Table'!$B:$B, $C481), IF($B482 = "Service Item", _xlfn.XLOOKUP($A482, 'Instrument Table'!$I:$I, 'Instrument Table'!$B:$B, $C481), _xlfn.XLOOKUP($A482, 'Instrument Table'!$H:$H, 'Instrument Table'!$B:$B, $C481)))</f>
        <v>Grand Piano</v>
      </c>
      <c r="D482" s="1" t="str">
        <f>VLOOKUP($C482, 'Instrument Table'!$B:$C, 2, FALSE)</f>
        <v>Pianos</v>
      </c>
      <c r="E482" s="1">
        <f t="shared" si="42"/>
        <v>1</v>
      </c>
      <c r="F482" s="1">
        <f>_xlfn.XLOOKUP($C482, 'Instrument Table'!$B:$B, 'Instrument Table'!$A:$A, "")</f>
        <v>10</v>
      </c>
      <c r="G482" s="1" t="str">
        <f>TEXT(IF($B482 = "Retail Item", IF((ROW($A482) - 4504 - _xlfn.XMATCH($C482, $C$4506:$C$5005, 0, 1)) &lt;= VLOOKUP($C482, 'Instrument Table'!$B:$D, 3, FALSE), ROW($A482) - 4504 - _xlfn.XMATCH($C482, $C$4506:$C$5005, 0, 1), 0), 0), "00")</f>
        <v>00</v>
      </c>
      <c r="H482" s="1" t="str">
        <f t="shared" si="43"/>
        <v>476</v>
      </c>
      <c r="I482" s="1" t="str">
        <f t="shared" si="44"/>
        <v>11000-476</v>
      </c>
      <c r="J482" s="1" t="str">
        <f t="shared" si="45"/>
        <v>Grand piano production item #476</v>
      </c>
      <c r="K482" s="1" t="str">
        <f>IF(SUM(COUNTIFS(I:I, I482)) &gt; 1, "DUPLICATE", "UNIQUE")</f>
        <v>UNIQUE</v>
      </c>
      <c r="L482" s="18">
        <v>1</v>
      </c>
      <c r="M482" s="28">
        <v>16</v>
      </c>
      <c r="N482" s="6">
        <v>49</v>
      </c>
      <c r="O482" s="30">
        <f t="shared" si="46"/>
        <v>16</v>
      </c>
      <c r="P482" s="30">
        <f t="shared" si="47"/>
        <v>784</v>
      </c>
      <c r="Q482" s="1">
        <f>COUNTIFS($P:$P, "&gt;" &amp; $P482) + 1</f>
        <v>3800</v>
      </c>
      <c r="R482" s="63">
        <f>(COUNTIFS($P:$P, "&gt;" &amp; $P482) + 1) / (COUNTA($I:$I) - 1)</f>
        <v>0.76</v>
      </c>
      <c r="S482" s="23">
        <f>SUMIFS($P:$P, $Q:$Q, "&lt;" &amp; $Q482)</f>
        <v>186265643</v>
      </c>
    </row>
    <row r="483" spans="1:19" x14ac:dyDescent="0.25">
      <c r="A483" s="1">
        <v>478</v>
      </c>
      <c r="B483" s="1" t="s">
        <v>2</v>
      </c>
      <c r="C483" s="1" t="str">
        <f>IF($B483 = "Production Item", _xlfn.XLOOKUP($A483, 'Instrument Table'!$J:$J, 'Instrument Table'!$B:$B, $C482), IF($B483 = "Service Item", _xlfn.XLOOKUP($A483, 'Instrument Table'!$I:$I, 'Instrument Table'!$B:$B, $C482), _xlfn.XLOOKUP($A483, 'Instrument Table'!$H:$H, 'Instrument Table'!$B:$B, $C482)))</f>
        <v>Grand Piano</v>
      </c>
      <c r="D483" s="1" t="str">
        <f>VLOOKUP($C483, 'Instrument Table'!$B:$C, 2, FALSE)</f>
        <v>Pianos</v>
      </c>
      <c r="E483" s="1">
        <f t="shared" si="42"/>
        <v>1</v>
      </c>
      <c r="F483" s="1">
        <f>_xlfn.XLOOKUP($C483, 'Instrument Table'!$B:$B, 'Instrument Table'!$A:$A, "")</f>
        <v>10</v>
      </c>
      <c r="G483" s="1" t="str">
        <f>TEXT(IF($B483 = "Retail Item", IF((ROW($A483) - 4504 - _xlfn.XMATCH($C483, $C$4506:$C$5005, 0, 1)) &lt;= VLOOKUP($C483, 'Instrument Table'!$B:$D, 3, FALSE), ROW($A483) - 4504 - _xlfn.XMATCH($C483, $C$4506:$C$5005, 0, 1), 0), 0), "00")</f>
        <v>00</v>
      </c>
      <c r="H483" s="1" t="str">
        <f t="shared" si="43"/>
        <v>477</v>
      </c>
      <c r="I483" s="1" t="str">
        <f t="shared" si="44"/>
        <v>11000-477</v>
      </c>
      <c r="J483" s="1" t="str">
        <f t="shared" si="45"/>
        <v>Grand piano production item #477</v>
      </c>
      <c r="K483" s="1" t="str">
        <f>IF(SUM(COUNTIFS(I:I, I483)) &gt; 1, "DUPLICATE", "UNIQUE")</f>
        <v>UNIQUE</v>
      </c>
      <c r="L483" s="18">
        <v>32</v>
      </c>
      <c r="M483" s="28">
        <v>46</v>
      </c>
      <c r="N483" s="6">
        <v>400</v>
      </c>
      <c r="O483" s="30">
        <f t="shared" si="46"/>
        <v>1472</v>
      </c>
      <c r="P483" s="30">
        <f t="shared" si="47"/>
        <v>18400</v>
      </c>
      <c r="Q483" s="1">
        <f>COUNTIFS($P:$P, "&gt;" &amp; $P483) + 1</f>
        <v>1145</v>
      </c>
      <c r="R483" s="63">
        <f>(COUNTIFS($P:$P, "&gt;" &amp; $P483) + 1) / (COUNTA($I:$I) - 1)</f>
        <v>0.22900000000000001</v>
      </c>
      <c r="S483" s="23">
        <f>SUMIFS($P:$P, $Q:$Q, "&lt;" &amp; $Q483)</f>
        <v>169344813</v>
      </c>
    </row>
    <row r="484" spans="1:19" x14ac:dyDescent="0.25">
      <c r="A484" s="1">
        <v>479</v>
      </c>
      <c r="B484" s="1" t="s">
        <v>2</v>
      </c>
      <c r="C484" s="1" t="str">
        <f>IF($B484 = "Production Item", _xlfn.XLOOKUP($A484, 'Instrument Table'!$J:$J, 'Instrument Table'!$B:$B, $C483), IF($B484 = "Service Item", _xlfn.XLOOKUP($A484, 'Instrument Table'!$I:$I, 'Instrument Table'!$B:$B, $C483), _xlfn.XLOOKUP($A484, 'Instrument Table'!$H:$H, 'Instrument Table'!$B:$B, $C483)))</f>
        <v>Grand Piano</v>
      </c>
      <c r="D484" s="1" t="str">
        <f>VLOOKUP($C484, 'Instrument Table'!$B:$C, 2, FALSE)</f>
        <v>Pianos</v>
      </c>
      <c r="E484" s="1">
        <f t="shared" si="42"/>
        <v>1</v>
      </c>
      <c r="F484" s="1">
        <f>_xlfn.XLOOKUP($C484, 'Instrument Table'!$B:$B, 'Instrument Table'!$A:$A, "")</f>
        <v>10</v>
      </c>
      <c r="G484" s="1" t="str">
        <f>TEXT(IF($B484 = "Retail Item", IF((ROW($A484) - 4504 - _xlfn.XMATCH($C484, $C$4506:$C$5005, 0, 1)) &lt;= VLOOKUP($C484, 'Instrument Table'!$B:$D, 3, FALSE), ROW($A484) - 4504 - _xlfn.XMATCH($C484, $C$4506:$C$5005, 0, 1), 0), 0), "00")</f>
        <v>00</v>
      </c>
      <c r="H484" s="1" t="str">
        <f t="shared" si="43"/>
        <v>478</v>
      </c>
      <c r="I484" s="1" t="str">
        <f t="shared" si="44"/>
        <v>11000-478</v>
      </c>
      <c r="J484" s="1" t="str">
        <f t="shared" si="45"/>
        <v>Grand piano production item #478</v>
      </c>
      <c r="K484" s="1" t="str">
        <f>IF(SUM(COUNTIFS(I:I, I484)) &gt; 1, "DUPLICATE", "UNIQUE")</f>
        <v>UNIQUE</v>
      </c>
      <c r="L484" s="18">
        <v>2</v>
      </c>
      <c r="M484" s="28">
        <v>28</v>
      </c>
      <c r="N484" s="6">
        <v>4</v>
      </c>
      <c r="O484" s="30">
        <f t="shared" si="46"/>
        <v>56</v>
      </c>
      <c r="P484" s="30">
        <f t="shared" si="47"/>
        <v>112</v>
      </c>
      <c r="Q484" s="1">
        <f>COUNTIFS($P:$P, "&gt;" &amp; $P484) + 1</f>
        <v>4436</v>
      </c>
      <c r="R484" s="63">
        <f>(COUNTIFS($P:$P, "&gt;" &amp; $P484) + 1) / (COUNTA($I:$I) - 1)</f>
        <v>0.88719999999999999</v>
      </c>
      <c r="S484" s="23">
        <f>SUMIFS($P:$P, $Q:$Q, "&lt;" &amp; $Q484)</f>
        <v>186530696</v>
      </c>
    </row>
    <row r="485" spans="1:19" x14ac:dyDescent="0.25">
      <c r="A485" s="1">
        <v>480</v>
      </c>
      <c r="B485" s="1" t="s">
        <v>2</v>
      </c>
      <c r="C485" s="1" t="str">
        <f>IF($B485 = "Production Item", _xlfn.XLOOKUP($A485, 'Instrument Table'!$J:$J, 'Instrument Table'!$B:$B, $C484), IF($B485 = "Service Item", _xlfn.XLOOKUP($A485, 'Instrument Table'!$I:$I, 'Instrument Table'!$B:$B, $C484), _xlfn.XLOOKUP($A485, 'Instrument Table'!$H:$H, 'Instrument Table'!$B:$B, $C484)))</f>
        <v>Grand Piano</v>
      </c>
      <c r="D485" s="1" t="str">
        <f>VLOOKUP($C485, 'Instrument Table'!$B:$C, 2, FALSE)</f>
        <v>Pianos</v>
      </c>
      <c r="E485" s="1">
        <f t="shared" si="42"/>
        <v>1</v>
      </c>
      <c r="F485" s="1">
        <f>_xlfn.XLOOKUP($C485, 'Instrument Table'!$B:$B, 'Instrument Table'!$A:$A, "")</f>
        <v>10</v>
      </c>
      <c r="G485" s="1" t="str">
        <f>TEXT(IF($B485 = "Retail Item", IF((ROW($A485) - 4504 - _xlfn.XMATCH($C485, $C$4506:$C$5005, 0, 1)) &lt;= VLOOKUP($C485, 'Instrument Table'!$B:$D, 3, FALSE), ROW($A485) - 4504 - _xlfn.XMATCH($C485, $C$4506:$C$5005, 0, 1), 0), 0), "00")</f>
        <v>00</v>
      </c>
      <c r="H485" s="1" t="str">
        <f t="shared" si="43"/>
        <v>479</v>
      </c>
      <c r="I485" s="1" t="str">
        <f t="shared" si="44"/>
        <v>11000-479</v>
      </c>
      <c r="J485" s="1" t="str">
        <f t="shared" si="45"/>
        <v>Grand piano production item #479</v>
      </c>
      <c r="K485" s="1" t="str">
        <f>IF(SUM(COUNTIFS(I:I, I485)) &gt; 1, "DUPLICATE", "UNIQUE")</f>
        <v>UNIQUE</v>
      </c>
      <c r="L485" s="18">
        <v>1</v>
      </c>
      <c r="M485" s="28">
        <v>5</v>
      </c>
      <c r="N485" s="6">
        <v>324</v>
      </c>
      <c r="O485" s="30">
        <f t="shared" si="46"/>
        <v>5</v>
      </c>
      <c r="P485" s="30">
        <f t="shared" si="47"/>
        <v>1620</v>
      </c>
      <c r="Q485" s="1">
        <f>COUNTIFS($P:$P, "&gt;" &amp; $P485) + 1</f>
        <v>3392</v>
      </c>
      <c r="R485" s="63">
        <f>(COUNTIFS($P:$P, "&gt;" &amp; $P485) + 1) / (COUNTA($I:$I) - 1)</f>
        <v>0.6784</v>
      </c>
      <c r="S485" s="23">
        <f>SUMIFS($P:$P, $Q:$Q, "&lt;" &amp; $Q485)</f>
        <v>185772049</v>
      </c>
    </row>
    <row r="486" spans="1:19" x14ac:dyDescent="0.25">
      <c r="A486" s="1">
        <v>481</v>
      </c>
      <c r="B486" s="1" t="s">
        <v>2</v>
      </c>
      <c r="C486" s="1" t="str">
        <f>IF($B486 = "Production Item", _xlfn.XLOOKUP($A486, 'Instrument Table'!$J:$J, 'Instrument Table'!$B:$B, $C485), IF($B486 = "Service Item", _xlfn.XLOOKUP($A486, 'Instrument Table'!$I:$I, 'Instrument Table'!$B:$B, $C485), _xlfn.XLOOKUP($A486, 'Instrument Table'!$H:$H, 'Instrument Table'!$B:$B, $C485)))</f>
        <v>Grand Piano</v>
      </c>
      <c r="D486" s="1" t="str">
        <f>VLOOKUP($C486, 'Instrument Table'!$B:$C, 2, FALSE)</f>
        <v>Pianos</v>
      </c>
      <c r="E486" s="1">
        <f t="shared" si="42"/>
        <v>1</v>
      </c>
      <c r="F486" s="1">
        <f>_xlfn.XLOOKUP($C486, 'Instrument Table'!$B:$B, 'Instrument Table'!$A:$A, "")</f>
        <v>10</v>
      </c>
      <c r="G486" s="1" t="str">
        <f>TEXT(IF($B486 = "Retail Item", IF((ROW($A486) - 4504 - _xlfn.XMATCH($C486, $C$4506:$C$5005, 0, 1)) &lt;= VLOOKUP($C486, 'Instrument Table'!$B:$D, 3, FALSE), ROW($A486) - 4504 - _xlfn.XMATCH($C486, $C$4506:$C$5005, 0, 1), 0), 0), "00")</f>
        <v>00</v>
      </c>
      <c r="H486" s="1" t="str">
        <f t="shared" si="43"/>
        <v>480</v>
      </c>
      <c r="I486" s="1" t="str">
        <f t="shared" si="44"/>
        <v>11000-480</v>
      </c>
      <c r="J486" s="1" t="str">
        <f t="shared" si="45"/>
        <v>Grand piano production item #480</v>
      </c>
      <c r="K486" s="1" t="str">
        <f>IF(SUM(COUNTIFS(I:I, I486)) &gt; 1, "DUPLICATE", "UNIQUE")</f>
        <v>UNIQUE</v>
      </c>
      <c r="L486" s="18">
        <v>4</v>
      </c>
      <c r="M486" s="28">
        <v>31</v>
      </c>
      <c r="N486" s="6">
        <v>225</v>
      </c>
      <c r="O486" s="30">
        <f t="shared" si="46"/>
        <v>124</v>
      </c>
      <c r="P486" s="30">
        <f t="shared" si="47"/>
        <v>6975</v>
      </c>
      <c r="Q486" s="1">
        <f>COUNTIFS($P:$P, "&gt;" &amp; $P486) + 1</f>
        <v>2136</v>
      </c>
      <c r="R486" s="63">
        <f>(COUNTIFS($P:$P, "&gt;" &amp; $P486) + 1) / (COUNTA($I:$I) - 1)</f>
        <v>0.42720000000000002</v>
      </c>
      <c r="S486" s="23">
        <f>SUMIFS($P:$P, $Q:$Q, "&lt;" &amp; $Q486)</f>
        <v>181016478</v>
      </c>
    </row>
    <row r="487" spans="1:19" x14ac:dyDescent="0.25">
      <c r="A487" s="1">
        <v>482</v>
      </c>
      <c r="B487" s="1" t="s">
        <v>2</v>
      </c>
      <c r="C487" s="1" t="str">
        <f>IF($B487 = "Production Item", _xlfn.XLOOKUP($A487, 'Instrument Table'!$J:$J, 'Instrument Table'!$B:$B, $C486), IF($B487 = "Service Item", _xlfn.XLOOKUP($A487, 'Instrument Table'!$I:$I, 'Instrument Table'!$B:$B, $C486), _xlfn.XLOOKUP($A487, 'Instrument Table'!$H:$H, 'Instrument Table'!$B:$B, $C486)))</f>
        <v>Grand Piano</v>
      </c>
      <c r="D487" s="1" t="str">
        <f>VLOOKUP($C487, 'Instrument Table'!$B:$C, 2, FALSE)</f>
        <v>Pianos</v>
      </c>
      <c r="E487" s="1">
        <f t="shared" si="42"/>
        <v>1</v>
      </c>
      <c r="F487" s="1">
        <f>_xlfn.XLOOKUP($C487, 'Instrument Table'!$B:$B, 'Instrument Table'!$A:$A, "")</f>
        <v>10</v>
      </c>
      <c r="G487" s="1" t="str">
        <f>TEXT(IF($B487 = "Retail Item", IF((ROW($A487) - 4504 - _xlfn.XMATCH($C487, $C$4506:$C$5005, 0, 1)) &lt;= VLOOKUP($C487, 'Instrument Table'!$B:$D, 3, FALSE), ROW($A487) - 4504 - _xlfn.XMATCH($C487, $C$4506:$C$5005, 0, 1), 0), 0), "00")</f>
        <v>00</v>
      </c>
      <c r="H487" s="1" t="str">
        <f t="shared" si="43"/>
        <v>481</v>
      </c>
      <c r="I487" s="1" t="str">
        <f t="shared" si="44"/>
        <v>11000-481</v>
      </c>
      <c r="J487" s="1" t="str">
        <f t="shared" si="45"/>
        <v>Grand piano production item #481</v>
      </c>
      <c r="K487" s="1" t="str">
        <f>IF(SUM(COUNTIFS(I:I, I487)) &gt; 1, "DUPLICATE", "UNIQUE")</f>
        <v>UNIQUE</v>
      </c>
      <c r="L487" s="18">
        <v>4</v>
      </c>
      <c r="M487" s="28">
        <v>34</v>
      </c>
      <c r="N487" s="6">
        <v>49</v>
      </c>
      <c r="O487" s="30">
        <f t="shared" si="46"/>
        <v>136</v>
      </c>
      <c r="P487" s="30">
        <f t="shared" si="47"/>
        <v>1666</v>
      </c>
      <c r="Q487" s="1">
        <f>COUNTIFS($P:$P, "&gt;" &amp; $P487) + 1</f>
        <v>3383</v>
      </c>
      <c r="R487" s="63">
        <f>(COUNTIFS($P:$P, "&gt;" &amp; $P487) + 1) / (COUNTA($I:$I) - 1)</f>
        <v>0.67659999999999998</v>
      </c>
      <c r="S487" s="23">
        <f>SUMIFS($P:$P, $Q:$Q, "&lt;" &amp; $Q487)</f>
        <v>185757209</v>
      </c>
    </row>
    <row r="488" spans="1:19" x14ac:dyDescent="0.25">
      <c r="A488" s="1">
        <v>483</v>
      </c>
      <c r="B488" s="1" t="s">
        <v>2</v>
      </c>
      <c r="C488" s="1" t="str">
        <f>IF($B488 = "Production Item", _xlfn.XLOOKUP($A488, 'Instrument Table'!$J:$J, 'Instrument Table'!$B:$B, $C487), IF($B488 = "Service Item", _xlfn.XLOOKUP($A488, 'Instrument Table'!$I:$I, 'Instrument Table'!$B:$B, $C487), _xlfn.XLOOKUP($A488, 'Instrument Table'!$H:$H, 'Instrument Table'!$B:$B, $C487)))</f>
        <v>Grand Piano</v>
      </c>
      <c r="D488" s="1" t="str">
        <f>VLOOKUP($C488, 'Instrument Table'!$B:$C, 2, FALSE)</f>
        <v>Pianos</v>
      </c>
      <c r="E488" s="1">
        <f t="shared" si="42"/>
        <v>1</v>
      </c>
      <c r="F488" s="1">
        <f>_xlfn.XLOOKUP($C488, 'Instrument Table'!$B:$B, 'Instrument Table'!$A:$A, "")</f>
        <v>10</v>
      </c>
      <c r="G488" s="1" t="str">
        <f>TEXT(IF($B488 = "Retail Item", IF((ROW($A488) - 4504 - _xlfn.XMATCH($C488, $C$4506:$C$5005, 0, 1)) &lt;= VLOOKUP($C488, 'Instrument Table'!$B:$D, 3, FALSE), ROW($A488) - 4504 - _xlfn.XMATCH($C488, $C$4506:$C$5005, 0, 1), 0), 0), "00")</f>
        <v>00</v>
      </c>
      <c r="H488" s="1" t="str">
        <f t="shared" si="43"/>
        <v>482</v>
      </c>
      <c r="I488" s="1" t="str">
        <f t="shared" si="44"/>
        <v>11000-482</v>
      </c>
      <c r="J488" s="1" t="str">
        <f t="shared" si="45"/>
        <v>Grand piano production item #482</v>
      </c>
      <c r="K488" s="1" t="str">
        <f>IF(SUM(COUNTIFS(I:I, I488)) &gt; 1, "DUPLICATE", "UNIQUE")</f>
        <v>UNIQUE</v>
      </c>
      <c r="L488" s="18">
        <v>1</v>
      </c>
      <c r="M488" s="28">
        <v>65</v>
      </c>
      <c r="N488" s="6">
        <v>100</v>
      </c>
      <c r="O488" s="30">
        <f t="shared" si="46"/>
        <v>65</v>
      </c>
      <c r="P488" s="30">
        <f t="shared" si="47"/>
        <v>6500</v>
      </c>
      <c r="Q488" s="1">
        <f>COUNTIFS($P:$P, "&gt;" &amp; $P488) + 1</f>
        <v>2204</v>
      </c>
      <c r="R488" s="63">
        <f>(COUNTIFS($P:$P, "&gt;" &amp; $P488) + 1) / (COUNTA($I:$I) - 1)</f>
        <v>0.44080000000000003</v>
      </c>
      <c r="S488" s="23">
        <f>SUMIFS($P:$P, $Q:$Q, "&lt;" &amp; $Q488)</f>
        <v>181477594</v>
      </c>
    </row>
    <row r="489" spans="1:19" x14ac:dyDescent="0.25">
      <c r="A489" s="1">
        <v>484</v>
      </c>
      <c r="B489" s="1" t="s">
        <v>2</v>
      </c>
      <c r="C489" s="1" t="str">
        <f>IF($B489 = "Production Item", _xlfn.XLOOKUP($A489, 'Instrument Table'!$J:$J, 'Instrument Table'!$B:$B, $C488), IF($B489 = "Service Item", _xlfn.XLOOKUP($A489, 'Instrument Table'!$I:$I, 'Instrument Table'!$B:$B, $C488), _xlfn.XLOOKUP($A489, 'Instrument Table'!$H:$H, 'Instrument Table'!$B:$B, $C488)))</f>
        <v>Grand Piano</v>
      </c>
      <c r="D489" s="1" t="str">
        <f>VLOOKUP($C489, 'Instrument Table'!$B:$C, 2, FALSE)</f>
        <v>Pianos</v>
      </c>
      <c r="E489" s="1">
        <f t="shared" si="42"/>
        <v>1</v>
      </c>
      <c r="F489" s="1">
        <f>_xlfn.XLOOKUP($C489, 'Instrument Table'!$B:$B, 'Instrument Table'!$A:$A, "")</f>
        <v>10</v>
      </c>
      <c r="G489" s="1" t="str">
        <f>TEXT(IF($B489 = "Retail Item", IF((ROW($A489) - 4504 - _xlfn.XMATCH($C489, $C$4506:$C$5005, 0, 1)) &lt;= VLOOKUP($C489, 'Instrument Table'!$B:$D, 3, FALSE), ROW($A489) - 4504 - _xlfn.XMATCH($C489, $C$4506:$C$5005, 0, 1), 0), 0), "00")</f>
        <v>00</v>
      </c>
      <c r="H489" s="1" t="str">
        <f t="shared" si="43"/>
        <v>483</v>
      </c>
      <c r="I489" s="1" t="str">
        <f t="shared" si="44"/>
        <v>11000-483</v>
      </c>
      <c r="J489" s="1" t="str">
        <f t="shared" si="45"/>
        <v>Grand piano production item #483</v>
      </c>
      <c r="K489" s="1" t="str">
        <f>IF(SUM(COUNTIFS(I:I, I489)) &gt; 1, "DUPLICATE", "UNIQUE")</f>
        <v>UNIQUE</v>
      </c>
      <c r="L489" s="18">
        <v>1</v>
      </c>
      <c r="M489" s="28">
        <v>91</v>
      </c>
      <c r="N489" s="6">
        <v>196</v>
      </c>
      <c r="O489" s="30">
        <f t="shared" si="46"/>
        <v>91</v>
      </c>
      <c r="P489" s="30">
        <f t="shared" si="47"/>
        <v>17836</v>
      </c>
      <c r="Q489" s="1">
        <f>COUNTIFS($P:$P, "&gt;" &amp; $P489) + 1</f>
        <v>1172</v>
      </c>
      <c r="R489" s="63">
        <f>(COUNTIFS($P:$P, "&gt;" &amp; $P489) + 1) / (COUNTA($I:$I) - 1)</f>
        <v>0.2344</v>
      </c>
      <c r="S489" s="23">
        <f>SUMIFS($P:$P, $Q:$Q, "&lt;" &amp; $Q489)</f>
        <v>169834294</v>
      </c>
    </row>
    <row r="490" spans="1:19" x14ac:dyDescent="0.25">
      <c r="A490" s="1">
        <v>485</v>
      </c>
      <c r="B490" s="1" t="s">
        <v>2</v>
      </c>
      <c r="C490" s="1" t="str">
        <f>IF($B490 = "Production Item", _xlfn.XLOOKUP($A490, 'Instrument Table'!$J:$J, 'Instrument Table'!$B:$B, $C489), IF($B490 = "Service Item", _xlfn.XLOOKUP($A490, 'Instrument Table'!$I:$I, 'Instrument Table'!$B:$B, $C489), _xlfn.XLOOKUP($A490, 'Instrument Table'!$H:$H, 'Instrument Table'!$B:$B, $C489)))</f>
        <v>Grand Piano</v>
      </c>
      <c r="D490" s="1" t="str">
        <f>VLOOKUP($C490, 'Instrument Table'!$B:$C, 2, FALSE)</f>
        <v>Pianos</v>
      </c>
      <c r="E490" s="1">
        <f t="shared" si="42"/>
        <v>1</v>
      </c>
      <c r="F490" s="1">
        <f>_xlfn.XLOOKUP($C490, 'Instrument Table'!$B:$B, 'Instrument Table'!$A:$A, "")</f>
        <v>10</v>
      </c>
      <c r="G490" s="1" t="str">
        <f>TEXT(IF($B490 = "Retail Item", IF((ROW($A490) - 4504 - _xlfn.XMATCH($C490, $C$4506:$C$5005, 0, 1)) &lt;= VLOOKUP($C490, 'Instrument Table'!$B:$D, 3, FALSE), ROW($A490) - 4504 - _xlfn.XMATCH($C490, $C$4506:$C$5005, 0, 1), 0), 0), "00")</f>
        <v>00</v>
      </c>
      <c r="H490" s="1" t="str">
        <f t="shared" si="43"/>
        <v>484</v>
      </c>
      <c r="I490" s="1" t="str">
        <f t="shared" si="44"/>
        <v>11000-484</v>
      </c>
      <c r="J490" s="1" t="str">
        <f t="shared" si="45"/>
        <v>Grand piano production item #484</v>
      </c>
      <c r="K490" s="1" t="str">
        <f>IF(SUM(COUNTIFS(I:I, I490)) &gt; 1, "DUPLICATE", "UNIQUE")</f>
        <v>UNIQUE</v>
      </c>
      <c r="L490" s="18">
        <v>2</v>
      </c>
      <c r="M490" s="28">
        <v>10</v>
      </c>
      <c r="N490" s="6">
        <v>400</v>
      </c>
      <c r="O490" s="30">
        <f t="shared" si="46"/>
        <v>20</v>
      </c>
      <c r="P490" s="30">
        <f t="shared" si="47"/>
        <v>4000</v>
      </c>
      <c r="Q490" s="1">
        <f>COUNTIFS($P:$P, "&gt;" &amp; $P490) + 1</f>
        <v>2654</v>
      </c>
      <c r="R490" s="63">
        <f>(COUNTIFS($P:$P, "&gt;" &amp; $P490) + 1) / (COUNTA($I:$I) - 1)</f>
        <v>0.53080000000000005</v>
      </c>
      <c r="S490" s="23">
        <f>SUMIFS($P:$P, $Q:$Q, "&lt;" &amp; $Q490)</f>
        <v>183787076</v>
      </c>
    </row>
    <row r="491" spans="1:19" x14ac:dyDescent="0.25">
      <c r="A491" s="1">
        <v>486</v>
      </c>
      <c r="B491" s="1" t="s">
        <v>2</v>
      </c>
      <c r="C491" s="1" t="str">
        <f>IF($B491 = "Production Item", _xlfn.XLOOKUP($A491, 'Instrument Table'!$J:$J, 'Instrument Table'!$B:$B, $C490), IF($B491 = "Service Item", _xlfn.XLOOKUP($A491, 'Instrument Table'!$I:$I, 'Instrument Table'!$B:$B, $C490), _xlfn.XLOOKUP($A491, 'Instrument Table'!$H:$H, 'Instrument Table'!$B:$B, $C490)))</f>
        <v>Grand Piano</v>
      </c>
      <c r="D491" s="1" t="str">
        <f>VLOOKUP($C491, 'Instrument Table'!$B:$C, 2, FALSE)</f>
        <v>Pianos</v>
      </c>
      <c r="E491" s="1">
        <f t="shared" si="42"/>
        <v>1</v>
      </c>
      <c r="F491" s="1">
        <f>_xlfn.XLOOKUP($C491, 'Instrument Table'!$B:$B, 'Instrument Table'!$A:$A, "")</f>
        <v>10</v>
      </c>
      <c r="G491" s="1" t="str">
        <f>TEXT(IF($B491 = "Retail Item", IF((ROW($A491) - 4504 - _xlfn.XMATCH($C491, $C$4506:$C$5005, 0, 1)) &lt;= VLOOKUP($C491, 'Instrument Table'!$B:$D, 3, FALSE), ROW($A491) - 4504 - _xlfn.XMATCH($C491, $C$4506:$C$5005, 0, 1), 0), 0), "00")</f>
        <v>00</v>
      </c>
      <c r="H491" s="1" t="str">
        <f t="shared" si="43"/>
        <v>485</v>
      </c>
      <c r="I491" s="1" t="str">
        <f t="shared" si="44"/>
        <v>11000-485</v>
      </c>
      <c r="J491" s="1" t="str">
        <f t="shared" si="45"/>
        <v>Grand piano production item #485</v>
      </c>
      <c r="K491" s="1" t="str">
        <f>IF(SUM(COUNTIFS(I:I, I491)) &gt; 1, "DUPLICATE", "UNIQUE")</f>
        <v>UNIQUE</v>
      </c>
      <c r="L491" s="18">
        <v>1</v>
      </c>
      <c r="M491" s="28">
        <v>2</v>
      </c>
      <c r="N491" s="6">
        <v>9</v>
      </c>
      <c r="O491" s="30">
        <f t="shared" si="46"/>
        <v>2</v>
      </c>
      <c r="P491" s="30">
        <f t="shared" si="47"/>
        <v>18</v>
      </c>
      <c r="Q491" s="1">
        <f>COUNTIFS($P:$P, "&gt;" &amp; $P491) + 1</f>
        <v>4697</v>
      </c>
      <c r="R491" s="63">
        <f>(COUNTIFS($P:$P, "&gt;" &amp; $P491) + 1) / (COUNTA($I:$I) - 1)</f>
        <v>0.93940000000000001</v>
      </c>
      <c r="S491" s="23">
        <f>SUMIFS($P:$P, $Q:$Q, "&lt;" &amp; $Q491)</f>
        <v>186547339</v>
      </c>
    </row>
    <row r="492" spans="1:19" x14ac:dyDescent="0.25">
      <c r="A492" s="1">
        <v>487</v>
      </c>
      <c r="B492" s="1" t="s">
        <v>2</v>
      </c>
      <c r="C492" s="1" t="str">
        <f>IF($B492 = "Production Item", _xlfn.XLOOKUP($A492, 'Instrument Table'!$J:$J, 'Instrument Table'!$B:$B, $C491), IF($B492 = "Service Item", _xlfn.XLOOKUP($A492, 'Instrument Table'!$I:$I, 'Instrument Table'!$B:$B, $C491), _xlfn.XLOOKUP($A492, 'Instrument Table'!$H:$H, 'Instrument Table'!$B:$B, $C491)))</f>
        <v>Grand Piano</v>
      </c>
      <c r="D492" s="1" t="str">
        <f>VLOOKUP($C492, 'Instrument Table'!$B:$C, 2, FALSE)</f>
        <v>Pianos</v>
      </c>
      <c r="E492" s="1">
        <f t="shared" si="42"/>
        <v>1</v>
      </c>
      <c r="F492" s="1">
        <f>_xlfn.XLOOKUP($C492, 'Instrument Table'!$B:$B, 'Instrument Table'!$A:$A, "")</f>
        <v>10</v>
      </c>
      <c r="G492" s="1" t="str">
        <f>TEXT(IF($B492 = "Retail Item", IF((ROW($A492) - 4504 - _xlfn.XMATCH($C492, $C$4506:$C$5005, 0, 1)) &lt;= VLOOKUP($C492, 'Instrument Table'!$B:$D, 3, FALSE), ROW($A492) - 4504 - _xlfn.XMATCH($C492, $C$4506:$C$5005, 0, 1), 0), 0), "00")</f>
        <v>00</v>
      </c>
      <c r="H492" s="1" t="str">
        <f t="shared" si="43"/>
        <v>486</v>
      </c>
      <c r="I492" s="1" t="str">
        <f t="shared" si="44"/>
        <v>11000-486</v>
      </c>
      <c r="J492" s="1" t="str">
        <f t="shared" si="45"/>
        <v>Grand piano production item #486</v>
      </c>
      <c r="K492" s="1" t="str">
        <f>IF(SUM(COUNTIFS(I:I, I492)) &gt; 1, "DUPLICATE", "UNIQUE")</f>
        <v>UNIQUE</v>
      </c>
      <c r="L492" s="18">
        <v>2</v>
      </c>
      <c r="M492" s="28">
        <v>3</v>
      </c>
      <c r="N492" s="6">
        <v>324</v>
      </c>
      <c r="O492" s="30">
        <f t="shared" si="46"/>
        <v>6</v>
      </c>
      <c r="P492" s="30">
        <f t="shared" si="47"/>
        <v>972</v>
      </c>
      <c r="Q492" s="1">
        <f>COUNTIFS($P:$P, "&gt;" &amp; $P492) + 1</f>
        <v>3695</v>
      </c>
      <c r="R492" s="63">
        <f>(COUNTIFS($P:$P, "&gt;" &amp; $P492) + 1) / (COUNTA($I:$I) - 1)</f>
        <v>0.73899999999999999</v>
      </c>
      <c r="S492" s="23">
        <f>SUMIFS($P:$P, $Q:$Q, "&lt;" &amp; $Q492)</f>
        <v>186173978</v>
      </c>
    </row>
    <row r="493" spans="1:19" x14ac:dyDescent="0.25">
      <c r="A493" s="1">
        <v>488</v>
      </c>
      <c r="B493" s="1" t="s">
        <v>2</v>
      </c>
      <c r="C493" s="1" t="str">
        <f>IF($B493 = "Production Item", _xlfn.XLOOKUP($A493, 'Instrument Table'!$J:$J, 'Instrument Table'!$B:$B, $C492), IF($B493 = "Service Item", _xlfn.XLOOKUP($A493, 'Instrument Table'!$I:$I, 'Instrument Table'!$B:$B, $C492), _xlfn.XLOOKUP($A493, 'Instrument Table'!$H:$H, 'Instrument Table'!$B:$B, $C492)))</f>
        <v>Grand Piano</v>
      </c>
      <c r="D493" s="1" t="str">
        <f>VLOOKUP($C493, 'Instrument Table'!$B:$C, 2, FALSE)</f>
        <v>Pianos</v>
      </c>
      <c r="E493" s="1">
        <f t="shared" si="42"/>
        <v>1</v>
      </c>
      <c r="F493" s="1">
        <f>_xlfn.XLOOKUP($C493, 'Instrument Table'!$B:$B, 'Instrument Table'!$A:$A, "")</f>
        <v>10</v>
      </c>
      <c r="G493" s="1" t="str">
        <f>TEXT(IF($B493 = "Retail Item", IF((ROW($A493) - 4504 - _xlfn.XMATCH($C493, $C$4506:$C$5005, 0, 1)) &lt;= VLOOKUP($C493, 'Instrument Table'!$B:$D, 3, FALSE), ROW($A493) - 4504 - _xlfn.XMATCH($C493, $C$4506:$C$5005, 0, 1), 0), 0), "00")</f>
        <v>00</v>
      </c>
      <c r="H493" s="1" t="str">
        <f t="shared" si="43"/>
        <v>487</v>
      </c>
      <c r="I493" s="1" t="str">
        <f t="shared" si="44"/>
        <v>11000-487</v>
      </c>
      <c r="J493" s="1" t="str">
        <f t="shared" si="45"/>
        <v>Grand piano production item #487</v>
      </c>
      <c r="K493" s="1" t="str">
        <f>IF(SUM(COUNTIFS(I:I, I493)) &gt; 1, "DUPLICATE", "UNIQUE")</f>
        <v>UNIQUE</v>
      </c>
      <c r="L493" s="18">
        <v>32</v>
      </c>
      <c r="M493" s="28">
        <v>51</v>
      </c>
      <c r="N493" s="6">
        <v>64</v>
      </c>
      <c r="O493" s="30">
        <f t="shared" si="46"/>
        <v>1632</v>
      </c>
      <c r="P493" s="30">
        <f t="shared" si="47"/>
        <v>3264</v>
      </c>
      <c r="Q493" s="1">
        <f>COUNTIFS($P:$P, "&gt;" &amp; $P493) + 1</f>
        <v>2838</v>
      </c>
      <c r="R493" s="63">
        <f>(COUNTIFS($P:$P, "&gt;" &amp; $P493) + 1) / (COUNTA($I:$I) - 1)</f>
        <v>0.56759999999999999</v>
      </c>
      <c r="S493" s="23">
        <f>SUMIFS($P:$P, $Q:$Q, "&lt;" &amp; $Q493)</f>
        <v>184452926</v>
      </c>
    </row>
    <row r="494" spans="1:19" x14ac:dyDescent="0.25">
      <c r="A494" s="1">
        <v>489</v>
      </c>
      <c r="B494" s="1" t="s">
        <v>2</v>
      </c>
      <c r="C494" s="1" t="str">
        <f>IF($B494 = "Production Item", _xlfn.XLOOKUP($A494, 'Instrument Table'!$J:$J, 'Instrument Table'!$B:$B, $C493), IF($B494 = "Service Item", _xlfn.XLOOKUP($A494, 'Instrument Table'!$I:$I, 'Instrument Table'!$B:$B, $C493), _xlfn.XLOOKUP($A494, 'Instrument Table'!$H:$H, 'Instrument Table'!$B:$B, $C493)))</f>
        <v>Grand Piano</v>
      </c>
      <c r="D494" s="1" t="str">
        <f>VLOOKUP($C494, 'Instrument Table'!$B:$C, 2, FALSE)</f>
        <v>Pianos</v>
      </c>
      <c r="E494" s="1">
        <f t="shared" si="42"/>
        <v>1</v>
      </c>
      <c r="F494" s="1">
        <f>_xlfn.XLOOKUP($C494, 'Instrument Table'!$B:$B, 'Instrument Table'!$A:$A, "")</f>
        <v>10</v>
      </c>
      <c r="G494" s="1" t="str">
        <f>TEXT(IF($B494 = "Retail Item", IF((ROW($A494) - 4504 - _xlfn.XMATCH($C494, $C$4506:$C$5005, 0, 1)) &lt;= VLOOKUP($C494, 'Instrument Table'!$B:$D, 3, FALSE), ROW($A494) - 4504 - _xlfn.XMATCH($C494, $C$4506:$C$5005, 0, 1), 0), 0), "00")</f>
        <v>00</v>
      </c>
      <c r="H494" s="1" t="str">
        <f t="shared" si="43"/>
        <v>488</v>
      </c>
      <c r="I494" s="1" t="str">
        <f t="shared" si="44"/>
        <v>11000-488</v>
      </c>
      <c r="J494" s="1" t="str">
        <f t="shared" si="45"/>
        <v>Grand piano production item #488</v>
      </c>
      <c r="K494" s="1" t="str">
        <f>IF(SUM(COUNTIFS(I:I, I494)) &gt; 1, "DUPLICATE", "UNIQUE")</f>
        <v>UNIQUE</v>
      </c>
      <c r="L494" s="18">
        <v>1</v>
      </c>
      <c r="M494" s="28">
        <v>56</v>
      </c>
      <c r="N494" s="6">
        <v>144</v>
      </c>
      <c r="O494" s="30">
        <f t="shared" si="46"/>
        <v>56</v>
      </c>
      <c r="P494" s="30">
        <f t="shared" si="47"/>
        <v>8064</v>
      </c>
      <c r="Q494" s="1">
        <f>COUNTIFS($P:$P, "&gt;" &amp; $P494) + 1</f>
        <v>1980</v>
      </c>
      <c r="R494" s="63">
        <f>(COUNTIFS($P:$P, "&gt;" &amp; $P494) + 1) / (COUNTA($I:$I) - 1)</f>
        <v>0.39600000000000002</v>
      </c>
      <c r="S494" s="23">
        <f>SUMIFS($P:$P, $Q:$Q, "&lt;" &amp; $Q494)</f>
        <v>179836702</v>
      </c>
    </row>
    <row r="495" spans="1:19" x14ac:dyDescent="0.25">
      <c r="A495" s="1">
        <v>490</v>
      </c>
      <c r="B495" s="1" t="s">
        <v>2</v>
      </c>
      <c r="C495" s="1" t="str">
        <f>IF($B495 = "Production Item", _xlfn.XLOOKUP($A495, 'Instrument Table'!$J:$J, 'Instrument Table'!$B:$B, $C494), IF($B495 = "Service Item", _xlfn.XLOOKUP($A495, 'Instrument Table'!$I:$I, 'Instrument Table'!$B:$B, $C494), _xlfn.XLOOKUP($A495, 'Instrument Table'!$H:$H, 'Instrument Table'!$B:$B, $C494)))</f>
        <v>Grand Piano</v>
      </c>
      <c r="D495" s="1" t="str">
        <f>VLOOKUP($C495, 'Instrument Table'!$B:$C, 2, FALSE)</f>
        <v>Pianos</v>
      </c>
      <c r="E495" s="1">
        <f t="shared" si="42"/>
        <v>1</v>
      </c>
      <c r="F495" s="1">
        <f>_xlfn.XLOOKUP($C495, 'Instrument Table'!$B:$B, 'Instrument Table'!$A:$A, "")</f>
        <v>10</v>
      </c>
      <c r="G495" s="1" t="str">
        <f>TEXT(IF($B495 = "Retail Item", IF((ROW($A495) - 4504 - _xlfn.XMATCH($C495, $C$4506:$C$5005, 0, 1)) &lt;= VLOOKUP($C495, 'Instrument Table'!$B:$D, 3, FALSE), ROW($A495) - 4504 - _xlfn.XMATCH($C495, $C$4506:$C$5005, 0, 1), 0), 0), "00")</f>
        <v>00</v>
      </c>
      <c r="H495" s="1" t="str">
        <f t="shared" si="43"/>
        <v>489</v>
      </c>
      <c r="I495" s="1" t="str">
        <f t="shared" si="44"/>
        <v>11000-489</v>
      </c>
      <c r="J495" s="1" t="str">
        <f t="shared" si="45"/>
        <v>Grand piano production item #489</v>
      </c>
      <c r="K495" s="1" t="str">
        <f>IF(SUM(COUNTIFS(I:I, I495)) &gt; 1, "DUPLICATE", "UNIQUE")</f>
        <v>UNIQUE</v>
      </c>
      <c r="L495" s="18">
        <v>0</v>
      </c>
      <c r="M495" s="28">
        <v>55</v>
      </c>
      <c r="N495" s="6">
        <v>4</v>
      </c>
      <c r="O495" s="30">
        <f t="shared" si="46"/>
        <v>0</v>
      </c>
      <c r="P495" s="30">
        <f t="shared" si="47"/>
        <v>220</v>
      </c>
      <c r="Q495" s="1">
        <f>COUNTIFS($P:$P, "&gt;" &amp; $P495) + 1</f>
        <v>4302</v>
      </c>
      <c r="R495" s="63">
        <f>(COUNTIFS($P:$P, "&gt;" &amp; $P495) + 1) / (COUNTA($I:$I) - 1)</f>
        <v>0.86040000000000005</v>
      </c>
      <c r="S495" s="23">
        <f>SUMIFS($P:$P, $Q:$Q, "&lt;" &amp; $Q495)</f>
        <v>186507886</v>
      </c>
    </row>
    <row r="496" spans="1:19" x14ac:dyDescent="0.25">
      <c r="A496" s="1">
        <v>491</v>
      </c>
      <c r="B496" s="1" t="s">
        <v>2</v>
      </c>
      <c r="C496" s="1" t="str">
        <f>IF($B496 = "Production Item", _xlfn.XLOOKUP($A496, 'Instrument Table'!$J:$J, 'Instrument Table'!$B:$B, $C495), IF($B496 = "Service Item", _xlfn.XLOOKUP($A496, 'Instrument Table'!$I:$I, 'Instrument Table'!$B:$B, $C495), _xlfn.XLOOKUP($A496, 'Instrument Table'!$H:$H, 'Instrument Table'!$B:$B, $C495)))</f>
        <v>Grand Piano</v>
      </c>
      <c r="D496" s="1" t="str">
        <f>VLOOKUP($C496, 'Instrument Table'!$B:$C, 2, FALSE)</f>
        <v>Pianos</v>
      </c>
      <c r="E496" s="1">
        <f t="shared" si="42"/>
        <v>1</v>
      </c>
      <c r="F496" s="1">
        <f>_xlfn.XLOOKUP($C496, 'Instrument Table'!$B:$B, 'Instrument Table'!$A:$A, "")</f>
        <v>10</v>
      </c>
      <c r="G496" s="1" t="str">
        <f>TEXT(IF($B496 = "Retail Item", IF((ROW($A496) - 4504 - _xlfn.XMATCH($C496, $C$4506:$C$5005, 0, 1)) &lt;= VLOOKUP($C496, 'Instrument Table'!$B:$D, 3, FALSE), ROW($A496) - 4504 - _xlfn.XMATCH($C496, $C$4506:$C$5005, 0, 1), 0), 0), "00")</f>
        <v>00</v>
      </c>
      <c r="H496" s="1" t="str">
        <f t="shared" si="43"/>
        <v>490</v>
      </c>
      <c r="I496" s="1" t="str">
        <f t="shared" si="44"/>
        <v>11000-490</v>
      </c>
      <c r="J496" s="1" t="str">
        <f t="shared" si="45"/>
        <v>Grand piano production item #490</v>
      </c>
      <c r="K496" s="1" t="str">
        <f>IF(SUM(COUNTIFS(I:I, I496)) &gt; 1, "DUPLICATE", "UNIQUE")</f>
        <v>UNIQUE</v>
      </c>
      <c r="L496" s="18">
        <v>0</v>
      </c>
      <c r="M496" s="28">
        <v>74</v>
      </c>
      <c r="N496" s="6">
        <v>64</v>
      </c>
      <c r="O496" s="30">
        <f t="shared" si="46"/>
        <v>0</v>
      </c>
      <c r="P496" s="30">
        <f t="shared" si="47"/>
        <v>4736</v>
      </c>
      <c r="Q496" s="1">
        <f>COUNTIFS($P:$P, "&gt;" &amp; $P496) + 1</f>
        <v>2494</v>
      </c>
      <c r="R496" s="63">
        <f>(COUNTIFS($P:$P, "&gt;" &amp; $P496) + 1) / (COUNTA($I:$I) - 1)</f>
        <v>0.49880000000000002</v>
      </c>
      <c r="S496" s="23">
        <f>SUMIFS($P:$P, $Q:$Q, "&lt;" &amp; $Q496)</f>
        <v>183086836</v>
      </c>
    </row>
    <row r="497" spans="1:19" x14ac:dyDescent="0.25">
      <c r="A497" s="1">
        <v>492</v>
      </c>
      <c r="B497" s="1" t="s">
        <v>2</v>
      </c>
      <c r="C497" s="1" t="str">
        <f>IF($B497 = "Production Item", _xlfn.XLOOKUP($A497, 'Instrument Table'!$J:$J, 'Instrument Table'!$B:$B, $C496), IF($B497 = "Service Item", _xlfn.XLOOKUP($A497, 'Instrument Table'!$I:$I, 'Instrument Table'!$B:$B, $C496), _xlfn.XLOOKUP($A497, 'Instrument Table'!$H:$H, 'Instrument Table'!$B:$B, $C496)))</f>
        <v>Grand Piano</v>
      </c>
      <c r="D497" s="1" t="str">
        <f>VLOOKUP($C497, 'Instrument Table'!$B:$C, 2, FALSE)</f>
        <v>Pianos</v>
      </c>
      <c r="E497" s="1">
        <f t="shared" si="42"/>
        <v>1</v>
      </c>
      <c r="F497" s="1">
        <f>_xlfn.XLOOKUP($C497, 'Instrument Table'!$B:$B, 'Instrument Table'!$A:$A, "")</f>
        <v>10</v>
      </c>
      <c r="G497" s="1" t="str">
        <f>TEXT(IF($B497 = "Retail Item", IF((ROW($A497) - 4504 - _xlfn.XMATCH($C497, $C$4506:$C$5005, 0, 1)) &lt;= VLOOKUP($C497, 'Instrument Table'!$B:$D, 3, FALSE), ROW($A497) - 4504 - _xlfn.XMATCH($C497, $C$4506:$C$5005, 0, 1), 0), 0), "00")</f>
        <v>00</v>
      </c>
      <c r="H497" s="1" t="str">
        <f t="shared" si="43"/>
        <v>491</v>
      </c>
      <c r="I497" s="1" t="str">
        <f t="shared" si="44"/>
        <v>11000-491</v>
      </c>
      <c r="J497" s="1" t="str">
        <f t="shared" si="45"/>
        <v>Grand piano production item #491</v>
      </c>
      <c r="K497" s="1" t="str">
        <f>IF(SUM(COUNTIFS(I:I, I497)) &gt; 1, "DUPLICATE", "UNIQUE")</f>
        <v>UNIQUE</v>
      </c>
      <c r="L497" s="18">
        <v>1</v>
      </c>
      <c r="M497" s="28">
        <v>84</v>
      </c>
      <c r="N497" s="6">
        <v>400</v>
      </c>
      <c r="O497" s="30">
        <f t="shared" si="46"/>
        <v>84</v>
      </c>
      <c r="P497" s="30">
        <f t="shared" si="47"/>
        <v>33600</v>
      </c>
      <c r="Q497" s="1">
        <f>COUNTIFS($P:$P, "&gt;" &amp; $P497) + 1</f>
        <v>621</v>
      </c>
      <c r="R497" s="63">
        <f>(COUNTIFS($P:$P, "&gt;" &amp; $P497) + 1) / (COUNTA($I:$I) - 1)</f>
        <v>0.1242</v>
      </c>
      <c r="S497" s="23">
        <f>SUMIFS($P:$P, $Q:$Q, "&lt;" &amp; $Q497)</f>
        <v>156596921</v>
      </c>
    </row>
    <row r="498" spans="1:19" x14ac:dyDescent="0.25">
      <c r="A498" s="1">
        <v>493</v>
      </c>
      <c r="B498" s="1" t="s">
        <v>2</v>
      </c>
      <c r="C498" s="1" t="str">
        <f>IF($B498 = "Production Item", _xlfn.XLOOKUP($A498, 'Instrument Table'!$J:$J, 'Instrument Table'!$B:$B, $C497), IF($B498 = "Service Item", _xlfn.XLOOKUP($A498, 'Instrument Table'!$I:$I, 'Instrument Table'!$B:$B, $C497), _xlfn.XLOOKUP($A498, 'Instrument Table'!$H:$H, 'Instrument Table'!$B:$B, $C497)))</f>
        <v>Grand Piano</v>
      </c>
      <c r="D498" s="1" t="str">
        <f>VLOOKUP($C498, 'Instrument Table'!$B:$C, 2, FALSE)</f>
        <v>Pianos</v>
      </c>
      <c r="E498" s="1">
        <f t="shared" si="42"/>
        <v>1</v>
      </c>
      <c r="F498" s="1">
        <f>_xlfn.XLOOKUP($C498, 'Instrument Table'!$B:$B, 'Instrument Table'!$A:$A, "")</f>
        <v>10</v>
      </c>
      <c r="G498" s="1" t="str">
        <f>TEXT(IF($B498 = "Retail Item", IF((ROW($A498) - 4504 - _xlfn.XMATCH($C498, $C$4506:$C$5005, 0, 1)) &lt;= VLOOKUP($C498, 'Instrument Table'!$B:$D, 3, FALSE), ROW($A498) - 4504 - _xlfn.XMATCH($C498, $C$4506:$C$5005, 0, 1), 0), 0), "00")</f>
        <v>00</v>
      </c>
      <c r="H498" s="1" t="str">
        <f t="shared" si="43"/>
        <v>492</v>
      </c>
      <c r="I498" s="1" t="str">
        <f t="shared" si="44"/>
        <v>11000-492</v>
      </c>
      <c r="J498" s="1" t="str">
        <f t="shared" si="45"/>
        <v>Grand piano production item #492</v>
      </c>
      <c r="K498" s="1" t="str">
        <f>IF(SUM(COUNTIFS(I:I, I498)) &gt; 1, "DUPLICATE", "UNIQUE")</f>
        <v>UNIQUE</v>
      </c>
      <c r="L498" s="18">
        <v>8</v>
      </c>
      <c r="M498" s="28">
        <v>100</v>
      </c>
      <c r="N498" s="6">
        <v>225</v>
      </c>
      <c r="O498" s="30">
        <f t="shared" si="46"/>
        <v>800</v>
      </c>
      <c r="P498" s="30">
        <f t="shared" si="47"/>
        <v>22500</v>
      </c>
      <c r="Q498" s="1">
        <f>COUNTIFS($P:$P, "&gt;" &amp; $P498) + 1</f>
        <v>925</v>
      </c>
      <c r="R498" s="63">
        <f>(COUNTIFS($P:$P, "&gt;" &amp; $P498) + 1) / (COUNTA($I:$I) - 1)</f>
        <v>0.185</v>
      </c>
      <c r="S498" s="23">
        <f>SUMIFS($P:$P, $Q:$Q, "&lt;" &amp; $Q498)</f>
        <v>164851773</v>
      </c>
    </row>
    <row r="499" spans="1:19" x14ac:dyDescent="0.25">
      <c r="A499" s="1">
        <v>494</v>
      </c>
      <c r="B499" s="1" t="s">
        <v>2</v>
      </c>
      <c r="C499" s="1" t="str">
        <f>IF($B499 = "Production Item", _xlfn.XLOOKUP($A499, 'Instrument Table'!$J:$J, 'Instrument Table'!$B:$B, $C498), IF($B499 = "Service Item", _xlfn.XLOOKUP($A499, 'Instrument Table'!$I:$I, 'Instrument Table'!$B:$B, $C498), _xlfn.XLOOKUP($A499, 'Instrument Table'!$H:$H, 'Instrument Table'!$B:$B, $C498)))</f>
        <v>Grand Piano</v>
      </c>
      <c r="D499" s="1" t="str">
        <f>VLOOKUP($C499, 'Instrument Table'!$B:$C, 2, FALSE)</f>
        <v>Pianos</v>
      </c>
      <c r="E499" s="1">
        <f t="shared" si="42"/>
        <v>1</v>
      </c>
      <c r="F499" s="1">
        <f>_xlfn.XLOOKUP($C499, 'Instrument Table'!$B:$B, 'Instrument Table'!$A:$A, "")</f>
        <v>10</v>
      </c>
      <c r="G499" s="1" t="str">
        <f>TEXT(IF($B499 = "Retail Item", IF((ROW($A499) - 4504 - _xlfn.XMATCH($C499, $C$4506:$C$5005, 0, 1)) &lt;= VLOOKUP($C499, 'Instrument Table'!$B:$D, 3, FALSE), ROW($A499) - 4504 - _xlfn.XMATCH($C499, $C$4506:$C$5005, 0, 1), 0), 0), "00")</f>
        <v>00</v>
      </c>
      <c r="H499" s="1" t="str">
        <f t="shared" si="43"/>
        <v>493</v>
      </c>
      <c r="I499" s="1" t="str">
        <f t="shared" si="44"/>
        <v>11000-493</v>
      </c>
      <c r="J499" s="1" t="str">
        <f t="shared" si="45"/>
        <v>Grand piano production item #493</v>
      </c>
      <c r="K499" s="1" t="str">
        <f>IF(SUM(COUNTIFS(I:I, I499)) &gt; 1, "DUPLICATE", "UNIQUE")</f>
        <v>UNIQUE</v>
      </c>
      <c r="L499" s="18">
        <v>1</v>
      </c>
      <c r="M499" s="28">
        <v>3</v>
      </c>
      <c r="N499" s="6">
        <v>400</v>
      </c>
      <c r="O499" s="30">
        <f t="shared" si="46"/>
        <v>3</v>
      </c>
      <c r="P499" s="30">
        <f t="shared" si="47"/>
        <v>1200</v>
      </c>
      <c r="Q499" s="1">
        <f>COUNTIFS($P:$P, "&gt;" &amp; $P499) + 1</f>
        <v>3608</v>
      </c>
      <c r="R499" s="63">
        <f>(COUNTIFS($P:$P, "&gt;" &amp; $P499) + 1) / (COUNTA($I:$I) - 1)</f>
        <v>0.72160000000000002</v>
      </c>
      <c r="S499" s="23">
        <f>SUMIFS($P:$P, $Q:$Q, "&lt;" &amp; $Q499)</f>
        <v>186079438</v>
      </c>
    </row>
    <row r="500" spans="1:19" x14ac:dyDescent="0.25">
      <c r="A500" s="1">
        <v>495</v>
      </c>
      <c r="B500" s="1" t="s">
        <v>2</v>
      </c>
      <c r="C500" s="1" t="str">
        <f>IF($B500 = "Production Item", _xlfn.XLOOKUP($A500, 'Instrument Table'!$J:$J, 'Instrument Table'!$B:$B, $C499), IF($B500 = "Service Item", _xlfn.XLOOKUP($A500, 'Instrument Table'!$I:$I, 'Instrument Table'!$B:$B, $C499), _xlfn.XLOOKUP($A500, 'Instrument Table'!$H:$H, 'Instrument Table'!$B:$B, $C499)))</f>
        <v>Grand Piano</v>
      </c>
      <c r="D500" s="1" t="str">
        <f>VLOOKUP($C500, 'Instrument Table'!$B:$C, 2, FALSE)</f>
        <v>Pianos</v>
      </c>
      <c r="E500" s="1">
        <f t="shared" si="42"/>
        <v>1</v>
      </c>
      <c r="F500" s="1">
        <f>_xlfn.XLOOKUP($C500, 'Instrument Table'!$B:$B, 'Instrument Table'!$A:$A, "")</f>
        <v>10</v>
      </c>
      <c r="G500" s="1" t="str">
        <f>TEXT(IF($B500 = "Retail Item", IF((ROW($A500) - 4504 - _xlfn.XMATCH($C500, $C$4506:$C$5005, 0, 1)) &lt;= VLOOKUP($C500, 'Instrument Table'!$B:$D, 3, FALSE), ROW($A500) - 4504 - _xlfn.XMATCH($C500, $C$4506:$C$5005, 0, 1), 0), 0), "00")</f>
        <v>00</v>
      </c>
      <c r="H500" s="1" t="str">
        <f t="shared" si="43"/>
        <v>494</v>
      </c>
      <c r="I500" s="1" t="str">
        <f t="shared" si="44"/>
        <v>11000-494</v>
      </c>
      <c r="J500" s="1" t="str">
        <f t="shared" si="45"/>
        <v>Grand piano production item #494</v>
      </c>
      <c r="K500" s="1" t="str">
        <f>IF(SUM(COUNTIFS(I:I, I500)) &gt; 1, "DUPLICATE", "UNIQUE")</f>
        <v>UNIQUE</v>
      </c>
      <c r="L500" s="18">
        <v>0</v>
      </c>
      <c r="M500" s="28">
        <v>12</v>
      </c>
      <c r="N500" s="6">
        <v>361</v>
      </c>
      <c r="O500" s="30">
        <f t="shared" si="46"/>
        <v>0</v>
      </c>
      <c r="P500" s="30">
        <f t="shared" si="47"/>
        <v>4332</v>
      </c>
      <c r="Q500" s="1">
        <f>COUNTIFS($P:$P, "&gt;" &amp; $P500) + 1</f>
        <v>2582</v>
      </c>
      <c r="R500" s="63">
        <f>(COUNTIFS($P:$P, "&gt;" &amp; $P500) + 1) / (COUNTA($I:$I) - 1)</f>
        <v>0.51639999999999997</v>
      </c>
      <c r="S500" s="23">
        <f>SUMIFS($P:$P, $Q:$Q, "&lt;" &amp; $Q500)</f>
        <v>183486130</v>
      </c>
    </row>
    <row r="501" spans="1:19" x14ac:dyDescent="0.25">
      <c r="A501" s="1">
        <v>496</v>
      </c>
      <c r="B501" s="1" t="s">
        <v>2</v>
      </c>
      <c r="C501" s="1" t="str">
        <f>IF($B501 = "Production Item", _xlfn.XLOOKUP($A501, 'Instrument Table'!$J:$J, 'Instrument Table'!$B:$B, $C500), IF($B501 = "Service Item", _xlfn.XLOOKUP($A501, 'Instrument Table'!$I:$I, 'Instrument Table'!$B:$B, $C500), _xlfn.XLOOKUP($A501, 'Instrument Table'!$H:$H, 'Instrument Table'!$B:$B, $C500)))</f>
        <v>Grand Piano</v>
      </c>
      <c r="D501" s="1" t="str">
        <f>VLOOKUP($C501, 'Instrument Table'!$B:$C, 2, FALSE)</f>
        <v>Pianos</v>
      </c>
      <c r="E501" s="1">
        <f t="shared" si="42"/>
        <v>1</v>
      </c>
      <c r="F501" s="1">
        <f>_xlfn.XLOOKUP($C501, 'Instrument Table'!$B:$B, 'Instrument Table'!$A:$A, "")</f>
        <v>10</v>
      </c>
      <c r="G501" s="1" t="str">
        <f>TEXT(IF($B501 = "Retail Item", IF((ROW($A501) - 4504 - _xlfn.XMATCH($C501, $C$4506:$C$5005, 0, 1)) &lt;= VLOOKUP($C501, 'Instrument Table'!$B:$D, 3, FALSE), ROW($A501) - 4504 - _xlfn.XMATCH($C501, $C$4506:$C$5005, 0, 1), 0), 0), "00")</f>
        <v>00</v>
      </c>
      <c r="H501" s="1" t="str">
        <f t="shared" si="43"/>
        <v>495</v>
      </c>
      <c r="I501" s="1" t="str">
        <f t="shared" si="44"/>
        <v>11000-495</v>
      </c>
      <c r="J501" s="1" t="str">
        <f t="shared" si="45"/>
        <v>Grand piano production item #495</v>
      </c>
      <c r="K501" s="1" t="str">
        <f>IF(SUM(COUNTIFS(I:I, I501)) &gt; 1, "DUPLICATE", "UNIQUE")</f>
        <v>UNIQUE</v>
      </c>
      <c r="L501" s="18">
        <v>32</v>
      </c>
      <c r="M501" s="28">
        <v>69</v>
      </c>
      <c r="N501" s="6">
        <v>169</v>
      </c>
      <c r="O501" s="30">
        <f t="shared" si="46"/>
        <v>2208</v>
      </c>
      <c r="P501" s="30">
        <f t="shared" si="47"/>
        <v>11661</v>
      </c>
      <c r="Q501" s="1">
        <f>COUNTIFS($P:$P, "&gt;" &amp; $P501) + 1</f>
        <v>1616</v>
      </c>
      <c r="R501" s="63">
        <f>(COUNTIFS($P:$P, "&gt;" &amp; $P501) + 1) / (COUNTA($I:$I) - 1)</f>
        <v>0.32319999999999999</v>
      </c>
      <c r="S501" s="23">
        <f>SUMIFS($P:$P, $Q:$Q, "&lt;" &amp; $Q501)</f>
        <v>176265691</v>
      </c>
    </row>
    <row r="502" spans="1:19" x14ac:dyDescent="0.25">
      <c r="A502" s="1">
        <v>497</v>
      </c>
      <c r="B502" s="1" t="s">
        <v>2</v>
      </c>
      <c r="C502" s="1" t="str">
        <f>IF($B502 = "Production Item", _xlfn.XLOOKUP($A502, 'Instrument Table'!$J:$J, 'Instrument Table'!$B:$B, $C501), IF($B502 = "Service Item", _xlfn.XLOOKUP($A502, 'Instrument Table'!$I:$I, 'Instrument Table'!$B:$B, $C501), _xlfn.XLOOKUP($A502, 'Instrument Table'!$H:$H, 'Instrument Table'!$B:$B, $C501)))</f>
        <v>Grand Piano</v>
      </c>
      <c r="D502" s="1" t="str">
        <f>VLOOKUP($C502, 'Instrument Table'!$B:$C, 2, FALSE)</f>
        <v>Pianos</v>
      </c>
      <c r="E502" s="1">
        <f t="shared" si="42"/>
        <v>1</v>
      </c>
      <c r="F502" s="1">
        <f>_xlfn.XLOOKUP($C502, 'Instrument Table'!$B:$B, 'Instrument Table'!$A:$A, "")</f>
        <v>10</v>
      </c>
      <c r="G502" s="1" t="str">
        <f>TEXT(IF($B502 = "Retail Item", IF((ROW($A502) - 4504 - _xlfn.XMATCH($C502, $C$4506:$C$5005, 0, 1)) &lt;= VLOOKUP($C502, 'Instrument Table'!$B:$D, 3, FALSE), ROW($A502) - 4504 - _xlfn.XMATCH($C502, $C$4506:$C$5005, 0, 1), 0), 0), "00")</f>
        <v>00</v>
      </c>
      <c r="H502" s="1" t="str">
        <f t="shared" si="43"/>
        <v>496</v>
      </c>
      <c r="I502" s="1" t="str">
        <f t="shared" si="44"/>
        <v>11000-496</v>
      </c>
      <c r="J502" s="1" t="str">
        <f t="shared" si="45"/>
        <v>Grand piano production item #496</v>
      </c>
      <c r="K502" s="1" t="str">
        <f>IF(SUM(COUNTIFS(I:I, I502)) &gt; 1, "DUPLICATE", "UNIQUE")</f>
        <v>UNIQUE</v>
      </c>
      <c r="L502" s="18">
        <v>0</v>
      </c>
      <c r="M502" s="28">
        <v>58</v>
      </c>
      <c r="N502" s="6">
        <v>16</v>
      </c>
      <c r="O502" s="30">
        <f t="shared" si="46"/>
        <v>0</v>
      </c>
      <c r="P502" s="30">
        <f t="shared" si="47"/>
        <v>928</v>
      </c>
      <c r="Q502" s="1">
        <f>COUNTIFS($P:$P, "&gt;" &amp; $P502) + 1</f>
        <v>3712</v>
      </c>
      <c r="R502" s="63">
        <f>(COUNTIFS($P:$P, "&gt;" &amp; $P502) + 1) / (COUNTA($I:$I) - 1)</f>
        <v>0.74239999999999995</v>
      </c>
      <c r="S502" s="23">
        <f>SUMIFS($P:$P, $Q:$Q, "&lt;" &amp; $Q502)</f>
        <v>186190191</v>
      </c>
    </row>
    <row r="503" spans="1:19" x14ac:dyDescent="0.25">
      <c r="A503" s="1">
        <v>498</v>
      </c>
      <c r="B503" s="1" t="s">
        <v>2</v>
      </c>
      <c r="C503" s="1" t="str">
        <f>IF($B503 = "Production Item", _xlfn.XLOOKUP($A503, 'Instrument Table'!$J:$J, 'Instrument Table'!$B:$B, $C502), IF($B503 = "Service Item", _xlfn.XLOOKUP($A503, 'Instrument Table'!$I:$I, 'Instrument Table'!$B:$B, $C502), _xlfn.XLOOKUP($A503, 'Instrument Table'!$H:$H, 'Instrument Table'!$B:$B, $C502)))</f>
        <v>Grand Piano</v>
      </c>
      <c r="D503" s="1" t="str">
        <f>VLOOKUP($C503, 'Instrument Table'!$B:$C, 2, FALSE)</f>
        <v>Pianos</v>
      </c>
      <c r="E503" s="1">
        <f t="shared" si="42"/>
        <v>1</v>
      </c>
      <c r="F503" s="1">
        <f>_xlfn.XLOOKUP($C503, 'Instrument Table'!$B:$B, 'Instrument Table'!$A:$A, "")</f>
        <v>10</v>
      </c>
      <c r="G503" s="1" t="str">
        <f>TEXT(IF($B503 = "Retail Item", IF((ROW($A503) - 4504 - _xlfn.XMATCH($C503, $C$4506:$C$5005, 0, 1)) &lt;= VLOOKUP($C503, 'Instrument Table'!$B:$D, 3, FALSE), ROW($A503) - 4504 - _xlfn.XMATCH($C503, $C$4506:$C$5005, 0, 1), 0), 0), "00")</f>
        <v>00</v>
      </c>
      <c r="H503" s="1" t="str">
        <f t="shared" si="43"/>
        <v>497</v>
      </c>
      <c r="I503" s="1" t="str">
        <f t="shared" si="44"/>
        <v>11000-497</v>
      </c>
      <c r="J503" s="1" t="str">
        <f t="shared" si="45"/>
        <v>Grand piano production item #497</v>
      </c>
      <c r="K503" s="1" t="str">
        <f>IF(SUM(COUNTIFS(I:I, I503)) &gt; 1, "DUPLICATE", "UNIQUE")</f>
        <v>UNIQUE</v>
      </c>
      <c r="L503" s="18">
        <v>1</v>
      </c>
      <c r="M503" s="28">
        <v>75</v>
      </c>
      <c r="N503" s="6">
        <v>169</v>
      </c>
      <c r="O503" s="30">
        <f t="shared" si="46"/>
        <v>75</v>
      </c>
      <c r="P503" s="30">
        <f t="shared" si="47"/>
        <v>12675</v>
      </c>
      <c r="Q503" s="1">
        <f>COUNTIFS($P:$P, "&gt;" &amp; $P503) + 1</f>
        <v>1527</v>
      </c>
      <c r="R503" s="63">
        <f>(COUNTIFS($P:$P, "&gt;" &amp; $P503) + 1) / (COUNTA($I:$I) - 1)</f>
        <v>0.3054</v>
      </c>
      <c r="S503" s="23">
        <f>SUMIFS($P:$P, $Q:$Q, "&lt;" &amp; $Q503)</f>
        <v>175186751</v>
      </c>
    </row>
    <row r="504" spans="1:19" x14ac:dyDescent="0.25">
      <c r="A504" s="1">
        <v>499</v>
      </c>
      <c r="B504" s="1" t="s">
        <v>2</v>
      </c>
      <c r="C504" s="1" t="str">
        <f>IF($B504 = "Production Item", _xlfn.XLOOKUP($A504, 'Instrument Table'!$J:$J, 'Instrument Table'!$B:$B, $C503), IF($B504 = "Service Item", _xlfn.XLOOKUP($A504, 'Instrument Table'!$I:$I, 'Instrument Table'!$B:$B, $C503), _xlfn.XLOOKUP($A504, 'Instrument Table'!$H:$H, 'Instrument Table'!$B:$B, $C503)))</f>
        <v>Grand Piano</v>
      </c>
      <c r="D504" s="1" t="str">
        <f>VLOOKUP($C504, 'Instrument Table'!$B:$C, 2, FALSE)</f>
        <v>Pianos</v>
      </c>
      <c r="E504" s="1">
        <f t="shared" si="42"/>
        <v>1</v>
      </c>
      <c r="F504" s="1">
        <f>_xlfn.XLOOKUP($C504, 'Instrument Table'!$B:$B, 'Instrument Table'!$A:$A, "")</f>
        <v>10</v>
      </c>
      <c r="G504" s="1" t="str">
        <f>TEXT(IF($B504 = "Retail Item", IF((ROW($A504) - 4504 - _xlfn.XMATCH($C504, $C$4506:$C$5005, 0, 1)) &lt;= VLOOKUP($C504, 'Instrument Table'!$B:$D, 3, FALSE), ROW($A504) - 4504 - _xlfn.XMATCH($C504, $C$4506:$C$5005, 0, 1), 0), 0), "00")</f>
        <v>00</v>
      </c>
      <c r="H504" s="1" t="str">
        <f t="shared" si="43"/>
        <v>498</v>
      </c>
      <c r="I504" s="1" t="str">
        <f t="shared" si="44"/>
        <v>11000-498</v>
      </c>
      <c r="J504" s="1" t="str">
        <f t="shared" si="45"/>
        <v>Grand piano production item #498</v>
      </c>
      <c r="K504" s="1" t="str">
        <f>IF(SUM(COUNTIFS(I:I, I504)) &gt; 1, "DUPLICATE", "UNIQUE")</f>
        <v>UNIQUE</v>
      </c>
      <c r="L504" s="18">
        <v>1</v>
      </c>
      <c r="M504" s="28">
        <v>2</v>
      </c>
      <c r="N504" s="6">
        <v>361</v>
      </c>
      <c r="O504" s="30">
        <f t="shared" si="46"/>
        <v>2</v>
      </c>
      <c r="P504" s="30">
        <f t="shared" si="47"/>
        <v>722</v>
      </c>
      <c r="Q504" s="1">
        <f>COUNTIFS($P:$P, "&gt;" &amp; $P504) + 1</f>
        <v>3861</v>
      </c>
      <c r="R504" s="63">
        <f>(COUNTIFS($P:$P, "&gt;" &amp; $P504) + 1) / (COUNTA($I:$I) - 1)</f>
        <v>0.7722</v>
      </c>
      <c r="S504" s="23">
        <f>SUMIFS($P:$P, $Q:$Q, "&lt;" &amp; $Q504)</f>
        <v>186311532</v>
      </c>
    </row>
    <row r="505" spans="1:19" x14ac:dyDescent="0.25">
      <c r="A505" s="1">
        <v>500</v>
      </c>
      <c r="B505" s="1" t="s">
        <v>2</v>
      </c>
      <c r="C505" s="1" t="str">
        <f>IF($B505 = "Production Item", _xlfn.XLOOKUP($A505, 'Instrument Table'!$J:$J, 'Instrument Table'!$B:$B, $C504), IF($B505 = "Service Item", _xlfn.XLOOKUP($A505, 'Instrument Table'!$I:$I, 'Instrument Table'!$B:$B, $C504), _xlfn.XLOOKUP($A505, 'Instrument Table'!$H:$H, 'Instrument Table'!$B:$B, $C504)))</f>
        <v>Grand Piano</v>
      </c>
      <c r="D505" s="1" t="str">
        <f>VLOOKUP($C505, 'Instrument Table'!$B:$C, 2, FALSE)</f>
        <v>Pianos</v>
      </c>
      <c r="E505" s="1">
        <f t="shared" si="42"/>
        <v>1</v>
      </c>
      <c r="F505" s="1">
        <f>_xlfn.XLOOKUP($C505, 'Instrument Table'!$B:$B, 'Instrument Table'!$A:$A, "")</f>
        <v>10</v>
      </c>
      <c r="G505" s="1" t="str">
        <f>TEXT(IF($B505 = "Retail Item", IF((ROW($A505) - 4504 - _xlfn.XMATCH($C505, $C$4506:$C$5005, 0, 1)) &lt;= VLOOKUP($C505, 'Instrument Table'!$B:$D, 3, FALSE), ROW($A505) - 4504 - _xlfn.XMATCH($C505, $C$4506:$C$5005, 0, 1), 0), 0), "00")</f>
        <v>00</v>
      </c>
      <c r="H505" s="1" t="str">
        <f t="shared" si="43"/>
        <v>499</v>
      </c>
      <c r="I505" s="1" t="str">
        <f t="shared" si="44"/>
        <v>11000-499</v>
      </c>
      <c r="J505" s="1" t="str">
        <f t="shared" si="45"/>
        <v>Grand piano production item #499</v>
      </c>
      <c r="K505" s="1" t="str">
        <f>IF(SUM(COUNTIFS(I:I, I505)) &gt; 1, "DUPLICATE", "UNIQUE")</f>
        <v>UNIQUE</v>
      </c>
      <c r="L505" s="18">
        <v>1</v>
      </c>
      <c r="M505" s="28">
        <v>71</v>
      </c>
      <c r="N505" s="6">
        <v>324</v>
      </c>
      <c r="O505" s="30">
        <f t="shared" si="46"/>
        <v>71</v>
      </c>
      <c r="P505" s="30">
        <f t="shared" si="47"/>
        <v>23004</v>
      </c>
      <c r="Q505" s="1">
        <f>COUNTIFS($P:$P, "&gt;" &amp; $P505) + 1</f>
        <v>903</v>
      </c>
      <c r="R505" s="63">
        <f>(COUNTIFS($P:$P, "&gt;" &amp; $P505) + 1) / (COUNTA($I:$I) - 1)</f>
        <v>0.18060000000000001</v>
      </c>
      <c r="S505" s="23">
        <f>SUMIFS($P:$P, $Q:$Q, "&lt;" &amp; $Q505)</f>
        <v>164350227</v>
      </c>
    </row>
    <row r="506" spans="1:19" x14ac:dyDescent="0.25">
      <c r="A506" s="1">
        <v>501</v>
      </c>
      <c r="B506" s="1" t="s">
        <v>2</v>
      </c>
      <c r="C506" s="1" t="str">
        <f>IF($B506 = "Production Item", _xlfn.XLOOKUP($A506, 'Instrument Table'!$J:$J, 'Instrument Table'!$B:$B, $C505), IF($B506 = "Service Item", _xlfn.XLOOKUP($A506, 'Instrument Table'!$I:$I, 'Instrument Table'!$B:$B, $C505), _xlfn.XLOOKUP($A506, 'Instrument Table'!$H:$H, 'Instrument Table'!$B:$B, $C505)))</f>
        <v>Grand Piano</v>
      </c>
      <c r="D506" s="1" t="str">
        <f>VLOOKUP($C506, 'Instrument Table'!$B:$C, 2, FALSE)</f>
        <v>Pianos</v>
      </c>
      <c r="E506" s="1">
        <f t="shared" si="42"/>
        <v>1</v>
      </c>
      <c r="F506" s="1">
        <f>_xlfn.XLOOKUP($C506, 'Instrument Table'!$B:$B, 'Instrument Table'!$A:$A, "")</f>
        <v>10</v>
      </c>
      <c r="G506" s="1" t="str">
        <f>TEXT(IF($B506 = "Retail Item", IF((ROW($A506) - 4504 - _xlfn.XMATCH($C506, $C$4506:$C$5005, 0, 1)) &lt;= VLOOKUP($C506, 'Instrument Table'!$B:$D, 3, FALSE), ROW($A506) - 4504 - _xlfn.XMATCH($C506, $C$4506:$C$5005, 0, 1), 0), 0), "00")</f>
        <v>00</v>
      </c>
      <c r="H506" s="1" t="str">
        <f t="shared" si="43"/>
        <v>500</v>
      </c>
      <c r="I506" s="1" t="str">
        <f t="shared" si="44"/>
        <v>11000-500</v>
      </c>
      <c r="J506" s="1" t="str">
        <f t="shared" si="45"/>
        <v>Grand piano production item #500</v>
      </c>
      <c r="K506" s="1" t="str">
        <f>IF(SUM(COUNTIFS(I:I, I506)) &gt; 1, "DUPLICATE", "UNIQUE")</f>
        <v>UNIQUE</v>
      </c>
      <c r="L506" s="18">
        <v>32</v>
      </c>
      <c r="M506" s="28">
        <v>84</v>
      </c>
      <c r="N506" s="6">
        <v>49</v>
      </c>
      <c r="O506" s="30">
        <f t="shared" si="46"/>
        <v>2688</v>
      </c>
      <c r="P506" s="30">
        <f t="shared" si="47"/>
        <v>4116</v>
      </c>
      <c r="Q506" s="1">
        <f>COUNTIFS($P:$P, "&gt;" &amp; $P506) + 1</f>
        <v>2630</v>
      </c>
      <c r="R506" s="63">
        <f>(COUNTIFS($P:$P, "&gt;" &amp; $P506) + 1) / (COUNTA($I:$I) - 1)</f>
        <v>0.52600000000000002</v>
      </c>
      <c r="S506" s="23">
        <f>SUMIFS($P:$P, $Q:$Q, "&lt;" &amp; $Q506)</f>
        <v>183689305</v>
      </c>
    </row>
    <row r="507" spans="1:19" x14ac:dyDescent="0.25">
      <c r="A507" s="1">
        <v>502</v>
      </c>
      <c r="B507" s="1" t="s">
        <v>2</v>
      </c>
      <c r="C507" s="1" t="str">
        <f>IF($B507 = "Production Item", _xlfn.XLOOKUP($A507, 'Instrument Table'!$J:$J, 'Instrument Table'!$B:$B, $C506), IF($B507 = "Service Item", _xlfn.XLOOKUP($A507, 'Instrument Table'!$I:$I, 'Instrument Table'!$B:$B, $C506), _xlfn.XLOOKUP($A507, 'Instrument Table'!$H:$H, 'Instrument Table'!$B:$B, $C506)))</f>
        <v>Grand Piano</v>
      </c>
      <c r="D507" s="1" t="str">
        <f>VLOOKUP($C507, 'Instrument Table'!$B:$C, 2, FALSE)</f>
        <v>Pianos</v>
      </c>
      <c r="E507" s="1">
        <f t="shared" si="42"/>
        <v>1</v>
      </c>
      <c r="F507" s="1">
        <f>_xlfn.XLOOKUP($C507, 'Instrument Table'!$B:$B, 'Instrument Table'!$A:$A, "")</f>
        <v>10</v>
      </c>
      <c r="G507" s="1" t="str">
        <f>TEXT(IF($B507 = "Retail Item", IF((ROW($A507) - 4504 - _xlfn.XMATCH($C507, $C$4506:$C$5005, 0, 1)) &lt;= VLOOKUP($C507, 'Instrument Table'!$B:$D, 3, FALSE), ROW($A507) - 4504 - _xlfn.XMATCH($C507, $C$4506:$C$5005, 0, 1), 0), 0), "00")</f>
        <v>00</v>
      </c>
      <c r="H507" s="1" t="str">
        <f t="shared" si="43"/>
        <v>501</v>
      </c>
      <c r="I507" s="1" t="str">
        <f t="shared" si="44"/>
        <v>11000-501</v>
      </c>
      <c r="J507" s="1" t="str">
        <f t="shared" si="45"/>
        <v>Grand piano production item #501</v>
      </c>
      <c r="K507" s="1" t="str">
        <f>IF(SUM(COUNTIFS(I:I, I507)) &gt; 1, "DUPLICATE", "UNIQUE")</f>
        <v>UNIQUE</v>
      </c>
      <c r="L507" s="18">
        <v>0</v>
      </c>
      <c r="M507" s="28">
        <v>29</v>
      </c>
      <c r="N507" s="6">
        <v>0</v>
      </c>
      <c r="O507" s="30">
        <f t="shared" si="46"/>
        <v>0</v>
      </c>
      <c r="P507" s="30">
        <f t="shared" si="47"/>
        <v>0</v>
      </c>
      <c r="Q507" s="1">
        <f>COUNTIFS($P:$P, "&gt;" &amp; $P507) + 1</f>
        <v>4746</v>
      </c>
      <c r="R507" s="63">
        <f>(COUNTIFS($P:$P, "&gt;" &amp; $P507) + 1) / (COUNTA($I:$I) - 1)</f>
        <v>0.94920000000000004</v>
      </c>
      <c r="S507" s="23">
        <f>SUMIFS($P:$P, $Q:$Q, "&lt;" &amp; $Q507)</f>
        <v>186547861</v>
      </c>
    </row>
    <row r="508" spans="1:19" x14ac:dyDescent="0.25">
      <c r="A508" s="1">
        <v>503</v>
      </c>
      <c r="B508" s="1" t="s">
        <v>2</v>
      </c>
      <c r="C508" s="1" t="str">
        <f>IF($B508 = "Production Item", _xlfn.XLOOKUP($A508, 'Instrument Table'!$J:$J, 'Instrument Table'!$B:$B, $C507), IF($B508 = "Service Item", _xlfn.XLOOKUP($A508, 'Instrument Table'!$I:$I, 'Instrument Table'!$B:$B, $C507), _xlfn.XLOOKUP($A508, 'Instrument Table'!$H:$H, 'Instrument Table'!$B:$B, $C507)))</f>
        <v>Grand Piano</v>
      </c>
      <c r="D508" s="1" t="str">
        <f>VLOOKUP($C508, 'Instrument Table'!$B:$C, 2, FALSE)</f>
        <v>Pianos</v>
      </c>
      <c r="E508" s="1">
        <f t="shared" si="42"/>
        <v>1</v>
      </c>
      <c r="F508" s="1">
        <f>_xlfn.XLOOKUP($C508, 'Instrument Table'!$B:$B, 'Instrument Table'!$A:$A, "")</f>
        <v>10</v>
      </c>
      <c r="G508" s="1" t="str">
        <f>TEXT(IF($B508 = "Retail Item", IF((ROW($A508) - 4504 - _xlfn.XMATCH($C508, $C$4506:$C$5005, 0, 1)) &lt;= VLOOKUP($C508, 'Instrument Table'!$B:$D, 3, FALSE), ROW($A508) - 4504 - _xlfn.XMATCH($C508, $C$4506:$C$5005, 0, 1), 0), 0), "00")</f>
        <v>00</v>
      </c>
      <c r="H508" s="1" t="str">
        <f t="shared" si="43"/>
        <v>502</v>
      </c>
      <c r="I508" s="1" t="str">
        <f t="shared" si="44"/>
        <v>11000-502</v>
      </c>
      <c r="J508" s="1" t="str">
        <f t="shared" si="45"/>
        <v>Grand piano production item #502</v>
      </c>
      <c r="K508" s="1" t="str">
        <f>IF(SUM(COUNTIFS(I:I, I508)) &gt; 1, "DUPLICATE", "UNIQUE")</f>
        <v>UNIQUE</v>
      </c>
      <c r="L508" s="18">
        <v>1</v>
      </c>
      <c r="M508" s="28">
        <v>15</v>
      </c>
      <c r="N508" s="6">
        <v>400</v>
      </c>
      <c r="O508" s="30">
        <f t="shared" si="46"/>
        <v>15</v>
      </c>
      <c r="P508" s="30">
        <f t="shared" si="47"/>
        <v>6000</v>
      </c>
      <c r="Q508" s="1">
        <f>COUNTIFS($P:$P, "&gt;" &amp; $P508) + 1</f>
        <v>2264</v>
      </c>
      <c r="R508" s="63">
        <f>(COUNTIFS($P:$P, "&gt;" &amp; $P508) + 1) / (COUNTA($I:$I) - 1)</f>
        <v>0.45279999999999998</v>
      </c>
      <c r="S508" s="23">
        <f>SUMIFS($P:$P, $Q:$Q, "&lt;" &amp; $Q508)</f>
        <v>181851858</v>
      </c>
    </row>
    <row r="509" spans="1:19" x14ac:dyDescent="0.25">
      <c r="A509" s="1">
        <v>504</v>
      </c>
      <c r="B509" s="1" t="s">
        <v>2</v>
      </c>
      <c r="C509" s="1" t="str">
        <f>IF($B509 = "Production Item", _xlfn.XLOOKUP($A509, 'Instrument Table'!$J:$J, 'Instrument Table'!$B:$B, $C508), IF($B509 = "Service Item", _xlfn.XLOOKUP($A509, 'Instrument Table'!$I:$I, 'Instrument Table'!$B:$B, $C508), _xlfn.XLOOKUP($A509, 'Instrument Table'!$H:$H, 'Instrument Table'!$B:$B, $C508)))</f>
        <v>Grand Piano</v>
      </c>
      <c r="D509" s="1" t="str">
        <f>VLOOKUP($C509, 'Instrument Table'!$B:$C, 2, FALSE)</f>
        <v>Pianos</v>
      </c>
      <c r="E509" s="1">
        <f t="shared" si="42"/>
        <v>1</v>
      </c>
      <c r="F509" s="1">
        <f>_xlfn.XLOOKUP($C509, 'Instrument Table'!$B:$B, 'Instrument Table'!$A:$A, "")</f>
        <v>10</v>
      </c>
      <c r="G509" s="1" t="str">
        <f>TEXT(IF($B509 = "Retail Item", IF((ROW($A509) - 4504 - _xlfn.XMATCH($C509, $C$4506:$C$5005, 0, 1)) &lt;= VLOOKUP($C509, 'Instrument Table'!$B:$D, 3, FALSE), ROW($A509) - 4504 - _xlfn.XMATCH($C509, $C$4506:$C$5005, 0, 1), 0), 0), "00")</f>
        <v>00</v>
      </c>
      <c r="H509" s="1" t="str">
        <f t="shared" si="43"/>
        <v>503</v>
      </c>
      <c r="I509" s="1" t="str">
        <f t="shared" si="44"/>
        <v>11000-503</v>
      </c>
      <c r="J509" s="1" t="str">
        <f t="shared" si="45"/>
        <v>Grand piano production item #503</v>
      </c>
      <c r="K509" s="1" t="str">
        <f>IF(SUM(COUNTIFS(I:I, I509)) &gt; 1, "DUPLICATE", "UNIQUE")</f>
        <v>UNIQUE</v>
      </c>
      <c r="L509" s="18">
        <v>0</v>
      </c>
      <c r="M509" s="28">
        <v>84</v>
      </c>
      <c r="N509" s="6">
        <v>81</v>
      </c>
      <c r="O509" s="30">
        <f t="shared" si="46"/>
        <v>0</v>
      </c>
      <c r="P509" s="30">
        <f t="shared" si="47"/>
        <v>6804</v>
      </c>
      <c r="Q509" s="1">
        <f>COUNTIFS($P:$P, "&gt;" &amp; $P509) + 1</f>
        <v>2164</v>
      </c>
      <c r="R509" s="63">
        <f>(COUNTIFS($P:$P, "&gt;" &amp; $P509) + 1) / (COUNTA($I:$I) - 1)</f>
        <v>0.43280000000000002</v>
      </c>
      <c r="S509" s="23">
        <f>SUMIFS($P:$P, $Q:$Q, "&lt;" &amp; $Q509)</f>
        <v>181209884</v>
      </c>
    </row>
    <row r="510" spans="1:19" x14ac:dyDescent="0.25">
      <c r="A510" s="1">
        <v>505</v>
      </c>
      <c r="B510" s="1" t="s">
        <v>2</v>
      </c>
      <c r="C510" s="1" t="str">
        <f>IF($B510 = "Production Item", _xlfn.XLOOKUP($A510, 'Instrument Table'!$J:$J, 'Instrument Table'!$B:$B, $C509), IF($B510 = "Service Item", _xlfn.XLOOKUP($A510, 'Instrument Table'!$I:$I, 'Instrument Table'!$B:$B, $C509), _xlfn.XLOOKUP($A510, 'Instrument Table'!$H:$H, 'Instrument Table'!$B:$B, $C509)))</f>
        <v>Grand Piano</v>
      </c>
      <c r="D510" s="1" t="str">
        <f>VLOOKUP($C510, 'Instrument Table'!$B:$C, 2, FALSE)</f>
        <v>Pianos</v>
      </c>
      <c r="E510" s="1">
        <f t="shared" si="42"/>
        <v>1</v>
      </c>
      <c r="F510" s="1">
        <f>_xlfn.XLOOKUP($C510, 'Instrument Table'!$B:$B, 'Instrument Table'!$A:$A, "")</f>
        <v>10</v>
      </c>
      <c r="G510" s="1" t="str">
        <f>TEXT(IF($B510 = "Retail Item", IF((ROW($A510) - 4504 - _xlfn.XMATCH($C510, $C$4506:$C$5005, 0, 1)) &lt;= VLOOKUP($C510, 'Instrument Table'!$B:$D, 3, FALSE), ROW($A510) - 4504 - _xlfn.XMATCH($C510, $C$4506:$C$5005, 0, 1), 0), 0), "00")</f>
        <v>00</v>
      </c>
      <c r="H510" s="1" t="str">
        <f t="shared" si="43"/>
        <v>504</v>
      </c>
      <c r="I510" s="1" t="str">
        <f t="shared" si="44"/>
        <v>11000-504</v>
      </c>
      <c r="J510" s="1" t="str">
        <f t="shared" si="45"/>
        <v>Grand piano production item #504</v>
      </c>
      <c r="K510" s="1" t="str">
        <f>IF(SUM(COUNTIFS(I:I, I510)) &gt; 1, "DUPLICATE", "UNIQUE")</f>
        <v>UNIQUE</v>
      </c>
      <c r="L510" s="18">
        <v>16</v>
      </c>
      <c r="M510" s="28">
        <v>35</v>
      </c>
      <c r="N510" s="6">
        <v>289</v>
      </c>
      <c r="O510" s="30">
        <f t="shared" si="46"/>
        <v>560</v>
      </c>
      <c r="P510" s="30">
        <f t="shared" si="47"/>
        <v>10115</v>
      </c>
      <c r="Q510" s="1">
        <f>COUNTIFS($P:$P, "&gt;" &amp; $P510) + 1</f>
        <v>1761</v>
      </c>
      <c r="R510" s="63">
        <f>(COUNTIFS($P:$P, "&gt;" &amp; $P510) + 1) / (COUNTA($I:$I) - 1)</f>
        <v>0.35220000000000001</v>
      </c>
      <c r="S510" s="23">
        <f>SUMIFS($P:$P, $Q:$Q, "&lt;" &amp; $Q510)</f>
        <v>177854947</v>
      </c>
    </row>
    <row r="511" spans="1:19" x14ac:dyDescent="0.25">
      <c r="A511" s="1">
        <v>506</v>
      </c>
      <c r="B511" s="1" t="s">
        <v>2</v>
      </c>
      <c r="C511" s="1" t="str">
        <f>IF($B511 = "Production Item", _xlfn.XLOOKUP($A511, 'Instrument Table'!$J:$J, 'Instrument Table'!$B:$B, $C510), IF($B511 = "Service Item", _xlfn.XLOOKUP($A511, 'Instrument Table'!$I:$I, 'Instrument Table'!$B:$B, $C510), _xlfn.XLOOKUP($A511, 'Instrument Table'!$H:$H, 'Instrument Table'!$B:$B, $C510)))</f>
        <v>Grand Piano</v>
      </c>
      <c r="D511" s="1" t="str">
        <f>VLOOKUP($C511, 'Instrument Table'!$B:$C, 2, FALSE)</f>
        <v>Pianos</v>
      </c>
      <c r="E511" s="1">
        <f t="shared" si="42"/>
        <v>1</v>
      </c>
      <c r="F511" s="1">
        <f>_xlfn.XLOOKUP($C511, 'Instrument Table'!$B:$B, 'Instrument Table'!$A:$A, "")</f>
        <v>10</v>
      </c>
      <c r="G511" s="1" t="str">
        <f>TEXT(IF($B511 = "Retail Item", IF((ROW($A511) - 4504 - _xlfn.XMATCH($C511, $C$4506:$C$5005, 0, 1)) &lt;= VLOOKUP($C511, 'Instrument Table'!$B:$D, 3, FALSE), ROW($A511) - 4504 - _xlfn.XMATCH($C511, $C$4506:$C$5005, 0, 1), 0), 0), "00")</f>
        <v>00</v>
      </c>
      <c r="H511" s="1" t="str">
        <f t="shared" si="43"/>
        <v>505</v>
      </c>
      <c r="I511" s="1" t="str">
        <f t="shared" si="44"/>
        <v>11000-505</v>
      </c>
      <c r="J511" s="1" t="str">
        <f t="shared" si="45"/>
        <v>Grand piano production item #505</v>
      </c>
      <c r="K511" s="1" t="str">
        <f>IF(SUM(COUNTIFS(I:I, I511)) &gt; 1, "DUPLICATE", "UNIQUE")</f>
        <v>UNIQUE</v>
      </c>
      <c r="L511" s="18">
        <v>4</v>
      </c>
      <c r="M511" s="28">
        <v>14</v>
      </c>
      <c r="N511" s="6">
        <v>64</v>
      </c>
      <c r="O511" s="30">
        <f t="shared" si="46"/>
        <v>56</v>
      </c>
      <c r="P511" s="30">
        <f t="shared" si="47"/>
        <v>896</v>
      </c>
      <c r="Q511" s="1">
        <f>COUNTIFS($P:$P, "&gt;" &amp; $P511) + 1</f>
        <v>3728</v>
      </c>
      <c r="R511" s="63">
        <f>(COUNTIFS($P:$P, "&gt;" &amp; $P511) + 1) / (COUNTA($I:$I) - 1)</f>
        <v>0.74560000000000004</v>
      </c>
      <c r="S511" s="23">
        <f>SUMIFS($P:$P, $Q:$Q, "&lt;" &amp; $Q511)</f>
        <v>186204787</v>
      </c>
    </row>
    <row r="512" spans="1:19" x14ac:dyDescent="0.25">
      <c r="A512" s="1">
        <v>507</v>
      </c>
      <c r="B512" s="1" t="s">
        <v>2</v>
      </c>
      <c r="C512" s="1" t="str">
        <f>IF($B512 = "Production Item", _xlfn.XLOOKUP($A512, 'Instrument Table'!$J:$J, 'Instrument Table'!$B:$B, $C511), IF($B512 = "Service Item", _xlfn.XLOOKUP($A512, 'Instrument Table'!$I:$I, 'Instrument Table'!$B:$B, $C511), _xlfn.XLOOKUP($A512, 'Instrument Table'!$H:$H, 'Instrument Table'!$B:$B, $C511)))</f>
        <v>Grand Piano</v>
      </c>
      <c r="D512" s="1" t="str">
        <f>VLOOKUP($C512, 'Instrument Table'!$B:$C, 2, FALSE)</f>
        <v>Pianos</v>
      </c>
      <c r="E512" s="1">
        <f t="shared" si="42"/>
        <v>1</v>
      </c>
      <c r="F512" s="1">
        <f>_xlfn.XLOOKUP($C512, 'Instrument Table'!$B:$B, 'Instrument Table'!$A:$A, "")</f>
        <v>10</v>
      </c>
      <c r="G512" s="1" t="str">
        <f>TEXT(IF($B512 = "Retail Item", IF((ROW($A512) - 4504 - _xlfn.XMATCH($C512, $C$4506:$C$5005, 0, 1)) &lt;= VLOOKUP($C512, 'Instrument Table'!$B:$D, 3, FALSE), ROW($A512) - 4504 - _xlfn.XMATCH($C512, $C$4506:$C$5005, 0, 1), 0), 0), "00")</f>
        <v>00</v>
      </c>
      <c r="H512" s="1" t="str">
        <f t="shared" si="43"/>
        <v>506</v>
      </c>
      <c r="I512" s="1" t="str">
        <f t="shared" si="44"/>
        <v>11000-506</v>
      </c>
      <c r="J512" s="1" t="str">
        <f t="shared" si="45"/>
        <v>Grand piano production item #506</v>
      </c>
      <c r="K512" s="1" t="str">
        <f>IF(SUM(COUNTIFS(I:I, I512)) &gt; 1, "DUPLICATE", "UNIQUE")</f>
        <v>UNIQUE</v>
      </c>
      <c r="L512" s="18">
        <v>1</v>
      </c>
      <c r="M512" s="28">
        <v>44</v>
      </c>
      <c r="N512" s="6">
        <v>289</v>
      </c>
      <c r="O512" s="30">
        <f t="shared" si="46"/>
        <v>44</v>
      </c>
      <c r="P512" s="30">
        <f t="shared" si="47"/>
        <v>12716</v>
      </c>
      <c r="Q512" s="1">
        <f>COUNTIFS($P:$P, "&gt;" &amp; $P512) + 1</f>
        <v>1524</v>
      </c>
      <c r="R512" s="63">
        <f>(COUNTIFS($P:$P, "&gt;" &amp; $P512) + 1) / (COUNTA($I:$I) - 1)</f>
        <v>0.30480000000000002</v>
      </c>
      <c r="S512" s="23">
        <f>SUMIFS($P:$P, $Q:$Q, "&lt;" &amp; $Q512)</f>
        <v>175148603</v>
      </c>
    </row>
    <row r="513" spans="1:19" x14ac:dyDescent="0.25">
      <c r="A513" s="1">
        <v>508</v>
      </c>
      <c r="B513" s="1" t="s">
        <v>2</v>
      </c>
      <c r="C513" s="1" t="str">
        <f>IF($B513 = "Production Item", _xlfn.XLOOKUP($A513, 'Instrument Table'!$J:$J, 'Instrument Table'!$B:$B, $C512), IF($B513 = "Service Item", _xlfn.XLOOKUP($A513, 'Instrument Table'!$I:$I, 'Instrument Table'!$B:$B, $C512), _xlfn.XLOOKUP($A513, 'Instrument Table'!$H:$H, 'Instrument Table'!$B:$B, $C512)))</f>
        <v>Grand Piano</v>
      </c>
      <c r="D513" s="1" t="str">
        <f>VLOOKUP($C513, 'Instrument Table'!$B:$C, 2, FALSE)</f>
        <v>Pianos</v>
      </c>
      <c r="E513" s="1">
        <f t="shared" si="42"/>
        <v>1</v>
      </c>
      <c r="F513" s="1">
        <f>_xlfn.XLOOKUP($C513, 'Instrument Table'!$B:$B, 'Instrument Table'!$A:$A, "")</f>
        <v>10</v>
      </c>
      <c r="G513" s="1" t="str">
        <f>TEXT(IF($B513 = "Retail Item", IF((ROW($A513) - 4504 - _xlfn.XMATCH($C513, $C$4506:$C$5005, 0, 1)) &lt;= VLOOKUP($C513, 'Instrument Table'!$B:$D, 3, FALSE), ROW($A513) - 4504 - _xlfn.XMATCH($C513, $C$4506:$C$5005, 0, 1), 0), 0), "00")</f>
        <v>00</v>
      </c>
      <c r="H513" s="1" t="str">
        <f t="shared" si="43"/>
        <v>507</v>
      </c>
      <c r="I513" s="1" t="str">
        <f t="shared" si="44"/>
        <v>11000-507</v>
      </c>
      <c r="J513" s="1" t="str">
        <f t="shared" si="45"/>
        <v>Grand piano production item #507</v>
      </c>
      <c r="K513" s="1" t="str">
        <f>IF(SUM(COUNTIFS(I:I, I513)) &gt; 1, "DUPLICATE", "UNIQUE")</f>
        <v>UNIQUE</v>
      </c>
      <c r="L513" s="18">
        <v>1</v>
      </c>
      <c r="M513" s="28">
        <v>91</v>
      </c>
      <c r="N513" s="6">
        <v>64</v>
      </c>
      <c r="O513" s="30">
        <f t="shared" si="46"/>
        <v>91</v>
      </c>
      <c r="P513" s="30">
        <f t="shared" si="47"/>
        <v>5824</v>
      </c>
      <c r="Q513" s="1">
        <f>COUNTIFS($P:$P, "&gt;" &amp; $P513) + 1</f>
        <v>2293</v>
      </c>
      <c r="R513" s="63">
        <f>(COUNTIFS($P:$P, "&gt;" &amp; $P513) + 1) / (COUNTA($I:$I) - 1)</f>
        <v>0.45860000000000001</v>
      </c>
      <c r="S513" s="23">
        <f>SUMIFS($P:$P, $Q:$Q, "&lt;" &amp; $Q513)</f>
        <v>182023514</v>
      </c>
    </row>
    <row r="514" spans="1:19" x14ac:dyDescent="0.25">
      <c r="A514" s="1">
        <v>509</v>
      </c>
      <c r="B514" s="1" t="s">
        <v>2</v>
      </c>
      <c r="C514" s="1" t="str">
        <f>IF($B514 = "Production Item", _xlfn.XLOOKUP($A514, 'Instrument Table'!$J:$J, 'Instrument Table'!$B:$B, $C513), IF($B514 = "Service Item", _xlfn.XLOOKUP($A514, 'Instrument Table'!$I:$I, 'Instrument Table'!$B:$B, $C513), _xlfn.XLOOKUP($A514, 'Instrument Table'!$H:$H, 'Instrument Table'!$B:$B, $C513)))</f>
        <v>Grand Piano</v>
      </c>
      <c r="D514" s="1" t="str">
        <f>VLOOKUP($C514, 'Instrument Table'!$B:$C, 2, FALSE)</f>
        <v>Pianos</v>
      </c>
      <c r="E514" s="1">
        <f t="shared" si="42"/>
        <v>1</v>
      </c>
      <c r="F514" s="1">
        <f>_xlfn.XLOOKUP($C514, 'Instrument Table'!$B:$B, 'Instrument Table'!$A:$A, "")</f>
        <v>10</v>
      </c>
      <c r="G514" s="1" t="str">
        <f>TEXT(IF($B514 = "Retail Item", IF((ROW($A514) - 4504 - _xlfn.XMATCH($C514, $C$4506:$C$5005, 0, 1)) &lt;= VLOOKUP($C514, 'Instrument Table'!$B:$D, 3, FALSE), ROW($A514) - 4504 - _xlfn.XMATCH($C514, $C$4506:$C$5005, 0, 1), 0), 0), "00")</f>
        <v>00</v>
      </c>
      <c r="H514" s="1" t="str">
        <f t="shared" si="43"/>
        <v>508</v>
      </c>
      <c r="I514" s="1" t="str">
        <f t="shared" si="44"/>
        <v>11000-508</v>
      </c>
      <c r="J514" s="1" t="str">
        <f t="shared" si="45"/>
        <v>Grand piano production item #508</v>
      </c>
      <c r="K514" s="1" t="str">
        <f>IF(SUM(COUNTIFS(I:I, I514)) &gt; 1, "DUPLICATE", "UNIQUE")</f>
        <v>UNIQUE</v>
      </c>
      <c r="L514" s="18">
        <v>1</v>
      </c>
      <c r="M514" s="28">
        <v>22</v>
      </c>
      <c r="N514" s="6">
        <v>49</v>
      </c>
      <c r="O514" s="30">
        <f t="shared" si="46"/>
        <v>22</v>
      </c>
      <c r="P514" s="30">
        <f t="shared" si="47"/>
        <v>1078</v>
      </c>
      <c r="Q514" s="1">
        <f>COUNTIFS($P:$P, "&gt;" &amp; $P514) + 1</f>
        <v>3655</v>
      </c>
      <c r="R514" s="63">
        <f>(COUNTIFS($P:$P, "&gt;" &amp; $P514) + 1) / (COUNTA($I:$I) - 1)</f>
        <v>0.73099999999999998</v>
      </c>
      <c r="S514" s="23">
        <f>SUMIFS($P:$P, $Q:$Q, "&lt;" &amp; $Q514)</f>
        <v>186133241</v>
      </c>
    </row>
    <row r="515" spans="1:19" x14ac:dyDescent="0.25">
      <c r="A515" s="1">
        <v>510</v>
      </c>
      <c r="B515" s="1" t="s">
        <v>2</v>
      </c>
      <c r="C515" s="1" t="str">
        <f>IF($B515 = "Production Item", _xlfn.XLOOKUP($A515, 'Instrument Table'!$J:$J, 'Instrument Table'!$B:$B, $C514), IF($B515 = "Service Item", _xlfn.XLOOKUP($A515, 'Instrument Table'!$I:$I, 'Instrument Table'!$B:$B, $C514), _xlfn.XLOOKUP($A515, 'Instrument Table'!$H:$H, 'Instrument Table'!$B:$B, $C514)))</f>
        <v>Grand Piano</v>
      </c>
      <c r="D515" s="1" t="str">
        <f>VLOOKUP($C515, 'Instrument Table'!$B:$C, 2, FALSE)</f>
        <v>Pianos</v>
      </c>
      <c r="E515" s="1">
        <f t="shared" si="42"/>
        <v>1</v>
      </c>
      <c r="F515" s="1">
        <f>_xlfn.XLOOKUP($C515, 'Instrument Table'!$B:$B, 'Instrument Table'!$A:$A, "")</f>
        <v>10</v>
      </c>
      <c r="G515" s="1" t="str">
        <f>TEXT(IF($B515 = "Retail Item", IF((ROW($A515) - 4504 - _xlfn.XMATCH($C515, $C$4506:$C$5005, 0, 1)) &lt;= VLOOKUP($C515, 'Instrument Table'!$B:$D, 3, FALSE), ROW($A515) - 4504 - _xlfn.XMATCH($C515, $C$4506:$C$5005, 0, 1), 0), 0), "00")</f>
        <v>00</v>
      </c>
      <c r="H515" s="1" t="str">
        <f t="shared" si="43"/>
        <v>509</v>
      </c>
      <c r="I515" s="1" t="str">
        <f t="shared" si="44"/>
        <v>11000-509</v>
      </c>
      <c r="J515" s="1" t="str">
        <f t="shared" si="45"/>
        <v>Grand piano production item #509</v>
      </c>
      <c r="K515" s="1" t="str">
        <f>IF(SUM(COUNTIFS(I:I, I515)) &gt; 1, "DUPLICATE", "UNIQUE")</f>
        <v>UNIQUE</v>
      </c>
      <c r="L515" s="18">
        <v>0</v>
      </c>
      <c r="M515" s="28">
        <v>44</v>
      </c>
      <c r="N515" s="6">
        <v>16</v>
      </c>
      <c r="O515" s="30">
        <f t="shared" si="46"/>
        <v>0</v>
      </c>
      <c r="P515" s="30">
        <f t="shared" si="47"/>
        <v>704</v>
      </c>
      <c r="Q515" s="1">
        <f>COUNTIFS($P:$P, "&gt;" &amp; $P515) + 1</f>
        <v>3876</v>
      </c>
      <c r="R515" s="63">
        <f>(COUNTIFS($P:$P, "&gt;" &amp; $P515) + 1) / (COUNTA($I:$I) - 1)</f>
        <v>0.7752</v>
      </c>
      <c r="S515" s="23">
        <f>SUMIFS($P:$P, $Q:$Q, "&lt;" &amp; $Q515)</f>
        <v>186322273</v>
      </c>
    </row>
    <row r="516" spans="1:19" x14ac:dyDescent="0.25">
      <c r="A516" s="1">
        <v>511</v>
      </c>
      <c r="B516" s="1" t="s">
        <v>2</v>
      </c>
      <c r="C516" s="1" t="str">
        <f>IF($B516 = "Production Item", _xlfn.XLOOKUP($A516, 'Instrument Table'!$J:$J, 'Instrument Table'!$B:$B, $C515), IF($B516 = "Service Item", _xlfn.XLOOKUP($A516, 'Instrument Table'!$I:$I, 'Instrument Table'!$B:$B, $C515), _xlfn.XLOOKUP($A516, 'Instrument Table'!$H:$H, 'Instrument Table'!$B:$B, $C515)))</f>
        <v>Grand Piano</v>
      </c>
      <c r="D516" s="1" t="str">
        <f>VLOOKUP($C516, 'Instrument Table'!$B:$C, 2, FALSE)</f>
        <v>Pianos</v>
      </c>
      <c r="E516" s="1">
        <f t="shared" si="42"/>
        <v>1</v>
      </c>
      <c r="F516" s="1">
        <f>_xlfn.XLOOKUP($C516, 'Instrument Table'!$B:$B, 'Instrument Table'!$A:$A, "")</f>
        <v>10</v>
      </c>
      <c r="G516" s="1" t="str">
        <f>TEXT(IF($B516 = "Retail Item", IF((ROW($A516) - 4504 - _xlfn.XMATCH($C516, $C$4506:$C$5005, 0, 1)) &lt;= VLOOKUP($C516, 'Instrument Table'!$B:$D, 3, FALSE), ROW($A516) - 4504 - _xlfn.XMATCH($C516, $C$4506:$C$5005, 0, 1), 0), 0), "00")</f>
        <v>00</v>
      </c>
      <c r="H516" s="1" t="str">
        <f t="shared" si="43"/>
        <v>510</v>
      </c>
      <c r="I516" s="1" t="str">
        <f t="shared" si="44"/>
        <v>11000-510</v>
      </c>
      <c r="J516" s="1" t="str">
        <f t="shared" si="45"/>
        <v>Grand piano production item #510</v>
      </c>
      <c r="K516" s="1" t="str">
        <f>IF(SUM(COUNTIFS(I:I, I516)) &gt; 1, "DUPLICATE", "UNIQUE")</f>
        <v>UNIQUE</v>
      </c>
      <c r="L516" s="18">
        <v>0</v>
      </c>
      <c r="M516" s="28">
        <v>45</v>
      </c>
      <c r="N516" s="6">
        <v>196</v>
      </c>
      <c r="O516" s="30">
        <f t="shared" si="46"/>
        <v>0</v>
      </c>
      <c r="P516" s="30">
        <f t="shared" si="47"/>
        <v>8820</v>
      </c>
      <c r="Q516" s="1">
        <f>COUNTIFS($P:$P, "&gt;" &amp; $P516) + 1</f>
        <v>1896</v>
      </c>
      <c r="R516" s="63">
        <f>(COUNTIFS($P:$P, "&gt;" &amp; $P516) + 1) / (COUNTA($I:$I) - 1)</f>
        <v>0.37919999999999998</v>
      </c>
      <c r="S516" s="23">
        <f>SUMIFS($P:$P, $Q:$Q, "&lt;" &amp; $Q516)</f>
        <v>179128287</v>
      </c>
    </row>
    <row r="517" spans="1:19" x14ac:dyDescent="0.25">
      <c r="A517" s="1">
        <v>512</v>
      </c>
      <c r="B517" s="1" t="s">
        <v>2</v>
      </c>
      <c r="C517" s="1" t="str">
        <f>IF($B517 = "Production Item", _xlfn.XLOOKUP($A517, 'Instrument Table'!$J:$J, 'Instrument Table'!$B:$B, $C516), IF($B517 = "Service Item", _xlfn.XLOOKUP($A517, 'Instrument Table'!$I:$I, 'Instrument Table'!$B:$B, $C516), _xlfn.XLOOKUP($A517, 'Instrument Table'!$H:$H, 'Instrument Table'!$B:$B, $C516)))</f>
        <v>Grand Piano</v>
      </c>
      <c r="D517" s="1" t="str">
        <f>VLOOKUP($C517, 'Instrument Table'!$B:$C, 2, FALSE)</f>
        <v>Pianos</v>
      </c>
      <c r="E517" s="1">
        <f t="shared" si="42"/>
        <v>1</v>
      </c>
      <c r="F517" s="1">
        <f>_xlfn.XLOOKUP($C517, 'Instrument Table'!$B:$B, 'Instrument Table'!$A:$A, "")</f>
        <v>10</v>
      </c>
      <c r="G517" s="1" t="str">
        <f>TEXT(IF($B517 = "Retail Item", IF((ROW($A517) - 4504 - _xlfn.XMATCH($C517, $C$4506:$C$5005, 0, 1)) &lt;= VLOOKUP($C517, 'Instrument Table'!$B:$D, 3, FALSE), ROW($A517) - 4504 - _xlfn.XMATCH($C517, $C$4506:$C$5005, 0, 1), 0), 0), "00")</f>
        <v>00</v>
      </c>
      <c r="H517" s="1" t="str">
        <f t="shared" si="43"/>
        <v>511</v>
      </c>
      <c r="I517" s="1" t="str">
        <f t="shared" si="44"/>
        <v>11000-511</v>
      </c>
      <c r="J517" s="1" t="str">
        <f t="shared" si="45"/>
        <v>Grand piano production item #511</v>
      </c>
      <c r="K517" s="1" t="str">
        <f>IF(SUM(COUNTIFS(I:I, I517)) &gt; 1, "DUPLICATE", "UNIQUE")</f>
        <v>UNIQUE</v>
      </c>
      <c r="L517" s="18">
        <v>2</v>
      </c>
      <c r="M517" s="28">
        <v>46</v>
      </c>
      <c r="N517" s="6">
        <v>144</v>
      </c>
      <c r="O517" s="30">
        <f t="shared" si="46"/>
        <v>92</v>
      </c>
      <c r="P517" s="30">
        <f t="shared" si="47"/>
        <v>6624</v>
      </c>
      <c r="Q517" s="1">
        <f>COUNTIFS($P:$P, "&gt;" &amp; $P517) + 1</f>
        <v>2194</v>
      </c>
      <c r="R517" s="63">
        <f>(COUNTIFS($P:$P, "&gt;" &amp; $P517) + 1) / (COUNTA($I:$I) - 1)</f>
        <v>0.43880000000000002</v>
      </c>
      <c r="S517" s="23">
        <f>SUMIFS($P:$P, $Q:$Q, "&lt;" &amp; $Q517)</f>
        <v>181411831</v>
      </c>
    </row>
    <row r="518" spans="1:19" x14ac:dyDescent="0.25">
      <c r="A518" s="1">
        <v>513</v>
      </c>
      <c r="B518" s="1" t="s">
        <v>2</v>
      </c>
      <c r="C518" s="1" t="str">
        <f>IF($B518 = "Production Item", _xlfn.XLOOKUP($A518, 'Instrument Table'!$J:$J, 'Instrument Table'!$B:$B, $C517), IF($B518 = "Service Item", _xlfn.XLOOKUP($A518, 'Instrument Table'!$I:$I, 'Instrument Table'!$B:$B, $C517), _xlfn.XLOOKUP($A518, 'Instrument Table'!$H:$H, 'Instrument Table'!$B:$B, $C517)))</f>
        <v>Grand Piano</v>
      </c>
      <c r="D518" s="1" t="str">
        <f>VLOOKUP($C518, 'Instrument Table'!$B:$C, 2, FALSE)</f>
        <v>Pianos</v>
      </c>
      <c r="E518" s="1">
        <f t="shared" si="42"/>
        <v>1</v>
      </c>
      <c r="F518" s="1">
        <f>_xlfn.XLOOKUP($C518, 'Instrument Table'!$B:$B, 'Instrument Table'!$A:$A, "")</f>
        <v>10</v>
      </c>
      <c r="G518" s="1" t="str">
        <f>TEXT(IF($B518 = "Retail Item", IF((ROW($A518) - 4504 - _xlfn.XMATCH($C518, $C$4506:$C$5005, 0, 1)) &lt;= VLOOKUP($C518, 'Instrument Table'!$B:$D, 3, FALSE), ROW($A518) - 4504 - _xlfn.XMATCH($C518, $C$4506:$C$5005, 0, 1), 0), 0), "00")</f>
        <v>00</v>
      </c>
      <c r="H518" s="1" t="str">
        <f t="shared" si="43"/>
        <v>512</v>
      </c>
      <c r="I518" s="1" t="str">
        <f t="shared" si="44"/>
        <v>11000-512</v>
      </c>
      <c r="J518" s="1" t="str">
        <f t="shared" si="45"/>
        <v>Grand piano production item #512</v>
      </c>
      <c r="K518" s="1" t="str">
        <f>IF(SUM(COUNTIFS(I:I, I518)) &gt; 1, "DUPLICATE", "UNIQUE")</f>
        <v>UNIQUE</v>
      </c>
      <c r="L518" s="18">
        <v>32</v>
      </c>
      <c r="M518" s="28">
        <v>12</v>
      </c>
      <c r="N518" s="6">
        <v>36</v>
      </c>
      <c r="O518" s="30">
        <f t="shared" si="46"/>
        <v>384</v>
      </c>
      <c r="P518" s="30">
        <f t="shared" si="47"/>
        <v>432</v>
      </c>
      <c r="Q518" s="1">
        <f>COUNTIFS($P:$P, "&gt;" &amp; $P518) + 1</f>
        <v>4071</v>
      </c>
      <c r="R518" s="63">
        <f>(COUNTIFS($P:$P, "&gt;" &amp; $P518) + 1) / (COUNTA($I:$I) - 1)</f>
        <v>0.81420000000000003</v>
      </c>
      <c r="S518" s="23">
        <f>SUMIFS($P:$P, $Q:$Q, "&lt;" &amp; $Q518)</f>
        <v>186432845</v>
      </c>
    </row>
    <row r="519" spans="1:19" x14ac:dyDescent="0.25">
      <c r="A519" s="1">
        <v>514</v>
      </c>
      <c r="B519" s="1" t="s">
        <v>2</v>
      </c>
      <c r="C519" s="1" t="str">
        <f>IF($B519 = "Production Item", _xlfn.XLOOKUP($A519, 'Instrument Table'!$J:$J, 'Instrument Table'!$B:$B, $C518), IF($B519 = "Service Item", _xlfn.XLOOKUP($A519, 'Instrument Table'!$I:$I, 'Instrument Table'!$B:$B, $C518), _xlfn.XLOOKUP($A519, 'Instrument Table'!$H:$H, 'Instrument Table'!$B:$B, $C518)))</f>
        <v>Grand Piano</v>
      </c>
      <c r="D519" s="1" t="str">
        <f>VLOOKUP($C519, 'Instrument Table'!$B:$C, 2, FALSE)</f>
        <v>Pianos</v>
      </c>
      <c r="E519" s="1">
        <f t="shared" ref="E519:E582" si="48">IF($B519 = "Production Item", 1, IF($B519 = "Service Item", 2, IF($B519 = "Retail Item", 3, "")))</f>
        <v>1</v>
      </c>
      <c r="F519" s="1">
        <f>_xlfn.XLOOKUP($C519, 'Instrument Table'!$B:$B, 'Instrument Table'!$A:$A, "")</f>
        <v>10</v>
      </c>
      <c r="G519" s="1" t="str">
        <f>TEXT(IF($B519 = "Retail Item", IF((ROW($A519) - 4504 - _xlfn.XMATCH($C519, $C$4506:$C$5005, 0, 1)) &lt;= VLOOKUP($C519, 'Instrument Table'!$B:$D, 3, FALSE), ROW($A519) - 4504 - _xlfn.XMATCH($C519, $C$4506:$C$5005, 0, 1), 0), 0), "00")</f>
        <v>00</v>
      </c>
      <c r="H519" s="1" t="str">
        <f t="shared" ref="H519:H582" si="49">TEXT(IF($E519 &amp; $F519 &amp; $G519 = $E518 &amp; $F518 &amp; $G518, 1 + H518, 0), "000")</f>
        <v>513</v>
      </c>
      <c r="I519" s="1" t="str">
        <f t="shared" ref="I519:I582" si="50" xml:space="preserve"> _xlfn.CONCAT($E519, $F519, $G519, "-", H519)</f>
        <v>11000-513</v>
      </c>
      <c r="J519" s="1" t="str">
        <f t="shared" ref="J519:J582" si="51">LEFT($C519, 1) &amp; LOWER(RIGHT($C519, LEN($C519) - 1)) &amp; IF(AND($G519 &lt;&gt; "00", $B519 = "Retail Item"), " model #" &amp; $G519, " " &amp; LOWER($B519) &amp; " #" &amp; $H519)</f>
        <v>Grand piano production item #513</v>
      </c>
      <c r="K519" s="1" t="str">
        <f>IF(SUM(COUNTIFS(I:I, I519)) &gt; 1, "DUPLICATE", "UNIQUE")</f>
        <v>UNIQUE</v>
      </c>
      <c r="L519" s="18">
        <v>0</v>
      </c>
      <c r="M519" s="28">
        <v>14</v>
      </c>
      <c r="N519" s="6">
        <v>4</v>
      </c>
      <c r="O519" s="30">
        <f t="shared" ref="O519:O582" si="52">$L519 * $M519</f>
        <v>0</v>
      </c>
      <c r="P519" s="30">
        <f t="shared" ref="P519:P582" si="53">$N519 * $M519</f>
        <v>56</v>
      </c>
      <c r="Q519" s="1">
        <f>COUNTIFS($P:$P, "&gt;" &amp; $P519) + 1</f>
        <v>4589</v>
      </c>
      <c r="R519" s="63">
        <f>(COUNTIFS($P:$P, "&gt;" &amp; $P519) + 1) / (COUNTA($I:$I) - 1)</f>
        <v>0.91779999999999995</v>
      </c>
      <c r="S519" s="23">
        <f>SUMIFS($P:$P, $Q:$Q, "&lt;" &amp; $Q519)</f>
        <v>186543088</v>
      </c>
    </row>
    <row r="520" spans="1:19" x14ac:dyDescent="0.25">
      <c r="A520" s="1">
        <v>515</v>
      </c>
      <c r="B520" s="1" t="s">
        <v>2</v>
      </c>
      <c r="C520" s="1" t="str">
        <f>IF($B520 = "Production Item", _xlfn.XLOOKUP($A520, 'Instrument Table'!$J:$J, 'Instrument Table'!$B:$B, $C519), IF($B520 = "Service Item", _xlfn.XLOOKUP($A520, 'Instrument Table'!$I:$I, 'Instrument Table'!$B:$B, $C519), _xlfn.XLOOKUP($A520, 'Instrument Table'!$H:$H, 'Instrument Table'!$B:$B, $C519)))</f>
        <v>Grand Piano</v>
      </c>
      <c r="D520" s="1" t="str">
        <f>VLOOKUP($C520, 'Instrument Table'!$B:$C, 2, FALSE)</f>
        <v>Pianos</v>
      </c>
      <c r="E520" s="1">
        <f t="shared" si="48"/>
        <v>1</v>
      </c>
      <c r="F520" s="1">
        <f>_xlfn.XLOOKUP($C520, 'Instrument Table'!$B:$B, 'Instrument Table'!$A:$A, "")</f>
        <v>10</v>
      </c>
      <c r="G520" s="1" t="str">
        <f>TEXT(IF($B520 = "Retail Item", IF((ROW($A520) - 4504 - _xlfn.XMATCH($C520, $C$4506:$C$5005, 0, 1)) &lt;= VLOOKUP($C520, 'Instrument Table'!$B:$D, 3, FALSE), ROW($A520) - 4504 - _xlfn.XMATCH($C520, $C$4506:$C$5005, 0, 1), 0), 0), "00")</f>
        <v>00</v>
      </c>
      <c r="H520" s="1" t="str">
        <f t="shared" si="49"/>
        <v>514</v>
      </c>
      <c r="I520" s="1" t="str">
        <f t="shared" si="50"/>
        <v>11000-514</v>
      </c>
      <c r="J520" s="1" t="str">
        <f t="shared" si="51"/>
        <v>Grand piano production item #514</v>
      </c>
      <c r="K520" s="1" t="str">
        <f>IF(SUM(COUNTIFS(I:I, I520)) &gt; 1, "DUPLICATE", "UNIQUE")</f>
        <v>UNIQUE</v>
      </c>
      <c r="L520" s="18">
        <v>32</v>
      </c>
      <c r="M520" s="28">
        <v>17</v>
      </c>
      <c r="N520" s="6">
        <v>16</v>
      </c>
      <c r="O520" s="30">
        <f t="shared" si="52"/>
        <v>544</v>
      </c>
      <c r="P520" s="30">
        <f t="shared" si="53"/>
        <v>272</v>
      </c>
      <c r="Q520" s="1">
        <f>COUNTIFS($P:$P, "&gt;" &amp; $P520) + 1</f>
        <v>4246</v>
      </c>
      <c r="R520" s="63">
        <f>(COUNTIFS($P:$P, "&gt;" &amp; $P520) + 1) / (COUNTA($I:$I) - 1)</f>
        <v>0.84919999999999995</v>
      </c>
      <c r="S520" s="23">
        <f>SUMIFS($P:$P, $Q:$Q, "&lt;" &amp; $Q520)</f>
        <v>186494000</v>
      </c>
    </row>
    <row r="521" spans="1:19" x14ac:dyDescent="0.25">
      <c r="A521" s="1">
        <v>516</v>
      </c>
      <c r="B521" s="1" t="s">
        <v>2</v>
      </c>
      <c r="C521" s="1" t="str">
        <f>IF($B521 = "Production Item", _xlfn.XLOOKUP($A521, 'Instrument Table'!$J:$J, 'Instrument Table'!$B:$B, $C520), IF($B521 = "Service Item", _xlfn.XLOOKUP($A521, 'Instrument Table'!$I:$I, 'Instrument Table'!$B:$B, $C520), _xlfn.XLOOKUP($A521, 'Instrument Table'!$H:$H, 'Instrument Table'!$B:$B, $C520)))</f>
        <v>Grand Piano</v>
      </c>
      <c r="D521" s="1" t="str">
        <f>VLOOKUP($C521, 'Instrument Table'!$B:$C, 2, FALSE)</f>
        <v>Pianos</v>
      </c>
      <c r="E521" s="1">
        <f t="shared" si="48"/>
        <v>1</v>
      </c>
      <c r="F521" s="1">
        <f>_xlfn.XLOOKUP($C521, 'Instrument Table'!$B:$B, 'Instrument Table'!$A:$A, "")</f>
        <v>10</v>
      </c>
      <c r="G521" s="1" t="str">
        <f>TEXT(IF($B521 = "Retail Item", IF((ROW($A521) - 4504 - _xlfn.XMATCH($C521, $C$4506:$C$5005, 0, 1)) &lt;= VLOOKUP($C521, 'Instrument Table'!$B:$D, 3, FALSE), ROW($A521) - 4504 - _xlfn.XMATCH($C521, $C$4506:$C$5005, 0, 1), 0), 0), "00")</f>
        <v>00</v>
      </c>
      <c r="H521" s="1" t="str">
        <f t="shared" si="49"/>
        <v>515</v>
      </c>
      <c r="I521" s="1" t="str">
        <f t="shared" si="50"/>
        <v>11000-515</v>
      </c>
      <c r="J521" s="1" t="str">
        <f t="shared" si="51"/>
        <v>Grand piano production item #515</v>
      </c>
      <c r="K521" s="1" t="str">
        <f>IF(SUM(COUNTIFS(I:I, I521)) &gt; 1, "DUPLICATE", "UNIQUE")</f>
        <v>UNIQUE</v>
      </c>
      <c r="L521" s="18">
        <v>1</v>
      </c>
      <c r="M521" s="28">
        <v>89</v>
      </c>
      <c r="N521" s="6">
        <v>64</v>
      </c>
      <c r="O521" s="30">
        <f t="shared" si="52"/>
        <v>89</v>
      </c>
      <c r="P521" s="30">
        <f t="shared" si="53"/>
        <v>5696</v>
      </c>
      <c r="Q521" s="1">
        <f>COUNTIFS($P:$P, "&gt;" &amp; $P521) + 1</f>
        <v>2320</v>
      </c>
      <c r="R521" s="63">
        <f>(COUNTIFS($P:$P, "&gt;" &amp; $P521) + 1) / (COUNTA($I:$I) - 1)</f>
        <v>0.46400000000000002</v>
      </c>
      <c r="S521" s="23">
        <f>SUMIFS($P:$P, $Q:$Q, "&lt;" &amp; $Q521)</f>
        <v>182179273</v>
      </c>
    </row>
    <row r="522" spans="1:19" x14ac:dyDescent="0.25">
      <c r="A522" s="1">
        <v>517</v>
      </c>
      <c r="B522" s="1" t="s">
        <v>2</v>
      </c>
      <c r="C522" s="1" t="str">
        <f>IF($B522 = "Production Item", _xlfn.XLOOKUP($A522, 'Instrument Table'!$J:$J, 'Instrument Table'!$B:$B, $C521), IF($B522 = "Service Item", _xlfn.XLOOKUP($A522, 'Instrument Table'!$I:$I, 'Instrument Table'!$B:$B, $C521), _xlfn.XLOOKUP($A522, 'Instrument Table'!$H:$H, 'Instrument Table'!$B:$B, $C521)))</f>
        <v>Grand Piano</v>
      </c>
      <c r="D522" s="1" t="str">
        <f>VLOOKUP($C522, 'Instrument Table'!$B:$C, 2, FALSE)</f>
        <v>Pianos</v>
      </c>
      <c r="E522" s="1">
        <f t="shared" si="48"/>
        <v>1</v>
      </c>
      <c r="F522" s="1">
        <f>_xlfn.XLOOKUP($C522, 'Instrument Table'!$B:$B, 'Instrument Table'!$A:$A, "")</f>
        <v>10</v>
      </c>
      <c r="G522" s="1" t="str">
        <f>TEXT(IF($B522 = "Retail Item", IF((ROW($A522) - 4504 - _xlfn.XMATCH($C522, $C$4506:$C$5005, 0, 1)) &lt;= VLOOKUP($C522, 'Instrument Table'!$B:$D, 3, FALSE), ROW($A522) - 4504 - _xlfn.XMATCH($C522, $C$4506:$C$5005, 0, 1), 0), 0), "00")</f>
        <v>00</v>
      </c>
      <c r="H522" s="1" t="str">
        <f t="shared" si="49"/>
        <v>516</v>
      </c>
      <c r="I522" s="1" t="str">
        <f t="shared" si="50"/>
        <v>11000-516</v>
      </c>
      <c r="J522" s="1" t="str">
        <f t="shared" si="51"/>
        <v>Grand piano production item #516</v>
      </c>
      <c r="K522" s="1" t="str">
        <f>IF(SUM(COUNTIFS(I:I, I522)) &gt; 1, "DUPLICATE", "UNIQUE")</f>
        <v>UNIQUE</v>
      </c>
      <c r="L522" s="18">
        <v>16</v>
      </c>
      <c r="M522" s="28">
        <v>9</v>
      </c>
      <c r="N522" s="6">
        <v>4</v>
      </c>
      <c r="O522" s="30">
        <f t="shared" si="52"/>
        <v>144</v>
      </c>
      <c r="P522" s="30">
        <f t="shared" si="53"/>
        <v>36</v>
      </c>
      <c r="Q522" s="1">
        <f>COUNTIFS($P:$P, "&gt;" &amp; $P522) + 1</f>
        <v>4650</v>
      </c>
      <c r="R522" s="63">
        <f>(COUNTIFS($P:$P, "&gt;" &amp; $P522) + 1) / (COUNTA($I:$I) - 1)</f>
        <v>0.93</v>
      </c>
      <c r="S522" s="23">
        <f>SUMIFS($P:$P, $Q:$Q, "&lt;" &amp; $Q522)</f>
        <v>186546024</v>
      </c>
    </row>
    <row r="523" spans="1:19" x14ac:dyDescent="0.25">
      <c r="A523" s="1">
        <v>518</v>
      </c>
      <c r="B523" s="1" t="s">
        <v>2</v>
      </c>
      <c r="C523" s="1" t="str">
        <f>IF($B523 = "Production Item", _xlfn.XLOOKUP($A523, 'Instrument Table'!$J:$J, 'Instrument Table'!$B:$B, $C522), IF($B523 = "Service Item", _xlfn.XLOOKUP($A523, 'Instrument Table'!$I:$I, 'Instrument Table'!$B:$B, $C522), _xlfn.XLOOKUP($A523, 'Instrument Table'!$H:$H, 'Instrument Table'!$B:$B, $C522)))</f>
        <v>Grand Piano</v>
      </c>
      <c r="D523" s="1" t="str">
        <f>VLOOKUP($C523, 'Instrument Table'!$B:$C, 2, FALSE)</f>
        <v>Pianos</v>
      </c>
      <c r="E523" s="1">
        <f t="shared" si="48"/>
        <v>1</v>
      </c>
      <c r="F523" s="1">
        <f>_xlfn.XLOOKUP($C523, 'Instrument Table'!$B:$B, 'Instrument Table'!$A:$A, "")</f>
        <v>10</v>
      </c>
      <c r="G523" s="1" t="str">
        <f>TEXT(IF($B523 = "Retail Item", IF((ROW($A523) - 4504 - _xlfn.XMATCH($C523, $C$4506:$C$5005, 0, 1)) &lt;= VLOOKUP($C523, 'Instrument Table'!$B:$D, 3, FALSE), ROW($A523) - 4504 - _xlfn.XMATCH($C523, $C$4506:$C$5005, 0, 1), 0), 0), "00")</f>
        <v>00</v>
      </c>
      <c r="H523" s="1" t="str">
        <f t="shared" si="49"/>
        <v>517</v>
      </c>
      <c r="I523" s="1" t="str">
        <f t="shared" si="50"/>
        <v>11000-517</v>
      </c>
      <c r="J523" s="1" t="str">
        <f t="shared" si="51"/>
        <v>Grand piano production item #517</v>
      </c>
      <c r="K523" s="1" t="str">
        <f>IF(SUM(COUNTIFS(I:I, I523)) &gt; 1, "DUPLICATE", "UNIQUE")</f>
        <v>UNIQUE</v>
      </c>
      <c r="L523" s="18">
        <v>1</v>
      </c>
      <c r="M523" s="28">
        <v>89</v>
      </c>
      <c r="N523" s="6">
        <v>100</v>
      </c>
      <c r="O523" s="30">
        <f t="shared" si="52"/>
        <v>89</v>
      </c>
      <c r="P523" s="30">
        <f t="shared" si="53"/>
        <v>8900</v>
      </c>
      <c r="Q523" s="1">
        <f>COUNTIFS($P:$P, "&gt;" &amp; $P523) + 1</f>
        <v>1886</v>
      </c>
      <c r="R523" s="63">
        <f>(COUNTIFS($P:$P, "&gt;" &amp; $P523) + 1) / (COUNTA($I:$I) - 1)</f>
        <v>0.37719999999999998</v>
      </c>
      <c r="S523" s="23">
        <f>SUMIFS($P:$P, $Q:$Q, "&lt;" &amp; $Q523)</f>
        <v>179039555</v>
      </c>
    </row>
    <row r="524" spans="1:19" x14ac:dyDescent="0.25">
      <c r="A524" s="1">
        <v>519</v>
      </c>
      <c r="B524" s="1" t="s">
        <v>2</v>
      </c>
      <c r="C524" s="1" t="str">
        <f>IF($B524 = "Production Item", _xlfn.XLOOKUP($A524, 'Instrument Table'!$J:$J, 'Instrument Table'!$B:$B, $C523), IF($B524 = "Service Item", _xlfn.XLOOKUP($A524, 'Instrument Table'!$I:$I, 'Instrument Table'!$B:$B, $C523), _xlfn.XLOOKUP($A524, 'Instrument Table'!$H:$H, 'Instrument Table'!$B:$B, $C523)))</f>
        <v>Grand Piano</v>
      </c>
      <c r="D524" s="1" t="str">
        <f>VLOOKUP($C524, 'Instrument Table'!$B:$C, 2, FALSE)</f>
        <v>Pianos</v>
      </c>
      <c r="E524" s="1">
        <f t="shared" si="48"/>
        <v>1</v>
      </c>
      <c r="F524" s="1">
        <f>_xlfn.XLOOKUP($C524, 'Instrument Table'!$B:$B, 'Instrument Table'!$A:$A, "")</f>
        <v>10</v>
      </c>
      <c r="G524" s="1" t="str">
        <f>TEXT(IF($B524 = "Retail Item", IF((ROW($A524) - 4504 - _xlfn.XMATCH($C524, $C$4506:$C$5005, 0, 1)) &lt;= VLOOKUP($C524, 'Instrument Table'!$B:$D, 3, FALSE), ROW($A524) - 4504 - _xlfn.XMATCH($C524, $C$4506:$C$5005, 0, 1), 0), 0), "00")</f>
        <v>00</v>
      </c>
      <c r="H524" s="1" t="str">
        <f t="shared" si="49"/>
        <v>518</v>
      </c>
      <c r="I524" s="1" t="str">
        <f t="shared" si="50"/>
        <v>11000-518</v>
      </c>
      <c r="J524" s="1" t="str">
        <f t="shared" si="51"/>
        <v>Grand piano production item #518</v>
      </c>
      <c r="K524" s="1" t="str">
        <f>IF(SUM(COUNTIFS(I:I, I524)) &gt; 1, "DUPLICATE", "UNIQUE")</f>
        <v>UNIQUE</v>
      </c>
      <c r="L524" s="18">
        <v>1</v>
      </c>
      <c r="M524" s="28">
        <v>48</v>
      </c>
      <c r="N524" s="6">
        <v>144</v>
      </c>
      <c r="O524" s="30">
        <f t="shared" si="52"/>
        <v>48</v>
      </c>
      <c r="P524" s="30">
        <f t="shared" si="53"/>
        <v>6912</v>
      </c>
      <c r="Q524" s="1">
        <f>COUNTIFS($P:$P, "&gt;" &amp; $P524) + 1</f>
        <v>2145</v>
      </c>
      <c r="R524" s="63">
        <f>(COUNTIFS($P:$P, "&gt;" &amp; $P524) + 1) / (COUNTA($I:$I) - 1)</f>
        <v>0.42899999999999999</v>
      </c>
      <c r="S524" s="23">
        <f>SUMIFS($P:$P, $Q:$Q, "&lt;" &amp; $Q524)</f>
        <v>181079109</v>
      </c>
    </row>
    <row r="525" spans="1:19" x14ac:dyDescent="0.25">
      <c r="A525" s="1">
        <v>520</v>
      </c>
      <c r="B525" s="1" t="s">
        <v>2</v>
      </c>
      <c r="C525" s="1" t="str">
        <f>IF($B525 = "Production Item", _xlfn.XLOOKUP($A525, 'Instrument Table'!$J:$J, 'Instrument Table'!$B:$B, $C524), IF($B525 = "Service Item", _xlfn.XLOOKUP($A525, 'Instrument Table'!$I:$I, 'Instrument Table'!$B:$B, $C524), _xlfn.XLOOKUP($A525, 'Instrument Table'!$H:$H, 'Instrument Table'!$B:$B, $C524)))</f>
        <v>Grand Piano</v>
      </c>
      <c r="D525" s="1" t="str">
        <f>VLOOKUP($C525, 'Instrument Table'!$B:$C, 2, FALSE)</f>
        <v>Pianos</v>
      </c>
      <c r="E525" s="1">
        <f t="shared" si="48"/>
        <v>1</v>
      </c>
      <c r="F525" s="1">
        <f>_xlfn.XLOOKUP($C525, 'Instrument Table'!$B:$B, 'Instrument Table'!$A:$A, "")</f>
        <v>10</v>
      </c>
      <c r="G525" s="1" t="str">
        <f>TEXT(IF($B525 = "Retail Item", IF((ROW($A525) - 4504 - _xlfn.XMATCH($C525, $C$4506:$C$5005, 0, 1)) &lt;= VLOOKUP($C525, 'Instrument Table'!$B:$D, 3, FALSE), ROW($A525) - 4504 - _xlfn.XMATCH($C525, $C$4506:$C$5005, 0, 1), 0), 0), "00")</f>
        <v>00</v>
      </c>
      <c r="H525" s="1" t="str">
        <f t="shared" si="49"/>
        <v>519</v>
      </c>
      <c r="I525" s="1" t="str">
        <f t="shared" si="50"/>
        <v>11000-519</v>
      </c>
      <c r="J525" s="1" t="str">
        <f t="shared" si="51"/>
        <v>Grand piano production item #519</v>
      </c>
      <c r="K525" s="1" t="str">
        <f>IF(SUM(COUNTIFS(I:I, I525)) &gt; 1, "DUPLICATE", "UNIQUE")</f>
        <v>UNIQUE</v>
      </c>
      <c r="L525" s="18">
        <v>1</v>
      </c>
      <c r="M525" s="28">
        <v>63</v>
      </c>
      <c r="N525" s="6">
        <v>121</v>
      </c>
      <c r="O525" s="30">
        <f t="shared" si="52"/>
        <v>63</v>
      </c>
      <c r="P525" s="30">
        <f t="shared" si="53"/>
        <v>7623</v>
      </c>
      <c r="Q525" s="1">
        <f>COUNTIFS($P:$P, "&gt;" &amp; $P525) + 1</f>
        <v>2053</v>
      </c>
      <c r="R525" s="63">
        <f>(COUNTIFS($P:$P, "&gt;" &amp; $P525) + 1) / (COUNTA($I:$I) - 1)</f>
        <v>0.41060000000000002</v>
      </c>
      <c r="S525" s="23">
        <f>SUMIFS($P:$P, $Q:$Q, "&lt;" &amp; $Q525)</f>
        <v>180407949</v>
      </c>
    </row>
    <row r="526" spans="1:19" x14ac:dyDescent="0.25">
      <c r="A526" s="1">
        <v>521</v>
      </c>
      <c r="B526" s="1" t="s">
        <v>2</v>
      </c>
      <c r="C526" s="1" t="str">
        <f>IF($B526 = "Production Item", _xlfn.XLOOKUP($A526, 'Instrument Table'!$J:$J, 'Instrument Table'!$B:$B, $C525), IF($B526 = "Service Item", _xlfn.XLOOKUP($A526, 'Instrument Table'!$I:$I, 'Instrument Table'!$B:$B, $C525), _xlfn.XLOOKUP($A526, 'Instrument Table'!$H:$H, 'Instrument Table'!$B:$B, $C525)))</f>
        <v>Grand Piano</v>
      </c>
      <c r="D526" s="1" t="str">
        <f>VLOOKUP($C526, 'Instrument Table'!$B:$C, 2, FALSE)</f>
        <v>Pianos</v>
      </c>
      <c r="E526" s="1">
        <f t="shared" si="48"/>
        <v>1</v>
      </c>
      <c r="F526" s="1">
        <f>_xlfn.XLOOKUP($C526, 'Instrument Table'!$B:$B, 'Instrument Table'!$A:$A, "")</f>
        <v>10</v>
      </c>
      <c r="G526" s="1" t="str">
        <f>TEXT(IF($B526 = "Retail Item", IF((ROW($A526) - 4504 - _xlfn.XMATCH($C526, $C$4506:$C$5005, 0, 1)) &lt;= VLOOKUP($C526, 'Instrument Table'!$B:$D, 3, FALSE), ROW($A526) - 4504 - _xlfn.XMATCH($C526, $C$4506:$C$5005, 0, 1), 0), 0), "00")</f>
        <v>00</v>
      </c>
      <c r="H526" s="1" t="str">
        <f t="shared" si="49"/>
        <v>520</v>
      </c>
      <c r="I526" s="1" t="str">
        <f t="shared" si="50"/>
        <v>11000-520</v>
      </c>
      <c r="J526" s="1" t="str">
        <f t="shared" si="51"/>
        <v>Grand piano production item #520</v>
      </c>
      <c r="K526" s="1" t="str">
        <f>IF(SUM(COUNTIFS(I:I, I526)) &gt; 1, "DUPLICATE", "UNIQUE")</f>
        <v>UNIQUE</v>
      </c>
      <c r="L526" s="18">
        <v>1</v>
      </c>
      <c r="M526" s="28">
        <v>32</v>
      </c>
      <c r="N526" s="6">
        <v>169</v>
      </c>
      <c r="O526" s="30">
        <f t="shared" si="52"/>
        <v>32</v>
      </c>
      <c r="P526" s="30">
        <f t="shared" si="53"/>
        <v>5408</v>
      </c>
      <c r="Q526" s="1">
        <f>COUNTIFS($P:$P, "&gt;" &amp; $P526) + 1</f>
        <v>2371</v>
      </c>
      <c r="R526" s="63">
        <f>(COUNTIFS($P:$P, "&gt;" &amp; $P526) + 1) / (COUNTA($I:$I) - 1)</f>
        <v>0.47420000000000001</v>
      </c>
      <c r="S526" s="23">
        <f>SUMIFS($P:$P, $Q:$Q, "&lt;" &amp; $Q526)</f>
        <v>182462339</v>
      </c>
    </row>
    <row r="527" spans="1:19" x14ac:dyDescent="0.25">
      <c r="A527" s="1">
        <v>522</v>
      </c>
      <c r="B527" s="1" t="s">
        <v>2</v>
      </c>
      <c r="C527" s="1" t="str">
        <f>IF($B527 = "Production Item", _xlfn.XLOOKUP($A527, 'Instrument Table'!$J:$J, 'Instrument Table'!$B:$B, $C526), IF($B527 = "Service Item", _xlfn.XLOOKUP($A527, 'Instrument Table'!$I:$I, 'Instrument Table'!$B:$B, $C526), _xlfn.XLOOKUP($A527, 'Instrument Table'!$H:$H, 'Instrument Table'!$B:$B, $C526)))</f>
        <v>Grand Piano</v>
      </c>
      <c r="D527" s="1" t="str">
        <f>VLOOKUP($C527, 'Instrument Table'!$B:$C, 2, FALSE)</f>
        <v>Pianos</v>
      </c>
      <c r="E527" s="1">
        <f t="shared" si="48"/>
        <v>1</v>
      </c>
      <c r="F527" s="1">
        <f>_xlfn.XLOOKUP($C527, 'Instrument Table'!$B:$B, 'Instrument Table'!$A:$A, "")</f>
        <v>10</v>
      </c>
      <c r="G527" s="1" t="str">
        <f>TEXT(IF($B527 = "Retail Item", IF((ROW($A527) - 4504 - _xlfn.XMATCH($C527, $C$4506:$C$5005, 0, 1)) &lt;= VLOOKUP($C527, 'Instrument Table'!$B:$D, 3, FALSE), ROW($A527) - 4504 - _xlfn.XMATCH($C527, $C$4506:$C$5005, 0, 1), 0), 0), "00")</f>
        <v>00</v>
      </c>
      <c r="H527" s="1" t="str">
        <f t="shared" si="49"/>
        <v>521</v>
      </c>
      <c r="I527" s="1" t="str">
        <f t="shared" si="50"/>
        <v>11000-521</v>
      </c>
      <c r="J527" s="1" t="str">
        <f t="shared" si="51"/>
        <v>Grand piano production item #521</v>
      </c>
      <c r="K527" s="1" t="str">
        <f>IF(SUM(COUNTIFS(I:I, I527)) &gt; 1, "DUPLICATE", "UNIQUE")</f>
        <v>UNIQUE</v>
      </c>
      <c r="L527" s="18">
        <v>1</v>
      </c>
      <c r="M527" s="28">
        <v>56</v>
      </c>
      <c r="N527" s="6">
        <v>256</v>
      </c>
      <c r="O527" s="30">
        <f t="shared" si="52"/>
        <v>56</v>
      </c>
      <c r="P527" s="30">
        <f t="shared" si="53"/>
        <v>14336</v>
      </c>
      <c r="Q527" s="1">
        <f>COUNTIFS($P:$P, "&gt;" &amp; $P527) + 1</f>
        <v>1399</v>
      </c>
      <c r="R527" s="63">
        <f>(COUNTIFS($P:$P, "&gt;" &amp; $P527) + 1) / (COUNTA($I:$I) - 1)</f>
        <v>0.27979999999999999</v>
      </c>
      <c r="S527" s="23">
        <f>SUMIFS($P:$P, $Q:$Q, "&lt;" &amp; $Q527)</f>
        <v>173461453</v>
      </c>
    </row>
    <row r="528" spans="1:19" x14ac:dyDescent="0.25">
      <c r="A528" s="1">
        <v>523</v>
      </c>
      <c r="B528" s="1" t="s">
        <v>2</v>
      </c>
      <c r="C528" s="1" t="str">
        <f>IF($B528 = "Production Item", _xlfn.XLOOKUP($A528, 'Instrument Table'!$J:$J, 'Instrument Table'!$B:$B, $C527), IF($B528 = "Service Item", _xlfn.XLOOKUP($A528, 'Instrument Table'!$I:$I, 'Instrument Table'!$B:$B, $C527), _xlfn.XLOOKUP($A528, 'Instrument Table'!$H:$H, 'Instrument Table'!$B:$B, $C527)))</f>
        <v>Grand Piano</v>
      </c>
      <c r="D528" s="1" t="str">
        <f>VLOOKUP($C528, 'Instrument Table'!$B:$C, 2, FALSE)</f>
        <v>Pianos</v>
      </c>
      <c r="E528" s="1">
        <f t="shared" si="48"/>
        <v>1</v>
      </c>
      <c r="F528" s="1">
        <f>_xlfn.XLOOKUP($C528, 'Instrument Table'!$B:$B, 'Instrument Table'!$A:$A, "")</f>
        <v>10</v>
      </c>
      <c r="G528" s="1" t="str">
        <f>TEXT(IF($B528 = "Retail Item", IF((ROW($A528) - 4504 - _xlfn.XMATCH($C528, $C$4506:$C$5005, 0, 1)) &lt;= VLOOKUP($C528, 'Instrument Table'!$B:$D, 3, FALSE), ROW($A528) - 4504 - _xlfn.XMATCH($C528, $C$4506:$C$5005, 0, 1), 0), 0), "00")</f>
        <v>00</v>
      </c>
      <c r="H528" s="1" t="str">
        <f t="shared" si="49"/>
        <v>522</v>
      </c>
      <c r="I528" s="1" t="str">
        <f t="shared" si="50"/>
        <v>11000-522</v>
      </c>
      <c r="J528" s="1" t="str">
        <f t="shared" si="51"/>
        <v>Grand piano production item #522</v>
      </c>
      <c r="K528" s="1" t="str">
        <f>IF(SUM(COUNTIFS(I:I, I528)) &gt; 1, "DUPLICATE", "UNIQUE")</f>
        <v>UNIQUE</v>
      </c>
      <c r="L528" s="18">
        <v>4</v>
      </c>
      <c r="M528" s="28">
        <v>77</v>
      </c>
      <c r="N528" s="6">
        <v>1</v>
      </c>
      <c r="O528" s="30">
        <f t="shared" si="52"/>
        <v>308</v>
      </c>
      <c r="P528" s="30">
        <f t="shared" si="53"/>
        <v>77</v>
      </c>
      <c r="Q528" s="1">
        <f>COUNTIFS($P:$P, "&gt;" &amp; $P528) + 1</f>
        <v>4521</v>
      </c>
      <c r="R528" s="63">
        <f>(COUNTIFS($P:$P, "&gt;" &amp; $P528) + 1) / (COUNTA($I:$I) - 1)</f>
        <v>0.9042</v>
      </c>
      <c r="S528" s="23">
        <f>SUMIFS($P:$P, $Q:$Q, "&lt;" &amp; $Q528)</f>
        <v>186538558</v>
      </c>
    </row>
    <row r="529" spans="1:19" x14ac:dyDescent="0.25">
      <c r="A529" s="1">
        <v>524</v>
      </c>
      <c r="B529" s="1" t="s">
        <v>2</v>
      </c>
      <c r="C529" s="1" t="str">
        <f>IF($B529 = "Production Item", _xlfn.XLOOKUP($A529, 'Instrument Table'!$J:$J, 'Instrument Table'!$B:$B, $C528), IF($B529 = "Service Item", _xlfn.XLOOKUP($A529, 'Instrument Table'!$I:$I, 'Instrument Table'!$B:$B, $C528), _xlfn.XLOOKUP($A529, 'Instrument Table'!$H:$H, 'Instrument Table'!$B:$B, $C528)))</f>
        <v>Grand Piano</v>
      </c>
      <c r="D529" s="1" t="str">
        <f>VLOOKUP($C529, 'Instrument Table'!$B:$C, 2, FALSE)</f>
        <v>Pianos</v>
      </c>
      <c r="E529" s="1">
        <f t="shared" si="48"/>
        <v>1</v>
      </c>
      <c r="F529" s="1">
        <f>_xlfn.XLOOKUP($C529, 'Instrument Table'!$B:$B, 'Instrument Table'!$A:$A, "")</f>
        <v>10</v>
      </c>
      <c r="G529" s="1" t="str">
        <f>TEXT(IF($B529 = "Retail Item", IF((ROW($A529) - 4504 - _xlfn.XMATCH($C529, $C$4506:$C$5005, 0, 1)) &lt;= VLOOKUP($C529, 'Instrument Table'!$B:$D, 3, FALSE), ROW($A529) - 4504 - _xlfn.XMATCH($C529, $C$4506:$C$5005, 0, 1), 0), 0), "00")</f>
        <v>00</v>
      </c>
      <c r="H529" s="1" t="str">
        <f t="shared" si="49"/>
        <v>523</v>
      </c>
      <c r="I529" s="1" t="str">
        <f t="shared" si="50"/>
        <v>11000-523</v>
      </c>
      <c r="J529" s="1" t="str">
        <f t="shared" si="51"/>
        <v>Grand piano production item #523</v>
      </c>
      <c r="K529" s="1" t="str">
        <f>IF(SUM(COUNTIFS(I:I, I529)) &gt; 1, "DUPLICATE", "UNIQUE")</f>
        <v>UNIQUE</v>
      </c>
      <c r="L529" s="18">
        <v>2</v>
      </c>
      <c r="M529" s="28">
        <v>63</v>
      </c>
      <c r="N529" s="6">
        <v>16</v>
      </c>
      <c r="O529" s="30">
        <f t="shared" si="52"/>
        <v>126</v>
      </c>
      <c r="P529" s="30">
        <f t="shared" si="53"/>
        <v>1008</v>
      </c>
      <c r="Q529" s="1">
        <f>COUNTIFS($P:$P, "&gt;" &amp; $P529) + 1</f>
        <v>3673</v>
      </c>
      <c r="R529" s="63">
        <f>(COUNTIFS($P:$P, "&gt;" &amp; $P529) + 1) / (COUNTA($I:$I) - 1)</f>
        <v>0.73460000000000003</v>
      </c>
      <c r="S529" s="23">
        <f>SUMIFS($P:$P, $Q:$Q, "&lt;" &amp; $Q529)</f>
        <v>186152095</v>
      </c>
    </row>
    <row r="530" spans="1:19" x14ac:dyDescent="0.25">
      <c r="A530" s="1">
        <v>525</v>
      </c>
      <c r="B530" s="1" t="s">
        <v>2</v>
      </c>
      <c r="C530" s="1" t="str">
        <f>IF($B530 = "Production Item", _xlfn.XLOOKUP($A530, 'Instrument Table'!$J:$J, 'Instrument Table'!$B:$B, $C529), IF($B530 = "Service Item", _xlfn.XLOOKUP($A530, 'Instrument Table'!$I:$I, 'Instrument Table'!$B:$B, $C529), _xlfn.XLOOKUP($A530, 'Instrument Table'!$H:$H, 'Instrument Table'!$B:$B, $C529)))</f>
        <v>Grand Piano</v>
      </c>
      <c r="D530" s="1" t="str">
        <f>VLOOKUP($C530, 'Instrument Table'!$B:$C, 2, FALSE)</f>
        <v>Pianos</v>
      </c>
      <c r="E530" s="1">
        <f t="shared" si="48"/>
        <v>1</v>
      </c>
      <c r="F530" s="1">
        <f>_xlfn.XLOOKUP($C530, 'Instrument Table'!$B:$B, 'Instrument Table'!$A:$A, "")</f>
        <v>10</v>
      </c>
      <c r="G530" s="1" t="str">
        <f>TEXT(IF($B530 = "Retail Item", IF((ROW($A530) - 4504 - _xlfn.XMATCH($C530, $C$4506:$C$5005, 0, 1)) &lt;= VLOOKUP($C530, 'Instrument Table'!$B:$D, 3, FALSE), ROW($A530) - 4504 - _xlfn.XMATCH($C530, $C$4506:$C$5005, 0, 1), 0), 0), "00")</f>
        <v>00</v>
      </c>
      <c r="H530" s="1" t="str">
        <f t="shared" si="49"/>
        <v>524</v>
      </c>
      <c r="I530" s="1" t="str">
        <f t="shared" si="50"/>
        <v>11000-524</v>
      </c>
      <c r="J530" s="1" t="str">
        <f t="shared" si="51"/>
        <v>Grand piano production item #524</v>
      </c>
      <c r="K530" s="1" t="str">
        <f>IF(SUM(COUNTIFS(I:I, I530)) &gt; 1, "DUPLICATE", "UNIQUE")</f>
        <v>UNIQUE</v>
      </c>
      <c r="L530" s="18">
        <v>0</v>
      </c>
      <c r="M530" s="28">
        <v>97</v>
      </c>
      <c r="N530" s="6">
        <v>100</v>
      </c>
      <c r="O530" s="30">
        <f t="shared" si="52"/>
        <v>0</v>
      </c>
      <c r="P530" s="30">
        <f t="shared" si="53"/>
        <v>9700</v>
      </c>
      <c r="Q530" s="1">
        <f>COUNTIFS($P:$P, "&gt;" &amp; $P530) + 1</f>
        <v>1799</v>
      </c>
      <c r="R530" s="63">
        <f>(COUNTIFS($P:$P, "&gt;" &amp; $P530) + 1) / (COUNTA($I:$I) - 1)</f>
        <v>0.35980000000000001</v>
      </c>
      <c r="S530" s="23">
        <f>SUMIFS($P:$P, $Q:$Q, "&lt;" &amp; $Q530)</f>
        <v>178231608</v>
      </c>
    </row>
    <row r="531" spans="1:19" x14ac:dyDescent="0.25">
      <c r="A531" s="1">
        <v>526</v>
      </c>
      <c r="B531" s="1" t="s">
        <v>2</v>
      </c>
      <c r="C531" s="1" t="str">
        <f>IF($B531 = "Production Item", _xlfn.XLOOKUP($A531, 'Instrument Table'!$J:$J, 'Instrument Table'!$B:$B, $C530), IF($B531 = "Service Item", _xlfn.XLOOKUP($A531, 'Instrument Table'!$I:$I, 'Instrument Table'!$B:$B, $C530), _xlfn.XLOOKUP($A531, 'Instrument Table'!$H:$H, 'Instrument Table'!$B:$B, $C530)))</f>
        <v>Grand Piano</v>
      </c>
      <c r="D531" s="1" t="str">
        <f>VLOOKUP($C531, 'Instrument Table'!$B:$C, 2, FALSE)</f>
        <v>Pianos</v>
      </c>
      <c r="E531" s="1">
        <f t="shared" si="48"/>
        <v>1</v>
      </c>
      <c r="F531" s="1">
        <f>_xlfn.XLOOKUP($C531, 'Instrument Table'!$B:$B, 'Instrument Table'!$A:$A, "")</f>
        <v>10</v>
      </c>
      <c r="G531" s="1" t="str">
        <f>TEXT(IF($B531 = "Retail Item", IF((ROW($A531) - 4504 - _xlfn.XMATCH($C531, $C$4506:$C$5005, 0, 1)) &lt;= VLOOKUP($C531, 'Instrument Table'!$B:$D, 3, FALSE), ROW($A531) - 4504 - _xlfn.XMATCH($C531, $C$4506:$C$5005, 0, 1), 0), 0), "00")</f>
        <v>00</v>
      </c>
      <c r="H531" s="1" t="str">
        <f t="shared" si="49"/>
        <v>525</v>
      </c>
      <c r="I531" s="1" t="str">
        <f t="shared" si="50"/>
        <v>11000-525</v>
      </c>
      <c r="J531" s="1" t="str">
        <f t="shared" si="51"/>
        <v>Grand piano production item #525</v>
      </c>
      <c r="K531" s="1" t="str">
        <f>IF(SUM(COUNTIFS(I:I, I531)) &gt; 1, "DUPLICATE", "UNIQUE")</f>
        <v>UNIQUE</v>
      </c>
      <c r="L531" s="18">
        <v>1</v>
      </c>
      <c r="M531" s="28">
        <v>14</v>
      </c>
      <c r="N531" s="6">
        <v>121</v>
      </c>
      <c r="O531" s="30">
        <f t="shared" si="52"/>
        <v>14</v>
      </c>
      <c r="P531" s="30">
        <f t="shared" si="53"/>
        <v>1694</v>
      </c>
      <c r="Q531" s="1">
        <f>COUNTIFS($P:$P, "&gt;" &amp; $P531) + 1</f>
        <v>3372</v>
      </c>
      <c r="R531" s="63">
        <f>(COUNTIFS($P:$P, "&gt;" &amp; $P531) + 1) / (COUNTA($I:$I) - 1)</f>
        <v>0.6744</v>
      </c>
      <c r="S531" s="23">
        <f>SUMIFS($P:$P, $Q:$Q, "&lt;" &amp; $Q531)</f>
        <v>185738674</v>
      </c>
    </row>
    <row r="532" spans="1:19" x14ac:dyDescent="0.25">
      <c r="A532" s="1">
        <v>527</v>
      </c>
      <c r="B532" s="1" t="s">
        <v>2</v>
      </c>
      <c r="C532" s="1" t="str">
        <f>IF($B532 = "Production Item", _xlfn.XLOOKUP($A532, 'Instrument Table'!$J:$J, 'Instrument Table'!$B:$B, $C531), IF($B532 = "Service Item", _xlfn.XLOOKUP($A532, 'Instrument Table'!$I:$I, 'Instrument Table'!$B:$B, $C531), _xlfn.XLOOKUP($A532, 'Instrument Table'!$H:$H, 'Instrument Table'!$B:$B, $C531)))</f>
        <v>Grand Piano</v>
      </c>
      <c r="D532" s="1" t="str">
        <f>VLOOKUP($C532, 'Instrument Table'!$B:$C, 2, FALSE)</f>
        <v>Pianos</v>
      </c>
      <c r="E532" s="1">
        <f t="shared" si="48"/>
        <v>1</v>
      </c>
      <c r="F532" s="1">
        <f>_xlfn.XLOOKUP($C532, 'Instrument Table'!$B:$B, 'Instrument Table'!$A:$A, "")</f>
        <v>10</v>
      </c>
      <c r="G532" s="1" t="str">
        <f>TEXT(IF($B532 = "Retail Item", IF((ROW($A532) - 4504 - _xlfn.XMATCH($C532, $C$4506:$C$5005, 0, 1)) &lt;= VLOOKUP($C532, 'Instrument Table'!$B:$D, 3, FALSE), ROW($A532) - 4504 - _xlfn.XMATCH($C532, $C$4506:$C$5005, 0, 1), 0), 0), "00")</f>
        <v>00</v>
      </c>
      <c r="H532" s="1" t="str">
        <f t="shared" si="49"/>
        <v>526</v>
      </c>
      <c r="I532" s="1" t="str">
        <f t="shared" si="50"/>
        <v>11000-526</v>
      </c>
      <c r="J532" s="1" t="str">
        <f t="shared" si="51"/>
        <v>Grand piano production item #526</v>
      </c>
      <c r="K532" s="1" t="str">
        <f>IF(SUM(COUNTIFS(I:I, I532)) &gt; 1, "DUPLICATE", "UNIQUE")</f>
        <v>UNIQUE</v>
      </c>
      <c r="L532" s="18">
        <v>1</v>
      </c>
      <c r="M532" s="28">
        <v>54</v>
      </c>
      <c r="N532" s="6">
        <v>121</v>
      </c>
      <c r="O532" s="30">
        <f t="shared" si="52"/>
        <v>54</v>
      </c>
      <c r="P532" s="30">
        <f t="shared" si="53"/>
        <v>6534</v>
      </c>
      <c r="Q532" s="1">
        <f>COUNTIFS($P:$P, "&gt;" &amp; $P532) + 1</f>
        <v>2201</v>
      </c>
      <c r="R532" s="63">
        <f>(COUNTIFS($P:$P, "&gt;" &amp; $P532) + 1) / (COUNTA($I:$I) - 1)</f>
        <v>0.44019999999999998</v>
      </c>
      <c r="S532" s="23">
        <f>SUMIFS($P:$P, $Q:$Q, "&lt;" &amp; $Q532)</f>
        <v>181457992</v>
      </c>
    </row>
    <row r="533" spans="1:19" x14ac:dyDescent="0.25">
      <c r="A533" s="1">
        <v>528</v>
      </c>
      <c r="B533" s="1" t="s">
        <v>2</v>
      </c>
      <c r="C533" s="1" t="str">
        <f>IF($B533 = "Production Item", _xlfn.XLOOKUP($A533, 'Instrument Table'!$J:$J, 'Instrument Table'!$B:$B, $C532), IF($B533 = "Service Item", _xlfn.XLOOKUP($A533, 'Instrument Table'!$I:$I, 'Instrument Table'!$B:$B, $C532), _xlfn.XLOOKUP($A533, 'Instrument Table'!$H:$H, 'Instrument Table'!$B:$B, $C532)))</f>
        <v>Grand Piano</v>
      </c>
      <c r="D533" s="1" t="str">
        <f>VLOOKUP($C533, 'Instrument Table'!$B:$C, 2, FALSE)</f>
        <v>Pianos</v>
      </c>
      <c r="E533" s="1">
        <f t="shared" si="48"/>
        <v>1</v>
      </c>
      <c r="F533" s="1">
        <f>_xlfn.XLOOKUP($C533, 'Instrument Table'!$B:$B, 'Instrument Table'!$A:$A, "")</f>
        <v>10</v>
      </c>
      <c r="G533" s="1" t="str">
        <f>TEXT(IF($B533 = "Retail Item", IF((ROW($A533) - 4504 - _xlfn.XMATCH($C533, $C$4506:$C$5005, 0, 1)) &lt;= VLOOKUP($C533, 'Instrument Table'!$B:$D, 3, FALSE), ROW($A533) - 4504 - _xlfn.XMATCH($C533, $C$4506:$C$5005, 0, 1), 0), 0), "00")</f>
        <v>00</v>
      </c>
      <c r="H533" s="1" t="str">
        <f t="shared" si="49"/>
        <v>527</v>
      </c>
      <c r="I533" s="1" t="str">
        <f t="shared" si="50"/>
        <v>11000-527</v>
      </c>
      <c r="J533" s="1" t="str">
        <f t="shared" si="51"/>
        <v>Grand piano production item #527</v>
      </c>
      <c r="K533" s="1" t="str">
        <f>IF(SUM(COUNTIFS(I:I, I533)) &gt; 1, "DUPLICATE", "UNIQUE")</f>
        <v>UNIQUE</v>
      </c>
      <c r="L533" s="18">
        <v>1</v>
      </c>
      <c r="M533" s="28">
        <v>74</v>
      </c>
      <c r="N533" s="6">
        <v>64</v>
      </c>
      <c r="O533" s="30">
        <f t="shared" si="52"/>
        <v>74</v>
      </c>
      <c r="P533" s="30">
        <f t="shared" si="53"/>
        <v>4736</v>
      </c>
      <c r="Q533" s="1">
        <f>COUNTIFS($P:$P, "&gt;" &amp; $P533) + 1</f>
        <v>2494</v>
      </c>
      <c r="R533" s="63">
        <f>(COUNTIFS($P:$P, "&gt;" &amp; $P533) + 1) / (COUNTA($I:$I) - 1)</f>
        <v>0.49880000000000002</v>
      </c>
      <c r="S533" s="23">
        <f>SUMIFS($P:$P, $Q:$Q, "&lt;" &amp; $Q533)</f>
        <v>183086836</v>
      </c>
    </row>
    <row r="534" spans="1:19" x14ac:dyDescent="0.25">
      <c r="A534" s="1">
        <v>529</v>
      </c>
      <c r="B534" s="1" t="s">
        <v>2</v>
      </c>
      <c r="C534" s="1" t="str">
        <f>IF($B534 = "Production Item", _xlfn.XLOOKUP($A534, 'Instrument Table'!$J:$J, 'Instrument Table'!$B:$B, $C533), IF($B534 = "Service Item", _xlfn.XLOOKUP($A534, 'Instrument Table'!$I:$I, 'Instrument Table'!$B:$B, $C533), _xlfn.XLOOKUP($A534, 'Instrument Table'!$H:$H, 'Instrument Table'!$B:$B, $C533)))</f>
        <v>Grand Piano</v>
      </c>
      <c r="D534" s="1" t="str">
        <f>VLOOKUP($C534, 'Instrument Table'!$B:$C, 2, FALSE)</f>
        <v>Pianos</v>
      </c>
      <c r="E534" s="1">
        <f t="shared" si="48"/>
        <v>1</v>
      </c>
      <c r="F534" s="1">
        <f>_xlfn.XLOOKUP($C534, 'Instrument Table'!$B:$B, 'Instrument Table'!$A:$A, "")</f>
        <v>10</v>
      </c>
      <c r="G534" s="1" t="str">
        <f>TEXT(IF($B534 = "Retail Item", IF((ROW($A534) - 4504 - _xlfn.XMATCH($C534, $C$4506:$C$5005, 0, 1)) &lt;= VLOOKUP($C534, 'Instrument Table'!$B:$D, 3, FALSE), ROW($A534) - 4504 - _xlfn.XMATCH($C534, $C$4506:$C$5005, 0, 1), 0), 0), "00")</f>
        <v>00</v>
      </c>
      <c r="H534" s="1" t="str">
        <f t="shared" si="49"/>
        <v>528</v>
      </c>
      <c r="I534" s="1" t="str">
        <f t="shared" si="50"/>
        <v>11000-528</v>
      </c>
      <c r="J534" s="1" t="str">
        <f t="shared" si="51"/>
        <v>Grand piano production item #528</v>
      </c>
      <c r="K534" s="1" t="str">
        <f>IF(SUM(COUNTIFS(I:I, I534)) &gt; 1, "DUPLICATE", "UNIQUE")</f>
        <v>UNIQUE</v>
      </c>
      <c r="L534" s="18">
        <v>0</v>
      </c>
      <c r="M534" s="28">
        <v>44</v>
      </c>
      <c r="N534" s="6">
        <v>400</v>
      </c>
      <c r="O534" s="30">
        <f t="shared" si="52"/>
        <v>0</v>
      </c>
      <c r="P534" s="30">
        <f t="shared" si="53"/>
        <v>17600</v>
      </c>
      <c r="Q534" s="1">
        <f>COUNTIFS($P:$P, "&gt;" &amp; $P534) + 1</f>
        <v>1182</v>
      </c>
      <c r="R534" s="63">
        <f>(COUNTIFS($P:$P, "&gt;" &amp; $P534) + 1) / (COUNTA($I:$I) - 1)</f>
        <v>0.2364</v>
      </c>
      <c r="S534" s="23">
        <f>SUMIFS($P:$P, $Q:$Q, "&lt;" &amp; $Q534)</f>
        <v>170011245</v>
      </c>
    </row>
    <row r="535" spans="1:19" x14ac:dyDescent="0.25">
      <c r="A535" s="1">
        <v>530</v>
      </c>
      <c r="B535" s="1" t="s">
        <v>2</v>
      </c>
      <c r="C535" s="1" t="str">
        <f>IF($B535 = "Production Item", _xlfn.XLOOKUP($A535, 'Instrument Table'!$J:$J, 'Instrument Table'!$B:$B, $C534), IF($B535 = "Service Item", _xlfn.XLOOKUP($A535, 'Instrument Table'!$I:$I, 'Instrument Table'!$B:$B, $C534), _xlfn.XLOOKUP($A535, 'Instrument Table'!$H:$H, 'Instrument Table'!$B:$B, $C534)))</f>
        <v>Grand Piano</v>
      </c>
      <c r="D535" s="1" t="str">
        <f>VLOOKUP($C535, 'Instrument Table'!$B:$C, 2, FALSE)</f>
        <v>Pianos</v>
      </c>
      <c r="E535" s="1">
        <f t="shared" si="48"/>
        <v>1</v>
      </c>
      <c r="F535" s="1">
        <f>_xlfn.XLOOKUP($C535, 'Instrument Table'!$B:$B, 'Instrument Table'!$A:$A, "")</f>
        <v>10</v>
      </c>
      <c r="G535" s="1" t="str">
        <f>TEXT(IF($B535 = "Retail Item", IF((ROW($A535) - 4504 - _xlfn.XMATCH($C535, $C$4506:$C$5005, 0, 1)) &lt;= VLOOKUP($C535, 'Instrument Table'!$B:$D, 3, FALSE), ROW($A535) - 4504 - _xlfn.XMATCH($C535, $C$4506:$C$5005, 0, 1), 0), 0), "00")</f>
        <v>00</v>
      </c>
      <c r="H535" s="1" t="str">
        <f t="shared" si="49"/>
        <v>529</v>
      </c>
      <c r="I535" s="1" t="str">
        <f t="shared" si="50"/>
        <v>11000-529</v>
      </c>
      <c r="J535" s="1" t="str">
        <f t="shared" si="51"/>
        <v>Grand piano production item #529</v>
      </c>
      <c r="K535" s="1" t="str">
        <f>IF(SUM(COUNTIFS(I:I, I535)) &gt; 1, "DUPLICATE", "UNIQUE")</f>
        <v>UNIQUE</v>
      </c>
      <c r="L535" s="18">
        <v>32</v>
      </c>
      <c r="M535" s="28">
        <v>22</v>
      </c>
      <c r="N535" s="6">
        <v>1</v>
      </c>
      <c r="O535" s="30">
        <f t="shared" si="52"/>
        <v>704</v>
      </c>
      <c r="P535" s="30">
        <f t="shared" si="53"/>
        <v>22</v>
      </c>
      <c r="Q535" s="1">
        <f>COUNTIFS($P:$P, "&gt;" &amp; $P535) + 1</f>
        <v>4685</v>
      </c>
      <c r="R535" s="63">
        <f>(COUNTIFS($P:$P, "&gt;" &amp; $P535) + 1) / (COUNTA($I:$I) - 1)</f>
        <v>0.93700000000000006</v>
      </c>
      <c r="S535" s="23">
        <f>SUMIFS($P:$P, $Q:$Q, "&lt;" &amp; $Q535)</f>
        <v>186547093</v>
      </c>
    </row>
    <row r="536" spans="1:19" x14ac:dyDescent="0.25">
      <c r="A536" s="1">
        <v>531</v>
      </c>
      <c r="B536" s="1" t="s">
        <v>2</v>
      </c>
      <c r="C536" s="1" t="str">
        <f>IF($B536 = "Production Item", _xlfn.XLOOKUP($A536, 'Instrument Table'!$J:$J, 'Instrument Table'!$B:$B, $C535), IF($B536 = "Service Item", _xlfn.XLOOKUP($A536, 'Instrument Table'!$I:$I, 'Instrument Table'!$B:$B, $C535), _xlfn.XLOOKUP($A536, 'Instrument Table'!$H:$H, 'Instrument Table'!$B:$B, $C535)))</f>
        <v>Grand Piano</v>
      </c>
      <c r="D536" s="1" t="str">
        <f>VLOOKUP($C536, 'Instrument Table'!$B:$C, 2, FALSE)</f>
        <v>Pianos</v>
      </c>
      <c r="E536" s="1">
        <f t="shared" si="48"/>
        <v>1</v>
      </c>
      <c r="F536" s="1">
        <f>_xlfn.XLOOKUP($C536, 'Instrument Table'!$B:$B, 'Instrument Table'!$A:$A, "")</f>
        <v>10</v>
      </c>
      <c r="G536" s="1" t="str">
        <f>TEXT(IF($B536 = "Retail Item", IF((ROW($A536) - 4504 - _xlfn.XMATCH($C536, $C$4506:$C$5005, 0, 1)) &lt;= VLOOKUP($C536, 'Instrument Table'!$B:$D, 3, FALSE), ROW($A536) - 4504 - _xlfn.XMATCH($C536, $C$4506:$C$5005, 0, 1), 0), 0), "00")</f>
        <v>00</v>
      </c>
      <c r="H536" s="1" t="str">
        <f t="shared" si="49"/>
        <v>530</v>
      </c>
      <c r="I536" s="1" t="str">
        <f t="shared" si="50"/>
        <v>11000-530</v>
      </c>
      <c r="J536" s="1" t="str">
        <f t="shared" si="51"/>
        <v>Grand piano production item #530</v>
      </c>
      <c r="K536" s="1" t="str">
        <f>IF(SUM(COUNTIFS(I:I, I536)) &gt; 1, "DUPLICATE", "UNIQUE")</f>
        <v>UNIQUE</v>
      </c>
      <c r="L536" s="18">
        <v>0</v>
      </c>
      <c r="M536" s="28">
        <v>32</v>
      </c>
      <c r="N536" s="6">
        <v>16</v>
      </c>
      <c r="O536" s="30">
        <f t="shared" si="52"/>
        <v>0</v>
      </c>
      <c r="P536" s="30">
        <f t="shared" si="53"/>
        <v>512</v>
      </c>
      <c r="Q536" s="1">
        <f>COUNTIFS($P:$P, "&gt;" &amp; $P536) + 1</f>
        <v>4012</v>
      </c>
      <c r="R536" s="63">
        <f>(COUNTIFS($P:$P, "&gt;" &amp; $P536) + 1) / (COUNTA($I:$I) - 1)</f>
        <v>0.8024</v>
      </c>
      <c r="S536" s="23">
        <f>SUMIFS($P:$P, $Q:$Q, "&lt;" &amp; $Q536)</f>
        <v>186404530</v>
      </c>
    </row>
    <row r="537" spans="1:19" x14ac:dyDescent="0.25">
      <c r="A537" s="1">
        <v>532</v>
      </c>
      <c r="B537" s="1" t="s">
        <v>2</v>
      </c>
      <c r="C537" s="1" t="str">
        <f>IF($B537 = "Production Item", _xlfn.XLOOKUP($A537, 'Instrument Table'!$J:$J, 'Instrument Table'!$B:$B, $C536), IF($B537 = "Service Item", _xlfn.XLOOKUP($A537, 'Instrument Table'!$I:$I, 'Instrument Table'!$B:$B, $C536), _xlfn.XLOOKUP($A537, 'Instrument Table'!$H:$H, 'Instrument Table'!$B:$B, $C536)))</f>
        <v>Grand Piano</v>
      </c>
      <c r="D537" s="1" t="str">
        <f>VLOOKUP($C537, 'Instrument Table'!$B:$C, 2, FALSE)</f>
        <v>Pianos</v>
      </c>
      <c r="E537" s="1">
        <f t="shared" si="48"/>
        <v>1</v>
      </c>
      <c r="F537" s="1">
        <f>_xlfn.XLOOKUP($C537, 'Instrument Table'!$B:$B, 'Instrument Table'!$A:$A, "")</f>
        <v>10</v>
      </c>
      <c r="G537" s="1" t="str">
        <f>TEXT(IF($B537 = "Retail Item", IF((ROW($A537) - 4504 - _xlfn.XMATCH($C537, $C$4506:$C$5005, 0, 1)) &lt;= VLOOKUP($C537, 'Instrument Table'!$B:$D, 3, FALSE), ROW($A537) - 4504 - _xlfn.XMATCH($C537, $C$4506:$C$5005, 0, 1), 0), 0), "00")</f>
        <v>00</v>
      </c>
      <c r="H537" s="1" t="str">
        <f t="shared" si="49"/>
        <v>531</v>
      </c>
      <c r="I537" s="1" t="str">
        <f t="shared" si="50"/>
        <v>11000-531</v>
      </c>
      <c r="J537" s="1" t="str">
        <f t="shared" si="51"/>
        <v>Grand piano production item #531</v>
      </c>
      <c r="K537" s="1" t="str">
        <f>IF(SUM(COUNTIFS(I:I, I537)) &gt; 1, "DUPLICATE", "UNIQUE")</f>
        <v>UNIQUE</v>
      </c>
      <c r="L537" s="18">
        <v>1</v>
      </c>
      <c r="M537" s="28">
        <v>17</v>
      </c>
      <c r="N537" s="6">
        <v>225</v>
      </c>
      <c r="O537" s="30">
        <f t="shared" si="52"/>
        <v>17</v>
      </c>
      <c r="P537" s="30">
        <f t="shared" si="53"/>
        <v>3825</v>
      </c>
      <c r="Q537" s="1">
        <f>COUNTIFS($P:$P, "&gt;" &amp; $P537) + 1</f>
        <v>2692</v>
      </c>
      <c r="R537" s="63">
        <f>(COUNTIFS($P:$P, "&gt;" &amp; $P537) + 1) / (COUNTA($I:$I) - 1)</f>
        <v>0.53839999999999999</v>
      </c>
      <c r="S537" s="23">
        <f>SUMIFS($P:$P, $Q:$Q, "&lt;" &amp; $Q537)</f>
        <v>183936173</v>
      </c>
    </row>
    <row r="538" spans="1:19" x14ac:dyDescent="0.25">
      <c r="A538" s="1">
        <v>533</v>
      </c>
      <c r="B538" s="1" t="s">
        <v>2</v>
      </c>
      <c r="C538" s="1" t="str">
        <f>IF($B538 = "Production Item", _xlfn.XLOOKUP($A538, 'Instrument Table'!$J:$J, 'Instrument Table'!$B:$B, $C537), IF($B538 = "Service Item", _xlfn.XLOOKUP($A538, 'Instrument Table'!$I:$I, 'Instrument Table'!$B:$B, $C537), _xlfn.XLOOKUP($A538, 'Instrument Table'!$H:$H, 'Instrument Table'!$B:$B, $C537)))</f>
        <v>Grand Piano</v>
      </c>
      <c r="D538" s="1" t="str">
        <f>VLOOKUP($C538, 'Instrument Table'!$B:$C, 2, FALSE)</f>
        <v>Pianos</v>
      </c>
      <c r="E538" s="1">
        <f t="shared" si="48"/>
        <v>1</v>
      </c>
      <c r="F538" s="1">
        <f>_xlfn.XLOOKUP($C538, 'Instrument Table'!$B:$B, 'Instrument Table'!$A:$A, "")</f>
        <v>10</v>
      </c>
      <c r="G538" s="1" t="str">
        <f>TEXT(IF($B538 = "Retail Item", IF((ROW($A538) - 4504 - _xlfn.XMATCH($C538, $C$4506:$C$5005, 0, 1)) &lt;= VLOOKUP($C538, 'Instrument Table'!$B:$D, 3, FALSE), ROW($A538) - 4504 - _xlfn.XMATCH($C538, $C$4506:$C$5005, 0, 1), 0), 0), "00")</f>
        <v>00</v>
      </c>
      <c r="H538" s="1" t="str">
        <f t="shared" si="49"/>
        <v>532</v>
      </c>
      <c r="I538" s="1" t="str">
        <f t="shared" si="50"/>
        <v>11000-532</v>
      </c>
      <c r="J538" s="1" t="str">
        <f t="shared" si="51"/>
        <v>Grand piano production item #532</v>
      </c>
      <c r="K538" s="1" t="str">
        <f>IF(SUM(COUNTIFS(I:I, I538)) &gt; 1, "DUPLICATE", "UNIQUE")</f>
        <v>UNIQUE</v>
      </c>
      <c r="L538" s="18">
        <v>0</v>
      </c>
      <c r="M538" s="28">
        <v>24</v>
      </c>
      <c r="N538" s="6">
        <v>25</v>
      </c>
      <c r="O538" s="30">
        <f t="shared" si="52"/>
        <v>0</v>
      </c>
      <c r="P538" s="30">
        <f t="shared" si="53"/>
        <v>600</v>
      </c>
      <c r="Q538" s="1">
        <f>COUNTIFS($P:$P, "&gt;" &amp; $P538) + 1</f>
        <v>3936</v>
      </c>
      <c r="R538" s="63">
        <f>(COUNTIFS($P:$P, "&gt;" &amp; $P538) + 1) / (COUNTA($I:$I) - 1)</f>
        <v>0.78720000000000001</v>
      </c>
      <c r="S538" s="23">
        <f>SUMIFS($P:$P, $Q:$Q, "&lt;" &amp; $Q538)</f>
        <v>186361902</v>
      </c>
    </row>
    <row r="539" spans="1:19" x14ac:dyDescent="0.25">
      <c r="A539" s="1">
        <v>534</v>
      </c>
      <c r="B539" s="1" t="s">
        <v>2</v>
      </c>
      <c r="C539" s="1" t="str">
        <f>IF($B539 = "Production Item", _xlfn.XLOOKUP($A539, 'Instrument Table'!$J:$J, 'Instrument Table'!$B:$B, $C538), IF($B539 = "Service Item", _xlfn.XLOOKUP($A539, 'Instrument Table'!$I:$I, 'Instrument Table'!$B:$B, $C538), _xlfn.XLOOKUP($A539, 'Instrument Table'!$H:$H, 'Instrument Table'!$B:$B, $C538)))</f>
        <v>Grand Piano</v>
      </c>
      <c r="D539" s="1" t="str">
        <f>VLOOKUP($C539, 'Instrument Table'!$B:$C, 2, FALSE)</f>
        <v>Pianos</v>
      </c>
      <c r="E539" s="1">
        <f t="shared" si="48"/>
        <v>1</v>
      </c>
      <c r="F539" s="1">
        <f>_xlfn.XLOOKUP($C539, 'Instrument Table'!$B:$B, 'Instrument Table'!$A:$A, "")</f>
        <v>10</v>
      </c>
      <c r="G539" s="1" t="str">
        <f>TEXT(IF($B539 = "Retail Item", IF((ROW($A539) - 4504 - _xlfn.XMATCH($C539, $C$4506:$C$5005, 0, 1)) &lt;= VLOOKUP($C539, 'Instrument Table'!$B:$D, 3, FALSE), ROW($A539) - 4504 - _xlfn.XMATCH($C539, $C$4506:$C$5005, 0, 1), 0), 0), "00")</f>
        <v>00</v>
      </c>
      <c r="H539" s="1" t="str">
        <f t="shared" si="49"/>
        <v>533</v>
      </c>
      <c r="I539" s="1" t="str">
        <f t="shared" si="50"/>
        <v>11000-533</v>
      </c>
      <c r="J539" s="1" t="str">
        <f t="shared" si="51"/>
        <v>Grand piano production item #533</v>
      </c>
      <c r="K539" s="1" t="str">
        <f>IF(SUM(COUNTIFS(I:I, I539)) &gt; 1, "DUPLICATE", "UNIQUE")</f>
        <v>UNIQUE</v>
      </c>
      <c r="L539" s="18">
        <v>1</v>
      </c>
      <c r="M539" s="28">
        <v>42</v>
      </c>
      <c r="N539" s="6">
        <v>196</v>
      </c>
      <c r="O539" s="30">
        <f t="shared" si="52"/>
        <v>42</v>
      </c>
      <c r="P539" s="30">
        <f t="shared" si="53"/>
        <v>8232</v>
      </c>
      <c r="Q539" s="1">
        <f>COUNTIFS($P:$P, "&gt;" &amp; $P539) + 1</f>
        <v>1954</v>
      </c>
      <c r="R539" s="63">
        <f>(COUNTIFS($P:$P, "&gt;" &amp; $P539) + 1) / (COUNTA($I:$I) - 1)</f>
        <v>0.39079999999999998</v>
      </c>
      <c r="S539" s="23">
        <f>SUMIFS($P:$P, $Q:$Q, "&lt;" &amp; $Q539)</f>
        <v>179624569</v>
      </c>
    </row>
    <row r="540" spans="1:19" x14ac:dyDescent="0.25">
      <c r="A540" s="1">
        <v>535</v>
      </c>
      <c r="B540" s="1" t="s">
        <v>2</v>
      </c>
      <c r="C540" s="1" t="str">
        <f>IF($B540 = "Production Item", _xlfn.XLOOKUP($A540, 'Instrument Table'!$J:$J, 'Instrument Table'!$B:$B, $C539), IF($B540 = "Service Item", _xlfn.XLOOKUP($A540, 'Instrument Table'!$I:$I, 'Instrument Table'!$B:$B, $C539), _xlfn.XLOOKUP($A540, 'Instrument Table'!$H:$H, 'Instrument Table'!$B:$B, $C539)))</f>
        <v>Grand Piano</v>
      </c>
      <c r="D540" s="1" t="str">
        <f>VLOOKUP($C540, 'Instrument Table'!$B:$C, 2, FALSE)</f>
        <v>Pianos</v>
      </c>
      <c r="E540" s="1">
        <f t="shared" si="48"/>
        <v>1</v>
      </c>
      <c r="F540" s="1">
        <f>_xlfn.XLOOKUP($C540, 'Instrument Table'!$B:$B, 'Instrument Table'!$A:$A, "")</f>
        <v>10</v>
      </c>
      <c r="G540" s="1" t="str">
        <f>TEXT(IF($B540 = "Retail Item", IF((ROW($A540) - 4504 - _xlfn.XMATCH($C540, $C$4506:$C$5005, 0, 1)) &lt;= VLOOKUP($C540, 'Instrument Table'!$B:$D, 3, FALSE), ROW($A540) - 4504 - _xlfn.XMATCH($C540, $C$4506:$C$5005, 0, 1), 0), 0), "00")</f>
        <v>00</v>
      </c>
      <c r="H540" s="1" t="str">
        <f t="shared" si="49"/>
        <v>534</v>
      </c>
      <c r="I540" s="1" t="str">
        <f t="shared" si="50"/>
        <v>11000-534</v>
      </c>
      <c r="J540" s="1" t="str">
        <f t="shared" si="51"/>
        <v>Grand piano production item #534</v>
      </c>
      <c r="K540" s="1" t="str">
        <f>IF(SUM(COUNTIFS(I:I, I540)) &gt; 1, "DUPLICATE", "UNIQUE")</f>
        <v>UNIQUE</v>
      </c>
      <c r="L540" s="18">
        <v>0</v>
      </c>
      <c r="M540" s="28">
        <v>63</v>
      </c>
      <c r="N540" s="6">
        <v>361</v>
      </c>
      <c r="O540" s="30">
        <f t="shared" si="52"/>
        <v>0</v>
      </c>
      <c r="P540" s="30">
        <f t="shared" si="53"/>
        <v>22743</v>
      </c>
      <c r="Q540" s="1">
        <f>COUNTIFS($P:$P, "&gt;" &amp; $P540) + 1</f>
        <v>917</v>
      </c>
      <c r="R540" s="63">
        <f>(COUNTIFS($P:$P, "&gt;" &amp; $P540) + 1) / (COUNTA($I:$I) - 1)</f>
        <v>0.18340000000000001</v>
      </c>
      <c r="S540" s="23">
        <f>SUMIFS($P:$P, $Q:$Q, "&lt;" &amp; $Q540)</f>
        <v>164670666</v>
      </c>
    </row>
    <row r="541" spans="1:19" x14ac:dyDescent="0.25">
      <c r="A541" s="1">
        <v>536</v>
      </c>
      <c r="B541" s="1" t="s">
        <v>2</v>
      </c>
      <c r="C541" s="1" t="str">
        <f>IF($B541 = "Production Item", _xlfn.XLOOKUP($A541, 'Instrument Table'!$J:$J, 'Instrument Table'!$B:$B, $C540), IF($B541 = "Service Item", _xlfn.XLOOKUP($A541, 'Instrument Table'!$I:$I, 'Instrument Table'!$B:$B, $C540), _xlfn.XLOOKUP($A541, 'Instrument Table'!$H:$H, 'Instrument Table'!$B:$B, $C540)))</f>
        <v>Grand Piano</v>
      </c>
      <c r="D541" s="1" t="str">
        <f>VLOOKUP($C541, 'Instrument Table'!$B:$C, 2, FALSE)</f>
        <v>Pianos</v>
      </c>
      <c r="E541" s="1">
        <f t="shared" si="48"/>
        <v>1</v>
      </c>
      <c r="F541" s="1">
        <f>_xlfn.XLOOKUP($C541, 'Instrument Table'!$B:$B, 'Instrument Table'!$A:$A, "")</f>
        <v>10</v>
      </c>
      <c r="G541" s="1" t="str">
        <f>TEXT(IF($B541 = "Retail Item", IF((ROW($A541) - 4504 - _xlfn.XMATCH($C541, $C$4506:$C$5005, 0, 1)) &lt;= VLOOKUP($C541, 'Instrument Table'!$B:$D, 3, FALSE), ROW($A541) - 4504 - _xlfn.XMATCH($C541, $C$4506:$C$5005, 0, 1), 0), 0), "00")</f>
        <v>00</v>
      </c>
      <c r="H541" s="1" t="str">
        <f t="shared" si="49"/>
        <v>535</v>
      </c>
      <c r="I541" s="1" t="str">
        <f t="shared" si="50"/>
        <v>11000-535</v>
      </c>
      <c r="J541" s="1" t="str">
        <f t="shared" si="51"/>
        <v>Grand piano production item #535</v>
      </c>
      <c r="K541" s="1" t="str">
        <f>IF(SUM(COUNTIFS(I:I, I541)) &gt; 1, "DUPLICATE", "UNIQUE")</f>
        <v>UNIQUE</v>
      </c>
      <c r="L541" s="18">
        <v>32</v>
      </c>
      <c r="M541" s="28">
        <v>95</v>
      </c>
      <c r="N541" s="6">
        <v>144</v>
      </c>
      <c r="O541" s="30">
        <f t="shared" si="52"/>
        <v>3040</v>
      </c>
      <c r="P541" s="30">
        <f t="shared" si="53"/>
        <v>13680</v>
      </c>
      <c r="Q541" s="1">
        <f>COUNTIFS($P:$P, "&gt;" &amp; $P541) + 1</f>
        <v>1443</v>
      </c>
      <c r="R541" s="63">
        <f>(COUNTIFS($P:$P, "&gt;" &amp; $P541) + 1) / (COUNTA($I:$I) - 1)</f>
        <v>0.28860000000000002</v>
      </c>
      <c r="S541" s="23">
        <f>SUMIFS($P:$P, $Q:$Q, "&lt;" &amp; $Q541)</f>
        <v>174077483</v>
      </c>
    </row>
    <row r="542" spans="1:19" x14ac:dyDescent="0.25">
      <c r="A542" s="1">
        <v>537</v>
      </c>
      <c r="B542" s="1" t="s">
        <v>2</v>
      </c>
      <c r="C542" s="1" t="str">
        <f>IF($B542 = "Production Item", _xlfn.XLOOKUP($A542, 'Instrument Table'!$J:$J, 'Instrument Table'!$B:$B, $C541), IF($B542 = "Service Item", _xlfn.XLOOKUP($A542, 'Instrument Table'!$I:$I, 'Instrument Table'!$B:$B, $C541), _xlfn.XLOOKUP($A542, 'Instrument Table'!$H:$H, 'Instrument Table'!$B:$B, $C541)))</f>
        <v>Grand Piano</v>
      </c>
      <c r="D542" s="1" t="str">
        <f>VLOOKUP($C542, 'Instrument Table'!$B:$C, 2, FALSE)</f>
        <v>Pianos</v>
      </c>
      <c r="E542" s="1">
        <f t="shared" si="48"/>
        <v>1</v>
      </c>
      <c r="F542" s="1">
        <f>_xlfn.XLOOKUP($C542, 'Instrument Table'!$B:$B, 'Instrument Table'!$A:$A, "")</f>
        <v>10</v>
      </c>
      <c r="G542" s="1" t="str">
        <f>TEXT(IF($B542 = "Retail Item", IF((ROW($A542) - 4504 - _xlfn.XMATCH($C542, $C$4506:$C$5005, 0, 1)) &lt;= VLOOKUP($C542, 'Instrument Table'!$B:$D, 3, FALSE), ROW($A542) - 4504 - _xlfn.XMATCH($C542, $C$4506:$C$5005, 0, 1), 0), 0), "00")</f>
        <v>00</v>
      </c>
      <c r="H542" s="1" t="str">
        <f t="shared" si="49"/>
        <v>536</v>
      </c>
      <c r="I542" s="1" t="str">
        <f t="shared" si="50"/>
        <v>11000-536</v>
      </c>
      <c r="J542" s="1" t="str">
        <f t="shared" si="51"/>
        <v>Grand piano production item #536</v>
      </c>
      <c r="K542" s="1" t="str">
        <f>IF(SUM(COUNTIFS(I:I, I542)) &gt; 1, "DUPLICATE", "UNIQUE")</f>
        <v>UNIQUE</v>
      </c>
      <c r="L542" s="18">
        <v>1</v>
      </c>
      <c r="M542" s="28">
        <v>35</v>
      </c>
      <c r="N542" s="6">
        <v>100</v>
      </c>
      <c r="O542" s="30">
        <f t="shared" si="52"/>
        <v>35</v>
      </c>
      <c r="P542" s="30">
        <f t="shared" si="53"/>
        <v>3500</v>
      </c>
      <c r="Q542" s="1">
        <f>COUNTIFS($P:$P, "&gt;" &amp; $P542) + 1</f>
        <v>2776</v>
      </c>
      <c r="R542" s="63">
        <f>(COUNTIFS($P:$P, "&gt;" &amp; $P542) + 1) / (COUNTA($I:$I) - 1)</f>
        <v>0.55520000000000003</v>
      </c>
      <c r="S542" s="23">
        <f>SUMIFS($P:$P, $Q:$Q, "&lt;" &amp; $Q542)</f>
        <v>184242852</v>
      </c>
    </row>
    <row r="543" spans="1:19" x14ac:dyDescent="0.25">
      <c r="A543" s="1">
        <v>538</v>
      </c>
      <c r="B543" s="1" t="s">
        <v>2</v>
      </c>
      <c r="C543" s="1" t="str">
        <f>IF($B543 = "Production Item", _xlfn.XLOOKUP($A543, 'Instrument Table'!$J:$J, 'Instrument Table'!$B:$B, $C542), IF($B543 = "Service Item", _xlfn.XLOOKUP($A543, 'Instrument Table'!$I:$I, 'Instrument Table'!$B:$B, $C542), _xlfn.XLOOKUP($A543, 'Instrument Table'!$H:$H, 'Instrument Table'!$B:$B, $C542)))</f>
        <v>Grand Piano</v>
      </c>
      <c r="D543" s="1" t="str">
        <f>VLOOKUP($C543, 'Instrument Table'!$B:$C, 2, FALSE)</f>
        <v>Pianos</v>
      </c>
      <c r="E543" s="1">
        <f t="shared" si="48"/>
        <v>1</v>
      </c>
      <c r="F543" s="1">
        <f>_xlfn.XLOOKUP($C543, 'Instrument Table'!$B:$B, 'Instrument Table'!$A:$A, "")</f>
        <v>10</v>
      </c>
      <c r="G543" s="1" t="str">
        <f>TEXT(IF($B543 = "Retail Item", IF((ROW($A543) - 4504 - _xlfn.XMATCH($C543, $C$4506:$C$5005, 0, 1)) &lt;= VLOOKUP($C543, 'Instrument Table'!$B:$D, 3, FALSE), ROW($A543) - 4504 - _xlfn.XMATCH($C543, $C$4506:$C$5005, 0, 1), 0), 0), "00")</f>
        <v>00</v>
      </c>
      <c r="H543" s="1" t="str">
        <f t="shared" si="49"/>
        <v>537</v>
      </c>
      <c r="I543" s="1" t="str">
        <f t="shared" si="50"/>
        <v>11000-537</v>
      </c>
      <c r="J543" s="1" t="str">
        <f t="shared" si="51"/>
        <v>Grand piano production item #537</v>
      </c>
      <c r="K543" s="1" t="str">
        <f>IF(SUM(COUNTIFS(I:I, I543)) &gt; 1, "DUPLICATE", "UNIQUE")</f>
        <v>UNIQUE</v>
      </c>
      <c r="L543" s="18">
        <v>0</v>
      </c>
      <c r="M543" s="28">
        <v>38</v>
      </c>
      <c r="N543" s="6">
        <v>289</v>
      </c>
      <c r="O543" s="30">
        <f t="shared" si="52"/>
        <v>0</v>
      </c>
      <c r="P543" s="30">
        <f t="shared" si="53"/>
        <v>10982</v>
      </c>
      <c r="Q543" s="1">
        <f>COUNTIFS($P:$P, "&gt;" &amp; $P543) + 1</f>
        <v>1686</v>
      </c>
      <c r="R543" s="63">
        <f>(COUNTIFS($P:$P, "&gt;" &amp; $P543) + 1) / (COUNTA($I:$I) - 1)</f>
        <v>0.3372</v>
      </c>
      <c r="S543" s="23">
        <f>SUMIFS($P:$P, $Q:$Q, "&lt;" &amp; $Q543)</f>
        <v>177060628</v>
      </c>
    </row>
    <row r="544" spans="1:19" x14ac:dyDescent="0.25">
      <c r="A544" s="1">
        <v>539</v>
      </c>
      <c r="B544" s="1" t="s">
        <v>2</v>
      </c>
      <c r="C544" s="1" t="str">
        <f>IF($B544 = "Production Item", _xlfn.XLOOKUP($A544, 'Instrument Table'!$J:$J, 'Instrument Table'!$B:$B, $C543), IF($B544 = "Service Item", _xlfn.XLOOKUP($A544, 'Instrument Table'!$I:$I, 'Instrument Table'!$B:$B, $C543), _xlfn.XLOOKUP($A544, 'Instrument Table'!$H:$H, 'Instrument Table'!$B:$B, $C543)))</f>
        <v>Grand Piano</v>
      </c>
      <c r="D544" s="1" t="str">
        <f>VLOOKUP($C544, 'Instrument Table'!$B:$C, 2, FALSE)</f>
        <v>Pianos</v>
      </c>
      <c r="E544" s="1">
        <f t="shared" si="48"/>
        <v>1</v>
      </c>
      <c r="F544" s="1">
        <f>_xlfn.XLOOKUP($C544, 'Instrument Table'!$B:$B, 'Instrument Table'!$A:$A, "")</f>
        <v>10</v>
      </c>
      <c r="G544" s="1" t="str">
        <f>TEXT(IF($B544 = "Retail Item", IF((ROW($A544) - 4504 - _xlfn.XMATCH($C544, $C$4506:$C$5005, 0, 1)) &lt;= VLOOKUP($C544, 'Instrument Table'!$B:$D, 3, FALSE), ROW($A544) - 4504 - _xlfn.XMATCH($C544, $C$4506:$C$5005, 0, 1), 0), 0), "00")</f>
        <v>00</v>
      </c>
      <c r="H544" s="1" t="str">
        <f t="shared" si="49"/>
        <v>538</v>
      </c>
      <c r="I544" s="1" t="str">
        <f t="shared" si="50"/>
        <v>11000-538</v>
      </c>
      <c r="J544" s="1" t="str">
        <f t="shared" si="51"/>
        <v>Grand piano production item #538</v>
      </c>
      <c r="K544" s="1" t="str">
        <f>IF(SUM(COUNTIFS(I:I, I544)) &gt; 1, "DUPLICATE", "UNIQUE")</f>
        <v>UNIQUE</v>
      </c>
      <c r="L544" s="18">
        <v>8</v>
      </c>
      <c r="M544" s="28">
        <v>76</v>
      </c>
      <c r="N544" s="6">
        <v>289</v>
      </c>
      <c r="O544" s="30">
        <f t="shared" si="52"/>
        <v>608</v>
      </c>
      <c r="P544" s="30">
        <f t="shared" si="53"/>
        <v>21964</v>
      </c>
      <c r="Q544" s="1">
        <f>COUNTIFS($P:$P, "&gt;" &amp; $P544) + 1</f>
        <v>960</v>
      </c>
      <c r="R544" s="63">
        <f>(COUNTIFS($P:$P, "&gt;" &amp; $P544) + 1) / (COUNTA($I:$I) - 1)</f>
        <v>0.192</v>
      </c>
      <c r="S544" s="23">
        <f>SUMIFS($P:$P, $Q:$Q, "&lt;" &amp; $Q544)</f>
        <v>165629692</v>
      </c>
    </row>
    <row r="545" spans="1:19" x14ac:dyDescent="0.25">
      <c r="A545" s="1">
        <v>540</v>
      </c>
      <c r="B545" s="1" t="s">
        <v>2</v>
      </c>
      <c r="C545" s="1" t="str">
        <f>IF($B545 = "Production Item", _xlfn.XLOOKUP($A545, 'Instrument Table'!$J:$J, 'Instrument Table'!$B:$B, $C544), IF($B545 = "Service Item", _xlfn.XLOOKUP($A545, 'Instrument Table'!$I:$I, 'Instrument Table'!$B:$B, $C544), _xlfn.XLOOKUP($A545, 'Instrument Table'!$H:$H, 'Instrument Table'!$B:$B, $C544)))</f>
        <v>Grand Piano</v>
      </c>
      <c r="D545" s="1" t="str">
        <f>VLOOKUP($C545, 'Instrument Table'!$B:$C, 2, FALSE)</f>
        <v>Pianos</v>
      </c>
      <c r="E545" s="1">
        <f t="shared" si="48"/>
        <v>1</v>
      </c>
      <c r="F545" s="1">
        <f>_xlfn.XLOOKUP($C545, 'Instrument Table'!$B:$B, 'Instrument Table'!$A:$A, "")</f>
        <v>10</v>
      </c>
      <c r="G545" s="1" t="str">
        <f>TEXT(IF($B545 = "Retail Item", IF((ROW($A545) - 4504 - _xlfn.XMATCH($C545, $C$4506:$C$5005, 0, 1)) &lt;= VLOOKUP($C545, 'Instrument Table'!$B:$D, 3, FALSE), ROW($A545) - 4504 - _xlfn.XMATCH($C545, $C$4506:$C$5005, 0, 1), 0), 0), "00")</f>
        <v>00</v>
      </c>
      <c r="H545" s="1" t="str">
        <f t="shared" si="49"/>
        <v>539</v>
      </c>
      <c r="I545" s="1" t="str">
        <f t="shared" si="50"/>
        <v>11000-539</v>
      </c>
      <c r="J545" s="1" t="str">
        <f t="shared" si="51"/>
        <v>Grand piano production item #539</v>
      </c>
      <c r="K545" s="1" t="str">
        <f>IF(SUM(COUNTIFS(I:I, I545)) &gt; 1, "DUPLICATE", "UNIQUE")</f>
        <v>UNIQUE</v>
      </c>
      <c r="L545" s="18">
        <v>1</v>
      </c>
      <c r="M545" s="28">
        <v>29</v>
      </c>
      <c r="N545" s="6">
        <v>16</v>
      </c>
      <c r="O545" s="30">
        <f t="shared" si="52"/>
        <v>29</v>
      </c>
      <c r="P545" s="30">
        <f t="shared" si="53"/>
        <v>464</v>
      </c>
      <c r="Q545" s="1">
        <f>COUNTIFS($P:$P, "&gt;" &amp; $P545) + 1</f>
        <v>4052</v>
      </c>
      <c r="R545" s="63">
        <f>(COUNTIFS($P:$P, "&gt;" &amp; $P545) + 1) / (COUNTA($I:$I) - 1)</f>
        <v>0.81040000000000001</v>
      </c>
      <c r="S545" s="23">
        <f>SUMIFS($P:$P, $Q:$Q, "&lt;" &amp; $Q545)</f>
        <v>186424322</v>
      </c>
    </row>
    <row r="546" spans="1:19" x14ac:dyDescent="0.25">
      <c r="A546" s="1">
        <v>541</v>
      </c>
      <c r="B546" s="1" t="s">
        <v>2</v>
      </c>
      <c r="C546" s="1" t="str">
        <f>IF($B546 = "Production Item", _xlfn.XLOOKUP($A546, 'Instrument Table'!$J:$J, 'Instrument Table'!$B:$B, $C545), IF($B546 = "Service Item", _xlfn.XLOOKUP($A546, 'Instrument Table'!$I:$I, 'Instrument Table'!$B:$B, $C545), _xlfn.XLOOKUP($A546, 'Instrument Table'!$H:$H, 'Instrument Table'!$B:$B, $C545)))</f>
        <v>Grand Piano</v>
      </c>
      <c r="D546" s="1" t="str">
        <f>VLOOKUP($C546, 'Instrument Table'!$B:$C, 2, FALSE)</f>
        <v>Pianos</v>
      </c>
      <c r="E546" s="1">
        <f t="shared" si="48"/>
        <v>1</v>
      </c>
      <c r="F546" s="1">
        <f>_xlfn.XLOOKUP($C546, 'Instrument Table'!$B:$B, 'Instrument Table'!$A:$A, "")</f>
        <v>10</v>
      </c>
      <c r="G546" s="1" t="str">
        <f>TEXT(IF($B546 = "Retail Item", IF((ROW($A546) - 4504 - _xlfn.XMATCH($C546, $C$4506:$C$5005, 0, 1)) &lt;= VLOOKUP($C546, 'Instrument Table'!$B:$D, 3, FALSE), ROW($A546) - 4504 - _xlfn.XMATCH($C546, $C$4506:$C$5005, 0, 1), 0), 0), "00")</f>
        <v>00</v>
      </c>
      <c r="H546" s="1" t="str">
        <f t="shared" si="49"/>
        <v>540</v>
      </c>
      <c r="I546" s="1" t="str">
        <f t="shared" si="50"/>
        <v>11000-540</v>
      </c>
      <c r="J546" s="1" t="str">
        <f t="shared" si="51"/>
        <v>Grand piano production item #540</v>
      </c>
      <c r="K546" s="1" t="str">
        <f>IF(SUM(COUNTIFS(I:I, I546)) &gt; 1, "DUPLICATE", "UNIQUE")</f>
        <v>UNIQUE</v>
      </c>
      <c r="L546" s="18">
        <v>32</v>
      </c>
      <c r="M546" s="28">
        <v>82</v>
      </c>
      <c r="N546" s="6">
        <v>36</v>
      </c>
      <c r="O546" s="30">
        <f t="shared" si="52"/>
        <v>2624</v>
      </c>
      <c r="P546" s="30">
        <f t="shared" si="53"/>
        <v>2952</v>
      </c>
      <c r="Q546" s="1">
        <f>COUNTIFS($P:$P, "&gt;" &amp; $P546) + 1</f>
        <v>2914</v>
      </c>
      <c r="R546" s="63">
        <f>(COUNTIFS($P:$P, "&gt;" &amp; $P546) + 1) / (COUNTA($I:$I) - 1)</f>
        <v>0.58279999999999998</v>
      </c>
      <c r="S546" s="23">
        <f>SUMIFS($P:$P, $Q:$Q, "&lt;" &amp; $Q546)</f>
        <v>184690403</v>
      </c>
    </row>
    <row r="547" spans="1:19" x14ac:dyDescent="0.25">
      <c r="A547" s="1">
        <v>542</v>
      </c>
      <c r="B547" s="1" t="s">
        <v>2</v>
      </c>
      <c r="C547" s="1" t="str">
        <f>IF($B547 = "Production Item", _xlfn.XLOOKUP($A547, 'Instrument Table'!$J:$J, 'Instrument Table'!$B:$B, $C546), IF($B547 = "Service Item", _xlfn.XLOOKUP($A547, 'Instrument Table'!$I:$I, 'Instrument Table'!$B:$B, $C546), _xlfn.XLOOKUP($A547, 'Instrument Table'!$H:$H, 'Instrument Table'!$B:$B, $C546)))</f>
        <v>Grand Piano</v>
      </c>
      <c r="D547" s="1" t="str">
        <f>VLOOKUP($C547, 'Instrument Table'!$B:$C, 2, FALSE)</f>
        <v>Pianos</v>
      </c>
      <c r="E547" s="1">
        <f t="shared" si="48"/>
        <v>1</v>
      </c>
      <c r="F547" s="1">
        <f>_xlfn.XLOOKUP($C547, 'Instrument Table'!$B:$B, 'Instrument Table'!$A:$A, "")</f>
        <v>10</v>
      </c>
      <c r="G547" s="1" t="str">
        <f>TEXT(IF($B547 = "Retail Item", IF((ROW($A547) - 4504 - _xlfn.XMATCH($C547, $C$4506:$C$5005, 0, 1)) &lt;= VLOOKUP($C547, 'Instrument Table'!$B:$D, 3, FALSE), ROW($A547) - 4504 - _xlfn.XMATCH($C547, $C$4506:$C$5005, 0, 1), 0), 0), "00")</f>
        <v>00</v>
      </c>
      <c r="H547" s="1" t="str">
        <f t="shared" si="49"/>
        <v>541</v>
      </c>
      <c r="I547" s="1" t="str">
        <f t="shared" si="50"/>
        <v>11000-541</v>
      </c>
      <c r="J547" s="1" t="str">
        <f t="shared" si="51"/>
        <v>Grand piano production item #541</v>
      </c>
      <c r="K547" s="1" t="str">
        <f>IF(SUM(COUNTIFS(I:I, I547)) &gt; 1, "DUPLICATE", "UNIQUE")</f>
        <v>UNIQUE</v>
      </c>
      <c r="L547" s="18">
        <v>32</v>
      </c>
      <c r="M547" s="28">
        <v>39</v>
      </c>
      <c r="N547" s="6">
        <v>289</v>
      </c>
      <c r="O547" s="30">
        <f t="shared" si="52"/>
        <v>1248</v>
      </c>
      <c r="P547" s="30">
        <f t="shared" si="53"/>
        <v>11271</v>
      </c>
      <c r="Q547" s="1">
        <f>COUNTIFS($P:$P, "&gt;" &amp; $P547) + 1</f>
        <v>1656</v>
      </c>
      <c r="R547" s="63">
        <f>(COUNTIFS($P:$P, "&gt;" &amp; $P547) + 1) / (COUNTA($I:$I) - 1)</f>
        <v>0.33119999999999999</v>
      </c>
      <c r="S547" s="23">
        <f>SUMIFS($P:$P, $Q:$Q, "&lt;" &amp; $Q547)</f>
        <v>176726187</v>
      </c>
    </row>
    <row r="548" spans="1:19" x14ac:dyDescent="0.25">
      <c r="A548" s="1">
        <v>543</v>
      </c>
      <c r="B548" s="1" t="s">
        <v>2</v>
      </c>
      <c r="C548" s="1" t="str">
        <f>IF($B548 = "Production Item", _xlfn.XLOOKUP($A548, 'Instrument Table'!$J:$J, 'Instrument Table'!$B:$B, $C547), IF($B548 = "Service Item", _xlfn.XLOOKUP($A548, 'Instrument Table'!$I:$I, 'Instrument Table'!$B:$B, $C547), _xlfn.XLOOKUP($A548, 'Instrument Table'!$H:$H, 'Instrument Table'!$B:$B, $C547)))</f>
        <v>Grand Piano</v>
      </c>
      <c r="D548" s="1" t="str">
        <f>VLOOKUP($C548, 'Instrument Table'!$B:$C, 2, FALSE)</f>
        <v>Pianos</v>
      </c>
      <c r="E548" s="1">
        <f t="shared" si="48"/>
        <v>1</v>
      </c>
      <c r="F548" s="1">
        <f>_xlfn.XLOOKUP($C548, 'Instrument Table'!$B:$B, 'Instrument Table'!$A:$A, "")</f>
        <v>10</v>
      </c>
      <c r="G548" s="1" t="str">
        <f>TEXT(IF($B548 = "Retail Item", IF((ROW($A548) - 4504 - _xlfn.XMATCH($C548, $C$4506:$C$5005, 0, 1)) &lt;= VLOOKUP($C548, 'Instrument Table'!$B:$D, 3, FALSE), ROW($A548) - 4504 - _xlfn.XMATCH($C548, $C$4506:$C$5005, 0, 1), 0), 0), "00")</f>
        <v>00</v>
      </c>
      <c r="H548" s="1" t="str">
        <f t="shared" si="49"/>
        <v>542</v>
      </c>
      <c r="I548" s="1" t="str">
        <f t="shared" si="50"/>
        <v>11000-542</v>
      </c>
      <c r="J548" s="1" t="str">
        <f t="shared" si="51"/>
        <v>Grand piano production item #542</v>
      </c>
      <c r="K548" s="1" t="str">
        <f>IF(SUM(COUNTIFS(I:I, I548)) &gt; 1, "DUPLICATE", "UNIQUE")</f>
        <v>UNIQUE</v>
      </c>
      <c r="L548" s="18">
        <v>0</v>
      </c>
      <c r="M548" s="28">
        <v>60</v>
      </c>
      <c r="N548" s="6">
        <v>361</v>
      </c>
      <c r="O548" s="30">
        <f t="shared" si="52"/>
        <v>0</v>
      </c>
      <c r="P548" s="30">
        <f t="shared" si="53"/>
        <v>21660</v>
      </c>
      <c r="Q548" s="1">
        <f>COUNTIFS($P:$P, "&gt;" &amp; $P548) + 1</f>
        <v>973</v>
      </c>
      <c r="R548" s="63">
        <f>(COUNTIFS($P:$P, "&gt;" &amp; $P548) + 1) / (COUNTA($I:$I) - 1)</f>
        <v>0.1946</v>
      </c>
      <c r="S548" s="23">
        <f>SUMIFS($P:$P, $Q:$Q, "&lt;" &amp; $Q548)</f>
        <v>165912875</v>
      </c>
    </row>
    <row r="549" spans="1:19" x14ac:dyDescent="0.25">
      <c r="A549" s="1">
        <v>544</v>
      </c>
      <c r="B549" s="1" t="s">
        <v>2</v>
      </c>
      <c r="C549" s="1" t="str">
        <f>IF($B549 = "Production Item", _xlfn.XLOOKUP($A549, 'Instrument Table'!$J:$J, 'Instrument Table'!$B:$B, $C548), IF($B549 = "Service Item", _xlfn.XLOOKUP($A549, 'Instrument Table'!$I:$I, 'Instrument Table'!$B:$B, $C548), _xlfn.XLOOKUP($A549, 'Instrument Table'!$H:$H, 'Instrument Table'!$B:$B, $C548)))</f>
        <v>Grand Piano</v>
      </c>
      <c r="D549" s="1" t="str">
        <f>VLOOKUP($C549, 'Instrument Table'!$B:$C, 2, FALSE)</f>
        <v>Pianos</v>
      </c>
      <c r="E549" s="1">
        <f t="shared" si="48"/>
        <v>1</v>
      </c>
      <c r="F549" s="1">
        <f>_xlfn.XLOOKUP($C549, 'Instrument Table'!$B:$B, 'Instrument Table'!$A:$A, "")</f>
        <v>10</v>
      </c>
      <c r="G549" s="1" t="str">
        <f>TEXT(IF($B549 = "Retail Item", IF((ROW($A549) - 4504 - _xlfn.XMATCH($C549, $C$4506:$C$5005, 0, 1)) &lt;= VLOOKUP($C549, 'Instrument Table'!$B:$D, 3, FALSE), ROW($A549) - 4504 - _xlfn.XMATCH($C549, $C$4506:$C$5005, 0, 1), 0), 0), "00")</f>
        <v>00</v>
      </c>
      <c r="H549" s="1" t="str">
        <f t="shared" si="49"/>
        <v>543</v>
      </c>
      <c r="I549" s="1" t="str">
        <f t="shared" si="50"/>
        <v>11000-543</v>
      </c>
      <c r="J549" s="1" t="str">
        <f t="shared" si="51"/>
        <v>Grand piano production item #543</v>
      </c>
      <c r="K549" s="1" t="str">
        <f>IF(SUM(COUNTIFS(I:I, I549)) &gt; 1, "DUPLICATE", "UNIQUE")</f>
        <v>UNIQUE</v>
      </c>
      <c r="L549" s="18">
        <v>1</v>
      </c>
      <c r="M549" s="28">
        <v>8</v>
      </c>
      <c r="N549" s="6">
        <v>49</v>
      </c>
      <c r="O549" s="30">
        <f t="shared" si="52"/>
        <v>8</v>
      </c>
      <c r="P549" s="30">
        <f t="shared" si="53"/>
        <v>392</v>
      </c>
      <c r="Q549" s="1">
        <f>COUNTIFS($P:$P, "&gt;" &amp; $P549) + 1</f>
        <v>4108</v>
      </c>
      <c r="R549" s="63">
        <f>(COUNTIFS($P:$P, "&gt;" &amp; $P549) + 1) / (COUNTA($I:$I) - 1)</f>
        <v>0.8216</v>
      </c>
      <c r="S549" s="23">
        <f>SUMIFS($P:$P, $Q:$Q, "&lt;" &amp; $Q549)</f>
        <v>186448050</v>
      </c>
    </row>
    <row r="550" spans="1:19" x14ac:dyDescent="0.25">
      <c r="A550" s="1">
        <v>545</v>
      </c>
      <c r="B550" s="1" t="s">
        <v>2</v>
      </c>
      <c r="C550" s="1" t="str">
        <f>IF($B550 = "Production Item", _xlfn.XLOOKUP($A550, 'Instrument Table'!$J:$J, 'Instrument Table'!$B:$B, $C549), IF($B550 = "Service Item", _xlfn.XLOOKUP($A550, 'Instrument Table'!$I:$I, 'Instrument Table'!$B:$B, $C549), _xlfn.XLOOKUP($A550, 'Instrument Table'!$H:$H, 'Instrument Table'!$B:$B, $C549)))</f>
        <v>Grand Piano</v>
      </c>
      <c r="D550" s="1" t="str">
        <f>VLOOKUP($C550, 'Instrument Table'!$B:$C, 2, FALSE)</f>
        <v>Pianos</v>
      </c>
      <c r="E550" s="1">
        <f t="shared" si="48"/>
        <v>1</v>
      </c>
      <c r="F550" s="1">
        <f>_xlfn.XLOOKUP($C550, 'Instrument Table'!$B:$B, 'Instrument Table'!$A:$A, "")</f>
        <v>10</v>
      </c>
      <c r="G550" s="1" t="str">
        <f>TEXT(IF($B550 = "Retail Item", IF((ROW($A550) - 4504 - _xlfn.XMATCH($C550, $C$4506:$C$5005, 0, 1)) &lt;= VLOOKUP($C550, 'Instrument Table'!$B:$D, 3, FALSE), ROW($A550) - 4504 - _xlfn.XMATCH($C550, $C$4506:$C$5005, 0, 1), 0), 0), "00")</f>
        <v>00</v>
      </c>
      <c r="H550" s="1" t="str">
        <f t="shared" si="49"/>
        <v>544</v>
      </c>
      <c r="I550" s="1" t="str">
        <f t="shared" si="50"/>
        <v>11000-544</v>
      </c>
      <c r="J550" s="1" t="str">
        <f t="shared" si="51"/>
        <v>Grand piano production item #544</v>
      </c>
      <c r="K550" s="1" t="str">
        <f>IF(SUM(COUNTIFS(I:I, I550)) &gt; 1, "DUPLICATE", "UNIQUE")</f>
        <v>UNIQUE</v>
      </c>
      <c r="L550" s="18">
        <v>1</v>
      </c>
      <c r="M550" s="28">
        <v>21</v>
      </c>
      <c r="N550" s="6">
        <v>1</v>
      </c>
      <c r="O550" s="30">
        <f t="shared" si="52"/>
        <v>21</v>
      </c>
      <c r="P550" s="30">
        <f t="shared" si="53"/>
        <v>21</v>
      </c>
      <c r="Q550" s="1">
        <f>COUNTIFS($P:$P, "&gt;" &amp; $P550) + 1</f>
        <v>4686</v>
      </c>
      <c r="R550" s="63">
        <f>(COUNTIFS($P:$P, "&gt;" &amp; $P550) + 1) / (COUNTA($I:$I) - 1)</f>
        <v>0.93720000000000003</v>
      </c>
      <c r="S550" s="23">
        <f>SUMIFS($P:$P, $Q:$Q, "&lt;" &amp; $Q550)</f>
        <v>186547115</v>
      </c>
    </row>
    <row r="551" spans="1:19" x14ac:dyDescent="0.25">
      <c r="A551" s="1">
        <v>546</v>
      </c>
      <c r="B551" s="1" t="s">
        <v>2</v>
      </c>
      <c r="C551" s="1" t="str">
        <f>IF($B551 = "Production Item", _xlfn.XLOOKUP($A551, 'Instrument Table'!$J:$J, 'Instrument Table'!$B:$B, $C550), IF($B551 = "Service Item", _xlfn.XLOOKUP($A551, 'Instrument Table'!$I:$I, 'Instrument Table'!$B:$B, $C550), _xlfn.XLOOKUP($A551, 'Instrument Table'!$H:$H, 'Instrument Table'!$B:$B, $C550)))</f>
        <v>Grand Piano</v>
      </c>
      <c r="D551" s="1" t="str">
        <f>VLOOKUP($C551, 'Instrument Table'!$B:$C, 2, FALSE)</f>
        <v>Pianos</v>
      </c>
      <c r="E551" s="1">
        <f t="shared" si="48"/>
        <v>1</v>
      </c>
      <c r="F551" s="1">
        <f>_xlfn.XLOOKUP($C551, 'Instrument Table'!$B:$B, 'Instrument Table'!$A:$A, "")</f>
        <v>10</v>
      </c>
      <c r="G551" s="1" t="str">
        <f>TEXT(IF($B551 = "Retail Item", IF((ROW($A551) - 4504 - _xlfn.XMATCH($C551, $C$4506:$C$5005, 0, 1)) &lt;= VLOOKUP($C551, 'Instrument Table'!$B:$D, 3, FALSE), ROW($A551) - 4504 - _xlfn.XMATCH($C551, $C$4506:$C$5005, 0, 1), 0), 0), "00")</f>
        <v>00</v>
      </c>
      <c r="H551" s="1" t="str">
        <f t="shared" si="49"/>
        <v>545</v>
      </c>
      <c r="I551" s="1" t="str">
        <f t="shared" si="50"/>
        <v>11000-545</v>
      </c>
      <c r="J551" s="1" t="str">
        <f t="shared" si="51"/>
        <v>Grand piano production item #545</v>
      </c>
      <c r="K551" s="1" t="str">
        <f>IF(SUM(COUNTIFS(I:I, I551)) &gt; 1, "DUPLICATE", "UNIQUE")</f>
        <v>UNIQUE</v>
      </c>
      <c r="L551" s="18">
        <v>0</v>
      </c>
      <c r="M551" s="28">
        <v>26</v>
      </c>
      <c r="N551" s="6">
        <v>289</v>
      </c>
      <c r="O551" s="30">
        <f t="shared" si="52"/>
        <v>0</v>
      </c>
      <c r="P551" s="30">
        <f t="shared" si="53"/>
        <v>7514</v>
      </c>
      <c r="Q551" s="1">
        <f>COUNTIFS($P:$P, "&gt;" &amp; $P551) + 1</f>
        <v>2068</v>
      </c>
      <c r="R551" s="63">
        <f>(COUNTIFS($P:$P, "&gt;" &amp; $P551) + 1) / (COUNTA($I:$I) - 1)</f>
        <v>0.41360000000000002</v>
      </c>
      <c r="S551" s="23">
        <f>SUMIFS($P:$P, $Q:$Q, "&lt;" &amp; $Q551)</f>
        <v>180521911</v>
      </c>
    </row>
    <row r="552" spans="1:19" x14ac:dyDescent="0.25">
      <c r="A552" s="1">
        <v>547</v>
      </c>
      <c r="B552" s="1" t="s">
        <v>2</v>
      </c>
      <c r="C552" s="1" t="str">
        <f>IF($B552 = "Production Item", _xlfn.XLOOKUP($A552, 'Instrument Table'!$J:$J, 'Instrument Table'!$B:$B, $C551), IF($B552 = "Service Item", _xlfn.XLOOKUP($A552, 'Instrument Table'!$I:$I, 'Instrument Table'!$B:$B, $C551), _xlfn.XLOOKUP($A552, 'Instrument Table'!$H:$H, 'Instrument Table'!$B:$B, $C551)))</f>
        <v>Grand Piano</v>
      </c>
      <c r="D552" s="1" t="str">
        <f>VLOOKUP($C552, 'Instrument Table'!$B:$C, 2, FALSE)</f>
        <v>Pianos</v>
      </c>
      <c r="E552" s="1">
        <f t="shared" si="48"/>
        <v>1</v>
      </c>
      <c r="F552" s="1">
        <f>_xlfn.XLOOKUP($C552, 'Instrument Table'!$B:$B, 'Instrument Table'!$A:$A, "")</f>
        <v>10</v>
      </c>
      <c r="G552" s="1" t="str">
        <f>TEXT(IF($B552 = "Retail Item", IF((ROW($A552) - 4504 - _xlfn.XMATCH($C552, $C$4506:$C$5005, 0, 1)) &lt;= VLOOKUP($C552, 'Instrument Table'!$B:$D, 3, FALSE), ROW($A552) - 4504 - _xlfn.XMATCH($C552, $C$4506:$C$5005, 0, 1), 0), 0), "00")</f>
        <v>00</v>
      </c>
      <c r="H552" s="1" t="str">
        <f t="shared" si="49"/>
        <v>546</v>
      </c>
      <c r="I552" s="1" t="str">
        <f t="shared" si="50"/>
        <v>11000-546</v>
      </c>
      <c r="J552" s="1" t="str">
        <f t="shared" si="51"/>
        <v>Grand piano production item #546</v>
      </c>
      <c r="K552" s="1" t="str">
        <f>IF(SUM(COUNTIFS(I:I, I552)) &gt; 1, "DUPLICATE", "UNIQUE")</f>
        <v>UNIQUE</v>
      </c>
      <c r="L552" s="18">
        <v>0</v>
      </c>
      <c r="M552" s="28">
        <v>23</v>
      </c>
      <c r="N552" s="6">
        <v>16</v>
      </c>
      <c r="O552" s="30">
        <f t="shared" si="52"/>
        <v>0</v>
      </c>
      <c r="P552" s="30">
        <f t="shared" si="53"/>
        <v>368</v>
      </c>
      <c r="Q552" s="1">
        <f>COUNTIFS($P:$P, "&gt;" &amp; $P552) + 1</f>
        <v>4132</v>
      </c>
      <c r="R552" s="63">
        <f>(COUNTIFS($P:$P, "&gt;" &amp; $P552) + 1) / (COUNTA($I:$I) - 1)</f>
        <v>0.82640000000000002</v>
      </c>
      <c r="S552" s="23">
        <f>SUMIFS($P:$P, $Q:$Q, "&lt;" &amp; $Q552)</f>
        <v>186457252</v>
      </c>
    </row>
    <row r="553" spans="1:19" x14ac:dyDescent="0.25">
      <c r="A553" s="1">
        <v>548</v>
      </c>
      <c r="B553" s="1" t="s">
        <v>2</v>
      </c>
      <c r="C553" s="1" t="str">
        <f>IF($B553 = "Production Item", _xlfn.XLOOKUP($A553, 'Instrument Table'!$J:$J, 'Instrument Table'!$B:$B, $C552), IF($B553 = "Service Item", _xlfn.XLOOKUP($A553, 'Instrument Table'!$I:$I, 'Instrument Table'!$B:$B, $C552), _xlfn.XLOOKUP($A553, 'Instrument Table'!$H:$H, 'Instrument Table'!$B:$B, $C552)))</f>
        <v>Grand Piano</v>
      </c>
      <c r="D553" s="1" t="str">
        <f>VLOOKUP($C553, 'Instrument Table'!$B:$C, 2, FALSE)</f>
        <v>Pianos</v>
      </c>
      <c r="E553" s="1">
        <f t="shared" si="48"/>
        <v>1</v>
      </c>
      <c r="F553" s="1">
        <f>_xlfn.XLOOKUP($C553, 'Instrument Table'!$B:$B, 'Instrument Table'!$A:$A, "")</f>
        <v>10</v>
      </c>
      <c r="G553" s="1" t="str">
        <f>TEXT(IF($B553 = "Retail Item", IF((ROW($A553) - 4504 - _xlfn.XMATCH($C553, $C$4506:$C$5005, 0, 1)) &lt;= VLOOKUP($C553, 'Instrument Table'!$B:$D, 3, FALSE), ROW($A553) - 4504 - _xlfn.XMATCH($C553, $C$4506:$C$5005, 0, 1), 0), 0), "00")</f>
        <v>00</v>
      </c>
      <c r="H553" s="1" t="str">
        <f t="shared" si="49"/>
        <v>547</v>
      </c>
      <c r="I553" s="1" t="str">
        <f t="shared" si="50"/>
        <v>11000-547</v>
      </c>
      <c r="J553" s="1" t="str">
        <f t="shared" si="51"/>
        <v>Grand piano production item #547</v>
      </c>
      <c r="K553" s="1" t="str">
        <f>IF(SUM(COUNTIFS(I:I, I553)) &gt; 1, "DUPLICATE", "UNIQUE")</f>
        <v>UNIQUE</v>
      </c>
      <c r="L553" s="18">
        <v>1</v>
      </c>
      <c r="M553" s="28">
        <v>75</v>
      </c>
      <c r="N553" s="6">
        <v>1</v>
      </c>
      <c r="O553" s="30">
        <f t="shared" si="52"/>
        <v>75</v>
      </c>
      <c r="P553" s="30">
        <f t="shared" si="53"/>
        <v>75</v>
      </c>
      <c r="Q553" s="1">
        <f>COUNTIFS($P:$P, "&gt;" &amp; $P553) + 1</f>
        <v>4527</v>
      </c>
      <c r="R553" s="63">
        <f>(COUNTIFS($P:$P, "&gt;" &amp; $P553) + 1) / (COUNTA($I:$I) - 1)</f>
        <v>0.90539999999999998</v>
      </c>
      <c r="S553" s="23">
        <f>SUMIFS($P:$P, $Q:$Q, "&lt;" &amp; $Q553)</f>
        <v>186539016</v>
      </c>
    </row>
    <row r="554" spans="1:19" x14ac:dyDescent="0.25">
      <c r="A554" s="1">
        <v>549</v>
      </c>
      <c r="B554" s="1" t="s">
        <v>2</v>
      </c>
      <c r="C554" s="1" t="str">
        <f>IF($B554 = "Production Item", _xlfn.XLOOKUP($A554, 'Instrument Table'!$J:$J, 'Instrument Table'!$B:$B, $C553), IF($B554 = "Service Item", _xlfn.XLOOKUP($A554, 'Instrument Table'!$I:$I, 'Instrument Table'!$B:$B, $C553), _xlfn.XLOOKUP($A554, 'Instrument Table'!$H:$H, 'Instrument Table'!$B:$B, $C553)))</f>
        <v>Grand Piano</v>
      </c>
      <c r="D554" s="1" t="str">
        <f>VLOOKUP($C554, 'Instrument Table'!$B:$C, 2, FALSE)</f>
        <v>Pianos</v>
      </c>
      <c r="E554" s="1">
        <f t="shared" si="48"/>
        <v>1</v>
      </c>
      <c r="F554" s="1">
        <f>_xlfn.XLOOKUP($C554, 'Instrument Table'!$B:$B, 'Instrument Table'!$A:$A, "")</f>
        <v>10</v>
      </c>
      <c r="G554" s="1" t="str">
        <f>TEXT(IF($B554 = "Retail Item", IF((ROW($A554) - 4504 - _xlfn.XMATCH($C554, $C$4506:$C$5005, 0, 1)) &lt;= VLOOKUP($C554, 'Instrument Table'!$B:$D, 3, FALSE), ROW($A554) - 4504 - _xlfn.XMATCH($C554, $C$4506:$C$5005, 0, 1), 0), 0), "00")</f>
        <v>00</v>
      </c>
      <c r="H554" s="1" t="str">
        <f t="shared" si="49"/>
        <v>548</v>
      </c>
      <c r="I554" s="1" t="str">
        <f t="shared" si="50"/>
        <v>11000-548</v>
      </c>
      <c r="J554" s="1" t="str">
        <f t="shared" si="51"/>
        <v>Grand piano production item #548</v>
      </c>
      <c r="K554" s="1" t="str">
        <f>IF(SUM(COUNTIFS(I:I, I554)) &gt; 1, "DUPLICATE", "UNIQUE")</f>
        <v>UNIQUE</v>
      </c>
      <c r="L554" s="18">
        <v>8</v>
      </c>
      <c r="M554" s="28">
        <v>14</v>
      </c>
      <c r="N554" s="6">
        <v>169</v>
      </c>
      <c r="O554" s="30">
        <f t="shared" si="52"/>
        <v>112</v>
      </c>
      <c r="P554" s="30">
        <f t="shared" si="53"/>
        <v>2366</v>
      </c>
      <c r="Q554" s="1">
        <f>COUNTIFS($P:$P, "&gt;" &amp; $P554) + 1</f>
        <v>3099</v>
      </c>
      <c r="R554" s="63">
        <f>(COUNTIFS($P:$P, "&gt;" &amp; $P554) + 1) / (COUNTA($I:$I) - 1)</f>
        <v>0.61980000000000002</v>
      </c>
      <c r="S554" s="23">
        <f>SUMIFS($P:$P, $Q:$Q, "&lt;" &amp; $Q554)</f>
        <v>185180101</v>
      </c>
    </row>
    <row r="555" spans="1:19" x14ac:dyDescent="0.25">
      <c r="A555" s="1">
        <v>550</v>
      </c>
      <c r="B555" s="1" t="s">
        <v>2</v>
      </c>
      <c r="C555" s="1" t="str">
        <f>IF($B555 = "Production Item", _xlfn.XLOOKUP($A555, 'Instrument Table'!$J:$J, 'Instrument Table'!$B:$B, $C554), IF($B555 = "Service Item", _xlfn.XLOOKUP($A555, 'Instrument Table'!$I:$I, 'Instrument Table'!$B:$B, $C554), _xlfn.XLOOKUP($A555, 'Instrument Table'!$H:$H, 'Instrument Table'!$B:$B, $C554)))</f>
        <v>Grand Piano</v>
      </c>
      <c r="D555" s="1" t="str">
        <f>VLOOKUP($C555, 'Instrument Table'!$B:$C, 2, FALSE)</f>
        <v>Pianos</v>
      </c>
      <c r="E555" s="1">
        <f t="shared" si="48"/>
        <v>1</v>
      </c>
      <c r="F555" s="1">
        <f>_xlfn.XLOOKUP($C555, 'Instrument Table'!$B:$B, 'Instrument Table'!$A:$A, "")</f>
        <v>10</v>
      </c>
      <c r="G555" s="1" t="str">
        <f>TEXT(IF($B555 = "Retail Item", IF((ROW($A555) - 4504 - _xlfn.XMATCH($C555, $C$4506:$C$5005, 0, 1)) &lt;= VLOOKUP($C555, 'Instrument Table'!$B:$D, 3, FALSE), ROW($A555) - 4504 - _xlfn.XMATCH($C555, $C$4506:$C$5005, 0, 1), 0), 0), "00")</f>
        <v>00</v>
      </c>
      <c r="H555" s="1" t="str">
        <f t="shared" si="49"/>
        <v>549</v>
      </c>
      <c r="I555" s="1" t="str">
        <f t="shared" si="50"/>
        <v>11000-549</v>
      </c>
      <c r="J555" s="1" t="str">
        <f t="shared" si="51"/>
        <v>Grand piano production item #549</v>
      </c>
      <c r="K555" s="1" t="str">
        <f>IF(SUM(COUNTIFS(I:I, I555)) &gt; 1, "DUPLICATE", "UNIQUE")</f>
        <v>UNIQUE</v>
      </c>
      <c r="L555" s="18">
        <v>32</v>
      </c>
      <c r="M555" s="28">
        <v>56</v>
      </c>
      <c r="N555" s="6">
        <v>9</v>
      </c>
      <c r="O555" s="30">
        <f t="shared" si="52"/>
        <v>1792</v>
      </c>
      <c r="P555" s="30">
        <f t="shared" si="53"/>
        <v>504</v>
      </c>
      <c r="Q555" s="1">
        <f>COUNTIFS($P:$P, "&gt;" &amp; $P555) + 1</f>
        <v>4023</v>
      </c>
      <c r="R555" s="63">
        <f>(COUNTIFS($P:$P, "&gt;" &amp; $P555) + 1) / (COUNTA($I:$I) - 1)</f>
        <v>0.80459999999999998</v>
      </c>
      <c r="S555" s="23">
        <f>SUMIFS($P:$P, $Q:$Q, "&lt;" &amp; $Q555)</f>
        <v>186410147</v>
      </c>
    </row>
    <row r="556" spans="1:19" x14ac:dyDescent="0.25">
      <c r="A556" s="1">
        <v>551</v>
      </c>
      <c r="B556" s="1" t="s">
        <v>2</v>
      </c>
      <c r="C556" s="1" t="str">
        <f>IF($B556 = "Production Item", _xlfn.XLOOKUP($A556, 'Instrument Table'!$J:$J, 'Instrument Table'!$B:$B, $C555), IF($B556 = "Service Item", _xlfn.XLOOKUP($A556, 'Instrument Table'!$I:$I, 'Instrument Table'!$B:$B, $C555), _xlfn.XLOOKUP($A556, 'Instrument Table'!$H:$H, 'Instrument Table'!$B:$B, $C555)))</f>
        <v>Upright Piano</v>
      </c>
      <c r="D556" s="1" t="str">
        <f>VLOOKUP($C556, 'Instrument Table'!$B:$C, 2, FALSE)</f>
        <v>Pianos</v>
      </c>
      <c r="E556" s="1">
        <f t="shared" si="48"/>
        <v>1</v>
      </c>
      <c r="F556" s="1">
        <f>_xlfn.XLOOKUP($C556, 'Instrument Table'!$B:$B, 'Instrument Table'!$A:$A, "")</f>
        <v>11</v>
      </c>
      <c r="G556" s="1" t="str">
        <f>TEXT(IF($B556 = "Retail Item", IF((ROW($A556) - 4504 - _xlfn.XMATCH($C556, $C$4506:$C$5005, 0, 1)) &lt;= VLOOKUP($C556, 'Instrument Table'!$B:$D, 3, FALSE), ROW($A556) - 4504 - _xlfn.XMATCH($C556, $C$4506:$C$5005, 0, 1), 0), 0), "00")</f>
        <v>00</v>
      </c>
      <c r="H556" s="1" t="str">
        <f t="shared" si="49"/>
        <v>000</v>
      </c>
      <c r="I556" s="1" t="str">
        <f t="shared" si="50"/>
        <v>11100-000</v>
      </c>
      <c r="J556" s="1" t="str">
        <f t="shared" si="51"/>
        <v>Upright piano production item #000</v>
      </c>
      <c r="K556" s="1" t="str">
        <f>IF(SUM(COUNTIFS(I:I, I556)) &gt; 1, "DUPLICATE", "UNIQUE")</f>
        <v>UNIQUE</v>
      </c>
      <c r="L556" s="18">
        <v>0</v>
      </c>
      <c r="M556" s="28">
        <v>20</v>
      </c>
      <c r="N556" s="6">
        <v>196</v>
      </c>
      <c r="O556" s="30">
        <f t="shared" si="52"/>
        <v>0</v>
      </c>
      <c r="P556" s="30">
        <f t="shared" si="53"/>
        <v>3920</v>
      </c>
      <c r="Q556" s="1">
        <f>COUNTIFS($P:$P, "&gt;" &amp; $P556) + 1</f>
        <v>2667</v>
      </c>
      <c r="R556" s="63">
        <f>(COUNTIFS($P:$P, "&gt;" &amp; $P556) + 1) / (COUNTA($I:$I) - 1)</f>
        <v>0.53339999999999999</v>
      </c>
      <c r="S556" s="23">
        <f>SUMIFS($P:$P, $Q:$Q, "&lt;" &amp; $Q556)</f>
        <v>183838824</v>
      </c>
    </row>
    <row r="557" spans="1:19" x14ac:dyDescent="0.25">
      <c r="A557" s="1">
        <v>552</v>
      </c>
      <c r="B557" s="1" t="s">
        <v>2</v>
      </c>
      <c r="C557" s="1" t="str">
        <f>IF($B557 = "Production Item", _xlfn.XLOOKUP($A557, 'Instrument Table'!$J:$J, 'Instrument Table'!$B:$B, $C556), IF($B557 = "Service Item", _xlfn.XLOOKUP($A557, 'Instrument Table'!$I:$I, 'Instrument Table'!$B:$B, $C556), _xlfn.XLOOKUP($A557, 'Instrument Table'!$H:$H, 'Instrument Table'!$B:$B, $C556)))</f>
        <v>Upright Piano</v>
      </c>
      <c r="D557" s="1" t="str">
        <f>VLOOKUP($C557, 'Instrument Table'!$B:$C, 2, FALSE)</f>
        <v>Pianos</v>
      </c>
      <c r="E557" s="1">
        <f t="shared" si="48"/>
        <v>1</v>
      </c>
      <c r="F557" s="1">
        <f>_xlfn.XLOOKUP($C557, 'Instrument Table'!$B:$B, 'Instrument Table'!$A:$A, "")</f>
        <v>11</v>
      </c>
      <c r="G557" s="1" t="str">
        <f>TEXT(IF($B557 = "Retail Item", IF((ROW($A557) - 4504 - _xlfn.XMATCH($C557, $C$4506:$C$5005, 0, 1)) &lt;= VLOOKUP($C557, 'Instrument Table'!$B:$D, 3, FALSE), ROW($A557) - 4504 - _xlfn.XMATCH($C557, $C$4506:$C$5005, 0, 1), 0), 0), "00")</f>
        <v>00</v>
      </c>
      <c r="H557" s="1" t="str">
        <f t="shared" si="49"/>
        <v>001</v>
      </c>
      <c r="I557" s="1" t="str">
        <f t="shared" si="50"/>
        <v>11100-001</v>
      </c>
      <c r="J557" s="1" t="str">
        <f t="shared" si="51"/>
        <v>Upright piano production item #001</v>
      </c>
      <c r="K557" s="1" t="str">
        <f>IF(SUM(COUNTIFS(I:I, I557)) &gt; 1, "DUPLICATE", "UNIQUE")</f>
        <v>UNIQUE</v>
      </c>
      <c r="L557" s="18">
        <v>1</v>
      </c>
      <c r="M557" s="28">
        <v>20</v>
      </c>
      <c r="N557" s="6">
        <v>0</v>
      </c>
      <c r="O557" s="30">
        <f t="shared" si="52"/>
        <v>20</v>
      </c>
      <c r="P557" s="30">
        <f t="shared" si="53"/>
        <v>0</v>
      </c>
      <c r="Q557" s="1">
        <f>COUNTIFS($P:$P, "&gt;" &amp; $P557) + 1</f>
        <v>4746</v>
      </c>
      <c r="R557" s="63">
        <f>(COUNTIFS($P:$P, "&gt;" &amp; $P557) + 1) / (COUNTA($I:$I) - 1)</f>
        <v>0.94920000000000004</v>
      </c>
      <c r="S557" s="23">
        <f>SUMIFS($P:$P, $Q:$Q, "&lt;" &amp; $Q557)</f>
        <v>186547861</v>
      </c>
    </row>
    <row r="558" spans="1:19" x14ac:dyDescent="0.25">
      <c r="A558" s="1">
        <v>553</v>
      </c>
      <c r="B558" s="1" t="s">
        <v>2</v>
      </c>
      <c r="C558" s="1" t="str">
        <f>IF($B558 = "Production Item", _xlfn.XLOOKUP($A558, 'Instrument Table'!$J:$J, 'Instrument Table'!$B:$B, $C557), IF($B558 = "Service Item", _xlfn.XLOOKUP($A558, 'Instrument Table'!$I:$I, 'Instrument Table'!$B:$B, $C557), _xlfn.XLOOKUP($A558, 'Instrument Table'!$H:$H, 'Instrument Table'!$B:$B, $C557)))</f>
        <v>Upright Piano</v>
      </c>
      <c r="D558" s="1" t="str">
        <f>VLOOKUP($C558, 'Instrument Table'!$B:$C, 2, FALSE)</f>
        <v>Pianos</v>
      </c>
      <c r="E558" s="1">
        <f t="shared" si="48"/>
        <v>1</v>
      </c>
      <c r="F558" s="1">
        <f>_xlfn.XLOOKUP($C558, 'Instrument Table'!$B:$B, 'Instrument Table'!$A:$A, "")</f>
        <v>11</v>
      </c>
      <c r="G558" s="1" t="str">
        <f>TEXT(IF($B558 = "Retail Item", IF((ROW($A558) - 4504 - _xlfn.XMATCH($C558, $C$4506:$C$5005, 0, 1)) &lt;= VLOOKUP($C558, 'Instrument Table'!$B:$D, 3, FALSE), ROW($A558) - 4504 - _xlfn.XMATCH($C558, $C$4506:$C$5005, 0, 1), 0), 0), "00")</f>
        <v>00</v>
      </c>
      <c r="H558" s="1" t="str">
        <f t="shared" si="49"/>
        <v>002</v>
      </c>
      <c r="I558" s="1" t="str">
        <f t="shared" si="50"/>
        <v>11100-002</v>
      </c>
      <c r="J558" s="1" t="str">
        <f t="shared" si="51"/>
        <v>Upright piano production item #002</v>
      </c>
      <c r="K558" s="1" t="str">
        <f>IF(SUM(COUNTIFS(I:I, I558)) &gt; 1, "DUPLICATE", "UNIQUE")</f>
        <v>UNIQUE</v>
      </c>
      <c r="L558" s="18">
        <v>32</v>
      </c>
      <c r="M558" s="28">
        <v>33</v>
      </c>
      <c r="N558" s="6">
        <v>49</v>
      </c>
      <c r="O558" s="30">
        <f t="shared" si="52"/>
        <v>1056</v>
      </c>
      <c r="P558" s="30">
        <f t="shared" si="53"/>
        <v>1617</v>
      </c>
      <c r="Q558" s="1">
        <f>COUNTIFS($P:$P, "&gt;" &amp; $P558) + 1</f>
        <v>3399</v>
      </c>
      <c r="R558" s="63">
        <f>(COUNTIFS($P:$P, "&gt;" &amp; $P558) + 1) / (COUNTA($I:$I) - 1)</f>
        <v>0.67979999999999996</v>
      </c>
      <c r="S558" s="23">
        <f>SUMIFS($P:$P, $Q:$Q, "&lt;" &amp; $Q558)</f>
        <v>185783389</v>
      </c>
    </row>
    <row r="559" spans="1:19" x14ac:dyDescent="0.25">
      <c r="A559" s="1">
        <v>554</v>
      </c>
      <c r="B559" s="1" t="s">
        <v>2</v>
      </c>
      <c r="C559" s="1" t="str">
        <f>IF($B559 = "Production Item", _xlfn.XLOOKUP($A559, 'Instrument Table'!$J:$J, 'Instrument Table'!$B:$B, $C558), IF($B559 = "Service Item", _xlfn.XLOOKUP($A559, 'Instrument Table'!$I:$I, 'Instrument Table'!$B:$B, $C558), _xlfn.XLOOKUP($A559, 'Instrument Table'!$H:$H, 'Instrument Table'!$B:$B, $C558)))</f>
        <v>Upright Piano</v>
      </c>
      <c r="D559" s="1" t="str">
        <f>VLOOKUP($C559, 'Instrument Table'!$B:$C, 2, FALSE)</f>
        <v>Pianos</v>
      </c>
      <c r="E559" s="1">
        <f t="shared" si="48"/>
        <v>1</v>
      </c>
      <c r="F559" s="1">
        <f>_xlfn.XLOOKUP($C559, 'Instrument Table'!$B:$B, 'Instrument Table'!$A:$A, "")</f>
        <v>11</v>
      </c>
      <c r="G559" s="1" t="str">
        <f>TEXT(IF($B559 = "Retail Item", IF((ROW($A559) - 4504 - _xlfn.XMATCH($C559, $C$4506:$C$5005, 0, 1)) &lt;= VLOOKUP($C559, 'Instrument Table'!$B:$D, 3, FALSE), ROW($A559) - 4504 - _xlfn.XMATCH($C559, $C$4506:$C$5005, 0, 1), 0), 0), "00")</f>
        <v>00</v>
      </c>
      <c r="H559" s="1" t="str">
        <f t="shared" si="49"/>
        <v>003</v>
      </c>
      <c r="I559" s="1" t="str">
        <f t="shared" si="50"/>
        <v>11100-003</v>
      </c>
      <c r="J559" s="1" t="str">
        <f t="shared" si="51"/>
        <v>Upright piano production item #003</v>
      </c>
      <c r="K559" s="1" t="str">
        <f>IF(SUM(COUNTIFS(I:I, I559)) &gt; 1, "DUPLICATE", "UNIQUE")</f>
        <v>UNIQUE</v>
      </c>
      <c r="L559" s="18">
        <v>1</v>
      </c>
      <c r="M559" s="28">
        <v>89</v>
      </c>
      <c r="N559" s="6">
        <v>400</v>
      </c>
      <c r="O559" s="30">
        <f t="shared" si="52"/>
        <v>89</v>
      </c>
      <c r="P559" s="30">
        <f t="shared" si="53"/>
        <v>35600</v>
      </c>
      <c r="Q559" s="1">
        <f>COUNTIFS($P:$P, "&gt;" &amp; $P559) + 1</f>
        <v>597</v>
      </c>
      <c r="R559" s="63">
        <f>(COUNTIFS($P:$P, "&gt;" &amp; $P559) + 1) / (COUNTA($I:$I) - 1)</f>
        <v>0.11940000000000001</v>
      </c>
      <c r="S559" s="23">
        <f>SUMIFS($P:$P, $Q:$Q, "&lt;" &amp; $Q559)</f>
        <v>155764085</v>
      </c>
    </row>
    <row r="560" spans="1:19" x14ac:dyDescent="0.25">
      <c r="A560" s="1">
        <v>555</v>
      </c>
      <c r="B560" s="1" t="s">
        <v>2</v>
      </c>
      <c r="C560" s="1" t="str">
        <f>IF($B560 = "Production Item", _xlfn.XLOOKUP($A560, 'Instrument Table'!$J:$J, 'Instrument Table'!$B:$B, $C559), IF($B560 = "Service Item", _xlfn.XLOOKUP($A560, 'Instrument Table'!$I:$I, 'Instrument Table'!$B:$B, $C559), _xlfn.XLOOKUP($A560, 'Instrument Table'!$H:$H, 'Instrument Table'!$B:$B, $C559)))</f>
        <v>Upright Piano</v>
      </c>
      <c r="D560" s="1" t="str">
        <f>VLOOKUP($C560, 'Instrument Table'!$B:$C, 2, FALSE)</f>
        <v>Pianos</v>
      </c>
      <c r="E560" s="1">
        <f t="shared" si="48"/>
        <v>1</v>
      </c>
      <c r="F560" s="1">
        <f>_xlfn.XLOOKUP($C560, 'Instrument Table'!$B:$B, 'Instrument Table'!$A:$A, "")</f>
        <v>11</v>
      </c>
      <c r="G560" s="1" t="str">
        <f>TEXT(IF($B560 = "Retail Item", IF((ROW($A560) - 4504 - _xlfn.XMATCH($C560, $C$4506:$C$5005, 0, 1)) &lt;= VLOOKUP($C560, 'Instrument Table'!$B:$D, 3, FALSE), ROW($A560) - 4504 - _xlfn.XMATCH($C560, $C$4506:$C$5005, 0, 1), 0), 0), "00")</f>
        <v>00</v>
      </c>
      <c r="H560" s="1" t="str">
        <f t="shared" si="49"/>
        <v>004</v>
      </c>
      <c r="I560" s="1" t="str">
        <f t="shared" si="50"/>
        <v>11100-004</v>
      </c>
      <c r="J560" s="1" t="str">
        <f t="shared" si="51"/>
        <v>Upright piano production item #004</v>
      </c>
      <c r="K560" s="1" t="str">
        <f>IF(SUM(COUNTIFS(I:I, I560)) &gt; 1, "DUPLICATE", "UNIQUE")</f>
        <v>UNIQUE</v>
      </c>
      <c r="L560" s="18">
        <v>0</v>
      </c>
      <c r="M560" s="28">
        <v>54</v>
      </c>
      <c r="N560" s="6">
        <v>400</v>
      </c>
      <c r="O560" s="30">
        <f t="shared" si="52"/>
        <v>0</v>
      </c>
      <c r="P560" s="30">
        <f t="shared" si="53"/>
        <v>21600</v>
      </c>
      <c r="Q560" s="1">
        <f>COUNTIFS($P:$P, "&gt;" &amp; $P560) + 1</f>
        <v>977</v>
      </c>
      <c r="R560" s="63">
        <f>(COUNTIFS($P:$P, "&gt;" &amp; $P560) + 1) / (COUNTA($I:$I) - 1)</f>
        <v>0.19539999999999999</v>
      </c>
      <c r="S560" s="23">
        <f>SUMIFS($P:$P, $Q:$Q, "&lt;" &amp; $Q560)</f>
        <v>165999482</v>
      </c>
    </row>
    <row r="561" spans="1:19" x14ac:dyDescent="0.25">
      <c r="A561" s="1">
        <v>556</v>
      </c>
      <c r="B561" s="1" t="s">
        <v>2</v>
      </c>
      <c r="C561" s="1" t="str">
        <f>IF($B561 = "Production Item", _xlfn.XLOOKUP($A561, 'Instrument Table'!$J:$J, 'Instrument Table'!$B:$B, $C560), IF($B561 = "Service Item", _xlfn.XLOOKUP($A561, 'Instrument Table'!$I:$I, 'Instrument Table'!$B:$B, $C560), _xlfn.XLOOKUP($A561, 'Instrument Table'!$H:$H, 'Instrument Table'!$B:$B, $C560)))</f>
        <v>Upright Piano</v>
      </c>
      <c r="D561" s="1" t="str">
        <f>VLOOKUP($C561, 'Instrument Table'!$B:$C, 2, FALSE)</f>
        <v>Pianos</v>
      </c>
      <c r="E561" s="1">
        <f t="shared" si="48"/>
        <v>1</v>
      </c>
      <c r="F561" s="1">
        <f>_xlfn.XLOOKUP($C561, 'Instrument Table'!$B:$B, 'Instrument Table'!$A:$A, "")</f>
        <v>11</v>
      </c>
      <c r="G561" s="1" t="str">
        <f>TEXT(IF($B561 = "Retail Item", IF((ROW($A561) - 4504 - _xlfn.XMATCH($C561, $C$4506:$C$5005, 0, 1)) &lt;= VLOOKUP($C561, 'Instrument Table'!$B:$D, 3, FALSE), ROW($A561) - 4504 - _xlfn.XMATCH($C561, $C$4506:$C$5005, 0, 1), 0), 0), "00")</f>
        <v>00</v>
      </c>
      <c r="H561" s="1" t="str">
        <f t="shared" si="49"/>
        <v>005</v>
      </c>
      <c r="I561" s="1" t="str">
        <f t="shared" si="50"/>
        <v>11100-005</v>
      </c>
      <c r="J561" s="1" t="str">
        <f t="shared" si="51"/>
        <v>Upright piano production item #005</v>
      </c>
      <c r="K561" s="1" t="str">
        <f>IF(SUM(COUNTIFS(I:I, I561)) &gt; 1, "DUPLICATE", "UNIQUE")</f>
        <v>UNIQUE</v>
      </c>
      <c r="L561" s="18">
        <v>32</v>
      </c>
      <c r="M561" s="28">
        <v>18</v>
      </c>
      <c r="N561" s="6">
        <v>169</v>
      </c>
      <c r="O561" s="30">
        <f t="shared" si="52"/>
        <v>576</v>
      </c>
      <c r="P561" s="30">
        <f t="shared" si="53"/>
        <v>3042</v>
      </c>
      <c r="Q561" s="1">
        <f>COUNTIFS($P:$P, "&gt;" &amp; $P561) + 1</f>
        <v>2893</v>
      </c>
      <c r="R561" s="63">
        <f>(COUNTIFS($P:$P, "&gt;" &amp; $P561) + 1) / (COUNTA($I:$I) - 1)</f>
        <v>0.5786</v>
      </c>
      <c r="S561" s="23">
        <f>SUMIFS($P:$P, $Q:$Q, "&lt;" &amp; $Q561)</f>
        <v>184626973</v>
      </c>
    </row>
    <row r="562" spans="1:19" x14ac:dyDescent="0.25">
      <c r="A562" s="1">
        <v>557</v>
      </c>
      <c r="B562" s="1" t="s">
        <v>2</v>
      </c>
      <c r="C562" s="1" t="str">
        <f>IF($B562 = "Production Item", _xlfn.XLOOKUP($A562, 'Instrument Table'!$J:$J, 'Instrument Table'!$B:$B, $C561), IF($B562 = "Service Item", _xlfn.XLOOKUP($A562, 'Instrument Table'!$I:$I, 'Instrument Table'!$B:$B, $C561), _xlfn.XLOOKUP($A562, 'Instrument Table'!$H:$H, 'Instrument Table'!$B:$B, $C561)))</f>
        <v>Upright Piano</v>
      </c>
      <c r="D562" s="1" t="str">
        <f>VLOOKUP($C562, 'Instrument Table'!$B:$C, 2, FALSE)</f>
        <v>Pianos</v>
      </c>
      <c r="E562" s="1">
        <f t="shared" si="48"/>
        <v>1</v>
      </c>
      <c r="F562" s="1">
        <f>_xlfn.XLOOKUP($C562, 'Instrument Table'!$B:$B, 'Instrument Table'!$A:$A, "")</f>
        <v>11</v>
      </c>
      <c r="G562" s="1" t="str">
        <f>TEXT(IF($B562 = "Retail Item", IF((ROW($A562) - 4504 - _xlfn.XMATCH($C562, $C$4506:$C$5005, 0, 1)) &lt;= VLOOKUP($C562, 'Instrument Table'!$B:$D, 3, FALSE), ROW($A562) - 4504 - _xlfn.XMATCH($C562, $C$4506:$C$5005, 0, 1), 0), 0), "00")</f>
        <v>00</v>
      </c>
      <c r="H562" s="1" t="str">
        <f t="shared" si="49"/>
        <v>006</v>
      </c>
      <c r="I562" s="1" t="str">
        <f t="shared" si="50"/>
        <v>11100-006</v>
      </c>
      <c r="J562" s="1" t="str">
        <f t="shared" si="51"/>
        <v>Upright piano production item #006</v>
      </c>
      <c r="K562" s="1" t="str">
        <f>IF(SUM(COUNTIFS(I:I, I562)) &gt; 1, "DUPLICATE", "UNIQUE")</f>
        <v>UNIQUE</v>
      </c>
      <c r="L562" s="18">
        <v>2</v>
      </c>
      <c r="M562" s="28">
        <v>32</v>
      </c>
      <c r="N562" s="6">
        <v>289</v>
      </c>
      <c r="O562" s="30">
        <f t="shared" si="52"/>
        <v>64</v>
      </c>
      <c r="P562" s="30">
        <f t="shared" si="53"/>
        <v>9248</v>
      </c>
      <c r="Q562" s="1">
        <f>COUNTIFS($P:$P, "&gt;" &amp; $P562) + 1</f>
        <v>1843</v>
      </c>
      <c r="R562" s="63">
        <f>(COUNTIFS($P:$P, "&gt;" &amp; $P562) + 1) / (COUNTA($I:$I) - 1)</f>
        <v>0.36859999999999998</v>
      </c>
      <c r="S562" s="23">
        <f>SUMIFS($P:$P, $Q:$Q, "&lt;" &amp; $Q562)</f>
        <v>178649134</v>
      </c>
    </row>
    <row r="563" spans="1:19" x14ac:dyDescent="0.25">
      <c r="A563" s="1">
        <v>558</v>
      </c>
      <c r="B563" s="1" t="s">
        <v>2</v>
      </c>
      <c r="C563" s="1" t="str">
        <f>IF($B563 = "Production Item", _xlfn.XLOOKUP($A563, 'Instrument Table'!$J:$J, 'Instrument Table'!$B:$B, $C562), IF($B563 = "Service Item", _xlfn.XLOOKUP($A563, 'Instrument Table'!$I:$I, 'Instrument Table'!$B:$B, $C562), _xlfn.XLOOKUP($A563, 'Instrument Table'!$H:$H, 'Instrument Table'!$B:$B, $C562)))</f>
        <v>Upright Piano</v>
      </c>
      <c r="D563" s="1" t="str">
        <f>VLOOKUP($C563, 'Instrument Table'!$B:$C, 2, FALSE)</f>
        <v>Pianos</v>
      </c>
      <c r="E563" s="1">
        <f t="shared" si="48"/>
        <v>1</v>
      </c>
      <c r="F563" s="1">
        <f>_xlfn.XLOOKUP($C563, 'Instrument Table'!$B:$B, 'Instrument Table'!$A:$A, "")</f>
        <v>11</v>
      </c>
      <c r="G563" s="1" t="str">
        <f>TEXT(IF($B563 = "Retail Item", IF((ROW($A563) - 4504 - _xlfn.XMATCH($C563, $C$4506:$C$5005, 0, 1)) &lt;= VLOOKUP($C563, 'Instrument Table'!$B:$D, 3, FALSE), ROW($A563) - 4504 - _xlfn.XMATCH($C563, $C$4506:$C$5005, 0, 1), 0), 0), "00")</f>
        <v>00</v>
      </c>
      <c r="H563" s="1" t="str">
        <f t="shared" si="49"/>
        <v>007</v>
      </c>
      <c r="I563" s="1" t="str">
        <f t="shared" si="50"/>
        <v>11100-007</v>
      </c>
      <c r="J563" s="1" t="str">
        <f t="shared" si="51"/>
        <v>Upright piano production item #007</v>
      </c>
      <c r="K563" s="1" t="str">
        <f>IF(SUM(COUNTIFS(I:I, I563)) &gt; 1, "DUPLICATE", "UNIQUE")</f>
        <v>UNIQUE</v>
      </c>
      <c r="L563" s="18">
        <v>1</v>
      </c>
      <c r="M563" s="28">
        <v>76</v>
      </c>
      <c r="N563" s="6">
        <v>25</v>
      </c>
      <c r="O563" s="30">
        <f t="shared" si="52"/>
        <v>76</v>
      </c>
      <c r="P563" s="30">
        <f t="shared" si="53"/>
        <v>1900</v>
      </c>
      <c r="Q563" s="1">
        <f>COUNTIFS($P:$P, "&gt;" &amp; $P563) + 1</f>
        <v>3297</v>
      </c>
      <c r="R563" s="63">
        <f>(COUNTIFS($P:$P, "&gt;" &amp; $P563) + 1) / (COUNTA($I:$I) - 1)</f>
        <v>0.65939999999999999</v>
      </c>
      <c r="S563" s="23">
        <f>SUMIFS($P:$P, $Q:$Q, "&lt;" &amp; $Q563)</f>
        <v>185603355</v>
      </c>
    </row>
    <row r="564" spans="1:19" x14ac:dyDescent="0.25">
      <c r="A564" s="1">
        <v>559</v>
      </c>
      <c r="B564" s="1" t="s">
        <v>2</v>
      </c>
      <c r="C564" s="1" t="str">
        <f>IF($B564 = "Production Item", _xlfn.XLOOKUP($A564, 'Instrument Table'!$J:$J, 'Instrument Table'!$B:$B, $C563), IF($B564 = "Service Item", _xlfn.XLOOKUP($A564, 'Instrument Table'!$I:$I, 'Instrument Table'!$B:$B, $C563), _xlfn.XLOOKUP($A564, 'Instrument Table'!$H:$H, 'Instrument Table'!$B:$B, $C563)))</f>
        <v>Upright Piano</v>
      </c>
      <c r="D564" s="1" t="str">
        <f>VLOOKUP($C564, 'Instrument Table'!$B:$C, 2, FALSE)</f>
        <v>Pianos</v>
      </c>
      <c r="E564" s="1">
        <f t="shared" si="48"/>
        <v>1</v>
      </c>
      <c r="F564" s="1">
        <f>_xlfn.XLOOKUP($C564, 'Instrument Table'!$B:$B, 'Instrument Table'!$A:$A, "")</f>
        <v>11</v>
      </c>
      <c r="G564" s="1" t="str">
        <f>TEXT(IF($B564 = "Retail Item", IF((ROW($A564) - 4504 - _xlfn.XMATCH($C564, $C$4506:$C$5005, 0, 1)) &lt;= VLOOKUP($C564, 'Instrument Table'!$B:$D, 3, FALSE), ROW($A564) - 4504 - _xlfn.XMATCH($C564, $C$4506:$C$5005, 0, 1), 0), 0), "00")</f>
        <v>00</v>
      </c>
      <c r="H564" s="1" t="str">
        <f t="shared" si="49"/>
        <v>008</v>
      </c>
      <c r="I564" s="1" t="str">
        <f t="shared" si="50"/>
        <v>11100-008</v>
      </c>
      <c r="J564" s="1" t="str">
        <f t="shared" si="51"/>
        <v>Upright piano production item #008</v>
      </c>
      <c r="K564" s="1" t="str">
        <f>IF(SUM(COUNTIFS(I:I, I564)) &gt; 1, "DUPLICATE", "UNIQUE")</f>
        <v>UNIQUE</v>
      </c>
      <c r="L564" s="18">
        <v>0</v>
      </c>
      <c r="M564" s="28">
        <v>17</v>
      </c>
      <c r="N564" s="6">
        <v>289</v>
      </c>
      <c r="O564" s="30">
        <f t="shared" si="52"/>
        <v>0</v>
      </c>
      <c r="P564" s="30">
        <f t="shared" si="53"/>
        <v>4913</v>
      </c>
      <c r="Q564" s="1">
        <f>COUNTIFS($P:$P, "&gt;" &amp; $P564) + 1</f>
        <v>2461</v>
      </c>
      <c r="R564" s="63">
        <f>(COUNTIFS($P:$P, "&gt;" &amp; $P564) + 1) / (COUNTA($I:$I) - 1)</f>
        <v>0.49220000000000003</v>
      </c>
      <c r="S564" s="23">
        <f>SUMIFS($P:$P, $Q:$Q, "&lt;" &amp; $Q564)</f>
        <v>182926906</v>
      </c>
    </row>
    <row r="565" spans="1:19" x14ac:dyDescent="0.25">
      <c r="A565" s="1">
        <v>560</v>
      </c>
      <c r="B565" s="1" t="s">
        <v>2</v>
      </c>
      <c r="C565" s="1" t="str">
        <f>IF($B565 = "Production Item", _xlfn.XLOOKUP($A565, 'Instrument Table'!$J:$J, 'Instrument Table'!$B:$B, $C564), IF($B565 = "Service Item", _xlfn.XLOOKUP($A565, 'Instrument Table'!$I:$I, 'Instrument Table'!$B:$B, $C564), _xlfn.XLOOKUP($A565, 'Instrument Table'!$H:$H, 'Instrument Table'!$B:$B, $C564)))</f>
        <v>Upright Piano</v>
      </c>
      <c r="D565" s="1" t="str">
        <f>VLOOKUP($C565, 'Instrument Table'!$B:$C, 2, FALSE)</f>
        <v>Pianos</v>
      </c>
      <c r="E565" s="1">
        <f t="shared" si="48"/>
        <v>1</v>
      </c>
      <c r="F565" s="1">
        <f>_xlfn.XLOOKUP($C565, 'Instrument Table'!$B:$B, 'Instrument Table'!$A:$A, "")</f>
        <v>11</v>
      </c>
      <c r="G565" s="1" t="str">
        <f>TEXT(IF($B565 = "Retail Item", IF((ROW($A565) - 4504 - _xlfn.XMATCH($C565, $C$4506:$C$5005, 0, 1)) &lt;= VLOOKUP($C565, 'Instrument Table'!$B:$D, 3, FALSE), ROW($A565) - 4504 - _xlfn.XMATCH($C565, $C$4506:$C$5005, 0, 1), 0), 0), "00")</f>
        <v>00</v>
      </c>
      <c r="H565" s="1" t="str">
        <f t="shared" si="49"/>
        <v>009</v>
      </c>
      <c r="I565" s="1" t="str">
        <f t="shared" si="50"/>
        <v>11100-009</v>
      </c>
      <c r="J565" s="1" t="str">
        <f t="shared" si="51"/>
        <v>Upright piano production item #009</v>
      </c>
      <c r="K565" s="1" t="str">
        <f>IF(SUM(COUNTIFS(I:I, I565)) &gt; 1, "DUPLICATE", "UNIQUE")</f>
        <v>UNIQUE</v>
      </c>
      <c r="L565" s="18">
        <v>1</v>
      </c>
      <c r="M565" s="28">
        <v>1</v>
      </c>
      <c r="N565" s="6">
        <v>121</v>
      </c>
      <c r="O565" s="30">
        <f t="shared" si="52"/>
        <v>1</v>
      </c>
      <c r="P565" s="30">
        <f t="shared" si="53"/>
        <v>121</v>
      </c>
      <c r="Q565" s="1">
        <f>COUNTIFS($P:$P, "&gt;" &amp; $P565) + 1</f>
        <v>4425</v>
      </c>
      <c r="R565" s="63">
        <f>(COUNTIFS($P:$P, "&gt;" &amp; $P565) + 1) / (COUNTA($I:$I) - 1)</f>
        <v>0.88500000000000001</v>
      </c>
      <c r="S565" s="23">
        <f>SUMIFS($P:$P, $Q:$Q, "&lt;" &amp; $Q565)</f>
        <v>186529397</v>
      </c>
    </row>
    <row r="566" spans="1:19" x14ac:dyDescent="0.25">
      <c r="A566" s="1">
        <v>561</v>
      </c>
      <c r="B566" s="1" t="s">
        <v>2</v>
      </c>
      <c r="C566" s="1" t="str">
        <f>IF($B566 = "Production Item", _xlfn.XLOOKUP($A566, 'Instrument Table'!$J:$J, 'Instrument Table'!$B:$B, $C565), IF($B566 = "Service Item", _xlfn.XLOOKUP($A566, 'Instrument Table'!$I:$I, 'Instrument Table'!$B:$B, $C565), _xlfn.XLOOKUP($A566, 'Instrument Table'!$H:$H, 'Instrument Table'!$B:$B, $C565)))</f>
        <v>Upright Piano</v>
      </c>
      <c r="D566" s="1" t="str">
        <f>VLOOKUP($C566, 'Instrument Table'!$B:$C, 2, FALSE)</f>
        <v>Pianos</v>
      </c>
      <c r="E566" s="1">
        <f t="shared" si="48"/>
        <v>1</v>
      </c>
      <c r="F566" s="1">
        <f>_xlfn.XLOOKUP($C566, 'Instrument Table'!$B:$B, 'Instrument Table'!$A:$A, "")</f>
        <v>11</v>
      </c>
      <c r="G566" s="1" t="str">
        <f>TEXT(IF($B566 = "Retail Item", IF((ROW($A566) - 4504 - _xlfn.XMATCH($C566, $C$4506:$C$5005, 0, 1)) &lt;= VLOOKUP($C566, 'Instrument Table'!$B:$D, 3, FALSE), ROW($A566) - 4504 - _xlfn.XMATCH($C566, $C$4506:$C$5005, 0, 1), 0), 0), "00")</f>
        <v>00</v>
      </c>
      <c r="H566" s="1" t="str">
        <f t="shared" si="49"/>
        <v>010</v>
      </c>
      <c r="I566" s="1" t="str">
        <f t="shared" si="50"/>
        <v>11100-010</v>
      </c>
      <c r="J566" s="1" t="str">
        <f t="shared" si="51"/>
        <v>Upright piano production item #010</v>
      </c>
      <c r="K566" s="1" t="str">
        <f>IF(SUM(COUNTIFS(I:I, I566)) &gt; 1, "DUPLICATE", "UNIQUE")</f>
        <v>UNIQUE</v>
      </c>
      <c r="L566" s="18">
        <v>0</v>
      </c>
      <c r="M566" s="28">
        <v>58</v>
      </c>
      <c r="N566" s="6">
        <v>100</v>
      </c>
      <c r="O566" s="30">
        <f t="shared" si="52"/>
        <v>0</v>
      </c>
      <c r="P566" s="30">
        <f t="shared" si="53"/>
        <v>5800</v>
      </c>
      <c r="Q566" s="1">
        <f>COUNTIFS($P:$P, "&gt;" &amp; $P566) + 1</f>
        <v>2299</v>
      </c>
      <c r="R566" s="63">
        <f>(COUNTIFS($P:$P, "&gt;" &amp; $P566) + 1) / (COUNTA($I:$I) - 1)</f>
        <v>0.45979999999999999</v>
      </c>
      <c r="S566" s="23">
        <f>SUMIFS($P:$P, $Q:$Q, "&lt;" &amp; $Q566)</f>
        <v>182058415</v>
      </c>
    </row>
    <row r="567" spans="1:19" x14ac:dyDescent="0.25">
      <c r="A567" s="1">
        <v>562</v>
      </c>
      <c r="B567" s="1" t="s">
        <v>2</v>
      </c>
      <c r="C567" s="1" t="str">
        <f>IF($B567 = "Production Item", _xlfn.XLOOKUP($A567, 'Instrument Table'!$J:$J, 'Instrument Table'!$B:$B, $C566), IF($B567 = "Service Item", _xlfn.XLOOKUP($A567, 'Instrument Table'!$I:$I, 'Instrument Table'!$B:$B, $C566), _xlfn.XLOOKUP($A567, 'Instrument Table'!$H:$H, 'Instrument Table'!$B:$B, $C566)))</f>
        <v>Upright Piano</v>
      </c>
      <c r="D567" s="1" t="str">
        <f>VLOOKUP($C567, 'Instrument Table'!$B:$C, 2, FALSE)</f>
        <v>Pianos</v>
      </c>
      <c r="E567" s="1">
        <f t="shared" si="48"/>
        <v>1</v>
      </c>
      <c r="F567" s="1">
        <f>_xlfn.XLOOKUP($C567, 'Instrument Table'!$B:$B, 'Instrument Table'!$A:$A, "")</f>
        <v>11</v>
      </c>
      <c r="G567" s="1" t="str">
        <f>TEXT(IF($B567 = "Retail Item", IF((ROW($A567) - 4504 - _xlfn.XMATCH($C567, $C$4506:$C$5005, 0, 1)) &lt;= VLOOKUP($C567, 'Instrument Table'!$B:$D, 3, FALSE), ROW($A567) - 4504 - _xlfn.XMATCH($C567, $C$4506:$C$5005, 0, 1), 0), 0), "00")</f>
        <v>00</v>
      </c>
      <c r="H567" s="1" t="str">
        <f t="shared" si="49"/>
        <v>011</v>
      </c>
      <c r="I567" s="1" t="str">
        <f t="shared" si="50"/>
        <v>11100-011</v>
      </c>
      <c r="J567" s="1" t="str">
        <f t="shared" si="51"/>
        <v>Upright piano production item #011</v>
      </c>
      <c r="K567" s="1" t="str">
        <f>IF(SUM(COUNTIFS(I:I, I567)) &gt; 1, "DUPLICATE", "UNIQUE")</f>
        <v>UNIQUE</v>
      </c>
      <c r="L567" s="18">
        <v>1</v>
      </c>
      <c r="M567" s="28">
        <v>21</v>
      </c>
      <c r="N567" s="6">
        <v>121</v>
      </c>
      <c r="O567" s="30">
        <f t="shared" si="52"/>
        <v>21</v>
      </c>
      <c r="P567" s="30">
        <f t="shared" si="53"/>
        <v>2541</v>
      </c>
      <c r="Q567" s="1">
        <f>COUNTIFS($P:$P, "&gt;" &amp; $P567) + 1</f>
        <v>3037</v>
      </c>
      <c r="R567" s="63">
        <f>(COUNTIFS($P:$P, "&gt;" &amp; $P567) + 1) / (COUNTA($I:$I) - 1)</f>
        <v>0.60740000000000005</v>
      </c>
      <c r="S567" s="23">
        <f>SUMIFS($P:$P, $Q:$Q, "&lt;" &amp; $Q567)</f>
        <v>185027794</v>
      </c>
    </row>
    <row r="568" spans="1:19" x14ac:dyDescent="0.25">
      <c r="A568" s="1">
        <v>563</v>
      </c>
      <c r="B568" s="1" t="s">
        <v>2</v>
      </c>
      <c r="C568" s="1" t="str">
        <f>IF($B568 = "Production Item", _xlfn.XLOOKUP($A568, 'Instrument Table'!$J:$J, 'Instrument Table'!$B:$B, $C567), IF($B568 = "Service Item", _xlfn.XLOOKUP($A568, 'Instrument Table'!$I:$I, 'Instrument Table'!$B:$B, $C567), _xlfn.XLOOKUP($A568, 'Instrument Table'!$H:$H, 'Instrument Table'!$B:$B, $C567)))</f>
        <v>Upright Piano</v>
      </c>
      <c r="D568" s="1" t="str">
        <f>VLOOKUP($C568, 'Instrument Table'!$B:$C, 2, FALSE)</f>
        <v>Pianos</v>
      </c>
      <c r="E568" s="1">
        <f t="shared" si="48"/>
        <v>1</v>
      </c>
      <c r="F568" s="1">
        <f>_xlfn.XLOOKUP($C568, 'Instrument Table'!$B:$B, 'Instrument Table'!$A:$A, "")</f>
        <v>11</v>
      </c>
      <c r="G568" s="1" t="str">
        <f>TEXT(IF($B568 = "Retail Item", IF((ROW($A568) - 4504 - _xlfn.XMATCH($C568, $C$4506:$C$5005, 0, 1)) &lt;= VLOOKUP($C568, 'Instrument Table'!$B:$D, 3, FALSE), ROW($A568) - 4504 - _xlfn.XMATCH($C568, $C$4506:$C$5005, 0, 1), 0), 0), "00")</f>
        <v>00</v>
      </c>
      <c r="H568" s="1" t="str">
        <f t="shared" si="49"/>
        <v>012</v>
      </c>
      <c r="I568" s="1" t="str">
        <f t="shared" si="50"/>
        <v>11100-012</v>
      </c>
      <c r="J568" s="1" t="str">
        <f t="shared" si="51"/>
        <v>Upright piano production item #012</v>
      </c>
      <c r="K568" s="1" t="str">
        <f>IF(SUM(COUNTIFS(I:I, I568)) &gt; 1, "DUPLICATE", "UNIQUE")</f>
        <v>UNIQUE</v>
      </c>
      <c r="L568" s="18">
        <v>1</v>
      </c>
      <c r="M568" s="28">
        <v>90</v>
      </c>
      <c r="N568" s="6">
        <v>25</v>
      </c>
      <c r="O568" s="30">
        <f t="shared" si="52"/>
        <v>90</v>
      </c>
      <c r="P568" s="30">
        <f t="shared" si="53"/>
        <v>2250</v>
      </c>
      <c r="Q568" s="1">
        <f>COUNTIFS($P:$P, "&gt;" &amp; $P568) + 1</f>
        <v>3159</v>
      </c>
      <c r="R568" s="63">
        <f>(COUNTIFS($P:$P, "&gt;" &amp; $P568) + 1) / (COUNTA($I:$I) - 1)</f>
        <v>0.63180000000000003</v>
      </c>
      <c r="S568" s="23">
        <f>SUMIFS($P:$P, $Q:$Q, "&lt;" &amp; $Q568)</f>
        <v>185318469</v>
      </c>
    </row>
    <row r="569" spans="1:19" x14ac:dyDescent="0.25">
      <c r="A569" s="1">
        <v>564</v>
      </c>
      <c r="B569" s="1" t="s">
        <v>2</v>
      </c>
      <c r="C569" s="1" t="str">
        <f>IF($B569 = "Production Item", _xlfn.XLOOKUP($A569, 'Instrument Table'!$J:$J, 'Instrument Table'!$B:$B, $C568), IF($B569 = "Service Item", _xlfn.XLOOKUP($A569, 'Instrument Table'!$I:$I, 'Instrument Table'!$B:$B, $C568), _xlfn.XLOOKUP($A569, 'Instrument Table'!$H:$H, 'Instrument Table'!$B:$B, $C568)))</f>
        <v>Upright Piano</v>
      </c>
      <c r="D569" s="1" t="str">
        <f>VLOOKUP($C569, 'Instrument Table'!$B:$C, 2, FALSE)</f>
        <v>Pianos</v>
      </c>
      <c r="E569" s="1">
        <f t="shared" si="48"/>
        <v>1</v>
      </c>
      <c r="F569" s="1">
        <f>_xlfn.XLOOKUP($C569, 'Instrument Table'!$B:$B, 'Instrument Table'!$A:$A, "")</f>
        <v>11</v>
      </c>
      <c r="G569" s="1" t="str">
        <f>TEXT(IF($B569 = "Retail Item", IF((ROW($A569) - 4504 - _xlfn.XMATCH($C569, $C$4506:$C$5005, 0, 1)) &lt;= VLOOKUP($C569, 'Instrument Table'!$B:$D, 3, FALSE), ROW($A569) - 4504 - _xlfn.XMATCH($C569, $C$4506:$C$5005, 0, 1), 0), 0), "00")</f>
        <v>00</v>
      </c>
      <c r="H569" s="1" t="str">
        <f t="shared" si="49"/>
        <v>013</v>
      </c>
      <c r="I569" s="1" t="str">
        <f t="shared" si="50"/>
        <v>11100-013</v>
      </c>
      <c r="J569" s="1" t="str">
        <f t="shared" si="51"/>
        <v>Upright piano production item #013</v>
      </c>
      <c r="K569" s="1" t="str">
        <f>IF(SUM(COUNTIFS(I:I, I569)) &gt; 1, "DUPLICATE", "UNIQUE")</f>
        <v>UNIQUE</v>
      </c>
      <c r="L569" s="18">
        <v>0</v>
      </c>
      <c r="M569" s="28">
        <v>91</v>
      </c>
      <c r="N569" s="6">
        <v>9</v>
      </c>
      <c r="O569" s="30">
        <f t="shared" si="52"/>
        <v>0</v>
      </c>
      <c r="P569" s="30">
        <f t="shared" si="53"/>
        <v>819</v>
      </c>
      <c r="Q569" s="1">
        <f>COUNTIFS($P:$P, "&gt;" &amp; $P569) + 1</f>
        <v>3780</v>
      </c>
      <c r="R569" s="63">
        <f>(COUNTIFS($P:$P, "&gt;" &amp; $P569) + 1) / (COUNTA($I:$I) - 1)</f>
        <v>0.75600000000000001</v>
      </c>
      <c r="S569" s="23">
        <f>SUMIFS($P:$P, $Q:$Q, "&lt;" &amp; $Q569)</f>
        <v>186249566</v>
      </c>
    </row>
    <row r="570" spans="1:19" x14ac:dyDescent="0.25">
      <c r="A570" s="1">
        <v>565</v>
      </c>
      <c r="B570" s="1" t="s">
        <v>2</v>
      </c>
      <c r="C570" s="1" t="str">
        <f>IF($B570 = "Production Item", _xlfn.XLOOKUP($A570, 'Instrument Table'!$J:$J, 'Instrument Table'!$B:$B, $C569), IF($B570 = "Service Item", _xlfn.XLOOKUP($A570, 'Instrument Table'!$I:$I, 'Instrument Table'!$B:$B, $C569), _xlfn.XLOOKUP($A570, 'Instrument Table'!$H:$H, 'Instrument Table'!$B:$B, $C569)))</f>
        <v>Upright Piano</v>
      </c>
      <c r="D570" s="1" t="str">
        <f>VLOOKUP($C570, 'Instrument Table'!$B:$C, 2, FALSE)</f>
        <v>Pianos</v>
      </c>
      <c r="E570" s="1">
        <f t="shared" si="48"/>
        <v>1</v>
      </c>
      <c r="F570" s="1">
        <f>_xlfn.XLOOKUP($C570, 'Instrument Table'!$B:$B, 'Instrument Table'!$A:$A, "")</f>
        <v>11</v>
      </c>
      <c r="G570" s="1" t="str">
        <f>TEXT(IF($B570 = "Retail Item", IF((ROW($A570) - 4504 - _xlfn.XMATCH($C570, $C$4506:$C$5005, 0, 1)) &lt;= VLOOKUP($C570, 'Instrument Table'!$B:$D, 3, FALSE), ROW($A570) - 4504 - _xlfn.XMATCH($C570, $C$4506:$C$5005, 0, 1), 0), 0), "00")</f>
        <v>00</v>
      </c>
      <c r="H570" s="1" t="str">
        <f t="shared" si="49"/>
        <v>014</v>
      </c>
      <c r="I570" s="1" t="str">
        <f t="shared" si="50"/>
        <v>11100-014</v>
      </c>
      <c r="J570" s="1" t="str">
        <f t="shared" si="51"/>
        <v>Upright piano production item #014</v>
      </c>
      <c r="K570" s="1" t="str">
        <f>IF(SUM(COUNTIFS(I:I, I570)) &gt; 1, "DUPLICATE", "UNIQUE")</f>
        <v>UNIQUE</v>
      </c>
      <c r="L570" s="18">
        <v>1</v>
      </c>
      <c r="M570" s="28">
        <v>97</v>
      </c>
      <c r="N570" s="6">
        <v>100</v>
      </c>
      <c r="O570" s="30">
        <f t="shared" si="52"/>
        <v>97</v>
      </c>
      <c r="P570" s="30">
        <f t="shared" si="53"/>
        <v>9700</v>
      </c>
      <c r="Q570" s="1">
        <f>COUNTIFS($P:$P, "&gt;" &amp; $P570) + 1</f>
        <v>1799</v>
      </c>
      <c r="R570" s="63">
        <f>(COUNTIFS($P:$P, "&gt;" &amp; $P570) + 1) / (COUNTA($I:$I) - 1)</f>
        <v>0.35980000000000001</v>
      </c>
      <c r="S570" s="23">
        <f>SUMIFS($P:$P, $Q:$Q, "&lt;" &amp; $Q570)</f>
        <v>178231608</v>
      </c>
    </row>
    <row r="571" spans="1:19" x14ac:dyDescent="0.25">
      <c r="A571" s="1">
        <v>566</v>
      </c>
      <c r="B571" s="1" t="s">
        <v>2</v>
      </c>
      <c r="C571" s="1" t="str">
        <f>IF($B571 = "Production Item", _xlfn.XLOOKUP($A571, 'Instrument Table'!$J:$J, 'Instrument Table'!$B:$B, $C570), IF($B571 = "Service Item", _xlfn.XLOOKUP($A571, 'Instrument Table'!$I:$I, 'Instrument Table'!$B:$B, $C570), _xlfn.XLOOKUP($A571, 'Instrument Table'!$H:$H, 'Instrument Table'!$B:$B, $C570)))</f>
        <v>Upright Piano</v>
      </c>
      <c r="D571" s="1" t="str">
        <f>VLOOKUP($C571, 'Instrument Table'!$B:$C, 2, FALSE)</f>
        <v>Pianos</v>
      </c>
      <c r="E571" s="1">
        <f t="shared" si="48"/>
        <v>1</v>
      </c>
      <c r="F571" s="1">
        <f>_xlfn.XLOOKUP($C571, 'Instrument Table'!$B:$B, 'Instrument Table'!$A:$A, "")</f>
        <v>11</v>
      </c>
      <c r="G571" s="1" t="str">
        <f>TEXT(IF($B571 = "Retail Item", IF((ROW($A571) - 4504 - _xlfn.XMATCH($C571, $C$4506:$C$5005, 0, 1)) &lt;= VLOOKUP($C571, 'Instrument Table'!$B:$D, 3, FALSE), ROW($A571) - 4504 - _xlfn.XMATCH($C571, $C$4506:$C$5005, 0, 1), 0), 0), "00")</f>
        <v>00</v>
      </c>
      <c r="H571" s="1" t="str">
        <f t="shared" si="49"/>
        <v>015</v>
      </c>
      <c r="I571" s="1" t="str">
        <f t="shared" si="50"/>
        <v>11100-015</v>
      </c>
      <c r="J571" s="1" t="str">
        <f t="shared" si="51"/>
        <v>Upright piano production item #015</v>
      </c>
      <c r="K571" s="1" t="str">
        <f>IF(SUM(COUNTIFS(I:I, I571)) &gt; 1, "DUPLICATE", "UNIQUE")</f>
        <v>UNIQUE</v>
      </c>
      <c r="L571" s="18">
        <v>1</v>
      </c>
      <c r="M571" s="28">
        <v>3</v>
      </c>
      <c r="N571" s="6">
        <v>36</v>
      </c>
      <c r="O571" s="30">
        <f t="shared" si="52"/>
        <v>3</v>
      </c>
      <c r="P571" s="30">
        <f t="shared" si="53"/>
        <v>108</v>
      </c>
      <c r="Q571" s="1">
        <f>COUNTIFS($P:$P, "&gt;" &amp; $P571) + 1</f>
        <v>4438</v>
      </c>
      <c r="R571" s="63">
        <f>(COUNTIFS($P:$P, "&gt;" &amp; $P571) + 1) / (COUNTA($I:$I) - 1)</f>
        <v>0.88759999999999994</v>
      </c>
      <c r="S571" s="23">
        <f>SUMIFS($P:$P, $Q:$Q, "&lt;" &amp; $Q571)</f>
        <v>186530920</v>
      </c>
    </row>
    <row r="572" spans="1:19" x14ac:dyDescent="0.25">
      <c r="A572" s="1">
        <v>567</v>
      </c>
      <c r="B572" s="1" t="s">
        <v>2</v>
      </c>
      <c r="C572" s="1" t="str">
        <f>IF($B572 = "Production Item", _xlfn.XLOOKUP($A572, 'Instrument Table'!$J:$J, 'Instrument Table'!$B:$B, $C571), IF($B572 = "Service Item", _xlfn.XLOOKUP($A572, 'Instrument Table'!$I:$I, 'Instrument Table'!$B:$B, $C571), _xlfn.XLOOKUP($A572, 'Instrument Table'!$H:$H, 'Instrument Table'!$B:$B, $C571)))</f>
        <v>Upright Piano</v>
      </c>
      <c r="D572" s="1" t="str">
        <f>VLOOKUP($C572, 'Instrument Table'!$B:$C, 2, FALSE)</f>
        <v>Pianos</v>
      </c>
      <c r="E572" s="1">
        <f t="shared" si="48"/>
        <v>1</v>
      </c>
      <c r="F572" s="1">
        <f>_xlfn.XLOOKUP($C572, 'Instrument Table'!$B:$B, 'Instrument Table'!$A:$A, "")</f>
        <v>11</v>
      </c>
      <c r="G572" s="1" t="str">
        <f>TEXT(IF($B572 = "Retail Item", IF((ROW($A572) - 4504 - _xlfn.XMATCH($C572, $C$4506:$C$5005, 0, 1)) &lt;= VLOOKUP($C572, 'Instrument Table'!$B:$D, 3, FALSE), ROW($A572) - 4504 - _xlfn.XMATCH($C572, $C$4506:$C$5005, 0, 1), 0), 0), "00")</f>
        <v>00</v>
      </c>
      <c r="H572" s="1" t="str">
        <f t="shared" si="49"/>
        <v>016</v>
      </c>
      <c r="I572" s="1" t="str">
        <f t="shared" si="50"/>
        <v>11100-016</v>
      </c>
      <c r="J572" s="1" t="str">
        <f t="shared" si="51"/>
        <v>Upright piano production item #016</v>
      </c>
      <c r="K572" s="1" t="str">
        <f>IF(SUM(COUNTIFS(I:I, I572)) &gt; 1, "DUPLICATE", "UNIQUE")</f>
        <v>UNIQUE</v>
      </c>
      <c r="L572" s="18">
        <v>1</v>
      </c>
      <c r="M572" s="28">
        <v>75</v>
      </c>
      <c r="N572" s="6">
        <v>25</v>
      </c>
      <c r="O572" s="30">
        <f t="shared" si="52"/>
        <v>75</v>
      </c>
      <c r="P572" s="30">
        <f t="shared" si="53"/>
        <v>1875</v>
      </c>
      <c r="Q572" s="1">
        <f>COUNTIFS($P:$P, "&gt;" &amp; $P572) + 1</f>
        <v>3303</v>
      </c>
      <c r="R572" s="63">
        <f>(COUNTIFS($P:$P, "&gt;" &amp; $P572) + 1) / (COUNTA($I:$I) - 1)</f>
        <v>0.66059999999999997</v>
      </c>
      <c r="S572" s="23">
        <f>SUMIFS($P:$P, $Q:$Q, "&lt;" &amp; $Q572)</f>
        <v>185614755</v>
      </c>
    </row>
    <row r="573" spans="1:19" x14ac:dyDescent="0.25">
      <c r="A573" s="1">
        <v>568</v>
      </c>
      <c r="B573" s="1" t="s">
        <v>2</v>
      </c>
      <c r="C573" s="1" t="str">
        <f>IF($B573 = "Production Item", _xlfn.XLOOKUP($A573, 'Instrument Table'!$J:$J, 'Instrument Table'!$B:$B, $C572), IF($B573 = "Service Item", _xlfn.XLOOKUP($A573, 'Instrument Table'!$I:$I, 'Instrument Table'!$B:$B, $C572), _xlfn.XLOOKUP($A573, 'Instrument Table'!$H:$H, 'Instrument Table'!$B:$B, $C572)))</f>
        <v>Upright Piano</v>
      </c>
      <c r="D573" s="1" t="str">
        <f>VLOOKUP($C573, 'Instrument Table'!$B:$C, 2, FALSE)</f>
        <v>Pianos</v>
      </c>
      <c r="E573" s="1">
        <f t="shared" si="48"/>
        <v>1</v>
      </c>
      <c r="F573" s="1">
        <f>_xlfn.XLOOKUP($C573, 'Instrument Table'!$B:$B, 'Instrument Table'!$A:$A, "")</f>
        <v>11</v>
      </c>
      <c r="G573" s="1" t="str">
        <f>TEXT(IF($B573 = "Retail Item", IF((ROW($A573) - 4504 - _xlfn.XMATCH($C573, $C$4506:$C$5005, 0, 1)) &lt;= VLOOKUP($C573, 'Instrument Table'!$B:$D, 3, FALSE), ROW($A573) - 4504 - _xlfn.XMATCH($C573, $C$4506:$C$5005, 0, 1), 0), 0), "00")</f>
        <v>00</v>
      </c>
      <c r="H573" s="1" t="str">
        <f t="shared" si="49"/>
        <v>017</v>
      </c>
      <c r="I573" s="1" t="str">
        <f t="shared" si="50"/>
        <v>11100-017</v>
      </c>
      <c r="J573" s="1" t="str">
        <f t="shared" si="51"/>
        <v>Upright piano production item #017</v>
      </c>
      <c r="K573" s="1" t="str">
        <f>IF(SUM(COUNTIFS(I:I, I573)) &gt; 1, "DUPLICATE", "UNIQUE")</f>
        <v>UNIQUE</v>
      </c>
      <c r="L573" s="18">
        <v>2</v>
      </c>
      <c r="M573" s="28">
        <v>69</v>
      </c>
      <c r="N573" s="6">
        <v>9</v>
      </c>
      <c r="O573" s="30">
        <f t="shared" si="52"/>
        <v>138</v>
      </c>
      <c r="P573" s="30">
        <f t="shared" si="53"/>
        <v>621</v>
      </c>
      <c r="Q573" s="1">
        <f>COUNTIFS($P:$P, "&gt;" &amp; $P573) + 1</f>
        <v>3929</v>
      </c>
      <c r="R573" s="63">
        <f>(COUNTIFS($P:$P, "&gt;" &amp; $P573) + 1) / (COUNTA($I:$I) - 1)</f>
        <v>0.78580000000000005</v>
      </c>
      <c r="S573" s="23">
        <f>SUMIFS($P:$P, $Q:$Q, "&lt;" &amp; $Q573)</f>
        <v>186357632</v>
      </c>
    </row>
    <row r="574" spans="1:19" x14ac:dyDescent="0.25">
      <c r="A574" s="1">
        <v>569</v>
      </c>
      <c r="B574" s="1" t="s">
        <v>2</v>
      </c>
      <c r="C574" s="1" t="str">
        <f>IF($B574 = "Production Item", _xlfn.XLOOKUP($A574, 'Instrument Table'!$J:$J, 'Instrument Table'!$B:$B, $C573), IF($B574 = "Service Item", _xlfn.XLOOKUP($A574, 'Instrument Table'!$I:$I, 'Instrument Table'!$B:$B, $C573), _xlfn.XLOOKUP($A574, 'Instrument Table'!$H:$H, 'Instrument Table'!$B:$B, $C573)))</f>
        <v>Upright Piano</v>
      </c>
      <c r="D574" s="1" t="str">
        <f>VLOOKUP($C574, 'Instrument Table'!$B:$C, 2, FALSE)</f>
        <v>Pianos</v>
      </c>
      <c r="E574" s="1">
        <f t="shared" si="48"/>
        <v>1</v>
      </c>
      <c r="F574" s="1">
        <f>_xlfn.XLOOKUP($C574, 'Instrument Table'!$B:$B, 'Instrument Table'!$A:$A, "")</f>
        <v>11</v>
      </c>
      <c r="G574" s="1" t="str">
        <f>TEXT(IF($B574 = "Retail Item", IF((ROW($A574) - 4504 - _xlfn.XMATCH($C574, $C$4506:$C$5005, 0, 1)) &lt;= VLOOKUP($C574, 'Instrument Table'!$B:$D, 3, FALSE), ROW($A574) - 4504 - _xlfn.XMATCH($C574, $C$4506:$C$5005, 0, 1), 0), 0), "00")</f>
        <v>00</v>
      </c>
      <c r="H574" s="1" t="str">
        <f t="shared" si="49"/>
        <v>018</v>
      </c>
      <c r="I574" s="1" t="str">
        <f t="shared" si="50"/>
        <v>11100-018</v>
      </c>
      <c r="J574" s="1" t="str">
        <f t="shared" si="51"/>
        <v>Upright piano production item #018</v>
      </c>
      <c r="K574" s="1" t="str">
        <f>IF(SUM(COUNTIFS(I:I, I574)) &gt; 1, "DUPLICATE", "UNIQUE")</f>
        <v>UNIQUE</v>
      </c>
      <c r="L574" s="18">
        <v>8</v>
      </c>
      <c r="M574" s="28">
        <v>54</v>
      </c>
      <c r="N574" s="6">
        <v>144</v>
      </c>
      <c r="O574" s="30">
        <f t="shared" si="52"/>
        <v>432</v>
      </c>
      <c r="P574" s="30">
        <f t="shared" si="53"/>
        <v>7776</v>
      </c>
      <c r="Q574" s="1">
        <f>COUNTIFS($P:$P, "&gt;" &amp; $P574) + 1</f>
        <v>2019</v>
      </c>
      <c r="R574" s="63">
        <f>(COUNTIFS($P:$P, "&gt;" &amp; $P574) + 1) / (COUNTA($I:$I) - 1)</f>
        <v>0.40379999999999999</v>
      </c>
      <c r="S574" s="23">
        <f>SUMIFS($P:$P, $Q:$Q, "&lt;" &amp; $Q574)</f>
        <v>180145621</v>
      </c>
    </row>
    <row r="575" spans="1:19" x14ac:dyDescent="0.25">
      <c r="A575" s="1">
        <v>570</v>
      </c>
      <c r="B575" s="1" t="s">
        <v>2</v>
      </c>
      <c r="C575" s="1" t="str">
        <f>IF($B575 = "Production Item", _xlfn.XLOOKUP($A575, 'Instrument Table'!$J:$J, 'Instrument Table'!$B:$B, $C574), IF($B575 = "Service Item", _xlfn.XLOOKUP($A575, 'Instrument Table'!$I:$I, 'Instrument Table'!$B:$B, $C574), _xlfn.XLOOKUP($A575, 'Instrument Table'!$H:$H, 'Instrument Table'!$B:$B, $C574)))</f>
        <v>Upright Piano</v>
      </c>
      <c r="D575" s="1" t="str">
        <f>VLOOKUP($C575, 'Instrument Table'!$B:$C, 2, FALSE)</f>
        <v>Pianos</v>
      </c>
      <c r="E575" s="1">
        <f t="shared" si="48"/>
        <v>1</v>
      </c>
      <c r="F575" s="1">
        <f>_xlfn.XLOOKUP($C575, 'Instrument Table'!$B:$B, 'Instrument Table'!$A:$A, "")</f>
        <v>11</v>
      </c>
      <c r="G575" s="1" t="str">
        <f>TEXT(IF($B575 = "Retail Item", IF((ROW($A575) - 4504 - _xlfn.XMATCH($C575, $C$4506:$C$5005, 0, 1)) &lt;= VLOOKUP($C575, 'Instrument Table'!$B:$D, 3, FALSE), ROW($A575) - 4504 - _xlfn.XMATCH($C575, $C$4506:$C$5005, 0, 1), 0), 0), "00")</f>
        <v>00</v>
      </c>
      <c r="H575" s="1" t="str">
        <f t="shared" si="49"/>
        <v>019</v>
      </c>
      <c r="I575" s="1" t="str">
        <f t="shared" si="50"/>
        <v>11100-019</v>
      </c>
      <c r="J575" s="1" t="str">
        <f t="shared" si="51"/>
        <v>Upright piano production item #019</v>
      </c>
      <c r="K575" s="1" t="str">
        <f>IF(SUM(COUNTIFS(I:I, I575)) &gt; 1, "DUPLICATE", "UNIQUE")</f>
        <v>UNIQUE</v>
      </c>
      <c r="L575" s="18">
        <v>0</v>
      </c>
      <c r="M575" s="28">
        <v>3</v>
      </c>
      <c r="N575" s="6">
        <v>196</v>
      </c>
      <c r="O575" s="30">
        <f t="shared" si="52"/>
        <v>0</v>
      </c>
      <c r="P575" s="30">
        <f t="shared" si="53"/>
        <v>588</v>
      </c>
      <c r="Q575" s="1">
        <f>COUNTIFS($P:$P, "&gt;" &amp; $P575) + 1</f>
        <v>3952</v>
      </c>
      <c r="R575" s="63">
        <f>(COUNTIFS($P:$P, "&gt;" &amp; $P575) + 1) / (COUNTA($I:$I) - 1)</f>
        <v>0.79039999999999999</v>
      </c>
      <c r="S575" s="23">
        <f>SUMIFS($P:$P, $Q:$Q, "&lt;" &amp; $Q575)</f>
        <v>186371437</v>
      </c>
    </row>
    <row r="576" spans="1:19" x14ac:dyDescent="0.25">
      <c r="A576" s="1">
        <v>571</v>
      </c>
      <c r="B576" s="1" t="s">
        <v>2</v>
      </c>
      <c r="C576" s="1" t="str">
        <f>IF($B576 = "Production Item", _xlfn.XLOOKUP($A576, 'Instrument Table'!$J:$J, 'Instrument Table'!$B:$B, $C575), IF($B576 = "Service Item", _xlfn.XLOOKUP($A576, 'Instrument Table'!$I:$I, 'Instrument Table'!$B:$B, $C575), _xlfn.XLOOKUP($A576, 'Instrument Table'!$H:$H, 'Instrument Table'!$B:$B, $C575)))</f>
        <v>Upright Piano</v>
      </c>
      <c r="D576" s="1" t="str">
        <f>VLOOKUP($C576, 'Instrument Table'!$B:$C, 2, FALSE)</f>
        <v>Pianos</v>
      </c>
      <c r="E576" s="1">
        <f t="shared" si="48"/>
        <v>1</v>
      </c>
      <c r="F576" s="1">
        <f>_xlfn.XLOOKUP($C576, 'Instrument Table'!$B:$B, 'Instrument Table'!$A:$A, "")</f>
        <v>11</v>
      </c>
      <c r="G576" s="1" t="str">
        <f>TEXT(IF($B576 = "Retail Item", IF((ROW($A576) - 4504 - _xlfn.XMATCH($C576, $C$4506:$C$5005, 0, 1)) &lt;= VLOOKUP($C576, 'Instrument Table'!$B:$D, 3, FALSE), ROW($A576) - 4504 - _xlfn.XMATCH($C576, $C$4506:$C$5005, 0, 1), 0), 0), "00")</f>
        <v>00</v>
      </c>
      <c r="H576" s="1" t="str">
        <f t="shared" si="49"/>
        <v>020</v>
      </c>
      <c r="I576" s="1" t="str">
        <f t="shared" si="50"/>
        <v>11100-020</v>
      </c>
      <c r="J576" s="1" t="str">
        <f t="shared" si="51"/>
        <v>Upright piano production item #020</v>
      </c>
      <c r="K576" s="1" t="str">
        <f>IF(SUM(COUNTIFS(I:I, I576)) &gt; 1, "DUPLICATE", "UNIQUE")</f>
        <v>UNIQUE</v>
      </c>
      <c r="L576" s="18">
        <v>0</v>
      </c>
      <c r="M576" s="28">
        <v>49</v>
      </c>
      <c r="N576" s="6">
        <v>1</v>
      </c>
      <c r="O576" s="30">
        <f t="shared" si="52"/>
        <v>0</v>
      </c>
      <c r="P576" s="30">
        <f t="shared" si="53"/>
        <v>49</v>
      </c>
      <c r="Q576" s="1">
        <f>COUNTIFS($P:$P, "&gt;" &amp; $P576) + 1</f>
        <v>4617</v>
      </c>
      <c r="R576" s="63">
        <f>(COUNTIFS($P:$P, "&gt;" &amp; $P576) + 1) / (COUNTA($I:$I) - 1)</f>
        <v>0.9234</v>
      </c>
      <c r="S576" s="23">
        <f>SUMIFS($P:$P, $Q:$Q, "&lt;" &amp; $Q576)</f>
        <v>186544585</v>
      </c>
    </row>
    <row r="577" spans="1:19" x14ac:dyDescent="0.25">
      <c r="A577" s="1">
        <v>572</v>
      </c>
      <c r="B577" s="1" t="s">
        <v>2</v>
      </c>
      <c r="C577" s="1" t="str">
        <f>IF($B577 = "Production Item", _xlfn.XLOOKUP($A577, 'Instrument Table'!$J:$J, 'Instrument Table'!$B:$B, $C576), IF($B577 = "Service Item", _xlfn.XLOOKUP($A577, 'Instrument Table'!$I:$I, 'Instrument Table'!$B:$B, $C576), _xlfn.XLOOKUP($A577, 'Instrument Table'!$H:$H, 'Instrument Table'!$B:$B, $C576)))</f>
        <v>Upright Piano</v>
      </c>
      <c r="D577" s="1" t="str">
        <f>VLOOKUP($C577, 'Instrument Table'!$B:$C, 2, FALSE)</f>
        <v>Pianos</v>
      </c>
      <c r="E577" s="1">
        <f t="shared" si="48"/>
        <v>1</v>
      </c>
      <c r="F577" s="1">
        <f>_xlfn.XLOOKUP($C577, 'Instrument Table'!$B:$B, 'Instrument Table'!$A:$A, "")</f>
        <v>11</v>
      </c>
      <c r="G577" s="1" t="str">
        <f>TEXT(IF($B577 = "Retail Item", IF((ROW($A577) - 4504 - _xlfn.XMATCH($C577, $C$4506:$C$5005, 0, 1)) &lt;= VLOOKUP($C577, 'Instrument Table'!$B:$D, 3, FALSE), ROW($A577) - 4504 - _xlfn.XMATCH($C577, $C$4506:$C$5005, 0, 1), 0), 0), "00")</f>
        <v>00</v>
      </c>
      <c r="H577" s="1" t="str">
        <f t="shared" si="49"/>
        <v>021</v>
      </c>
      <c r="I577" s="1" t="str">
        <f t="shared" si="50"/>
        <v>11100-021</v>
      </c>
      <c r="J577" s="1" t="str">
        <f t="shared" si="51"/>
        <v>Upright piano production item #021</v>
      </c>
      <c r="K577" s="1" t="str">
        <f>IF(SUM(COUNTIFS(I:I, I577)) &gt; 1, "DUPLICATE", "UNIQUE")</f>
        <v>UNIQUE</v>
      </c>
      <c r="L577" s="18">
        <v>4</v>
      </c>
      <c r="M577" s="28">
        <v>41</v>
      </c>
      <c r="N577" s="6">
        <v>64</v>
      </c>
      <c r="O577" s="30">
        <f t="shared" si="52"/>
        <v>164</v>
      </c>
      <c r="P577" s="30">
        <f t="shared" si="53"/>
        <v>2624</v>
      </c>
      <c r="Q577" s="1">
        <f>COUNTIFS($P:$P, "&gt;" &amp; $P577) + 1</f>
        <v>3002</v>
      </c>
      <c r="R577" s="63">
        <f>(COUNTIFS($P:$P, "&gt;" &amp; $P577) + 1) / (COUNTA($I:$I) - 1)</f>
        <v>0.60040000000000004</v>
      </c>
      <c r="S577" s="23">
        <f>SUMIFS($P:$P, $Q:$Q, "&lt;" &amp; $Q577)</f>
        <v>184937374</v>
      </c>
    </row>
    <row r="578" spans="1:19" x14ac:dyDescent="0.25">
      <c r="A578" s="1">
        <v>573</v>
      </c>
      <c r="B578" s="1" t="s">
        <v>2</v>
      </c>
      <c r="C578" s="1" t="str">
        <f>IF($B578 = "Production Item", _xlfn.XLOOKUP($A578, 'Instrument Table'!$J:$J, 'Instrument Table'!$B:$B, $C577), IF($B578 = "Service Item", _xlfn.XLOOKUP($A578, 'Instrument Table'!$I:$I, 'Instrument Table'!$B:$B, $C577), _xlfn.XLOOKUP($A578, 'Instrument Table'!$H:$H, 'Instrument Table'!$B:$B, $C577)))</f>
        <v>Upright Piano</v>
      </c>
      <c r="D578" s="1" t="str">
        <f>VLOOKUP($C578, 'Instrument Table'!$B:$C, 2, FALSE)</f>
        <v>Pianos</v>
      </c>
      <c r="E578" s="1">
        <f t="shared" si="48"/>
        <v>1</v>
      </c>
      <c r="F578" s="1">
        <f>_xlfn.XLOOKUP($C578, 'Instrument Table'!$B:$B, 'Instrument Table'!$A:$A, "")</f>
        <v>11</v>
      </c>
      <c r="G578" s="1" t="str">
        <f>TEXT(IF($B578 = "Retail Item", IF((ROW($A578) - 4504 - _xlfn.XMATCH($C578, $C$4506:$C$5005, 0, 1)) &lt;= VLOOKUP($C578, 'Instrument Table'!$B:$D, 3, FALSE), ROW($A578) - 4504 - _xlfn.XMATCH($C578, $C$4506:$C$5005, 0, 1), 0), 0), "00")</f>
        <v>00</v>
      </c>
      <c r="H578" s="1" t="str">
        <f t="shared" si="49"/>
        <v>022</v>
      </c>
      <c r="I578" s="1" t="str">
        <f t="shared" si="50"/>
        <v>11100-022</v>
      </c>
      <c r="J578" s="1" t="str">
        <f t="shared" si="51"/>
        <v>Upright piano production item #022</v>
      </c>
      <c r="K578" s="1" t="str">
        <f>IF(SUM(COUNTIFS(I:I, I578)) &gt; 1, "DUPLICATE", "UNIQUE")</f>
        <v>UNIQUE</v>
      </c>
      <c r="L578" s="18">
        <v>1</v>
      </c>
      <c r="M578" s="28">
        <v>89</v>
      </c>
      <c r="N578" s="6">
        <v>225</v>
      </c>
      <c r="O578" s="30">
        <f t="shared" si="52"/>
        <v>89</v>
      </c>
      <c r="P578" s="30">
        <f t="shared" si="53"/>
        <v>20025</v>
      </c>
      <c r="Q578" s="1">
        <f>COUNTIFS($P:$P, "&gt;" &amp; $P578) + 1</f>
        <v>1055</v>
      </c>
      <c r="R578" s="63">
        <f>(COUNTIFS($P:$P, "&gt;" &amp; $P578) + 1) / (COUNTA($I:$I) - 1)</f>
        <v>0.21099999999999999</v>
      </c>
      <c r="S578" s="23">
        <f>SUMIFS($P:$P, $Q:$Q, "&lt;" &amp; $Q578)</f>
        <v>167623196</v>
      </c>
    </row>
    <row r="579" spans="1:19" x14ac:dyDescent="0.25">
      <c r="A579" s="1">
        <v>574</v>
      </c>
      <c r="B579" s="1" t="s">
        <v>2</v>
      </c>
      <c r="C579" s="1" t="str">
        <f>IF($B579 = "Production Item", _xlfn.XLOOKUP($A579, 'Instrument Table'!$J:$J, 'Instrument Table'!$B:$B, $C578), IF($B579 = "Service Item", _xlfn.XLOOKUP($A579, 'Instrument Table'!$I:$I, 'Instrument Table'!$B:$B, $C578), _xlfn.XLOOKUP($A579, 'Instrument Table'!$H:$H, 'Instrument Table'!$B:$B, $C578)))</f>
        <v>Upright Piano</v>
      </c>
      <c r="D579" s="1" t="str">
        <f>VLOOKUP($C579, 'Instrument Table'!$B:$C, 2, FALSE)</f>
        <v>Pianos</v>
      </c>
      <c r="E579" s="1">
        <f t="shared" si="48"/>
        <v>1</v>
      </c>
      <c r="F579" s="1">
        <f>_xlfn.XLOOKUP($C579, 'Instrument Table'!$B:$B, 'Instrument Table'!$A:$A, "")</f>
        <v>11</v>
      </c>
      <c r="G579" s="1" t="str">
        <f>TEXT(IF($B579 = "Retail Item", IF((ROW($A579) - 4504 - _xlfn.XMATCH($C579, $C$4506:$C$5005, 0, 1)) &lt;= VLOOKUP($C579, 'Instrument Table'!$B:$D, 3, FALSE), ROW($A579) - 4504 - _xlfn.XMATCH($C579, $C$4506:$C$5005, 0, 1), 0), 0), "00")</f>
        <v>00</v>
      </c>
      <c r="H579" s="1" t="str">
        <f t="shared" si="49"/>
        <v>023</v>
      </c>
      <c r="I579" s="1" t="str">
        <f t="shared" si="50"/>
        <v>11100-023</v>
      </c>
      <c r="J579" s="1" t="str">
        <f t="shared" si="51"/>
        <v>Upright piano production item #023</v>
      </c>
      <c r="K579" s="1" t="str">
        <f>IF(SUM(COUNTIFS(I:I, I579)) &gt; 1, "DUPLICATE", "UNIQUE")</f>
        <v>UNIQUE</v>
      </c>
      <c r="L579" s="18">
        <v>16</v>
      </c>
      <c r="M579" s="28">
        <v>54</v>
      </c>
      <c r="N579" s="6">
        <v>1</v>
      </c>
      <c r="O579" s="30">
        <f t="shared" si="52"/>
        <v>864</v>
      </c>
      <c r="P579" s="30">
        <f t="shared" si="53"/>
        <v>54</v>
      </c>
      <c r="Q579" s="1">
        <f>COUNTIFS($P:$P, "&gt;" &amp; $P579) + 1</f>
        <v>4596</v>
      </c>
      <c r="R579" s="63">
        <f>(COUNTIFS($P:$P, "&gt;" &amp; $P579) + 1) / (COUNTA($I:$I) - 1)</f>
        <v>0.91920000000000002</v>
      </c>
      <c r="S579" s="23">
        <f>SUMIFS($P:$P, $Q:$Q, "&lt;" &amp; $Q579)</f>
        <v>186543478</v>
      </c>
    </row>
    <row r="580" spans="1:19" x14ac:dyDescent="0.25">
      <c r="A580" s="1">
        <v>575</v>
      </c>
      <c r="B580" s="1" t="s">
        <v>2</v>
      </c>
      <c r="C580" s="1" t="str">
        <f>IF($B580 = "Production Item", _xlfn.XLOOKUP($A580, 'Instrument Table'!$J:$J, 'Instrument Table'!$B:$B, $C579), IF($B580 = "Service Item", _xlfn.XLOOKUP($A580, 'Instrument Table'!$I:$I, 'Instrument Table'!$B:$B, $C579), _xlfn.XLOOKUP($A580, 'Instrument Table'!$H:$H, 'Instrument Table'!$B:$B, $C579)))</f>
        <v>Upright Piano</v>
      </c>
      <c r="D580" s="1" t="str">
        <f>VLOOKUP($C580, 'Instrument Table'!$B:$C, 2, FALSE)</f>
        <v>Pianos</v>
      </c>
      <c r="E580" s="1">
        <f t="shared" si="48"/>
        <v>1</v>
      </c>
      <c r="F580" s="1">
        <f>_xlfn.XLOOKUP($C580, 'Instrument Table'!$B:$B, 'Instrument Table'!$A:$A, "")</f>
        <v>11</v>
      </c>
      <c r="G580" s="1" t="str">
        <f>TEXT(IF($B580 = "Retail Item", IF((ROW($A580) - 4504 - _xlfn.XMATCH($C580, $C$4506:$C$5005, 0, 1)) &lt;= VLOOKUP($C580, 'Instrument Table'!$B:$D, 3, FALSE), ROW($A580) - 4504 - _xlfn.XMATCH($C580, $C$4506:$C$5005, 0, 1), 0), 0), "00")</f>
        <v>00</v>
      </c>
      <c r="H580" s="1" t="str">
        <f t="shared" si="49"/>
        <v>024</v>
      </c>
      <c r="I580" s="1" t="str">
        <f t="shared" si="50"/>
        <v>11100-024</v>
      </c>
      <c r="J580" s="1" t="str">
        <f t="shared" si="51"/>
        <v>Upright piano production item #024</v>
      </c>
      <c r="K580" s="1" t="str">
        <f>IF(SUM(COUNTIFS(I:I, I580)) &gt; 1, "DUPLICATE", "UNIQUE")</f>
        <v>UNIQUE</v>
      </c>
      <c r="L580" s="18">
        <v>2</v>
      </c>
      <c r="M580" s="28">
        <v>84</v>
      </c>
      <c r="N580" s="6">
        <v>9</v>
      </c>
      <c r="O580" s="30">
        <f t="shared" si="52"/>
        <v>168</v>
      </c>
      <c r="P580" s="30">
        <f t="shared" si="53"/>
        <v>756</v>
      </c>
      <c r="Q580" s="1">
        <f>COUNTIFS($P:$P, "&gt;" &amp; $P580) + 1</f>
        <v>3826</v>
      </c>
      <c r="R580" s="63">
        <f>(COUNTIFS($P:$P, "&gt;" &amp; $P580) + 1) / (COUNTA($I:$I) - 1)</f>
        <v>0.76519999999999999</v>
      </c>
      <c r="S580" s="23">
        <f>SUMIFS($P:$P, $Q:$Q, "&lt;" &amp; $Q580)</f>
        <v>186285726</v>
      </c>
    </row>
    <row r="581" spans="1:19" x14ac:dyDescent="0.25">
      <c r="A581" s="1">
        <v>576</v>
      </c>
      <c r="B581" s="1" t="s">
        <v>2</v>
      </c>
      <c r="C581" s="1" t="str">
        <f>IF($B581 = "Production Item", _xlfn.XLOOKUP($A581, 'Instrument Table'!$J:$J, 'Instrument Table'!$B:$B, $C580), IF($B581 = "Service Item", _xlfn.XLOOKUP($A581, 'Instrument Table'!$I:$I, 'Instrument Table'!$B:$B, $C580), _xlfn.XLOOKUP($A581, 'Instrument Table'!$H:$H, 'Instrument Table'!$B:$B, $C580)))</f>
        <v>Upright Piano</v>
      </c>
      <c r="D581" s="1" t="str">
        <f>VLOOKUP($C581, 'Instrument Table'!$B:$C, 2, FALSE)</f>
        <v>Pianos</v>
      </c>
      <c r="E581" s="1">
        <f t="shared" si="48"/>
        <v>1</v>
      </c>
      <c r="F581" s="1">
        <f>_xlfn.XLOOKUP($C581, 'Instrument Table'!$B:$B, 'Instrument Table'!$A:$A, "")</f>
        <v>11</v>
      </c>
      <c r="G581" s="1" t="str">
        <f>TEXT(IF($B581 = "Retail Item", IF((ROW($A581) - 4504 - _xlfn.XMATCH($C581, $C$4506:$C$5005, 0, 1)) &lt;= VLOOKUP($C581, 'Instrument Table'!$B:$D, 3, FALSE), ROW($A581) - 4504 - _xlfn.XMATCH($C581, $C$4506:$C$5005, 0, 1), 0), 0), "00")</f>
        <v>00</v>
      </c>
      <c r="H581" s="1" t="str">
        <f t="shared" si="49"/>
        <v>025</v>
      </c>
      <c r="I581" s="1" t="str">
        <f t="shared" si="50"/>
        <v>11100-025</v>
      </c>
      <c r="J581" s="1" t="str">
        <f t="shared" si="51"/>
        <v>Upright piano production item #025</v>
      </c>
      <c r="K581" s="1" t="str">
        <f>IF(SUM(COUNTIFS(I:I, I581)) &gt; 1, "DUPLICATE", "UNIQUE")</f>
        <v>UNIQUE</v>
      </c>
      <c r="L581" s="18">
        <v>32</v>
      </c>
      <c r="M581" s="28">
        <v>41</v>
      </c>
      <c r="N581" s="6">
        <v>81</v>
      </c>
      <c r="O581" s="30">
        <f t="shared" si="52"/>
        <v>1312</v>
      </c>
      <c r="P581" s="30">
        <f t="shared" si="53"/>
        <v>3321</v>
      </c>
      <c r="Q581" s="1">
        <f>COUNTIFS($P:$P, "&gt;" &amp; $P581) + 1</f>
        <v>2824</v>
      </c>
      <c r="R581" s="63">
        <f>(COUNTIFS($P:$P, "&gt;" &amp; $P581) + 1) / (COUNTA($I:$I) - 1)</f>
        <v>0.56479999999999997</v>
      </c>
      <c r="S581" s="23">
        <f>SUMIFS($P:$P, $Q:$Q, "&lt;" &amp; $Q581)</f>
        <v>184406695</v>
      </c>
    </row>
    <row r="582" spans="1:19" x14ac:dyDescent="0.25">
      <c r="A582" s="1">
        <v>577</v>
      </c>
      <c r="B582" s="1" t="s">
        <v>2</v>
      </c>
      <c r="C582" s="1" t="str">
        <f>IF($B582 = "Production Item", _xlfn.XLOOKUP($A582, 'Instrument Table'!$J:$J, 'Instrument Table'!$B:$B, $C581), IF($B582 = "Service Item", _xlfn.XLOOKUP($A582, 'Instrument Table'!$I:$I, 'Instrument Table'!$B:$B, $C581), _xlfn.XLOOKUP($A582, 'Instrument Table'!$H:$H, 'Instrument Table'!$B:$B, $C581)))</f>
        <v>Upright Piano</v>
      </c>
      <c r="D582" s="1" t="str">
        <f>VLOOKUP($C582, 'Instrument Table'!$B:$C, 2, FALSE)</f>
        <v>Pianos</v>
      </c>
      <c r="E582" s="1">
        <f t="shared" si="48"/>
        <v>1</v>
      </c>
      <c r="F582" s="1">
        <f>_xlfn.XLOOKUP($C582, 'Instrument Table'!$B:$B, 'Instrument Table'!$A:$A, "")</f>
        <v>11</v>
      </c>
      <c r="G582" s="1" t="str">
        <f>TEXT(IF($B582 = "Retail Item", IF((ROW($A582) - 4504 - _xlfn.XMATCH($C582, $C$4506:$C$5005, 0, 1)) &lt;= VLOOKUP($C582, 'Instrument Table'!$B:$D, 3, FALSE), ROW($A582) - 4504 - _xlfn.XMATCH($C582, $C$4506:$C$5005, 0, 1), 0), 0), "00")</f>
        <v>00</v>
      </c>
      <c r="H582" s="1" t="str">
        <f t="shared" si="49"/>
        <v>026</v>
      </c>
      <c r="I582" s="1" t="str">
        <f t="shared" si="50"/>
        <v>11100-026</v>
      </c>
      <c r="J582" s="1" t="str">
        <f t="shared" si="51"/>
        <v>Upright piano production item #026</v>
      </c>
      <c r="K582" s="1" t="str">
        <f>IF(SUM(COUNTIFS(I:I, I582)) &gt; 1, "DUPLICATE", "UNIQUE")</f>
        <v>UNIQUE</v>
      </c>
      <c r="L582" s="18">
        <v>1</v>
      </c>
      <c r="M582" s="28">
        <v>61</v>
      </c>
      <c r="N582" s="6">
        <v>81</v>
      </c>
      <c r="O582" s="30">
        <f t="shared" si="52"/>
        <v>61</v>
      </c>
      <c r="P582" s="30">
        <f t="shared" si="53"/>
        <v>4941</v>
      </c>
      <c r="Q582" s="1">
        <f>COUNTIFS($P:$P, "&gt;" &amp; $P582) + 1</f>
        <v>2455</v>
      </c>
      <c r="R582" s="63">
        <f>(COUNTIFS($P:$P, "&gt;" &amp; $P582) + 1) / (COUNTA($I:$I) - 1)</f>
        <v>0.49099999999999999</v>
      </c>
      <c r="S582" s="23">
        <f>SUMIFS($P:$P, $Q:$Q, "&lt;" &amp; $Q582)</f>
        <v>182897299</v>
      </c>
    </row>
    <row r="583" spans="1:19" x14ac:dyDescent="0.25">
      <c r="A583" s="1">
        <v>578</v>
      </c>
      <c r="B583" s="1" t="s">
        <v>2</v>
      </c>
      <c r="C583" s="1" t="str">
        <f>IF($B583 = "Production Item", _xlfn.XLOOKUP($A583, 'Instrument Table'!$J:$J, 'Instrument Table'!$B:$B, $C582), IF($B583 = "Service Item", _xlfn.XLOOKUP($A583, 'Instrument Table'!$I:$I, 'Instrument Table'!$B:$B, $C582), _xlfn.XLOOKUP($A583, 'Instrument Table'!$H:$H, 'Instrument Table'!$B:$B, $C582)))</f>
        <v>Upright Piano</v>
      </c>
      <c r="D583" s="1" t="str">
        <f>VLOOKUP($C583, 'Instrument Table'!$B:$C, 2, FALSE)</f>
        <v>Pianos</v>
      </c>
      <c r="E583" s="1">
        <f t="shared" ref="E583:E646" si="54">IF($B583 = "Production Item", 1, IF($B583 = "Service Item", 2, IF($B583 = "Retail Item", 3, "")))</f>
        <v>1</v>
      </c>
      <c r="F583" s="1">
        <f>_xlfn.XLOOKUP($C583, 'Instrument Table'!$B:$B, 'Instrument Table'!$A:$A, "")</f>
        <v>11</v>
      </c>
      <c r="G583" s="1" t="str">
        <f>TEXT(IF($B583 = "Retail Item", IF((ROW($A583) - 4504 - _xlfn.XMATCH($C583, $C$4506:$C$5005, 0, 1)) &lt;= VLOOKUP($C583, 'Instrument Table'!$B:$D, 3, FALSE), ROW($A583) - 4504 - _xlfn.XMATCH($C583, $C$4506:$C$5005, 0, 1), 0), 0), "00")</f>
        <v>00</v>
      </c>
      <c r="H583" s="1" t="str">
        <f t="shared" ref="H583:H646" si="55">TEXT(IF($E583 &amp; $F583 &amp; $G583 = $E582 &amp; $F582 &amp; $G582, 1 + H582, 0), "000")</f>
        <v>027</v>
      </c>
      <c r="I583" s="1" t="str">
        <f t="shared" ref="I583:I646" si="56" xml:space="preserve"> _xlfn.CONCAT($E583, $F583, $G583, "-", H583)</f>
        <v>11100-027</v>
      </c>
      <c r="J583" s="1" t="str">
        <f t="shared" ref="J583:J646" si="57">LEFT($C583, 1) &amp; LOWER(RIGHT($C583, LEN($C583) - 1)) &amp; IF(AND($G583 &lt;&gt; "00", $B583 = "Retail Item"), " model #" &amp; $G583, " " &amp; LOWER($B583) &amp; " #" &amp; $H583)</f>
        <v>Upright piano production item #027</v>
      </c>
      <c r="K583" s="1" t="str">
        <f>IF(SUM(COUNTIFS(I:I, I583)) &gt; 1, "DUPLICATE", "UNIQUE")</f>
        <v>UNIQUE</v>
      </c>
      <c r="L583" s="18">
        <v>1</v>
      </c>
      <c r="M583" s="28">
        <v>65</v>
      </c>
      <c r="N583" s="6">
        <v>121</v>
      </c>
      <c r="O583" s="30">
        <f t="shared" ref="O583:O646" si="58">$L583 * $M583</f>
        <v>65</v>
      </c>
      <c r="P583" s="30">
        <f t="shared" ref="P583:P646" si="59">$N583 * $M583</f>
        <v>7865</v>
      </c>
      <c r="Q583" s="1">
        <f>COUNTIFS($P:$P, "&gt;" &amp; $P583) + 1</f>
        <v>2005</v>
      </c>
      <c r="R583" s="63">
        <f>(COUNTIFS($P:$P, "&gt;" &amp; $P583) + 1) / (COUNTA($I:$I) - 1)</f>
        <v>0.40100000000000002</v>
      </c>
      <c r="S583" s="23">
        <f>SUMIFS($P:$P, $Q:$Q, "&lt;" &amp; $Q583)</f>
        <v>180035995</v>
      </c>
    </row>
    <row r="584" spans="1:19" x14ac:dyDescent="0.25">
      <c r="A584" s="1">
        <v>579</v>
      </c>
      <c r="B584" s="1" t="s">
        <v>2</v>
      </c>
      <c r="C584" s="1" t="str">
        <f>IF($B584 = "Production Item", _xlfn.XLOOKUP($A584, 'Instrument Table'!$J:$J, 'Instrument Table'!$B:$B, $C583), IF($B584 = "Service Item", _xlfn.XLOOKUP($A584, 'Instrument Table'!$I:$I, 'Instrument Table'!$B:$B, $C583), _xlfn.XLOOKUP($A584, 'Instrument Table'!$H:$H, 'Instrument Table'!$B:$B, $C583)))</f>
        <v>Upright Piano</v>
      </c>
      <c r="D584" s="1" t="str">
        <f>VLOOKUP($C584, 'Instrument Table'!$B:$C, 2, FALSE)</f>
        <v>Pianos</v>
      </c>
      <c r="E584" s="1">
        <f t="shared" si="54"/>
        <v>1</v>
      </c>
      <c r="F584" s="1">
        <f>_xlfn.XLOOKUP($C584, 'Instrument Table'!$B:$B, 'Instrument Table'!$A:$A, "")</f>
        <v>11</v>
      </c>
      <c r="G584" s="1" t="str">
        <f>TEXT(IF($B584 = "Retail Item", IF((ROW($A584) - 4504 - _xlfn.XMATCH($C584, $C$4506:$C$5005, 0, 1)) &lt;= VLOOKUP($C584, 'Instrument Table'!$B:$D, 3, FALSE), ROW($A584) - 4504 - _xlfn.XMATCH($C584, $C$4506:$C$5005, 0, 1), 0), 0), "00")</f>
        <v>00</v>
      </c>
      <c r="H584" s="1" t="str">
        <f t="shared" si="55"/>
        <v>028</v>
      </c>
      <c r="I584" s="1" t="str">
        <f t="shared" si="56"/>
        <v>11100-028</v>
      </c>
      <c r="J584" s="1" t="str">
        <f t="shared" si="57"/>
        <v>Upright piano production item #028</v>
      </c>
      <c r="K584" s="1" t="str">
        <f>IF(SUM(COUNTIFS(I:I, I584)) &gt; 1, "DUPLICATE", "UNIQUE")</f>
        <v>UNIQUE</v>
      </c>
      <c r="L584" s="18">
        <v>16</v>
      </c>
      <c r="M584" s="28">
        <v>37</v>
      </c>
      <c r="N584" s="6">
        <v>49</v>
      </c>
      <c r="O584" s="30">
        <f t="shared" si="58"/>
        <v>592</v>
      </c>
      <c r="P584" s="30">
        <f t="shared" si="59"/>
        <v>1813</v>
      </c>
      <c r="Q584" s="1">
        <f>COUNTIFS($P:$P, "&gt;" &amp; $P584) + 1</f>
        <v>3325</v>
      </c>
      <c r="R584" s="63">
        <f>(COUNTIFS($P:$P, "&gt;" &amp; $P584) + 1) / (COUNTA($I:$I) - 1)</f>
        <v>0.66500000000000004</v>
      </c>
      <c r="S584" s="23">
        <f>SUMIFS($P:$P, $Q:$Q, "&lt;" &amp; $Q584)</f>
        <v>185655517</v>
      </c>
    </row>
    <row r="585" spans="1:19" x14ac:dyDescent="0.25">
      <c r="A585" s="1">
        <v>580</v>
      </c>
      <c r="B585" s="1" t="s">
        <v>2</v>
      </c>
      <c r="C585" s="1" t="str">
        <f>IF($B585 = "Production Item", _xlfn.XLOOKUP($A585, 'Instrument Table'!$J:$J, 'Instrument Table'!$B:$B, $C584), IF($B585 = "Service Item", _xlfn.XLOOKUP($A585, 'Instrument Table'!$I:$I, 'Instrument Table'!$B:$B, $C584), _xlfn.XLOOKUP($A585, 'Instrument Table'!$H:$H, 'Instrument Table'!$B:$B, $C584)))</f>
        <v>Upright Piano</v>
      </c>
      <c r="D585" s="1" t="str">
        <f>VLOOKUP($C585, 'Instrument Table'!$B:$C, 2, FALSE)</f>
        <v>Pianos</v>
      </c>
      <c r="E585" s="1">
        <f t="shared" si="54"/>
        <v>1</v>
      </c>
      <c r="F585" s="1">
        <f>_xlfn.XLOOKUP($C585, 'Instrument Table'!$B:$B, 'Instrument Table'!$A:$A, "")</f>
        <v>11</v>
      </c>
      <c r="G585" s="1" t="str">
        <f>TEXT(IF($B585 = "Retail Item", IF((ROW($A585) - 4504 - _xlfn.XMATCH($C585, $C$4506:$C$5005, 0, 1)) &lt;= VLOOKUP($C585, 'Instrument Table'!$B:$D, 3, FALSE), ROW($A585) - 4504 - _xlfn.XMATCH($C585, $C$4506:$C$5005, 0, 1), 0), 0), "00")</f>
        <v>00</v>
      </c>
      <c r="H585" s="1" t="str">
        <f t="shared" si="55"/>
        <v>029</v>
      </c>
      <c r="I585" s="1" t="str">
        <f t="shared" si="56"/>
        <v>11100-029</v>
      </c>
      <c r="J585" s="1" t="str">
        <f t="shared" si="57"/>
        <v>Upright piano production item #029</v>
      </c>
      <c r="K585" s="1" t="str">
        <f>IF(SUM(COUNTIFS(I:I, I585)) &gt; 1, "DUPLICATE", "UNIQUE")</f>
        <v>UNIQUE</v>
      </c>
      <c r="L585" s="18">
        <v>1</v>
      </c>
      <c r="M585" s="28">
        <v>31</v>
      </c>
      <c r="N585" s="6">
        <v>4</v>
      </c>
      <c r="O585" s="30">
        <f t="shared" si="58"/>
        <v>31</v>
      </c>
      <c r="P585" s="30">
        <f t="shared" si="59"/>
        <v>124</v>
      </c>
      <c r="Q585" s="1">
        <f>COUNTIFS($P:$P, "&gt;" &amp; $P585) + 1</f>
        <v>4422</v>
      </c>
      <c r="R585" s="63">
        <f>(COUNTIFS($P:$P, "&gt;" &amp; $P585) + 1) / (COUNTA($I:$I) - 1)</f>
        <v>0.88439999999999996</v>
      </c>
      <c r="S585" s="23">
        <f>SUMIFS($P:$P, $Q:$Q, "&lt;" &amp; $Q585)</f>
        <v>186529025</v>
      </c>
    </row>
    <row r="586" spans="1:19" x14ac:dyDescent="0.25">
      <c r="A586" s="1">
        <v>581</v>
      </c>
      <c r="B586" s="1" t="s">
        <v>2</v>
      </c>
      <c r="C586" s="1" t="str">
        <f>IF($B586 = "Production Item", _xlfn.XLOOKUP($A586, 'Instrument Table'!$J:$J, 'Instrument Table'!$B:$B, $C585), IF($B586 = "Service Item", _xlfn.XLOOKUP($A586, 'Instrument Table'!$I:$I, 'Instrument Table'!$B:$B, $C585), _xlfn.XLOOKUP($A586, 'Instrument Table'!$H:$H, 'Instrument Table'!$B:$B, $C585)))</f>
        <v>Upright Piano</v>
      </c>
      <c r="D586" s="1" t="str">
        <f>VLOOKUP($C586, 'Instrument Table'!$B:$C, 2, FALSE)</f>
        <v>Pianos</v>
      </c>
      <c r="E586" s="1">
        <f t="shared" si="54"/>
        <v>1</v>
      </c>
      <c r="F586" s="1">
        <f>_xlfn.XLOOKUP($C586, 'Instrument Table'!$B:$B, 'Instrument Table'!$A:$A, "")</f>
        <v>11</v>
      </c>
      <c r="G586" s="1" t="str">
        <f>TEXT(IF($B586 = "Retail Item", IF((ROW($A586) - 4504 - _xlfn.XMATCH($C586, $C$4506:$C$5005, 0, 1)) &lt;= VLOOKUP($C586, 'Instrument Table'!$B:$D, 3, FALSE), ROW($A586) - 4504 - _xlfn.XMATCH($C586, $C$4506:$C$5005, 0, 1), 0), 0), "00")</f>
        <v>00</v>
      </c>
      <c r="H586" s="1" t="str">
        <f t="shared" si="55"/>
        <v>030</v>
      </c>
      <c r="I586" s="1" t="str">
        <f t="shared" si="56"/>
        <v>11100-030</v>
      </c>
      <c r="J586" s="1" t="str">
        <f t="shared" si="57"/>
        <v>Upright piano production item #030</v>
      </c>
      <c r="K586" s="1" t="str">
        <f>IF(SUM(COUNTIFS(I:I, I586)) &gt; 1, "DUPLICATE", "UNIQUE")</f>
        <v>UNIQUE</v>
      </c>
      <c r="L586" s="18">
        <v>0</v>
      </c>
      <c r="M586" s="28">
        <v>80</v>
      </c>
      <c r="N586" s="6">
        <v>400</v>
      </c>
      <c r="O586" s="30">
        <f t="shared" si="58"/>
        <v>0</v>
      </c>
      <c r="P586" s="30">
        <f t="shared" si="59"/>
        <v>32000</v>
      </c>
      <c r="Q586" s="1">
        <f>COUNTIFS($P:$P, "&gt;" &amp; $P586) + 1</f>
        <v>649</v>
      </c>
      <c r="R586" s="63">
        <f>(COUNTIFS($P:$P, "&gt;" &amp; $P586) + 1) / (COUNTA($I:$I) - 1)</f>
        <v>0.1298</v>
      </c>
      <c r="S586" s="23">
        <f>SUMIFS($P:$P, $Q:$Q, "&lt;" &amp; $Q586)</f>
        <v>157513685</v>
      </c>
    </row>
    <row r="587" spans="1:19" x14ac:dyDescent="0.25">
      <c r="A587" s="1">
        <v>582</v>
      </c>
      <c r="B587" s="1" t="s">
        <v>2</v>
      </c>
      <c r="C587" s="1" t="str">
        <f>IF($B587 = "Production Item", _xlfn.XLOOKUP($A587, 'Instrument Table'!$J:$J, 'Instrument Table'!$B:$B, $C586), IF($B587 = "Service Item", _xlfn.XLOOKUP($A587, 'Instrument Table'!$I:$I, 'Instrument Table'!$B:$B, $C586), _xlfn.XLOOKUP($A587, 'Instrument Table'!$H:$H, 'Instrument Table'!$B:$B, $C586)))</f>
        <v>Upright Piano</v>
      </c>
      <c r="D587" s="1" t="str">
        <f>VLOOKUP($C587, 'Instrument Table'!$B:$C, 2, FALSE)</f>
        <v>Pianos</v>
      </c>
      <c r="E587" s="1">
        <f t="shared" si="54"/>
        <v>1</v>
      </c>
      <c r="F587" s="1">
        <f>_xlfn.XLOOKUP($C587, 'Instrument Table'!$B:$B, 'Instrument Table'!$A:$A, "")</f>
        <v>11</v>
      </c>
      <c r="G587" s="1" t="str">
        <f>TEXT(IF($B587 = "Retail Item", IF((ROW($A587) - 4504 - _xlfn.XMATCH($C587, $C$4506:$C$5005, 0, 1)) &lt;= VLOOKUP($C587, 'Instrument Table'!$B:$D, 3, FALSE), ROW($A587) - 4504 - _xlfn.XMATCH($C587, $C$4506:$C$5005, 0, 1), 0), 0), "00")</f>
        <v>00</v>
      </c>
      <c r="H587" s="1" t="str">
        <f t="shared" si="55"/>
        <v>031</v>
      </c>
      <c r="I587" s="1" t="str">
        <f t="shared" si="56"/>
        <v>11100-031</v>
      </c>
      <c r="J587" s="1" t="str">
        <f t="shared" si="57"/>
        <v>Upright piano production item #031</v>
      </c>
      <c r="K587" s="1" t="str">
        <f>IF(SUM(COUNTIFS(I:I, I587)) &gt; 1, "DUPLICATE", "UNIQUE")</f>
        <v>UNIQUE</v>
      </c>
      <c r="L587" s="18">
        <v>2</v>
      </c>
      <c r="M587" s="28">
        <v>47</v>
      </c>
      <c r="N587" s="6">
        <v>1</v>
      </c>
      <c r="O587" s="30">
        <f t="shared" si="58"/>
        <v>94</v>
      </c>
      <c r="P587" s="30">
        <f t="shared" si="59"/>
        <v>47</v>
      </c>
      <c r="Q587" s="1">
        <f>COUNTIFS($P:$P, "&gt;" &amp; $P587) + 1</f>
        <v>4624</v>
      </c>
      <c r="R587" s="63">
        <f>(COUNTIFS($P:$P, "&gt;" &amp; $P587) + 1) / (COUNTA($I:$I) - 1)</f>
        <v>0.92479999999999996</v>
      </c>
      <c r="S587" s="23">
        <f>SUMIFS($P:$P, $Q:$Q, "&lt;" &amp; $Q587)</f>
        <v>186544925</v>
      </c>
    </row>
    <row r="588" spans="1:19" x14ac:dyDescent="0.25">
      <c r="A588" s="1">
        <v>583</v>
      </c>
      <c r="B588" s="1" t="s">
        <v>2</v>
      </c>
      <c r="C588" s="1" t="str">
        <f>IF($B588 = "Production Item", _xlfn.XLOOKUP($A588, 'Instrument Table'!$J:$J, 'Instrument Table'!$B:$B, $C587), IF($B588 = "Service Item", _xlfn.XLOOKUP($A588, 'Instrument Table'!$I:$I, 'Instrument Table'!$B:$B, $C587), _xlfn.XLOOKUP($A588, 'Instrument Table'!$H:$H, 'Instrument Table'!$B:$B, $C587)))</f>
        <v>Upright Piano</v>
      </c>
      <c r="D588" s="1" t="str">
        <f>VLOOKUP($C588, 'Instrument Table'!$B:$C, 2, FALSE)</f>
        <v>Pianos</v>
      </c>
      <c r="E588" s="1">
        <f t="shared" si="54"/>
        <v>1</v>
      </c>
      <c r="F588" s="1">
        <f>_xlfn.XLOOKUP($C588, 'Instrument Table'!$B:$B, 'Instrument Table'!$A:$A, "")</f>
        <v>11</v>
      </c>
      <c r="G588" s="1" t="str">
        <f>TEXT(IF($B588 = "Retail Item", IF((ROW($A588) - 4504 - _xlfn.XMATCH($C588, $C$4506:$C$5005, 0, 1)) &lt;= VLOOKUP($C588, 'Instrument Table'!$B:$D, 3, FALSE), ROW($A588) - 4504 - _xlfn.XMATCH($C588, $C$4506:$C$5005, 0, 1), 0), 0), "00")</f>
        <v>00</v>
      </c>
      <c r="H588" s="1" t="str">
        <f t="shared" si="55"/>
        <v>032</v>
      </c>
      <c r="I588" s="1" t="str">
        <f t="shared" si="56"/>
        <v>11100-032</v>
      </c>
      <c r="J588" s="1" t="str">
        <f t="shared" si="57"/>
        <v>Upright piano production item #032</v>
      </c>
      <c r="K588" s="1" t="str">
        <f>IF(SUM(COUNTIFS(I:I, I588)) &gt; 1, "DUPLICATE", "UNIQUE")</f>
        <v>UNIQUE</v>
      </c>
      <c r="L588" s="18">
        <v>1</v>
      </c>
      <c r="M588" s="28">
        <v>4</v>
      </c>
      <c r="N588" s="6">
        <v>64</v>
      </c>
      <c r="O588" s="30">
        <f t="shared" si="58"/>
        <v>4</v>
      </c>
      <c r="P588" s="30">
        <f t="shared" si="59"/>
        <v>256</v>
      </c>
      <c r="Q588" s="1">
        <f>COUNTIFS($P:$P, "&gt;" &amp; $P588) + 1</f>
        <v>4259</v>
      </c>
      <c r="R588" s="63">
        <f>(COUNTIFS($P:$P, "&gt;" &amp; $P588) + 1) / (COUNTA($I:$I) - 1)</f>
        <v>0.8518</v>
      </c>
      <c r="S588" s="23">
        <f>SUMIFS($P:$P, $Q:$Q, "&lt;" &amp; $Q588)</f>
        <v>186497451</v>
      </c>
    </row>
    <row r="589" spans="1:19" x14ac:dyDescent="0.25">
      <c r="A589" s="1">
        <v>584</v>
      </c>
      <c r="B589" s="1" t="s">
        <v>2</v>
      </c>
      <c r="C589" s="1" t="str">
        <f>IF($B589 = "Production Item", _xlfn.XLOOKUP($A589, 'Instrument Table'!$J:$J, 'Instrument Table'!$B:$B, $C588), IF($B589 = "Service Item", _xlfn.XLOOKUP($A589, 'Instrument Table'!$I:$I, 'Instrument Table'!$B:$B, $C588), _xlfn.XLOOKUP($A589, 'Instrument Table'!$H:$H, 'Instrument Table'!$B:$B, $C588)))</f>
        <v>Upright Piano</v>
      </c>
      <c r="D589" s="1" t="str">
        <f>VLOOKUP($C589, 'Instrument Table'!$B:$C, 2, FALSE)</f>
        <v>Pianos</v>
      </c>
      <c r="E589" s="1">
        <f t="shared" si="54"/>
        <v>1</v>
      </c>
      <c r="F589" s="1">
        <f>_xlfn.XLOOKUP($C589, 'Instrument Table'!$B:$B, 'Instrument Table'!$A:$A, "")</f>
        <v>11</v>
      </c>
      <c r="G589" s="1" t="str">
        <f>TEXT(IF($B589 = "Retail Item", IF((ROW($A589) - 4504 - _xlfn.XMATCH($C589, $C$4506:$C$5005, 0, 1)) &lt;= VLOOKUP($C589, 'Instrument Table'!$B:$D, 3, FALSE), ROW($A589) - 4504 - _xlfn.XMATCH($C589, $C$4506:$C$5005, 0, 1), 0), 0), "00")</f>
        <v>00</v>
      </c>
      <c r="H589" s="1" t="str">
        <f t="shared" si="55"/>
        <v>033</v>
      </c>
      <c r="I589" s="1" t="str">
        <f t="shared" si="56"/>
        <v>11100-033</v>
      </c>
      <c r="J589" s="1" t="str">
        <f t="shared" si="57"/>
        <v>Upright piano production item #033</v>
      </c>
      <c r="K589" s="1" t="str">
        <f>IF(SUM(COUNTIFS(I:I, I589)) &gt; 1, "DUPLICATE", "UNIQUE")</f>
        <v>UNIQUE</v>
      </c>
      <c r="L589" s="18">
        <v>0</v>
      </c>
      <c r="M589" s="28">
        <v>83</v>
      </c>
      <c r="N589" s="6">
        <v>324</v>
      </c>
      <c r="O589" s="30">
        <f t="shared" si="58"/>
        <v>0</v>
      </c>
      <c r="P589" s="30">
        <f t="shared" si="59"/>
        <v>26892</v>
      </c>
      <c r="Q589" s="1">
        <f>COUNTIFS($P:$P, "&gt;" &amp; $P589) + 1</f>
        <v>756</v>
      </c>
      <c r="R589" s="63">
        <f>(COUNTIFS($P:$P, "&gt;" &amp; $P589) + 1) / (COUNTA($I:$I) - 1)</f>
        <v>0.1512</v>
      </c>
      <c r="S589" s="23">
        <f>SUMIFS($P:$P, $Q:$Q, "&lt;" &amp; $Q589)</f>
        <v>160668094</v>
      </c>
    </row>
    <row r="590" spans="1:19" x14ac:dyDescent="0.25">
      <c r="A590" s="1">
        <v>585</v>
      </c>
      <c r="B590" s="1" t="s">
        <v>2</v>
      </c>
      <c r="C590" s="1" t="str">
        <f>IF($B590 = "Production Item", _xlfn.XLOOKUP($A590, 'Instrument Table'!$J:$J, 'Instrument Table'!$B:$B, $C589), IF($B590 = "Service Item", _xlfn.XLOOKUP($A590, 'Instrument Table'!$I:$I, 'Instrument Table'!$B:$B, $C589), _xlfn.XLOOKUP($A590, 'Instrument Table'!$H:$H, 'Instrument Table'!$B:$B, $C589)))</f>
        <v>Upright Piano</v>
      </c>
      <c r="D590" s="1" t="str">
        <f>VLOOKUP($C590, 'Instrument Table'!$B:$C, 2, FALSE)</f>
        <v>Pianos</v>
      </c>
      <c r="E590" s="1">
        <f t="shared" si="54"/>
        <v>1</v>
      </c>
      <c r="F590" s="1">
        <f>_xlfn.XLOOKUP($C590, 'Instrument Table'!$B:$B, 'Instrument Table'!$A:$A, "")</f>
        <v>11</v>
      </c>
      <c r="G590" s="1" t="str">
        <f>TEXT(IF($B590 = "Retail Item", IF((ROW($A590) - 4504 - _xlfn.XMATCH($C590, $C$4506:$C$5005, 0, 1)) &lt;= VLOOKUP($C590, 'Instrument Table'!$B:$D, 3, FALSE), ROW($A590) - 4504 - _xlfn.XMATCH($C590, $C$4506:$C$5005, 0, 1), 0), 0), "00")</f>
        <v>00</v>
      </c>
      <c r="H590" s="1" t="str">
        <f t="shared" si="55"/>
        <v>034</v>
      </c>
      <c r="I590" s="1" t="str">
        <f t="shared" si="56"/>
        <v>11100-034</v>
      </c>
      <c r="J590" s="1" t="str">
        <f t="shared" si="57"/>
        <v>Upright piano production item #034</v>
      </c>
      <c r="K590" s="1" t="str">
        <f>IF(SUM(COUNTIFS(I:I, I590)) &gt; 1, "DUPLICATE", "UNIQUE")</f>
        <v>UNIQUE</v>
      </c>
      <c r="L590" s="18">
        <v>1</v>
      </c>
      <c r="M590" s="28">
        <v>11</v>
      </c>
      <c r="N590" s="6">
        <v>81</v>
      </c>
      <c r="O590" s="30">
        <f t="shared" si="58"/>
        <v>11</v>
      </c>
      <c r="P590" s="30">
        <f t="shared" si="59"/>
        <v>891</v>
      </c>
      <c r="Q590" s="1">
        <f>COUNTIFS($P:$P, "&gt;" &amp; $P590) + 1</f>
        <v>3730</v>
      </c>
      <c r="R590" s="63">
        <f>(COUNTIFS($P:$P, "&gt;" &amp; $P590) + 1) / (COUNTA($I:$I) - 1)</f>
        <v>0.746</v>
      </c>
      <c r="S590" s="23">
        <f>SUMIFS($P:$P, $Q:$Q, "&lt;" &amp; $Q590)</f>
        <v>186206579</v>
      </c>
    </row>
    <row r="591" spans="1:19" x14ac:dyDescent="0.25">
      <c r="A591" s="1">
        <v>586</v>
      </c>
      <c r="B591" s="1" t="s">
        <v>2</v>
      </c>
      <c r="C591" s="1" t="str">
        <f>IF($B591 = "Production Item", _xlfn.XLOOKUP($A591, 'Instrument Table'!$J:$J, 'Instrument Table'!$B:$B, $C590), IF($B591 = "Service Item", _xlfn.XLOOKUP($A591, 'Instrument Table'!$I:$I, 'Instrument Table'!$B:$B, $C590), _xlfn.XLOOKUP($A591, 'Instrument Table'!$H:$H, 'Instrument Table'!$B:$B, $C590)))</f>
        <v>Upright Piano</v>
      </c>
      <c r="D591" s="1" t="str">
        <f>VLOOKUP($C591, 'Instrument Table'!$B:$C, 2, FALSE)</f>
        <v>Pianos</v>
      </c>
      <c r="E591" s="1">
        <f t="shared" si="54"/>
        <v>1</v>
      </c>
      <c r="F591" s="1">
        <f>_xlfn.XLOOKUP($C591, 'Instrument Table'!$B:$B, 'Instrument Table'!$A:$A, "")</f>
        <v>11</v>
      </c>
      <c r="G591" s="1" t="str">
        <f>TEXT(IF($B591 = "Retail Item", IF((ROW($A591) - 4504 - _xlfn.XMATCH($C591, $C$4506:$C$5005, 0, 1)) &lt;= VLOOKUP($C591, 'Instrument Table'!$B:$D, 3, FALSE), ROW($A591) - 4504 - _xlfn.XMATCH($C591, $C$4506:$C$5005, 0, 1), 0), 0), "00")</f>
        <v>00</v>
      </c>
      <c r="H591" s="1" t="str">
        <f t="shared" si="55"/>
        <v>035</v>
      </c>
      <c r="I591" s="1" t="str">
        <f t="shared" si="56"/>
        <v>11100-035</v>
      </c>
      <c r="J591" s="1" t="str">
        <f t="shared" si="57"/>
        <v>Upright piano production item #035</v>
      </c>
      <c r="K591" s="1" t="str">
        <f>IF(SUM(COUNTIFS(I:I, I591)) &gt; 1, "DUPLICATE", "UNIQUE")</f>
        <v>UNIQUE</v>
      </c>
      <c r="L591" s="18">
        <v>1</v>
      </c>
      <c r="M591" s="28">
        <v>77</v>
      </c>
      <c r="N591" s="6">
        <v>100</v>
      </c>
      <c r="O591" s="30">
        <f t="shared" si="58"/>
        <v>77</v>
      </c>
      <c r="P591" s="30">
        <f t="shared" si="59"/>
        <v>7700</v>
      </c>
      <c r="Q591" s="1">
        <f>COUNTIFS($P:$P, "&gt;" &amp; $P591) + 1</f>
        <v>2034</v>
      </c>
      <c r="R591" s="63">
        <f>(COUNTIFS($P:$P, "&gt;" &amp; $P591) + 1) / (COUNTA($I:$I) - 1)</f>
        <v>0.40679999999999999</v>
      </c>
      <c r="S591" s="23">
        <f>SUMIFS($P:$P, $Q:$Q, "&lt;" &amp; $Q591)</f>
        <v>180262179</v>
      </c>
    </row>
    <row r="592" spans="1:19" x14ac:dyDescent="0.25">
      <c r="A592" s="1">
        <v>587</v>
      </c>
      <c r="B592" s="1" t="s">
        <v>2</v>
      </c>
      <c r="C592" s="1" t="str">
        <f>IF($B592 = "Production Item", _xlfn.XLOOKUP($A592, 'Instrument Table'!$J:$J, 'Instrument Table'!$B:$B, $C591), IF($B592 = "Service Item", _xlfn.XLOOKUP($A592, 'Instrument Table'!$I:$I, 'Instrument Table'!$B:$B, $C591), _xlfn.XLOOKUP($A592, 'Instrument Table'!$H:$H, 'Instrument Table'!$B:$B, $C591)))</f>
        <v>Upright Piano</v>
      </c>
      <c r="D592" s="1" t="str">
        <f>VLOOKUP($C592, 'Instrument Table'!$B:$C, 2, FALSE)</f>
        <v>Pianos</v>
      </c>
      <c r="E592" s="1">
        <f t="shared" si="54"/>
        <v>1</v>
      </c>
      <c r="F592" s="1">
        <f>_xlfn.XLOOKUP($C592, 'Instrument Table'!$B:$B, 'Instrument Table'!$A:$A, "")</f>
        <v>11</v>
      </c>
      <c r="G592" s="1" t="str">
        <f>TEXT(IF($B592 = "Retail Item", IF((ROW($A592) - 4504 - _xlfn.XMATCH($C592, $C$4506:$C$5005, 0, 1)) &lt;= VLOOKUP($C592, 'Instrument Table'!$B:$D, 3, FALSE), ROW($A592) - 4504 - _xlfn.XMATCH($C592, $C$4506:$C$5005, 0, 1), 0), 0), "00")</f>
        <v>00</v>
      </c>
      <c r="H592" s="1" t="str">
        <f t="shared" si="55"/>
        <v>036</v>
      </c>
      <c r="I592" s="1" t="str">
        <f t="shared" si="56"/>
        <v>11100-036</v>
      </c>
      <c r="J592" s="1" t="str">
        <f t="shared" si="57"/>
        <v>Upright piano production item #036</v>
      </c>
      <c r="K592" s="1" t="str">
        <f>IF(SUM(COUNTIFS(I:I, I592)) &gt; 1, "DUPLICATE", "UNIQUE")</f>
        <v>UNIQUE</v>
      </c>
      <c r="L592" s="18">
        <v>8</v>
      </c>
      <c r="M592" s="28">
        <v>55</v>
      </c>
      <c r="N592" s="6">
        <v>144</v>
      </c>
      <c r="O592" s="30">
        <f t="shared" si="58"/>
        <v>440</v>
      </c>
      <c r="P592" s="30">
        <f t="shared" si="59"/>
        <v>7920</v>
      </c>
      <c r="Q592" s="1">
        <f>COUNTIFS($P:$P, "&gt;" &amp; $P592) + 1</f>
        <v>1999</v>
      </c>
      <c r="R592" s="63">
        <f>(COUNTIFS($P:$P, "&gt;" &amp; $P592) + 1) / (COUNTA($I:$I) - 1)</f>
        <v>0.39979999999999999</v>
      </c>
      <c r="S592" s="23">
        <f>SUMIFS($P:$P, $Q:$Q, "&lt;" &amp; $Q592)</f>
        <v>179988535</v>
      </c>
    </row>
    <row r="593" spans="1:19" x14ac:dyDescent="0.25">
      <c r="A593" s="1">
        <v>588</v>
      </c>
      <c r="B593" s="1" t="s">
        <v>2</v>
      </c>
      <c r="C593" s="1" t="str">
        <f>IF($B593 = "Production Item", _xlfn.XLOOKUP($A593, 'Instrument Table'!$J:$J, 'Instrument Table'!$B:$B, $C592), IF($B593 = "Service Item", _xlfn.XLOOKUP($A593, 'Instrument Table'!$I:$I, 'Instrument Table'!$B:$B, $C592), _xlfn.XLOOKUP($A593, 'Instrument Table'!$H:$H, 'Instrument Table'!$B:$B, $C592)))</f>
        <v>Upright Piano</v>
      </c>
      <c r="D593" s="1" t="str">
        <f>VLOOKUP($C593, 'Instrument Table'!$B:$C, 2, FALSE)</f>
        <v>Pianos</v>
      </c>
      <c r="E593" s="1">
        <f t="shared" si="54"/>
        <v>1</v>
      </c>
      <c r="F593" s="1">
        <f>_xlfn.XLOOKUP($C593, 'Instrument Table'!$B:$B, 'Instrument Table'!$A:$A, "")</f>
        <v>11</v>
      </c>
      <c r="G593" s="1" t="str">
        <f>TEXT(IF($B593 = "Retail Item", IF((ROW($A593) - 4504 - _xlfn.XMATCH($C593, $C$4506:$C$5005, 0, 1)) &lt;= VLOOKUP($C593, 'Instrument Table'!$B:$D, 3, FALSE), ROW($A593) - 4504 - _xlfn.XMATCH($C593, $C$4506:$C$5005, 0, 1), 0), 0), "00")</f>
        <v>00</v>
      </c>
      <c r="H593" s="1" t="str">
        <f t="shared" si="55"/>
        <v>037</v>
      </c>
      <c r="I593" s="1" t="str">
        <f t="shared" si="56"/>
        <v>11100-037</v>
      </c>
      <c r="J593" s="1" t="str">
        <f t="shared" si="57"/>
        <v>Upright piano production item #037</v>
      </c>
      <c r="K593" s="1" t="str">
        <f>IF(SUM(COUNTIFS(I:I, I593)) &gt; 1, "DUPLICATE", "UNIQUE")</f>
        <v>UNIQUE</v>
      </c>
      <c r="L593" s="18">
        <v>2</v>
      </c>
      <c r="M593" s="28">
        <v>100</v>
      </c>
      <c r="N593" s="6">
        <v>25</v>
      </c>
      <c r="O593" s="30">
        <f t="shared" si="58"/>
        <v>200</v>
      </c>
      <c r="P593" s="30">
        <f t="shared" si="59"/>
        <v>2500</v>
      </c>
      <c r="Q593" s="1">
        <f>COUNTIFS($P:$P, "&gt;" &amp; $P593) + 1</f>
        <v>3044</v>
      </c>
      <c r="R593" s="63">
        <f>(COUNTIFS($P:$P, "&gt;" &amp; $P593) + 1) / (COUNTA($I:$I) - 1)</f>
        <v>0.60880000000000001</v>
      </c>
      <c r="S593" s="23">
        <f>SUMIFS($P:$P, $Q:$Q, "&lt;" &amp; $Q593)</f>
        <v>185045549</v>
      </c>
    </row>
    <row r="594" spans="1:19" x14ac:dyDescent="0.25">
      <c r="A594" s="1">
        <v>589</v>
      </c>
      <c r="B594" s="1" t="s">
        <v>2</v>
      </c>
      <c r="C594" s="1" t="str">
        <f>IF($B594 = "Production Item", _xlfn.XLOOKUP($A594, 'Instrument Table'!$J:$J, 'Instrument Table'!$B:$B, $C593), IF($B594 = "Service Item", _xlfn.XLOOKUP($A594, 'Instrument Table'!$I:$I, 'Instrument Table'!$B:$B, $C593), _xlfn.XLOOKUP($A594, 'Instrument Table'!$H:$H, 'Instrument Table'!$B:$B, $C593)))</f>
        <v>Upright Piano</v>
      </c>
      <c r="D594" s="1" t="str">
        <f>VLOOKUP($C594, 'Instrument Table'!$B:$C, 2, FALSE)</f>
        <v>Pianos</v>
      </c>
      <c r="E594" s="1">
        <f t="shared" si="54"/>
        <v>1</v>
      </c>
      <c r="F594" s="1">
        <f>_xlfn.XLOOKUP($C594, 'Instrument Table'!$B:$B, 'Instrument Table'!$A:$A, "")</f>
        <v>11</v>
      </c>
      <c r="G594" s="1" t="str">
        <f>TEXT(IF($B594 = "Retail Item", IF((ROW($A594) - 4504 - _xlfn.XMATCH($C594, $C$4506:$C$5005, 0, 1)) &lt;= VLOOKUP($C594, 'Instrument Table'!$B:$D, 3, FALSE), ROW($A594) - 4504 - _xlfn.XMATCH($C594, $C$4506:$C$5005, 0, 1), 0), 0), "00")</f>
        <v>00</v>
      </c>
      <c r="H594" s="1" t="str">
        <f t="shared" si="55"/>
        <v>038</v>
      </c>
      <c r="I594" s="1" t="str">
        <f t="shared" si="56"/>
        <v>11100-038</v>
      </c>
      <c r="J594" s="1" t="str">
        <f t="shared" si="57"/>
        <v>Upright piano production item #038</v>
      </c>
      <c r="K594" s="1" t="str">
        <f>IF(SUM(COUNTIFS(I:I, I594)) &gt; 1, "DUPLICATE", "UNIQUE")</f>
        <v>UNIQUE</v>
      </c>
      <c r="L594" s="18">
        <v>0</v>
      </c>
      <c r="M594" s="28">
        <v>16</v>
      </c>
      <c r="N594" s="6">
        <v>169</v>
      </c>
      <c r="O594" s="30">
        <f t="shared" si="58"/>
        <v>0</v>
      </c>
      <c r="P594" s="30">
        <f t="shared" si="59"/>
        <v>2704</v>
      </c>
      <c r="Q594" s="1">
        <f>COUNTIFS($P:$P, "&gt;" &amp; $P594) + 1</f>
        <v>2978</v>
      </c>
      <c r="R594" s="63">
        <f>(COUNTIFS($P:$P, "&gt;" &amp; $P594) + 1) / (COUNTA($I:$I) - 1)</f>
        <v>0.59560000000000002</v>
      </c>
      <c r="S594" s="23">
        <f>SUMIFS($P:$P, $Q:$Q, "&lt;" &amp; $Q594)</f>
        <v>184873062</v>
      </c>
    </row>
    <row r="595" spans="1:19" x14ac:dyDescent="0.25">
      <c r="A595" s="1">
        <v>590</v>
      </c>
      <c r="B595" s="1" t="s">
        <v>2</v>
      </c>
      <c r="C595" s="1" t="str">
        <f>IF($B595 = "Production Item", _xlfn.XLOOKUP($A595, 'Instrument Table'!$J:$J, 'Instrument Table'!$B:$B, $C594), IF($B595 = "Service Item", _xlfn.XLOOKUP($A595, 'Instrument Table'!$I:$I, 'Instrument Table'!$B:$B, $C594), _xlfn.XLOOKUP($A595, 'Instrument Table'!$H:$H, 'Instrument Table'!$B:$B, $C594)))</f>
        <v>Upright Piano</v>
      </c>
      <c r="D595" s="1" t="str">
        <f>VLOOKUP($C595, 'Instrument Table'!$B:$C, 2, FALSE)</f>
        <v>Pianos</v>
      </c>
      <c r="E595" s="1">
        <f t="shared" si="54"/>
        <v>1</v>
      </c>
      <c r="F595" s="1">
        <f>_xlfn.XLOOKUP($C595, 'Instrument Table'!$B:$B, 'Instrument Table'!$A:$A, "")</f>
        <v>11</v>
      </c>
      <c r="G595" s="1" t="str">
        <f>TEXT(IF($B595 = "Retail Item", IF((ROW($A595) - 4504 - _xlfn.XMATCH($C595, $C$4506:$C$5005, 0, 1)) &lt;= VLOOKUP($C595, 'Instrument Table'!$B:$D, 3, FALSE), ROW($A595) - 4504 - _xlfn.XMATCH($C595, $C$4506:$C$5005, 0, 1), 0), 0), "00")</f>
        <v>00</v>
      </c>
      <c r="H595" s="1" t="str">
        <f t="shared" si="55"/>
        <v>039</v>
      </c>
      <c r="I595" s="1" t="str">
        <f t="shared" si="56"/>
        <v>11100-039</v>
      </c>
      <c r="J595" s="1" t="str">
        <f t="shared" si="57"/>
        <v>Upright piano production item #039</v>
      </c>
      <c r="K595" s="1" t="str">
        <f>IF(SUM(COUNTIFS(I:I, I595)) &gt; 1, "DUPLICATE", "UNIQUE")</f>
        <v>UNIQUE</v>
      </c>
      <c r="L595" s="18">
        <v>0</v>
      </c>
      <c r="M595" s="28">
        <v>36</v>
      </c>
      <c r="N595" s="6">
        <v>64</v>
      </c>
      <c r="O595" s="30">
        <f t="shared" si="58"/>
        <v>0</v>
      </c>
      <c r="P595" s="30">
        <f t="shared" si="59"/>
        <v>2304</v>
      </c>
      <c r="Q595" s="1">
        <f>COUNTIFS($P:$P, "&gt;" &amp; $P595) + 1</f>
        <v>3118</v>
      </c>
      <c r="R595" s="63">
        <f>(COUNTIFS($P:$P, "&gt;" &amp; $P595) + 1) / (COUNTA($I:$I) - 1)</f>
        <v>0.62360000000000004</v>
      </c>
      <c r="S595" s="23">
        <f>SUMIFS($P:$P, $Q:$Q, "&lt;" &amp; $Q595)</f>
        <v>185224654</v>
      </c>
    </row>
    <row r="596" spans="1:19" x14ac:dyDescent="0.25">
      <c r="A596" s="1">
        <v>591</v>
      </c>
      <c r="B596" s="1" t="s">
        <v>2</v>
      </c>
      <c r="C596" s="1" t="str">
        <f>IF($B596 = "Production Item", _xlfn.XLOOKUP($A596, 'Instrument Table'!$J:$J, 'Instrument Table'!$B:$B, $C595), IF($B596 = "Service Item", _xlfn.XLOOKUP($A596, 'Instrument Table'!$I:$I, 'Instrument Table'!$B:$B, $C595), _xlfn.XLOOKUP($A596, 'Instrument Table'!$H:$H, 'Instrument Table'!$B:$B, $C595)))</f>
        <v>Upright Piano</v>
      </c>
      <c r="D596" s="1" t="str">
        <f>VLOOKUP($C596, 'Instrument Table'!$B:$C, 2, FALSE)</f>
        <v>Pianos</v>
      </c>
      <c r="E596" s="1">
        <f t="shared" si="54"/>
        <v>1</v>
      </c>
      <c r="F596" s="1">
        <f>_xlfn.XLOOKUP($C596, 'Instrument Table'!$B:$B, 'Instrument Table'!$A:$A, "")</f>
        <v>11</v>
      </c>
      <c r="G596" s="1" t="str">
        <f>TEXT(IF($B596 = "Retail Item", IF((ROW($A596) - 4504 - _xlfn.XMATCH($C596, $C$4506:$C$5005, 0, 1)) &lt;= VLOOKUP($C596, 'Instrument Table'!$B:$D, 3, FALSE), ROW($A596) - 4504 - _xlfn.XMATCH($C596, $C$4506:$C$5005, 0, 1), 0), 0), "00")</f>
        <v>00</v>
      </c>
      <c r="H596" s="1" t="str">
        <f t="shared" si="55"/>
        <v>040</v>
      </c>
      <c r="I596" s="1" t="str">
        <f t="shared" si="56"/>
        <v>11100-040</v>
      </c>
      <c r="J596" s="1" t="str">
        <f t="shared" si="57"/>
        <v>Upright piano production item #040</v>
      </c>
      <c r="K596" s="1" t="str">
        <f>IF(SUM(COUNTIFS(I:I, I596)) &gt; 1, "DUPLICATE", "UNIQUE")</f>
        <v>UNIQUE</v>
      </c>
      <c r="L596" s="18">
        <v>0</v>
      </c>
      <c r="M596" s="28">
        <v>75</v>
      </c>
      <c r="N596" s="6">
        <v>225</v>
      </c>
      <c r="O596" s="30">
        <f t="shared" si="58"/>
        <v>0</v>
      </c>
      <c r="P596" s="30">
        <f t="shared" si="59"/>
        <v>16875</v>
      </c>
      <c r="Q596" s="1">
        <f>COUNTIFS($P:$P, "&gt;" &amp; $P596) + 1</f>
        <v>1221</v>
      </c>
      <c r="R596" s="63">
        <f>(COUNTIFS($P:$P, "&gt;" &amp; $P596) + 1) / (COUNTA($I:$I) - 1)</f>
        <v>0.2442</v>
      </c>
      <c r="S596" s="23">
        <f>SUMIFS($P:$P, $Q:$Q, "&lt;" &amp; $Q596)</f>
        <v>170685197</v>
      </c>
    </row>
    <row r="597" spans="1:19" x14ac:dyDescent="0.25">
      <c r="A597" s="1">
        <v>592</v>
      </c>
      <c r="B597" s="1" t="s">
        <v>2</v>
      </c>
      <c r="C597" s="1" t="str">
        <f>IF($B597 = "Production Item", _xlfn.XLOOKUP($A597, 'Instrument Table'!$J:$J, 'Instrument Table'!$B:$B, $C596), IF($B597 = "Service Item", _xlfn.XLOOKUP($A597, 'Instrument Table'!$I:$I, 'Instrument Table'!$B:$B, $C596), _xlfn.XLOOKUP($A597, 'Instrument Table'!$H:$H, 'Instrument Table'!$B:$B, $C596)))</f>
        <v>Upright Piano</v>
      </c>
      <c r="D597" s="1" t="str">
        <f>VLOOKUP($C597, 'Instrument Table'!$B:$C, 2, FALSE)</f>
        <v>Pianos</v>
      </c>
      <c r="E597" s="1">
        <f t="shared" si="54"/>
        <v>1</v>
      </c>
      <c r="F597" s="1">
        <f>_xlfn.XLOOKUP($C597, 'Instrument Table'!$B:$B, 'Instrument Table'!$A:$A, "")</f>
        <v>11</v>
      </c>
      <c r="G597" s="1" t="str">
        <f>TEXT(IF($B597 = "Retail Item", IF((ROW($A597) - 4504 - _xlfn.XMATCH($C597, $C$4506:$C$5005, 0, 1)) &lt;= VLOOKUP($C597, 'Instrument Table'!$B:$D, 3, FALSE), ROW($A597) - 4504 - _xlfn.XMATCH($C597, $C$4506:$C$5005, 0, 1), 0), 0), "00")</f>
        <v>00</v>
      </c>
      <c r="H597" s="1" t="str">
        <f t="shared" si="55"/>
        <v>041</v>
      </c>
      <c r="I597" s="1" t="str">
        <f t="shared" si="56"/>
        <v>11100-041</v>
      </c>
      <c r="J597" s="1" t="str">
        <f t="shared" si="57"/>
        <v>Upright piano production item #041</v>
      </c>
      <c r="K597" s="1" t="str">
        <f>IF(SUM(COUNTIFS(I:I, I597)) &gt; 1, "DUPLICATE", "UNIQUE")</f>
        <v>UNIQUE</v>
      </c>
      <c r="L597" s="18">
        <v>8</v>
      </c>
      <c r="M597" s="28">
        <v>96</v>
      </c>
      <c r="N597" s="6">
        <v>4</v>
      </c>
      <c r="O597" s="30">
        <f t="shared" si="58"/>
        <v>768</v>
      </c>
      <c r="P597" s="30">
        <f t="shared" si="59"/>
        <v>384</v>
      </c>
      <c r="Q597" s="1">
        <f>COUNTIFS($P:$P, "&gt;" &amp; $P597) + 1</f>
        <v>4118</v>
      </c>
      <c r="R597" s="63">
        <f>(COUNTIFS($P:$P, "&gt;" &amp; $P597) + 1) / (COUNTA($I:$I) - 1)</f>
        <v>0.8236</v>
      </c>
      <c r="S597" s="23">
        <f>SUMIFS($P:$P, $Q:$Q, "&lt;" &amp; $Q597)</f>
        <v>186451961</v>
      </c>
    </row>
    <row r="598" spans="1:19" x14ac:dyDescent="0.25">
      <c r="A598" s="1">
        <v>593</v>
      </c>
      <c r="B598" s="1" t="s">
        <v>2</v>
      </c>
      <c r="C598" s="1" t="str">
        <f>IF($B598 = "Production Item", _xlfn.XLOOKUP($A598, 'Instrument Table'!$J:$J, 'Instrument Table'!$B:$B, $C597), IF($B598 = "Service Item", _xlfn.XLOOKUP($A598, 'Instrument Table'!$I:$I, 'Instrument Table'!$B:$B, $C597), _xlfn.XLOOKUP($A598, 'Instrument Table'!$H:$H, 'Instrument Table'!$B:$B, $C597)))</f>
        <v>Upright Piano</v>
      </c>
      <c r="D598" s="1" t="str">
        <f>VLOOKUP($C598, 'Instrument Table'!$B:$C, 2, FALSE)</f>
        <v>Pianos</v>
      </c>
      <c r="E598" s="1">
        <f t="shared" si="54"/>
        <v>1</v>
      </c>
      <c r="F598" s="1">
        <f>_xlfn.XLOOKUP($C598, 'Instrument Table'!$B:$B, 'Instrument Table'!$A:$A, "")</f>
        <v>11</v>
      </c>
      <c r="G598" s="1" t="str">
        <f>TEXT(IF($B598 = "Retail Item", IF((ROW($A598) - 4504 - _xlfn.XMATCH($C598, $C$4506:$C$5005, 0, 1)) &lt;= VLOOKUP($C598, 'Instrument Table'!$B:$D, 3, FALSE), ROW($A598) - 4504 - _xlfn.XMATCH($C598, $C$4506:$C$5005, 0, 1), 0), 0), "00")</f>
        <v>00</v>
      </c>
      <c r="H598" s="1" t="str">
        <f t="shared" si="55"/>
        <v>042</v>
      </c>
      <c r="I598" s="1" t="str">
        <f t="shared" si="56"/>
        <v>11100-042</v>
      </c>
      <c r="J598" s="1" t="str">
        <f t="shared" si="57"/>
        <v>Upright piano production item #042</v>
      </c>
      <c r="K598" s="1" t="str">
        <f>IF(SUM(COUNTIFS(I:I, I598)) &gt; 1, "DUPLICATE", "UNIQUE")</f>
        <v>UNIQUE</v>
      </c>
      <c r="L598" s="18">
        <v>8</v>
      </c>
      <c r="M598" s="28">
        <v>5</v>
      </c>
      <c r="N598" s="6">
        <v>324</v>
      </c>
      <c r="O598" s="30">
        <f t="shared" si="58"/>
        <v>40</v>
      </c>
      <c r="P598" s="30">
        <f t="shared" si="59"/>
        <v>1620</v>
      </c>
      <c r="Q598" s="1">
        <f>COUNTIFS($P:$P, "&gt;" &amp; $P598) + 1</f>
        <v>3392</v>
      </c>
      <c r="R598" s="63">
        <f>(COUNTIFS($P:$P, "&gt;" &amp; $P598) + 1) / (COUNTA($I:$I) - 1)</f>
        <v>0.6784</v>
      </c>
      <c r="S598" s="23">
        <f>SUMIFS($P:$P, $Q:$Q, "&lt;" &amp; $Q598)</f>
        <v>185772049</v>
      </c>
    </row>
    <row r="599" spans="1:19" x14ac:dyDescent="0.25">
      <c r="A599" s="1">
        <v>594</v>
      </c>
      <c r="B599" s="1" t="s">
        <v>2</v>
      </c>
      <c r="C599" s="1" t="str">
        <f>IF($B599 = "Production Item", _xlfn.XLOOKUP($A599, 'Instrument Table'!$J:$J, 'Instrument Table'!$B:$B, $C598), IF($B599 = "Service Item", _xlfn.XLOOKUP($A599, 'Instrument Table'!$I:$I, 'Instrument Table'!$B:$B, $C598), _xlfn.XLOOKUP($A599, 'Instrument Table'!$H:$H, 'Instrument Table'!$B:$B, $C598)))</f>
        <v>Upright Piano</v>
      </c>
      <c r="D599" s="1" t="str">
        <f>VLOOKUP($C599, 'Instrument Table'!$B:$C, 2, FALSE)</f>
        <v>Pianos</v>
      </c>
      <c r="E599" s="1">
        <f t="shared" si="54"/>
        <v>1</v>
      </c>
      <c r="F599" s="1">
        <f>_xlfn.XLOOKUP($C599, 'Instrument Table'!$B:$B, 'Instrument Table'!$A:$A, "")</f>
        <v>11</v>
      </c>
      <c r="G599" s="1" t="str">
        <f>TEXT(IF($B599 = "Retail Item", IF((ROW($A599) - 4504 - _xlfn.XMATCH($C599, $C$4506:$C$5005, 0, 1)) &lt;= VLOOKUP($C599, 'Instrument Table'!$B:$D, 3, FALSE), ROW($A599) - 4504 - _xlfn.XMATCH($C599, $C$4506:$C$5005, 0, 1), 0), 0), "00")</f>
        <v>00</v>
      </c>
      <c r="H599" s="1" t="str">
        <f t="shared" si="55"/>
        <v>043</v>
      </c>
      <c r="I599" s="1" t="str">
        <f t="shared" si="56"/>
        <v>11100-043</v>
      </c>
      <c r="J599" s="1" t="str">
        <f t="shared" si="57"/>
        <v>Upright piano production item #043</v>
      </c>
      <c r="K599" s="1" t="str">
        <f>IF(SUM(COUNTIFS(I:I, I599)) &gt; 1, "DUPLICATE", "UNIQUE")</f>
        <v>UNIQUE</v>
      </c>
      <c r="L599" s="18">
        <v>1</v>
      </c>
      <c r="M599" s="28">
        <v>65</v>
      </c>
      <c r="N599" s="6">
        <v>0</v>
      </c>
      <c r="O599" s="30">
        <f t="shared" si="58"/>
        <v>65</v>
      </c>
      <c r="P599" s="30">
        <f t="shared" si="59"/>
        <v>0</v>
      </c>
      <c r="Q599" s="1">
        <f>COUNTIFS($P:$P, "&gt;" &amp; $P599) + 1</f>
        <v>4746</v>
      </c>
      <c r="R599" s="63">
        <f>(COUNTIFS($P:$P, "&gt;" &amp; $P599) + 1) / (COUNTA($I:$I) - 1)</f>
        <v>0.94920000000000004</v>
      </c>
      <c r="S599" s="23">
        <f>SUMIFS($P:$P, $Q:$Q, "&lt;" &amp; $Q599)</f>
        <v>186547861</v>
      </c>
    </row>
    <row r="600" spans="1:19" x14ac:dyDescent="0.25">
      <c r="A600" s="1">
        <v>595</v>
      </c>
      <c r="B600" s="1" t="s">
        <v>2</v>
      </c>
      <c r="C600" s="1" t="str">
        <f>IF($B600 = "Production Item", _xlfn.XLOOKUP($A600, 'Instrument Table'!$J:$J, 'Instrument Table'!$B:$B, $C599), IF($B600 = "Service Item", _xlfn.XLOOKUP($A600, 'Instrument Table'!$I:$I, 'Instrument Table'!$B:$B, $C599), _xlfn.XLOOKUP($A600, 'Instrument Table'!$H:$H, 'Instrument Table'!$B:$B, $C599)))</f>
        <v>Upright Piano</v>
      </c>
      <c r="D600" s="1" t="str">
        <f>VLOOKUP($C600, 'Instrument Table'!$B:$C, 2, FALSE)</f>
        <v>Pianos</v>
      </c>
      <c r="E600" s="1">
        <f t="shared" si="54"/>
        <v>1</v>
      </c>
      <c r="F600" s="1">
        <f>_xlfn.XLOOKUP($C600, 'Instrument Table'!$B:$B, 'Instrument Table'!$A:$A, "")</f>
        <v>11</v>
      </c>
      <c r="G600" s="1" t="str">
        <f>TEXT(IF($B600 = "Retail Item", IF((ROW($A600) - 4504 - _xlfn.XMATCH($C600, $C$4506:$C$5005, 0, 1)) &lt;= VLOOKUP($C600, 'Instrument Table'!$B:$D, 3, FALSE), ROW($A600) - 4504 - _xlfn.XMATCH($C600, $C$4506:$C$5005, 0, 1), 0), 0), "00")</f>
        <v>00</v>
      </c>
      <c r="H600" s="1" t="str">
        <f t="shared" si="55"/>
        <v>044</v>
      </c>
      <c r="I600" s="1" t="str">
        <f t="shared" si="56"/>
        <v>11100-044</v>
      </c>
      <c r="J600" s="1" t="str">
        <f t="shared" si="57"/>
        <v>Upright piano production item #044</v>
      </c>
      <c r="K600" s="1" t="str">
        <f>IF(SUM(COUNTIFS(I:I, I600)) &gt; 1, "DUPLICATE", "UNIQUE")</f>
        <v>UNIQUE</v>
      </c>
      <c r="L600" s="18">
        <v>2</v>
      </c>
      <c r="M600" s="28">
        <v>74</v>
      </c>
      <c r="N600" s="6">
        <v>400</v>
      </c>
      <c r="O600" s="30">
        <f t="shared" si="58"/>
        <v>148</v>
      </c>
      <c r="P600" s="30">
        <f t="shared" si="59"/>
        <v>29600</v>
      </c>
      <c r="Q600" s="1">
        <f>COUNTIFS($P:$P, "&gt;" &amp; $P600) + 1</f>
        <v>699</v>
      </c>
      <c r="R600" s="63">
        <f>(COUNTIFS($P:$P, "&gt;" &amp; $P600) + 1) / (COUNTA($I:$I) - 1)</f>
        <v>0.13980000000000001</v>
      </c>
      <c r="S600" s="23">
        <f>SUMIFS($P:$P, $Q:$Q, "&lt;" &amp; $Q600)</f>
        <v>159057302</v>
      </c>
    </row>
    <row r="601" spans="1:19" x14ac:dyDescent="0.25">
      <c r="A601" s="1">
        <v>596</v>
      </c>
      <c r="B601" s="1" t="s">
        <v>2</v>
      </c>
      <c r="C601" s="1" t="str">
        <f>IF($B601 = "Production Item", _xlfn.XLOOKUP($A601, 'Instrument Table'!$J:$J, 'Instrument Table'!$B:$B, $C600), IF($B601 = "Service Item", _xlfn.XLOOKUP($A601, 'Instrument Table'!$I:$I, 'Instrument Table'!$B:$B, $C600), _xlfn.XLOOKUP($A601, 'Instrument Table'!$H:$H, 'Instrument Table'!$B:$B, $C600)))</f>
        <v>Upright Piano</v>
      </c>
      <c r="D601" s="1" t="str">
        <f>VLOOKUP($C601, 'Instrument Table'!$B:$C, 2, FALSE)</f>
        <v>Pianos</v>
      </c>
      <c r="E601" s="1">
        <f t="shared" si="54"/>
        <v>1</v>
      </c>
      <c r="F601" s="1">
        <f>_xlfn.XLOOKUP($C601, 'Instrument Table'!$B:$B, 'Instrument Table'!$A:$A, "")</f>
        <v>11</v>
      </c>
      <c r="G601" s="1" t="str">
        <f>TEXT(IF($B601 = "Retail Item", IF((ROW($A601) - 4504 - _xlfn.XMATCH($C601, $C$4506:$C$5005, 0, 1)) &lt;= VLOOKUP($C601, 'Instrument Table'!$B:$D, 3, FALSE), ROW($A601) - 4504 - _xlfn.XMATCH($C601, $C$4506:$C$5005, 0, 1), 0), 0), "00")</f>
        <v>00</v>
      </c>
      <c r="H601" s="1" t="str">
        <f t="shared" si="55"/>
        <v>045</v>
      </c>
      <c r="I601" s="1" t="str">
        <f t="shared" si="56"/>
        <v>11100-045</v>
      </c>
      <c r="J601" s="1" t="str">
        <f t="shared" si="57"/>
        <v>Upright piano production item #045</v>
      </c>
      <c r="K601" s="1" t="str">
        <f>IF(SUM(COUNTIFS(I:I, I601)) &gt; 1, "DUPLICATE", "UNIQUE")</f>
        <v>UNIQUE</v>
      </c>
      <c r="L601" s="18">
        <v>8</v>
      </c>
      <c r="M601" s="28">
        <v>36</v>
      </c>
      <c r="N601" s="6">
        <v>361</v>
      </c>
      <c r="O601" s="30">
        <f t="shared" si="58"/>
        <v>288</v>
      </c>
      <c r="P601" s="30">
        <f t="shared" si="59"/>
        <v>12996</v>
      </c>
      <c r="Q601" s="1">
        <f>COUNTIFS($P:$P, "&gt;" &amp; $P601) + 1</f>
        <v>1499</v>
      </c>
      <c r="R601" s="63">
        <f>(COUNTIFS($P:$P, "&gt;" &amp; $P601) + 1) / (COUNTA($I:$I) - 1)</f>
        <v>0.29980000000000001</v>
      </c>
      <c r="S601" s="23">
        <f>SUMIFS($P:$P, $Q:$Q, "&lt;" &amp; $Q601)</f>
        <v>174826771</v>
      </c>
    </row>
    <row r="602" spans="1:19" x14ac:dyDescent="0.25">
      <c r="A602" s="1">
        <v>597</v>
      </c>
      <c r="B602" s="1" t="s">
        <v>2</v>
      </c>
      <c r="C602" s="1" t="str">
        <f>IF($B602 = "Production Item", _xlfn.XLOOKUP($A602, 'Instrument Table'!$J:$J, 'Instrument Table'!$B:$B, $C601), IF($B602 = "Service Item", _xlfn.XLOOKUP($A602, 'Instrument Table'!$I:$I, 'Instrument Table'!$B:$B, $C601), _xlfn.XLOOKUP($A602, 'Instrument Table'!$H:$H, 'Instrument Table'!$B:$B, $C601)))</f>
        <v>Upright Piano</v>
      </c>
      <c r="D602" s="1" t="str">
        <f>VLOOKUP($C602, 'Instrument Table'!$B:$C, 2, FALSE)</f>
        <v>Pianos</v>
      </c>
      <c r="E602" s="1">
        <f t="shared" si="54"/>
        <v>1</v>
      </c>
      <c r="F602" s="1">
        <f>_xlfn.XLOOKUP($C602, 'Instrument Table'!$B:$B, 'Instrument Table'!$A:$A, "")</f>
        <v>11</v>
      </c>
      <c r="G602" s="1" t="str">
        <f>TEXT(IF($B602 = "Retail Item", IF((ROW($A602) - 4504 - _xlfn.XMATCH($C602, $C$4506:$C$5005, 0, 1)) &lt;= VLOOKUP($C602, 'Instrument Table'!$B:$D, 3, FALSE), ROW($A602) - 4504 - _xlfn.XMATCH($C602, $C$4506:$C$5005, 0, 1), 0), 0), "00")</f>
        <v>00</v>
      </c>
      <c r="H602" s="1" t="str">
        <f t="shared" si="55"/>
        <v>046</v>
      </c>
      <c r="I602" s="1" t="str">
        <f t="shared" si="56"/>
        <v>11100-046</v>
      </c>
      <c r="J602" s="1" t="str">
        <f t="shared" si="57"/>
        <v>Upright piano production item #046</v>
      </c>
      <c r="K602" s="1" t="str">
        <f>IF(SUM(COUNTIFS(I:I, I602)) &gt; 1, "DUPLICATE", "UNIQUE")</f>
        <v>UNIQUE</v>
      </c>
      <c r="L602" s="18">
        <v>1</v>
      </c>
      <c r="M602" s="28">
        <v>96</v>
      </c>
      <c r="N602" s="6">
        <v>81</v>
      </c>
      <c r="O602" s="30">
        <f t="shared" si="58"/>
        <v>96</v>
      </c>
      <c r="P602" s="30">
        <f t="shared" si="59"/>
        <v>7776</v>
      </c>
      <c r="Q602" s="1">
        <f>COUNTIFS($P:$P, "&gt;" &amp; $P602) + 1</f>
        <v>2019</v>
      </c>
      <c r="R602" s="63">
        <f>(COUNTIFS($P:$P, "&gt;" &amp; $P602) + 1) / (COUNTA($I:$I) - 1)</f>
        <v>0.40379999999999999</v>
      </c>
      <c r="S602" s="23">
        <f>SUMIFS($P:$P, $Q:$Q, "&lt;" &amp; $Q602)</f>
        <v>180145621</v>
      </c>
    </row>
    <row r="603" spans="1:19" x14ac:dyDescent="0.25">
      <c r="A603" s="1">
        <v>598</v>
      </c>
      <c r="B603" s="1" t="s">
        <v>2</v>
      </c>
      <c r="C603" s="1" t="str">
        <f>IF($B603 = "Production Item", _xlfn.XLOOKUP($A603, 'Instrument Table'!$J:$J, 'Instrument Table'!$B:$B, $C602), IF($B603 = "Service Item", _xlfn.XLOOKUP($A603, 'Instrument Table'!$I:$I, 'Instrument Table'!$B:$B, $C602), _xlfn.XLOOKUP($A603, 'Instrument Table'!$H:$H, 'Instrument Table'!$B:$B, $C602)))</f>
        <v>Upright Piano</v>
      </c>
      <c r="D603" s="1" t="str">
        <f>VLOOKUP($C603, 'Instrument Table'!$B:$C, 2, FALSE)</f>
        <v>Pianos</v>
      </c>
      <c r="E603" s="1">
        <f t="shared" si="54"/>
        <v>1</v>
      </c>
      <c r="F603" s="1">
        <f>_xlfn.XLOOKUP($C603, 'Instrument Table'!$B:$B, 'Instrument Table'!$A:$A, "")</f>
        <v>11</v>
      </c>
      <c r="G603" s="1" t="str">
        <f>TEXT(IF($B603 = "Retail Item", IF((ROW($A603) - 4504 - _xlfn.XMATCH($C603, $C$4506:$C$5005, 0, 1)) &lt;= VLOOKUP($C603, 'Instrument Table'!$B:$D, 3, FALSE), ROW($A603) - 4504 - _xlfn.XMATCH($C603, $C$4506:$C$5005, 0, 1), 0), 0), "00")</f>
        <v>00</v>
      </c>
      <c r="H603" s="1" t="str">
        <f t="shared" si="55"/>
        <v>047</v>
      </c>
      <c r="I603" s="1" t="str">
        <f t="shared" si="56"/>
        <v>11100-047</v>
      </c>
      <c r="J603" s="1" t="str">
        <f t="shared" si="57"/>
        <v>Upright piano production item #047</v>
      </c>
      <c r="K603" s="1" t="str">
        <f>IF(SUM(COUNTIFS(I:I, I603)) &gt; 1, "DUPLICATE", "UNIQUE")</f>
        <v>UNIQUE</v>
      </c>
      <c r="L603" s="18">
        <v>1</v>
      </c>
      <c r="M603" s="28">
        <v>21</v>
      </c>
      <c r="N603" s="6">
        <v>25</v>
      </c>
      <c r="O603" s="30">
        <f t="shared" si="58"/>
        <v>21</v>
      </c>
      <c r="P603" s="30">
        <f t="shared" si="59"/>
        <v>525</v>
      </c>
      <c r="Q603" s="1">
        <f>COUNTIFS($P:$P, "&gt;" &amp; $P603) + 1</f>
        <v>4000</v>
      </c>
      <c r="R603" s="63">
        <f>(COUNTIFS($P:$P, "&gt;" &amp; $P603) + 1) / (COUNTA($I:$I) - 1)</f>
        <v>0.8</v>
      </c>
      <c r="S603" s="23">
        <f>SUMIFS($P:$P, $Q:$Q, "&lt;" &amp; $Q603)</f>
        <v>186398302</v>
      </c>
    </row>
    <row r="604" spans="1:19" x14ac:dyDescent="0.25">
      <c r="A604" s="1">
        <v>599</v>
      </c>
      <c r="B604" s="1" t="s">
        <v>2</v>
      </c>
      <c r="C604" s="1" t="str">
        <f>IF($B604 = "Production Item", _xlfn.XLOOKUP($A604, 'Instrument Table'!$J:$J, 'Instrument Table'!$B:$B, $C603), IF($B604 = "Service Item", _xlfn.XLOOKUP($A604, 'Instrument Table'!$I:$I, 'Instrument Table'!$B:$B, $C603), _xlfn.XLOOKUP($A604, 'Instrument Table'!$H:$H, 'Instrument Table'!$B:$B, $C603)))</f>
        <v>Upright Piano</v>
      </c>
      <c r="D604" s="1" t="str">
        <f>VLOOKUP($C604, 'Instrument Table'!$B:$C, 2, FALSE)</f>
        <v>Pianos</v>
      </c>
      <c r="E604" s="1">
        <f t="shared" si="54"/>
        <v>1</v>
      </c>
      <c r="F604" s="1">
        <f>_xlfn.XLOOKUP($C604, 'Instrument Table'!$B:$B, 'Instrument Table'!$A:$A, "")</f>
        <v>11</v>
      </c>
      <c r="G604" s="1" t="str">
        <f>TEXT(IF($B604 = "Retail Item", IF((ROW($A604) - 4504 - _xlfn.XMATCH($C604, $C$4506:$C$5005, 0, 1)) &lt;= VLOOKUP($C604, 'Instrument Table'!$B:$D, 3, FALSE), ROW($A604) - 4504 - _xlfn.XMATCH($C604, $C$4506:$C$5005, 0, 1), 0), 0), "00")</f>
        <v>00</v>
      </c>
      <c r="H604" s="1" t="str">
        <f t="shared" si="55"/>
        <v>048</v>
      </c>
      <c r="I604" s="1" t="str">
        <f t="shared" si="56"/>
        <v>11100-048</v>
      </c>
      <c r="J604" s="1" t="str">
        <f t="shared" si="57"/>
        <v>Upright piano production item #048</v>
      </c>
      <c r="K604" s="1" t="str">
        <f>IF(SUM(COUNTIFS(I:I, I604)) &gt; 1, "DUPLICATE", "UNIQUE")</f>
        <v>UNIQUE</v>
      </c>
      <c r="L604" s="18">
        <v>2</v>
      </c>
      <c r="M604" s="28">
        <v>48</v>
      </c>
      <c r="N604" s="6">
        <v>64</v>
      </c>
      <c r="O604" s="30">
        <f t="shared" si="58"/>
        <v>96</v>
      </c>
      <c r="P604" s="30">
        <f t="shared" si="59"/>
        <v>3072</v>
      </c>
      <c r="Q604" s="1">
        <f>COUNTIFS($P:$P, "&gt;" &amp; $P604) + 1</f>
        <v>2885</v>
      </c>
      <c r="R604" s="63">
        <f>(COUNTIFS($P:$P, "&gt;" &amp; $P604) + 1) / (COUNTA($I:$I) - 1)</f>
        <v>0.57699999999999996</v>
      </c>
      <c r="S604" s="23">
        <f>SUMIFS($P:$P, $Q:$Q, "&lt;" &amp; $Q604)</f>
        <v>184602433</v>
      </c>
    </row>
    <row r="605" spans="1:19" x14ac:dyDescent="0.25">
      <c r="A605" s="1">
        <v>600</v>
      </c>
      <c r="B605" s="1" t="s">
        <v>2</v>
      </c>
      <c r="C605" s="1" t="str">
        <f>IF($B605 = "Production Item", _xlfn.XLOOKUP($A605, 'Instrument Table'!$J:$J, 'Instrument Table'!$B:$B, $C604), IF($B605 = "Service Item", _xlfn.XLOOKUP($A605, 'Instrument Table'!$I:$I, 'Instrument Table'!$B:$B, $C604), _xlfn.XLOOKUP($A605, 'Instrument Table'!$H:$H, 'Instrument Table'!$B:$B, $C604)))</f>
        <v>Upright Piano</v>
      </c>
      <c r="D605" s="1" t="str">
        <f>VLOOKUP($C605, 'Instrument Table'!$B:$C, 2, FALSE)</f>
        <v>Pianos</v>
      </c>
      <c r="E605" s="1">
        <f t="shared" si="54"/>
        <v>1</v>
      </c>
      <c r="F605" s="1">
        <f>_xlfn.XLOOKUP($C605, 'Instrument Table'!$B:$B, 'Instrument Table'!$A:$A, "")</f>
        <v>11</v>
      </c>
      <c r="G605" s="1" t="str">
        <f>TEXT(IF($B605 = "Retail Item", IF((ROW($A605) - 4504 - _xlfn.XMATCH($C605, $C$4506:$C$5005, 0, 1)) &lt;= VLOOKUP($C605, 'Instrument Table'!$B:$D, 3, FALSE), ROW($A605) - 4504 - _xlfn.XMATCH($C605, $C$4506:$C$5005, 0, 1), 0), 0), "00")</f>
        <v>00</v>
      </c>
      <c r="H605" s="1" t="str">
        <f t="shared" si="55"/>
        <v>049</v>
      </c>
      <c r="I605" s="1" t="str">
        <f t="shared" si="56"/>
        <v>11100-049</v>
      </c>
      <c r="J605" s="1" t="str">
        <f t="shared" si="57"/>
        <v>Upright piano production item #049</v>
      </c>
      <c r="K605" s="1" t="str">
        <f>IF(SUM(COUNTIFS(I:I, I605)) &gt; 1, "DUPLICATE", "UNIQUE")</f>
        <v>UNIQUE</v>
      </c>
      <c r="L605" s="18">
        <v>0</v>
      </c>
      <c r="M605" s="28">
        <v>29</v>
      </c>
      <c r="N605" s="6">
        <v>25</v>
      </c>
      <c r="O605" s="30">
        <f t="shared" si="58"/>
        <v>0</v>
      </c>
      <c r="P605" s="30">
        <f t="shared" si="59"/>
        <v>725</v>
      </c>
      <c r="Q605" s="1">
        <f>COUNTIFS($P:$P, "&gt;" &amp; $P605) + 1</f>
        <v>3858</v>
      </c>
      <c r="R605" s="63">
        <f>(COUNTIFS($P:$P, "&gt;" &amp; $P605) + 1) / (COUNTA($I:$I) - 1)</f>
        <v>0.77159999999999995</v>
      </c>
      <c r="S605" s="23">
        <f>SUMIFS($P:$P, $Q:$Q, "&lt;" &amp; $Q605)</f>
        <v>186309357</v>
      </c>
    </row>
    <row r="606" spans="1:19" x14ac:dyDescent="0.25">
      <c r="A606" s="1">
        <v>601</v>
      </c>
      <c r="B606" s="1" t="s">
        <v>2</v>
      </c>
      <c r="C606" s="1" t="str">
        <f>IF($B606 = "Production Item", _xlfn.XLOOKUP($A606, 'Instrument Table'!$J:$J, 'Instrument Table'!$B:$B, $C605), IF($B606 = "Service Item", _xlfn.XLOOKUP($A606, 'Instrument Table'!$I:$I, 'Instrument Table'!$B:$B, $C605), _xlfn.XLOOKUP($A606, 'Instrument Table'!$H:$H, 'Instrument Table'!$B:$B, $C605)))</f>
        <v>Upright Piano</v>
      </c>
      <c r="D606" s="1" t="str">
        <f>VLOOKUP($C606, 'Instrument Table'!$B:$C, 2, FALSE)</f>
        <v>Pianos</v>
      </c>
      <c r="E606" s="1">
        <f t="shared" si="54"/>
        <v>1</v>
      </c>
      <c r="F606" s="1">
        <f>_xlfn.XLOOKUP($C606, 'Instrument Table'!$B:$B, 'Instrument Table'!$A:$A, "")</f>
        <v>11</v>
      </c>
      <c r="G606" s="1" t="str">
        <f>TEXT(IF($B606 = "Retail Item", IF((ROW($A606) - 4504 - _xlfn.XMATCH($C606, $C$4506:$C$5005, 0, 1)) &lt;= VLOOKUP($C606, 'Instrument Table'!$B:$D, 3, FALSE), ROW($A606) - 4504 - _xlfn.XMATCH($C606, $C$4506:$C$5005, 0, 1), 0), 0), "00")</f>
        <v>00</v>
      </c>
      <c r="H606" s="1" t="str">
        <f t="shared" si="55"/>
        <v>050</v>
      </c>
      <c r="I606" s="1" t="str">
        <f t="shared" si="56"/>
        <v>11100-050</v>
      </c>
      <c r="J606" s="1" t="str">
        <f t="shared" si="57"/>
        <v>Upright piano production item #050</v>
      </c>
      <c r="K606" s="1" t="str">
        <f>IF(SUM(COUNTIFS(I:I, I606)) &gt; 1, "DUPLICATE", "UNIQUE")</f>
        <v>UNIQUE</v>
      </c>
      <c r="L606" s="18">
        <v>0</v>
      </c>
      <c r="M606" s="28">
        <v>38</v>
      </c>
      <c r="N606" s="6">
        <v>0</v>
      </c>
      <c r="O606" s="30">
        <f t="shared" si="58"/>
        <v>0</v>
      </c>
      <c r="P606" s="30">
        <f t="shared" si="59"/>
        <v>0</v>
      </c>
      <c r="Q606" s="1">
        <f>COUNTIFS($P:$P, "&gt;" &amp; $P606) + 1</f>
        <v>4746</v>
      </c>
      <c r="R606" s="63">
        <f>(COUNTIFS($P:$P, "&gt;" &amp; $P606) + 1) / (COUNTA($I:$I) - 1)</f>
        <v>0.94920000000000004</v>
      </c>
      <c r="S606" s="23">
        <f>SUMIFS($P:$P, $Q:$Q, "&lt;" &amp; $Q606)</f>
        <v>186547861</v>
      </c>
    </row>
    <row r="607" spans="1:19" x14ac:dyDescent="0.25">
      <c r="A607" s="1">
        <v>602</v>
      </c>
      <c r="B607" s="1" t="s">
        <v>2</v>
      </c>
      <c r="C607" s="1" t="str">
        <f>IF($B607 = "Production Item", _xlfn.XLOOKUP($A607, 'Instrument Table'!$J:$J, 'Instrument Table'!$B:$B, $C606), IF($B607 = "Service Item", _xlfn.XLOOKUP($A607, 'Instrument Table'!$I:$I, 'Instrument Table'!$B:$B, $C606), _xlfn.XLOOKUP($A607, 'Instrument Table'!$H:$H, 'Instrument Table'!$B:$B, $C606)))</f>
        <v>Upright Piano</v>
      </c>
      <c r="D607" s="1" t="str">
        <f>VLOOKUP($C607, 'Instrument Table'!$B:$C, 2, FALSE)</f>
        <v>Pianos</v>
      </c>
      <c r="E607" s="1">
        <f t="shared" si="54"/>
        <v>1</v>
      </c>
      <c r="F607" s="1">
        <f>_xlfn.XLOOKUP($C607, 'Instrument Table'!$B:$B, 'Instrument Table'!$A:$A, "")</f>
        <v>11</v>
      </c>
      <c r="G607" s="1" t="str">
        <f>TEXT(IF($B607 = "Retail Item", IF((ROW($A607) - 4504 - _xlfn.XMATCH($C607, $C$4506:$C$5005, 0, 1)) &lt;= VLOOKUP($C607, 'Instrument Table'!$B:$D, 3, FALSE), ROW($A607) - 4504 - _xlfn.XMATCH($C607, $C$4506:$C$5005, 0, 1), 0), 0), "00")</f>
        <v>00</v>
      </c>
      <c r="H607" s="1" t="str">
        <f t="shared" si="55"/>
        <v>051</v>
      </c>
      <c r="I607" s="1" t="str">
        <f t="shared" si="56"/>
        <v>11100-051</v>
      </c>
      <c r="J607" s="1" t="str">
        <f t="shared" si="57"/>
        <v>Upright piano production item #051</v>
      </c>
      <c r="K607" s="1" t="str">
        <f>IF(SUM(COUNTIFS(I:I, I607)) &gt; 1, "DUPLICATE", "UNIQUE")</f>
        <v>UNIQUE</v>
      </c>
      <c r="L607" s="18">
        <v>0</v>
      </c>
      <c r="M607" s="28">
        <v>91</v>
      </c>
      <c r="N607" s="6">
        <v>225</v>
      </c>
      <c r="O607" s="30">
        <f t="shared" si="58"/>
        <v>0</v>
      </c>
      <c r="P607" s="30">
        <f t="shared" si="59"/>
        <v>20475</v>
      </c>
      <c r="Q607" s="1">
        <f>COUNTIFS($P:$P, "&gt;" &amp; $P607) + 1</f>
        <v>1034</v>
      </c>
      <c r="R607" s="63">
        <f>(COUNTIFS($P:$P, "&gt;" &amp; $P607) + 1) / (COUNTA($I:$I) - 1)</f>
        <v>0.20680000000000001</v>
      </c>
      <c r="S607" s="23">
        <f>SUMIFS($P:$P, $Q:$Q, "&lt;" &amp; $Q607)</f>
        <v>167197006</v>
      </c>
    </row>
    <row r="608" spans="1:19" x14ac:dyDescent="0.25">
      <c r="A608" s="1">
        <v>603</v>
      </c>
      <c r="B608" s="1" t="s">
        <v>2</v>
      </c>
      <c r="C608" s="1" t="str">
        <f>IF($B608 = "Production Item", _xlfn.XLOOKUP($A608, 'Instrument Table'!$J:$J, 'Instrument Table'!$B:$B, $C607), IF($B608 = "Service Item", _xlfn.XLOOKUP($A608, 'Instrument Table'!$I:$I, 'Instrument Table'!$B:$B, $C607), _xlfn.XLOOKUP($A608, 'Instrument Table'!$H:$H, 'Instrument Table'!$B:$B, $C607)))</f>
        <v>Upright Piano</v>
      </c>
      <c r="D608" s="1" t="str">
        <f>VLOOKUP($C608, 'Instrument Table'!$B:$C, 2, FALSE)</f>
        <v>Pianos</v>
      </c>
      <c r="E608" s="1">
        <f t="shared" si="54"/>
        <v>1</v>
      </c>
      <c r="F608" s="1">
        <f>_xlfn.XLOOKUP($C608, 'Instrument Table'!$B:$B, 'Instrument Table'!$A:$A, "")</f>
        <v>11</v>
      </c>
      <c r="G608" s="1" t="str">
        <f>TEXT(IF($B608 = "Retail Item", IF((ROW($A608) - 4504 - _xlfn.XMATCH($C608, $C$4506:$C$5005, 0, 1)) &lt;= VLOOKUP($C608, 'Instrument Table'!$B:$D, 3, FALSE), ROW($A608) - 4504 - _xlfn.XMATCH($C608, $C$4506:$C$5005, 0, 1), 0), 0), "00")</f>
        <v>00</v>
      </c>
      <c r="H608" s="1" t="str">
        <f t="shared" si="55"/>
        <v>052</v>
      </c>
      <c r="I608" s="1" t="str">
        <f t="shared" si="56"/>
        <v>11100-052</v>
      </c>
      <c r="J608" s="1" t="str">
        <f t="shared" si="57"/>
        <v>Upright piano production item #052</v>
      </c>
      <c r="K608" s="1" t="str">
        <f>IF(SUM(COUNTIFS(I:I, I608)) &gt; 1, "DUPLICATE", "UNIQUE")</f>
        <v>UNIQUE</v>
      </c>
      <c r="L608" s="18">
        <v>1</v>
      </c>
      <c r="M608" s="28">
        <v>45</v>
      </c>
      <c r="N608" s="6">
        <v>49</v>
      </c>
      <c r="O608" s="30">
        <f t="shared" si="58"/>
        <v>45</v>
      </c>
      <c r="P608" s="30">
        <f t="shared" si="59"/>
        <v>2205</v>
      </c>
      <c r="Q608" s="1">
        <f>COUNTIFS($P:$P, "&gt;" &amp; $P608) + 1</f>
        <v>3167</v>
      </c>
      <c r="R608" s="63">
        <f>(COUNTIFS($P:$P, "&gt;" &amp; $P608) + 1) / (COUNTA($I:$I) - 1)</f>
        <v>0.63339999999999996</v>
      </c>
      <c r="S608" s="23">
        <f>SUMIFS($P:$P, $Q:$Q, "&lt;" &amp; $Q608)</f>
        <v>185336390</v>
      </c>
    </row>
    <row r="609" spans="1:19" x14ac:dyDescent="0.25">
      <c r="A609" s="1">
        <v>604</v>
      </c>
      <c r="B609" s="1" t="s">
        <v>2</v>
      </c>
      <c r="C609" s="1" t="str">
        <f>IF($B609 = "Production Item", _xlfn.XLOOKUP($A609, 'Instrument Table'!$J:$J, 'Instrument Table'!$B:$B, $C608), IF($B609 = "Service Item", _xlfn.XLOOKUP($A609, 'Instrument Table'!$I:$I, 'Instrument Table'!$B:$B, $C608), _xlfn.XLOOKUP($A609, 'Instrument Table'!$H:$H, 'Instrument Table'!$B:$B, $C608)))</f>
        <v>Upright Piano</v>
      </c>
      <c r="D609" s="1" t="str">
        <f>VLOOKUP($C609, 'Instrument Table'!$B:$C, 2, FALSE)</f>
        <v>Pianos</v>
      </c>
      <c r="E609" s="1">
        <f t="shared" si="54"/>
        <v>1</v>
      </c>
      <c r="F609" s="1">
        <f>_xlfn.XLOOKUP($C609, 'Instrument Table'!$B:$B, 'Instrument Table'!$A:$A, "")</f>
        <v>11</v>
      </c>
      <c r="G609" s="1" t="str">
        <f>TEXT(IF($B609 = "Retail Item", IF((ROW($A609) - 4504 - _xlfn.XMATCH($C609, $C$4506:$C$5005, 0, 1)) &lt;= VLOOKUP($C609, 'Instrument Table'!$B:$D, 3, FALSE), ROW($A609) - 4504 - _xlfn.XMATCH($C609, $C$4506:$C$5005, 0, 1), 0), 0), "00")</f>
        <v>00</v>
      </c>
      <c r="H609" s="1" t="str">
        <f t="shared" si="55"/>
        <v>053</v>
      </c>
      <c r="I609" s="1" t="str">
        <f t="shared" si="56"/>
        <v>11100-053</v>
      </c>
      <c r="J609" s="1" t="str">
        <f t="shared" si="57"/>
        <v>Upright piano production item #053</v>
      </c>
      <c r="K609" s="1" t="str">
        <f>IF(SUM(COUNTIFS(I:I, I609)) &gt; 1, "DUPLICATE", "UNIQUE")</f>
        <v>UNIQUE</v>
      </c>
      <c r="L609" s="18">
        <v>4</v>
      </c>
      <c r="M609" s="28">
        <v>73</v>
      </c>
      <c r="N609" s="6">
        <v>9</v>
      </c>
      <c r="O609" s="30">
        <f t="shared" si="58"/>
        <v>292</v>
      </c>
      <c r="P609" s="30">
        <f t="shared" si="59"/>
        <v>657</v>
      </c>
      <c r="Q609" s="1">
        <f>COUNTIFS($P:$P, "&gt;" &amp; $P609) + 1</f>
        <v>3903</v>
      </c>
      <c r="R609" s="63">
        <f>(COUNTIFS($P:$P, "&gt;" &amp; $P609) + 1) / (COUNTA($I:$I) - 1)</f>
        <v>0.78059999999999996</v>
      </c>
      <c r="S609" s="23">
        <f>SUMIFS($P:$P, $Q:$Q, "&lt;" &amp; $Q609)</f>
        <v>186340858</v>
      </c>
    </row>
    <row r="610" spans="1:19" x14ac:dyDescent="0.25">
      <c r="A610" s="1">
        <v>605</v>
      </c>
      <c r="B610" s="1" t="s">
        <v>2</v>
      </c>
      <c r="C610" s="1" t="str">
        <f>IF($B610 = "Production Item", _xlfn.XLOOKUP($A610, 'Instrument Table'!$J:$J, 'Instrument Table'!$B:$B, $C609), IF($B610 = "Service Item", _xlfn.XLOOKUP($A610, 'Instrument Table'!$I:$I, 'Instrument Table'!$B:$B, $C609), _xlfn.XLOOKUP($A610, 'Instrument Table'!$H:$H, 'Instrument Table'!$B:$B, $C609)))</f>
        <v>Upright Piano</v>
      </c>
      <c r="D610" s="1" t="str">
        <f>VLOOKUP($C610, 'Instrument Table'!$B:$C, 2, FALSE)</f>
        <v>Pianos</v>
      </c>
      <c r="E610" s="1">
        <f t="shared" si="54"/>
        <v>1</v>
      </c>
      <c r="F610" s="1">
        <f>_xlfn.XLOOKUP($C610, 'Instrument Table'!$B:$B, 'Instrument Table'!$A:$A, "")</f>
        <v>11</v>
      </c>
      <c r="G610" s="1" t="str">
        <f>TEXT(IF($B610 = "Retail Item", IF((ROW($A610) - 4504 - _xlfn.XMATCH($C610, $C$4506:$C$5005, 0, 1)) &lt;= VLOOKUP($C610, 'Instrument Table'!$B:$D, 3, FALSE), ROW($A610) - 4504 - _xlfn.XMATCH($C610, $C$4506:$C$5005, 0, 1), 0), 0), "00")</f>
        <v>00</v>
      </c>
      <c r="H610" s="1" t="str">
        <f t="shared" si="55"/>
        <v>054</v>
      </c>
      <c r="I610" s="1" t="str">
        <f t="shared" si="56"/>
        <v>11100-054</v>
      </c>
      <c r="J610" s="1" t="str">
        <f t="shared" si="57"/>
        <v>Upright piano production item #054</v>
      </c>
      <c r="K610" s="1" t="str">
        <f>IF(SUM(COUNTIFS(I:I, I610)) &gt; 1, "DUPLICATE", "UNIQUE")</f>
        <v>UNIQUE</v>
      </c>
      <c r="L610" s="18">
        <v>0</v>
      </c>
      <c r="M610" s="28">
        <v>76</v>
      </c>
      <c r="N610" s="6">
        <v>49</v>
      </c>
      <c r="O610" s="30">
        <f t="shared" si="58"/>
        <v>0</v>
      </c>
      <c r="P610" s="30">
        <f t="shared" si="59"/>
        <v>3724</v>
      </c>
      <c r="Q610" s="1">
        <f>COUNTIFS($P:$P, "&gt;" &amp; $P610) + 1</f>
        <v>2715</v>
      </c>
      <c r="R610" s="63">
        <f>(COUNTIFS($P:$P, "&gt;" &amp; $P610) + 1) / (COUNTA($I:$I) - 1)</f>
        <v>0.54300000000000004</v>
      </c>
      <c r="S610" s="23">
        <f>SUMIFS($P:$P, $Q:$Q, "&lt;" &amp; $Q610)</f>
        <v>184023078</v>
      </c>
    </row>
    <row r="611" spans="1:19" x14ac:dyDescent="0.25">
      <c r="A611" s="1">
        <v>606</v>
      </c>
      <c r="B611" s="1" t="s">
        <v>2</v>
      </c>
      <c r="C611" s="1" t="str">
        <f>IF($B611 = "Production Item", _xlfn.XLOOKUP($A611, 'Instrument Table'!$J:$J, 'Instrument Table'!$B:$B, $C610), IF($B611 = "Service Item", _xlfn.XLOOKUP($A611, 'Instrument Table'!$I:$I, 'Instrument Table'!$B:$B, $C610), _xlfn.XLOOKUP($A611, 'Instrument Table'!$H:$H, 'Instrument Table'!$B:$B, $C610)))</f>
        <v>Upright Piano</v>
      </c>
      <c r="D611" s="1" t="str">
        <f>VLOOKUP($C611, 'Instrument Table'!$B:$C, 2, FALSE)</f>
        <v>Pianos</v>
      </c>
      <c r="E611" s="1">
        <f t="shared" si="54"/>
        <v>1</v>
      </c>
      <c r="F611" s="1">
        <f>_xlfn.XLOOKUP($C611, 'Instrument Table'!$B:$B, 'Instrument Table'!$A:$A, "")</f>
        <v>11</v>
      </c>
      <c r="G611" s="1" t="str">
        <f>TEXT(IF($B611 = "Retail Item", IF((ROW($A611) - 4504 - _xlfn.XMATCH($C611, $C$4506:$C$5005, 0, 1)) &lt;= VLOOKUP($C611, 'Instrument Table'!$B:$D, 3, FALSE), ROW($A611) - 4504 - _xlfn.XMATCH($C611, $C$4506:$C$5005, 0, 1), 0), 0), "00")</f>
        <v>00</v>
      </c>
      <c r="H611" s="1" t="str">
        <f t="shared" si="55"/>
        <v>055</v>
      </c>
      <c r="I611" s="1" t="str">
        <f t="shared" si="56"/>
        <v>11100-055</v>
      </c>
      <c r="J611" s="1" t="str">
        <f t="shared" si="57"/>
        <v>Upright piano production item #055</v>
      </c>
      <c r="K611" s="1" t="str">
        <f>IF(SUM(COUNTIFS(I:I, I611)) &gt; 1, "DUPLICATE", "UNIQUE")</f>
        <v>UNIQUE</v>
      </c>
      <c r="L611" s="18">
        <v>1</v>
      </c>
      <c r="M611" s="28">
        <v>48</v>
      </c>
      <c r="N611" s="6">
        <v>16</v>
      </c>
      <c r="O611" s="30">
        <f t="shared" si="58"/>
        <v>48</v>
      </c>
      <c r="P611" s="30">
        <f t="shared" si="59"/>
        <v>768</v>
      </c>
      <c r="Q611" s="1">
        <f>COUNTIFS($P:$P, "&gt;" &amp; $P611) + 1</f>
        <v>3810</v>
      </c>
      <c r="R611" s="63">
        <f>(COUNTIFS($P:$P, "&gt;" &amp; $P611) + 1) / (COUNTA($I:$I) - 1)</f>
        <v>0.76200000000000001</v>
      </c>
      <c r="S611" s="23">
        <f>SUMIFS($P:$P, $Q:$Q, "&lt;" &amp; $Q611)</f>
        <v>186273454</v>
      </c>
    </row>
    <row r="612" spans="1:19" x14ac:dyDescent="0.25">
      <c r="A612" s="1">
        <v>607</v>
      </c>
      <c r="B612" s="1" t="s">
        <v>2</v>
      </c>
      <c r="C612" s="1" t="str">
        <f>IF($B612 = "Production Item", _xlfn.XLOOKUP($A612, 'Instrument Table'!$J:$J, 'Instrument Table'!$B:$B, $C611), IF($B612 = "Service Item", _xlfn.XLOOKUP($A612, 'Instrument Table'!$I:$I, 'Instrument Table'!$B:$B, $C611), _xlfn.XLOOKUP($A612, 'Instrument Table'!$H:$H, 'Instrument Table'!$B:$B, $C611)))</f>
        <v>Upright Piano</v>
      </c>
      <c r="D612" s="1" t="str">
        <f>VLOOKUP($C612, 'Instrument Table'!$B:$C, 2, FALSE)</f>
        <v>Pianos</v>
      </c>
      <c r="E612" s="1">
        <f t="shared" si="54"/>
        <v>1</v>
      </c>
      <c r="F612" s="1">
        <f>_xlfn.XLOOKUP($C612, 'Instrument Table'!$B:$B, 'Instrument Table'!$A:$A, "")</f>
        <v>11</v>
      </c>
      <c r="G612" s="1" t="str">
        <f>TEXT(IF($B612 = "Retail Item", IF((ROW($A612) - 4504 - _xlfn.XMATCH($C612, $C$4506:$C$5005, 0, 1)) &lt;= VLOOKUP($C612, 'Instrument Table'!$B:$D, 3, FALSE), ROW($A612) - 4504 - _xlfn.XMATCH($C612, $C$4506:$C$5005, 0, 1), 0), 0), "00")</f>
        <v>00</v>
      </c>
      <c r="H612" s="1" t="str">
        <f t="shared" si="55"/>
        <v>056</v>
      </c>
      <c r="I612" s="1" t="str">
        <f t="shared" si="56"/>
        <v>11100-056</v>
      </c>
      <c r="J612" s="1" t="str">
        <f t="shared" si="57"/>
        <v>Upright piano production item #056</v>
      </c>
      <c r="K612" s="1" t="str">
        <f>IF(SUM(COUNTIFS(I:I, I612)) &gt; 1, "DUPLICATE", "UNIQUE")</f>
        <v>UNIQUE</v>
      </c>
      <c r="L612" s="18">
        <v>1</v>
      </c>
      <c r="M612" s="28">
        <v>49</v>
      </c>
      <c r="N612" s="6">
        <v>0</v>
      </c>
      <c r="O612" s="30">
        <f t="shared" si="58"/>
        <v>49</v>
      </c>
      <c r="P612" s="30">
        <f t="shared" si="59"/>
        <v>0</v>
      </c>
      <c r="Q612" s="1">
        <f>COUNTIFS($P:$P, "&gt;" &amp; $P612) + 1</f>
        <v>4746</v>
      </c>
      <c r="R612" s="63">
        <f>(COUNTIFS($P:$P, "&gt;" &amp; $P612) + 1) / (COUNTA($I:$I) - 1)</f>
        <v>0.94920000000000004</v>
      </c>
      <c r="S612" s="23">
        <f>SUMIFS($P:$P, $Q:$Q, "&lt;" &amp; $Q612)</f>
        <v>186547861</v>
      </c>
    </row>
    <row r="613" spans="1:19" x14ac:dyDescent="0.25">
      <c r="A613" s="1">
        <v>608</v>
      </c>
      <c r="B613" s="1" t="s">
        <v>2</v>
      </c>
      <c r="C613" s="1" t="str">
        <f>IF($B613 = "Production Item", _xlfn.XLOOKUP($A613, 'Instrument Table'!$J:$J, 'Instrument Table'!$B:$B, $C612), IF($B613 = "Service Item", _xlfn.XLOOKUP($A613, 'Instrument Table'!$I:$I, 'Instrument Table'!$B:$B, $C612), _xlfn.XLOOKUP($A613, 'Instrument Table'!$H:$H, 'Instrument Table'!$B:$B, $C612)))</f>
        <v>Upright Piano</v>
      </c>
      <c r="D613" s="1" t="str">
        <f>VLOOKUP($C613, 'Instrument Table'!$B:$C, 2, FALSE)</f>
        <v>Pianos</v>
      </c>
      <c r="E613" s="1">
        <f t="shared" si="54"/>
        <v>1</v>
      </c>
      <c r="F613" s="1">
        <f>_xlfn.XLOOKUP($C613, 'Instrument Table'!$B:$B, 'Instrument Table'!$A:$A, "")</f>
        <v>11</v>
      </c>
      <c r="G613" s="1" t="str">
        <f>TEXT(IF($B613 = "Retail Item", IF((ROW($A613) - 4504 - _xlfn.XMATCH($C613, $C$4506:$C$5005, 0, 1)) &lt;= VLOOKUP($C613, 'Instrument Table'!$B:$D, 3, FALSE), ROW($A613) - 4504 - _xlfn.XMATCH($C613, $C$4506:$C$5005, 0, 1), 0), 0), "00")</f>
        <v>00</v>
      </c>
      <c r="H613" s="1" t="str">
        <f t="shared" si="55"/>
        <v>057</v>
      </c>
      <c r="I613" s="1" t="str">
        <f t="shared" si="56"/>
        <v>11100-057</v>
      </c>
      <c r="J613" s="1" t="str">
        <f t="shared" si="57"/>
        <v>Upright piano production item #057</v>
      </c>
      <c r="K613" s="1" t="str">
        <f>IF(SUM(COUNTIFS(I:I, I613)) &gt; 1, "DUPLICATE", "UNIQUE")</f>
        <v>UNIQUE</v>
      </c>
      <c r="L613" s="18">
        <v>1</v>
      </c>
      <c r="M613" s="28">
        <v>20</v>
      </c>
      <c r="N613" s="6">
        <v>225</v>
      </c>
      <c r="O613" s="30">
        <f t="shared" si="58"/>
        <v>20</v>
      </c>
      <c r="P613" s="30">
        <f t="shared" si="59"/>
        <v>4500</v>
      </c>
      <c r="Q613" s="1">
        <f>COUNTIFS($P:$P, "&gt;" &amp; $P613) + 1</f>
        <v>2544</v>
      </c>
      <c r="R613" s="63">
        <f>(COUNTIFS($P:$P, "&gt;" &amp; $P613) + 1) / (COUNTA($I:$I) - 1)</f>
        <v>0.50880000000000003</v>
      </c>
      <c r="S613" s="23">
        <f>SUMIFS($P:$P, $Q:$Q, "&lt;" &amp; $Q613)</f>
        <v>183318007</v>
      </c>
    </row>
    <row r="614" spans="1:19" x14ac:dyDescent="0.25">
      <c r="A614" s="1">
        <v>609</v>
      </c>
      <c r="B614" s="1" t="s">
        <v>2</v>
      </c>
      <c r="C614" s="1" t="str">
        <f>IF($B614 = "Production Item", _xlfn.XLOOKUP($A614, 'Instrument Table'!$J:$J, 'Instrument Table'!$B:$B, $C613), IF($B614 = "Service Item", _xlfn.XLOOKUP($A614, 'Instrument Table'!$I:$I, 'Instrument Table'!$B:$B, $C613), _xlfn.XLOOKUP($A614, 'Instrument Table'!$H:$H, 'Instrument Table'!$B:$B, $C613)))</f>
        <v>Upright Piano</v>
      </c>
      <c r="D614" s="1" t="str">
        <f>VLOOKUP($C614, 'Instrument Table'!$B:$C, 2, FALSE)</f>
        <v>Pianos</v>
      </c>
      <c r="E614" s="1">
        <f t="shared" si="54"/>
        <v>1</v>
      </c>
      <c r="F614" s="1">
        <f>_xlfn.XLOOKUP($C614, 'Instrument Table'!$B:$B, 'Instrument Table'!$A:$A, "")</f>
        <v>11</v>
      </c>
      <c r="G614" s="1" t="str">
        <f>TEXT(IF($B614 = "Retail Item", IF((ROW($A614) - 4504 - _xlfn.XMATCH($C614, $C$4506:$C$5005, 0, 1)) &lt;= VLOOKUP($C614, 'Instrument Table'!$B:$D, 3, FALSE), ROW($A614) - 4504 - _xlfn.XMATCH($C614, $C$4506:$C$5005, 0, 1), 0), 0), "00")</f>
        <v>00</v>
      </c>
      <c r="H614" s="1" t="str">
        <f t="shared" si="55"/>
        <v>058</v>
      </c>
      <c r="I614" s="1" t="str">
        <f t="shared" si="56"/>
        <v>11100-058</v>
      </c>
      <c r="J614" s="1" t="str">
        <f t="shared" si="57"/>
        <v>Upright piano production item #058</v>
      </c>
      <c r="K614" s="1" t="str">
        <f>IF(SUM(COUNTIFS(I:I, I614)) &gt; 1, "DUPLICATE", "UNIQUE")</f>
        <v>UNIQUE</v>
      </c>
      <c r="L614" s="18">
        <v>1</v>
      </c>
      <c r="M614" s="28">
        <v>62</v>
      </c>
      <c r="N614" s="6">
        <v>36</v>
      </c>
      <c r="O614" s="30">
        <f t="shared" si="58"/>
        <v>62</v>
      </c>
      <c r="P614" s="30">
        <f t="shared" si="59"/>
        <v>2232</v>
      </c>
      <c r="Q614" s="1">
        <f>COUNTIFS($P:$P, "&gt;" &amp; $P614) + 1</f>
        <v>3163</v>
      </c>
      <c r="R614" s="63">
        <f>(COUNTIFS($P:$P, "&gt;" &amp; $P614) + 1) / (COUNTA($I:$I) - 1)</f>
        <v>0.63260000000000005</v>
      </c>
      <c r="S614" s="23">
        <f>SUMIFS($P:$P, $Q:$Q, "&lt;" &amp; $Q614)</f>
        <v>185327469</v>
      </c>
    </row>
    <row r="615" spans="1:19" x14ac:dyDescent="0.25">
      <c r="A615" s="1">
        <v>610</v>
      </c>
      <c r="B615" s="1" t="s">
        <v>2</v>
      </c>
      <c r="C615" s="1" t="str">
        <f>IF($B615 = "Production Item", _xlfn.XLOOKUP($A615, 'Instrument Table'!$J:$J, 'Instrument Table'!$B:$B, $C614), IF($B615 = "Service Item", _xlfn.XLOOKUP($A615, 'Instrument Table'!$I:$I, 'Instrument Table'!$B:$B, $C614), _xlfn.XLOOKUP($A615, 'Instrument Table'!$H:$H, 'Instrument Table'!$B:$B, $C614)))</f>
        <v>Upright Piano</v>
      </c>
      <c r="D615" s="1" t="str">
        <f>VLOOKUP($C615, 'Instrument Table'!$B:$C, 2, FALSE)</f>
        <v>Pianos</v>
      </c>
      <c r="E615" s="1">
        <f t="shared" si="54"/>
        <v>1</v>
      </c>
      <c r="F615" s="1">
        <f>_xlfn.XLOOKUP($C615, 'Instrument Table'!$B:$B, 'Instrument Table'!$A:$A, "")</f>
        <v>11</v>
      </c>
      <c r="G615" s="1" t="str">
        <f>TEXT(IF($B615 = "Retail Item", IF((ROW($A615) - 4504 - _xlfn.XMATCH($C615, $C$4506:$C$5005, 0, 1)) &lt;= VLOOKUP($C615, 'Instrument Table'!$B:$D, 3, FALSE), ROW($A615) - 4504 - _xlfn.XMATCH($C615, $C$4506:$C$5005, 0, 1), 0), 0), "00")</f>
        <v>00</v>
      </c>
      <c r="H615" s="1" t="str">
        <f t="shared" si="55"/>
        <v>059</v>
      </c>
      <c r="I615" s="1" t="str">
        <f t="shared" si="56"/>
        <v>11100-059</v>
      </c>
      <c r="J615" s="1" t="str">
        <f t="shared" si="57"/>
        <v>Upright piano production item #059</v>
      </c>
      <c r="K615" s="1" t="str">
        <f>IF(SUM(COUNTIFS(I:I, I615)) &gt; 1, "DUPLICATE", "UNIQUE")</f>
        <v>UNIQUE</v>
      </c>
      <c r="L615" s="18">
        <v>1</v>
      </c>
      <c r="M615" s="28">
        <v>68</v>
      </c>
      <c r="N615" s="6">
        <v>4</v>
      </c>
      <c r="O615" s="30">
        <f t="shared" si="58"/>
        <v>68</v>
      </c>
      <c r="P615" s="30">
        <f t="shared" si="59"/>
        <v>272</v>
      </c>
      <c r="Q615" s="1">
        <f>COUNTIFS($P:$P, "&gt;" &amp; $P615) + 1</f>
        <v>4246</v>
      </c>
      <c r="R615" s="63">
        <f>(COUNTIFS($P:$P, "&gt;" &amp; $P615) + 1) / (COUNTA($I:$I) - 1)</f>
        <v>0.84919999999999995</v>
      </c>
      <c r="S615" s="23">
        <f>SUMIFS($P:$P, $Q:$Q, "&lt;" &amp; $Q615)</f>
        <v>186494000</v>
      </c>
    </row>
    <row r="616" spans="1:19" x14ac:dyDescent="0.25">
      <c r="A616" s="1">
        <v>611</v>
      </c>
      <c r="B616" s="1" t="s">
        <v>2</v>
      </c>
      <c r="C616" s="1" t="str">
        <f>IF($B616 = "Production Item", _xlfn.XLOOKUP($A616, 'Instrument Table'!$J:$J, 'Instrument Table'!$B:$B, $C615), IF($B616 = "Service Item", _xlfn.XLOOKUP($A616, 'Instrument Table'!$I:$I, 'Instrument Table'!$B:$B, $C615), _xlfn.XLOOKUP($A616, 'Instrument Table'!$H:$H, 'Instrument Table'!$B:$B, $C615)))</f>
        <v>Upright Piano</v>
      </c>
      <c r="D616" s="1" t="str">
        <f>VLOOKUP($C616, 'Instrument Table'!$B:$C, 2, FALSE)</f>
        <v>Pianos</v>
      </c>
      <c r="E616" s="1">
        <f t="shared" si="54"/>
        <v>1</v>
      </c>
      <c r="F616" s="1">
        <f>_xlfn.XLOOKUP($C616, 'Instrument Table'!$B:$B, 'Instrument Table'!$A:$A, "")</f>
        <v>11</v>
      </c>
      <c r="G616" s="1" t="str">
        <f>TEXT(IF($B616 = "Retail Item", IF((ROW($A616) - 4504 - _xlfn.XMATCH($C616, $C$4506:$C$5005, 0, 1)) &lt;= VLOOKUP($C616, 'Instrument Table'!$B:$D, 3, FALSE), ROW($A616) - 4504 - _xlfn.XMATCH($C616, $C$4506:$C$5005, 0, 1), 0), 0), "00")</f>
        <v>00</v>
      </c>
      <c r="H616" s="1" t="str">
        <f t="shared" si="55"/>
        <v>060</v>
      </c>
      <c r="I616" s="1" t="str">
        <f t="shared" si="56"/>
        <v>11100-060</v>
      </c>
      <c r="J616" s="1" t="str">
        <f t="shared" si="57"/>
        <v>Upright piano production item #060</v>
      </c>
      <c r="K616" s="1" t="str">
        <f>IF(SUM(COUNTIFS(I:I, I616)) &gt; 1, "DUPLICATE", "UNIQUE")</f>
        <v>UNIQUE</v>
      </c>
      <c r="L616" s="18">
        <v>0</v>
      </c>
      <c r="M616" s="28">
        <v>93</v>
      </c>
      <c r="N616" s="6">
        <v>1</v>
      </c>
      <c r="O616" s="30">
        <f t="shared" si="58"/>
        <v>0</v>
      </c>
      <c r="P616" s="30">
        <f t="shared" si="59"/>
        <v>93</v>
      </c>
      <c r="Q616" s="1">
        <f>COUNTIFS($P:$P, "&gt;" &amp; $P616) + 1</f>
        <v>4474</v>
      </c>
      <c r="R616" s="63">
        <f>(COUNTIFS($P:$P, "&gt;" &amp; $P616) + 1) / (COUNTA($I:$I) - 1)</f>
        <v>0.89480000000000004</v>
      </c>
      <c r="S616" s="23">
        <f>SUMIFS($P:$P, $Q:$Q, "&lt;" &amp; $Q616)</f>
        <v>186534566</v>
      </c>
    </row>
    <row r="617" spans="1:19" x14ac:dyDescent="0.25">
      <c r="A617" s="1">
        <v>612</v>
      </c>
      <c r="B617" s="1" t="s">
        <v>2</v>
      </c>
      <c r="C617" s="1" t="str">
        <f>IF($B617 = "Production Item", _xlfn.XLOOKUP($A617, 'Instrument Table'!$J:$J, 'Instrument Table'!$B:$B, $C616), IF($B617 = "Service Item", _xlfn.XLOOKUP($A617, 'Instrument Table'!$I:$I, 'Instrument Table'!$B:$B, $C616), _xlfn.XLOOKUP($A617, 'Instrument Table'!$H:$H, 'Instrument Table'!$B:$B, $C616)))</f>
        <v>Upright Piano</v>
      </c>
      <c r="D617" s="1" t="str">
        <f>VLOOKUP($C617, 'Instrument Table'!$B:$C, 2, FALSE)</f>
        <v>Pianos</v>
      </c>
      <c r="E617" s="1">
        <f t="shared" si="54"/>
        <v>1</v>
      </c>
      <c r="F617" s="1">
        <f>_xlfn.XLOOKUP($C617, 'Instrument Table'!$B:$B, 'Instrument Table'!$A:$A, "")</f>
        <v>11</v>
      </c>
      <c r="G617" s="1" t="str">
        <f>TEXT(IF($B617 = "Retail Item", IF((ROW($A617) - 4504 - _xlfn.XMATCH($C617, $C$4506:$C$5005, 0, 1)) &lt;= VLOOKUP($C617, 'Instrument Table'!$B:$D, 3, FALSE), ROW($A617) - 4504 - _xlfn.XMATCH($C617, $C$4506:$C$5005, 0, 1), 0), 0), "00")</f>
        <v>00</v>
      </c>
      <c r="H617" s="1" t="str">
        <f t="shared" si="55"/>
        <v>061</v>
      </c>
      <c r="I617" s="1" t="str">
        <f t="shared" si="56"/>
        <v>11100-061</v>
      </c>
      <c r="J617" s="1" t="str">
        <f t="shared" si="57"/>
        <v>Upright piano production item #061</v>
      </c>
      <c r="K617" s="1" t="str">
        <f>IF(SUM(COUNTIFS(I:I, I617)) &gt; 1, "DUPLICATE", "UNIQUE")</f>
        <v>UNIQUE</v>
      </c>
      <c r="L617" s="18">
        <v>0</v>
      </c>
      <c r="M617" s="28">
        <v>13</v>
      </c>
      <c r="N617" s="6">
        <v>121</v>
      </c>
      <c r="O617" s="30">
        <f t="shared" si="58"/>
        <v>0</v>
      </c>
      <c r="P617" s="30">
        <f t="shared" si="59"/>
        <v>1573</v>
      </c>
      <c r="Q617" s="1">
        <f>COUNTIFS($P:$P, "&gt;" &amp; $P617) + 1</f>
        <v>3430</v>
      </c>
      <c r="R617" s="63">
        <f>(COUNTIFS($P:$P, "&gt;" &amp; $P617) + 1) / (COUNTA($I:$I) - 1)</f>
        <v>0.68600000000000005</v>
      </c>
      <c r="S617" s="23">
        <f>SUMIFS($P:$P, $Q:$Q, "&lt;" &amp; $Q617)</f>
        <v>185832729</v>
      </c>
    </row>
    <row r="618" spans="1:19" x14ac:dyDescent="0.25">
      <c r="A618" s="1">
        <v>613</v>
      </c>
      <c r="B618" s="1" t="s">
        <v>2</v>
      </c>
      <c r="C618" s="1" t="str">
        <f>IF($B618 = "Production Item", _xlfn.XLOOKUP($A618, 'Instrument Table'!$J:$J, 'Instrument Table'!$B:$B, $C617), IF($B618 = "Service Item", _xlfn.XLOOKUP($A618, 'Instrument Table'!$I:$I, 'Instrument Table'!$B:$B, $C617), _xlfn.XLOOKUP($A618, 'Instrument Table'!$H:$H, 'Instrument Table'!$B:$B, $C617)))</f>
        <v>Upright Piano</v>
      </c>
      <c r="D618" s="1" t="str">
        <f>VLOOKUP($C618, 'Instrument Table'!$B:$C, 2, FALSE)</f>
        <v>Pianos</v>
      </c>
      <c r="E618" s="1">
        <f t="shared" si="54"/>
        <v>1</v>
      </c>
      <c r="F618" s="1">
        <f>_xlfn.XLOOKUP($C618, 'Instrument Table'!$B:$B, 'Instrument Table'!$A:$A, "")</f>
        <v>11</v>
      </c>
      <c r="G618" s="1" t="str">
        <f>TEXT(IF($B618 = "Retail Item", IF((ROW($A618) - 4504 - _xlfn.XMATCH($C618, $C$4506:$C$5005, 0, 1)) &lt;= VLOOKUP($C618, 'Instrument Table'!$B:$D, 3, FALSE), ROW($A618) - 4504 - _xlfn.XMATCH($C618, $C$4506:$C$5005, 0, 1), 0), 0), "00")</f>
        <v>00</v>
      </c>
      <c r="H618" s="1" t="str">
        <f t="shared" si="55"/>
        <v>062</v>
      </c>
      <c r="I618" s="1" t="str">
        <f t="shared" si="56"/>
        <v>11100-062</v>
      </c>
      <c r="J618" s="1" t="str">
        <f t="shared" si="57"/>
        <v>Upright piano production item #062</v>
      </c>
      <c r="K618" s="1" t="str">
        <f>IF(SUM(COUNTIFS(I:I, I618)) &gt; 1, "DUPLICATE", "UNIQUE")</f>
        <v>UNIQUE</v>
      </c>
      <c r="L618" s="18">
        <v>0</v>
      </c>
      <c r="M618" s="28">
        <v>22</v>
      </c>
      <c r="N618" s="6">
        <v>81</v>
      </c>
      <c r="O618" s="30">
        <f t="shared" si="58"/>
        <v>0</v>
      </c>
      <c r="P618" s="30">
        <f t="shared" si="59"/>
        <v>1782</v>
      </c>
      <c r="Q618" s="1">
        <f>COUNTIFS($P:$P, "&gt;" &amp; $P618) + 1</f>
        <v>3346</v>
      </c>
      <c r="R618" s="63">
        <f>(COUNTIFS($P:$P, "&gt;" &amp; $P618) + 1) / (COUNTA($I:$I) - 1)</f>
        <v>0.66920000000000002</v>
      </c>
      <c r="S618" s="23">
        <f>SUMIFS($P:$P, $Q:$Q, "&lt;" &amp; $Q618)</f>
        <v>185693325</v>
      </c>
    </row>
    <row r="619" spans="1:19" x14ac:dyDescent="0.25">
      <c r="A619" s="1">
        <v>614</v>
      </c>
      <c r="B619" s="1" t="s">
        <v>2</v>
      </c>
      <c r="C619" s="1" t="str">
        <f>IF($B619 = "Production Item", _xlfn.XLOOKUP($A619, 'Instrument Table'!$J:$J, 'Instrument Table'!$B:$B, $C618), IF($B619 = "Service Item", _xlfn.XLOOKUP($A619, 'Instrument Table'!$I:$I, 'Instrument Table'!$B:$B, $C618), _xlfn.XLOOKUP($A619, 'Instrument Table'!$H:$H, 'Instrument Table'!$B:$B, $C618)))</f>
        <v>Upright Piano</v>
      </c>
      <c r="D619" s="1" t="str">
        <f>VLOOKUP($C619, 'Instrument Table'!$B:$C, 2, FALSE)</f>
        <v>Pianos</v>
      </c>
      <c r="E619" s="1">
        <f t="shared" si="54"/>
        <v>1</v>
      </c>
      <c r="F619" s="1">
        <f>_xlfn.XLOOKUP($C619, 'Instrument Table'!$B:$B, 'Instrument Table'!$A:$A, "")</f>
        <v>11</v>
      </c>
      <c r="G619" s="1" t="str">
        <f>TEXT(IF($B619 = "Retail Item", IF((ROW($A619) - 4504 - _xlfn.XMATCH($C619, $C$4506:$C$5005, 0, 1)) &lt;= VLOOKUP($C619, 'Instrument Table'!$B:$D, 3, FALSE), ROW($A619) - 4504 - _xlfn.XMATCH($C619, $C$4506:$C$5005, 0, 1), 0), 0), "00")</f>
        <v>00</v>
      </c>
      <c r="H619" s="1" t="str">
        <f t="shared" si="55"/>
        <v>063</v>
      </c>
      <c r="I619" s="1" t="str">
        <f t="shared" si="56"/>
        <v>11100-063</v>
      </c>
      <c r="J619" s="1" t="str">
        <f t="shared" si="57"/>
        <v>Upright piano production item #063</v>
      </c>
      <c r="K619" s="1" t="str">
        <f>IF(SUM(COUNTIFS(I:I, I619)) &gt; 1, "DUPLICATE", "UNIQUE")</f>
        <v>UNIQUE</v>
      </c>
      <c r="L619" s="18">
        <v>0</v>
      </c>
      <c r="M619" s="28">
        <v>23</v>
      </c>
      <c r="N619" s="6">
        <v>9</v>
      </c>
      <c r="O619" s="30">
        <f t="shared" si="58"/>
        <v>0</v>
      </c>
      <c r="P619" s="30">
        <f t="shared" si="59"/>
        <v>207</v>
      </c>
      <c r="Q619" s="1">
        <f>COUNTIFS($P:$P, "&gt;" &amp; $P619) + 1</f>
        <v>4315</v>
      </c>
      <c r="R619" s="63">
        <f>(COUNTIFS($P:$P, "&gt;" &amp; $P619) + 1) / (COUNTA($I:$I) - 1)</f>
        <v>0.86299999999999999</v>
      </c>
      <c r="S619" s="23">
        <f>SUMIFS($P:$P, $Q:$Q, "&lt;" &amp; $Q619)</f>
        <v>186510654</v>
      </c>
    </row>
    <row r="620" spans="1:19" x14ac:dyDescent="0.25">
      <c r="A620" s="1">
        <v>615</v>
      </c>
      <c r="B620" s="1" t="s">
        <v>2</v>
      </c>
      <c r="C620" s="1" t="str">
        <f>IF($B620 = "Production Item", _xlfn.XLOOKUP($A620, 'Instrument Table'!$J:$J, 'Instrument Table'!$B:$B, $C619), IF($B620 = "Service Item", _xlfn.XLOOKUP($A620, 'Instrument Table'!$I:$I, 'Instrument Table'!$B:$B, $C619), _xlfn.XLOOKUP($A620, 'Instrument Table'!$H:$H, 'Instrument Table'!$B:$B, $C619)))</f>
        <v>Upright Piano</v>
      </c>
      <c r="D620" s="1" t="str">
        <f>VLOOKUP($C620, 'Instrument Table'!$B:$C, 2, FALSE)</f>
        <v>Pianos</v>
      </c>
      <c r="E620" s="1">
        <f t="shared" si="54"/>
        <v>1</v>
      </c>
      <c r="F620" s="1">
        <f>_xlfn.XLOOKUP($C620, 'Instrument Table'!$B:$B, 'Instrument Table'!$A:$A, "")</f>
        <v>11</v>
      </c>
      <c r="G620" s="1" t="str">
        <f>TEXT(IF($B620 = "Retail Item", IF((ROW($A620) - 4504 - _xlfn.XMATCH($C620, $C$4506:$C$5005, 0, 1)) &lt;= VLOOKUP($C620, 'Instrument Table'!$B:$D, 3, FALSE), ROW($A620) - 4504 - _xlfn.XMATCH($C620, $C$4506:$C$5005, 0, 1), 0), 0), "00")</f>
        <v>00</v>
      </c>
      <c r="H620" s="1" t="str">
        <f t="shared" si="55"/>
        <v>064</v>
      </c>
      <c r="I620" s="1" t="str">
        <f t="shared" si="56"/>
        <v>11100-064</v>
      </c>
      <c r="J620" s="1" t="str">
        <f t="shared" si="57"/>
        <v>Upright piano production item #064</v>
      </c>
      <c r="K620" s="1" t="str">
        <f>IF(SUM(COUNTIFS(I:I, I620)) &gt; 1, "DUPLICATE", "UNIQUE")</f>
        <v>UNIQUE</v>
      </c>
      <c r="L620" s="18">
        <v>1</v>
      </c>
      <c r="M620" s="28">
        <v>65</v>
      </c>
      <c r="N620" s="6">
        <v>400</v>
      </c>
      <c r="O620" s="30">
        <f t="shared" si="58"/>
        <v>65</v>
      </c>
      <c r="P620" s="30">
        <f t="shared" si="59"/>
        <v>26000</v>
      </c>
      <c r="Q620" s="1">
        <f>COUNTIFS($P:$P, "&gt;" &amp; $P620) + 1</f>
        <v>787</v>
      </c>
      <c r="R620" s="63">
        <f>(COUNTIFS($P:$P, "&gt;" &amp; $P620) + 1) / (COUNTA($I:$I) - 1)</f>
        <v>0.15740000000000001</v>
      </c>
      <c r="S620" s="23">
        <f>SUMIFS($P:$P, $Q:$Q, "&lt;" &amp; $Q620)</f>
        <v>161491013</v>
      </c>
    </row>
    <row r="621" spans="1:19" x14ac:dyDescent="0.25">
      <c r="A621" s="1">
        <v>616</v>
      </c>
      <c r="B621" s="1" t="s">
        <v>2</v>
      </c>
      <c r="C621" s="1" t="str">
        <f>IF($B621 = "Production Item", _xlfn.XLOOKUP($A621, 'Instrument Table'!$J:$J, 'Instrument Table'!$B:$B, $C620), IF($B621 = "Service Item", _xlfn.XLOOKUP($A621, 'Instrument Table'!$I:$I, 'Instrument Table'!$B:$B, $C620), _xlfn.XLOOKUP($A621, 'Instrument Table'!$H:$H, 'Instrument Table'!$B:$B, $C620)))</f>
        <v>Upright Piano</v>
      </c>
      <c r="D621" s="1" t="str">
        <f>VLOOKUP($C621, 'Instrument Table'!$B:$C, 2, FALSE)</f>
        <v>Pianos</v>
      </c>
      <c r="E621" s="1">
        <f t="shared" si="54"/>
        <v>1</v>
      </c>
      <c r="F621" s="1">
        <f>_xlfn.XLOOKUP($C621, 'Instrument Table'!$B:$B, 'Instrument Table'!$A:$A, "")</f>
        <v>11</v>
      </c>
      <c r="G621" s="1" t="str">
        <f>TEXT(IF($B621 = "Retail Item", IF((ROW($A621) - 4504 - _xlfn.XMATCH($C621, $C$4506:$C$5005, 0, 1)) &lt;= VLOOKUP($C621, 'Instrument Table'!$B:$D, 3, FALSE), ROW($A621) - 4504 - _xlfn.XMATCH($C621, $C$4506:$C$5005, 0, 1), 0), 0), "00")</f>
        <v>00</v>
      </c>
      <c r="H621" s="1" t="str">
        <f t="shared" si="55"/>
        <v>065</v>
      </c>
      <c r="I621" s="1" t="str">
        <f t="shared" si="56"/>
        <v>11100-065</v>
      </c>
      <c r="J621" s="1" t="str">
        <f t="shared" si="57"/>
        <v>Upright piano production item #065</v>
      </c>
      <c r="K621" s="1" t="str">
        <f>IF(SUM(COUNTIFS(I:I, I621)) &gt; 1, "DUPLICATE", "UNIQUE")</f>
        <v>UNIQUE</v>
      </c>
      <c r="L621" s="18">
        <v>1</v>
      </c>
      <c r="M621" s="28">
        <v>43</v>
      </c>
      <c r="N621" s="6">
        <v>49</v>
      </c>
      <c r="O621" s="30">
        <f t="shared" si="58"/>
        <v>43</v>
      </c>
      <c r="P621" s="30">
        <f t="shared" si="59"/>
        <v>2107</v>
      </c>
      <c r="Q621" s="1">
        <f>COUNTIFS($P:$P, "&gt;" &amp; $P621) + 1</f>
        <v>3203</v>
      </c>
      <c r="R621" s="63">
        <f>(COUNTIFS($P:$P, "&gt;" &amp; $P621) + 1) / (COUNTA($I:$I) - 1)</f>
        <v>0.64059999999999995</v>
      </c>
      <c r="S621" s="23">
        <f>SUMIFS($P:$P, $Q:$Q, "&lt;" &amp; $Q621)</f>
        <v>185414023</v>
      </c>
    </row>
    <row r="622" spans="1:19" x14ac:dyDescent="0.25">
      <c r="A622" s="1">
        <v>617</v>
      </c>
      <c r="B622" s="1" t="s">
        <v>2</v>
      </c>
      <c r="C622" s="1" t="str">
        <f>IF($B622 = "Production Item", _xlfn.XLOOKUP($A622, 'Instrument Table'!$J:$J, 'Instrument Table'!$B:$B, $C621), IF($B622 = "Service Item", _xlfn.XLOOKUP($A622, 'Instrument Table'!$I:$I, 'Instrument Table'!$B:$B, $C621), _xlfn.XLOOKUP($A622, 'Instrument Table'!$H:$H, 'Instrument Table'!$B:$B, $C621)))</f>
        <v>Upright Piano</v>
      </c>
      <c r="D622" s="1" t="str">
        <f>VLOOKUP($C622, 'Instrument Table'!$B:$C, 2, FALSE)</f>
        <v>Pianos</v>
      </c>
      <c r="E622" s="1">
        <f t="shared" si="54"/>
        <v>1</v>
      </c>
      <c r="F622" s="1">
        <f>_xlfn.XLOOKUP($C622, 'Instrument Table'!$B:$B, 'Instrument Table'!$A:$A, "")</f>
        <v>11</v>
      </c>
      <c r="G622" s="1" t="str">
        <f>TEXT(IF($B622 = "Retail Item", IF((ROW($A622) - 4504 - _xlfn.XMATCH($C622, $C$4506:$C$5005, 0, 1)) &lt;= VLOOKUP($C622, 'Instrument Table'!$B:$D, 3, FALSE), ROW($A622) - 4504 - _xlfn.XMATCH($C622, $C$4506:$C$5005, 0, 1), 0), 0), "00")</f>
        <v>00</v>
      </c>
      <c r="H622" s="1" t="str">
        <f t="shared" si="55"/>
        <v>066</v>
      </c>
      <c r="I622" s="1" t="str">
        <f t="shared" si="56"/>
        <v>11100-066</v>
      </c>
      <c r="J622" s="1" t="str">
        <f t="shared" si="57"/>
        <v>Upright piano production item #066</v>
      </c>
      <c r="K622" s="1" t="str">
        <f>IF(SUM(COUNTIFS(I:I, I622)) &gt; 1, "DUPLICATE", "UNIQUE")</f>
        <v>UNIQUE</v>
      </c>
      <c r="L622" s="18">
        <v>8</v>
      </c>
      <c r="M622" s="28">
        <v>100</v>
      </c>
      <c r="N622" s="6">
        <v>225</v>
      </c>
      <c r="O622" s="30">
        <f t="shared" si="58"/>
        <v>800</v>
      </c>
      <c r="P622" s="30">
        <f t="shared" si="59"/>
        <v>22500</v>
      </c>
      <c r="Q622" s="1">
        <f>COUNTIFS($P:$P, "&gt;" &amp; $P622) + 1</f>
        <v>925</v>
      </c>
      <c r="R622" s="63">
        <f>(COUNTIFS($P:$P, "&gt;" &amp; $P622) + 1) / (COUNTA($I:$I) - 1)</f>
        <v>0.185</v>
      </c>
      <c r="S622" s="23">
        <f>SUMIFS($P:$P, $Q:$Q, "&lt;" &amp; $Q622)</f>
        <v>164851773</v>
      </c>
    </row>
    <row r="623" spans="1:19" x14ac:dyDescent="0.25">
      <c r="A623" s="1">
        <v>618</v>
      </c>
      <c r="B623" s="1" t="s">
        <v>2</v>
      </c>
      <c r="C623" s="1" t="str">
        <f>IF($B623 = "Production Item", _xlfn.XLOOKUP($A623, 'Instrument Table'!$J:$J, 'Instrument Table'!$B:$B, $C622), IF($B623 = "Service Item", _xlfn.XLOOKUP($A623, 'Instrument Table'!$I:$I, 'Instrument Table'!$B:$B, $C622), _xlfn.XLOOKUP($A623, 'Instrument Table'!$H:$H, 'Instrument Table'!$B:$B, $C622)))</f>
        <v>Upright Piano</v>
      </c>
      <c r="D623" s="1" t="str">
        <f>VLOOKUP($C623, 'Instrument Table'!$B:$C, 2, FALSE)</f>
        <v>Pianos</v>
      </c>
      <c r="E623" s="1">
        <f t="shared" si="54"/>
        <v>1</v>
      </c>
      <c r="F623" s="1">
        <f>_xlfn.XLOOKUP($C623, 'Instrument Table'!$B:$B, 'Instrument Table'!$A:$A, "")</f>
        <v>11</v>
      </c>
      <c r="G623" s="1" t="str">
        <f>TEXT(IF($B623 = "Retail Item", IF((ROW($A623) - 4504 - _xlfn.XMATCH($C623, $C$4506:$C$5005, 0, 1)) &lt;= VLOOKUP($C623, 'Instrument Table'!$B:$D, 3, FALSE), ROW($A623) - 4504 - _xlfn.XMATCH($C623, $C$4506:$C$5005, 0, 1), 0), 0), "00")</f>
        <v>00</v>
      </c>
      <c r="H623" s="1" t="str">
        <f t="shared" si="55"/>
        <v>067</v>
      </c>
      <c r="I623" s="1" t="str">
        <f t="shared" si="56"/>
        <v>11100-067</v>
      </c>
      <c r="J623" s="1" t="str">
        <f t="shared" si="57"/>
        <v>Upright piano production item #067</v>
      </c>
      <c r="K623" s="1" t="str">
        <f>IF(SUM(COUNTIFS(I:I, I623)) &gt; 1, "DUPLICATE", "UNIQUE")</f>
        <v>UNIQUE</v>
      </c>
      <c r="L623" s="18">
        <v>8</v>
      </c>
      <c r="M623" s="28">
        <v>71</v>
      </c>
      <c r="N623" s="6">
        <v>49</v>
      </c>
      <c r="O623" s="30">
        <f t="shared" si="58"/>
        <v>568</v>
      </c>
      <c r="P623" s="30">
        <f t="shared" si="59"/>
        <v>3479</v>
      </c>
      <c r="Q623" s="1">
        <f>COUNTIFS($P:$P, "&gt;" &amp; $P623) + 1</f>
        <v>2782</v>
      </c>
      <c r="R623" s="63">
        <f>(COUNTIFS($P:$P, "&gt;" &amp; $P623) + 1) / (COUNTA($I:$I) - 1)</f>
        <v>0.55640000000000001</v>
      </c>
      <c r="S623" s="23">
        <f>SUMIFS($P:$P, $Q:$Q, "&lt;" &amp; $Q623)</f>
        <v>184263802</v>
      </c>
    </row>
    <row r="624" spans="1:19" x14ac:dyDescent="0.25">
      <c r="A624" s="1">
        <v>619</v>
      </c>
      <c r="B624" s="1" t="s">
        <v>2</v>
      </c>
      <c r="C624" s="1" t="str">
        <f>IF($B624 = "Production Item", _xlfn.XLOOKUP($A624, 'Instrument Table'!$J:$J, 'Instrument Table'!$B:$B, $C623), IF($B624 = "Service Item", _xlfn.XLOOKUP($A624, 'Instrument Table'!$I:$I, 'Instrument Table'!$B:$B, $C623), _xlfn.XLOOKUP($A624, 'Instrument Table'!$H:$H, 'Instrument Table'!$B:$B, $C623)))</f>
        <v>Upright Piano</v>
      </c>
      <c r="D624" s="1" t="str">
        <f>VLOOKUP($C624, 'Instrument Table'!$B:$C, 2, FALSE)</f>
        <v>Pianos</v>
      </c>
      <c r="E624" s="1">
        <f t="shared" si="54"/>
        <v>1</v>
      </c>
      <c r="F624" s="1">
        <f>_xlfn.XLOOKUP($C624, 'Instrument Table'!$B:$B, 'Instrument Table'!$A:$A, "")</f>
        <v>11</v>
      </c>
      <c r="G624" s="1" t="str">
        <f>TEXT(IF($B624 = "Retail Item", IF((ROW($A624) - 4504 - _xlfn.XMATCH($C624, $C$4506:$C$5005, 0, 1)) &lt;= VLOOKUP($C624, 'Instrument Table'!$B:$D, 3, FALSE), ROW($A624) - 4504 - _xlfn.XMATCH($C624, $C$4506:$C$5005, 0, 1), 0), 0), "00")</f>
        <v>00</v>
      </c>
      <c r="H624" s="1" t="str">
        <f t="shared" si="55"/>
        <v>068</v>
      </c>
      <c r="I624" s="1" t="str">
        <f t="shared" si="56"/>
        <v>11100-068</v>
      </c>
      <c r="J624" s="1" t="str">
        <f t="shared" si="57"/>
        <v>Upright piano production item #068</v>
      </c>
      <c r="K624" s="1" t="str">
        <f>IF(SUM(COUNTIFS(I:I, I624)) &gt; 1, "DUPLICATE", "UNIQUE")</f>
        <v>UNIQUE</v>
      </c>
      <c r="L624" s="18">
        <v>0</v>
      </c>
      <c r="M624" s="28">
        <v>37</v>
      </c>
      <c r="N624" s="6">
        <v>4</v>
      </c>
      <c r="O624" s="30">
        <f t="shared" si="58"/>
        <v>0</v>
      </c>
      <c r="P624" s="30">
        <f t="shared" si="59"/>
        <v>148</v>
      </c>
      <c r="Q624" s="1">
        <f>COUNTIFS($P:$P, "&gt;" &amp; $P624) + 1</f>
        <v>4396</v>
      </c>
      <c r="R624" s="63">
        <f>(COUNTIFS($P:$P, "&gt;" &amp; $P624) + 1) / (COUNTA($I:$I) - 1)</f>
        <v>0.87919999999999998</v>
      </c>
      <c r="S624" s="23">
        <f>SUMIFS($P:$P, $Q:$Q, "&lt;" &amp; $Q624)</f>
        <v>186525423</v>
      </c>
    </row>
    <row r="625" spans="1:19" x14ac:dyDescent="0.25">
      <c r="A625" s="1">
        <v>620</v>
      </c>
      <c r="B625" s="1" t="s">
        <v>2</v>
      </c>
      <c r="C625" s="1" t="str">
        <f>IF($B625 = "Production Item", _xlfn.XLOOKUP($A625, 'Instrument Table'!$J:$J, 'Instrument Table'!$B:$B, $C624), IF($B625 = "Service Item", _xlfn.XLOOKUP($A625, 'Instrument Table'!$I:$I, 'Instrument Table'!$B:$B, $C624), _xlfn.XLOOKUP($A625, 'Instrument Table'!$H:$H, 'Instrument Table'!$B:$B, $C624)))</f>
        <v>Upright Piano</v>
      </c>
      <c r="D625" s="1" t="str">
        <f>VLOOKUP($C625, 'Instrument Table'!$B:$C, 2, FALSE)</f>
        <v>Pianos</v>
      </c>
      <c r="E625" s="1">
        <f t="shared" si="54"/>
        <v>1</v>
      </c>
      <c r="F625" s="1">
        <f>_xlfn.XLOOKUP($C625, 'Instrument Table'!$B:$B, 'Instrument Table'!$A:$A, "")</f>
        <v>11</v>
      </c>
      <c r="G625" s="1" t="str">
        <f>TEXT(IF($B625 = "Retail Item", IF((ROW($A625) - 4504 - _xlfn.XMATCH($C625, $C$4506:$C$5005, 0, 1)) &lt;= VLOOKUP($C625, 'Instrument Table'!$B:$D, 3, FALSE), ROW($A625) - 4504 - _xlfn.XMATCH($C625, $C$4506:$C$5005, 0, 1), 0), 0), "00")</f>
        <v>00</v>
      </c>
      <c r="H625" s="1" t="str">
        <f t="shared" si="55"/>
        <v>069</v>
      </c>
      <c r="I625" s="1" t="str">
        <f t="shared" si="56"/>
        <v>11100-069</v>
      </c>
      <c r="J625" s="1" t="str">
        <f t="shared" si="57"/>
        <v>Upright piano production item #069</v>
      </c>
      <c r="K625" s="1" t="str">
        <f>IF(SUM(COUNTIFS(I:I, I625)) &gt; 1, "DUPLICATE", "UNIQUE")</f>
        <v>UNIQUE</v>
      </c>
      <c r="L625" s="18">
        <v>8</v>
      </c>
      <c r="M625" s="28">
        <v>30</v>
      </c>
      <c r="N625" s="6">
        <v>196</v>
      </c>
      <c r="O625" s="30">
        <f t="shared" si="58"/>
        <v>240</v>
      </c>
      <c r="P625" s="30">
        <f t="shared" si="59"/>
        <v>5880</v>
      </c>
      <c r="Q625" s="1">
        <f>COUNTIFS($P:$P, "&gt;" &amp; $P625) + 1</f>
        <v>2282</v>
      </c>
      <c r="R625" s="63">
        <f>(COUNTIFS($P:$P, "&gt;" &amp; $P625) + 1) / (COUNTA($I:$I) - 1)</f>
        <v>0.45639999999999997</v>
      </c>
      <c r="S625" s="23">
        <f>SUMIFS($P:$P, $Q:$Q, "&lt;" &amp; $Q625)</f>
        <v>181959196</v>
      </c>
    </row>
    <row r="626" spans="1:19" x14ac:dyDescent="0.25">
      <c r="A626" s="1">
        <v>621</v>
      </c>
      <c r="B626" s="1" t="s">
        <v>2</v>
      </c>
      <c r="C626" s="1" t="str">
        <f>IF($B626 = "Production Item", _xlfn.XLOOKUP($A626, 'Instrument Table'!$J:$J, 'Instrument Table'!$B:$B, $C625), IF($B626 = "Service Item", _xlfn.XLOOKUP($A626, 'Instrument Table'!$I:$I, 'Instrument Table'!$B:$B, $C625), _xlfn.XLOOKUP($A626, 'Instrument Table'!$H:$H, 'Instrument Table'!$B:$B, $C625)))</f>
        <v>Upright Piano</v>
      </c>
      <c r="D626" s="1" t="str">
        <f>VLOOKUP($C626, 'Instrument Table'!$B:$C, 2, FALSE)</f>
        <v>Pianos</v>
      </c>
      <c r="E626" s="1">
        <f t="shared" si="54"/>
        <v>1</v>
      </c>
      <c r="F626" s="1">
        <f>_xlfn.XLOOKUP($C626, 'Instrument Table'!$B:$B, 'Instrument Table'!$A:$A, "")</f>
        <v>11</v>
      </c>
      <c r="G626" s="1" t="str">
        <f>TEXT(IF($B626 = "Retail Item", IF((ROW($A626) - 4504 - _xlfn.XMATCH($C626, $C$4506:$C$5005, 0, 1)) &lt;= VLOOKUP($C626, 'Instrument Table'!$B:$D, 3, FALSE), ROW($A626) - 4504 - _xlfn.XMATCH($C626, $C$4506:$C$5005, 0, 1), 0), 0), "00")</f>
        <v>00</v>
      </c>
      <c r="H626" s="1" t="str">
        <f t="shared" si="55"/>
        <v>070</v>
      </c>
      <c r="I626" s="1" t="str">
        <f t="shared" si="56"/>
        <v>11100-070</v>
      </c>
      <c r="J626" s="1" t="str">
        <f t="shared" si="57"/>
        <v>Upright piano production item #070</v>
      </c>
      <c r="K626" s="1" t="str">
        <f>IF(SUM(COUNTIFS(I:I, I626)) &gt; 1, "DUPLICATE", "UNIQUE")</f>
        <v>UNIQUE</v>
      </c>
      <c r="L626" s="18">
        <v>1</v>
      </c>
      <c r="M626" s="28">
        <v>42</v>
      </c>
      <c r="N626" s="6">
        <v>81</v>
      </c>
      <c r="O626" s="30">
        <f t="shared" si="58"/>
        <v>42</v>
      </c>
      <c r="P626" s="30">
        <f t="shared" si="59"/>
        <v>3402</v>
      </c>
      <c r="Q626" s="1">
        <f>COUNTIFS($P:$P, "&gt;" &amp; $P626) + 1</f>
        <v>2799</v>
      </c>
      <c r="R626" s="63">
        <f>(COUNTIFS($P:$P, "&gt;" &amp; $P626) + 1) / (COUNTA($I:$I) - 1)</f>
        <v>0.55979999999999996</v>
      </c>
      <c r="S626" s="23">
        <f>SUMIFS($P:$P, $Q:$Q, "&lt;" &amp; $Q626)</f>
        <v>184322511</v>
      </c>
    </row>
    <row r="627" spans="1:19" x14ac:dyDescent="0.25">
      <c r="A627" s="1">
        <v>622</v>
      </c>
      <c r="B627" s="1" t="s">
        <v>2</v>
      </c>
      <c r="C627" s="1" t="str">
        <f>IF($B627 = "Production Item", _xlfn.XLOOKUP($A627, 'Instrument Table'!$J:$J, 'Instrument Table'!$B:$B, $C626), IF($B627 = "Service Item", _xlfn.XLOOKUP($A627, 'Instrument Table'!$I:$I, 'Instrument Table'!$B:$B, $C626), _xlfn.XLOOKUP($A627, 'Instrument Table'!$H:$H, 'Instrument Table'!$B:$B, $C626)))</f>
        <v>Upright Piano</v>
      </c>
      <c r="D627" s="1" t="str">
        <f>VLOOKUP($C627, 'Instrument Table'!$B:$C, 2, FALSE)</f>
        <v>Pianos</v>
      </c>
      <c r="E627" s="1">
        <f t="shared" si="54"/>
        <v>1</v>
      </c>
      <c r="F627" s="1">
        <f>_xlfn.XLOOKUP($C627, 'Instrument Table'!$B:$B, 'Instrument Table'!$A:$A, "")</f>
        <v>11</v>
      </c>
      <c r="G627" s="1" t="str">
        <f>TEXT(IF($B627 = "Retail Item", IF((ROW($A627) - 4504 - _xlfn.XMATCH($C627, $C$4506:$C$5005, 0, 1)) &lt;= VLOOKUP($C627, 'Instrument Table'!$B:$D, 3, FALSE), ROW($A627) - 4504 - _xlfn.XMATCH($C627, $C$4506:$C$5005, 0, 1), 0), 0), "00")</f>
        <v>00</v>
      </c>
      <c r="H627" s="1" t="str">
        <f t="shared" si="55"/>
        <v>071</v>
      </c>
      <c r="I627" s="1" t="str">
        <f t="shared" si="56"/>
        <v>11100-071</v>
      </c>
      <c r="J627" s="1" t="str">
        <f t="shared" si="57"/>
        <v>Upright piano production item #071</v>
      </c>
      <c r="K627" s="1" t="str">
        <f>IF(SUM(COUNTIFS(I:I, I627)) &gt; 1, "DUPLICATE", "UNIQUE")</f>
        <v>UNIQUE</v>
      </c>
      <c r="L627" s="18">
        <v>1</v>
      </c>
      <c r="M627" s="28">
        <v>29</v>
      </c>
      <c r="N627" s="6">
        <v>169</v>
      </c>
      <c r="O627" s="30">
        <f t="shared" si="58"/>
        <v>29</v>
      </c>
      <c r="P627" s="30">
        <f t="shared" si="59"/>
        <v>4901</v>
      </c>
      <c r="Q627" s="1">
        <f>COUNTIFS($P:$P, "&gt;" &amp; $P627) + 1</f>
        <v>2462</v>
      </c>
      <c r="R627" s="63">
        <f>(COUNTIFS($P:$P, "&gt;" &amp; $P627) + 1) / (COUNTA($I:$I) - 1)</f>
        <v>0.4924</v>
      </c>
      <c r="S627" s="23">
        <f>SUMIFS($P:$P, $Q:$Q, "&lt;" &amp; $Q627)</f>
        <v>182931819</v>
      </c>
    </row>
    <row r="628" spans="1:19" x14ac:dyDescent="0.25">
      <c r="A628" s="1">
        <v>623</v>
      </c>
      <c r="B628" s="1" t="s">
        <v>2</v>
      </c>
      <c r="C628" s="1" t="str">
        <f>IF($B628 = "Production Item", _xlfn.XLOOKUP($A628, 'Instrument Table'!$J:$J, 'Instrument Table'!$B:$B, $C627), IF($B628 = "Service Item", _xlfn.XLOOKUP($A628, 'Instrument Table'!$I:$I, 'Instrument Table'!$B:$B, $C627), _xlfn.XLOOKUP($A628, 'Instrument Table'!$H:$H, 'Instrument Table'!$B:$B, $C627)))</f>
        <v>Upright Piano</v>
      </c>
      <c r="D628" s="1" t="str">
        <f>VLOOKUP($C628, 'Instrument Table'!$B:$C, 2, FALSE)</f>
        <v>Pianos</v>
      </c>
      <c r="E628" s="1">
        <f t="shared" si="54"/>
        <v>1</v>
      </c>
      <c r="F628" s="1">
        <f>_xlfn.XLOOKUP($C628, 'Instrument Table'!$B:$B, 'Instrument Table'!$A:$A, "")</f>
        <v>11</v>
      </c>
      <c r="G628" s="1" t="str">
        <f>TEXT(IF($B628 = "Retail Item", IF((ROW($A628) - 4504 - _xlfn.XMATCH($C628, $C$4506:$C$5005, 0, 1)) &lt;= VLOOKUP($C628, 'Instrument Table'!$B:$D, 3, FALSE), ROW($A628) - 4504 - _xlfn.XMATCH($C628, $C$4506:$C$5005, 0, 1), 0), 0), "00")</f>
        <v>00</v>
      </c>
      <c r="H628" s="1" t="str">
        <f t="shared" si="55"/>
        <v>072</v>
      </c>
      <c r="I628" s="1" t="str">
        <f t="shared" si="56"/>
        <v>11100-072</v>
      </c>
      <c r="J628" s="1" t="str">
        <f t="shared" si="57"/>
        <v>Upright piano production item #072</v>
      </c>
      <c r="K628" s="1" t="str">
        <f>IF(SUM(COUNTIFS(I:I, I628)) &gt; 1, "DUPLICATE", "UNIQUE")</f>
        <v>UNIQUE</v>
      </c>
      <c r="L628" s="18">
        <v>1</v>
      </c>
      <c r="M628" s="28">
        <v>59</v>
      </c>
      <c r="N628" s="6">
        <v>196</v>
      </c>
      <c r="O628" s="30">
        <f t="shared" si="58"/>
        <v>59</v>
      </c>
      <c r="P628" s="30">
        <f t="shared" si="59"/>
        <v>11564</v>
      </c>
      <c r="Q628" s="1">
        <f>COUNTIFS($P:$P, "&gt;" &amp; $P628) + 1</f>
        <v>1627</v>
      </c>
      <c r="R628" s="63">
        <f>(COUNTIFS($P:$P, "&gt;" &amp; $P628) + 1) / (COUNTA($I:$I) - 1)</f>
        <v>0.32540000000000002</v>
      </c>
      <c r="S628" s="23">
        <f>SUMIFS($P:$P, $Q:$Q, "&lt;" &amp; $Q628)</f>
        <v>176393567</v>
      </c>
    </row>
    <row r="629" spans="1:19" x14ac:dyDescent="0.25">
      <c r="A629" s="1">
        <v>624</v>
      </c>
      <c r="B629" s="1" t="s">
        <v>2</v>
      </c>
      <c r="C629" s="1" t="str">
        <f>IF($B629 = "Production Item", _xlfn.XLOOKUP($A629, 'Instrument Table'!$J:$J, 'Instrument Table'!$B:$B, $C628), IF($B629 = "Service Item", _xlfn.XLOOKUP($A629, 'Instrument Table'!$I:$I, 'Instrument Table'!$B:$B, $C628), _xlfn.XLOOKUP($A629, 'Instrument Table'!$H:$H, 'Instrument Table'!$B:$B, $C628)))</f>
        <v>Upright Piano</v>
      </c>
      <c r="D629" s="1" t="str">
        <f>VLOOKUP($C629, 'Instrument Table'!$B:$C, 2, FALSE)</f>
        <v>Pianos</v>
      </c>
      <c r="E629" s="1">
        <f t="shared" si="54"/>
        <v>1</v>
      </c>
      <c r="F629" s="1">
        <f>_xlfn.XLOOKUP($C629, 'Instrument Table'!$B:$B, 'Instrument Table'!$A:$A, "")</f>
        <v>11</v>
      </c>
      <c r="G629" s="1" t="str">
        <f>TEXT(IF($B629 = "Retail Item", IF((ROW($A629) - 4504 - _xlfn.XMATCH($C629, $C$4506:$C$5005, 0, 1)) &lt;= VLOOKUP($C629, 'Instrument Table'!$B:$D, 3, FALSE), ROW($A629) - 4504 - _xlfn.XMATCH($C629, $C$4506:$C$5005, 0, 1), 0), 0), "00")</f>
        <v>00</v>
      </c>
      <c r="H629" s="1" t="str">
        <f t="shared" si="55"/>
        <v>073</v>
      </c>
      <c r="I629" s="1" t="str">
        <f t="shared" si="56"/>
        <v>11100-073</v>
      </c>
      <c r="J629" s="1" t="str">
        <f t="shared" si="57"/>
        <v>Upright piano production item #073</v>
      </c>
      <c r="K629" s="1" t="str">
        <f>IF(SUM(COUNTIFS(I:I, I629)) &gt; 1, "DUPLICATE", "UNIQUE")</f>
        <v>UNIQUE</v>
      </c>
      <c r="L629" s="18">
        <v>8</v>
      </c>
      <c r="M629" s="28">
        <v>60</v>
      </c>
      <c r="N629" s="6">
        <v>400</v>
      </c>
      <c r="O629" s="30">
        <f t="shared" si="58"/>
        <v>480</v>
      </c>
      <c r="P629" s="30">
        <f t="shared" si="59"/>
        <v>24000</v>
      </c>
      <c r="Q629" s="1">
        <f>COUNTIFS($P:$P, "&gt;" &amp; $P629) + 1</f>
        <v>869</v>
      </c>
      <c r="R629" s="63">
        <f>(COUNTIFS($P:$P, "&gt;" &amp; $P629) + 1) / (COUNTA($I:$I) - 1)</f>
        <v>0.17380000000000001</v>
      </c>
      <c r="S629" s="23">
        <f>SUMIFS($P:$P, $Q:$Q, "&lt;" &amp; $Q629)</f>
        <v>163547085</v>
      </c>
    </row>
    <row r="630" spans="1:19" x14ac:dyDescent="0.25">
      <c r="A630" s="1">
        <v>625</v>
      </c>
      <c r="B630" s="1" t="s">
        <v>2</v>
      </c>
      <c r="C630" s="1" t="str">
        <f>IF($B630 = "Production Item", _xlfn.XLOOKUP($A630, 'Instrument Table'!$J:$J, 'Instrument Table'!$B:$B, $C629), IF($B630 = "Service Item", _xlfn.XLOOKUP($A630, 'Instrument Table'!$I:$I, 'Instrument Table'!$B:$B, $C629), _xlfn.XLOOKUP($A630, 'Instrument Table'!$H:$H, 'Instrument Table'!$B:$B, $C629)))</f>
        <v>Upright Piano</v>
      </c>
      <c r="D630" s="1" t="str">
        <f>VLOOKUP($C630, 'Instrument Table'!$B:$C, 2, FALSE)</f>
        <v>Pianos</v>
      </c>
      <c r="E630" s="1">
        <f t="shared" si="54"/>
        <v>1</v>
      </c>
      <c r="F630" s="1">
        <f>_xlfn.XLOOKUP($C630, 'Instrument Table'!$B:$B, 'Instrument Table'!$A:$A, "")</f>
        <v>11</v>
      </c>
      <c r="G630" s="1" t="str">
        <f>TEXT(IF($B630 = "Retail Item", IF((ROW($A630) - 4504 - _xlfn.XMATCH($C630, $C$4506:$C$5005, 0, 1)) &lt;= VLOOKUP($C630, 'Instrument Table'!$B:$D, 3, FALSE), ROW($A630) - 4504 - _xlfn.XMATCH($C630, $C$4506:$C$5005, 0, 1), 0), 0), "00")</f>
        <v>00</v>
      </c>
      <c r="H630" s="1" t="str">
        <f t="shared" si="55"/>
        <v>074</v>
      </c>
      <c r="I630" s="1" t="str">
        <f t="shared" si="56"/>
        <v>11100-074</v>
      </c>
      <c r="J630" s="1" t="str">
        <f t="shared" si="57"/>
        <v>Upright piano production item #074</v>
      </c>
      <c r="K630" s="1" t="str">
        <f>IF(SUM(COUNTIFS(I:I, I630)) &gt; 1, "DUPLICATE", "UNIQUE")</f>
        <v>UNIQUE</v>
      </c>
      <c r="L630" s="18">
        <v>1</v>
      </c>
      <c r="M630" s="28">
        <v>92</v>
      </c>
      <c r="N630" s="6">
        <v>256</v>
      </c>
      <c r="O630" s="30">
        <f t="shared" si="58"/>
        <v>92</v>
      </c>
      <c r="P630" s="30">
        <f t="shared" si="59"/>
        <v>23552</v>
      </c>
      <c r="Q630" s="1">
        <f>COUNTIFS($P:$P, "&gt;" &amp; $P630) + 1</f>
        <v>888</v>
      </c>
      <c r="R630" s="63">
        <f>(COUNTIFS($P:$P, "&gt;" &amp; $P630) + 1) / (COUNTA($I:$I) - 1)</f>
        <v>0.17760000000000001</v>
      </c>
      <c r="S630" s="23">
        <f>SUMIFS($P:$P, $Q:$Q, "&lt;" &amp; $Q630)</f>
        <v>164000854</v>
      </c>
    </row>
    <row r="631" spans="1:19" x14ac:dyDescent="0.25">
      <c r="A631" s="1">
        <v>626</v>
      </c>
      <c r="B631" s="1" t="s">
        <v>2</v>
      </c>
      <c r="C631" s="1" t="str">
        <f>IF($B631 = "Production Item", _xlfn.XLOOKUP($A631, 'Instrument Table'!$J:$J, 'Instrument Table'!$B:$B, $C630), IF($B631 = "Service Item", _xlfn.XLOOKUP($A631, 'Instrument Table'!$I:$I, 'Instrument Table'!$B:$B, $C630), _xlfn.XLOOKUP($A631, 'Instrument Table'!$H:$H, 'Instrument Table'!$B:$B, $C630)))</f>
        <v>Upright Piano</v>
      </c>
      <c r="D631" s="1" t="str">
        <f>VLOOKUP($C631, 'Instrument Table'!$B:$C, 2, FALSE)</f>
        <v>Pianos</v>
      </c>
      <c r="E631" s="1">
        <f t="shared" si="54"/>
        <v>1</v>
      </c>
      <c r="F631" s="1">
        <f>_xlfn.XLOOKUP($C631, 'Instrument Table'!$B:$B, 'Instrument Table'!$A:$A, "")</f>
        <v>11</v>
      </c>
      <c r="G631" s="1" t="str">
        <f>TEXT(IF($B631 = "Retail Item", IF((ROW($A631) - 4504 - _xlfn.XMATCH($C631, $C$4506:$C$5005, 0, 1)) &lt;= VLOOKUP($C631, 'Instrument Table'!$B:$D, 3, FALSE), ROW($A631) - 4504 - _xlfn.XMATCH($C631, $C$4506:$C$5005, 0, 1), 0), 0), "00")</f>
        <v>00</v>
      </c>
      <c r="H631" s="1" t="str">
        <f t="shared" si="55"/>
        <v>075</v>
      </c>
      <c r="I631" s="1" t="str">
        <f t="shared" si="56"/>
        <v>11100-075</v>
      </c>
      <c r="J631" s="1" t="str">
        <f t="shared" si="57"/>
        <v>Upright piano production item #075</v>
      </c>
      <c r="K631" s="1" t="str">
        <f>IF(SUM(COUNTIFS(I:I, I631)) &gt; 1, "DUPLICATE", "UNIQUE")</f>
        <v>UNIQUE</v>
      </c>
      <c r="L631" s="18">
        <v>0</v>
      </c>
      <c r="M631" s="28">
        <v>99</v>
      </c>
      <c r="N631" s="6">
        <v>400</v>
      </c>
      <c r="O631" s="30">
        <f t="shared" si="58"/>
        <v>0</v>
      </c>
      <c r="P631" s="30">
        <f t="shared" si="59"/>
        <v>39600</v>
      </c>
      <c r="Q631" s="1">
        <f>COUNTIFS($P:$P, "&gt;" &amp; $P631) + 1</f>
        <v>560</v>
      </c>
      <c r="R631" s="63">
        <f>(COUNTIFS($P:$P, "&gt;" &amp; $P631) + 1) / (COUNTA($I:$I) - 1)</f>
        <v>0.112</v>
      </c>
      <c r="S631" s="23">
        <f>SUMIFS($P:$P, $Q:$Q, "&lt;" &amp; $Q631)</f>
        <v>154377034</v>
      </c>
    </row>
    <row r="632" spans="1:19" x14ac:dyDescent="0.25">
      <c r="A632" s="1">
        <v>627</v>
      </c>
      <c r="B632" s="1" t="s">
        <v>2</v>
      </c>
      <c r="C632" s="1" t="str">
        <f>IF($B632 = "Production Item", _xlfn.XLOOKUP($A632, 'Instrument Table'!$J:$J, 'Instrument Table'!$B:$B, $C631), IF($B632 = "Service Item", _xlfn.XLOOKUP($A632, 'Instrument Table'!$I:$I, 'Instrument Table'!$B:$B, $C631), _xlfn.XLOOKUP($A632, 'Instrument Table'!$H:$H, 'Instrument Table'!$B:$B, $C631)))</f>
        <v>Upright Piano</v>
      </c>
      <c r="D632" s="1" t="str">
        <f>VLOOKUP($C632, 'Instrument Table'!$B:$C, 2, FALSE)</f>
        <v>Pianos</v>
      </c>
      <c r="E632" s="1">
        <f t="shared" si="54"/>
        <v>1</v>
      </c>
      <c r="F632" s="1">
        <f>_xlfn.XLOOKUP($C632, 'Instrument Table'!$B:$B, 'Instrument Table'!$A:$A, "")</f>
        <v>11</v>
      </c>
      <c r="G632" s="1" t="str">
        <f>TEXT(IF($B632 = "Retail Item", IF((ROW($A632) - 4504 - _xlfn.XMATCH($C632, $C$4506:$C$5005, 0, 1)) &lt;= VLOOKUP($C632, 'Instrument Table'!$B:$D, 3, FALSE), ROW($A632) - 4504 - _xlfn.XMATCH($C632, $C$4506:$C$5005, 0, 1), 0), 0), "00")</f>
        <v>00</v>
      </c>
      <c r="H632" s="1" t="str">
        <f t="shared" si="55"/>
        <v>076</v>
      </c>
      <c r="I632" s="1" t="str">
        <f t="shared" si="56"/>
        <v>11100-076</v>
      </c>
      <c r="J632" s="1" t="str">
        <f t="shared" si="57"/>
        <v>Upright piano production item #076</v>
      </c>
      <c r="K632" s="1" t="str">
        <f>IF(SUM(COUNTIFS(I:I, I632)) &gt; 1, "DUPLICATE", "UNIQUE")</f>
        <v>UNIQUE</v>
      </c>
      <c r="L632" s="18">
        <v>4</v>
      </c>
      <c r="M632" s="28">
        <v>22</v>
      </c>
      <c r="N632" s="6">
        <v>144</v>
      </c>
      <c r="O632" s="30">
        <f t="shared" si="58"/>
        <v>88</v>
      </c>
      <c r="P632" s="30">
        <f t="shared" si="59"/>
        <v>3168</v>
      </c>
      <c r="Q632" s="1">
        <f>COUNTIFS($P:$P, "&gt;" &amp; $P632) + 1</f>
        <v>2867</v>
      </c>
      <c r="R632" s="63">
        <f>(COUNTIFS($P:$P, "&gt;" &amp; $P632) + 1) / (COUNTA($I:$I) - 1)</f>
        <v>0.57340000000000002</v>
      </c>
      <c r="S632" s="23">
        <f>SUMIFS($P:$P, $Q:$Q, "&lt;" &amp; $Q632)</f>
        <v>184546148</v>
      </c>
    </row>
    <row r="633" spans="1:19" x14ac:dyDescent="0.25">
      <c r="A633" s="1">
        <v>628</v>
      </c>
      <c r="B633" s="1" t="s">
        <v>2</v>
      </c>
      <c r="C633" s="1" t="str">
        <f>IF($B633 = "Production Item", _xlfn.XLOOKUP($A633, 'Instrument Table'!$J:$J, 'Instrument Table'!$B:$B, $C632), IF($B633 = "Service Item", _xlfn.XLOOKUP($A633, 'Instrument Table'!$I:$I, 'Instrument Table'!$B:$B, $C632), _xlfn.XLOOKUP($A633, 'Instrument Table'!$H:$H, 'Instrument Table'!$B:$B, $C632)))</f>
        <v>Upright Piano</v>
      </c>
      <c r="D633" s="1" t="str">
        <f>VLOOKUP($C633, 'Instrument Table'!$B:$C, 2, FALSE)</f>
        <v>Pianos</v>
      </c>
      <c r="E633" s="1">
        <f t="shared" si="54"/>
        <v>1</v>
      </c>
      <c r="F633" s="1">
        <f>_xlfn.XLOOKUP($C633, 'Instrument Table'!$B:$B, 'Instrument Table'!$A:$A, "")</f>
        <v>11</v>
      </c>
      <c r="G633" s="1" t="str">
        <f>TEXT(IF($B633 = "Retail Item", IF((ROW($A633) - 4504 - _xlfn.XMATCH($C633, $C$4506:$C$5005, 0, 1)) &lt;= VLOOKUP($C633, 'Instrument Table'!$B:$D, 3, FALSE), ROW($A633) - 4504 - _xlfn.XMATCH($C633, $C$4506:$C$5005, 0, 1), 0), 0), "00")</f>
        <v>00</v>
      </c>
      <c r="H633" s="1" t="str">
        <f t="shared" si="55"/>
        <v>077</v>
      </c>
      <c r="I633" s="1" t="str">
        <f t="shared" si="56"/>
        <v>11100-077</v>
      </c>
      <c r="J633" s="1" t="str">
        <f t="shared" si="57"/>
        <v>Upright piano production item #077</v>
      </c>
      <c r="K633" s="1" t="str">
        <f>IF(SUM(COUNTIFS(I:I, I633)) &gt; 1, "DUPLICATE", "UNIQUE")</f>
        <v>UNIQUE</v>
      </c>
      <c r="L633" s="18">
        <v>0</v>
      </c>
      <c r="M633" s="28">
        <v>87</v>
      </c>
      <c r="N633" s="6">
        <v>196</v>
      </c>
      <c r="O633" s="30">
        <f t="shared" si="58"/>
        <v>0</v>
      </c>
      <c r="P633" s="30">
        <f t="shared" si="59"/>
        <v>17052</v>
      </c>
      <c r="Q633" s="1">
        <f>COUNTIFS($P:$P, "&gt;" &amp; $P633) + 1</f>
        <v>1211</v>
      </c>
      <c r="R633" s="63">
        <f>(COUNTIFS($P:$P, "&gt;" &amp; $P633) + 1) / (COUNTA($I:$I) - 1)</f>
        <v>0.2422</v>
      </c>
      <c r="S633" s="23">
        <f>SUMIFS($P:$P, $Q:$Q, "&lt;" &amp; $Q633)</f>
        <v>170515557</v>
      </c>
    </row>
    <row r="634" spans="1:19" x14ac:dyDescent="0.25">
      <c r="A634" s="1">
        <v>629</v>
      </c>
      <c r="B634" s="1" t="s">
        <v>2</v>
      </c>
      <c r="C634" s="1" t="str">
        <f>IF($B634 = "Production Item", _xlfn.XLOOKUP($A634, 'Instrument Table'!$J:$J, 'Instrument Table'!$B:$B, $C633), IF($B634 = "Service Item", _xlfn.XLOOKUP($A634, 'Instrument Table'!$I:$I, 'Instrument Table'!$B:$B, $C633), _xlfn.XLOOKUP($A634, 'Instrument Table'!$H:$H, 'Instrument Table'!$B:$B, $C633)))</f>
        <v>Upright Piano</v>
      </c>
      <c r="D634" s="1" t="str">
        <f>VLOOKUP($C634, 'Instrument Table'!$B:$C, 2, FALSE)</f>
        <v>Pianos</v>
      </c>
      <c r="E634" s="1">
        <f t="shared" si="54"/>
        <v>1</v>
      </c>
      <c r="F634" s="1">
        <f>_xlfn.XLOOKUP($C634, 'Instrument Table'!$B:$B, 'Instrument Table'!$A:$A, "")</f>
        <v>11</v>
      </c>
      <c r="G634" s="1" t="str">
        <f>TEXT(IF($B634 = "Retail Item", IF((ROW($A634) - 4504 - _xlfn.XMATCH($C634, $C$4506:$C$5005, 0, 1)) &lt;= VLOOKUP($C634, 'Instrument Table'!$B:$D, 3, FALSE), ROW($A634) - 4504 - _xlfn.XMATCH($C634, $C$4506:$C$5005, 0, 1), 0), 0), "00")</f>
        <v>00</v>
      </c>
      <c r="H634" s="1" t="str">
        <f t="shared" si="55"/>
        <v>078</v>
      </c>
      <c r="I634" s="1" t="str">
        <f t="shared" si="56"/>
        <v>11100-078</v>
      </c>
      <c r="J634" s="1" t="str">
        <f t="shared" si="57"/>
        <v>Upright piano production item #078</v>
      </c>
      <c r="K634" s="1" t="str">
        <f>IF(SUM(COUNTIFS(I:I, I634)) &gt; 1, "DUPLICATE", "UNIQUE")</f>
        <v>UNIQUE</v>
      </c>
      <c r="L634" s="18">
        <v>0</v>
      </c>
      <c r="M634" s="28">
        <v>12</v>
      </c>
      <c r="N634" s="6">
        <v>36</v>
      </c>
      <c r="O634" s="30">
        <f t="shared" si="58"/>
        <v>0</v>
      </c>
      <c r="P634" s="30">
        <f t="shared" si="59"/>
        <v>432</v>
      </c>
      <c r="Q634" s="1">
        <f>COUNTIFS($P:$P, "&gt;" &amp; $P634) + 1</f>
        <v>4071</v>
      </c>
      <c r="R634" s="63">
        <f>(COUNTIFS($P:$P, "&gt;" &amp; $P634) + 1) / (COUNTA($I:$I) - 1)</f>
        <v>0.81420000000000003</v>
      </c>
      <c r="S634" s="23">
        <f>SUMIFS($P:$P, $Q:$Q, "&lt;" &amp; $Q634)</f>
        <v>186432845</v>
      </c>
    </row>
    <row r="635" spans="1:19" x14ac:dyDescent="0.25">
      <c r="A635" s="1">
        <v>630</v>
      </c>
      <c r="B635" s="1" t="s">
        <v>2</v>
      </c>
      <c r="C635" s="1" t="str">
        <f>IF($B635 = "Production Item", _xlfn.XLOOKUP($A635, 'Instrument Table'!$J:$J, 'Instrument Table'!$B:$B, $C634), IF($B635 = "Service Item", _xlfn.XLOOKUP($A635, 'Instrument Table'!$I:$I, 'Instrument Table'!$B:$B, $C634), _xlfn.XLOOKUP($A635, 'Instrument Table'!$H:$H, 'Instrument Table'!$B:$B, $C634)))</f>
        <v>Upright Piano</v>
      </c>
      <c r="D635" s="1" t="str">
        <f>VLOOKUP($C635, 'Instrument Table'!$B:$C, 2, FALSE)</f>
        <v>Pianos</v>
      </c>
      <c r="E635" s="1">
        <f t="shared" si="54"/>
        <v>1</v>
      </c>
      <c r="F635" s="1">
        <f>_xlfn.XLOOKUP($C635, 'Instrument Table'!$B:$B, 'Instrument Table'!$A:$A, "")</f>
        <v>11</v>
      </c>
      <c r="G635" s="1" t="str">
        <f>TEXT(IF($B635 = "Retail Item", IF((ROW($A635) - 4504 - _xlfn.XMATCH($C635, $C$4506:$C$5005, 0, 1)) &lt;= VLOOKUP($C635, 'Instrument Table'!$B:$D, 3, FALSE), ROW($A635) - 4504 - _xlfn.XMATCH($C635, $C$4506:$C$5005, 0, 1), 0), 0), "00")</f>
        <v>00</v>
      </c>
      <c r="H635" s="1" t="str">
        <f t="shared" si="55"/>
        <v>079</v>
      </c>
      <c r="I635" s="1" t="str">
        <f t="shared" si="56"/>
        <v>11100-079</v>
      </c>
      <c r="J635" s="1" t="str">
        <f t="shared" si="57"/>
        <v>Upright piano production item #079</v>
      </c>
      <c r="K635" s="1" t="str">
        <f>IF(SUM(COUNTIFS(I:I, I635)) &gt; 1, "DUPLICATE", "UNIQUE")</f>
        <v>UNIQUE</v>
      </c>
      <c r="L635" s="18">
        <v>0</v>
      </c>
      <c r="M635" s="28">
        <v>18</v>
      </c>
      <c r="N635" s="6">
        <v>196</v>
      </c>
      <c r="O635" s="30">
        <f t="shared" si="58"/>
        <v>0</v>
      </c>
      <c r="P635" s="30">
        <f t="shared" si="59"/>
        <v>3528</v>
      </c>
      <c r="Q635" s="1">
        <f>COUNTIFS($P:$P, "&gt;" &amp; $P635) + 1</f>
        <v>2761</v>
      </c>
      <c r="R635" s="63">
        <f>(COUNTIFS($P:$P, "&gt;" &amp; $P635) + 1) / (COUNTA($I:$I) - 1)</f>
        <v>0.55220000000000002</v>
      </c>
      <c r="S635" s="23">
        <f>SUMIFS($P:$P, $Q:$Q, "&lt;" &amp; $Q635)</f>
        <v>184189975</v>
      </c>
    </row>
    <row r="636" spans="1:19" x14ac:dyDescent="0.25">
      <c r="A636" s="1">
        <v>631</v>
      </c>
      <c r="B636" s="1" t="s">
        <v>2</v>
      </c>
      <c r="C636" s="1" t="str">
        <f>IF($B636 = "Production Item", _xlfn.XLOOKUP($A636, 'Instrument Table'!$J:$J, 'Instrument Table'!$B:$B, $C635), IF($B636 = "Service Item", _xlfn.XLOOKUP($A636, 'Instrument Table'!$I:$I, 'Instrument Table'!$B:$B, $C635), _xlfn.XLOOKUP($A636, 'Instrument Table'!$H:$H, 'Instrument Table'!$B:$B, $C635)))</f>
        <v>Upright Piano</v>
      </c>
      <c r="D636" s="1" t="str">
        <f>VLOOKUP($C636, 'Instrument Table'!$B:$C, 2, FALSE)</f>
        <v>Pianos</v>
      </c>
      <c r="E636" s="1">
        <f t="shared" si="54"/>
        <v>1</v>
      </c>
      <c r="F636" s="1">
        <f>_xlfn.XLOOKUP($C636, 'Instrument Table'!$B:$B, 'Instrument Table'!$A:$A, "")</f>
        <v>11</v>
      </c>
      <c r="G636" s="1" t="str">
        <f>TEXT(IF($B636 = "Retail Item", IF((ROW($A636) - 4504 - _xlfn.XMATCH($C636, $C$4506:$C$5005, 0, 1)) &lt;= VLOOKUP($C636, 'Instrument Table'!$B:$D, 3, FALSE), ROW($A636) - 4504 - _xlfn.XMATCH($C636, $C$4506:$C$5005, 0, 1), 0), 0), "00")</f>
        <v>00</v>
      </c>
      <c r="H636" s="1" t="str">
        <f t="shared" si="55"/>
        <v>080</v>
      </c>
      <c r="I636" s="1" t="str">
        <f t="shared" si="56"/>
        <v>11100-080</v>
      </c>
      <c r="J636" s="1" t="str">
        <f t="shared" si="57"/>
        <v>Upright piano production item #080</v>
      </c>
      <c r="K636" s="1" t="str">
        <f>IF(SUM(COUNTIFS(I:I, I636)) &gt; 1, "DUPLICATE", "UNIQUE")</f>
        <v>UNIQUE</v>
      </c>
      <c r="L636" s="18">
        <v>32</v>
      </c>
      <c r="M636" s="28">
        <v>90</v>
      </c>
      <c r="N636" s="6">
        <v>400</v>
      </c>
      <c r="O636" s="30">
        <f t="shared" si="58"/>
        <v>2880</v>
      </c>
      <c r="P636" s="30">
        <f t="shared" si="59"/>
        <v>36000</v>
      </c>
      <c r="Q636" s="1">
        <f>COUNTIFS($P:$P, "&gt;" &amp; $P636) + 1</f>
        <v>592</v>
      </c>
      <c r="R636" s="63">
        <f>(COUNTIFS($P:$P, "&gt;" &amp; $P636) + 1) / (COUNTA($I:$I) - 1)</f>
        <v>0.11840000000000001</v>
      </c>
      <c r="S636" s="23">
        <f>SUMIFS($P:$P, $Q:$Q, "&lt;" &amp; $Q636)</f>
        <v>155584703</v>
      </c>
    </row>
    <row r="637" spans="1:19" x14ac:dyDescent="0.25">
      <c r="A637" s="1">
        <v>632</v>
      </c>
      <c r="B637" s="1" t="s">
        <v>2</v>
      </c>
      <c r="C637" s="1" t="str">
        <f>IF($B637 = "Production Item", _xlfn.XLOOKUP($A637, 'Instrument Table'!$J:$J, 'Instrument Table'!$B:$B, $C636), IF($B637 = "Service Item", _xlfn.XLOOKUP($A637, 'Instrument Table'!$I:$I, 'Instrument Table'!$B:$B, $C636), _xlfn.XLOOKUP($A637, 'Instrument Table'!$H:$H, 'Instrument Table'!$B:$B, $C636)))</f>
        <v>Upright Piano</v>
      </c>
      <c r="D637" s="1" t="str">
        <f>VLOOKUP($C637, 'Instrument Table'!$B:$C, 2, FALSE)</f>
        <v>Pianos</v>
      </c>
      <c r="E637" s="1">
        <f t="shared" si="54"/>
        <v>1</v>
      </c>
      <c r="F637" s="1">
        <f>_xlfn.XLOOKUP($C637, 'Instrument Table'!$B:$B, 'Instrument Table'!$A:$A, "")</f>
        <v>11</v>
      </c>
      <c r="G637" s="1" t="str">
        <f>TEXT(IF($B637 = "Retail Item", IF((ROW($A637) - 4504 - _xlfn.XMATCH($C637, $C$4506:$C$5005, 0, 1)) &lt;= VLOOKUP($C637, 'Instrument Table'!$B:$D, 3, FALSE), ROW($A637) - 4504 - _xlfn.XMATCH($C637, $C$4506:$C$5005, 0, 1), 0), 0), "00")</f>
        <v>00</v>
      </c>
      <c r="H637" s="1" t="str">
        <f t="shared" si="55"/>
        <v>081</v>
      </c>
      <c r="I637" s="1" t="str">
        <f t="shared" si="56"/>
        <v>11100-081</v>
      </c>
      <c r="J637" s="1" t="str">
        <f t="shared" si="57"/>
        <v>Upright piano production item #081</v>
      </c>
      <c r="K637" s="1" t="str">
        <f>IF(SUM(COUNTIFS(I:I, I637)) &gt; 1, "DUPLICATE", "UNIQUE")</f>
        <v>UNIQUE</v>
      </c>
      <c r="L637" s="18">
        <v>0</v>
      </c>
      <c r="M637" s="28">
        <v>80</v>
      </c>
      <c r="N637" s="6">
        <v>49</v>
      </c>
      <c r="O637" s="30">
        <f t="shared" si="58"/>
        <v>0</v>
      </c>
      <c r="P637" s="30">
        <f t="shared" si="59"/>
        <v>3920</v>
      </c>
      <c r="Q637" s="1">
        <f>COUNTIFS($P:$P, "&gt;" &amp; $P637) + 1</f>
        <v>2667</v>
      </c>
      <c r="R637" s="63">
        <f>(COUNTIFS($P:$P, "&gt;" &amp; $P637) + 1) / (COUNTA($I:$I) - 1)</f>
        <v>0.53339999999999999</v>
      </c>
      <c r="S637" s="23">
        <f>SUMIFS($P:$P, $Q:$Q, "&lt;" &amp; $Q637)</f>
        <v>183838824</v>
      </c>
    </row>
    <row r="638" spans="1:19" x14ac:dyDescent="0.25">
      <c r="A638" s="1">
        <v>633</v>
      </c>
      <c r="B638" s="1" t="s">
        <v>2</v>
      </c>
      <c r="C638" s="1" t="str">
        <f>IF($B638 = "Production Item", _xlfn.XLOOKUP($A638, 'Instrument Table'!$J:$J, 'Instrument Table'!$B:$B, $C637), IF($B638 = "Service Item", _xlfn.XLOOKUP($A638, 'Instrument Table'!$I:$I, 'Instrument Table'!$B:$B, $C637), _xlfn.XLOOKUP($A638, 'Instrument Table'!$H:$H, 'Instrument Table'!$B:$B, $C637)))</f>
        <v>Upright Piano</v>
      </c>
      <c r="D638" s="1" t="str">
        <f>VLOOKUP($C638, 'Instrument Table'!$B:$C, 2, FALSE)</f>
        <v>Pianos</v>
      </c>
      <c r="E638" s="1">
        <f t="shared" si="54"/>
        <v>1</v>
      </c>
      <c r="F638" s="1">
        <f>_xlfn.XLOOKUP($C638, 'Instrument Table'!$B:$B, 'Instrument Table'!$A:$A, "")</f>
        <v>11</v>
      </c>
      <c r="G638" s="1" t="str">
        <f>TEXT(IF($B638 = "Retail Item", IF((ROW($A638) - 4504 - _xlfn.XMATCH($C638, $C$4506:$C$5005, 0, 1)) &lt;= VLOOKUP($C638, 'Instrument Table'!$B:$D, 3, FALSE), ROW($A638) - 4504 - _xlfn.XMATCH($C638, $C$4506:$C$5005, 0, 1), 0), 0), "00")</f>
        <v>00</v>
      </c>
      <c r="H638" s="1" t="str">
        <f t="shared" si="55"/>
        <v>082</v>
      </c>
      <c r="I638" s="1" t="str">
        <f t="shared" si="56"/>
        <v>11100-082</v>
      </c>
      <c r="J638" s="1" t="str">
        <f t="shared" si="57"/>
        <v>Upright piano production item #082</v>
      </c>
      <c r="K638" s="1" t="str">
        <f>IF(SUM(COUNTIFS(I:I, I638)) &gt; 1, "DUPLICATE", "UNIQUE")</f>
        <v>UNIQUE</v>
      </c>
      <c r="L638" s="18">
        <v>2</v>
      </c>
      <c r="M638" s="28">
        <v>20</v>
      </c>
      <c r="N638" s="6">
        <v>121</v>
      </c>
      <c r="O638" s="30">
        <f t="shared" si="58"/>
        <v>40</v>
      </c>
      <c r="P638" s="30">
        <f t="shared" si="59"/>
        <v>2420</v>
      </c>
      <c r="Q638" s="1">
        <f>COUNTIFS($P:$P, "&gt;" &amp; $P638) + 1</f>
        <v>3079</v>
      </c>
      <c r="R638" s="63">
        <f>(COUNTIFS($P:$P, "&gt;" &amp; $P638) + 1) / (COUNTA($I:$I) - 1)</f>
        <v>0.61580000000000001</v>
      </c>
      <c r="S638" s="23">
        <f>SUMIFS($P:$P, $Q:$Q, "&lt;" &amp; $Q638)</f>
        <v>185132100</v>
      </c>
    </row>
    <row r="639" spans="1:19" x14ac:dyDescent="0.25">
      <c r="A639" s="1">
        <v>634</v>
      </c>
      <c r="B639" s="1" t="s">
        <v>2</v>
      </c>
      <c r="C639" s="1" t="str">
        <f>IF($B639 = "Production Item", _xlfn.XLOOKUP($A639, 'Instrument Table'!$J:$J, 'Instrument Table'!$B:$B, $C638), IF($B639 = "Service Item", _xlfn.XLOOKUP($A639, 'Instrument Table'!$I:$I, 'Instrument Table'!$B:$B, $C638), _xlfn.XLOOKUP($A639, 'Instrument Table'!$H:$H, 'Instrument Table'!$B:$B, $C638)))</f>
        <v>Upright Piano</v>
      </c>
      <c r="D639" s="1" t="str">
        <f>VLOOKUP($C639, 'Instrument Table'!$B:$C, 2, FALSE)</f>
        <v>Pianos</v>
      </c>
      <c r="E639" s="1">
        <f t="shared" si="54"/>
        <v>1</v>
      </c>
      <c r="F639" s="1">
        <f>_xlfn.XLOOKUP($C639, 'Instrument Table'!$B:$B, 'Instrument Table'!$A:$A, "")</f>
        <v>11</v>
      </c>
      <c r="G639" s="1" t="str">
        <f>TEXT(IF($B639 = "Retail Item", IF((ROW($A639) - 4504 - _xlfn.XMATCH($C639, $C$4506:$C$5005, 0, 1)) &lt;= VLOOKUP($C639, 'Instrument Table'!$B:$D, 3, FALSE), ROW($A639) - 4504 - _xlfn.XMATCH($C639, $C$4506:$C$5005, 0, 1), 0), 0), "00")</f>
        <v>00</v>
      </c>
      <c r="H639" s="1" t="str">
        <f t="shared" si="55"/>
        <v>083</v>
      </c>
      <c r="I639" s="1" t="str">
        <f t="shared" si="56"/>
        <v>11100-083</v>
      </c>
      <c r="J639" s="1" t="str">
        <f t="shared" si="57"/>
        <v>Upright piano production item #083</v>
      </c>
      <c r="K639" s="1" t="str">
        <f>IF(SUM(COUNTIFS(I:I, I639)) &gt; 1, "DUPLICATE", "UNIQUE")</f>
        <v>UNIQUE</v>
      </c>
      <c r="L639" s="18">
        <v>0</v>
      </c>
      <c r="M639" s="28">
        <v>92</v>
      </c>
      <c r="N639" s="6">
        <v>100</v>
      </c>
      <c r="O639" s="30">
        <f t="shared" si="58"/>
        <v>0</v>
      </c>
      <c r="P639" s="30">
        <f t="shared" si="59"/>
        <v>9200</v>
      </c>
      <c r="Q639" s="1">
        <f>COUNTIFS($P:$P, "&gt;" &amp; $P639) + 1</f>
        <v>1855</v>
      </c>
      <c r="R639" s="63">
        <f>(COUNTIFS($P:$P, "&gt;" &amp; $P639) + 1) / (COUNTA($I:$I) - 1)</f>
        <v>0.371</v>
      </c>
      <c r="S639" s="23">
        <f>SUMIFS($P:$P, $Q:$Q, "&lt;" &amp; $Q639)</f>
        <v>178759900</v>
      </c>
    </row>
    <row r="640" spans="1:19" x14ac:dyDescent="0.25">
      <c r="A640" s="1">
        <v>635</v>
      </c>
      <c r="B640" s="1" t="s">
        <v>2</v>
      </c>
      <c r="C640" s="1" t="str">
        <f>IF($B640 = "Production Item", _xlfn.XLOOKUP($A640, 'Instrument Table'!$J:$J, 'Instrument Table'!$B:$B, $C639), IF($B640 = "Service Item", _xlfn.XLOOKUP($A640, 'Instrument Table'!$I:$I, 'Instrument Table'!$B:$B, $C639), _xlfn.XLOOKUP($A640, 'Instrument Table'!$H:$H, 'Instrument Table'!$B:$B, $C639)))</f>
        <v>Upright Piano</v>
      </c>
      <c r="D640" s="1" t="str">
        <f>VLOOKUP($C640, 'Instrument Table'!$B:$C, 2, FALSE)</f>
        <v>Pianos</v>
      </c>
      <c r="E640" s="1">
        <f t="shared" si="54"/>
        <v>1</v>
      </c>
      <c r="F640" s="1">
        <f>_xlfn.XLOOKUP($C640, 'Instrument Table'!$B:$B, 'Instrument Table'!$A:$A, "")</f>
        <v>11</v>
      </c>
      <c r="G640" s="1" t="str">
        <f>TEXT(IF($B640 = "Retail Item", IF((ROW($A640) - 4504 - _xlfn.XMATCH($C640, $C$4506:$C$5005, 0, 1)) &lt;= VLOOKUP($C640, 'Instrument Table'!$B:$D, 3, FALSE), ROW($A640) - 4504 - _xlfn.XMATCH($C640, $C$4506:$C$5005, 0, 1), 0), 0), "00")</f>
        <v>00</v>
      </c>
      <c r="H640" s="1" t="str">
        <f t="shared" si="55"/>
        <v>084</v>
      </c>
      <c r="I640" s="1" t="str">
        <f t="shared" si="56"/>
        <v>11100-084</v>
      </c>
      <c r="J640" s="1" t="str">
        <f t="shared" si="57"/>
        <v>Upright piano production item #084</v>
      </c>
      <c r="K640" s="1" t="str">
        <f>IF(SUM(COUNTIFS(I:I, I640)) &gt; 1, "DUPLICATE", "UNIQUE")</f>
        <v>UNIQUE</v>
      </c>
      <c r="L640" s="18">
        <v>2</v>
      </c>
      <c r="M640" s="28">
        <v>16</v>
      </c>
      <c r="N640" s="6">
        <v>36</v>
      </c>
      <c r="O640" s="30">
        <f t="shared" si="58"/>
        <v>32</v>
      </c>
      <c r="P640" s="30">
        <f t="shared" si="59"/>
        <v>576</v>
      </c>
      <c r="Q640" s="1">
        <f>COUNTIFS($P:$P, "&gt;" &amp; $P640) + 1</f>
        <v>3957</v>
      </c>
      <c r="R640" s="63">
        <f>(COUNTIFS($P:$P, "&gt;" &amp; $P640) + 1) / (COUNTA($I:$I) - 1)</f>
        <v>0.79139999999999999</v>
      </c>
      <c r="S640" s="23">
        <f>SUMIFS($P:$P, $Q:$Q, "&lt;" &amp; $Q640)</f>
        <v>186374368</v>
      </c>
    </row>
    <row r="641" spans="1:19" x14ac:dyDescent="0.25">
      <c r="A641" s="1">
        <v>636</v>
      </c>
      <c r="B641" s="1" t="s">
        <v>2</v>
      </c>
      <c r="C641" s="1" t="str">
        <f>IF($B641 = "Production Item", _xlfn.XLOOKUP($A641, 'Instrument Table'!$J:$J, 'Instrument Table'!$B:$B, $C640), IF($B641 = "Service Item", _xlfn.XLOOKUP($A641, 'Instrument Table'!$I:$I, 'Instrument Table'!$B:$B, $C640), _xlfn.XLOOKUP($A641, 'Instrument Table'!$H:$H, 'Instrument Table'!$B:$B, $C640)))</f>
        <v>Upright Piano</v>
      </c>
      <c r="D641" s="1" t="str">
        <f>VLOOKUP($C641, 'Instrument Table'!$B:$C, 2, FALSE)</f>
        <v>Pianos</v>
      </c>
      <c r="E641" s="1">
        <f t="shared" si="54"/>
        <v>1</v>
      </c>
      <c r="F641" s="1">
        <f>_xlfn.XLOOKUP($C641, 'Instrument Table'!$B:$B, 'Instrument Table'!$A:$A, "")</f>
        <v>11</v>
      </c>
      <c r="G641" s="1" t="str">
        <f>TEXT(IF($B641 = "Retail Item", IF((ROW($A641) - 4504 - _xlfn.XMATCH($C641, $C$4506:$C$5005, 0, 1)) &lt;= VLOOKUP($C641, 'Instrument Table'!$B:$D, 3, FALSE), ROW($A641) - 4504 - _xlfn.XMATCH($C641, $C$4506:$C$5005, 0, 1), 0), 0), "00")</f>
        <v>00</v>
      </c>
      <c r="H641" s="1" t="str">
        <f t="shared" si="55"/>
        <v>085</v>
      </c>
      <c r="I641" s="1" t="str">
        <f t="shared" si="56"/>
        <v>11100-085</v>
      </c>
      <c r="J641" s="1" t="str">
        <f t="shared" si="57"/>
        <v>Upright piano production item #085</v>
      </c>
      <c r="K641" s="1" t="str">
        <f>IF(SUM(COUNTIFS(I:I, I641)) &gt; 1, "DUPLICATE", "UNIQUE")</f>
        <v>UNIQUE</v>
      </c>
      <c r="L641" s="18">
        <v>32</v>
      </c>
      <c r="M641" s="28">
        <v>9</v>
      </c>
      <c r="N641" s="6">
        <v>36</v>
      </c>
      <c r="O641" s="30">
        <f t="shared" si="58"/>
        <v>288</v>
      </c>
      <c r="P641" s="30">
        <f t="shared" si="59"/>
        <v>324</v>
      </c>
      <c r="Q641" s="1">
        <f>COUNTIFS($P:$P, "&gt;" &amp; $P641) + 1</f>
        <v>4180</v>
      </c>
      <c r="R641" s="63">
        <f>(COUNTIFS($P:$P, "&gt;" &amp; $P641) + 1) / (COUNTA($I:$I) - 1)</f>
        <v>0.83599999999999997</v>
      </c>
      <c r="S641" s="23">
        <f>SUMIFS($P:$P, $Q:$Q, "&lt;" &amp; $Q641)</f>
        <v>186473950</v>
      </c>
    </row>
    <row r="642" spans="1:19" x14ac:dyDescent="0.25">
      <c r="A642" s="1">
        <v>637</v>
      </c>
      <c r="B642" s="1" t="s">
        <v>2</v>
      </c>
      <c r="C642" s="1" t="str">
        <f>IF($B642 = "Production Item", _xlfn.XLOOKUP($A642, 'Instrument Table'!$J:$J, 'Instrument Table'!$B:$B, $C641), IF($B642 = "Service Item", _xlfn.XLOOKUP($A642, 'Instrument Table'!$I:$I, 'Instrument Table'!$B:$B, $C641), _xlfn.XLOOKUP($A642, 'Instrument Table'!$H:$H, 'Instrument Table'!$B:$B, $C641)))</f>
        <v>Upright Piano</v>
      </c>
      <c r="D642" s="1" t="str">
        <f>VLOOKUP($C642, 'Instrument Table'!$B:$C, 2, FALSE)</f>
        <v>Pianos</v>
      </c>
      <c r="E642" s="1">
        <f t="shared" si="54"/>
        <v>1</v>
      </c>
      <c r="F642" s="1">
        <f>_xlfn.XLOOKUP($C642, 'Instrument Table'!$B:$B, 'Instrument Table'!$A:$A, "")</f>
        <v>11</v>
      </c>
      <c r="G642" s="1" t="str">
        <f>TEXT(IF($B642 = "Retail Item", IF((ROW($A642) - 4504 - _xlfn.XMATCH($C642, $C$4506:$C$5005, 0, 1)) &lt;= VLOOKUP($C642, 'Instrument Table'!$B:$D, 3, FALSE), ROW($A642) - 4504 - _xlfn.XMATCH($C642, $C$4506:$C$5005, 0, 1), 0), 0), "00")</f>
        <v>00</v>
      </c>
      <c r="H642" s="1" t="str">
        <f t="shared" si="55"/>
        <v>086</v>
      </c>
      <c r="I642" s="1" t="str">
        <f t="shared" si="56"/>
        <v>11100-086</v>
      </c>
      <c r="J642" s="1" t="str">
        <f t="shared" si="57"/>
        <v>Upright piano production item #086</v>
      </c>
      <c r="K642" s="1" t="str">
        <f>IF(SUM(COUNTIFS(I:I, I642)) &gt; 1, "DUPLICATE", "UNIQUE")</f>
        <v>UNIQUE</v>
      </c>
      <c r="L642" s="18">
        <v>1</v>
      </c>
      <c r="M642" s="28">
        <v>92</v>
      </c>
      <c r="N642" s="6">
        <v>225</v>
      </c>
      <c r="O642" s="30">
        <f t="shared" si="58"/>
        <v>92</v>
      </c>
      <c r="P642" s="30">
        <f t="shared" si="59"/>
        <v>20700</v>
      </c>
      <c r="Q642" s="1">
        <f>COUNTIFS($P:$P, "&gt;" &amp; $P642) + 1</f>
        <v>1018</v>
      </c>
      <c r="R642" s="63">
        <f>(COUNTIFS($P:$P, "&gt;" &amp; $P642) + 1) / (COUNTA($I:$I) - 1)</f>
        <v>0.2036</v>
      </c>
      <c r="S642" s="23">
        <f>SUMIFS($P:$P, $Q:$Q, "&lt;" &amp; $Q642)</f>
        <v>166867897</v>
      </c>
    </row>
    <row r="643" spans="1:19" x14ac:dyDescent="0.25">
      <c r="A643" s="1">
        <v>638</v>
      </c>
      <c r="B643" s="1" t="s">
        <v>2</v>
      </c>
      <c r="C643" s="1" t="str">
        <f>IF($B643 = "Production Item", _xlfn.XLOOKUP($A643, 'Instrument Table'!$J:$J, 'Instrument Table'!$B:$B, $C642), IF($B643 = "Service Item", _xlfn.XLOOKUP($A643, 'Instrument Table'!$I:$I, 'Instrument Table'!$B:$B, $C642), _xlfn.XLOOKUP($A643, 'Instrument Table'!$H:$H, 'Instrument Table'!$B:$B, $C642)))</f>
        <v>Upright Piano</v>
      </c>
      <c r="D643" s="1" t="str">
        <f>VLOOKUP($C643, 'Instrument Table'!$B:$C, 2, FALSE)</f>
        <v>Pianos</v>
      </c>
      <c r="E643" s="1">
        <f t="shared" si="54"/>
        <v>1</v>
      </c>
      <c r="F643" s="1">
        <f>_xlfn.XLOOKUP($C643, 'Instrument Table'!$B:$B, 'Instrument Table'!$A:$A, "")</f>
        <v>11</v>
      </c>
      <c r="G643" s="1" t="str">
        <f>TEXT(IF($B643 = "Retail Item", IF((ROW($A643) - 4504 - _xlfn.XMATCH($C643, $C$4506:$C$5005, 0, 1)) &lt;= VLOOKUP($C643, 'Instrument Table'!$B:$D, 3, FALSE), ROW($A643) - 4504 - _xlfn.XMATCH($C643, $C$4506:$C$5005, 0, 1), 0), 0), "00")</f>
        <v>00</v>
      </c>
      <c r="H643" s="1" t="str">
        <f t="shared" si="55"/>
        <v>087</v>
      </c>
      <c r="I643" s="1" t="str">
        <f t="shared" si="56"/>
        <v>11100-087</v>
      </c>
      <c r="J643" s="1" t="str">
        <f t="shared" si="57"/>
        <v>Upright piano production item #087</v>
      </c>
      <c r="K643" s="1" t="str">
        <f>IF(SUM(COUNTIFS(I:I, I643)) &gt; 1, "DUPLICATE", "UNIQUE")</f>
        <v>UNIQUE</v>
      </c>
      <c r="L643" s="18">
        <v>0</v>
      </c>
      <c r="M643" s="28">
        <v>55</v>
      </c>
      <c r="N643" s="6">
        <v>100</v>
      </c>
      <c r="O643" s="30">
        <f t="shared" si="58"/>
        <v>0</v>
      </c>
      <c r="P643" s="30">
        <f t="shared" si="59"/>
        <v>5500</v>
      </c>
      <c r="Q643" s="1">
        <f>COUNTIFS($P:$P, "&gt;" &amp; $P643) + 1</f>
        <v>2351</v>
      </c>
      <c r="R643" s="63">
        <f>(COUNTIFS($P:$P, "&gt;" &amp; $P643) + 1) / (COUNTA($I:$I) - 1)</f>
        <v>0.47020000000000001</v>
      </c>
      <c r="S643" s="23">
        <f>SUMIFS($P:$P, $Q:$Q, "&lt;" &amp; $Q643)</f>
        <v>182353049</v>
      </c>
    </row>
    <row r="644" spans="1:19" x14ac:dyDescent="0.25">
      <c r="A644" s="1">
        <v>639</v>
      </c>
      <c r="B644" s="1" t="s">
        <v>2</v>
      </c>
      <c r="C644" s="1" t="str">
        <f>IF($B644 = "Production Item", _xlfn.XLOOKUP($A644, 'Instrument Table'!$J:$J, 'Instrument Table'!$B:$B, $C643), IF($B644 = "Service Item", _xlfn.XLOOKUP($A644, 'Instrument Table'!$I:$I, 'Instrument Table'!$B:$B, $C643), _xlfn.XLOOKUP($A644, 'Instrument Table'!$H:$H, 'Instrument Table'!$B:$B, $C643)))</f>
        <v>Upright Piano</v>
      </c>
      <c r="D644" s="1" t="str">
        <f>VLOOKUP($C644, 'Instrument Table'!$B:$C, 2, FALSE)</f>
        <v>Pianos</v>
      </c>
      <c r="E644" s="1">
        <f t="shared" si="54"/>
        <v>1</v>
      </c>
      <c r="F644" s="1">
        <f>_xlfn.XLOOKUP($C644, 'Instrument Table'!$B:$B, 'Instrument Table'!$A:$A, "")</f>
        <v>11</v>
      </c>
      <c r="G644" s="1" t="str">
        <f>TEXT(IF($B644 = "Retail Item", IF((ROW($A644) - 4504 - _xlfn.XMATCH($C644, $C$4506:$C$5005, 0, 1)) &lt;= VLOOKUP($C644, 'Instrument Table'!$B:$D, 3, FALSE), ROW($A644) - 4504 - _xlfn.XMATCH($C644, $C$4506:$C$5005, 0, 1), 0), 0), "00")</f>
        <v>00</v>
      </c>
      <c r="H644" s="1" t="str">
        <f t="shared" si="55"/>
        <v>088</v>
      </c>
      <c r="I644" s="1" t="str">
        <f t="shared" si="56"/>
        <v>11100-088</v>
      </c>
      <c r="J644" s="1" t="str">
        <f t="shared" si="57"/>
        <v>Upright piano production item #088</v>
      </c>
      <c r="K644" s="1" t="str">
        <f>IF(SUM(COUNTIFS(I:I, I644)) &gt; 1, "DUPLICATE", "UNIQUE")</f>
        <v>UNIQUE</v>
      </c>
      <c r="L644" s="18">
        <v>1</v>
      </c>
      <c r="M644" s="28">
        <v>98</v>
      </c>
      <c r="N644" s="6">
        <v>49</v>
      </c>
      <c r="O644" s="30">
        <f t="shared" si="58"/>
        <v>98</v>
      </c>
      <c r="P644" s="30">
        <f t="shared" si="59"/>
        <v>4802</v>
      </c>
      <c r="Q644" s="1">
        <f>COUNTIFS($P:$P, "&gt;" &amp; $P644) + 1</f>
        <v>2483</v>
      </c>
      <c r="R644" s="63">
        <f>(COUNTIFS($P:$P, "&gt;" &amp; $P644) + 1) / (COUNTA($I:$I) - 1)</f>
        <v>0.49659999999999999</v>
      </c>
      <c r="S644" s="23">
        <f>SUMIFS($P:$P, $Q:$Q, "&lt;" &amp; $Q644)</f>
        <v>183034124</v>
      </c>
    </row>
    <row r="645" spans="1:19" x14ac:dyDescent="0.25">
      <c r="A645" s="1">
        <v>640</v>
      </c>
      <c r="B645" s="1" t="s">
        <v>2</v>
      </c>
      <c r="C645" s="1" t="str">
        <f>IF($B645 = "Production Item", _xlfn.XLOOKUP($A645, 'Instrument Table'!$J:$J, 'Instrument Table'!$B:$B, $C644), IF($B645 = "Service Item", _xlfn.XLOOKUP($A645, 'Instrument Table'!$I:$I, 'Instrument Table'!$B:$B, $C644), _xlfn.XLOOKUP($A645, 'Instrument Table'!$H:$H, 'Instrument Table'!$B:$B, $C644)))</f>
        <v>Upright Piano</v>
      </c>
      <c r="D645" s="1" t="str">
        <f>VLOOKUP($C645, 'Instrument Table'!$B:$C, 2, FALSE)</f>
        <v>Pianos</v>
      </c>
      <c r="E645" s="1">
        <f t="shared" si="54"/>
        <v>1</v>
      </c>
      <c r="F645" s="1">
        <f>_xlfn.XLOOKUP($C645, 'Instrument Table'!$B:$B, 'Instrument Table'!$A:$A, "")</f>
        <v>11</v>
      </c>
      <c r="G645" s="1" t="str">
        <f>TEXT(IF($B645 = "Retail Item", IF((ROW($A645) - 4504 - _xlfn.XMATCH($C645, $C$4506:$C$5005, 0, 1)) &lt;= VLOOKUP($C645, 'Instrument Table'!$B:$D, 3, FALSE), ROW($A645) - 4504 - _xlfn.XMATCH($C645, $C$4506:$C$5005, 0, 1), 0), 0), "00")</f>
        <v>00</v>
      </c>
      <c r="H645" s="1" t="str">
        <f t="shared" si="55"/>
        <v>089</v>
      </c>
      <c r="I645" s="1" t="str">
        <f t="shared" si="56"/>
        <v>11100-089</v>
      </c>
      <c r="J645" s="1" t="str">
        <f t="shared" si="57"/>
        <v>Upright piano production item #089</v>
      </c>
      <c r="K645" s="1" t="str">
        <f>IF(SUM(COUNTIFS(I:I, I645)) &gt; 1, "DUPLICATE", "UNIQUE")</f>
        <v>UNIQUE</v>
      </c>
      <c r="L645" s="18">
        <v>1</v>
      </c>
      <c r="M645" s="28">
        <v>55</v>
      </c>
      <c r="N645" s="6">
        <v>81</v>
      </c>
      <c r="O645" s="30">
        <f t="shared" si="58"/>
        <v>55</v>
      </c>
      <c r="P645" s="30">
        <f t="shared" si="59"/>
        <v>4455</v>
      </c>
      <c r="Q645" s="1">
        <f>COUNTIFS($P:$P, "&gt;" &amp; $P645) + 1</f>
        <v>2560</v>
      </c>
      <c r="R645" s="63">
        <f>(COUNTIFS($P:$P, "&gt;" &amp; $P645) + 1) / (COUNTA($I:$I) - 1)</f>
        <v>0.51200000000000001</v>
      </c>
      <c r="S645" s="23">
        <f>SUMIFS($P:$P, $Q:$Q, "&lt;" &amp; $Q645)</f>
        <v>183389663</v>
      </c>
    </row>
    <row r="646" spans="1:19" x14ac:dyDescent="0.25">
      <c r="A646" s="1">
        <v>641</v>
      </c>
      <c r="B646" s="1" t="s">
        <v>2</v>
      </c>
      <c r="C646" s="1" t="str">
        <f>IF($B646 = "Production Item", _xlfn.XLOOKUP($A646, 'Instrument Table'!$J:$J, 'Instrument Table'!$B:$B, $C645), IF($B646 = "Service Item", _xlfn.XLOOKUP($A646, 'Instrument Table'!$I:$I, 'Instrument Table'!$B:$B, $C645), _xlfn.XLOOKUP($A646, 'Instrument Table'!$H:$H, 'Instrument Table'!$B:$B, $C645)))</f>
        <v>Upright Piano</v>
      </c>
      <c r="D646" s="1" t="str">
        <f>VLOOKUP($C646, 'Instrument Table'!$B:$C, 2, FALSE)</f>
        <v>Pianos</v>
      </c>
      <c r="E646" s="1">
        <f t="shared" si="54"/>
        <v>1</v>
      </c>
      <c r="F646" s="1">
        <f>_xlfn.XLOOKUP($C646, 'Instrument Table'!$B:$B, 'Instrument Table'!$A:$A, "")</f>
        <v>11</v>
      </c>
      <c r="G646" s="1" t="str">
        <f>TEXT(IF($B646 = "Retail Item", IF((ROW($A646) - 4504 - _xlfn.XMATCH($C646, $C$4506:$C$5005, 0, 1)) &lt;= VLOOKUP($C646, 'Instrument Table'!$B:$D, 3, FALSE), ROW($A646) - 4504 - _xlfn.XMATCH($C646, $C$4506:$C$5005, 0, 1), 0), 0), "00")</f>
        <v>00</v>
      </c>
      <c r="H646" s="1" t="str">
        <f t="shared" si="55"/>
        <v>090</v>
      </c>
      <c r="I646" s="1" t="str">
        <f t="shared" si="56"/>
        <v>11100-090</v>
      </c>
      <c r="J646" s="1" t="str">
        <f t="shared" si="57"/>
        <v>Upright piano production item #090</v>
      </c>
      <c r="K646" s="1" t="str">
        <f>IF(SUM(COUNTIFS(I:I, I646)) &gt; 1, "DUPLICATE", "UNIQUE")</f>
        <v>UNIQUE</v>
      </c>
      <c r="L646" s="18">
        <v>0</v>
      </c>
      <c r="M646" s="28">
        <v>13</v>
      </c>
      <c r="N646" s="6">
        <v>256</v>
      </c>
      <c r="O646" s="30">
        <f t="shared" si="58"/>
        <v>0</v>
      </c>
      <c r="P646" s="30">
        <f t="shared" si="59"/>
        <v>3328</v>
      </c>
      <c r="Q646" s="1">
        <f>COUNTIFS($P:$P, "&gt;" &amp; $P646) + 1</f>
        <v>2820</v>
      </c>
      <c r="R646" s="63">
        <f>(COUNTIFS($P:$P, "&gt;" &amp; $P646) + 1) / (COUNTA($I:$I) - 1)</f>
        <v>0.56399999999999995</v>
      </c>
      <c r="S646" s="23">
        <f>SUMIFS($P:$P, $Q:$Q, "&lt;" &amp; $Q646)</f>
        <v>184393383</v>
      </c>
    </row>
    <row r="647" spans="1:19" x14ac:dyDescent="0.25">
      <c r="A647" s="1">
        <v>642</v>
      </c>
      <c r="B647" s="1" t="s">
        <v>2</v>
      </c>
      <c r="C647" s="1" t="str">
        <f>IF($B647 = "Production Item", _xlfn.XLOOKUP($A647, 'Instrument Table'!$J:$J, 'Instrument Table'!$B:$B, $C646), IF($B647 = "Service Item", _xlfn.XLOOKUP($A647, 'Instrument Table'!$I:$I, 'Instrument Table'!$B:$B, $C646), _xlfn.XLOOKUP($A647, 'Instrument Table'!$H:$H, 'Instrument Table'!$B:$B, $C646)))</f>
        <v>Upright Piano</v>
      </c>
      <c r="D647" s="1" t="str">
        <f>VLOOKUP($C647, 'Instrument Table'!$B:$C, 2, FALSE)</f>
        <v>Pianos</v>
      </c>
      <c r="E647" s="1">
        <f t="shared" ref="E647:E710" si="60">IF($B647 = "Production Item", 1, IF($B647 = "Service Item", 2, IF($B647 = "Retail Item", 3, "")))</f>
        <v>1</v>
      </c>
      <c r="F647" s="1">
        <f>_xlfn.XLOOKUP($C647, 'Instrument Table'!$B:$B, 'Instrument Table'!$A:$A, "")</f>
        <v>11</v>
      </c>
      <c r="G647" s="1" t="str">
        <f>TEXT(IF($B647 = "Retail Item", IF((ROW($A647) - 4504 - _xlfn.XMATCH($C647, $C$4506:$C$5005, 0, 1)) &lt;= VLOOKUP($C647, 'Instrument Table'!$B:$D, 3, FALSE), ROW($A647) - 4504 - _xlfn.XMATCH($C647, $C$4506:$C$5005, 0, 1), 0), 0), "00")</f>
        <v>00</v>
      </c>
      <c r="H647" s="1" t="str">
        <f t="shared" ref="H647:H710" si="61">TEXT(IF($E647 &amp; $F647 &amp; $G647 = $E646 &amp; $F646 &amp; $G646, 1 + H646, 0), "000")</f>
        <v>091</v>
      </c>
      <c r="I647" s="1" t="str">
        <f t="shared" ref="I647:I710" si="62" xml:space="preserve"> _xlfn.CONCAT($E647, $F647, $G647, "-", H647)</f>
        <v>11100-091</v>
      </c>
      <c r="J647" s="1" t="str">
        <f t="shared" ref="J647:J710" si="63">LEFT($C647, 1) &amp; LOWER(RIGHT($C647, LEN($C647) - 1)) &amp; IF(AND($G647 &lt;&gt; "00", $B647 = "Retail Item"), " model #" &amp; $G647, " " &amp; LOWER($B647) &amp; " #" &amp; $H647)</f>
        <v>Upright piano production item #091</v>
      </c>
      <c r="K647" s="1" t="str">
        <f>IF(SUM(COUNTIFS(I:I, I647)) &gt; 1, "DUPLICATE", "UNIQUE")</f>
        <v>UNIQUE</v>
      </c>
      <c r="L647" s="18">
        <v>1</v>
      </c>
      <c r="M647" s="28">
        <v>77</v>
      </c>
      <c r="N647" s="6">
        <v>324</v>
      </c>
      <c r="O647" s="30">
        <f t="shared" ref="O647:O710" si="64">$L647 * $M647</f>
        <v>77</v>
      </c>
      <c r="P647" s="30">
        <f t="shared" ref="P647:P710" si="65">$N647 * $M647</f>
        <v>24948</v>
      </c>
      <c r="Q647" s="1">
        <f>COUNTIFS($P:$P, "&gt;" &amp; $P647) + 1</f>
        <v>829</v>
      </c>
      <c r="R647" s="63">
        <f>(COUNTIFS($P:$P, "&gt;" &amp; $P647) + 1) / (COUNTA($I:$I) - 1)</f>
        <v>0.1658</v>
      </c>
      <c r="S647" s="23">
        <f>SUMIFS($P:$P, $Q:$Q, "&lt;" &amp; $Q647)</f>
        <v>162564471</v>
      </c>
    </row>
    <row r="648" spans="1:19" x14ac:dyDescent="0.25">
      <c r="A648" s="1">
        <v>643</v>
      </c>
      <c r="B648" s="1" t="s">
        <v>2</v>
      </c>
      <c r="C648" s="1" t="str">
        <f>IF($B648 = "Production Item", _xlfn.XLOOKUP($A648, 'Instrument Table'!$J:$J, 'Instrument Table'!$B:$B, $C647), IF($B648 = "Service Item", _xlfn.XLOOKUP($A648, 'Instrument Table'!$I:$I, 'Instrument Table'!$B:$B, $C647), _xlfn.XLOOKUP($A648, 'Instrument Table'!$H:$H, 'Instrument Table'!$B:$B, $C647)))</f>
        <v>Upright Piano</v>
      </c>
      <c r="D648" s="1" t="str">
        <f>VLOOKUP($C648, 'Instrument Table'!$B:$C, 2, FALSE)</f>
        <v>Pianos</v>
      </c>
      <c r="E648" s="1">
        <f t="shared" si="60"/>
        <v>1</v>
      </c>
      <c r="F648" s="1">
        <f>_xlfn.XLOOKUP($C648, 'Instrument Table'!$B:$B, 'Instrument Table'!$A:$A, "")</f>
        <v>11</v>
      </c>
      <c r="G648" s="1" t="str">
        <f>TEXT(IF($B648 = "Retail Item", IF((ROW($A648) - 4504 - _xlfn.XMATCH($C648, $C$4506:$C$5005, 0, 1)) &lt;= VLOOKUP($C648, 'Instrument Table'!$B:$D, 3, FALSE), ROW($A648) - 4504 - _xlfn.XMATCH($C648, $C$4506:$C$5005, 0, 1), 0), 0), "00")</f>
        <v>00</v>
      </c>
      <c r="H648" s="1" t="str">
        <f t="shared" si="61"/>
        <v>092</v>
      </c>
      <c r="I648" s="1" t="str">
        <f t="shared" si="62"/>
        <v>11100-092</v>
      </c>
      <c r="J648" s="1" t="str">
        <f t="shared" si="63"/>
        <v>Upright piano production item #092</v>
      </c>
      <c r="K648" s="1" t="str">
        <f>IF(SUM(COUNTIFS(I:I, I648)) &gt; 1, "DUPLICATE", "UNIQUE")</f>
        <v>UNIQUE</v>
      </c>
      <c r="L648" s="18">
        <v>1</v>
      </c>
      <c r="M648" s="28">
        <v>82</v>
      </c>
      <c r="N648" s="6">
        <v>361</v>
      </c>
      <c r="O648" s="30">
        <f t="shared" si="64"/>
        <v>82</v>
      </c>
      <c r="P648" s="30">
        <f t="shared" si="65"/>
        <v>29602</v>
      </c>
      <c r="Q648" s="1">
        <f>COUNTIFS($P:$P, "&gt;" &amp; $P648) + 1</f>
        <v>698</v>
      </c>
      <c r="R648" s="63">
        <f>(COUNTIFS($P:$P, "&gt;" &amp; $P648) + 1) / (COUNTA($I:$I) - 1)</f>
        <v>0.1396</v>
      </c>
      <c r="S648" s="23">
        <f>SUMIFS($P:$P, $Q:$Q, "&lt;" &amp; $Q648)</f>
        <v>159027700</v>
      </c>
    </row>
    <row r="649" spans="1:19" x14ac:dyDescent="0.25">
      <c r="A649" s="1">
        <v>644</v>
      </c>
      <c r="B649" s="1" t="s">
        <v>2</v>
      </c>
      <c r="C649" s="1" t="str">
        <f>IF($B649 = "Production Item", _xlfn.XLOOKUP($A649, 'Instrument Table'!$J:$J, 'Instrument Table'!$B:$B, $C648), IF($B649 = "Service Item", _xlfn.XLOOKUP($A649, 'Instrument Table'!$I:$I, 'Instrument Table'!$B:$B, $C648), _xlfn.XLOOKUP($A649, 'Instrument Table'!$H:$H, 'Instrument Table'!$B:$B, $C648)))</f>
        <v>Upright Piano</v>
      </c>
      <c r="D649" s="1" t="str">
        <f>VLOOKUP($C649, 'Instrument Table'!$B:$C, 2, FALSE)</f>
        <v>Pianos</v>
      </c>
      <c r="E649" s="1">
        <f t="shared" si="60"/>
        <v>1</v>
      </c>
      <c r="F649" s="1">
        <f>_xlfn.XLOOKUP($C649, 'Instrument Table'!$B:$B, 'Instrument Table'!$A:$A, "")</f>
        <v>11</v>
      </c>
      <c r="G649" s="1" t="str">
        <f>TEXT(IF($B649 = "Retail Item", IF((ROW($A649) - 4504 - _xlfn.XMATCH($C649, $C$4506:$C$5005, 0, 1)) &lt;= VLOOKUP($C649, 'Instrument Table'!$B:$D, 3, FALSE), ROW($A649) - 4504 - _xlfn.XMATCH($C649, $C$4506:$C$5005, 0, 1), 0), 0), "00")</f>
        <v>00</v>
      </c>
      <c r="H649" s="1" t="str">
        <f t="shared" si="61"/>
        <v>093</v>
      </c>
      <c r="I649" s="1" t="str">
        <f t="shared" si="62"/>
        <v>11100-093</v>
      </c>
      <c r="J649" s="1" t="str">
        <f t="shared" si="63"/>
        <v>Upright piano production item #093</v>
      </c>
      <c r="K649" s="1" t="str">
        <f>IF(SUM(COUNTIFS(I:I, I649)) &gt; 1, "DUPLICATE", "UNIQUE")</f>
        <v>UNIQUE</v>
      </c>
      <c r="L649" s="18">
        <v>1</v>
      </c>
      <c r="M649" s="28">
        <v>71</v>
      </c>
      <c r="N649" s="6">
        <v>81</v>
      </c>
      <c r="O649" s="30">
        <f t="shared" si="64"/>
        <v>71</v>
      </c>
      <c r="P649" s="30">
        <f t="shared" si="65"/>
        <v>5751</v>
      </c>
      <c r="Q649" s="1">
        <f>COUNTIFS($P:$P, "&gt;" &amp; $P649) + 1</f>
        <v>2310</v>
      </c>
      <c r="R649" s="63">
        <f>(COUNTIFS($P:$P, "&gt;" &amp; $P649) + 1) / (COUNTA($I:$I) - 1)</f>
        <v>0.46200000000000002</v>
      </c>
      <c r="S649" s="23">
        <f>SUMIFS($P:$P, $Q:$Q, "&lt;" &amp; $Q649)</f>
        <v>182122067</v>
      </c>
    </row>
    <row r="650" spans="1:19" x14ac:dyDescent="0.25">
      <c r="A650" s="1">
        <v>645</v>
      </c>
      <c r="B650" s="1" t="s">
        <v>2</v>
      </c>
      <c r="C650" s="1" t="str">
        <f>IF($B650 = "Production Item", _xlfn.XLOOKUP($A650, 'Instrument Table'!$J:$J, 'Instrument Table'!$B:$B, $C649), IF($B650 = "Service Item", _xlfn.XLOOKUP($A650, 'Instrument Table'!$I:$I, 'Instrument Table'!$B:$B, $C649), _xlfn.XLOOKUP($A650, 'Instrument Table'!$H:$H, 'Instrument Table'!$B:$B, $C649)))</f>
        <v>Upright Piano</v>
      </c>
      <c r="D650" s="1" t="str">
        <f>VLOOKUP($C650, 'Instrument Table'!$B:$C, 2, FALSE)</f>
        <v>Pianos</v>
      </c>
      <c r="E650" s="1">
        <f t="shared" si="60"/>
        <v>1</v>
      </c>
      <c r="F650" s="1">
        <f>_xlfn.XLOOKUP($C650, 'Instrument Table'!$B:$B, 'Instrument Table'!$A:$A, "")</f>
        <v>11</v>
      </c>
      <c r="G650" s="1" t="str">
        <f>TEXT(IF($B650 = "Retail Item", IF((ROW($A650) - 4504 - _xlfn.XMATCH($C650, $C$4506:$C$5005, 0, 1)) &lt;= VLOOKUP($C650, 'Instrument Table'!$B:$D, 3, FALSE), ROW($A650) - 4504 - _xlfn.XMATCH($C650, $C$4506:$C$5005, 0, 1), 0), 0), "00")</f>
        <v>00</v>
      </c>
      <c r="H650" s="1" t="str">
        <f t="shared" si="61"/>
        <v>094</v>
      </c>
      <c r="I650" s="1" t="str">
        <f t="shared" si="62"/>
        <v>11100-094</v>
      </c>
      <c r="J650" s="1" t="str">
        <f t="shared" si="63"/>
        <v>Upright piano production item #094</v>
      </c>
      <c r="K650" s="1" t="str">
        <f>IF(SUM(COUNTIFS(I:I, I650)) &gt; 1, "DUPLICATE", "UNIQUE")</f>
        <v>UNIQUE</v>
      </c>
      <c r="L650" s="18">
        <v>1</v>
      </c>
      <c r="M650" s="28">
        <v>50</v>
      </c>
      <c r="N650" s="6">
        <v>4</v>
      </c>
      <c r="O650" s="30">
        <f t="shared" si="64"/>
        <v>50</v>
      </c>
      <c r="P650" s="30">
        <f t="shared" si="65"/>
        <v>200</v>
      </c>
      <c r="Q650" s="1">
        <f>COUNTIFS($P:$P, "&gt;" &amp; $P650) + 1</f>
        <v>4322</v>
      </c>
      <c r="R650" s="63">
        <f>(COUNTIFS($P:$P, "&gt;" &amp; $P650) + 1) / (COUNTA($I:$I) - 1)</f>
        <v>0.86439999999999995</v>
      </c>
      <c r="S650" s="23">
        <f>SUMIFS($P:$P, $Q:$Q, "&lt;" &amp; $Q650)</f>
        <v>186512097</v>
      </c>
    </row>
    <row r="651" spans="1:19" x14ac:dyDescent="0.25">
      <c r="A651" s="1">
        <v>646</v>
      </c>
      <c r="B651" s="1" t="s">
        <v>2</v>
      </c>
      <c r="C651" s="1" t="str">
        <f>IF($B651 = "Production Item", _xlfn.XLOOKUP($A651, 'Instrument Table'!$J:$J, 'Instrument Table'!$B:$B, $C650), IF($B651 = "Service Item", _xlfn.XLOOKUP($A651, 'Instrument Table'!$I:$I, 'Instrument Table'!$B:$B, $C650), _xlfn.XLOOKUP($A651, 'Instrument Table'!$H:$H, 'Instrument Table'!$B:$B, $C650)))</f>
        <v>Upright Piano</v>
      </c>
      <c r="D651" s="1" t="str">
        <f>VLOOKUP($C651, 'Instrument Table'!$B:$C, 2, FALSE)</f>
        <v>Pianos</v>
      </c>
      <c r="E651" s="1">
        <f t="shared" si="60"/>
        <v>1</v>
      </c>
      <c r="F651" s="1">
        <f>_xlfn.XLOOKUP($C651, 'Instrument Table'!$B:$B, 'Instrument Table'!$A:$A, "")</f>
        <v>11</v>
      </c>
      <c r="G651" s="1" t="str">
        <f>TEXT(IF($B651 = "Retail Item", IF((ROW($A651) - 4504 - _xlfn.XMATCH($C651, $C$4506:$C$5005, 0, 1)) &lt;= VLOOKUP($C651, 'Instrument Table'!$B:$D, 3, FALSE), ROW($A651) - 4504 - _xlfn.XMATCH($C651, $C$4506:$C$5005, 0, 1), 0), 0), "00")</f>
        <v>00</v>
      </c>
      <c r="H651" s="1" t="str">
        <f t="shared" si="61"/>
        <v>095</v>
      </c>
      <c r="I651" s="1" t="str">
        <f t="shared" si="62"/>
        <v>11100-095</v>
      </c>
      <c r="J651" s="1" t="str">
        <f t="shared" si="63"/>
        <v>Upright piano production item #095</v>
      </c>
      <c r="K651" s="1" t="str">
        <f>IF(SUM(COUNTIFS(I:I, I651)) &gt; 1, "DUPLICATE", "UNIQUE")</f>
        <v>UNIQUE</v>
      </c>
      <c r="L651" s="18">
        <v>1</v>
      </c>
      <c r="M651" s="28">
        <v>10</v>
      </c>
      <c r="N651" s="6">
        <v>1</v>
      </c>
      <c r="O651" s="30">
        <f t="shared" si="64"/>
        <v>10</v>
      </c>
      <c r="P651" s="30">
        <f t="shared" si="65"/>
        <v>10</v>
      </c>
      <c r="Q651" s="1">
        <f>COUNTIFS($P:$P, "&gt;" &amp; $P651) + 1</f>
        <v>4720</v>
      </c>
      <c r="R651" s="63">
        <f>(COUNTIFS($P:$P, "&gt;" &amp; $P651) + 1) / (COUNTA($I:$I) - 1)</f>
        <v>0.94399999999999995</v>
      </c>
      <c r="S651" s="23">
        <f>SUMIFS($P:$P, $Q:$Q, "&lt;" &amp; $Q651)</f>
        <v>186547693</v>
      </c>
    </row>
    <row r="652" spans="1:19" x14ac:dyDescent="0.25">
      <c r="A652" s="1">
        <v>647</v>
      </c>
      <c r="B652" s="1" t="s">
        <v>2</v>
      </c>
      <c r="C652" s="1" t="str">
        <f>IF($B652 = "Production Item", _xlfn.XLOOKUP($A652, 'Instrument Table'!$J:$J, 'Instrument Table'!$B:$B, $C651), IF($B652 = "Service Item", _xlfn.XLOOKUP($A652, 'Instrument Table'!$I:$I, 'Instrument Table'!$B:$B, $C651), _xlfn.XLOOKUP($A652, 'Instrument Table'!$H:$H, 'Instrument Table'!$B:$B, $C651)))</f>
        <v>Upright Piano</v>
      </c>
      <c r="D652" s="1" t="str">
        <f>VLOOKUP($C652, 'Instrument Table'!$B:$C, 2, FALSE)</f>
        <v>Pianos</v>
      </c>
      <c r="E652" s="1">
        <f t="shared" si="60"/>
        <v>1</v>
      </c>
      <c r="F652" s="1">
        <f>_xlfn.XLOOKUP($C652, 'Instrument Table'!$B:$B, 'Instrument Table'!$A:$A, "")</f>
        <v>11</v>
      </c>
      <c r="G652" s="1" t="str">
        <f>TEXT(IF($B652 = "Retail Item", IF((ROW($A652) - 4504 - _xlfn.XMATCH($C652, $C$4506:$C$5005, 0, 1)) &lt;= VLOOKUP($C652, 'Instrument Table'!$B:$D, 3, FALSE), ROW($A652) - 4504 - _xlfn.XMATCH($C652, $C$4506:$C$5005, 0, 1), 0), 0), "00")</f>
        <v>00</v>
      </c>
      <c r="H652" s="1" t="str">
        <f t="shared" si="61"/>
        <v>096</v>
      </c>
      <c r="I652" s="1" t="str">
        <f t="shared" si="62"/>
        <v>11100-096</v>
      </c>
      <c r="J652" s="1" t="str">
        <f t="shared" si="63"/>
        <v>Upright piano production item #096</v>
      </c>
      <c r="K652" s="1" t="str">
        <f>IF(SUM(COUNTIFS(I:I, I652)) &gt; 1, "DUPLICATE", "UNIQUE")</f>
        <v>UNIQUE</v>
      </c>
      <c r="L652" s="18">
        <v>8</v>
      </c>
      <c r="M652" s="28">
        <v>69</v>
      </c>
      <c r="N652" s="6">
        <v>36</v>
      </c>
      <c r="O652" s="30">
        <f t="shared" si="64"/>
        <v>552</v>
      </c>
      <c r="P652" s="30">
        <f t="shared" si="65"/>
        <v>2484</v>
      </c>
      <c r="Q652" s="1">
        <f>COUNTIFS($P:$P, "&gt;" &amp; $P652) + 1</f>
        <v>3061</v>
      </c>
      <c r="R652" s="63">
        <f>(COUNTIFS($P:$P, "&gt;" &amp; $P652) + 1) / (COUNTA($I:$I) - 1)</f>
        <v>0.61219999999999997</v>
      </c>
      <c r="S652" s="23">
        <f>SUMIFS($P:$P, $Q:$Q, "&lt;" &amp; $Q652)</f>
        <v>185088014</v>
      </c>
    </row>
    <row r="653" spans="1:19" x14ac:dyDescent="0.25">
      <c r="A653" s="1">
        <v>648</v>
      </c>
      <c r="B653" s="1" t="s">
        <v>2</v>
      </c>
      <c r="C653" s="1" t="str">
        <f>IF($B653 = "Production Item", _xlfn.XLOOKUP($A653, 'Instrument Table'!$J:$J, 'Instrument Table'!$B:$B, $C652), IF($B653 = "Service Item", _xlfn.XLOOKUP($A653, 'Instrument Table'!$I:$I, 'Instrument Table'!$B:$B, $C652), _xlfn.XLOOKUP($A653, 'Instrument Table'!$H:$H, 'Instrument Table'!$B:$B, $C652)))</f>
        <v>Upright Piano</v>
      </c>
      <c r="D653" s="1" t="str">
        <f>VLOOKUP($C653, 'Instrument Table'!$B:$C, 2, FALSE)</f>
        <v>Pianos</v>
      </c>
      <c r="E653" s="1">
        <f t="shared" si="60"/>
        <v>1</v>
      </c>
      <c r="F653" s="1">
        <f>_xlfn.XLOOKUP($C653, 'Instrument Table'!$B:$B, 'Instrument Table'!$A:$A, "")</f>
        <v>11</v>
      </c>
      <c r="G653" s="1" t="str">
        <f>TEXT(IF($B653 = "Retail Item", IF((ROW($A653) - 4504 - _xlfn.XMATCH($C653, $C$4506:$C$5005, 0, 1)) &lt;= VLOOKUP($C653, 'Instrument Table'!$B:$D, 3, FALSE), ROW($A653) - 4504 - _xlfn.XMATCH($C653, $C$4506:$C$5005, 0, 1), 0), 0), "00")</f>
        <v>00</v>
      </c>
      <c r="H653" s="1" t="str">
        <f t="shared" si="61"/>
        <v>097</v>
      </c>
      <c r="I653" s="1" t="str">
        <f t="shared" si="62"/>
        <v>11100-097</v>
      </c>
      <c r="J653" s="1" t="str">
        <f t="shared" si="63"/>
        <v>Upright piano production item #097</v>
      </c>
      <c r="K653" s="1" t="str">
        <f>IF(SUM(COUNTIFS(I:I, I653)) &gt; 1, "DUPLICATE", "UNIQUE")</f>
        <v>UNIQUE</v>
      </c>
      <c r="L653" s="18">
        <v>1</v>
      </c>
      <c r="M653" s="28">
        <v>41</v>
      </c>
      <c r="N653" s="6">
        <v>36</v>
      </c>
      <c r="O653" s="30">
        <f t="shared" si="64"/>
        <v>41</v>
      </c>
      <c r="P653" s="30">
        <f t="shared" si="65"/>
        <v>1476</v>
      </c>
      <c r="Q653" s="1">
        <f>COUNTIFS($P:$P, "&gt;" &amp; $P653) + 1</f>
        <v>3468</v>
      </c>
      <c r="R653" s="63">
        <f>(COUNTIFS($P:$P, "&gt;" &amp; $P653) + 1) / (COUNTA($I:$I) - 1)</f>
        <v>0.69359999999999999</v>
      </c>
      <c r="S653" s="23">
        <f>SUMIFS($P:$P, $Q:$Q, "&lt;" &amp; $Q653)</f>
        <v>185890903</v>
      </c>
    </row>
    <row r="654" spans="1:19" x14ac:dyDescent="0.25">
      <c r="A654" s="1">
        <v>649</v>
      </c>
      <c r="B654" s="1" t="s">
        <v>2</v>
      </c>
      <c r="C654" s="1" t="str">
        <f>IF($B654 = "Production Item", _xlfn.XLOOKUP($A654, 'Instrument Table'!$J:$J, 'Instrument Table'!$B:$B, $C653), IF($B654 = "Service Item", _xlfn.XLOOKUP($A654, 'Instrument Table'!$I:$I, 'Instrument Table'!$B:$B, $C653), _xlfn.XLOOKUP($A654, 'Instrument Table'!$H:$H, 'Instrument Table'!$B:$B, $C653)))</f>
        <v>Upright Piano</v>
      </c>
      <c r="D654" s="1" t="str">
        <f>VLOOKUP($C654, 'Instrument Table'!$B:$C, 2, FALSE)</f>
        <v>Pianos</v>
      </c>
      <c r="E654" s="1">
        <f t="shared" si="60"/>
        <v>1</v>
      </c>
      <c r="F654" s="1">
        <f>_xlfn.XLOOKUP($C654, 'Instrument Table'!$B:$B, 'Instrument Table'!$A:$A, "")</f>
        <v>11</v>
      </c>
      <c r="G654" s="1" t="str">
        <f>TEXT(IF($B654 = "Retail Item", IF((ROW($A654) - 4504 - _xlfn.XMATCH($C654, $C$4506:$C$5005, 0, 1)) &lt;= VLOOKUP($C654, 'Instrument Table'!$B:$D, 3, FALSE), ROW($A654) - 4504 - _xlfn.XMATCH($C654, $C$4506:$C$5005, 0, 1), 0), 0), "00")</f>
        <v>00</v>
      </c>
      <c r="H654" s="1" t="str">
        <f t="shared" si="61"/>
        <v>098</v>
      </c>
      <c r="I654" s="1" t="str">
        <f t="shared" si="62"/>
        <v>11100-098</v>
      </c>
      <c r="J654" s="1" t="str">
        <f t="shared" si="63"/>
        <v>Upright piano production item #098</v>
      </c>
      <c r="K654" s="1" t="str">
        <f>IF(SUM(COUNTIFS(I:I, I654)) &gt; 1, "DUPLICATE", "UNIQUE")</f>
        <v>UNIQUE</v>
      </c>
      <c r="L654" s="18">
        <v>0</v>
      </c>
      <c r="M654" s="28">
        <v>31</v>
      </c>
      <c r="N654" s="6">
        <v>289</v>
      </c>
      <c r="O654" s="30">
        <f t="shared" si="64"/>
        <v>0</v>
      </c>
      <c r="P654" s="30">
        <f t="shared" si="65"/>
        <v>8959</v>
      </c>
      <c r="Q654" s="1">
        <f>COUNTIFS($P:$P, "&gt;" &amp; $P654) + 1</f>
        <v>1869</v>
      </c>
      <c r="R654" s="63">
        <f>(COUNTIFS($P:$P, "&gt;" &amp; $P654) + 1) / (COUNTA($I:$I) - 1)</f>
        <v>0.37380000000000002</v>
      </c>
      <c r="S654" s="23">
        <f>SUMIFS($P:$P, $Q:$Q, "&lt;" &amp; $Q654)</f>
        <v>178887373</v>
      </c>
    </row>
    <row r="655" spans="1:19" x14ac:dyDescent="0.25">
      <c r="A655" s="1">
        <v>650</v>
      </c>
      <c r="B655" s="1" t="s">
        <v>2</v>
      </c>
      <c r="C655" s="1" t="str">
        <f>IF($B655 = "Production Item", _xlfn.XLOOKUP($A655, 'Instrument Table'!$J:$J, 'Instrument Table'!$B:$B, $C654), IF($B655 = "Service Item", _xlfn.XLOOKUP($A655, 'Instrument Table'!$I:$I, 'Instrument Table'!$B:$B, $C654), _xlfn.XLOOKUP($A655, 'Instrument Table'!$H:$H, 'Instrument Table'!$B:$B, $C654)))</f>
        <v>Upright Piano</v>
      </c>
      <c r="D655" s="1" t="str">
        <f>VLOOKUP($C655, 'Instrument Table'!$B:$C, 2, FALSE)</f>
        <v>Pianos</v>
      </c>
      <c r="E655" s="1">
        <f t="shared" si="60"/>
        <v>1</v>
      </c>
      <c r="F655" s="1">
        <f>_xlfn.XLOOKUP($C655, 'Instrument Table'!$B:$B, 'Instrument Table'!$A:$A, "")</f>
        <v>11</v>
      </c>
      <c r="G655" s="1" t="str">
        <f>TEXT(IF($B655 = "Retail Item", IF((ROW($A655) - 4504 - _xlfn.XMATCH($C655, $C$4506:$C$5005, 0, 1)) &lt;= VLOOKUP($C655, 'Instrument Table'!$B:$D, 3, FALSE), ROW($A655) - 4504 - _xlfn.XMATCH($C655, $C$4506:$C$5005, 0, 1), 0), 0), "00")</f>
        <v>00</v>
      </c>
      <c r="H655" s="1" t="str">
        <f t="shared" si="61"/>
        <v>099</v>
      </c>
      <c r="I655" s="1" t="str">
        <f t="shared" si="62"/>
        <v>11100-099</v>
      </c>
      <c r="J655" s="1" t="str">
        <f t="shared" si="63"/>
        <v>Upright piano production item #099</v>
      </c>
      <c r="K655" s="1" t="str">
        <f>IF(SUM(COUNTIFS(I:I, I655)) &gt; 1, "DUPLICATE", "UNIQUE")</f>
        <v>UNIQUE</v>
      </c>
      <c r="L655" s="18">
        <v>1</v>
      </c>
      <c r="M655" s="28">
        <v>39</v>
      </c>
      <c r="N655" s="6">
        <v>64</v>
      </c>
      <c r="O655" s="30">
        <f t="shared" si="64"/>
        <v>39</v>
      </c>
      <c r="P655" s="30">
        <f t="shared" si="65"/>
        <v>2496</v>
      </c>
      <c r="Q655" s="1">
        <f>COUNTIFS($P:$P, "&gt;" &amp; $P655) + 1</f>
        <v>3053</v>
      </c>
      <c r="R655" s="63">
        <f>(COUNTIFS($P:$P, "&gt;" &amp; $P655) + 1) / (COUNTA($I:$I) - 1)</f>
        <v>0.61060000000000003</v>
      </c>
      <c r="S655" s="23">
        <f>SUMIFS($P:$P, $Q:$Q, "&lt;" &amp; $Q655)</f>
        <v>185068046</v>
      </c>
    </row>
    <row r="656" spans="1:19" x14ac:dyDescent="0.25">
      <c r="A656" s="1">
        <v>651</v>
      </c>
      <c r="B656" s="1" t="s">
        <v>2</v>
      </c>
      <c r="C656" s="1" t="str">
        <f>IF($B656 = "Production Item", _xlfn.XLOOKUP($A656, 'Instrument Table'!$J:$J, 'Instrument Table'!$B:$B, $C655), IF($B656 = "Service Item", _xlfn.XLOOKUP($A656, 'Instrument Table'!$I:$I, 'Instrument Table'!$B:$B, $C655), _xlfn.XLOOKUP($A656, 'Instrument Table'!$H:$H, 'Instrument Table'!$B:$B, $C655)))</f>
        <v>Upright Piano</v>
      </c>
      <c r="D656" s="1" t="str">
        <f>VLOOKUP($C656, 'Instrument Table'!$B:$C, 2, FALSE)</f>
        <v>Pianos</v>
      </c>
      <c r="E656" s="1">
        <f t="shared" si="60"/>
        <v>1</v>
      </c>
      <c r="F656" s="1">
        <f>_xlfn.XLOOKUP($C656, 'Instrument Table'!$B:$B, 'Instrument Table'!$A:$A, "")</f>
        <v>11</v>
      </c>
      <c r="G656" s="1" t="str">
        <f>TEXT(IF($B656 = "Retail Item", IF((ROW($A656) - 4504 - _xlfn.XMATCH($C656, $C$4506:$C$5005, 0, 1)) &lt;= VLOOKUP($C656, 'Instrument Table'!$B:$D, 3, FALSE), ROW($A656) - 4504 - _xlfn.XMATCH($C656, $C$4506:$C$5005, 0, 1), 0), 0), "00")</f>
        <v>00</v>
      </c>
      <c r="H656" s="1" t="str">
        <f t="shared" si="61"/>
        <v>100</v>
      </c>
      <c r="I656" s="1" t="str">
        <f t="shared" si="62"/>
        <v>11100-100</v>
      </c>
      <c r="J656" s="1" t="str">
        <f t="shared" si="63"/>
        <v>Upright piano production item #100</v>
      </c>
      <c r="K656" s="1" t="str">
        <f>IF(SUM(COUNTIFS(I:I, I656)) &gt; 1, "DUPLICATE", "UNIQUE")</f>
        <v>UNIQUE</v>
      </c>
      <c r="L656" s="18">
        <v>1</v>
      </c>
      <c r="M656" s="28">
        <v>6</v>
      </c>
      <c r="N656" s="6">
        <v>9</v>
      </c>
      <c r="O656" s="30">
        <f t="shared" si="64"/>
        <v>6</v>
      </c>
      <c r="P656" s="30">
        <f t="shared" si="65"/>
        <v>54</v>
      </c>
      <c r="Q656" s="1">
        <f>COUNTIFS($P:$P, "&gt;" &amp; $P656) + 1</f>
        <v>4596</v>
      </c>
      <c r="R656" s="63">
        <f>(COUNTIFS($P:$P, "&gt;" &amp; $P656) + 1) / (COUNTA($I:$I) - 1)</f>
        <v>0.91920000000000002</v>
      </c>
      <c r="S656" s="23">
        <f>SUMIFS($P:$P, $Q:$Q, "&lt;" &amp; $Q656)</f>
        <v>186543478</v>
      </c>
    </row>
    <row r="657" spans="1:19" x14ac:dyDescent="0.25">
      <c r="A657" s="1">
        <v>652</v>
      </c>
      <c r="B657" s="1" t="s">
        <v>2</v>
      </c>
      <c r="C657" s="1" t="str">
        <f>IF($B657 = "Production Item", _xlfn.XLOOKUP($A657, 'Instrument Table'!$J:$J, 'Instrument Table'!$B:$B, $C656), IF($B657 = "Service Item", _xlfn.XLOOKUP($A657, 'Instrument Table'!$I:$I, 'Instrument Table'!$B:$B, $C656), _xlfn.XLOOKUP($A657, 'Instrument Table'!$H:$H, 'Instrument Table'!$B:$B, $C656)))</f>
        <v>Upright Piano</v>
      </c>
      <c r="D657" s="1" t="str">
        <f>VLOOKUP($C657, 'Instrument Table'!$B:$C, 2, FALSE)</f>
        <v>Pianos</v>
      </c>
      <c r="E657" s="1">
        <f t="shared" si="60"/>
        <v>1</v>
      </c>
      <c r="F657" s="1">
        <f>_xlfn.XLOOKUP($C657, 'Instrument Table'!$B:$B, 'Instrument Table'!$A:$A, "")</f>
        <v>11</v>
      </c>
      <c r="G657" s="1" t="str">
        <f>TEXT(IF($B657 = "Retail Item", IF((ROW($A657) - 4504 - _xlfn.XMATCH($C657, $C$4506:$C$5005, 0, 1)) &lt;= VLOOKUP($C657, 'Instrument Table'!$B:$D, 3, FALSE), ROW($A657) - 4504 - _xlfn.XMATCH($C657, $C$4506:$C$5005, 0, 1), 0), 0), "00")</f>
        <v>00</v>
      </c>
      <c r="H657" s="1" t="str">
        <f t="shared" si="61"/>
        <v>101</v>
      </c>
      <c r="I657" s="1" t="str">
        <f t="shared" si="62"/>
        <v>11100-101</v>
      </c>
      <c r="J657" s="1" t="str">
        <f t="shared" si="63"/>
        <v>Upright piano production item #101</v>
      </c>
      <c r="K657" s="1" t="str">
        <f>IF(SUM(COUNTIFS(I:I, I657)) &gt; 1, "DUPLICATE", "UNIQUE")</f>
        <v>UNIQUE</v>
      </c>
      <c r="L657" s="18">
        <v>1</v>
      </c>
      <c r="M657" s="28">
        <v>83</v>
      </c>
      <c r="N657" s="6">
        <v>324</v>
      </c>
      <c r="O657" s="30">
        <f t="shared" si="64"/>
        <v>83</v>
      </c>
      <c r="P657" s="30">
        <f t="shared" si="65"/>
        <v>26892</v>
      </c>
      <c r="Q657" s="1">
        <f>COUNTIFS($P:$P, "&gt;" &amp; $P657) + 1</f>
        <v>756</v>
      </c>
      <c r="R657" s="63">
        <f>(COUNTIFS($P:$P, "&gt;" &amp; $P657) + 1) / (COUNTA($I:$I) - 1)</f>
        <v>0.1512</v>
      </c>
      <c r="S657" s="23">
        <f>SUMIFS($P:$P, $Q:$Q, "&lt;" &amp; $Q657)</f>
        <v>160668094</v>
      </c>
    </row>
    <row r="658" spans="1:19" x14ac:dyDescent="0.25">
      <c r="A658" s="1">
        <v>653</v>
      </c>
      <c r="B658" s="1" t="s">
        <v>2</v>
      </c>
      <c r="C658" s="1" t="str">
        <f>IF($B658 = "Production Item", _xlfn.XLOOKUP($A658, 'Instrument Table'!$J:$J, 'Instrument Table'!$B:$B, $C657), IF($B658 = "Service Item", _xlfn.XLOOKUP($A658, 'Instrument Table'!$I:$I, 'Instrument Table'!$B:$B, $C657), _xlfn.XLOOKUP($A658, 'Instrument Table'!$H:$H, 'Instrument Table'!$B:$B, $C657)))</f>
        <v>Upright Piano</v>
      </c>
      <c r="D658" s="1" t="str">
        <f>VLOOKUP($C658, 'Instrument Table'!$B:$C, 2, FALSE)</f>
        <v>Pianos</v>
      </c>
      <c r="E658" s="1">
        <f t="shared" si="60"/>
        <v>1</v>
      </c>
      <c r="F658" s="1">
        <f>_xlfn.XLOOKUP($C658, 'Instrument Table'!$B:$B, 'Instrument Table'!$A:$A, "")</f>
        <v>11</v>
      </c>
      <c r="G658" s="1" t="str">
        <f>TEXT(IF($B658 = "Retail Item", IF((ROW($A658) - 4504 - _xlfn.XMATCH($C658, $C$4506:$C$5005, 0, 1)) &lt;= VLOOKUP($C658, 'Instrument Table'!$B:$D, 3, FALSE), ROW($A658) - 4504 - _xlfn.XMATCH($C658, $C$4506:$C$5005, 0, 1), 0), 0), "00")</f>
        <v>00</v>
      </c>
      <c r="H658" s="1" t="str">
        <f t="shared" si="61"/>
        <v>102</v>
      </c>
      <c r="I658" s="1" t="str">
        <f t="shared" si="62"/>
        <v>11100-102</v>
      </c>
      <c r="J658" s="1" t="str">
        <f t="shared" si="63"/>
        <v>Upright piano production item #102</v>
      </c>
      <c r="K658" s="1" t="str">
        <f>IF(SUM(COUNTIFS(I:I, I658)) &gt; 1, "DUPLICATE", "UNIQUE")</f>
        <v>UNIQUE</v>
      </c>
      <c r="L658" s="18">
        <v>2</v>
      </c>
      <c r="M658" s="28">
        <v>70</v>
      </c>
      <c r="N658" s="6">
        <v>324</v>
      </c>
      <c r="O658" s="30">
        <f t="shared" si="64"/>
        <v>140</v>
      </c>
      <c r="P658" s="30">
        <f t="shared" si="65"/>
        <v>22680</v>
      </c>
      <c r="Q658" s="1">
        <f>COUNTIFS($P:$P, "&gt;" &amp; $P658) + 1</f>
        <v>919</v>
      </c>
      <c r="R658" s="63">
        <f>(COUNTIFS($P:$P, "&gt;" &amp; $P658) + 1) / (COUNTA($I:$I) - 1)</f>
        <v>0.18379999999999999</v>
      </c>
      <c r="S658" s="23">
        <f>SUMIFS($P:$P, $Q:$Q, "&lt;" &amp; $Q658)</f>
        <v>164716152</v>
      </c>
    </row>
    <row r="659" spans="1:19" x14ac:dyDescent="0.25">
      <c r="A659" s="1">
        <v>654</v>
      </c>
      <c r="B659" s="1" t="s">
        <v>2</v>
      </c>
      <c r="C659" s="1" t="str">
        <f>IF($B659 = "Production Item", _xlfn.XLOOKUP($A659, 'Instrument Table'!$J:$J, 'Instrument Table'!$B:$B, $C658), IF($B659 = "Service Item", _xlfn.XLOOKUP($A659, 'Instrument Table'!$I:$I, 'Instrument Table'!$B:$B, $C658), _xlfn.XLOOKUP($A659, 'Instrument Table'!$H:$H, 'Instrument Table'!$B:$B, $C658)))</f>
        <v>Upright Piano</v>
      </c>
      <c r="D659" s="1" t="str">
        <f>VLOOKUP($C659, 'Instrument Table'!$B:$C, 2, FALSE)</f>
        <v>Pianos</v>
      </c>
      <c r="E659" s="1">
        <f t="shared" si="60"/>
        <v>1</v>
      </c>
      <c r="F659" s="1">
        <f>_xlfn.XLOOKUP($C659, 'Instrument Table'!$B:$B, 'Instrument Table'!$A:$A, "")</f>
        <v>11</v>
      </c>
      <c r="G659" s="1" t="str">
        <f>TEXT(IF($B659 = "Retail Item", IF((ROW($A659) - 4504 - _xlfn.XMATCH($C659, $C$4506:$C$5005, 0, 1)) &lt;= VLOOKUP($C659, 'Instrument Table'!$B:$D, 3, FALSE), ROW($A659) - 4504 - _xlfn.XMATCH($C659, $C$4506:$C$5005, 0, 1), 0), 0), "00")</f>
        <v>00</v>
      </c>
      <c r="H659" s="1" t="str">
        <f t="shared" si="61"/>
        <v>103</v>
      </c>
      <c r="I659" s="1" t="str">
        <f t="shared" si="62"/>
        <v>11100-103</v>
      </c>
      <c r="J659" s="1" t="str">
        <f t="shared" si="63"/>
        <v>Upright piano production item #103</v>
      </c>
      <c r="K659" s="1" t="str">
        <f>IF(SUM(COUNTIFS(I:I, I659)) &gt; 1, "DUPLICATE", "UNIQUE")</f>
        <v>UNIQUE</v>
      </c>
      <c r="L659" s="18">
        <v>0</v>
      </c>
      <c r="M659" s="28">
        <v>8</v>
      </c>
      <c r="N659" s="6">
        <v>4</v>
      </c>
      <c r="O659" s="30">
        <f t="shared" si="64"/>
        <v>0</v>
      </c>
      <c r="P659" s="30">
        <f t="shared" si="65"/>
        <v>32</v>
      </c>
      <c r="Q659" s="1">
        <f>COUNTIFS($P:$P, "&gt;" &amp; $P659) + 1</f>
        <v>4658</v>
      </c>
      <c r="R659" s="63">
        <f>(COUNTIFS($P:$P, "&gt;" &amp; $P659) + 1) / (COUNTA($I:$I) - 1)</f>
        <v>0.93159999999999998</v>
      </c>
      <c r="S659" s="23">
        <f>SUMIFS($P:$P, $Q:$Q, "&lt;" &amp; $Q659)</f>
        <v>186546308</v>
      </c>
    </row>
    <row r="660" spans="1:19" x14ac:dyDescent="0.25">
      <c r="A660" s="1">
        <v>655</v>
      </c>
      <c r="B660" s="1" t="s">
        <v>2</v>
      </c>
      <c r="C660" s="1" t="str">
        <f>IF($B660 = "Production Item", _xlfn.XLOOKUP($A660, 'Instrument Table'!$J:$J, 'Instrument Table'!$B:$B, $C659), IF($B660 = "Service Item", _xlfn.XLOOKUP($A660, 'Instrument Table'!$I:$I, 'Instrument Table'!$B:$B, $C659), _xlfn.XLOOKUP($A660, 'Instrument Table'!$H:$H, 'Instrument Table'!$B:$B, $C659)))</f>
        <v>Upright Piano</v>
      </c>
      <c r="D660" s="1" t="str">
        <f>VLOOKUP($C660, 'Instrument Table'!$B:$C, 2, FALSE)</f>
        <v>Pianos</v>
      </c>
      <c r="E660" s="1">
        <f t="shared" si="60"/>
        <v>1</v>
      </c>
      <c r="F660" s="1">
        <f>_xlfn.XLOOKUP($C660, 'Instrument Table'!$B:$B, 'Instrument Table'!$A:$A, "")</f>
        <v>11</v>
      </c>
      <c r="G660" s="1" t="str">
        <f>TEXT(IF($B660 = "Retail Item", IF((ROW($A660) - 4504 - _xlfn.XMATCH($C660, $C$4506:$C$5005, 0, 1)) &lt;= VLOOKUP($C660, 'Instrument Table'!$B:$D, 3, FALSE), ROW($A660) - 4504 - _xlfn.XMATCH($C660, $C$4506:$C$5005, 0, 1), 0), 0), "00")</f>
        <v>00</v>
      </c>
      <c r="H660" s="1" t="str">
        <f t="shared" si="61"/>
        <v>104</v>
      </c>
      <c r="I660" s="1" t="str">
        <f t="shared" si="62"/>
        <v>11100-104</v>
      </c>
      <c r="J660" s="1" t="str">
        <f t="shared" si="63"/>
        <v>Upright piano production item #104</v>
      </c>
      <c r="K660" s="1" t="str">
        <f>IF(SUM(COUNTIFS(I:I, I660)) &gt; 1, "DUPLICATE", "UNIQUE")</f>
        <v>UNIQUE</v>
      </c>
      <c r="L660" s="18">
        <v>8</v>
      </c>
      <c r="M660" s="28">
        <v>44</v>
      </c>
      <c r="N660" s="6">
        <v>196</v>
      </c>
      <c r="O660" s="30">
        <f t="shared" si="64"/>
        <v>352</v>
      </c>
      <c r="P660" s="30">
        <f t="shared" si="65"/>
        <v>8624</v>
      </c>
      <c r="Q660" s="1">
        <f>COUNTIFS($P:$P, "&gt;" &amp; $P660) + 1</f>
        <v>1916</v>
      </c>
      <c r="R660" s="63">
        <f>(COUNTIFS($P:$P, "&gt;" &amp; $P660) + 1) / (COUNTA($I:$I) - 1)</f>
        <v>0.38319999999999999</v>
      </c>
      <c r="S660" s="23">
        <f>SUMIFS($P:$P, $Q:$Q, "&lt;" &amp; $Q660)</f>
        <v>179303097</v>
      </c>
    </row>
    <row r="661" spans="1:19" x14ac:dyDescent="0.25">
      <c r="A661" s="1">
        <v>656</v>
      </c>
      <c r="B661" s="1" t="s">
        <v>2</v>
      </c>
      <c r="C661" s="1" t="str">
        <f>IF($B661 = "Production Item", _xlfn.XLOOKUP($A661, 'Instrument Table'!$J:$J, 'Instrument Table'!$B:$B, $C660), IF($B661 = "Service Item", _xlfn.XLOOKUP($A661, 'Instrument Table'!$I:$I, 'Instrument Table'!$B:$B, $C660), _xlfn.XLOOKUP($A661, 'Instrument Table'!$H:$H, 'Instrument Table'!$B:$B, $C660)))</f>
        <v>Upright Piano</v>
      </c>
      <c r="D661" s="1" t="str">
        <f>VLOOKUP($C661, 'Instrument Table'!$B:$C, 2, FALSE)</f>
        <v>Pianos</v>
      </c>
      <c r="E661" s="1">
        <f t="shared" si="60"/>
        <v>1</v>
      </c>
      <c r="F661" s="1">
        <f>_xlfn.XLOOKUP($C661, 'Instrument Table'!$B:$B, 'Instrument Table'!$A:$A, "")</f>
        <v>11</v>
      </c>
      <c r="G661" s="1" t="str">
        <f>TEXT(IF($B661 = "Retail Item", IF((ROW($A661) - 4504 - _xlfn.XMATCH($C661, $C$4506:$C$5005, 0, 1)) &lt;= VLOOKUP($C661, 'Instrument Table'!$B:$D, 3, FALSE), ROW($A661) - 4504 - _xlfn.XMATCH($C661, $C$4506:$C$5005, 0, 1), 0), 0), "00")</f>
        <v>00</v>
      </c>
      <c r="H661" s="1" t="str">
        <f t="shared" si="61"/>
        <v>105</v>
      </c>
      <c r="I661" s="1" t="str">
        <f t="shared" si="62"/>
        <v>11100-105</v>
      </c>
      <c r="J661" s="1" t="str">
        <f t="shared" si="63"/>
        <v>Upright piano production item #105</v>
      </c>
      <c r="K661" s="1" t="str">
        <f>IF(SUM(COUNTIFS(I:I, I661)) &gt; 1, "DUPLICATE", "UNIQUE")</f>
        <v>UNIQUE</v>
      </c>
      <c r="L661" s="18">
        <v>0</v>
      </c>
      <c r="M661" s="28">
        <v>85</v>
      </c>
      <c r="N661" s="6">
        <v>25</v>
      </c>
      <c r="O661" s="30">
        <f t="shared" si="64"/>
        <v>0</v>
      </c>
      <c r="P661" s="30">
        <f t="shared" si="65"/>
        <v>2125</v>
      </c>
      <c r="Q661" s="1">
        <f>COUNTIFS($P:$P, "&gt;" &amp; $P661) + 1</f>
        <v>3189</v>
      </c>
      <c r="R661" s="63">
        <f>(COUNTIFS($P:$P, "&gt;" &amp; $P661) + 1) / (COUNTA($I:$I) - 1)</f>
        <v>0.63780000000000003</v>
      </c>
      <c r="S661" s="23">
        <f>SUMIFS($P:$P, $Q:$Q, "&lt;" &amp; $Q661)</f>
        <v>185384306</v>
      </c>
    </row>
    <row r="662" spans="1:19" x14ac:dyDescent="0.25">
      <c r="A662" s="1">
        <v>657</v>
      </c>
      <c r="B662" s="1" t="s">
        <v>2</v>
      </c>
      <c r="C662" s="1" t="str">
        <f>IF($B662 = "Production Item", _xlfn.XLOOKUP($A662, 'Instrument Table'!$J:$J, 'Instrument Table'!$B:$B, $C661), IF($B662 = "Service Item", _xlfn.XLOOKUP($A662, 'Instrument Table'!$I:$I, 'Instrument Table'!$B:$B, $C661), _xlfn.XLOOKUP($A662, 'Instrument Table'!$H:$H, 'Instrument Table'!$B:$B, $C661)))</f>
        <v>Upright Piano</v>
      </c>
      <c r="D662" s="1" t="str">
        <f>VLOOKUP($C662, 'Instrument Table'!$B:$C, 2, FALSE)</f>
        <v>Pianos</v>
      </c>
      <c r="E662" s="1">
        <f t="shared" si="60"/>
        <v>1</v>
      </c>
      <c r="F662" s="1">
        <f>_xlfn.XLOOKUP($C662, 'Instrument Table'!$B:$B, 'Instrument Table'!$A:$A, "")</f>
        <v>11</v>
      </c>
      <c r="G662" s="1" t="str">
        <f>TEXT(IF($B662 = "Retail Item", IF((ROW($A662) - 4504 - _xlfn.XMATCH($C662, $C$4506:$C$5005, 0, 1)) &lt;= VLOOKUP($C662, 'Instrument Table'!$B:$D, 3, FALSE), ROW($A662) - 4504 - _xlfn.XMATCH($C662, $C$4506:$C$5005, 0, 1), 0), 0), "00")</f>
        <v>00</v>
      </c>
      <c r="H662" s="1" t="str">
        <f t="shared" si="61"/>
        <v>106</v>
      </c>
      <c r="I662" s="1" t="str">
        <f t="shared" si="62"/>
        <v>11100-106</v>
      </c>
      <c r="J662" s="1" t="str">
        <f t="shared" si="63"/>
        <v>Upright piano production item #106</v>
      </c>
      <c r="K662" s="1" t="str">
        <f>IF(SUM(COUNTIFS(I:I, I662)) &gt; 1, "DUPLICATE", "UNIQUE")</f>
        <v>UNIQUE</v>
      </c>
      <c r="L662" s="18">
        <v>0</v>
      </c>
      <c r="M662" s="28">
        <v>12</v>
      </c>
      <c r="N662" s="6">
        <v>144</v>
      </c>
      <c r="O662" s="30">
        <f t="shared" si="64"/>
        <v>0</v>
      </c>
      <c r="P662" s="30">
        <f t="shared" si="65"/>
        <v>1728</v>
      </c>
      <c r="Q662" s="1">
        <f>COUNTIFS($P:$P, "&gt;" &amp; $P662) + 1</f>
        <v>3360</v>
      </c>
      <c r="R662" s="63">
        <f>(COUNTIFS($P:$P, "&gt;" &amp; $P662) + 1) / (COUNTA($I:$I) - 1)</f>
        <v>0.67200000000000004</v>
      </c>
      <c r="S662" s="23">
        <f>SUMIFS($P:$P, $Q:$Q, "&lt;" &amp; $Q662)</f>
        <v>185718037</v>
      </c>
    </row>
    <row r="663" spans="1:19" x14ac:dyDescent="0.25">
      <c r="A663" s="1">
        <v>658</v>
      </c>
      <c r="B663" s="1" t="s">
        <v>2</v>
      </c>
      <c r="C663" s="1" t="str">
        <f>IF($B663 = "Production Item", _xlfn.XLOOKUP($A663, 'Instrument Table'!$J:$J, 'Instrument Table'!$B:$B, $C662), IF($B663 = "Service Item", _xlfn.XLOOKUP($A663, 'Instrument Table'!$I:$I, 'Instrument Table'!$B:$B, $C662), _xlfn.XLOOKUP($A663, 'Instrument Table'!$H:$H, 'Instrument Table'!$B:$B, $C662)))</f>
        <v>Upright Piano</v>
      </c>
      <c r="D663" s="1" t="str">
        <f>VLOOKUP($C663, 'Instrument Table'!$B:$C, 2, FALSE)</f>
        <v>Pianos</v>
      </c>
      <c r="E663" s="1">
        <f t="shared" si="60"/>
        <v>1</v>
      </c>
      <c r="F663" s="1">
        <f>_xlfn.XLOOKUP($C663, 'Instrument Table'!$B:$B, 'Instrument Table'!$A:$A, "")</f>
        <v>11</v>
      </c>
      <c r="G663" s="1" t="str">
        <f>TEXT(IF($B663 = "Retail Item", IF((ROW($A663) - 4504 - _xlfn.XMATCH($C663, $C$4506:$C$5005, 0, 1)) &lt;= VLOOKUP($C663, 'Instrument Table'!$B:$D, 3, FALSE), ROW($A663) - 4504 - _xlfn.XMATCH($C663, $C$4506:$C$5005, 0, 1), 0), 0), "00")</f>
        <v>00</v>
      </c>
      <c r="H663" s="1" t="str">
        <f t="shared" si="61"/>
        <v>107</v>
      </c>
      <c r="I663" s="1" t="str">
        <f t="shared" si="62"/>
        <v>11100-107</v>
      </c>
      <c r="J663" s="1" t="str">
        <f t="shared" si="63"/>
        <v>Upright piano production item #107</v>
      </c>
      <c r="K663" s="1" t="str">
        <f>IF(SUM(COUNTIFS(I:I, I663)) &gt; 1, "DUPLICATE", "UNIQUE")</f>
        <v>UNIQUE</v>
      </c>
      <c r="L663" s="18">
        <v>1</v>
      </c>
      <c r="M663" s="28">
        <v>32</v>
      </c>
      <c r="N663" s="6">
        <v>64</v>
      </c>
      <c r="O663" s="30">
        <f t="shared" si="64"/>
        <v>32</v>
      </c>
      <c r="P663" s="30">
        <f t="shared" si="65"/>
        <v>2048</v>
      </c>
      <c r="Q663" s="1">
        <f>COUNTIFS($P:$P, "&gt;" &amp; $P663) + 1</f>
        <v>3234</v>
      </c>
      <c r="R663" s="63">
        <f>(COUNTIFS($P:$P, "&gt;" &amp; $P663) + 1) / (COUNTA($I:$I) - 1)</f>
        <v>0.64680000000000004</v>
      </c>
      <c r="S663" s="23">
        <f>SUMIFS($P:$P, $Q:$Q, "&lt;" &amp; $Q663)</f>
        <v>185478555</v>
      </c>
    </row>
    <row r="664" spans="1:19" x14ac:dyDescent="0.25">
      <c r="A664" s="1">
        <v>659</v>
      </c>
      <c r="B664" s="1" t="s">
        <v>2</v>
      </c>
      <c r="C664" s="1" t="str">
        <f>IF($B664 = "Production Item", _xlfn.XLOOKUP($A664, 'Instrument Table'!$J:$J, 'Instrument Table'!$B:$B, $C663), IF($B664 = "Service Item", _xlfn.XLOOKUP($A664, 'Instrument Table'!$I:$I, 'Instrument Table'!$B:$B, $C663), _xlfn.XLOOKUP($A664, 'Instrument Table'!$H:$H, 'Instrument Table'!$B:$B, $C663)))</f>
        <v>Upright Piano</v>
      </c>
      <c r="D664" s="1" t="str">
        <f>VLOOKUP($C664, 'Instrument Table'!$B:$C, 2, FALSE)</f>
        <v>Pianos</v>
      </c>
      <c r="E664" s="1">
        <f t="shared" si="60"/>
        <v>1</v>
      </c>
      <c r="F664" s="1">
        <f>_xlfn.XLOOKUP($C664, 'Instrument Table'!$B:$B, 'Instrument Table'!$A:$A, "")</f>
        <v>11</v>
      </c>
      <c r="G664" s="1" t="str">
        <f>TEXT(IF($B664 = "Retail Item", IF((ROW($A664) - 4504 - _xlfn.XMATCH($C664, $C$4506:$C$5005, 0, 1)) &lt;= VLOOKUP($C664, 'Instrument Table'!$B:$D, 3, FALSE), ROW($A664) - 4504 - _xlfn.XMATCH($C664, $C$4506:$C$5005, 0, 1), 0), 0), "00")</f>
        <v>00</v>
      </c>
      <c r="H664" s="1" t="str">
        <f t="shared" si="61"/>
        <v>108</v>
      </c>
      <c r="I664" s="1" t="str">
        <f t="shared" si="62"/>
        <v>11100-108</v>
      </c>
      <c r="J664" s="1" t="str">
        <f t="shared" si="63"/>
        <v>Upright piano production item #108</v>
      </c>
      <c r="K664" s="1" t="str">
        <f>IF(SUM(COUNTIFS(I:I, I664)) &gt; 1, "DUPLICATE", "UNIQUE")</f>
        <v>UNIQUE</v>
      </c>
      <c r="L664" s="18">
        <v>1</v>
      </c>
      <c r="M664" s="28">
        <v>52</v>
      </c>
      <c r="N664" s="6">
        <v>9</v>
      </c>
      <c r="O664" s="30">
        <f t="shared" si="64"/>
        <v>52</v>
      </c>
      <c r="P664" s="30">
        <f t="shared" si="65"/>
        <v>468</v>
      </c>
      <c r="Q664" s="1">
        <f>COUNTIFS($P:$P, "&gt;" &amp; $P664) + 1</f>
        <v>4049</v>
      </c>
      <c r="R664" s="63">
        <f>(COUNTIFS($P:$P, "&gt;" &amp; $P664) + 1) / (COUNTA($I:$I) - 1)</f>
        <v>0.80979999999999996</v>
      </c>
      <c r="S664" s="23">
        <f>SUMIFS($P:$P, $Q:$Q, "&lt;" &amp; $Q664)</f>
        <v>186422918</v>
      </c>
    </row>
    <row r="665" spans="1:19" x14ac:dyDescent="0.25">
      <c r="A665" s="1">
        <v>660</v>
      </c>
      <c r="B665" s="1" t="s">
        <v>2</v>
      </c>
      <c r="C665" s="1" t="str">
        <f>IF($B665 = "Production Item", _xlfn.XLOOKUP($A665, 'Instrument Table'!$J:$J, 'Instrument Table'!$B:$B, $C664), IF($B665 = "Service Item", _xlfn.XLOOKUP($A665, 'Instrument Table'!$I:$I, 'Instrument Table'!$B:$B, $C664), _xlfn.XLOOKUP($A665, 'Instrument Table'!$H:$H, 'Instrument Table'!$B:$B, $C664)))</f>
        <v>Upright Piano</v>
      </c>
      <c r="D665" s="1" t="str">
        <f>VLOOKUP($C665, 'Instrument Table'!$B:$C, 2, FALSE)</f>
        <v>Pianos</v>
      </c>
      <c r="E665" s="1">
        <f t="shared" si="60"/>
        <v>1</v>
      </c>
      <c r="F665" s="1">
        <f>_xlfn.XLOOKUP($C665, 'Instrument Table'!$B:$B, 'Instrument Table'!$A:$A, "")</f>
        <v>11</v>
      </c>
      <c r="G665" s="1" t="str">
        <f>TEXT(IF($B665 = "Retail Item", IF((ROW($A665) - 4504 - _xlfn.XMATCH($C665, $C$4506:$C$5005, 0, 1)) &lt;= VLOOKUP($C665, 'Instrument Table'!$B:$D, 3, FALSE), ROW($A665) - 4504 - _xlfn.XMATCH($C665, $C$4506:$C$5005, 0, 1), 0), 0), "00")</f>
        <v>00</v>
      </c>
      <c r="H665" s="1" t="str">
        <f t="shared" si="61"/>
        <v>109</v>
      </c>
      <c r="I665" s="1" t="str">
        <f t="shared" si="62"/>
        <v>11100-109</v>
      </c>
      <c r="J665" s="1" t="str">
        <f t="shared" si="63"/>
        <v>Upright piano production item #109</v>
      </c>
      <c r="K665" s="1" t="str">
        <f>IF(SUM(COUNTIFS(I:I, I665)) &gt; 1, "DUPLICATE", "UNIQUE")</f>
        <v>UNIQUE</v>
      </c>
      <c r="L665" s="18">
        <v>1</v>
      </c>
      <c r="M665" s="28">
        <v>58</v>
      </c>
      <c r="N665" s="6">
        <v>1</v>
      </c>
      <c r="O665" s="30">
        <f t="shared" si="64"/>
        <v>58</v>
      </c>
      <c r="P665" s="30">
        <f t="shared" si="65"/>
        <v>58</v>
      </c>
      <c r="Q665" s="1">
        <f>COUNTIFS($P:$P, "&gt;" &amp; $P665) + 1</f>
        <v>4587</v>
      </c>
      <c r="R665" s="63">
        <f>(COUNTIFS($P:$P, "&gt;" &amp; $P665) + 1) / (COUNTA($I:$I) - 1)</f>
        <v>0.91739999999999999</v>
      </c>
      <c r="S665" s="23">
        <f>SUMIFS($P:$P, $Q:$Q, "&lt;" &amp; $Q665)</f>
        <v>186542972</v>
      </c>
    </row>
    <row r="666" spans="1:19" x14ac:dyDescent="0.25">
      <c r="A666" s="1">
        <v>661</v>
      </c>
      <c r="B666" s="1" t="s">
        <v>2</v>
      </c>
      <c r="C666" s="1" t="str">
        <f>IF($B666 = "Production Item", _xlfn.XLOOKUP($A666, 'Instrument Table'!$J:$J, 'Instrument Table'!$B:$B, $C665), IF($B666 = "Service Item", _xlfn.XLOOKUP($A666, 'Instrument Table'!$I:$I, 'Instrument Table'!$B:$B, $C665), _xlfn.XLOOKUP($A666, 'Instrument Table'!$H:$H, 'Instrument Table'!$B:$B, $C665)))</f>
        <v>Upright Piano</v>
      </c>
      <c r="D666" s="1" t="str">
        <f>VLOOKUP($C666, 'Instrument Table'!$B:$C, 2, FALSE)</f>
        <v>Pianos</v>
      </c>
      <c r="E666" s="1">
        <f t="shared" si="60"/>
        <v>1</v>
      </c>
      <c r="F666" s="1">
        <f>_xlfn.XLOOKUP($C666, 'Instrument Table'!$B:$B, 'Instrument Table'!$A:$A, "")</f>
        <v>11</v>
      </c>
      <c r="G666" s="1" t="str">
        <f>TEXT(IF($B666 = "Retail Item", IF((ROW($A666) - 4504 - _xlfn.XMATCH($C666, $C$4506:$C$5005, 0, 1)) &lt;= VLOOKUP($C666, 'Instrument Table'!$B:$D, 3, FALSE), ROW($A666) - 4504 - _xlfn.XMATCH($C666, $C$4506:$C$5005, 0, 1), 0), 0), "00")</f>
        <v>00</v>
      </c>
      <c r="H666" s="1" t="str">
        <f t="shared" si="61"/>
        <v>110</v>
      </c>
      <c r="I666" s="1" t="str">
        <f t="shared" si="62"/>
        <v>11100-110</v>
      </c>
      <c r="J666" s="1" t="str">
        <f t="shared" si="63"/>
        <v>Upright piano production item #110</v>
      </c>
      <c r="K666" s="1" t="str">
        <f>IF(SUM(COUNTIFS(I:I, I666)) &gt; 1, "DUPLICATE", "UNIQUE")</f>
        <v>UNIQUE</v>
      </c>
      <c r="L666" s="18">
        <v>1</v>
      </c>
      <c r="M666" s="28">
        <v>94</v>
      </c>
      <c r="N666" s="6">
        <v>196</v>
      </c>
      <c r="O666" s="30">
        <f t="shared" si="64"/>
        <v>94</v>
      </c>
      <c r="P666" s="30">
        <f t="shared" si="65"/>
        <v>18424</v>
      </c>
      <c r="Q666" s="1">
        <f>COUNTIFS($P:$P, "&gt;" &amp; $P666) + 1</f>
        <v>1141</v>
      </c>
      <c r="R666" s="63">
        <f>(COUNTIFS($P:$P, "&gt;" &amp; $P666) + 1) / (COUNTA($I:$I) - 1)</f>
        <v>0.22819999999999999</v>
      </c>
      <c r="S666" s="23">
        <f>SUMIFS($P:$P, $Q:$Q, "&lt;" &amp; $Q666)</f>
        <v>169271117</v>
      </c>
    </row>
    <row r="667" spans="1:19" x14ac:dyDescent="0.25">
      <c r="A667" s="1">
        <v>662</v>
      </c>
      <c r="B667" s="1" t="s">
        <v>2</v>
      </c>
      <c r="C667" s="1" t="str">
        <f>IF($B667 = "Production Item", _xlfn.XLOOKUP($A667, 'Instrument Table'!$J:$J, 'Instrument Table'!$B:$B, $C666), IF($B667 = "Service Item", _xlfn.XLOOKUP($A667, 'Instrument Table'!$I:$I, 'Instrument Table'!$B:$B, $C666), _xlfn.XLOOKUP($A667, 'Instrument Table'!$H:$H, 'Instrument Table'!$B:$B, $C666)))</f>
        <v>Upright Piano</v>
      </c>
      <c r="D667" s="1" t="str">
        <f>VLOOKUP($C667, 'Instrument Table'!$B:$C, 2, FALSE)</f>
        <v>Pianos</v>
      </c>
      <c r="E667" s="1">
        <f t="shared" si="60"/>
        <v>1</v>
      </c>
      <c r="F667" s="1">
        <f>_xlfn.XLOOKUP($C667, 'Instrument Table'!$B:$B, 'Instrument Table'!$A:$A, "")</f>
        <v>11</v>
      </c>
      <c r="G667" s="1" t="str">
        <f>TEXT(IF($B667 = "Retail Item", IF((ROW($A667) - 4504 - _xlfn.XMATCH($C667, $C$4506:$C$5005, 0, 1)) &lt;= VLOOKUP($C667, 'Instrument Table'!$B:$D, 3, FALSE), ROW($A667) - 4504 - _xlfn.XMATCH($C667, $C$4506:$C$5005, 0, 1), 0), 0), "00")</f>
        <v>00</v>
      </c>
      <c r="H667" s="1" t="str">
        <f t="shared" si="61"/>
        <v>111</v>
      </c>
      <c r="I667" s="1" t="str">
        <f t="shared" si="62"/>
        <v>11100-111</v>
      </c>
      <c r="J667" s="1" t="str">
        <f t="shared" si="63"/>
        <v>Upright piano production item #111</v>
      </c>
      <c r="K667" s="1" t="str">
        <f>IF(SUM(COUNTIFS(I:I, I667)) &gt; 1, "DUPLICATE", "UNIQUE")</f>
        <v>UNIQUE</v>
      </c>
      <c r="L667" s="18">
        <v>2</v>
      </c>
      <c r="M667" s="28">
        <v>23</v>
      </c>
      <c r="N667" s="6">
        <v>100</v>
      </c>
      <c r="O667" s="30">
        <f t="shared" si="64"/>
        <v>46</v>
      </c>
      <c r="P667" s="30">
        <f t="shared" si="65"/>
        <v>2300</v>
      </c>
      <c r="Q667" s="1">
        <f>COUNTIFS($P:$P, "&gt;" &amp; $P667) + 1</f>
        <v>3131</v>
      </c>
      <c r="R667" s="63">
        <f>(COUNTIFS($P:$P, "&gt;" &amp; $P667) + 1) / (COUNTA($I:$I) - 1)</f>
        <v>0.62619999999999998</v>
      </c>
      <c r="S667" s="23">
        <f>SUMIFS($P:$P, $Q:$Q, "&lt;" &amp; $Q667)</f>
        <v>185254605</v>
      </c>
    </row>
    <row r="668" spans="1:19" x14ac:dyDescent="0.25">
      <c r="A668" s="1">
        <v>663</v>
      </c>
      <c r="B668" s="1" t="s">
        <v>2</v>
      </c>
      <c r="C668" s="1" t="str">
        <f>IF($B668 = "Production Item", _xlfn.XLOOKUP($A668, 'Instrument Table'!$J:$J, 'Instrument Table'!$B:$B, $C667), IF($B668 = "Service Item", _xlfn.XLOOKUP($A668, 'Instrument Table'!$I:$I, 'Instrument Table'!$B:$B, $C667), _xlfn.XLOOKUP($A668, 'Instrument Table'!$H:$H, 'Instrument Table'!$B:$B, $C667)))</f>
        <v>Upright Piano</v>
      </c>
      <c r="D668" s="1" t="str">
        <f>VLOOKUP($C668, 'Instrument Table'!$B:$C, 2, FALSE)</f>
        <v>Pianos</v>
      </c>
      <c r="E668" s="1">
        <f t="shared" si="60"/>
        <v>1</v>
      </c>
      <c r="F668" s="1">
        <f>_xlfn.XLOOKUP($C668, 'Instrument Table'!$B:$B, 'Instrument Table'!$A:$A, "")</f>
        <v>11</v>
      </c>
      <c r="G668" s="1" t="str">
        <f>TEXT(IF($B668 = "Retail Item", IF((ROW($A668) - 4504 - _xlfn.XMATCH($C668, $C$4506:$C$5005, 0, 1)) &lt;= VLOOKUP($C668, 'Instrument Table'!$B:$D, 3, FALSE), ROW($A668) - 4504 - _xlfn.XMATCH($C668, $C$4506:$C$5005, 0, 1), 0), 0), "00")</f>
        <v>00</v>
      </c>
      <c r="H668" s="1" t="str">
        <f t="shared" si="61"/>
        <v>112</v>
      </c>
      <c r="I668" s="1" t="str">
        <f t="shared" si="62"/>
        <v>11100-112</v>
      </c>
      <c r="J668" s="1" t="str">
        <f t="shared" si="63"/>
        <v>Upright piano production item #112</v>
      </c>
      <c r="K668" s="1" t="str">
        <f>IF(SUM(COUNTIFS(I:I, I668)) &gt; 1, "DUPLICATE", "UNIQUE")</f>
        <v>UNIQUE</v>
      </c>
      <c r="L668" s="18">
        <v>1</v>
      </c>
      <c r="M668" s="28">
        <v>19</v>
      </c>
      <c r="N668" s="6">
        <v>81</v>
      </c>
      <c r="O668" s="30">
        <f t="shared" si="64"/>
        <v>19</v>
      </c>
      <c r="P668" s="30">
        <f t="shared" si="65"/>
        <v>1539</v>
      </c>
      <c r="Q668" s="1">
        <f>COUNTIFS($P:$P, "&gt;" &amp; $P668) + 1</f>
        <v>3443</v>
      </c>
      <c r="R668" s="63">
        <f>(COUNTIFS($P:$P, "&gt;" &amp; $P668) + 1) / (COUNTA($I:$I) - 1)</f>
        <v>0.68859999999999999</v>
      </c>
      <c r="S668" s="23">
        <f>SUMIFS($P:$P, $Q:$Q, "&lt;" &amp; $Q668)</f>
        <v>185853067</v>
      </c>
    </row>
    <row r="669" spans="1:19" x14ac:dyDescent="0.25">
      <c r="A669" s="1">
        <v>664</v>
      </c>
      <c r="B669" s="1" t="s">
        <v>2</v>
      </c>
      <c r="C669" s="1" t="str">
        <f>IF($B669 = "Production Item", _xlfn.XLOOKUP($A669, 'Instrument Table'!$J:$J, 'Instrument Table'!$B:$B, $C668), IF($B669 = "Service Item", _xlfn.XLOOKUP($A669, 'Instrument Table'!$I:$I, 'Instrument Table'!$B:$B, $C668), _xlfn.XLOOKUP($A669, 'Instrument Table'!$H:$H, 'Instrument Table'!$B:$B, $C668)))</f>
        <v>Upright Piano</v>
      </c>
      <c r="D669" s="1" t="str">
        <f>VLOOKUP($C669, 'Instrument Table'!$B:$C, 2, FALSE)</f>
        <v>Pianos</v>
      </c>
      <c r="E669" s="1">
        <f t="shared" si="60"/>
        <v>1</v>
      </c>
      <c r="F669" s="1">
        <f>_xlfn.XLOOKUP($C669, 'Instrument Table'!$B:$B, 'Instrument Table'!$A:$A, "")</f>
        <v>11</v>
      </c>
      <c r="G669" s="1" t="str">
        <f>TEXT(IF($B669 = "Retail Item", IF((ROW($A669) - 4504 - _xlfn.XMATCH($C669, $C$4506:$C$5005, 0, 1)) &lt;= VLOOKUP($C669, 'Instrument Table'!$B:$D, 3, FALSE), ROW($A669) - 4504 - _xlfn.XMATCH($C669, $C$4506:$C$5005, 0, 1), 0), 0), "00")</f>
        <v>00</v>
      </c>
      <c r="H669" s="1" t="str">
        <f t="shared" si="61"/>
        <v>113</v>
      </c>
      <c r="I669" s="1" t="str">
        <f t="shared" si="62"/>
        <v>11100-113</v>
      </c>
      <c r="J669" s="1" t="str">
        <f t="shared" si="63"/>
        <v>Upright piano production item #113</v>
      </c>
      <c r="K669" s="1" t="str">
        <f>IF(SUM(COUNTIFS(I:I, I669)) &gt; 1, "DUPLICATE", "UNIQUE")</f>
        <v>UNIQUE</v>
      </c>
      <c r="L669" s="18">
        <v>0</v>
      </c>
      <c r="M669" s="28">
        <v>22</v>
      </c>
      <c r="N669" s="6">
        <v>169</v>
      </c>
      <c r="O669" s="30">
        <f t="shared" si="64"/>
        <v>0</v>
      </c>
      <c r="P669" s="30">
        <f t="shared" si="65"/>
        <v>3718</v>
      </c>
      <c r="Q669" s="1">
        <f>COUNTIFS($P:$P, "&gt;" &amp; $P669) + 1</f>
        <v>2718</v>
      </c>
      <c r="R669" s="63">
        <f>(COUNTIFS($P:$P, "&gt;" &amp; $P669) + 1) / (COUNTA($I:$I) - 1)</f>
        <v>0.54359999999999997</v>
      </c>
      <c r="S669" s="23">
        <f>SUMIFS($P:$P, $Q:$Q, "&lt;" &amp; $Q669)</f>
        <v>184034250</v>
      </c>
    </row>
    <row r="670" spans="1:19" x14ac:dyDescent="0.25">
      <c r="A670" s="1">
        <v>665</v>
      </c>
      <c r="B670" s="1" t="s">
        <v>2</v>
      </c>
      <c r="C670" s="1" t="str">
        <f>IF($B670 = "Production Item", _xlfn.XLOOKUP($A670, 'Instrument Table'!$J:$J, 'Instrument Table'!$B:$B, $C669), IF($B670 = "Service Item", _xlfn.XLOOKUP($A670, 'Instrument Table'!$I:$I, 'Instrument Table'!$B:$B, $C669), _xlfn.XLOOKUP($A670, 'Instrument Table'!$H:$H, 'Instrument Table'!$B:$B, $C669)))</f>
        <v>Upright Piano</v>
      </c>
      <c r="D670" s="1" t="str">
        <f>VLOOKUP($C670, 'Instrument Table'!$B:$C, 2, FALSE)</f>
        <v>Pianos</v>
      </c>
      <c r="E670" s="1">
        <f t="shared" si="60"/>
        <v>1</v>
      </c>
      <c r="F670" s="1">
        <f>_xlfn.XLOOKUP($C670, 'Instrument Table'!$B:$B, 'Instrument Table'!$A:$A, "")</f>
        <v>11</v>
      </c>
      <c r="G670" s="1" t="str">
        <f>TEXT(IF($B670 = "Retail Item", IF((ROW($A670) - 4504 - _xlfn.XMATCH($C670, $C$4506:$C$5005, 0, 1)) &lt;= VLOOKUP($C670, 'Instrument Table'!$B:$D, 3, FALSE), ROW($A670) - 4504 - _xlfn.XMATCH($C670, $C$4506:$C$5005, 0, 1), 0), 0), "00")</f>
        <v>00</v>
      </c>
      <c r="H670" s="1" t="str">
        <f t="shared" si="61"/>
        <v>114</v>
      </c>
      <c r="I670" s="1" t="str">
        <f t="shared" si="62"/>
        <v>11100-114</v>
      </c>
      <c r="J670" s="1" t="str">
        <f t="shared" si="63"/>
        <v>Upright piano production item #114</v>
      </c>
      <c r="K670" s="1" t="str">
        <f>IF(SUM(COUNTIFS(I:I, I670)) &gt; 1, "DUPLICATE", "UNIQUE")</f>
        <v>UNIQUE</v>
      </c>
      <c r="L670" s="18">
        <v>2</v>
      </c>
      <c r="M670" s="28">
        <v>91</v>
      </c>
      <c r="N670" s="6">
        <v>81</v>
      </c>
      <c r="O670" s="30">
        <f t="shared" si="64"/>
        <v>182</v>
      </c>
      <c r="P670" s="30">
        <f t="shared" si="65"/>
        <v>7371</v>
      </c>
      <c r="Q670" s="1">
        <f>COUNTIFS($P:$P, "&gt;" &amp; $P670) + 1</f>
        <v>2091</v>
      </c>
      <c r="R670" s="63">
        <f>(COUNTIFS($P:$P, "&gt;" &amp; $P670) + 1) / (COUNTA($I:$I) - 1)</f>
        <v>0.41820000000000002</v>
      </c>
      <c r="S670" s="23">
        <f>SUMIFS($P:$P, $Q:$Q, "&lt;" &amp; $Q670)</f>
        <v>180692822</v>
      </c>
    </row>
    <row r="671" spans="1:19" x14ac:dyDescent="0.25">
      <c r="A671" s="1">
        <v>666</v>
      </c>
      <c r="B671" s="1" t="s">
        <v>2</v>
      </c>
      <c r="C671" s="1" t="str">
        <f>IF($B671 = "Production Item", _xlfn.XLOOKUP($A671, 'Instrument Table'!$J:$J, 'Instrument Table'!$B:$B, $C670), IF($B671 = "Service Item", _xlfn.XLOOKUP($A671, 'Instrument Table'!$I:$I, 'Instrument Table'!$B:$B, $C670), _xlfn.XLOOKUP($A671, 'Instrument Table'!$H:$H, 'Instrument Table'!$B:$B, $C670)))</f>
        <v>Upright Piano</v>
      </c>
      <c r="D671" s="1" t="str">
        <f>VLOOKUP($C671, 'Instrument Table'!$B:$C, 2, FALSE)</f>
        <v>Pianos</v>
      </c>
      <c r="E671" s="1">
        <f t="shared" si="60"/>
        <v>1</v>
      </c>
      <c r="F671" s="1">
        <f>_xlfn.XLOOKUP($C671, 'Instrument Table'!$B:$B, 'Instrument Table'!$A:$A, "")</f>
        <v>11</v>
      </c>
      <c r="G671" s="1" t="str">
        <f>TEXT(IF($B671 = "Retail Item", IF((ROW($A671) - 4504 - _xlfn.XMATCH($C671, $C$4506:$C$5005, 0, 1)) &lt;= VLOOKUP($C671, 'Instrument Table'!$B:$D, 3, FALSE), ROW($A671) - 4504 - _xlfn.XMATCH($C671, $C$4506:$C$5005, 0, 1), 0), 0), "00")</f>
        <v>00</v>
      </c>
      <c r="H671" s="1" t="str">
        <f t="shared" si="61"/>
        <v>115</v>
      </c>
      <c r="I671" s="1" t="str">
        <f t="shared" si="62"/>
        <v>11100-115</v>
      </c>
      <c r="J671" s="1" t="str">
        <f t="shared" si="63"/>
        <v>Upright piano production item #115</v>
      </c>
      <c r="K671" s="1" t="str">
        <f>IF(SUM(COUNTIFS(I:I, I671)) &gt; 1, "DUPLICATE", "UNIQUE")</f>
        <v>UNIQUE</v>
      </c>
      <c r="L671" s="18">
        <v>32</v>
      </c>
      <c r="M671" s="28">
        <v>39</v>
      </c>
      <c r="N671" s="6">
        <v>9</v>
      </c>
      <c r="O671" s="30">
        <f t="shared" si="64"/>
        <v>1248</v>
      </c>
      <c r="P671" s="30">
        <f t="shared" si="65"/>
        <v>351</v>
      </c>
      <c r="Q671" s="1">
        <f>COUNTIFS($P:$P, "&gt;" &amp; $P671) + 1</f>
        <v>4155</v>
      </c>
      <c r="R671" s="63">
        <f>(COUNTIFS($P:$P, "&gt;" &amp; $P671) + 1) / (COUNTA($I:$I) - 1)</f>
        <v>0.83099999999999996</v>
      </c>
      <c r="S671" s="23">
        <f>SUMIFS($P:$P, $Q:$Q, "&lt;" &amp; $Q671)</f>
        <v>186465485</v>
      </c>
    </row>
    <row r="672" spans="1:19" x14ac:dyDescent="0.25">
      <c r="A672" s="1">
        <v>667</v>
      </c>
      <c r="B672" s="1" t="s">
        <v>2</v>
      </c>
      <c r="C672" s="1" t="str">
        <f>IF($B672 = "Production Item", _xlfn.XLOOKUP($A672, 'Instrument Table'!$J:$J, 'Instrument Table'!$B:$B, $C671), IF($B672 = "Service Item", _xlfn.XLOOKUP($A672, 'Instrument Table'!$I:$I, 'Instrument Table'!$B:$B, $C671), _xlfn.XLOOKUP($A672, 'Instrument Table'!$H:$H, 'Instrument Table'!$B:$B, $C671)))</f>
        <v>Upright Piano</v>
      </c>
      <c r="D672" s="1" t="str">
        <f>VLOOKUP($C672, 'Instrument Table'!$B:$C, 2, FALSE)</f>
        <v>Pianos</v>
      </c>
      <c r="E672" s="1">
        <f t="shared" si="60"/>
        <v>1</v>
      </c>
      <c r="F672" s="1">
        <f>_xlfn.XLOOKUP($C672, 'Instrument Table'!$B:$B, 'Instrument Table'!$A:$A, "")</f>
        <v>11</v>
      </c>
      <c r="G672" s="1" t="str">
        <f>TEXT(IF($B672 = "Retail Item", IF((ROW($A672) - 4504 - _xlfn.XMATCH($C672, $C$4506:$C$5005, 0, 1)) &lt;= VLOOKUP($C672, 'Instrument Table'!$B:$D, 3, FALSE), ROW($A672) - 4504 - _xlfn.XMATCH($C672, $C$4506:$C$5005, 0, 1), 0), 0), "00")</f>
        <v>00</v>
      </c>
      <c r="H672" s="1" t="str">
        <f t="shared" si="61"/>
        <v>116</v>
      </c>
      <c r="I672" s="1" t="str">
        <f t="shared" si="62"/>
        <v>11100-116</v>
      </c>
      <c r="J672" s="1" t="str">
        <f t="shared" si="63"/>
        <v>Upright piano production item #116</v>
      </c>
      <c r="K672" s="1" t="str">
        <f>IF(SUM(COUNTIFS(I:I, I672)) &gt; 1, "DUPLICATE", "UNIQUE")</f>
        <v>UNIQUE</v>
      </c>
      <c r="L672" s="18">
        <v>0</v>
      </c>
      <c r="M672" s="28">
        <v>8</v>
      </c>
      <c r="N672" s="6">
        <v>4</v>
      </c>
      <c r="O672" s="30">
        <f t="shared" si="64"/>
        <v>0</v>
      </c>
      <c r="P672" s="30">
        <f t="shared" si="65"/>
        <v>32</v>
      </c>
      <c r="Q672" s="1">
        <f>COUNTIFS($P:$P, "&gt;" &amp; $P672) + 1</f>
        <v>4658</v>
      </c>
      <c r="R672" s="63">
        <f>(COUNTIFS($P:$P, "&gt;" &amp; $P672) + 1) / (COUNTA($I:$I) - 1)</f>
        <v>0.93159999999999998</v>
      </c>
      <c r="S672" s="23">
        <f>SUMIFS($P:$P, $Q:$Q, "&lt;" &amp; $Q672)</f>
        <v>186546308</v>
      </c>
    </row>
    <row r="673" spans="1:19" x14ac:dyDescent="0.25">
      <c r="A673" s="1">
        <v>668</v>
      </c>
      <c r="B673" s="1" t="s">
        <v>2</v>
      </c>
      <c r="C673" s="1" t="str">
        <f>IF($B673 = "Production Item", _xlfn.XLOOKUP($A673, 'Instrument Table'!$J:$J, 'Instrument Table'!$B:$B, $C672), IF($B673 = "Service Item", _xlfn.XLOOKUP($A673, 'Instrument Table'!$I:$I, 'Instrument Table'!$B:$B, $C672), _xlfn.XLOOKUP($A673, 'Instrument Table'!$H:$H, 'Instrument Table'!$B:$B, $C672)))</f>
        <v>Upright Piano</v>
      </c>
      <c r="D673" s="1" t="str">
        <f>VLOOKUP($C673, 'Instrument Table'!$B:$C, 2, FALSE)</f>
        <v>Pianos</v>
      </c>
      <c r="E673" s="1">
        <f t="shared" si="60"/>
        <v>1</v>
      </c>
      <c r="F673" s="1">
        <f>_xlfn.XLOOKUP($C673, 'Instrument Table'!$B:$B, 'Instrument Table'!$A:$A, "")</f>
        <v>11</v>
      </c>
      <c r="G673" s="1" t="str">
        <f>TEXT(IF($B673 = "Retail Item", IF((ROW($A673) - 4504 - _xlfn.XMATCH($C673, $C$4506:$C$5005, 0, 1)) &lt;= VLOOKUP($C673, 'Instrument Table'!$B:$D, 3, FALSE), ROW($A673) - 4504 - _xlfn.XMATCH($C673, $C$4506:$C$5005, 0, 1), 0), 0), "00")</f>
        <v>00</v>
      </c>
      <c r="H673" s="1" t="str">
        <f t="shared" si="61"/>
        <v>117</v>
      </c>
      <c r="I673" s="1" t="str">
        <f t="shared" si="62"/>
        <v>11100-117</v>
      </c>
      <c r="J673" s="1" t="str">
        <f t="shared" si="63"/>
        <v>Upright piano production item #117</v>
      </c>
      <c r="K673" s="1" t="str">
        <f>IF(SUM(COUNTIFS(I:I, I673)) &gt; 1, "DUPLICATE", "UNIQUE")</f>
        <v>UNIQUE</v>
      </c>
      <c r="L673" s="18">
        <v>0</v>
      </c>
      <c r="M673" s="28">
        <v>73</v>
      </c>
      <c r="N673" s="6">
        <v>121</v>
      </c>
      <c r="O673" s="30">
        <f t="shared" si="64"/>
        <v>0</v>
      </c>
      <c r="P673" s="30">
        <f t="shared" si="65"/>
        <v>8833</v>
      </c>
      <c r="Q673" s="1">
        <f>COUNTIFS($P:$P, "&gt;" &amp; $P673) + 1</f>
        <v>1892</v>
      </c>
      <c r="R673" s="63">
        <f>(COUNTIFS($P:$P, "&gt;" &amp; $P673) + 1) / (COUNTA($I:$I) - 1)</f>
        <v>0.37840000000000001</v>
      </c>
      <c r="S673" s="23">
        <f>SUMIFS($P:$P, $Q:$Q, "&lt;" &amp; $Q673)</f>
        <v>179092955</v>
      </c>
    </row>
    <row r="674" spans="1:19" x14ac:dyDescent="0.25">
      <c r="A674" s="1">
        <v>669</v>
      </c>
      <c r="B674" s="1" t="s">
        <v>2</v>
      </c>
      <c r="C674" s="1" t="str">
        <f>IF($B674 = "Production Item", _xlfn.XLOOKUP($A674, 'Instrument Table'!$J:$J, 'Instrument Table'!$B:$B, $C673), IF($B674 = "Service Item", _xlfn.XLOOKUP($A674, 'Instrument Table'!$I:$I, 'Instrument Table'!$B:$B, $C673), _xlfn.XLOOKUP($A674, 'Instrument Table'!$H:$H, 'Instrument Table'!$B:$B, $C673)))</f>
        <v>Upright Piano</v>
      </c>
      <c r="D674" s="1" t="str">
        <f>VLOOKUP($C674, 'Instrument Table'!$B:$C, 2, FALSE)</f>
        <v>Pianos</v>
      </c>
      <c r="E674" s="1">
        <f t="shared" si="60"/>
        <v>1</v>
      </c>
      <c r="F674" s="1">
        <f>_xlfn.XLOOKUP($C674, 'Instrument Table'!$B:$B, 'Instrument Table'!$A:$A, "")</f>
        <v>11</v>
      </c>
      <c r="G674" s="1" t="str">
        <f>TEXT(IF($B674 = "Retail Item", IF((ROW($A674) - 4504 - _xlfn.XMATCH($C674, $C$4506:$C$5005, 0, 1)) &lt;= VLOOKUP($C674, 'Instrument Table'!$B:$D, 3, FALSE), ROW($A674) - 4504 - _xlfn.XMATCH($C674, $C$4506:$C$5005, 0, 1), 0), 0), "00")</f>
        <v>00</v>
      </c>
      <c r="H674" s="1" t="str">
        <f t="shared" si="61"/>
        <v>118</v>
      </c>
      <c r="I674" s="1" t="str">
        <f t="shared" si="62"/>
        <v>11100-118</v>
      </c>
      <c r="J674" s="1" t="str">
        <f t="shared" si="63"/>
        <v>Upright piano production item #118</v>
      </c>
      <c r="K674" s="1" t="str">
        <f>IF(SUM(COUNTIFS(I:I, I674)) &gt; 1, "DUPLICATE", "UNIQUE")</f>
        <v>UNIQUE</v>
      </c>
      <c r="L674" s="18">
        <v>1</v>
      </c>
      <c r="M674" s="28">
        <v>64</v>
      </c>
      <c r="N674" s="6">
        <v>324</v>
      </c>
      <c r="O674" s="30">
        <f t="shared" si="64"/>
        <v>64</v>
      </c>
      <c r="P674" s="30">
        <f t="shared" si="65"/>
        <v>20736</v>
      </c>
      <c r="Q674" s="1">
        <f>COUNTIFS($P:$P, "&gt;" &amp; $P674) + 1</f>
        <v>1016</v>
      </c>
      <c r="R674" s="63">
        <f>(COUNTIFS($P:$P, "&gt;" &amp; $P674) + 1) / (COUNTA($I:$I) - 1)</f>
        <v>0.20319999999999999</v>
      </c>
      <c r="S674" s="23">
        <f>SUMIFS($P:$P, $Q:$Q, "&lt;" &amp; $Q674)</f>
        <v>166826425</v>
      </c>
    </row>
    <row r="675" spans="1:19" x14ac:dyDescent="0.25">
      <c r="A675" s="1">
        <v>670</v>
      </c>
      <c r="B675" s="1" t="s">
        <v>2</v>
      </c>
      <c r="C675" s="1" t="str">
        <f>IF($B675 = "Production Item", _xlfn.XLOOKUP($A675, 'Instrument Table'!$J:$J, 'Instrument Table'!$B:$B, $C674), IF($B675 = "Service Item", _xlfn.XLOOKUP($A675, 'Instrument Table'!$I:$I, 'Instrument Table'!$B:$B, $C674), _xlfn.XLOOKUP($A675, 'Instrument Table'!$H:$H, 'Instrument Table'!$B:$B, $C674)))</f>
        <v>Upright Piano</v>
      </c>
      <c r="D675" s="1" t="str">
        <f>VLOOKUP($C675, 'Instrument Table'!$B:$C, 2, FALSE)</f>
        <v>Pianos</v>
      </c>
      <c r="E675" s="1">
        <f t="shared" si="60"/>
        <v>1</v>
      </c>
      <c r="F675" s="1">
        <f>_xlfn.XLOOKUP($C675, 'Instrument Table'!$B:$B, 'Instrument Table'!$A:$A, "")</f>
        <v>11</v>
      </c>
      <c r="G675" s="1" t="str">
        <f>TEXT(IF($B675 = "Retail Item", IF((ROW($A675) - 4504 - _xlfn.XMATCH($C675, $C$4506:$C$5005, 0, 1)) &lt;= VLOOKUP($C675, 'Instrument Table'!$B:$D, 3, FALSE), ROW($A675) - 4504 - _xlfn.XMATCH($C675, $C$4506:$C$5005, 0, 1), 0), 0), "00")</f>
        <v>00</v>
      </c>
      <c r="H675" s="1" t="str">
        <f t="shared" si="61"/>
        <v>119</v>
      </c>
      <c r="I675" s="1" t="str">
        <f t="shared" si="62"/>
        <v>11100-119</v>
      </c>
      <c r="J675" s="1" t="str">
        <f t="shared" si="63"/>
        <v>Upright piano production item #119</v>
      </c>
      <c r="K675" s="1" t="str">
        <f>IF(SUM(COUNTIFS(I:I, I675)) &gt; 1, "DUPLICATE", "UNIQUE")</f>
        <v>UNIQUE</v>
      </c>
      <c r="L675" s="18">
        <v>0</v>
      </c>
      <c r="M675" s="28">
        <v>35</v>
      </c>
      <c r="N675" s="6">
        <v>9</v>
      </c>
      <c r="O675" s="30">
        <f t="shared" si="64"/>
        <v>0</v>
      </c>
      <c r="P675" s="30">
        <f t="shared" si="65"/>
        <v>315</v>
      </c>
      <c r="Q675" s="1">
        <f>COUNTIFS($P:$P, "&gt;" &amp; $P675) + 1</f>
        <v>4202</v>
      </c>
      <c r="R675" s="63">
        <f>(COUNTIFS($P:$P, "&gt;" &amp; $P675) + 1) / (COUNTA($I:$I) - 1)</f>
        <v>0.84040000000000004</v>
      </c>
      <c r="S675" s="23">
        <f>SUMIFS($P:$P, $Q:$Q, "&lt;" &amp; $Q675)</f>
        <v>186481026</v>
      </c>
    </row>
    <row r="676" spans="1:19" x14ac:dyDescent="0.25">
      <c r="A676" s="1">
        <v>671</v>
      </c>
      <c r="B676" s="1" t="s">
        <v>2</v>
      </c>
      <c r="C676" s="1" t="str">
        <f>IF($B676 = "Production Item", _xlfn.XLOOKUP($A676, 'Instrument Table'!$J:$J, 'Instrument Table'!$B:$B, $C675), IF($B676 = "Service Item", _xlfn.XLOOKUP($A676, 'Instrument Table'!$I:$I, 'Instrument Table'!$B:$B, $C675), _xlfn.XLOOKUP($A676, 'Instrument Table'!$H:$H, 'Instrument Table'!$B:$B, $C675)))</f>
        <v>Upright Piano</v>
      </c>
      <c r="D676" s="1" t="str">
        <f>VLOOKUP($C676, 'Instrument Table'!$B:$C, 2, FALSE)</f>
        <v>Pianos</v>
      </c>
      <c r="E676" s="1">
        <f t="shared" si="60"/>
        <v>1</v>
      </c>
      <c r="F676" s="1">
        <f>_xlfn.XLOOKUP($C676, 'Instrument Table'!$B:$B, 'Instrument Table'!$A:$A, "")</f>
        <v>11</v>
      </c>
      <c r="G676" s="1" t="str">
        <f>TEXT(IF($B676 = "Retail Item", IF((ROW($A676) - 4504 - _xlfn.XMATCH($C676, $C$4506:$C$5005, 0, 1)) &lt;= VLOOKUP($C676, 'Instrument Table'!$B:$D, 3, FALSE), ROW($A676) - 4504 - _xlfn.XMATCH($C676, $C$4506:$C$5005, 0, 1), 0), 0), "00")</f>
        <v>00</v>
      </c>
      <c r="H676" s="1" t="str">
        <f t="shared" si="61"/>
        <v>120</v>
      </c>
      <c r="I676" s="1" t="str">
        <f t="shared" si="62"/>
        <v>11100-120</v>
      </c>
      <c r="J676" s="1" t="str">
        <f t="shared" si="63"/>
        <v>Upright piano production item #120</v>
      </c>
      <c r="K676" s="1" t="str">
        <f>IF(SUM(COUNTIFS(I:I, I676)) &gt; 1, "DUPLICATE", "UNIQUE")</f>
        <v>UNIQUE</v>
      </c>
      <c r="L676" s="18">
        <v>0</v>
      </c>
      <c r="M676" s="28">
        <v>20</v>
      </c>
      <c r="N676" s="6">
        <v>81</v>
      </c>
      <c r="O676" s="30">
        <f t="shared" si="64"/>
        <v>0</v>
      </c>
      <c r="P676" s="30">
        <f t="shared" si="65"/>
        <v>1620</v>
      </c>
      <c r="Q676" s="1">
        <f>COUNTIFS($P:$P, "&gt;" &amp; $P676) + 1</f>
        <v>3392</v>
      </c>
      <c r="R676" s="63">
        <f>(COUNTIFS($P:$P, "&gt;" &amp; $P676) + 1) / (COUNTA($I:$I) - 1)</f>
        <v>0.6784</v>
      </c>
      <c r="S676" s="23">
        <f>SUMIFS($P:$P, $Q:$Q, "&lt;" &amp; $Q676)</f>
        <v>185772049</v>
      </c>
    </row>
    <row r="677" spans="1:19" x14ac:dyDescent="0.25">
      <c r="A677" s="1">
        <v>672</v>
      </c>
      <c r="B677" s="1" t="s">
        <v>2</v>
      </c>
      <c r="C677" s="1" t="str">
        <f>IF($B677 = "Production Item", _xlfn.XLOOKUP($A677, 'Instrument Table'!$J:$J, 'Instrument Table'!$B:$B, $C676), IF($B677 = "Service Item", _xlfn.XLOOKUP($A677, 'Instrument Table'!$I:$I, 'Instrument Table'!$B:$B, $C676), _xlfn.XLOOKUP($A677, 'Instrument Table'!$H:$H, 'Instrument Table'!$B:$B, $C676)))</f>
        <v>Upright Piano</v>
      </c>
      <c r="D677" s="1" t="str">
        <f>VLOOKUP($C677, 'Instrument Table'!$B:$C, 2, FALSE)</f>
        <v>Pianos</v>
      </c>
      <c r="E677" s="1">
        <f t="shared" si="60"/>
        <v>1</v>
      </c>
      <c r="F677" s="1">
        <f>_xlfn.XLOOKUP($C677, 'Instrument Table'!$B:$B, 'Instrument Table'!$A:$A, "")</f>
        <v>11</v>
      </c>
      <c r="G677" s="1" t="str">
        <f>TEXT(IF($B677 = "Retail Item", IF((ROW($A677) - 4504 - _xlfn.XMATCH($C677, $C$4506:$C$5005, 0, 1)) &lt;= VLOOKUP($C677, 'Instrument Table'!$B:$D, 3, FALSE), ROW($A677) - 4504 - _xlfn.XMATCH($C677, $C$4506:$C$5005, 0, 1), 0), 0), "00")</f>
        <v>00</v>
      </c>
      <c r="H677" s="1" t="str">
        <f t="shared" si="61"/>
        <v>121</v>
      </c>
      <c r="I677" s="1" t="str">
        <f t="shared" si="62"/>
        <v>11100-121</v>
      </c>
      <c r="J677" s="1" t="str">
        <f t="shared" si="63"/>
        <v>Upright piano production item #121</v>
      </c>
      <c r="K677" s="1" t="str">
        <f>IF(SUM(COUNTIFS(I:I, I677)) &gt; 1, "DUPLICATE", "UNIQUE")</f>
        <v>UNIQUE</v>
      </c>
      <c r="L677" s="18">
        <v>0</v>
      </c>
      <c r="M677" s="28">
        <v>91</v>
      </c>
      <c r="N677" s="6">
        <v>361</v>
      </c>
      <c r="O677" s="30">
        <f t="shared" si="64"/>
        <v>0</v>
      </c>
      <c r="P677" s="30">
        <f t="shared" si="65"/>
        <v>32851</v>
      </c>
      <c r="Q677" s="1">
        <f>COUNTIFS($P:$P, "&gt;" &amp; $P677) + 1</f>
        <v>630</v>
      </c>
      <c r="R677" s="63">
        <f>(COUNTIFS($P:$P, "&gt;" &amp; $P677) + 1) / (COUNTA($I:$I) - 1)</f>
        <v>0.126</v>
      </c>
      <c r="S677" s="23">
        <f>SUMIFS($P:$P, $Q:$Q, "&lt;" &amp; $Q677)</f>
        <v>156897789</v>
      </c>
    </row>
    <row r="678" spans="1:19" x14ac:dyDescent="0.25">
      <c r="A678" s="1">
        <v>673</v>
      </c>
      <c r="B678" s="1" t="s">
        <v>2</v>
      </c>
      <c r="C678" s="1" t="str">
        <f>IF($B678 = "Production Item", _xlfn.XLOOKUP($A678, 'Instrument Table'!$J:$J, 'Instrument Table'!$B:$B, $C677), IF($B678 = "Service Item", _xlfn.XLOOKUP($A678, 'Instrument Table'!$I:$I, 'Instrument Table'!$B:$B, $C677), _xlfn.XLOOKUP($A678, 'Instrument Table'!$H:$H, 'Instrument Table'!$B:$B, $C677)))</f>
        <v>Upright Piano</v>
      </c>
      <c r="D678" s="1" t="str">
        <f>VLOOKUP($C678, 'Instrument Table'!$B:$C, 2, FALSE)</f>
        <v>Pianos</v>
      </c>
      <c r="E678" s="1">
        <f t="shared" si="60"/>
        <v>1</v>
      </c>
      <c r="F678" s="1">
        <f>_xlfn.XLOOKUP($C678, 'Instrument Table'!$B:$B, 'Instrument Table'!$A:$A, "")</f>
        <v>11</v>
      </c>
      <c r="G678" s="1" t="str">
        <f>TEXT(IF($B678 = "Retail Item", IF((ROW($A678) - 4504 - _xlfn.XMATCH($C678, $C$4506:$C$5005, 0, 1)) &lt;= VLOOKUP($C678, 'Instrument Table'!$B:$D, 3, FALSE), ROW($A678) - 4504 - _xlfn.XMATCH($C678, $C$4506:$C$5005, 0, 1), 0), 0), "00")</f>
        <v>00</v>
      </c>
      <c r="H678" s="1" t="str">
        <f t="shared" si="61"/>
        <v>122</v>
      </c>
      <c r="I678" s="1" t="str">
        <f t="shared" si="62"/>
        <v>11100-122</v>
      </c>
      <c r="J678" s="1" t="str">
        <f t="shared" si="63"/>
        <v>Upright piano production item #122</v>
      </c>
      <c r="K678" s="1" t="str">
        <f>IF(SUM(COUNTIFS(I:I, I678)) &gt; 1, "DUPLICATE", "UNIQUE")</f>
        <v>UNIQUE</v>
      </c>
      <c r="L678" s="18">
        <v>0</v>
      </c>
      <c r="M678" s="28">
        <v>83</v>
      </c>
      <c r="N678" s="6">
        <v>289</v>
      </c>
      <c r="O678" s="30">
        <f t="shared" si="64"/>
        <v>0</v>
      </c>
      <c r="P678" s="30">
        <f t="shared" si="65"/>
        <v>23987</v>
      </c>
      <c r="Q678" s="1">
        <f>COUNTIFS($P:$P, "&gt;" &amp; $P678) + 1</f>
        <v>874</v>
      </c>
      <c r="R678" s="63">
        <f>(COUNTIFS($P:$P, "&gt;" &amp; $P678) + 1) / (COUNTA($I:$I) - 1)</f>
        <v>0.17480000000000001</v>
      </c>
      <c r="S678" s="23">
        <f>SUMIFS($P:$P, $Q:$Q, "&lt;" &amp; $Q678)</f>
        <v>163667085</v>
      </c>
    </row>
    <row r="679" spans="1:19" x14ac:dyDescent="0.25">
      <c r="A679" s="1">
        <v>674</v>
      </c>
      <c r="B679" s="1" t="s">
        <v>2</v>
      </c>
      <c r="C679" s="1" t="str">
        <f>IF($B679 = "Production Item", _xlfn.XLOOKUP($A679, 'Instrument Table'!$J:$J, 'Instrument Table'!$B:$B, $C678), IF($B679 = "Service Item", _xlfn.XLOOKUP($A679, 'Instrument Table'!$I:$I, 'Instrument Table'!$B:$B, $C678), _xlfn.XLOOKUP($A679, 'Instrument Table'!$H:$H, 'Instrument Table'!$B:$B, $C678)))</f>
        <v>Upright Piano</v>
      </c>
      <c r="D679" s="1" t="str">
        <f>VLOOKUP($C679, 'Instrument Table'!$B:$C, 2, FALSE)</f>
        <v>Pianos</v>
      </c>
      <c r="E679" s="1">
        <f t="shared" si="60"/>
        <v>1</v>
      </c>
      <c r="F679" s="1">
        <f>_xlfn.XLOOKUP($C679, 'Instrument Table'!$B:$B, 'Instrument Table'!$A:$A, "")</f>
        <v>11</v>
      </c>
      <c r="G679" s="1" t="str">
        <f>TEXT(IF($B679 = "Retail Item", IF((ROW($A679) - 4504 - _xlfn.XMATCH($C679, $C$4506:$C$5005, 0, 1)) &lt;= VLOOKUP($C679, 'Instrument Table'!$B:$D, 3, FALSE), ROW($A679) - 4504 - _xlfn.XMATCH($C679, $C$4506:$C$5005, 0, 1), 0), 0), "00")</f>
        <v>00</v>
      </c>
      <c r="H679" s="1" t="str">
        <f t="shared" si="61"/>
        <v>123</v>
      </c>
      <c r="I679" s="1" t="str">
        <f t="shared" si="62"/>
        <v>11100-123</v>
      </c>
      <c r="J679" s="1" t="str">
        <f t="shared" si="63"/>
        <v>Upright piano production item #123</v>
      </c>
      <c r="K679" s="1" t="str">
        <f>IF(SUM(COUNTIFS(I:I, I679)) &gt; 1, "DUPLICATE", "UNIQUE")</f>
        <v>UNIQUE</v>
      </c>
      <c r="L679" s="18">
        <v>8</v>
      </c>
      <c r="M679" s="28">
        <v>83</v>
      </c>
      <c r="N679" s="6">
        <v>4</v>
      </c>
      <c r="O679" s="30">
        <f t="shared" si="64"/>
        <v>664</v>
      </c>
      <c r="P679" s="30">
        <f t="shared" si="65"/>
        <v>332</v>
      </c>
      <c r="Q679" s="1">
        <f>COUNTIFS($P:$P, "&gt;" &amp; $P679) + 1</f>
        <v>4174</v>
      </c>
      <c r="R679" s="63">
        <f>(COUNTIFS($P:$P, "&gt;" &amp; $P679) + 1) / (COUNTA($I:$I) - 1)</f>
        <v>0.83479999999999999</v>
      </c>
      <c r="S679" s="23">
        <f>SUMIFS($P:$P, $Q:$Q, "&lt;" &amp; $Q679)</f>
        <v>186471980</v>
      </c>
    </row>
    <row r="680" spans="1:19" x14ac:dyDescent="0.25">
      <c r="A680" s="1">
        <v>675</v>
      </c>
      <c r="B680" s="1" t="s">
        <v>2</v>
      </c>
      <c r="C680" s="1" t="str">
        <f>IF($B680 = "Production Item", _xlfn.XLOOKUP($A680, 'Instrument Table'!$J:$J, 'Instrument Table'!$B:$B, $C679), IF($B680 = "Service Item", _xlfn.XLOOKUP($A680, 'Instrument Table'!$I:$I, 'Instrument Table'!$B:$B, $C679), _xlfn.XLOOKUP($A680, 'Instrument Table'!$H:$H, 'Instrument Table'!$B:$B, $C679)))</f>
        <v>Upright Piano</v>
      </c>
      <c r="D680" s="1" t="str">
        <f>VLOOKUP($C680, 'Instrument Table'!$B:$C, 2, FALSE)</f>
        <v>Pianos</v>
      </c>
      <c r="E680" s="1">
        <f t="shared" si="60"/>
        <v>1</v>
      </c>
      <c r="F680" s="1">
        <f>_xlfn.XLOOKUP($C680, 'Instrument Table'!$B:$B, 'Instrument Table'!$A:$A, "")</f>
        <v>11</v>
      </c>
      <c r="G680" s="1" t="str">
        <f>TEXT(IF($B680 = "Retail Item", IF((ROW($A680) - 4504 - _xlfn.XMATCH($C680, $C$4506:$C$5005, 0, 1)) &lt;= VLOOKUP($C680, 'Instrument Table'!$B:$D, 3, FALSE), ROW($A680) - 4504 - _xlfn.XMATCH($C680, $C$4506:$C$5005, 0, 1), 0), 0), "00")</f>
        <v>00</v>
      </c>
      <c r="H680" s="1" t="str">
        <f t="shared" si="61"/>
        <v>124</v>
      </c>
      <c r="I680" s="1" t="str">
        <f t="shared" si="62"/>
        <v>11100-124</v>
      </c>
      <c r="J680" s="1" t="str">
        <f t="shared" si="63"/>
        <v>Upright piano production item #124</v>
      </c>
      <c r="K680" s="1" t="str">
        <f>IF(SUM(COUNTIFS(I:I, I680)) &gt; 1, "DUPLICATE", "UNIQUE")</f>
        <v>UNIQUE</v>
      </c>
      <c r="L680" s="18">
        <v>0</v>
      </c>
      <c r="M680" s="28">
        <v>53</v>
      </c>
      <c r="N680" s="6">
        <v>100</v>
      </c>
      <c r="O680" s="30">
        <f t="shared" si="64"/>
        <v>0</v>
      </c>
      <c r="P680" s="30">
        <f t="shared" si="65"/>
        <v>5300</v>
      </c>
      <c r="Q680" s="1">
        <f>COUNTIFS($P:$P, "&gt;" &amp; $P680) + 1</f>
        <v>2386</v>
      </c>
      <c r="R680" s="63">
        <f>(COUNTIFS($P:$P, "&gt;" &amp; $P680) + 1) / (COUNTA($I:$I) - 1)</f>
        <v>0.47720000000000001</v>
      </c>
      <c r="S680" s="23">
        <f>SUMIFS($P:$P, $Q:$Q, "&lt;" &amp; $Q680)</f>
        <v>182542741</v>
      </c>
    </row>
    <row r="681" spans="1:19" x14ac:dyDescent="0.25">
      <c r="A681" s="1">
        <v>676</v>
      </c>
      <c r="B681" s="1" t="s">
        <v>2</v>
      </c>
      <c r="C681" s="1" t="str">
        <f>IF($B681 = "Production Item", _xlfn.XLOOKUP($A681, 'Instrument Table'!$J:$J, 'Instrument Table'!$B:$B, $C680), IF($B681 = "Service Item", _xlfn.XLOOKUP($A681, 'Instrument Table'!$I:$I, 'Instrument Table'!$B:$B, $C680), _xlfn.XLOOKUP($A681, 'Instrument Table'!$H:$H, 'Instrument Table'!$B:$B, $C680)))</f>
        <v>Upright Piano</v>
      </c>
      <c r="D681" s="1" t="str">
        <f>VLOOKUP($C681, 'Instrument Table'!$B:$C, 2, FALSE)</f>
        <v>Pianos</v>
      </c>
      <c r="E681" s="1">
        <f t="shared" si="60"/>
        <v>1</v>
      </c>
      <c r="F681" s="1">
        <f>_xlfn.XLOOKUP($C681, 'Instrument Table'!$B:$B, 'Instrument Table'!$A:$A, "")</f>
        <v>11</v>
      </c>
      <c r="G681" s="1" t="str">
        <f>TEXT(IF($B681 = "Retail Item", IF((ROW($A681) - 4504 - _xlfn.XMATCH($C681, $C$4506:$C$5005, 0, 1)) &lt;= VLOOKUP($C681, 'Instrument Table'!$B:$D, 3, FALSE), ROW($A681) - 4504 - _xlfn.XMATCH($C681, $C$4506:$C$5005, 0, 1), 0), 0), "00")</f>
        <v>00</v>
      </c>
      <c r="H681" s="1" t="str">
        <f t="shared" si="61"/>
        <v>125</v>
      </c>
      <c r="I681" s="1" t="str">
        <f t="shared" si="62"/>
        <v>11100-125</v>
      </c>
      <c r="J681" s="1" t="str">
        <f t="shared" si="63"/>
        <v>Upright piano production item #125</v>
      </c>
      <c r="K681" s="1" t="str">
        <f>IF(SUM(COUNTIFS(I:I, I681)) &gt; 1, "DUPLICATE", "UNIQUE")</f>
        <v>UNIQUE</v>
      </c>
      <c r="L681" s="18">
        <v>4</v>
      </c>
      <c r="M681" s="28">
        <v>16</v>
      </c>
      <c r="N681" s="6">
        <v>324</v>
      </c>
      <c r="O681" s="30">
        <f t="shared" si="64"/>
        <v>64</v>
      </c>
      <c r="P681" s="30">
        <f t="shared" si="65"/>
        <v>5184</v>
      </c>
      <c r="Q681" s="1">
        <f>COUNTIFS($P:$P, "&gt;" &amp; $P681) + 1</f>
        <v>2412</v>
      </c>
      <c r="R681" s="63">
        <f>(COUNTIFS($P:$P, "&gt;" &amp; $P681) + 1) / (COUNTA($I:$I) - 1)</f>
        <v>0.4824</v>
      </c>
      <c r="S681" s="23">
        <f>SUMIFS($P:$P, $Q:$Q, "&lt;" &amp; $Q681)</f>
        <v>182678928</v>
      </c>
    </row>
    <row r="682" spans="1:19" x14ac:dyDescent="0.25">
      <c r="A682" s="1">
        <v>677</v>
      </c>
      <c r="B682" s="1" t="s">
        <v>2</v>
      </c>
      <c r="C682" s="1" t="str">
        <f>IF($B682 = "Production Item", _xlfn.XLOOKUP($A682, 'Instrument Table'!$J:$J, 'Instrument Table'!$B:$B, $C681), IF($B682 = "Service Item", _xlfn.XLOOKUP($A682, 'Instrument Table'!$I:$I, 'Instrument Table'!$B:$B, $C681), _xlfn.XLOOKUP($A682, 'Instrument Table'!$H:$H, 'Instrument Table'!$B:$B, $C681)))</f>
        <v>Upright Piano</v>
      </c>
      <c r="D682" s="1" t="str">
        <f>VLOOKUP($C682, 'Instrument Table'!$B:$C, 2, FALSE)</f>
        <v>Pianos</v>
      </c>
      <c r="E682" s="1">
        <f t="shared" si="60"/>
        <v>1</v>
      </c>
      <c r="F682" s="1">
        <f>_xlfn.XLOOKUP($C682, 'Instrument Table'!$B:$B, 'Instrument Table'!$A:$A, "")</f>
        <v>11</v>
      </c>
      <c r="G682" s="1" t="str">
        <f>TEXT(IF($B682 = "Retail Item", IF((ROW($A682) - 4504 - _xlfn.XMATCH($C682, $C$4506:$C$5005, 0, 1)) &lt;= VLOOKUP($C682, 'Instrument Table'!$B:$D, 3, FALSE), ROW($A682) - 4504 - _xlfn.XMATCH($C682, $C$4506:$C$5005, 0, 1), 0), 0), "00")</f>
        <v>00</v>
      </c>
      <c r="H682" s="1" t="str">
        <f t="shared" si="61"/>
        <v>126</v>
      </c>
      <c r="I682" s="1" t="str">
        <f t="shared" si="62"/>
        <v>11100-126</v>
      </c>
      <c r="J682" s="1" t="str">
        <f t="shared" si="63"/>
        <v>Upright piano production item #126</v>
      </c>
      <c r="K682" s="1" t="str">
        <f>IF(SUM(COUNTIFS(I:I, I682)) &gt; 1, "DUPLICATE", "UNIQUE")</f>
        <v>UNIQUE</v>
      </c>
      <c r="L682" s="18">
        <v>8</v>
      </c>
      <c r="M682" s="28">
        <v>35</v>
      </c>
      <c r="N682" s="6">
        <v>361</v>
      </c>
      <c r="O682" s="30">
        <f t="shared" si="64"/>
        <v>280</v>
      </c>
      <c r="P682" s="30">
        <f t="shared" si="65"/>
        <v>12635</v>
      </c>
      <c r="Q682" s="1">
        <f>COUNTIFS($P:$P, "&gt;" &amp; $P682) + 1</f>
        <v>1532</v>
      </c>
      <c r="R682" s="63">
        <f>(COUNTIFS($P:$P, "&gt;" &amp; $P682) + 1) / (COUNTA($I:$I) - 1)</f>
        <v>0.30640000000000001</v>
      </c>
      <c r="S682" s="23">
        <f>SUMIFS($P:$P, $Q:$Q, "&lt;" &amp; $Q682)</f>
        <v>175250006</v>
      </c>
    </row>
    <row r="683" spans="1:19" x14ac:dyDescent="0.25">
      <c r="A683" s="1">
        <v>678</v>
      </c>
      <c r="B683" s="1" t="s">
        <v>2</v>
      </c>
      <c r="C683" s="1" t="str">
        <f>IF($B683 = "Production Item", _xlfn.XLOOKUP($A683, 'Instrument Table'!$J:$J, 'Instrument Table'!$B:$B, $C682), IF($B683 = "Service Item", _xlfn.XLOOKUP($A683, 'Instrument Table'!$I:$I, 'Instrument Table'!$B:$B, $C682), _xlfn.XLOOKUP($A683, 'Instrument Table'!$H:$H, 'Instrument Table'!$B:$B, $C682)))</f>
        <v>Upright Piano</v>
      </c>
      <c r="D683" s="1" t="str">
        <f>VLOOKUP($C683, 'Instrument Table'!$B:$C, 2, FALSE)</f>
        <v>Pianos</v>
      </c>
      <c r="E683" s="1">
        <f t="shared" si="60"/>
        <v>1</v>
      </c>
      <c r="F683" s="1">
        <f>_xlfn.XLOOKUP($C683, 'Instrument Table'!$B:$B, 'Instrument Table'!$A:$A, "")</f>
        <v>11</v>
      </c>
      <c r="G683" s="1" t="str">
        <f>TEXT(IF($B683 = "Retail Item", IF((ROW($A683) - 4504 - _xlfn.XMATCH($C683, $C$4506:$C$5005, 0, 1)) &lt;= VLOOKUP($C683, 'Instrument Table'!$B:$D, 3, FALSE), ROW($A683) - 4504 - _xlfn.XMATCH($C683, $C$4506:$C$5005, 0, 1), 0), 0), "00")</f>
        <v>00</v>
      </c>
      <c r="H683" s="1" t="str">
        <f t="shared" si="61"/>
        <v>127</v>
      </c>
      <c r="I683" s="1" t="str">
        <f t="shared" si="62"/>
        <v>11100-127</v>
      </c>
      <c r="J683" s="1" t="str">
        <f t="shared" si="63"/>
        <v>Upright piano production item #127</v>
      </c>
      <c r="K683" s="1" t="str">
        <f>IF(SUM(COUNTIFS(I:I, I683)) &gt; 1, "DUPLICATE", "UNIQUE")</f>
        <v>UNIQUE</v>
      </c>
      <c r="L683" s="18">
        <v>0</v>
      </c>
      <c r="M683" s="28">
        <v>8</v>
      </c>
      <c r="N683" s="6">
        <v>64</v>
      </c>
      <c r="O683" s="30">
        <f t="shared" si="64"/>
        <v>0</v>
      </c>
      <c r="P683" s="30">
        <f t="shared" si="65"/>
        <v>512</v>
      </c>
      <c r="Q683" s="1">
        <f>COUNTIFS($P:$P, "&gt;" &amp; $P683) + 1</f>
        <v>4012</v>
      </c>
      <c r="R683" s="63">
        <f>(COUNTIFS($P:$P, "&gt;" &amp; $P683) + 1) / (COUNTA($I:$I) - 1)</f>
        <v>0.8024</v>
      </c>
      <c r="S683" s="23">
        <f>SUMIFS($P:$P, $Q:$Q, "&lt;" &amp; $Q683)</f>
        <v>186404530</v>
      </c>
    </row>
    <row r="684" spans="1:19" x14ac:dyDescent="0.25">
      <c r="A684" s="1">
        <v>679</v>
      </c>
      <c r="B684" s="1" t="s">
        <v>2</v>
      </c>
      <c r="C684" s="1" t="str">
        <f>IF($B684 = "Production Item", _xlfn.XLOOKUP($A684, 'Instrument Table'!$J:$J, 'Instrument Table'!$B:$B, $C683), IF($B684 = "Service Item", _xlfn.XLOOKUP($A684, 'Instrument Table'!$I:$I, 'Instrument Table'!$B:$B, $C683), _xlfn.XLOOKUP($A684, 'Instrument Table'!$H:$H, 'Instrument Table'!$B:$B, $C683)))</f>
        <v>Upright Piano</v>
      </c>
      <c r="D684" s="1" t="str">
        <f>VLOOKUP($C684, 'Instrument Table'!$B:$C, 2, FALSE)</f>
        <v>Pianos</v>
      </c>
      <c r="E684" s="1">
        <f t="shared" si="60"/>
        <v>1</v>
      </c>
      <c r="F684" s="1">
        <f>_xlfn.XLOOKUP($C684, 'Instrument Table'!$B:$B, 'Instrument Table'!$A:$A, "")</f>
        <v>11</v>
      </c>
      <c r="G684" s="1" t="str">
        <f>TEXT(IF($B684 = "Retail Item", IF((ROW($A684) - 4504 - _xlfn.XMATCH($C684, $C$4506:$C$5005, 0, 1)) &lt;= VLOOKUP($C684, 'Instrument Table'!$B:$D, 3, FALSE), ROW($A684) - 4504 - _xlfn.XMATCH($C684, $C$4506:$C$5005, 0, 1), 0), 0), "00")</f>
        <v>00</v>
      </c>
      <c r="H684" s="1" t="str">
        <f t="shared" si="61"/>
        <v>128</v>
      </c>
      <c r="I684" s="1" t="str">
        <f t="shared" si="62"/>
        <v>11100-128</v>
      </c>
      <c r="J684" s="1" t="str">
        <f t="shared" si="63"/>
        <v>Upright piano production item #128</v>
      </c>
      <c r="K684" s="1" t="str">
        <f>IF(SUM(COUNTIFS(I:I, I684)) &gt; 1, "DUPLICATE", "UNIQUE")</f>
        <v>UNIQUE</v>
      </c>
      <c r="L684" s="18">
        <v>0</v>
      </c>
      <c r="M684" s="28">
        <v>77</v>
      </c>
      <c r="N684" s="6">
        <v>256</v>
      </c>
      <c r="O684" s="30">
        <f t="shared" si="64"/>
        <v>0</v>
      </c>
      <c r="P684" s="30">
        <f t="shared" si="65"/>
        <v>19712</v>
      </c>
      <c r="Q684" s="1">
        <f>COUNTIFS($P:$P, "&gt;" &amp; $P684) + 1</f>
        <v>1070</v>
      </c>
      <c r="R684" s="63">
        <f>(COUNTIFS($P:$P, "&gt;" &amp; $P684) + 1) / (COUNTA($I:$I) - 1)</f>
        <v>0.214</v>
      </c>
      <c r="S684" s="23">
        <f>SUMIFS($P:$P, $Q:$Q, "&lt;" &amp; $Q684)</f>
        <v>167921769</v>
      </c>
    </row>
    <row r="685" spans="1:19" x14ac:dyDescent="0.25">
      <c r="A685" s="1">
        <v>680</v>
      </c>
      <c r="B685" s="1" t="s">
        <v>2</v>
      </c>
      <c r="C685" s="1" t="str">
        <f>IF($B685 = "Production Item", _xlfn.XLOOKUP($A685, 'Instrument Table'!$J:$J, 'Instrument Table'!$B:$B, $C684), IF($B685 = "Service Item", _xlfn.XLOOKUP($A685, 'Instrument Table'!$I:$I, 'Instrument Table'!$B:$B, $C684), _xlfn.XLOOKUP($A685, 'Instrument Table'!$H:$H, 'Instrument Table'!$B:$B, $C684)))</f>
        <v>Upright Piano</v>
      </c>
      <c r="D685" s="1" t="str">
        <f>VLOOKUP($C685, 'Instrument Table'!$B:$C, 2, FALSE)</f>
        <v>Pianos</v>
      </c>
      <c r="E685" s="1">
        <f t="shared" si="60"/>
        <v>1</v>
      </c>
      <c r="F685" s="1">
        <f>_xlfn.XLOOKUP($C685, 'Instrument Table'!$B:$B, 'Instrument Table'!$A:$A, "")</f>
        <v>11</v>
      </c>
      <c r="G685" s="1" t="str">
        <f>TEXT(IF($B685 = "Retail Item", IF((ROW($A685) - 4504 - _xlfn.XMATCH($C685, $C$4506:$C$5005, 0, 1)) &lt;= VLOOKUP($C685, 'Instrument Table'!$B:$D, 3, FALSE), ROW($A685) - 4504 - _xlfn.XMATCH($C685, $C$4506:$C$5005, 0, 1), 0), 0), "00")</f>
        <v>00</v>
      </c>
      <c r="H685" s="1" t="str">
        <f t="shared" si="61"/>
        <v>129</v>
      </c>
      <c r="I685" s="1" t="str">
        <f t="shared" si="62"/>
        <v>11100-129</v>
      </c>
      <c r="J685" s="1" t="str">
        <f t="shared" si="63"/>
        <v>Upright piano production item #129</v>
      </c>
      <c r="K685" s="1" t="str">
        <f>IF(SUM(COUNTIFS(I:I, I685)) &gt; 1, "DUPLICATE", "UNIQUE")</f>
        <v>UNIQUE</v>
      </c>
      <c r="L685" s="18">
        <v>4</v>
      </c>
      <c r="M685" s="28">
        <v>52</v>
      </c>
      <c r="N685" s="6">
        <v>49</v>
      </c>
      <c r="O685" s="30">
        <f t="shared" si="64"/>
        <v>208</v>
      </c>
      <c r="P685" s="30">
        <f t="shared" si="65"/>
        <v>2548</v>
      </c>
      <c r="Q685" s="1">
        <f>COUNTIFS($P:$P, "&gt;" &amp; $P685) + 1</f>
        <v>3033</v>
      </c>
      <c r="R685" s="63">
        <f>(COUNTIFS($P:$P, "&gt;" &amp; $P685) + 1) / (COUNTA($I:$I) - 1)</f>
        <v>0.60660000000000003</v>
      </c>
      <c r="S685" s="23">
        <f>SUMIFS($P:$P, $Q:$Q, "&lt;" &amp; $Q685)</f>
        <v>185017602</v>
      </c>
    </row>
    <row r="686" spans="1:19" x14ac:dyDescent="0.25">
      <c r="A686" s="1">
        <v>681</v>
      </c>
      <c r="B686" s="1" t="s">
        <v>2</v>
      </c>
      <c r="C686" s="1" t="str">
        <f>IF($B686 = "Production Item", _xlfn.XLOOKUP($A686, 'Instrument Table'!$J:$J, 'Instrument Table'!$B:$B, $C685), IF($B686 = "Service Item", _xlfn.XLOOKUP($A686, 'Instrument Table'!$I:$I, 'Instrument Table'!$B:$B, $C685), _xlfn.XLOOKUP($A686, 'Instrument Table'!$H:$H, 'Instrument Table'!$B:$B, $C685)))</f>
        <v>Upright Piano</v>
      </c>
      <c r="D686" s="1" t="str">
        <f>VLOOKUP($C686, 'Instrument Table'!$B:$C, 2, FALSE)</f>
        <v>Pianos</v>
      </c>
      <c r="E686" s="1">
        <f t="shared" si="60"/>
        <v>1</v>
      </c>
      <c r="F686" s="1">
        <f>_xlfn.XLOOKUP($C686, 'Instrument Table'!$B:$B, 'Instrument Table'!$A:$A, "")</f>
        <v>11</v>
      </c>
      <c r="G686" s="1" t="str">
        <f>TEXT(IF($B686 = "Retail Item", IF((ROW($A686) - 4504 - _xlfn.XMATCH($C686, $C$4506:$C$5005, 0, 1)) &lt;= VLOOKUP($C686, 'Instrument Table'!$B:$D, 3, FALSE), ROW($A686) - 4504 - _xlfn.XMATCH($C686, $C$4506:$C$5005, 0, 1), 0), 0), "00")</f>
        <v>00</v>
      </c>
      <c r="H686" s="1" t="str">
        <f t="shared" si="61"/>
        <v>130</v>
      </c>
      <c r="I686" s="1" t="str">
        <f t="shared" si="62"/>
        <v>11100-130</v>
      </c>
      <c r="J686" s="1" t="str">
        <f t="shared" si="63"/>
        <v>Upright piano production item #130</v>
      </c>
      <c r="K686" s="1" t="str">
        <f>IF(SUM(COUNTIFS(I:I, I686)) &gt; 1, "DUPLICATE", "UNIQUE")</f>
        <v>UNIQUE</v>
      </c>
      <c r="L686" s="18">
        <v>16</v>
      </c>
      <c r="M686" s="28">
        <v>49</v>
      </c>
      <c r="N686" s="6">
        <v>64</v>
      </c>
      <c r="O686" s="30">
        <f t="shared" si="64"/>
        <v>784</v>
      </c>
      <c r="P686" s="30">
        <f t="shared" si="65"/>
        <v>3136</v>
      </c>
      <c r="Q686" s="1">
        <f>COUNTIFS($P:$P, "&gt;" &amp; $P686) + 1</f>
        <v>2874</v>
      </c>
      <c r="R686" s="63">
        <f>(COUNTIFS($P:$P, "&gt;" &amp; $P686) + 1) / (COUNTA($I:$I) - 1)</f>
        <v>0.57479999999999998</v>
      </c>
      <c r="S686" s="23">
        <f>SUMIFS($P:$P, $Q:$Q, "&lt;" &amp; $Q686)</f>
        <v>184568226</v>
      </c>
    </row>
    <row r="687" spans="1:19" x14ac:dyDescent="0.25">
      <c r="A687" s="1">
        <v>682</v>
      </c>
      <c r="B687" s="1" t="s">
        <v>2</v>
      </c>
      <c r="C687" s="1" t="str">
        <f>IF($B687 = "Production Item", _xlfn.XLOOKUP($A687, 'Instrument Table'!$J:$J, 'Instrument Table'!$B:$B, $C686), IF($B687 = "Service Item", _xlfn.XLOOKUP($A687, 'Instrument Table'!$I:$I, 'Instrument Table'!$B:$B, $C686), _xlfn.XLOOKUP($A687, 'Instrument Table'!$H:$H, 'Instrument Table'!$B:$B, $C686)))</f>
        <v>Upright Piano</v>
      </c>
      <c r="D687" s="1" t="str">
        <f>VLOOKUP($C687, 'Instrument Table'!$B:$C, 2, FALSE)</f>
        <v>Pianos</v>
      </c>
      <c r="E687" s="1">
        <f t="shared" si="60"/>
        <v>1</v>
      </c>
      <c r="F687" s="1">
        <f>_xlfn.XLOOKUP($C687, 'Instrument Table'!$B:$B, 'Instrument Table'!$A:$A, "")</f>
        <v>11</v>
      </c>
      <c r="G687" s="1" t="str">
        <f>TEXT(IF($B687 = "Retail Item", IF((ROW($A687) - 4504 - _xlfn.XMATCH($C687, $C$4506:$C$5005, 0, 1)) &lt;= VLOOKUP($C687, 'Instrument Table'!$B:$D, 3, FALSE), ROW($A687) - 4504 - _xlfn.XMATCH($C687, $C$4506:$C$5005, 0, 1), 0), 0), "00")</f>
        <v>00</v>
      </c>
      <c r="H687" s="1" t="str">
        <f t="shared" si="61"/>
        <v>131</v>
      </c>
      <c r="I687" s="1" t="str">
        <f t="shared" si="62"/>
        <v>11100-131</v>
      </c>
      <c r="J687" s="1" t="str">
        <f t="shared" si="63"/>
        <v>Upright piano production item #131</v>
      </c>
      <c r="K687" s="1" t="str">
        <f>IF(SUM(COUNTIFS(I:I, I687)) &gt; 1, "DUPLICATE", "UNIQUE")</f>
        <v>UNIQUE</v>
      </c>
      <c r="L687" s="18">
        <v>0</v>
      </c>
      <c r="M687" s="28">
        <v>81</v>
      </c>
      <c r="N687" s="6">
        <v>0</v>
      </c>
      <c r="O687" s="30">
        <f t="shared" si="64"/>
        <v>0</v>
      </c>
      <c r="P687" s="30">
        <f t="shared" si="65"/>
        <v>0</v>
      </c>
      <c r="Q687" s="1">
        <f>COUNTIFS($P:$P, "&gt;" &amp; $P687) + 1</f>
        <v>4746</v>
      </c>
      <c r="R687" s="63">
        <f>(COUNTIFS($P:$P, "&gt;" &amp; $P687) + 1) / (COUNTA($I:$I) - 1)</f>
        <v>0.94920000000000004</v>
      </c>
      <c r="S687" s="23">
        <f>SUMIFS($P:$P, $Q:$Q, "&lt;" &amp; $Q687)</f>
        <v>186547861</v>
      </c>
    </row>
    <row r="688" spans="1:19" x14ac:dyDescent="0.25">
      <c r="A688" s="1">
        <v>683</v>
      </c>
      <c r="B688" s="1" t="s">
        <v>2</v>
      </c>
      <c r="C688" s="1" t="str">
        <f>IF($B688 = "Production Item", _xlfn.XLOOKUP($A688, 'Instrument Table'!$J:$J, 'Instrument Table'!$B:$B, $C687), IF($B688 = "Service Item", _xlfn.XLOOKUP($A688, 'Instrument Table'!$I:$I, 'Instrument Table'!$B:$B, $C687), _xlfn.XLOOKUP($A688, 'Instrument Table'!$H:$H, 'Instrument Table'!$B:$B, $C687)))</f>
        <v>Upright Piano</v>
      </c>
      <c r="D688" s="1" t="str">
        <f>VLOOKUP($C688, 'Instrument Table'!$B:$C, 2, FALSE)</f>
        <v>Pianos</v>
      </c>
      <c r="E688" s="1">
        <f t="shared" si="60"/>
        <v>1</v>
      </c>
      <c r="F688" s="1">
        <f>_xlfn.XLOOKUP($C688, 'Instrument Table'!$B:$B, 'Instrument Table'!$A:$A, "")</f>
        <v>11</v>
      </c>
      <c r="G688" s="1" t="str">
        <f>TEXT(IF($B688 = "Retail Item", IF((ROW($A688) - 4504 - _xlfn.XMATCH($C688, $C$4506:$C$5005, 0, 1)) &lt;= VLOOKUP($C688, 'Instrument Table'!$B:$D, 3, FALSE), ROW($A688) - 4504 - _xlfn.XMATCH($C688, $C$4506:$C$5005, 0, 1), 0), 0), "00")</f>
        <v>00</v>
      </c>
      <c r="H688" s="1" t="str">
        <f t="shared" si="61"/>
        <v>132</v>
      </c>
      <c r="I688" s="1" t="str">
        <f t="shared" si="62"/>
        <v>11100-132</v>
      </c>
      <c r="J688" s="1" t="str">
        <f t="shared" si="63"/>
        <v>Upright piano production item #132</v>
      </c>
      <c r="K688" s="1" t="str">
        <f>IF(SUM(COUNTIFS(I:I, I688)) &gt; 1, "DUPLICATE", "UNIQUE")</f>
        <v>UNIQUE</v>
      </c>
      <c r="L688" s="18">
        <v>0</v>
      </c>
      <c r="M688" s="28">
        <v>97</v>
      </c>
      <c r="N688" s="6">
        <v>49</v>
      </c>
      <c r="O688" s="30">
        <f t="shared" si="64"/>
        <v>0</v>
      </c>
      <c r="P688" s="30">
        <f t="shared" si="65"/>
        <v>4753</v>
      </c>
      <c r="Q688" s="1">
        <f>COUNTIFS($P:$P, "&gt;" &amp; $P688) + 1</f>
        <v>2492</v>
      </c>
      <c r="R688" s="63">
        <f>(COUNTIFS($P:$P, "&gt;" &amp; $P688) + 1) / (COUNTA($I:$I) - 1)</f>
        <v>0.49840000000000001</v>
      </c>
      <c r="S688" s="23">
        <f>SUMIFS($P:$P, $Q:$Q, "&lt;" &amp; $Q688)</f>
        <v>183077330</v>
      </c>
    </row>
    <row r="689" spans="1:19" x14ac:dyDescent="0.25">
      <c r="A689" s="1">
        <v>684</v>
      </c>
      <c r="B689" s="1" t="s">
        <v>2</v>
      </c>
      <c r="C689" s="1" t="str">
        <f>IF($B689 = "Production Item", _xlfn.XLOOKUP($A689, 'Instrument Table'!$J:$J, 'Instrument Table'!$B:$B, $C688), IF($B689 = "Service Item", _xlfn.XLOOKUP($A689, 'Instrument Table'!$I:$I, 'Instrument Table'!$B:$B, $C688), _xlfn.XLOOKUP($A689, 'Instrument Table'!$H:$H, 'Instrument Table'!$B:$B, $C688)))</f>
        <v>Upright Piano</v>
      </c>
      <c r="D689" s="1" t="str">
        <f>VLOOKUP($C689, 'Instrument Table'!$B:$C, 2, FALSE)</f>
        <v>Pianos</v>
      </c>
      <c r="E689" s="1">
        <f t="shared" si="60"/>
        <v>1</v>
      </c>
      <c r="F689" s="1">
        <f>_xlfn.XLOOKUP($C689, 'Instrument Table'!$B:$B, 'Instrument Table'!$A:$A, "")</f>
        <v>11</v>
      </c>
      <c r="G689" s="1" t="str">
        <f>TEXT(IF($B689 = "Retail Item", IF((ROW($A689) - 4504 - _xlfn.XMATCH($C689, $C$4506:$C$5005, 0, 1)) &lt;= VLOOKUP($C689, 'Instrument Table'!$B:$D, 3, FALSE), ROW($A689) - 4504 - _xlfn.XMATCH($C689, $C$4506:$C$5005, 0, 1), 0), 0), "00")</f>
        <v>00</v>
      </c>
      <c r="H689" s="1" t="str">
        <f t="shared" si="61"/>
        <v>133</v>
      </c>
      <c r="I689" s="1" t="str">
        <f t="shared" si="62"/>
        <v>11100-133</v>
      </c>
      <c r="J689" s="1" t="str">
        <f t="shared" si="63"/>
        <v>Upright piano production item #133</v>
      </c>
      <c r="K689" s="1" t="str">
        <f>IF(SUM(COUNTIFS(I:I, I689)) &gt; 1, "DUPLICATE", "UNIQUE")</f>
        <v>UNIQUE</v>
      </c>
      <c r="L689" s="18">
        <v>0</v>
      </c>
      <c r="M689" s="28">
        <v>55</v>
      </c>
      <c r="N689" s="6">
        <v>361</v>
      </c>
      <c r="O689" s="30">
        <f t="shared" si="64"/>
        <v>0</v>
      </c>
      <c r="P689" s="30">
        <f t="shared" si="65"/>
        <v>19855</v>
      </c>
      <c r="Q689" s="1">
        <f>COUNTIFS($P:$P, "&gt;" &amp; $P689) + 1</f>
        <v>1064</v>
      </c>
      <c r="R689" s="63">
        <f>(COUNTIFS($P:$P, "&gt;" &amp; $P689) + 1) / (COUNTA($I:$I) - 1)</f>
        <v>0.21279999999999999</v>
      </c>
      <c r="S689" s="23">
        <f>SUMIFS($P:$P, $Q:$Q, "&lt;" &amp; $Q689)</f>
        <v>167803001</v>
      </c>
    </row>
    <row r="690" spans="1:19" x14ac:dyDescent="0.25">
      <c r="A690" s="1">
        <v>685</v>
      </c>
      <c r="B690" s="1" t="s">
        <v>2</v>
      </c>
      <c r="C690" s="1" t="str">
        <f>IF($B690 = "Production Item", _xlfn.XLOOKUP($A690, 'Instrument Table'!$J:$J, 'Instrument Table'!$B:$B, $C689), IF($B690 = "Service Item", _xlfn.XLOOKUP($A690, 'Instrument Table'!$I:$I, 'Instrument Table'!$B:$B, $C689), _xlfn.XLOOKUP($A690, 'Instrument Table'!$H:$H, 'Instrument Table'!$B:$B, $C689)))</f>
        <v>Upright Piano</v>
      </c>
      <c r="D690" s="1" t="str">
        <f>VLOOKUP($C690, 'Instrument Table'!$B:$C, 2, FALSE)</f>
        <v>Pianos</v>
      </c>
      <c r="E690" s="1">
        <f t="shared" si="60"/>
        <v>1</v>
      </c>
      <c r="F690" s="1">
        <f>_xlfn.XLOOKUP($C690, 'Instrument Table'!$B:$B, 'Instrument Table'!$A:$A, "")</f>
        <v>11</v>
      </c>
      <c r="G690" s="1" t="str">
        <f>TEXT(IF($B690 = "Retail Item", IF((ROW($A690) - 4504 - _xlfn.XMATCH($C690, $C$4506:$C$5005, 0, 1)) &lt;= VLOOKUP($C690, 'Instrument Table'!$B:$D, 3, FALSE), ROW($A690) - 4504 - _xlfn.XMATCH($C690, $C$4506:$C$5005, 0, 1), 0), 0), "00")</f>
        <v>00</v>
      </c>
      <c r="H690" s="1" t="str">
        <f t="shared" si="61"/>
        <v>134</v>
      </c>
      <c r="I690" s="1" t="str">
        <f t="shared" si="62"/>
        <v>11100-134</v>
      </c>
      <c r="J690" s="1" t="str">
        <f t="shared" si="63"/>
        <v>Upright piano production item #134</v>
      </c>
      <c r="K690" s="1" t="str">
        <f>IF(SUM(COUNTIFS(I:I, I690)) &gt; 1, "DUPLICATE", "UNIQUE")</f>
        <v>UNIQUE</v>
      </c>
      <c r="L690" s="18">
        <v>0</v>
      </c>
      <c r="M690" s="28">
        <v>26</v>
      </c>
      <c r="N690" s="6">
        <v>49</v>
      </c>
      <c r="O690" s="30">
        <f t="shared" si="64"/>
        <v>0</v>
      </c>
      <c r="P690" s="30">
        <f t="shared" si="65"/>
        <v>1274</v>
      </c>
      <c r="Q690" s="1">
        <f>COUNTIFS($P:$P, "&gt;" &amp; $P690) + 1</f>
        <v>3579</v>
      </c>
      <c r="R690" s="63">
        <f>(COUNTIFS($P:$P, "&gt;" &amp; $P690) + 1) / (COUNTA($I:$I) - 1)</f>
        <v>0.71579999999999999</v>
      </c>
      <c r="S690" s="23">
        <f>SUMIFS($P:$P, $Q:$Q, "&lt;" &amp; $Q690)</f>
        <v>186043798</v>
      </c>
    </row>
    <row r="691" spans="1:19" x14ac:dyDescent="0.25">
      <c r="A691" s="1">
        <v>686</v>
      </c>
      <c r="B691" s="1" t="s">
        <v>2</v>
      </c>
      <c r="C691" s="1" t="str">
        <f>IF($B691 = "Production Item", _xlfn.XLOOKUP($A691, 'Instrument Table'!$J:$J, 'Instrument Table'!$B:$B, $C690), IF($B691 = "Service Item", _xlfn.XLOOKUP($A691, 'Instrument Table'!$I:$I, 'Instrument Table'!$B:$B, $C690), _xlfn.XLOOKUP($A691, 'Instrument Table'!$H:$H, 'Instrument Table'!$B:$B, $C690)))</f>
        <v>Upright Piano</v>
      </c>
      <c r="D691" s="1" t="str">
        <f>VLOOKUP($C691, 'Instrument Table'!$B:$C, 2, FALSE)</f>
        <v>Pianos</v>
      </c>
      <c r="E691" s="1">
        <f t="shared" si="60"/>
        <v>1</v>
      </c>
      <c r="F691" s="1">
        <f>_xlfn.XLOOKUP($C691, 'Instrument Table'!$B:$B, 'Instrument Table'!$A:$A, "")</f>
        <v>11</v>
      </c>
      <c r="G691" s="1" t="str">
        <f>TEXT(IF($B691 = "Retail Item", IF((ROW($A691) - 4504 - _xlfn.XMATCH($C691, $C$4506:$C$5005, 0, 1)) &lt;= VLOOKUP($C691, 'Instrument Table'!$B:$D, 3, FALSE), ROW($A691) - 4504 - _xlfn.XMATCH($C691, $C$4506:$C$5005, 0, 1), 0), 0), "00")</f>
        <v>00</v>
      </c>
      <c r="H691" s="1" t="str">
        <f t="shared" si="61"/>
        <v>135</v>
      </c>
      <c r="I691" s="1" t="str">
        <f t="shared" si="62"/>
        <v>11100-135</v>
      </c>
      <c r="J691" s="1" t="str">
        <f t="shared" si="63"/>
        <v>Upright piano production item #135</v>
      </c>
      <c r="K691" s="1" t="str">
        <f>IF(SUM(COUNTIFS(I:I, I691)) &gt; 1, "DUPLICATE", "UNIQUE")</f>
        <v>UNIQUE</v>
      </c>
      <c r="L691" s="18">
        <v>8</v>
      </c>
      <c r="M691" s="28">
        <v>53</v>
      </c>
      <c r="N691" s="6">
        <v>144</v>
      </c>
      <c r="O691" s="30">
        <f t="shared" si="64"/>
        <v>424</v>
      </c>
      <c r="P691" s="30">
        <f t="shared" si="65"/>
        <v>7632</v>
      </c>
      <c r="Q691" s="1">
        <f>COUNTIFS($P:$P, "&gt;" &amp; $P691) + 1</f>
        <v>2051</v>
      </c>
      <c r="R691" s="63">
        <f>(COUNTIFS($P:$P, "&gt;" &amp; $P691) + 1) / (COUNTA($I:$I) - 1)</f>
        <v>0.41020000000000001</v>
      </c>
      <c r="S691" s="23">
        <f>SUMIFS($P:$P, $Q:$Q, "&lt;" &amp; $Q691)</f>
        <v>180392685</v>
      </c>
    </row>
    <row r="692" spans="1:19" x14ac:dyDescent="0.25">
      <c r="A692" s="1">
        <v>687</v>
      </c>
      <c r="B692" s="1" t="s">
        <v>2</v>
      </c>
      <c r="C692" s="1" t="str">
        <f>IF($B692 = "Production Item", _xlfn.XLOOKUP($A692, 'Instrument Table'!$J:$J, 'Instrument Table'!$B:$B, $C691), IF($B692 = "Service Item", _xlfn.XLOOKUP($A692, 'Instrument Table'!$I:$I, 'Instrument Table'!$B:$B, $C691), _xlfn.XLOOKUP($A692, 'Instrument Table'!$H:$H, 'Instrument Table'!$B:$B, $C691)))</f>
        <v>Upright Piano</v>
      </c>
      <c r="D692" s="1" t="str">
        <f>VLOOKUP($C692, 'Instrument Table'!$B:$C, 2, FALSE)</f>
        <v>Pianos</v>
      </c>
      <c r="E692" s="1">
        <f t="shared" si="60"/>
        <v>1</v>
      </c>
      <c r="F692" s="1">
        <f>_xlfn.XLOOKUP($C692, 'Instrument Table'!$B:$B, 'Instrument Table'!$A:$A, "")</f>
        <v>11</v>
      </c>
      <c r="G692" s="1" t="str">
        <f>TEXT(IF($B692 = "Retail Item", IF((ROW($A692) - 4504 - _xlfn.XMATCH($C692, $C$4506:$C$5005, 0, 1)) &lt;= VLOOKUP($C692, 'Instrument Table'!$B:$D, 3, FALSE), ROW($A692) - 4504 - _xlfn.XMATCH($C692, $C$4506:$C$5005, 0, 1), 0), 0), "00")</f>
        <v>00</v>
      </c>
      <c r="H692" s="1" t="str">
        <f t="shared" si="61"/>
        <v>136</v>
      </c>
      <c r="I692" s="1" t="str">
        <f t="shared" si="62"/>
        <v>11100-136</v>
      </c>
      <c r="J692" s="1" t="str">
        <f t="shared" si="63"/>
        <v>Upright piano production item #136</v>
      </c>
      <c r="K692" s="1" t="str">
        <f>IF(SUM(COUNTIFS(I:I, I692)) &gt; 1, "DUPLICATE", "UNIQUE")</f>
        <v>UNIQUE</v>
      </c>
      <c r="L692" s="18">
        <v>32</v>
      </c>
      <c r="M692" s="28">
        <v>5</v>
      </c>
      <c r="N692" s="6">
        <v>36</v>
      </c>
      <c r="O692" s="30">
        <f t="shared" si="64"/>
        <v>160</v>
      </c>
      <c r="P692" s="30">
        <f t="shared" si="65"/>
        <v>180</v>
      </c>
      <c r="Q692" s="1">
        <f>COUNTIFS($P:$P, "&gt;" &amp; $P692) + 1</f>
        <v>4352</v>
      </c>
      <c r="R692" s="63">
        <f>(COUNTIFS($P:$P, "&gt;" &amp; $P692) + 1) / (COUNTA($I:$I) - 1)</f>
        <v>0.87039999999999995</v>
      </c>
      <c r="S692" s="23">
        <f>SUMIFS($P:$P, $Q:$Q, "&lt;" &amp; $Q692)</f>
        <v>186517952</v>
      </c>
    </row>
    <row r="693" spans="1:19" x14ac:dyDescent="0.25">
      <c r="A693" s="1">
        <v>688</v>
      </c>
      <c r="B693" s="1" t="s">
        <v>2</v>
      </c>
      <c r="C693" s="1" t="str">
        <f>IF($B693 = "Production Item", _xlfn.XLOOKUP($A693, 'Instrument Table'!$J:$J, 'Instrument Table'!$B:$B, $C692), IF($B693 = "Service Item", _xlfn.XLOOKUP($A693, 'Instrument Table'!$I:$I, 'Instrument Table'!$B:$B, $C692), _xlfn.XLOOKUP($A693, 'Instrument Table'!$H:$H, 'Instrument Table'!$B:$B, $C692)))</f>
        <v>Upright Piano</v>
      </c>
      <c r="D693" s="1" t="str">
        <f>VLOOKUP($C693, 'Instrument Table'!$B:$C, 2, FALSE)</f>
        <v>Pianos</v>
      </c>
      <c r="E693" s="1">
        <f t="shared" si="60"/>
        <v>1</v>
      </c>
      <c r="F693" s="1">
        <f>_xlfn.XLOOKUP($C693, 'Instrument Table'!$B:$B, 'Instrument Table'!$A:$A, "")</f>
        <v>11</v>
      </c>
      <c r="G693" s="1" t="str">
        <f>TEXT(IF($B693 = "Retail Item", IF((ROW($A693) - 4504 - _xlfn.XMATCH($C693, $C$4506:$C$5005, 0, 1)) &lt;= VLOOKUP($C693, 'Instrument Table'!$B:$D, 3, FALSE), ROW($A693) - 4504 - _xlfn.XMATCH($C693, $C$4506:$C$5005, 0, 1), 0), 0), "00")</f>
        <v>00</v>
      </c>
      <c r="H693" s="1" t="str">
        <f t="shared" si="61"/>
        <v>137</v>
      </c>
      <c r="I693" s="1" t="str">
        <f t="shared" si="62"/>
        <v>11100-137</v>
      </c>
      <c r="J693" s="1" t="str">
        <f t="shared" si="63"/>
        <v>Upright piano production item #137</v>
      </c>
      <c r="K693" s="1" t="str">
        <f>IF(SUM(COUNTIFS(I:I, I693)) &gt; 1, "DUPLICATE", "UNIQUE")</f>
        <v>UNIQUE</v>
      </c>
      <c r="L693" s="18">
        <v>0</v>
      </c>
      <c r="M693" s="28">
        <v>68</v>
      </c>
      <c r="N693" s="6">
        <v>256</v>
      </c>
      <c r="O693" s="30">
        <f t="shared" si="64"/>
        <v>0</v>
      </c>
      <c r="P693" s="30">
        <f t="shared" si="65"/>
        <v>17408</v>
      </c>
      <c r="Q693" s="1">
        <f>COUNTIFS($P:$P, "&gt;" &amp; $P693) + 1</f>
        <v>1195</v>
      </c>
      <c r="R693" s="63">
        <f>(COUNTIFS($P:$P, "&gt;" &amp; $P693) + 1) / (COUNTA($I:$I) - 1)</f>
        <v>0.23899999999999999</v>
      </c>
      <c r="S693" s="23">
        <f>SUMIFS($P:$P, $Q:$Q, "&lt;" &amp; $Q693)</f>
        <v>170239325</v>
      </c>
    </row>
    <row r="694" spans="1:19" x14ac:dyDescent="0.25">
      <c r="A694" s="1">
        <v>689</v>
      </c>
      <c r="B694" s="1" t="s">
        <v>2</v>
      </c>
      <c r="C694" s="1" t="str">
        <f>IF($B694 = "Production Item", _xlfn.XLOOKUP($A694, 'Instrument Table'!$J:$J, 'Instrument Table'!$B:$B, $C693), IF($B694 = "Service Item", _xlfn.XLOOKUP($A694, 'Instrument Table'!$I:$I, 'Instrument Table'!$B:$B, $C693), _xlfn.XLOOKUP($A694, 'Instrument Table'!$H:$H, 'Instrument Table'!$B:$B, $C693)))</f>
        <v>Upright Piano</v>
      </c>
      <c r="D694" s="1" t="str">
        <f>VLOOKUP($C694, 'Instrument Table'!$B:$C, 2, FALSE)</f>
        <v>Pianos</v>
      </c>
      <c r="E694" s="1">
        <f t="shared" si="60"/>
        <v>1</v>
      </c>
      <c r="F694" s="1">
        <f>_xlfn.XLOOKUP($C694, 'Instrument Table'!$B:$B, 'Instrument Table'!$A:$A, "")</f>
        <v>11</v>
      </c>
      <c r="G694" s="1" t="str">
        <f>TEXT(IF($B694 = "Retail Item", IF((ROW($A694) - 4504 - _xlfn.XMATCH($C694, $C$4506:$C$5005, 0, 1)) &lt;= VLOOKUP($C694, 'Instrument Table'!$B:$D, 3, FALSE), ROW($A694) - 4504 - _xlfn.XMATCH($C694, $C$4506:$C$5005, 0, 1), 0), 0), "00")</f>
        <v>00</v>
      </c>
      <c r="H694" s="1" t="str">
        <f t="shared" si="61"/>
        <v>138</v>
      </c>
      <c r="I694" s="1" t="str">
        <f t="shared" si="62"/>
        <v>11100-138</v>
      </c>
      <c r="J694" s="1" t="str">
        <f t="shared" si="63"/>
        <v>Upright piano production item #138</v>
      </c>
      <c r="K694" s="1" t="str">
        <f>IF(SUM(COUNTIFS(I:I, I694)) &gt; 1, "DUPLICATE", "UNIQUE")</f>
        <v>UNIQUE</v>
      </c>
      <c r="L694" s="18">
        <v>0</v>
      </c>
      <c r="M694" s="28">
        <v>55</v>
      </c>
      <c r="N694" s="6">
        <v>16</v>
      </c>
      <c r="O694" s="30">
        <f t="shared" si="64"/>
        <v>0</v>
      </c>
      <c r="P694" s="30">
        <f t="shared" si="65"/>
        <v>880</v>
      </c>
      <c r="Q694" s="1">
        <f>COUNTIFS($P:$P, "&gt;" &amp; $P694) + 1</f>
        <v>3738</v>
      </c>
      <c r="R694" s="63">
        <f>(COUNTIFS($P:$P, "&gt;" &amp; $P694) + 1) / (COUNTA($I:$I) - 1)</f>
        <v>0.74760000000000004</v>
      </c>
      <c r="S694" s="23">
        <f>SUMIFS($P:$P, $Q:$Q, "&lt;" &amp; $Q694)</f>
        <v>186213678</v>
      </c>
    </row>
    <row r="695" spans="1:19" x14ac:dyDescent="0.25">
      <c r="A695" s="1">
        <v>690</v>
      </c>
      <c r="B695" s="1" t="s">
        <v>2</v>
      </c>
      <c r="C695" s="1" t="str">
        <f>IF($B695 = "Production Item", _xlfn.XLOOKUP($A695, 'Instrument Table'!$J:$J, 'Instrument Table'!$B:$B, $C694), IF($B695 = "Service Item", _xlfn.XLOOKUP($A695, 'Instrument Table'!$I:$I, 'Instrument Table'!$B:$B, $C694), _xlfn.XLOOKUP($A695, 'Instrument Table'!$H:$H, 'Instrument Table'!$B:$B, $C694)))</f>
        <v>Upright Piano</v>
      </c>
      <c r="D695" s="1" t="str">
        <f>VLOOKUP($C695, 'Instrument Table'!$B:$C, 2, FALSE)</f>
        <v>Pianos</v>
      </c>
      <c r="E695" s="1">
        <f t="shared" si="60"/>
        <v>1</v>
      </c>
      <c r="F695" s="1">
        <f>_xlfn.XLOOKUP($C695, 'Instrument Table'!$B:$B, 'Instrument Table'!$A:$A, "")</f>
        <v>11</v>
      </c>
      <c r="G695" s="1" t="str">
        <f>TEXT(IF($B695 = "Retail Item", IF((ROW($A695) - 4504 - _xlfn.XMATCH($C695, $C$4506:$C$5005, 0, 1)) &lt;= VLOOKUP($C695, 'Instrument Table'!$B:$D, 3, FALSE), ROW($A695) - 4504 - _xlfn.XMATCH($C695, $C$4506:$C$5005, 0, 1), 0), 0), "00")</f>
        <v>00</v>
      </c>
      <c r="H695" s="1" t="str">
        <f t="shared" si="61"/>
        <v>139</v>
      </c>
      <c r="I695" s="1" t="str">
        <f t="shared" si="62"/>
        <v>11100-139</v>
      </c>
      <c r="J695" s="1" t="str">
        <f t="shared" si="63"/>
        <v>Upright piano production item #139</v>
      </c>
      <c r="K695" s="1" t="str">
        <f>IF(SUM(COUNTIFS(I:I, I695)) &gt; 1, "DUPLICATE", "UNIQUE")</f>
        <v>UNIQUE</v>
      </c>
      <c r="L695" s="18">
        <v>32</v>
      </c>
      <c r="M695" s="28">
        <v>94</v>
      </c>
      <c r="N695" s="6">
        <v>0</v>
      </c>
      <c r="O695" s="30">
        <f t="shared" si="64"/>
        <v>3008</v>
      </c>
      <c r="P695" s="30">
        <f t="shared" si="65"/>
        <v>0</v>
      </c>
      <c r="Q695" s="1">
        <f>COUNTIFS($P:$P, "&gt;" &amp; $P695) + 1</f>
        <v>4746</v>
      </c>
      <c r="R695" s="63">
        <f>(COUNTIFS($P:$P, "&gt;" &amp; $P695) + 1) / (COUNTA($I:$I) - 1)</f>
        <v>0.94920000000000004</v>
      </c>
      <c r="S695" s="23">
        <f>SUMIFS($P:$P, $Q:$Q, "&lt;" &amp; $Q695)</f>
        <v>186547861</v>
      </c>
    </row>
    <row r="696" spans="1:19" x14ac:dyDescent="0.25">
      <c r="A696" s="1">
        <v>691</v>
      </c>
      <c r="B696" s="1" t="s">
        <v>2</v>
      </c>
      <c r="C696" s="1" t="str">
        <f>IF($B696 = "Production Item", _xlfn.XLOOKUP($A696, 'Instrument Table'!$J:$J, 'Instrument Table'!$B:$B, $C695), IF($B696 = "Service Item", _xlfn.XLOOKUP($A696, 'Instrument Table'!$I:$I, 'Instrument Table'!$B:$B, $C695), _xlfn.XLOOKUP($A696, 'Instrument Table'!$H:$H, 'Instrument Table'!$B:$B, $C695)))</f>
        <v>Upright Piano</v>
      </c>
      <c r="D696" s="1" t="str">
        <f>VLOOKUP($C696, 'Instrument Table'!$B:$C, 2, FALSE)</f>
        <v>Pianos</v>
      </c>
      <c r="E696" s="1">
        <f t="shared" si="60"/>
        <v>1</v>
      </c>
      <c r="F696" s="1">
        <f>_xlfn.XLOOKUP($C696, 'Instrument Table'!$B:$B, 'Instrument Table'!$A:$A, "")</f>
        <v>11</v>
      </c>
      <c r="G696" s="1" t="str">
        <f>TEXT(IF($B696 = "Retail Item", IF((ROW($A696) - 4504 - _xlfn.XMATCH($C696, $C$4506:$C$5005, 0, 1)) &lt;= VLOOKUP($C696, 'Instrument Table'!$B:$D, 3, FALSE), ROW($A696) - 4504 - _xlfn.XMATCH($C696, $C$4506:$C$5005, 0, 1), 0), 0), "00")</f>
        <v>00</v>
      </c>
      <c r="H696" s="1" t="str">
        <f t="shared" si="61"/>
        <v>140</v>
      </c>
      <c r="I696" s="1" t="str">
        <f t="shared" si="62"/>
        <v>11100-140</v>
      </c>
      <c r="J696" s="1" t="str">
        <f t="shared" si="63"/>
        <v>Upright piano production item #140</v>
      </c>
      <c r="K696" s="1" t="str">
        <f>IF(SUM(COUNTIFS(I:I, I696)) &gt; 1, "DUPLICATE", "UNIQUE")</f>
        <v>UNIQUE</v>
      </c>
      <c r="L696" s="18">
        <v>0</v>
      </c>
      <c r="M696" s="28">
        <v>45</v>
      </c>
      <c r="N696" s="6">
        <v>4</v>
      </c>
      <c r="O696" s="30">
        <f t="shared" si="64"/>
        <v>0</v>
      </c>
      <c r="P696" s="30">
        <f t="shared" si="65"/>
        <v>180</v>
      </c>
      <c r="Q696" s="1">
        <f>COUNTIFS($P:$P, "&gt;" &amp; $P696) + 1</f>
        <v>4352</v>
      </c>
      <c r="R696" s="63">
        <f>(COUNTIFS($P:$P, "&gt;" &amp; $P696) + 1) / (COUNTA($I:$I) - 1)</f>
        <v>0.87039999999999995</v>
      </c>
      <c r="S696" s="23">
        <f>SUMIFS($P:$P, $Q:$Q, "&lt;" &amp; $Q696)</f>
        <v>186517952</v>
      </c>
    </row>
    <row r="697" spans="1:19" x14ac:dyDescent="0.25">
      <c r="A697" s="1">
        <v>692</v>
      </c>
      <c r="B697" s="1" t="s">
        <v>2</v>
      </c>
      <c r="C697" s="1" t="str">
        <f>IF($B697 = "Production Item", _xlfn.XLOOKUP($A697, 'Instrument Table'!$J:$J, 'Instrument Table'!$B:$B, $C696), IF($B697 = "Service Item", _xlfn.XLOOKUP($A697, 'Instrument Table'!$I:$I, 'Instrument Table'!$B:$B, $C696), _xlfn.XLOOKUP($A697, 'Instrument Table'!$H:$H, 'Instrument Table'!$B:$B, $C696)))</f>
        <v>Upright Piano</v>
      </c>
      <c r="D697" s="1" t="str">
        <f>VLOOKUP($C697, 'Instrument Table'!$B:$C, 2, FALSE)</f>
        <v>Pianos</v>
      </c>
      <c r="E697" s="1">
        <f t="shared" si="60"/>
        <v>1</v>
      </c>
      <c r="F697" s="1">
        <f>_xlfn.XLOOKUP($C697, 'Instrument Table'!$B:$B, 'Instrument Table'!$A:$A, "")</f>
        <v>11</v>
      </c>
      <c r="G697" s="1" t="str">
        <f>TEXT(IF($B697 = "Retail Item", IF((ROW($A697) - 4504 - _xlfn.XMATCH($C697, $C$4506:$C$5005, 0, 1)) &lt;= VLOOKUP($C697, 'Instrument Table'!$B:$D, 3, FALSE), ROW($A697) - 4504 - _xlfn.XMATCH($C697, $C$4506:$C$5005, 0, 1), 0), 0), "00")</f>
        <v>00</v>
      </c>
      <c r="H697" s="1" t="str">
        <f t="shared" si="61"/>
        <v>141</v>
      </c>
      <c r="I697" s="1" t="str">
        <f t="shared" si="62"/>
        <v>11100-141</v>
      </c>
      <c r="J697" s="1" t="str">
        <f t="shared" si="63"/>
        <v>Upright piano production item #141</v>
      </c>
      <c r="K697" s="1" t="str">
        <f>IF(SUM(COUNTIFS(I:I, I697)) &gt; 1, "DUPLICATE", "UNIQUE")</f>
        <v>UNIQUE</v>
      </c>
      <c r="L697" s="18">
        <v>4</v>
      </c>
      <c r="M697" s="28">
        <v>65</v>
      </c>
      <c r="N697" s="6">
        <v>36</v>
      </c>
      <c r="O697" s="30">
        <f t="shared" si="64"/>
        <v>260</v>
      </c>
      <c r="P697" s="30">
        <f t="shared" si="65"/>
        <v>2340</v>
      </c>
      <c r="Q697" s="1">
        <f>COUNTIFS($P:$P, "&gt;" &amp; $P697) + 1</f>
        <v>3110</v>
      </c>
      <c r="R697" s="63">
        <f>(COUNTIFS($P:$P, "&gt;" &amp; $P697) + 1) / (COUNTA($I:$I) - 1)</f>
        <v>0.622</v>
      </c>
      <c r="S697" s="23">
        <f>SUMIFS($P:$P, $Q:$Q, "&lt;" &amp; $Q697)</f>
        <v>185206004</v>
      </c>
    </row>
    <row r="698" spans="1:19" x14ac:dyDescent="0.25">
      <c r="A698" s="1">
        <v>693</v>
      </c>
      <c r="B698" s="1" t="s">
        <v>2</v>
      </c>
      <c r="C698" s="1" t="str">
        <f>IF($B698 = "Production Item", _xlfn.XLOOKUP($A698, 'Instrument Table'!$J:$J, 'Instrument Table'!$B:$B, $C697), IF($B698 = "Service Item", _xlfn.XLOOKUP($A698, 'Instrument Table'!$I:$I, 'Instrument Table'!$B:$B, $C697), _xlfn.XLOOKUP($A698, 'Instrument Table'!$H:$H, 'Instrument Table'!$B:$B, $C697)))</f>
        <v>Upright Piano</v>
      </c>
      <c r="D698" s="1" t="str">
        <f>VLOOKUP($C698, 'Instrument Table'!$B:$C, 2, FALSE)</f>
        <v>Pianos</v>
      </c>
      <c r="E698" s="1">
        <f t="shared" si="60"/>
        <v>1</v>
      </c>
      <c r="F698" s="1">
        <f>_xlfn.XLOOKUP($C698, 'Instrument Table'!$B:$B, 'Instrument Table'!$A:$A, "")</f>
        <v>11</v>
      </c>
      <c r="G698" s="1" t="str">
        <f>TEXT(IF($B698 = "Retail Item", IF((ROW($A698) - 4504 - _xlfn.XMATCH($C698, $C$4506:$C$5005, 0, 1)) &lt;= VLOOKUP($C698, 'Instrument Table'!$B:$D, 3, FALSE), ROW($A698) - 4504 - _xlfn.XMATCH($C698, $C$4506:$C$5005, 0, 1), 0), 0), "00")</f>
        <v>00</v>
      </c>
      <c r="H698" s="1" t="str">
        <f t="shared" si="61"/>
        <v>142</v>
      </c>
      <c r="I698" s="1" t="str">
        <f t="shared" si="62"/>
        <v>11100-142</v>
      </c>
      <c r="J698" s="1" t="str">
        <f t="shared" si="63"/>
        <v>Upright piano production item #142</v>
      </c>
      <c r="K698" s="1" t="str">
        <f>IF(SUM(COUNTIFS(I:I, I698)) &gt; 1, "DUPLICATE", "UNIQUE")</f>
        <v>UNIQUE</v>
      </c>
      <c r="L698" s="18">
        <v>16</v>
      </c>
      <c r="M698" s="28">
        <v>90</v>
      </c>
      <c r="N698" s="6">
        <v>36</v>
      </c>
      <c r="O698" s="30">
        <f t="shared" si="64"/>
        <v>1440</v>
      </c>
      <c r="P698" s="30">
        <f t="shared" si="65"/>
        <v>3240</v>
      </c>
      <c r="Q698" s="1">
        <f>COUNTIFS($P:$P, "&gt;" &amp; $P698) + 1</f>
        <v>2839</v>
      </c>
      <c r="R698" s="63">
        <f>(COUNTIFS($P:$P, "&gt;" &amp; $P698) + 1) / (COUNTA($I:$I) - 1)</f>
        <v>0.56779999999999997</v>
      </c>
      <c r="S698" s="23">
        <f>SUMIFS($P:$P, $Q:$Q, "&lt;" &amp; $Q698)</f>
        <v>184456190</v>
      </c>
    </row>
    <row r="699" spans="1:19" x14ac:dyDescent="0.25">
      <c r="A699" s="1">
        <v>694</v>
      </c>
      <c r="B699" s="1" t="s">
        <v>2</v>
      </c>
      <c r="C699" s="1" t="str">
        <f>IF($B699 = "Production Item", _xlfn.XLOOKUP($A699, 'Instrument Table'!$J:$J, 'Instrument Table'!$B:$B, $C698), IF($B699 = "Service Item", _xlfn.XLOOKUP($A699, 'Instrument Table'!$I:$I, 'Instrument Table'!$B:$B, $C698), _xlfn.XLOOKUP($A699, 'Instrument Table'!$H:$H, 'Instrument Table'!$B:$B, $C698)))</f>
        <v>Upright Piano</v>
      </c>
      <c r="D699" s="1" t="str">
        <f>VLOOKUP($C699, 'Instrument Table'!$B:$C, 2, FALSE)</f>
        <v>Pianos</v>
      </c>
      <c r="E699" s="1">
        <f t="shared" si="60"/>
        <v>1</v>
      </c>
      <c r="F699" s="1">
        <f>_xlfn.XLOOKUP($C699, 'Instrument Table'!$B:$B, 'Instrument Table'!$A:$A, "")</f>
        <v>11</v>
      </c>
      <c r="G699" s="1" t="str">
        <f>TEXT(IF($B699 = "Retail Item", IF((ROW($A699) - 4504 - _xlfn.XMATCH($C699, $C$4506:$C$5005, 0, 1)) &lt;= VLOOKUP($C699, 'Instrument Table'!$B:$D, 3, FALSE), ROW($A699) - 4504 - _xlfn.XMATCH($C699, $C$4506:$C$5005, 0, 1), 0), 0), "00")</f>
        <v>00</v>
      </c>
      <c r="H699" s="1" t="str">
        <f t="shared" si="61"/>
        <v>143</v>
      </c>
      <c r="I699" s="1" t="str">
        <f t="shared" si="62"/>
        <v>11100-143</v>
      </c>
      <c r="J699" s="1" t="str">
        <f t="shared" si="63"/>
        <v>Upright piano production item #143</v>
      </c>
      <c r="K699" s="1" t="str">
        <f>IF(SUM(COUNTIFS(I:I, I699)) &gt; 1, "DUPLICATE", "UNIQUE")</f>
        <v>UNIQUE</v>
      </c>
      <c r="L699" s="18">
        <v>0</v>
      </c>
      <c r="M699" s="28">
        <v>29</v>
      </c>
      <c r="N699" s="6">
        <v>289</v>
      </c>
      <c r="O699" s="30">
        <f t="shared" si="64"/>
        <v>0</v>
      </c>
      <c r="P699" s="30">
        <f t="shared" si="65"/>
        <v>8381</v>
      </c>
      <c r="Q699" s="1">
        <f>COUNTIFS($P:$P, "&gt;" &amp; $P699) + 1</f>
        <v>1942</v>
      </c>
      <c r="R699" s="63">
        <f>(COUNTIFS($P:$P, "&gt;" &amp; $P699) + 1) / (COUNTA($I:$I) - 1)</f>
        <v>0.38840000000000002</v>
      </c>
      <c r="S699" s="23">
        <f>SUMIFS($P:$P, $Q:$Q, "&lt;" &amp; $Q699)</f>
        <v>179524365</v>
      </c>
    </row>
    <row r="700" spans="1:19" x14ac:dyDescent="0.25">
      <c r="A700" s="1">
        <v>695</v>
      </c>
      <c r="B700" s="1" t="s">
        <v>2</v>
      </c>
      <c r="C700" s="1" t="str">
        <f>IF($B700 = "Production Item", _xlfn.XLOOKUP($A700, 'Instrument Table'!$J:$J, 'Instrument Table'!$B:$B, $C699), IF($B700 = "Service Item", _xlfn.XLOOKUP($A700, 'Instrument Table'!$I:$I, 'Instrument Table'!$B:$B, $C699), _xlfn.XLOOKUP($A700, 'Instrument Table'!$H:$H, 'Instrument Table'!$B:$B, $C699)))</f>
        <v>Upright Piano</v>
      </c>
      <c r="D700" s="1" t="str">
        <f>VLOOKUP($C700, 'Instrument Table'!$B:$C, 2, FALSE)</f>
        <v>Pianos</v>
      </c>
      <c r="E700" s="1">
        <f t="shared" si="60"/>
        <v>1</v>
      </c>
      <c r="F700" s="1">
        <f>_xlfn.XLOOKUP($C700, 'Instrument Table'!$B:$B, 'Instrument Table'!$A:$A, "")</f>
        <v>11</v>
      </c>
      <c r="G700" s="1" t="str">
        <f>TEXT(IF($B700 = "Retail Item", IF((ROW($A700) - 4504 - _xlfn.XMATCH($C700, $C$4506:$C$5005, 0, 1)) &lt;= VLOOKUP($C700, 'Instrument Table'!$B:$D, 3, FALSE), ROW($A700) - 4504 - _xlfn.XMATCH($C700, $C$4506:$C$5005, 0, 1), 0), 0), "00")</f>
        <v>00</v>
      </c>
      <c r="H700" s="1" t="str">
        <f t="shared" si="61"/>
        <v>144</v>
      </c>
      <c r="I700" s="1" t="str">
        <f t="shared" si="62"/>
        <v>11100-144</v>
      </c>
      <c r="J700" s="1" t="str">
        <f t="shared" si="63"/>
        <v>Upright piano production item #144</v>
      </c>
      <c r="K700" s="1" t="str">
        <f>IF(SUM(COUNTIFS(I:I, I700)) &gt; 1, "DUPLICATE", "UNIQUE")</f>
        <v>UNIQUE</v>
      </c>
      <c r="L700" s="18">
        <v>0</v>
      </c>
      <c r="M700" s="28">
        <v>15</v>
      </c>
      <c r="N700" s="6">
        <v>36</v>
      </c>
      <c r="O700" s="30">
        <f t="shared" si="64"/>
        <v>0</v>
      </c>
      <c r="P700" s="30">
        <f t="shared" si="65"/>
        <v>540</v>
      </c>
      <c r="Q700" s="1">
        <f>COUNTIFS($P:$P, "&gt;" &amp; $P700) + 1</f>
        <v>3988</v>
      </c>
      <c r="R700" s="63">
        <f>(COUNTIFS($P:$P, "&gt;" &amp; $P700) + 1) / (COUNTA($I:$I) - 1)</f>
        <v>0.79759999999999998</v>
      </c>
      <c r="S700" s="23">
        <f>SUMIFS($P:$P, $Q:$Q, "&lt;" &amp; $Q700)</f>
        <v>186391860</v>
      </c>
    </row>
    <row r="701" spans="1:19" x14ac:dyDescent="0.25">
      <c r="A701" s="1">
        <v>696</v>
      </c>
      <c r="B701" s="1" t="s">
        <v>2</v>
      </c>
      <c r="C701" s="1" t="str">
        <f>IF($B701 = "Production Item", _xlfn.XLOOKUP($A701, 'Instrument Table'!$J:$J, 'Instrument Table'!$B:$B, $C700), IF($B701 = "Service Item", _xlfn.XLOOKUP($A701, 'Instrument Table'!$I:$I, 'Instrument Table'!$B:$B, $C700), _xlfn.XLOOKUP($A701, 'Instrument Table'!$H:$H, 'Instrument Table'!$B:$B, $C700)))</f>
        <v>Upright Piano</v>
      </c>
      <c r="D701" s="1" t="str">
        <f>VLOOKUP($C701, 'Instrument Table'!$B:$C, 2, FALSE)</f>
        <v>Pianos</v>
      </c>
      <c r="E701" s="1">
        <f t="shared" si="60"/>
        <v>1</v>
      </c>
      <c r="F701" s="1">
        <f>_xlfn.XLOOKUP($C701, 'Instrument Table'!$B:$B, 'Instrument Table'!$A:$A, "")</f>
        <v>11</v>
      </c>
      <c r="G701" s="1" t="str">
        <f>TEXT(IF($B701 = "Retail Item", IF((ROW($A701) - 4504 - _xlfn.XMATCH($C701, $C$4506:$C$5005, 0, 1)) &lt;= VLOOKUP($C701, 'Instrument Table'!$B:$D, 3, FALSE), ROW($A701) - 4504 - _xlfn.XMATCH($C701, $C$4506:$C$5005, 0, 1), 0), 0), "00")</f>
        <v>00</v>
      </c>
      <c r="H701" s="1" t="str">
        <f t="shared" si="61"/>
        <v>145</v>
      </c>
      <c r="I701" s="1" t="str">
        <f t="shared" si="62"/>
        <v>11100-145</v>
      </c>
      <c r="J701" s="1" t="str">
        <f t="shared" si="63"/>
        <v>Upright piano production item #145</v>
      </c>
      <c r="K701" s="1" t="str">
        <f>IF(SUM(COUNTIFS(I:I, I701)) &gt; 1, "DUPLICATE", "UNIQUE")</f>
        <v>UNIQUE</v>
      </c>
      <c r="L701" s="18">
        <v>1</v>
      </c>
      <c r="M701" s="28">
        <v>61</v>
      </c>
      <c r="N701" s="6">
        <v>16</v>
      </c>
      <c r="O701" s="30">
        <f t="shared" si="64"/>
        <v>61</v>
      </c>
      <c r="P701" s="30">
        <f t="shared" si="65"/>
        <v>976</v>
      </c>
      <c r="Q701" s="1">
        <f>COUNTIFS($P:$P, "&gt;" &amp; $P701) + 1</f>
        <v>3694</v>
      </c>
      <c r="R701" s="63">
        <f>(COUNTIFS($P:$P, "&gt;" &amp; $P701) + 1) / (COUNTA($I:$I) - 1)</f>
        <v>0.73880000000000001</v>
      </c>
      <c r="S701" s="23">
        <f>SUMIFS($P:$P, $Q:$Q, "&lt;" &amp; $Q701)</f>
        <v>186173002</v>
      </c>
    </row>
    <row r="702" spans="1:19" x14ac:dyDescent="0.25">
      <c r="A702" s="1">
        <v>697</v>
      </c>
      <c r="B702" s="1" t="s">
        <v>2</v>
      </c>
      <c r="C702" s="1" t="str">
        <f>IF($B702 = "Production Item", _xlfn.XLOOKUP($A702, 'Instrument Table'!$J:$J, 'Instrument Table'!$B:$B, $C701), IF($B702 = "Service Item", _xlfn.XLOOKUP($A702, 'Instrument Table'!$I:$I, 'Instrument Table'!$B:$B, $C701), _xlfn.XLOOKUP($A702, 'Instrument Table'!$H:$H, 'Instrument Table'!$B:$B, $C701)))</f>
        <v>Upright Piano</v>
      </c>
      <c r="D702" s="1" t="str">
        <f>VLOOKUP($C702, 'Instrument Table'!$B:$C, 2, FALSE)</f>
        <v>Pianos</v>
      </c>
      <c r="E702" s="1">
        <f t="shared" si="60"/>
        <v>1</v>
      </c>
      <c r="F702" s="1">
        <f>_xlfn.XLOOKUP($C702, 'Instrument Table'!$B:$B, 'Instrument Table'!$A:$A, "")</f>
        <v>11</v>
      </c>
      <c r="G702" s="1" t="str">
        <f>TEXT(IF($B702 = "Retail Item", IF((ROW($A702) - 4504 - _xlfn.XMATCH($C702, $C$4506:$C$5005, 0, 1)) &lt;= VLOOKUP($C702, 'Instrument Table'!$B:$D, 3, FALSE), ROW($A702) - 4504 - _xlfn.XMATCH($C702, $C$4506:$C$5005, 0, 1), 0), 0), "00")</f>
        <v>00</v>
      </c>
      <c r="H702" s="1" t="str">
        <f t="shared" si="61"/>
        <v>146</v>
      </c>
      <c r="I702" s="1" t="str">
        <f t="shared" si="62"/>
        <v>11100-146</v>
      </c>
      <c r="J702" s="1" t="str">
        <f t="shared" si="63"/>
        <v>Upright piano production item #146</v>
      </c>
      <c r="K702" s="1" t="str">
        <f>IF(SUM(COUNTIFS(I:I, I702)) &gt; 1, "DUPLICATE", "UNIQUE")</f>
        <v>UNIQUE</v>
      </c>
      <c r="L702" s="18">
        <v>0</v>
      </c>
      <c r="M702" s="28">
        <v>68</v>
      </c>
      <c r="N702" s="6">
        <v>361</v>
      </c>
      <c r="O702" s="30">
        <f t="shared" si="64"/>
        <v>0</v>
      </c>
      <c r="P702" s="30">
        <f t="shared" si="65"/>
        <v>24548</v>
      </c>
      <c r="Q702" s="1">
        <f>COUNTIFS($P:$P, "&gt;" &amp; $P702) + 1</f>
        <v>852</v>
      </c>
      <c r="R702" s="63">
        <f>(COUNTIFS($P:$P, "&gt;" &amp; $P702) + 1) / (COUNTA($I:$I) - 1)</f>
        <v>0.1704</v>
      </c>
      <c r="S702" s="23">
        <f>SUMIFS($P:$P, $Q:$Q, "&lt;" &amp; $Q702)</f>
        <v>163132717</v>
      </c>
    </row>
    <row r="703" spans="1:19" x14ac:dyDescent="0.25">
      <c r="A703" s="1">
        <v>698</v>
      </c>
      <c r="B703" s="1" t="s">
        <v>2</v>
      </c>
      <c r="C703" s="1" t="str">
        <f>IF($B703 = "Production Item", _xlfn.XLOOKUP($A703, 'Instrument Table'!$J:$J, 'Instrument Table'!$B:$B, $C702), IF($B703 = "Service Item", _xlfn.XLOOKUP($A703, 'Instrument Table'!$I:$I, 'Instrument Table'!$B:$B, $C702), _xlfn.XLOOKUP($A703, 'Instrument Table'!$H:$H, 'Instrument Table'!$B:$B, $C702)))</f>
        <v>Upright Piano</v>
      </c>
      <c r="D703" s="1" t="str">
        <f>VLOOKUP($C703, 'Instrument Table'!$B:$C, 2, FALSE)</f>
        <v>Pianos</v>
      </c>
      <c r="E703" s="1">
        <f t="shared" si="60"/>
        <v>1</v>
      </c>
      <c r="F703" s="1">
        <f>_xlfn.XLOOKUP($C703, 'Instrument Table'!$B:$B, 'Instrument Table'!$A:$A, "")</f>
        <v>11</v>
      </c>
      <c r="G703" s="1" t="str">
        <f>TEXT(IF($B703 = "Retail Item", IF((ROW($A703) - 4504 - _xlfn.XMATCH($C703, $C$4506:$C$5005, 0, 1)) &lt;= VLOOKUP($C703, 'Instrument Table'!$B:$D, 3, FALSE), ROW($A703) - 4504 - _xlfn.XMATCH($C703, $C$4506:$C$5005, 0, 1), 0), 0), "00")</f>
        <v>00</v>
      </c>
      <c r="H703" s="1" t="str">
        <f t="shared" si="61"/>
        <v>147</v>
      </c>
      <c r="I703" s="1" t="str">
        <f t="shared" si="62"/>
        <v>11100-147</v>
      </c>
      <c r="J703" s="1" t="str">
        <f t="shared" si="63"/>
        <v>Upright piano production item #147</v>
      </c>
      <c r="K703" s="1" t="str">
        <f>IF(SUM(COUNTIFS(I:I, I703)) &gt; 1, "DUPLICATE", "UNIQUE")</f>
        <v>UNIQUE</v>
      </c>
      <c r="L703" s="18">
        <v>1</v>
      </c>
      <c r="M703" s="28">
        <v>3</v>
      </c>
      <c r="N703" s="6">
        <v>361</v>
      </c>
      <c r="O703" s="30">
        <f t="shared" si="64"/>
        <v>3</v>
      </c>
      <c r="P703" s="30">
        <f t="shared" si="65"/>
        <v>1083</v>
      </c>
      <c r="Q703" s="1">
        <f>COUNTIFS($P:$P, "&gt;" &amp; $P703) + 1</f>
        <v>3653</v>
      </c>
      <c r="R703" s="63">
        <f>(COUNTIFS($P:$P, "&gt;" &amp; $P703) + 1) / (COUNTA($I:$I) - 1)</f>
        <v>0.73060000000000003</v>
      </c>
      <c r="S703" s="23">
        <f>SUMIFS($P:$P, $Q:$Q, "&lt;" &amp; $Q703)</f>
        <v>186131075</v>
      </c>
    </row>
    <row r="704" spans="1:19" x14ac:dyDescent="0.25">
      <c r="A704" s="1">
        <v>699</v>
      </c>
      <c r="B704" s="1" t="s">
        <v>2</v>
      </c>
      <c r="C704" s="1" t="str">
        <f>IF($B704 = "Production Item", _xlfn.XLOOKUP($A704, 'Instrument Table'!$J:$J, 'Instrument Table'!$B:$B, $C703), IF($B704 = "Service Item", _xlfn.XLOOKUP($A704, 'Instrument Table'!$I:$I, 'Instrument Table'!$B:$B, $C703), _xlfn.XLOOKUP($A704, 'Instrument Table'!$H:$H, 'Instrument Table'!$B:$B, $C703)))</f>
        <v>Upright Piano</v>
      </c>
      <c r="D704" s="1" t="str">
        <f>VLOOKUP($C704, 'Instrument Table'!$B:$C, 2, FALSE)</f>
        <v>Pianos</v>
      </c>
      <c r="E704" s="1">
        <f t="shared" si="60"/>
        <v>1</v>
      </c>
      <c r="F704" s="1">
        <f>_xlfn.XLOOKUP($C704, 'Instrument Table'!$B:$B, 'Instrument Table'!$A:$A, "")</f>
        <v>11</v>
      </c>
      <c r="G704" s="1" t="str">
        <f>TEXT(IF($B704 = "Retail Item", IF((ROW($A704) - 4504 - _xlfn.XMATCH($C704, $C$4506:$C$5005, 0, 1)) &lt;= VLOOKUP($C704, 'Instrument Table'!$B:$D, 3, FALSE), ROW($A704) - 4504 - _xlfn.XMATCH($C704, $C$4506:$C$5005, 0, 1), 0), 0), "00")</f>
        <v>00</v>
      </c>
      <c r="H704" s="1" t="str">
        <f t="shared" si="61"/>
        <v>148</v>
      </c>
      <c r="I704" s="1" t="str">
        <f t="shared" si="62"/>
        <v>11100-148</v>
      </c>
      <c r="J704" s="1" t="str">
        <f t="shared" si="63"/>
        <v>Upright piano production item #148</v>
      </c>
      <c r="K704" s="1" t="str">
        <f>IF(SUM(COUNTIFS(I:I, I704)) &gt; 1, "DUPLICATE", "UNIQUE")</f>
        <v>UNIQUE</v>
      </c>
      <c r="L704" s="18">
        <v>1</v>
      </c>
      <c r="M704" s="28">
        <v>54</v>
      </c>
      <c r="N704" s="6">
        <v>36</v>
      </c>
      <c r="O704" s="30">
        <f t="shared" si="64"/>
        <v>54</v>
      </c>
      <c r="P704" s="30">
        <f t="shared" si="65"/>
        <v>1944</v>
      </c>
      <c r="Q704" s="1">
        <f>COUNTIFS($P:$P, "&gt;" &amp; $P704) + 1</f>
        <v>3276</v>
      </c>
      <c r="R704" s="63">
        <f>(COUNTIFS($P:$P, "&gt;" &amp; $P704) + 1) / (COUNTA($I:$I) - 1)</f>
        <v>0.6552</v>
      </c>
      <c r="S704" s="23">
        <f>SUMIFS($P:$P, $Q:$Q, "&lt;" &amp; $Q704)</f>
        <v>185562800</v>
      </c>
    </row>
    <row r="705" spans="1:19" x14ac:dyDescent="0.25">
      <c r="A705" s="1">
        <v>700</v>
      </c>
      <c r="B705" s="1" t="s">
        <v>2</v>
      </c>
      <c r="C705" s="1" t="str">
        <f>IF($B705 = "Production Item", _xlfn.XLOOKUP($A705, 'Instrument Table'!$J:$J, 'Instrument Table'!$B:$B, $C704), IF($B705 = "Service Item", _xlfn.XLOOKUP($A705, 'Instrument Table'!$I:$I, 'Instrument Table'!$B:$B, $C704), _xlfn.XLOOKUP($A705, 'Instrument Table'!$H:$H, 'Instrument Table'!$B:$B, $C704)))</f>
        <v>Upright Piano</v>
      </c>
      <c r="D705" s="1" t="str">
        <f>VLOOKUP($C705, 'Instrument Table'!$B:$C, 2, FALSE)</f>
        <v>Pianos</v>
      </c>
      <c r="E705" s="1">
        <f t="shared" si="60"/>
        <v>1</v>
      </c>
      <c r="F705" s="1">
        <f>_xlfn.XLOOKUP($C705, 'Instrument Table'!$B:$B, 'Instrument Table'!$A:$A, "")</f>
        <v>11</v>
      </c>
      <c r="G705" s="1" t="str">
        <f>TEXT(IF($B705 = "Retail Item", IF((ROW($A705) - 4504 - _xlfn.XMATCH($C705, $C$4506:$C$5005, 0, 1)) &lt;= VLOOKUP($C705, 'Instrument Table'!$B:$D, 3, FALSE), ROW($A705) - 4504 - _xlfn.XMATCH($C705, $C$4506:$C$5005, 0, 1), 0), 0), "00")</f>
        <v>00</v>
      </c>
      <c r="H705" s="1" t="str">
        <f t="shared" si="61"/>
        <v>149</v>
      </c>
      <c r="I705" s="1" t="str">
        <f t="shared" si="62"/>
        <v>11100-149</v>
      </c>
      <c r="J705" s="1" t="str">
        <f t="shared" si="63"/>
        <v>Upright piano production item #149</v>
      </c>
      <c r="K705" s="1" t="str">
        <f>IF(SUM(COUNTIFS(I:I, I705)) &gt; 1, "DUPLICATE", "UNIQUE")</f>
        <v>UNIQUE</v>
      </c>
      <c r="L705" s="18">
        <v>8</v>
      </c>
      <c r="M705" s="28">
        <v>89</v>
      </c>
      <c r="N705" s="6">
        <v>100</v>
      </c>
      <c r="O705" s="30">
        <f t="shared" si="64"/>
        <v>712</v>
      </c>
      <c r="P705" s="30">
        <f t="shared" si="65"/>
        <v>8900</v>
      </c>
      <c r="Q705" s="1">
        <f>COUNTIFS($P:$P, "&gt;" &amp; $P705) + 1</f>
        <v>1886</v>
      </c>
      <c r="R705" s="63">
        <f>(COUNTIFS($P:$P, "&gt;" &amp; $P705) + 1) / (COUNTA($I:$I) - 1)</f>
        <v>0.37719999999999998</v>
      </c>
      <c r="S705" s="23">
        <f>SUMIFS($P:$P, $Q:$Q, "&lt;" &amp; $Q705)</f>
        <v>179039555</v>
      </c>
    </row>
    <row r="706" spans="1:19" x14ac:dyDescent="0.25">
      <c r="A706" s="1">
        <v>701</v>
      </c>
      <c r="B706" s="1" t="s">
        <v>2</v>
      </c>
      <c r="C706" s="1" t="str">
        <f>IF($B706 = "Production Item", _xlfn.XLOOKUP($A706, 'Instrument Table'!$J:$J, 'Instrument Table'!$B:$B, $C705), IF($B706 = "Service Item", _xlfn.XLOOKUP($A706, 'Instrument Table'!$I:$I, 'Instrument Table'!$B:$B, $C705), _xlfn.XLOOKUP($A706, 'Instrument Table'!$H:$H, 'Instrument Table'!$B:$B, $C705)))</f>
        <v>Upright Piano</v>
      </c>
      <c r="D706" s="1" t="str">
        <f>VLOOKUP($C706, 'Instrument Table'!$B:$C, 2, FALSE)</f>
        <v>Pianos</v>
      </c>
      <c r="E706" s="1">
        <f t="shared" si="60"/>
        <v>1</v>
      </c>
      <c r="F706" s="1">
        <f>_xlfn.XLOOKUP($C706, 'Instrument Table'!$B:$B, 'Instrument Table'!$A:$A, "")</f>
        <v>11</v>
      </c>
      <c r="G706" s="1" t="str">
        <f>TEXT(IF($B706 = "Retail Item", IF((ROW($A706) - 4504 - _xlfn.XMATCH($C706, $C$4506:$C$5005, 0, 1)) &lt;= VLOOKUP($C706, 'Instrument Table'!$B:$D, 3, FALSE), ROW($A706) - 4504 - _xlfn.XMATCH($C706, $C$4506:$C$5005, 0, 1), 0), 0), "00")</f>
        <v>00</v>
      </c>
      <c r="H706" s="1" t="str">
        <f t="shared" si="61"/>
        <v>150</v>
      </c>
      <c r="I706" s="1" t="str">
        <f t="shared" si="62"/>
        <v>11100-150</v>
      </c>
      <c r="J706" s="1" t="str">
        <f t="shared" si="63"/>
        <v>Upright piano production item #150</v>
      </c>
      <c r="K706" s="1" t="str">
        <f>IF(SUM(COUNTIFS(I:I, I706)) &gt; 1, "DUPLICATE", "UNIQUE")</f>
        <v>UNIQUE</v>
      </c>
      <c r="L706" s="18">
        <v>8</v>
      </c>
      <c r="M706" s="28">
        <v>32</v>
      </c>
      <c r="N706" s="6">
        <v>36</v>
      </c>
      <c r="O706" s="30">
        <f t="shared" si="64"/>
        <v>256</v>
      </c>
      <c r="P706" s="30">
        <f t="shared" si="65"/>
        <v>1152</v>
      </c>
      <c r="Q706" s="1">
        <f>COUNTIFS($P:$P, "&gt;" &amp; $P706) + 1</f>
        <v>3621</v>
      </c>
      <c r="R706" s="63">
        <f>(COUNTIFS($P:$P, "&gt;" &amp; $P706) + 1) / (COUNTA($I:$I) - 1)</f>
        <v>0.72419999999999995</v>
      </c>
      <c r="S706" s="23">
        <f>SUMIFS($P:$P, $Q:$Q, "&lt;" &amp; $Q706)</f>
        <v>186094880</v>
      </c>
    </row>
    <row r="707" spans="1:19" x14ac:dyDescent="0.25">
      <c r="A707" s="1">
        <v>702</v>
      </c>
      <c r="B707" s="1" t="s">
        <v>2</v>
      </c>
      <c r="C707" s="1" t="str">
        <f>IF($B707 = "Production Item", _xlfn.XLOOKUP($A707, 'Instrument Table'!$J:$J, 'Instrument Table'!$B:$B, $C706), IF($B707 = "Service Item", _xlfn.XLOOKUP($A707, 'Instrument Table'!$I:$I, 'Instrument Table'!$B:$B, $C706), _xlfn.XLOOKUP($A707, 'Instrument Table'!$H:$H, 'Instrument Table'!$B:$B, $C706)))</f>
        <v>Upright Piano</v>
      </c>
      <c r="D707" s="1" t="str">
        <f>VLOOKUP($C707, 'Instrument Table'!$B:$C, 2, FALSE)</f>
        <v>Pianos</v>
      </c>
      <c r="E707" s="1">
        <f t="shared" si="60"/>
        <v>1</v>
      </c>
      <c r="F707" s="1">
        <f>_xlfn.XLOOKUP($C707, 'Instrument Table'!$B:$B, 'Instrument Table'!$A:$A, "")</f>
        <v>11</v>
      </c>
      <c r="G707" s="1" t="str">
        <f>TEXT(IF($B707 = "Retail Item", IF((ROW($A707) - 4504 - _xlfn.XMATCH($C707, $C$4506:$C$5005, 0, 1)) &lt;= VLOOKUP($C707, 'Instrument Table'!$B:$D, 3, FALSE), ROW($A707) - 4504 - _xlfn.XMATCH($C707, $C$4506:$C$5005, 0, 1), 0), 0), "00")</f>
        <v>00</v>
      </c>
      <c r="H707" s="1" t="str">
        <f t="shared" si="61"/>
        <v>151</v>
      </c>
      <c r="I707" s="1" t="str">
        <f t="shared" si="62"/>
        <v>11100-151</v>
      </c>
      <c r="J707" s="1" t="str">
        <f t="shared" si="63"/>
        <v>Upright piano production item #151</v>
      </c>
      <c r="K707" s="1" t="str">
        <f>IF(SUM(COUNTIFS(I:I, I707)) &gt; 1, "DUPLICATE", "UNIQUE")</f>
        <v>UNIQUE</v>
      </c>
      <c r="L707" s="18">
        <v>4</v>
      </c>
      <c r="M707" s="28">
        <v>46</v>
      </c>
      <c r="N707" s="6">
        <v>49</v>
      </c>
      <c r="O707" s="30">
        <f t="shared" si="64"/>
        <v>184</v>
      </c>
      <c r="P707" s="30">
        <f t="shared" si="65"/>
        <v>2254</v>
      </c>
      <c r="Q707" s="1">
        <f>COUNTIFS($P:$P, "&gt;" &amp; $P707) + 1</f>
        <v>3155</v>
      </c>
      <c r="R707" s="63">
        <f>(COUNTIFS($P:$P, "&gt;" &amp; $P707) + 1) / (COUNTA($I:$I) - 1)</f>
        <v>0.63100000000000001</v>
      </c>
      <c r="S707" s="23">
        <f>SUMIFS($P:$P, $Q:$Q, "&lt;" &amp; $Q707)</f>
        <v>185309453</v>
      </c>
    </row>
    <row r="708" spans="1:19" x14ac:dyDescent="0.25">
      <c r="A708" s="1">
        <v>703</v>
      </c>
      <c r="B708" s="1" t="s">
        <v>2</v>
      </c>
      <c r="C708" s="1" t="str">
        <f>IF($B708 = "Production Item", _xlfn.XLOOKUP($A708, 'Instrument Table'!$J:$J, 'Instrument Table'!$B:$B, $C707), IF($B708 = "Service Item", _xlfn.XLOOKUP($A708, 'Instrument Table'!$I:$I, 'Instrument Table'!$B:$B, $C707), _xlfn.XLOOKUP($A708, 'Instrument Table'!$H:$H, 'Instrument Table'!$B:$B, $C707)))</f>
        <v>Upright Piano</v>
      </c>
      <c r="D708" s="1" t="str">
        <f>VLOOKUP($C708, 'Instrument Table'!$B:$C, 2, FALSE)</f>
        <v>Pianos</v>
      </c>
      <c r="E708" s="1">
        <f t="shared" si="60"/>
        <v>1</v>
      </c>
      <c r="F708" s="1">
        <f>_xlfn.XLOOKUP($C708, 'Instrument Table'!$B:$B, 'Instrument Table'!$A:$A, "")</f>
        <v>11</v>
      </c>
      <c r="G708" s="1" t="str">
        <f>TEXT(IF($B708 = "Retail Item", IF((ROW($A708) - 4504 - _xlfn.XMATCH($C708, $C$4506:$C$5005, 0, 1)) &lt;= VLOOKUP($C708, 'Instrument Table'!$B:$D, 3, FALSE), ROW($A708) - 4504 - _xlfn.XMATCH($C708, $C$4506:$C$5005, 0, 1), 0), 0), "00")</f>
        <v>00</v>
      </c>
      <c r="H708" s="1" t="str">
        <f t="shared" si="61"/>
        <v>152</v>
      </c>
      <c r="I708" s="1" t="str">
        <f t="shared" si="62"/>
        <v>11100-152</v>
      </c>
      <c r="J708" s="1" t="str">
        <f t="shared" si="63"/>
        <v>Upright piano production item #152</v>
      </c>
      <c r="K708" s="1" t="str">
        <f>IF(SUM(COUNTIFS(I:I, I708)) &gt; 1, "DUPLICATE", "UNIQUE")</f>
        <v>UNIQUE</v>
      </c>
      <c r="L708" s="18">
        <v>0</v>
      </c>
      <c r="M708" s="28">
        <v>74</v>
      </c>
      <c r="N708" s="6">
        <v>0</v>
      </c>
      <c r="O708" s="30">
        <f t="shared" si="64"/>
        <v>0</v>
      </c>
      <c r="P708" s="30">
        <f t="shared" si="65"/>
        <v>0</v>
      </c>
      <c r="Q708" s="1">
        <f>COUNTIFS($P:$P, "&gt;" &amp; $P708) + 1</f>
        <v>4746</v>
      </c>
      <c r="R708" s="63">
        <f>(COUNTIFS($P:$P, "&gt;" &amp; $P708) + 1) / (COUNTA($I:$I) - 1)</f>
        <v>0.94920000000000004</v>
      </c>
      <c r="S708" s="23">
        <f>SUMIFS($P:$P, $Q:$Q, "&lt;" &amp; $Q708)</f>
        <v>186547861</v>
      </c>
    </row>
    <row r="709" spans="1:19" x14ac:dyDescent="0.25">
      <c r="A709" s="1">
        <v>704</v>
      </c>
      <c r="B709" s="1" t="s">
        <v>2</v>
      </c>
      <c r="C709" s="1" t="str">
        <f>IF($B709 = "Production Item", _xlfn.XLOOKUP($A709, 'Instrument Table'!$J:$J, 'Instrument Table'!$B:$B, $C708), IF($B709 = "Service Item", _xlfn.XLOOKUP($A709, 'Instrument Table'!$I:$I, 'Instrument Table'!$B:$B, $C708), _xlfn.XLOOKUP($A709, 'Instrument Table'!$H:$H, 'Instrument Table'!$B:$B, $C708)))</f>
        <v>Upright Piano</v>
      </c>
      <c r="D709" s="1" t="str">
        <f>VLOOKUP($C709, 'Instrument Table'!$B:$C, 2, FALSE)</f>
        <v>Pianos</v>
      </c>
      <c r="E709" s="1">
        <f t="shared" si="60"/>
        <v>1</v>
      </c>
      <c r="F709" s="1">
        <f>_xlfn.XLOOKUP($C709, 'Instrument Table'!$B:$B, 'Instrument Table'!$A:$A, "")</f>
        <v>11</v>
      </c>
      <c r="G709" s="1" t="str">
        <f>TEXT(IF($B709 = "Retail Item", IF((ROW($A709) - 4504 - _xlfn.XMATCH($C709, $C$4506:$C$5005, 0, 1)) &lt;= VLOOKUP($C709, 'Instrument Table'!$B:$D, 3, FALSE), ROW($A709) - 4504 - _xlfn.XMATCH($C709, $C$4506:$C$5005, 0, 1), 0), 0), "00")</f>
        <v>00</v>
      </c>
      <c r="H709" s="1" t="str">
        <f t="shared" si="61"/>
        <v>153</v>
      </c>
      <c r="I709" s="1" t="str">
        <f t="shared" si="62"/>
        <v>11100-153</v>
      </c>
      <c r="J709" s="1" t="str">
        <f t="shared" si="63"/>
        <v>Upright piano production item #153</v>
      </c>
      <c r="K709" s="1" t="str">
        <f>IF(SUM(COUNTIFS(I:I, I709)) &gt; 1, "DUPLICATE", "UNIQUE")</f>
        <v>UNIQUE</v>
      </c>
      <c r="L709" s="18">
        <v>0</v>
      </c>
      <c r="M709" s="28">
        <v>37</v>
      </c>
      <c r="N709" s="6">
        <v>81</v>
      </c>
      <c r="O709" s="30">
        <f t="shared" si="64"/>
        <v>0</v>
      </c>
      <c r="P709" s="30">
        <f t="shared" si="65"/>
        <v>2997</v>
      </c>
      <c r="Q709" s="1">
        <f>COUNTIFS($P:$P, "&gt;" &amp; $P709) + 1</f>
        <v>2909</v>
      </c>
      <c r="R709" s="63">
        <f>(COUNTIFS($P:$P, "&gt;" &amp; $P709) + 1) / (COUNTA($I:$I) - 1)</f>
        <v>0.58179999999999998</v>
      </c>
      <c r="S709" s="23">
        <f>SUMIFS($P:$P, $Q:$Q, "&lt;" &amp; $Q709)</f>
        <v>184675418</v>
      </c>
    </row>
    <row r="710" spans="1:19" x14ac:dyDescent="0.25">
      <c r="A710" s="1">
        <v>705</v>
      </c>
      <c r="B710" s="1" t="s">
        <v>2</v>
      </c>
      <c r="C710" s="1" t="str">
        <f>IF($B710 = "Production Item", _xlfn.XLOOKUP($A710, 'Instrument Table'!$J:$J, 'Instrument Table'!$B:$B, $C709), IF($B710 = "Service Item", _xlfn.XLOOKUP($A710, 'Instrument Table'!$I:$I, 'Instrument Table'!$B:$B, $C709), _xlfn.XLOOKUP($A710, 'Instrument Table'!$H:$H, 'Instrument Table'!$B:$B, $C709)))</f>
        <v>Upright Piano</v>
      </c>
      <c r="D710" s="1" t="str">
        <f>VLOOKUP($C710, 'Instrument Table'!$B:$C, 2, FALSE)</f>
        <v>Pianos</v>
      </c>
      <c r="E710" s="1">
        <f t="shared" si="60"/>
        <v>1</v>
      </c>
      <c r="F710" s="1">
        <f>_xlfn.XLOOKUP($C710, 'Instrument Table'!$B:$B, 'Instrument Table'!$A:$A, "")</f>
        <v>11</v>
      </c>
      <c r="G710" s="1" t="str">
        <f>TEXT(IF($B710 = "Retail Item", IF((ROW($A710) - 4504 - _xlfn.XMATCH($C710, $C$4506:$C$5005, 0, 1)) &lt;= VLOOKUP($C710, 'Instrument Table'!$B:$D, 3, FALSE), ROW($A710) - 4504 - _xlfn.XMATCH($C710, $C$4506:$C$5005, 0, 1), 0), 0), "00")</f>
        <v>00</v>
      </c>
      <c r="H710" s="1" t="str">
        <f t="shared" si="61"/>
        <v>154</v>
      </c>
      <c r="I710" s="1" t="str">
        <f t="shared" si="62"/>
        <v>11100-154</v>
      </c>
      <c r="J710" s="1" t="str">
        <f t="shared" si="63"/>
        <v>Upright piano production item #154</v>
      </c>
      <c r="K710" s="1" t="str">
        <f>IF(SUM(COUNTIFS(I:I, I710)) &gt; 1, "DUPLICATE", "UNIQUE")</f>
        <v>UNIQUE</v>
      </c>
      <c r="L710" s="18">
        <v>0</v>
      </c>
      <c r="M710" s="28">
        <v>38</v>
      </c>
      <c r="N710" s="6">
        <v>144</v>
      </c>
      <c r="O710" s="30">
        <f t="shared" si="64"/>
        <v>0</v>
      </c>
      <c r="P710" s="30">
        <f t="shared" si="65"/>
        <v>5472</v>
      </c>
      <c r="Q710" s="1">
        <f>COUNTIFS($P:$P, "&gt;" &amp; $P710) + 1</f>
        <v>2358</v>
      </c>
      <c r="R710" s="63">
        <f>(COUNTIFS($P:$P, "&gt;" &amp; $P710) + 1) / (COUNTA($I:$I) - 1)</f>
        <v>0.47160000000000002</v>
      </c>
      <c r="S710" s="23">
        <f>SUMIFS($P:$P, $Q:$Q, "&lt;" &amp; $Q710)</f>
        <v>182391519</v>
      </c>
    </row>
    <row r="711" spans="1:19" x14ac:dyDescent="0.25">
      <c r="A711" s="1">
        <v>706</v>
      </c>
      <c r="B711" s="1" t="s">
        <v>2</v>
      </c>
      <c r="C711" s="1" t="str">
        <f>IF($B711 = "Production Item", _xlfn.XLOOKUP($A711, 'Instrument Table'!$J:$J, 'Instrument Table'!$B:$B, $C710), IF($B711 = "Service Item", _xlfn.XLOOKUP($A711, 'Instrument Table'!$I:$I, 'Instrument Table'!$B:$B, $C710), _xlfn.XLOOKUP($A711, 'Instrument Table'!$H:$H, 'Instrument Table'!$B:$B, $C710)))</f>
        <v>Upright Piano</v>
      </c>
      <c r="D711" s="1" t="str">
        <f>VLOOKUP($C711, 'Instrument Table'!$B:$C, 2, FALSE)</f>
        <v>Pianos</v>
      </c>
      <c r="E711" s="1">
        <f t="shared" ref="E711:E774" si="66">IF($B711 = "Production Item", 1, IF($B711 = "Service Item", 2, IF($B711 = "Retail Item", 3, "")))</f>
        <v>1</v>
      </c>
      <c r="F711" s="1">
        <f>_xlfn.XLOOKUP($C711, 'Instrument Table'!$B:$B, 'Instrument Table'!$A:$A, "")</f>
        <v>11</v>
      </c>
      <c r="G711" s="1" t="str">
        <f>TEXT(IF($B711 = "Retail Item", IF((ROW($A711) - 4504 - _xlfn.XMATCH($C711, $C$4506:$C$5005, 0, 1)) &lt;= VLOOKUP($C711, 'Instrument Table'!$B:$D, 3, FALSE), ROW($A711) - 4504 - _xlfn.XMATCH($C711, $C$4506:$C$5005, 0, 1), 0), 0), "00")</f>
        <v>00</v>
      </c>
      <c r="H711" s="1" t="str">
        <f t="shared" ref="H711:H774" si="67">TEXT(IF($E711 &amp; $F711 &amp; $G711 = $E710 &amp; $F710 &amp; $G710, 1 + H710, 0), "000")</f>
        <v>155</v>
      </c>
      <c r="I711" s="1" t="str">
        <f t="shared" ref="I711:I774" si="68" xml:space="preserve"> _xlfn.CONCAT($E711, $F711, $G711, "-", H711)</f>
        <v>11100-155</v>
      </c>
      <c r="J711" s="1" t="str">
        <f t="shared" ref="J711:J774" si="69">LEFT($C711, 1) &amp; LOWER(RIGHT($C711, LEN($C711) - 1)) &amp; IF(AND($G711 &lt;&gt; "00", $B711 = "Retail Item"), " model #" &amp; $G711, " " &amp; LOWER($B711) &amp; " #" &amp; $H711)</f>
        <v>Upright piano production item #155</v>
      </c>
      <c r="K711" s="1" t="str">
        <f>IF(SUM(COUNTIFS(I:I, I711)) &gt; 1, "DUPLICATE", "UNIQUE")</f>
        <v>UNIQUE</v>
      </c>
      <c r="L711" s="18">
        <v>4</v>
      </c>
      <c r="M711" s="28">
        <v>66</v>
      </c>
      <c r="N711" s="6">
        <v>9</v>
      </c>
      <c r="O711" s="30">
        <f t="shared" ref="O711:O774" si="70">$L711 * $M711</f>
        <v>264</v>
      </c>
      <c r="P711" s="30">
        <f t="shared" ref="P711:P774" si="71">$N711 * $M711</f>
        <v>594</v>
      </c>
      <c r="Q711" s="1">
        <f>COUNTIFS($P:$P, "&gt;" &amp; $P711) + 1</f>
        <v>3943</v>
      </c>
      <c r="R711" s="63">
        <f>(COUNTIFS($P:$P, "&gt;" &amp; $P711) + 1) / (COUNTA($I:$I) - 1)</f>
        <v>0.78859999999999997</v>
      </c>
      <c r="S711" s="23">
        <f>SUMIFS($P:$P, $Q:$Q, "&lt;" &amp; $Q711)</f>
        <v>186366101</v>
      </c>
    </row>
    <row r="712" spans="1:19" x14ac:dyDescent="0.25">
      <c r="A712" s="1">
        <v>707</v>
      </c>
      <c r="B712" s="1" t="s">
        <v>2</v>
      </c>
      <c r="C712" s="1" t="str">
        <f>IF($B712 = "Production Item", _xlfn.XLOOKUP($A712, 'Instrument Table'!$J:$J, 'Instrument Table'!$B:$B, $C711), IF($B712 = "Service Item", _xlfn.XLOOKUP($A712, 'Instrument Table'!$I:$I, 'Instrument Table'!$B:$B, $C711), _xlfn.XLOOKUP($A712, 'Instrument Table'!$H:$H, 'Instrument Table'!$B:$B, $C711)))</f>
        <v>Upright Piano</v>
      </c>
      <c r="D712" s="1" t="str">
        <f>VLOOKUP($C712, 'Instrument Table'!$B:$C, 2, FALSE)</f>
        <v>Pianos</v>
      </c>
      <c r="E712" s="1">
        <f t="shared" si="66"/>
        <v>1</v>
      </c>
      <c r="F712" s="1">
        <f>_xlfn.XLOOKUP($C712, 'Instrument Table'!$B:$B, 'Instrument Table'!$A:$A, "")</f>
        <v>11</v>
      </c>
      <c r="G712" s="1" t="str">
        <f>TEXT(IF($B712 = "Retail Item", IF((ROW($A712) - 4504 - _xlfn.XMATCH($C712, $C$4506:$C$5005, 0, 1)) &lt;= VLOOKUP($C712, 'Instrument Table'!$B:$D, 3, FALSE), ROW($A712) - 4504 - _xlfn.XMATCH($C712, $C$4506:$C$5005, 0, 1), 0), 0), "00")</f>
        <v>00</v>
      </c>
      <c r="H712" s="1" t="str">
        <f t="shared" si="67"/>
        <v>156</v>
      </c>
      <c r="I712" s="1" t="str">
        <f t="shared" si="68"/>
        <v>11100-156</v>
      </c>
      <c r="J712" s="1" t="str">
        <f t="shared" si="69"/>
        <v>Upright piano production item #156</v>
      </c>
      <c r="K712" s="1" t="str">
        <f>IF(SUM(COUNTIFS(I:I, I712)) &gt; 1, "DUPLICATE", "UNIQUE")</f>
        <v>UNIQUE</v>
      </c>
      <c r="L712" s="18">
        <v>8</v>
      </c>
      <c r="M712" s="28">
        <v>47</v>
      </c>
      <c r="N712" s="6">
        <v>256</v>
      </c>
      <c r="O712" s="30">
        <f t="shared" si="70"/>
        <v>376</v>
      </c>
      <c r="P712" s="30">
        <f t="shared" si="71"/>
        <v>12032</v>
      </c>
      <c r="Q712" s="1">
        <f>COUNTIFS($P:$P, "&gt;" &amp; $P712) + 1</f>
        <v>1578</v>
      </c>
      <c r="R712" s="63">
        <f>(COUNTIFS($P:$P, "&gt;" &amp; $P712) + 1) / (COUNTA($I:$I) - 1)</f>
        <v>0.31559999999999999</v>
      </c>
      <c r="S712" s="23">
        <f>SUMIFS($P:$P, $Q:$Q, "&lt;" &amp; $Q712)</f>
        <v>175816313</v>
      </c>
    </row>
    <row r="713" spans="1:19" x14ac:dyDescent="0.25">
      <c r="A713" s="1">
        <v>708</v>
      </c>
      <c r="B713" s="1" t="s">
        <v>2</v>
      </c>
      <c r="C713" s="1" t="str">
        <f>IF($B713 = "Production Item", _xlfn.XLOOKUP($A713, 'Instrument Table'!$J:$J, 'Instrument Table'!$B:$B, $C712), IF($B713 = "Service Item", _xlfn.XLOOKUP($A713, 'Instrument Table'!$I:$I, 'Instrument Table'!$B:$B, $C712), _xlfn.XLOOKUP($A713, 'Instrument Table'!$H:$H, 'Instrument Table'!$B:$B, $C712)))</f>
        <v>Upright Piano</v>
      </c>
      <c r="D713" s="1" t="str">
        <f>VLOOKUP($C713, 'Instrument Table'!$B:$C, 2, FALSE)</f>
        <v>Pianos</v>
      </c>
      <c r="E713" s="1">
        <f t="shared" si="66"/>
        <v>1</v>
      </c>
      <c r="F713" s="1">
        <f>_xlfn.XLOOKUP($C713, 'Instrument Table'!$B:$B, 'Instrument Table'!$A:$A, "")</f>
        <v>11</v>
      </c>
      <c r="G713" s="1" t="str">
        <f>TEXT(IF($B713 = "Retail Item", IF((ROW($A713) - 4504 - _xlfn.XMATCH($C713, $C$4506:$C$5005, 0, 1)) &lt;= VLOOKUP($C713, 'Instrument Table'!$B:$D, 3, FALSE), ROW($A713) - 4504 - _xlfn.XMATCH($C713, $C$4506:$C$5005, 0, 1), 0), 0), "00")</f>
        <v>00</v>
      </c>
      <c r="H713" s="1" t="str">
        <f t="shared" si="67"/>
        <v>157</v>
      </c>
      <c r="I713" s="1" t="str">
        <f t="shared" si="68"/>
        <v>11100-157</v>
      </c>
      <c r="J713" s="1" t="str">
        <f t="shared" si="69"/>
        <v>Upright piano production item #157</v>
      </c>
      <c r="K713" s="1" t="str">
        <f>IF(SUM(COUNTIFS(I:I, I713)) &gt; 1, "DUPLICATE", "UNIQUE")</f>
        <v>UNIQUE</v>
      </c>
      <c r="L713" s="18">
        <v>0</v>
      </c>
      <c r="M713" s="28">
        <v>74</v>
      </c>
      <c r="N713" s="6">
        <v>100</v>
      </c>
      <c r="O713" s="30">
        <f t="shared" si="70"/>
        <v>0</v>
      </c>
      <c r="P713" s="30">
        <f t="shared" si="71"/>
        <v>7400</v>
      </c>
      <c r="Q713" s="1">
        <f>COUNTIFS($P:$P, "&gt;" &amp; $P713) + 1</f>
        <v>2082</v>
      </c>
      <c r="R713" s="63">
        <f>(COUNTIFS($P:$P, "&gt;" &amp; $P713) + 1) / (COUNTA($I:$I) - 1)</f>
        <v>0.41639999999999999</v>
      </c>
      <c r="S713" s="23">
        <f>SUMIFS($P:$P, $Q:$Q, "&lt;" &amp; $Q713)</f>
        <v>180626249</v>
      </c>
    </row>
    <row r="714" spans="1:19" x14ac:dyDescent="0.25">
      <c r="A714" s="1">
        <v>709</v>
      </c>
      <c r="B714" s="1" t="s">
        <v>2</v>
      </c>
      <c r="C714" s="1" t="str">
        <f>IF($B714 = "Production Item", _xlfn.XLOOKUP($A714, 'Instrument Table'!$J:$J, 'Instrument Table'!$B:$B, $C713), IF($B714 = "Service Item", _xlfn.XLOOKUP($A714, 'Instrument Table'!$I:$I, 'Instrument Table'!$B:$B, $C713), _xlfn.XLOOKUP($A714, 'Instrument Table'!$H:$H, 'Instrument Table'!$B:$B, $C713)))</f>
        <v>Upright Piano</v>
      </c>
      <c r="D714" s="1" t="str">
        <f>VLOOKUP($C714, 'Instrument Table'!$B:$C, 2, FALSE)</f>
        <v>Pianos</v>
      </c>
      <c r="E714" s="1">
        <f t="shared" si="66"/>
        <v>1</v>
      </c>
      <c r="F714" s="1">
        <f>_xlfn.XLOOKUP($C714, 'Instrument Table'!$B:$B, 'Instrument Table'!$A:$A, "")</f>
        <v>11</v>
      </c>
      <c r="G714" s="1" t="str">
        <f>TEXT(IF($B714 = "Retail Item", IF((ROW($A714) - 4504 - _xlfn.XMATCH($C714, $C$4506:$C$5005, 0, 1)) &lt;= VLOOKUP($C714, 'Instrument Table'!$B:$D, 3, FALSE), ROW($A714) - 4504 - _xlfn.XMATCH($C714, $C$4506:$C$5005, 0, 1), 0), 0), "00")</f>
        <v>00</v>
      </c>
      <c r="H714" s="1" t="str">
        <f t="shared" si="67"/>
        <v>158</v>
      </c>
      <c r="I714" s="1" t="str">
        <f t="shared" si="68"/>
        <v>11100-158</v>
      </c>
      <c r="J714" s="1" t="str">
        <f t="shared" si="69"/>
        <v>Upright piano production item #158</v>
      </c>
      <c r="K714" s="1" t="str">
        <f>IF(SUM(COUNTIFS(I:I, I714)) &gt; 1, "DUPLICATE", "UNIQUE")</f>
        <v>UNIQUE</v>
      </c>
      <c r="L714" s="18">
        <v>2</v>
      </c>
      <c r="M714" s="28">
        <v>82</v>
      </c>
      <c r="N714" s="6">
        <v>25</v>
      </c>
      <c r="O714" s="30">
        <f t="shared" si="70"/>
        <v>164</v>
      </c>
      <c r="P714" s="30">
        <f t="shared" si="71"/>
        <v>2050</v>
      </c>
      <c r="Q714" s="1">
        <f>COUNTIFS($P:$P, "&gt;" &amp; $P714) + 1</f>
        <v>3233</v>
      </c>
      <c r="R714" s="63">
        <f>(COUNTIFS($P:$P, "&gt;" &amp; $P714) + 1) / (COUNTA($I:$I) - 1)</f>
        <v>0.64659999999999995</v>
      </c>
      <c r="S714" s="23">
        <f>SUMIFS($P:$P, $Q:$Q, "&lt;" &amp; $Q714)</f>
        <v>185476505</v>
      </c>
    </row>
    <row r="715" spans="1:19" x14ac:dyDescent="0.25">
      <c r="A715" s="1">
        <v>710</v>
      </c>
      <c r="B715" s="1" t="s">
        <v>2</v>
      </c>
      <c r="C715" s="1" t="str">
        <f>IF($B715 = "Production Item", _xlfn.XLOOKUP($A715, 'Instrument Table'!$J:$J, 'Instrument Table'!$B:$B, $C714), IF($B715 = "Service Item", _xlfn.XLOOKUP($A715, 'Instrument Table'!$I:$I, 'Instrument Table'!$B:$B, $C714), _xlfn.XLOOKUP($A715, 'Instrument Table'!$H:$H, 'Instrument Table'!$B:$B, $C714)))</f>
        <v>Upright Piano</v>
      </c>
      <c r="D715" s="1" t="str">
        <f>VLOOKUP($C715, 'Instrument Table'!$B:$C, 2, FALSE)</f>
        <v>Pianos</v>
      </c>
      <c r="E715" s="1">
        <f t="shared" si="66"/>
        <v>1</v>
      </c>
      <c r="F715" s="1">
        <f>_xlfn.XLOOKUP($C715, 'Instrument Table'!$B:$B, 'Instrument Table'!$A:$A, "")</f>
        <v>11</v>
      </c>
      <c r="G715" s="1" t="str">
        <f>TEXT(IF($B715 = "Retail Item", IF((ROW($A715) - 4504 - _xlfn.XMATCH($C715, $C$4506:$C$5005, 0, 1)) &lt;= VLOOKUP($C715, 'Instrument Table'!$B:$D, 3, FALSE), ROW($A715) - 4504 - _xlfn.XMATCH($C715, $C$4506:$C$5005, 0, 1), 0), 0), "00")</f>
        <v>00</v>
      </c>
      <c r="H715" s="1" t="str">
        <f t="shared" si="67"/>
        <v>159</v>
      </c>
      <c r="I715" s="1" t="str">
        <f t="shared" si="68"/>
        <v>11100-159</v>
      </c>
      <c r="J715" s="1" t="str">
        <f t="shared" si="69"/>
        <v>Upright piano production item #159</v>
      </c>
      <c r="K715" s="1" t="str">
        <f>IF(SUM(COUNTIFS(I:I, I715)) &gt; 1, "DUPLICATE", "UNIQUE")</f>
        <v>UNIQUE</v>
      </c>
      <c r="L715" s="18">
        <v>0</v>
      </c>
      <c r="M715" s="28">
        <v>13</v>
      </c>
      <c r="N715" s="6">
        <v>4</v>
      </c>
      <c r="O715" s="30">
        <f t="shared" si="70"/>
        <v>0</v>
      </c>
      <c r="P715" s="30">
        <f t="shared" si="71"/>
        <v>52</v>
      </c>
      <c r="Q715" s="1">
        <f>COUNTIFS($P:$P, "&gt;" &amp; $P715) + 1</f>
        <v>4609</v>
      </c>
      <c r="R715" s="63">
        <f>(COUNTIFS($P:$P, "&gt;" &amp; $P715) + 1) / (COUNTA($I:$I) - 1)</f>
        <v>0.92179999999999995</v>
      </c>
      <c r="S715" s="23">
        <f>SUMIFS($P:$P, $Q:$Q, "&lt;" &amp; $Q715)</f>
        <v>186544177</v>
      </c>
    </row>
    <row r="716" spans="1:19" x14ac:dyDescent="0.25">
      <c r="A716" s="1">
        <v>711</v>
      </c>
      <c r="B716" s="1" t="s">
        <v>2</v>
      </c>
      <c r="C716" s="1" t="str">
        <f>IF($B716 = "Production Item", _xlfn.XLOOKUP($A716, 'Instrument Table'!$J:$J, 'Instrument Table'!$B:$B, $C715), IF($B716 = "Service Item", _xlfn.XLOOKUP($A716, 'Instrument Table'!$I:$I, 'Instrument Table'!$B:$B, $C715), _xlfn.XLOOKUP($A716, 'Instrument Table'!$H:$H, 'Instrument Table'!$B:$B, $C715)))</f>
        <v>Upright Piano</v>
      </c>
      <c r="D716" s="1" t="str">
        <f>VLOOKUP($C716, 'Instrument Table'!$B:$C, 2, FALSE)</f>
        <v>Pianos</v>
      </c>
      <c r="E716" s="1">
        <f t="shared" si="66"/>
        <v>1</v>
      </c>
      <c r="F716" s="1">
        <f>_xlfn.XLOOKUP($C716, 'Instrument Table'!$B:$B, 'Instrument Table'!$A:$A, "")</f>
        <v>11</v>
      </c>
      <c r="G716" s="1" t="str">
        <f>TEXT(IF($B716 = "Retail Item", IF((ROW($A716) - 4504 - _xlfn.XMATCH($C716, $C$4506:$C$5005, 0, 1)) &lt;= VLOOKUP($C716, 'Instrument Table'!$B:$D, 3, FALSE), ROW($A716) - 4504 - _xlfn.XMATCH($C716, $C$4506:$C$5005, 0, 1), 0), 0), "00")</f>
        <v>00</v>
      </c>
      <c r="H716" s="1" t="str">
        <f t="shared" si="67"/>
        <v>160</v>
      </c>
      <c r="I716" s="1" t="str">
        <f t="shared" si="68"/>
        <v>11100-160</v>
      </c>
      <c r="J716" s="1" t="str">
        <f t="shared" si="69"/>
        <v>Upright piano production item #160</v>
      </c>
      <c r="K716" s="1" t="str">
        <f>IF(SUM(COUNTIFS(I:I, I716)) &gt; 1, "DUPLICATE", "UNIQUE")</f>
        <v>UNIQUE</v>
      </c>
      <c r="L716" s="18">
        <v>0</v>
      </c>
      <c r="M716" s="28">
        <v>95</v>
      </c>
      <c r="N716" s="6">
        <v>16</v>
      </c>
      <c r="O716" s="30">
        <f t="shared" si="70"/>
        <v>0</v>
      </c>
      <c r="P716" s="30">
        <f t="shared" si="71"/>
        <v>1520</v>
      </c>
      <c r="Q716" s="1">
        <f>COUNTIFS($P:$P, "&gt;" &amp; $P716) + 1</f>
        <v>3455</v>
      </c>
      <c r="R716" s="63">
        <f>(COUNTIFS($P:$P, "&gt;" &amp; $P716) + 1) / (COUNTA($I:$I) - 1)</f>
        <v>0.69099999999999995</v>
      </c>
      <c r="S716" s="23">
        <f>SUMIFS($P:$P, $Q:$Q, "&lt;" &amp; $Q716)</f>
        <v>185871431</v>
      </c>
    </row>
    <row r="717" spans="1:19" x14ac:dyDescent="0.25">
      <c r="A717" s="1">
        <v>712</v>
      </c>
      <c r="B717" s="1" t="s">
        <v>2</v>
      </c>
      <c r="C717" s="1" t="str">
        <f>IF($B717 = "Production Item", _xlfn.XLOOKUP($A717, 'Instrument Table'!$J:$J, 'Instrument Table'!$B:$B, $C716), IF($B717 = "Service Item", _xlfn.XLOOKUP($A717, 'Instrument Table'!$I:$I, 'Instrument Table'!$B:$B, $C716), _xlfn.XLOOKUP($A717, 'Instrument Table'!$H:$H, 'Instrument Table'!$B:$B, $C716)))</f>
        <v>Upright Piano</v>
      </c>
      <c r="D717" s="1" t="str">
        <f>VLOOKUP($C717, 'Instrument Table'!$B:$C, 2, FALSE)</f>
        <v>Pianos</v>
      </c>
      <c r="E717" s="1">
        <f t="shared" si="66"/>
        <v>1</v>
      </c>
      <c r="F717" s="1">
        <f>_xlfn.XLOOKUP($C717, 'Instrument Table'!$B:$B, 'Instrument Table'!$A:$A, "")</f>
        <v>11</v>
      </c>
      <c r="G717" s="1" t="str">
        <f>TEXT(IF($B717 = "Retail Item", IF((ROW($A717) - 4504 - _xlfn.XMATCH($C717, $C$4506:$C$5005, 0, 1)) &lt;= VLOOKUP($C717, 'Instrument Table'!$B:$D, 3, FALSE), ROW($A717) - 4504 - _xlfn.XMATCH($C717, $C$4506:$C$5005, 0, 1), 0), 0), "00")</f>
        <v>00</v>
      </c>
      <c r="H717" s="1" t="str">
        <f t="shared" si="67"/>
        <v>161</v>
      </c>
      <c r="I717" s="1" t="str">
        <f t="shared" si="68"/>
        <v>11100-161</v>
      </c>
      <c r="J717" s="1" t="str">
        <f t="shared" si="69"/>
        <v>Upright piano production item #161</v>
      </c>
      <c r="K717" s="1" t="str">
        <f>IF(SUM(COUNTIFS(I:I, I717)) &gt; 1, "DUPLICATE", "UNIQUE")</f>
        <v>UNIQUE</v>
      </c>
      <c r="L717" s="18">
        <v>0</v>
      </c>
      <c r="M717" s="28">
        <v>9</v>
      </c>
      <c r="N717" s="6">
        <v>25</v>
      </c>
      <c r="O717" s="30">
        <f t="shared" si="70"/>
        <v>0</v>
      </c>
      <c r="P717" s="30">
        <f t="shared" si="71"/>
        <v>225</v>
      </c>
      <c r="Q717" s="1">
        <f>COUNTIFS($P:$P, "&gt;" &amp; $P717) + 1</f>
        <v>4292</v>
      </c>
      <c r="R717" s="63">
        <f>(COUNTIFS($P:$P, "&gt;" &amp; $P717) + 1) / (COUNTA($I:$I) - 1)</f>
        <v>0.85840000000000005</v>
      </c>
      <c r="S717" s="23">
        <f>SUMIFS($P:$P, $Q:$Q, "&lt;" &amp; $Q717)</f>
        <v>186505641</v>
      </c>
    </row>
    <row r="718" spans="1:19" x14ac:dyDescent="0.25">
      <c r="A718" s="1">
        <v>713</v>
      </c>
      <c r="B718" s="1" t="s">
        <v>2</v>
      </c>
      <c r="C718" s="1" t="str">
        <f>IF($B718 = "Production Item", _xlfn.XLOOKUP($A718, 'Instrument Table'!$J:$J, 'Instrument Table'!$B:$B, $C717), IF($B718 = "Service Item", _xlfn.XLOOKUP($A718, 'Instrument Table'!$I:$I, 'Instrument Table'!$B:$B, $C717), _xlfn.XLOOKUP($A718, 'Instrument Table'!$H:$H, 'Instrument Table'!$B:$B, $C717)))</f>
        <v>Upright Piano</v>
      </c>
      <c r="D718" s="1" t="str">
        <f>VLOOKUP($C718, 'Instrument Table'!$B:$C, 2, FALSE)</f>
        <v>Pianos</v>
      </c>
      <c r="E718" s="1">
        <f t="shared" si="66"/>
        <v>1</v>
      </c>
      <c r="F718" s="1">
        <f>_xlfn.XLOOKUP($C718, 'Instrument Table'!$B:$B, 'Instrument Table'!$A:$A, "")</f>
        <v>11</v>
      </c>
      <c r="G718" s="1" t="str">
        <f>TEXT(IF($B718 = "Retail Item", IF((ROW($A718) - 4504 - _xlfn.XMATCH($C718, $C$4506:$C$5005, 0, 1)) &lt;= VLOOKUP($C718, 'Instrument Table'!$B:$D, 3, FALSE), ROW($A718) - 4504 - _xlfn.XMATCH($C718, $C$4506:$C$5005, 0, 1), 0), 0), "00")</f>
        <v>00</v>
      </c>
      <c r="H718" s="1" t="str">
        <f t="shared" si="67"/>
        <v>162</v>
      </c>
      <c r="I718" s="1" t="str">
        <f t="shared" si="68"/>
        <v>11100-162</v>
      </c>
      <c r="J718" s="1" t="str">
        <f t="shared" si="69"/>
        <v>Upright piano production item #162</v>
      </c>
      <c r="K718" s="1" t="str">
        <f>IF(SUM(COUNTIFS(I:I, I718)) &gt; 1, "DUPLICATE", "UNIQUE")</f>
        <v>UNIQUE</v>
      </c>
      <c r="L718" s="18">
        <v>4</v>
      </c>
      <c r="M718" s="28">
        <v>44</v>
      </c>
      <c r="N718" s="6">
        <v>1</v>
      </c>
      <c r="O718" s="30">
        <f t="shared" si="70"/>
        <v>176</v>
      </c>
      <c r="P718" s="30">
        <f t="shared" si="71"/>
        <v>44</v>
      </c>
      <c r="Q718" s="1">
        <f>COUNTIFS($P:$P, "&gt;" &amp; $P718) + 1</f>
        <v>4632</v>
      </c>
      <c r="R718" s="63">
        <f>(COUNTIFS($P:$P, "&gt;" &amp; $P718) + 1) / (COUNTA($I:$I) - 1)</f>
        <v>0.9264</v>
      </c>
      <c r="S718" s="23">
        <f>SUMIFS($P:$P, $Q:$Q, "&lt;" &amp; $Q718)</f>
        <v>186545295</v>
      </c>
    </row>
    <row r="719" spans="1:19" x14ac:dyDescent="0.25">
      <c r="A719" s="1">
        <v>714</v>
      </c>
      <c r="B719" s="1" t="s">
        <v>2</v>
      </c>
      <c r="C719" s="1" t="str">
        <f>IF($B719 = "Production Item", _xlfn.XLOOKUP($A719, 'Instrument Table'!$J:$J, 'Instrument Table'!$B:$B, $C718), IF($B719 = "Service Item", _xlfn.XLOOKUP($A719, 'Instrument Table'!$I:$I, 'Instrument Table'!$B:$B, $C718), _xlfn.XLOOKUP($A719, 'Instrument Table'!$H:$H, 'Instrument Table'!$B:$B, $C718)))</f>
        <v>Upright Piano</v>
      </c>
      <c r="D719" s="1" t="str">
        <f>VLOOKUP($C719, 'Instrument Table'!$B:$C, 2, FALSE)</f>
        <v>Pianos</v>
      </c>
      <c r="E719" s="1">
        <f t="shared" si="66"/>
        <v>1</v>
      </c>
      <c r="F719" s="1">
        <f>_xlfn.XLOOKUP($C719, 'Instrument Table'!$B:$B, 'Instrument Table'!$A:$A, "")</f>
        <v>11</v>
      </c>
      <c r="G719" s="1" t="str">
        <f>TEXT(IF($B719 = "Retail Item", IF((ROW($A719) - 4504 - _xlfn.XMATCH($C719, $C$4506:$C$5005, 0, 1)) &lt;= VLOOKUP($C719, 'Instrument Table'!$B:$D, 3, FALSE), ROW($A719) - 4504 - _xlfn.XMATCH($C719, $C$4506:$C$5005, 0, 1), 0), 0), "00")</f>
        <v>00</v>
      </c>
      <c r="H719" s="1" t="str">
        <f t="shared" si="67"/>
        <v>163</v>
      </c>
      <c r="I719" s="1" t="str">
        <f t="shared" si="68"/>
        <v>11100-163</v>
      </c>
      <c r="J719" s="1" t="str">
        <f t="shared" si="69"/>
        <v>Upright piano production item #163</v>
      </c>
      <c r="K719" s="1" t="str">
        <f>IF(SUM(COUNTIFS(I:I, I719)) &gt; 1, "DUPLICATE", "UNIQUE")</f>
        <v>UNIQUE</v>
      </c>
      <c r="L719" s="18">
        <v>0</v>
      </c>
      <c r="M719" s="28">
        <v>60</v>
      </c>
      <c r="N719" s="6">
        <v>1</v>
      </c>
      <c r="O719" s="30">
        <f t="shared" si="70"/>
        <v>0</v>
      </c>
      <c r="P719" s="30">
        <f t="shared" si="71"/>
        <v>60</v>
      </c>
      <c r="Q719" s="1">
        <f>COUNTIFS($P:$P, "&gt;" &amp; $P719) + 1</f>
        <v>4578</v>
      </c>
      <c r="R719" s="63">
        <f>(COUNTIFS($P:$P, "&gt;" &amp; $P719) + 1) / (COUNTA($I:$I) - 1)</f>
        <v>0.91559999999999997</v>
      </c>
      <c r="S719" s="23">
        <f>SUMIFS($P:$P, $Q:$Q, "&lt;" &amp; $Q719)</f>
        <v>186542436</v>
      </c>
    </row>
    <row r="720" spans="1:19" x14ac:dyDescent="0.25">
      <c r="A720" s="1">
        <v>715</v>
      </c>
      <c r="B720" s="1" t="s">
        <v>2</v>
      </c>
      <c r="C720" s="1" t="str">
        <f>IF($B720 = "Production Item", _xlfn.XLOOKUP($A720, 'Instrument Table'!$J:$J, 'Instrument Table'!$B:$B, $C719), IF($B720 = "Service Item", _xlfn.XLOOKUP($A720, 'Instrument Table'!$I:$I, 'Instrument Table'!$B:$B, $C719), _xlfn.XLOOKUP($A720, 'Instrument Table'!$H:$H, 'Instrument Table'!$B:$B, $C719)))</f>
        <v>Upright Piano</v>
      </c>
      <c r="D720" s="1" t="str">
        <f>VLOOKUP($C720, 'Instrument Table'!$B:$C, 2, FALSE)</f>
        <v>Pianos</v>
      </c>
      <c r="E720" s="1">
        <f t="shared" si="66"/>
        <v>1</v>
      </c>
      <c r="F720" s="1">
        <f>_xlfn.XLOOKUP($C720, 'Instrument Table'!$B:$B, 'Instrument Table'!$A:$A, "")</f>
        <v>11</v>
      </c>
      <c r="G720" s="1" t="str">
        <f>TEXT(IF($B720 = "Retail Item", IF((ROW($A720) - 4504 - _xlfn.XMATCH($C720, $C$4506:$C$5005, 0, 1)) &lt;= VLOOKUP($C720, 'Instrument Table'!$B:$D, 3, FALSE), ROW($A720) - 4504 - _xlfn.XMATCH($C720, $C$4506:$C$5005, 0, 1), 0), 0), "00")</f>
        <v>00</v>
      </c>
      <c r="H720" s="1" t="str">
        <f t="shared" si="67"/>
        <v>164</v>
      </c>
      <c r="I720" s="1" t="str">
        <f t="shared" si="68"/>
        <v>11100-164</v>
      </c>
      <c r="J720" s="1" t="str">
        <f t="shared" si="69"/>
        <v>Upright piano production item #164</v>
      </c>
      <c r="K720" s="1" t="str">
        <f>IF(SUM(COUNTIFS(I:I, I720)) &gt; 1, "DUPLICATE", "UNIQUE")</f>
        <v>UNIQUE</v>
      </c>
      <c r="L720" s="18">
        <v>1</v>
      </c>
      <c r="M720" s="28">
        <v>84</v>
      </c>
      <c r="N720" s="6">
        <v>100</v>
      </c>
      <c r="O720" s="30">
        <f t="shared" si="70"/>
        <v>84</v>
      </c>
      <c r="P720" s="30">
        <f t="shared" si="71"/>
        <v>8400</v>
      </c>
      <c r="Q720" s="1">
        <f>COUNTIFS($P:$P, "&gt;" &amp; $P720) + 1</f>
        <v>1939</v>
      </c>
      <c r="R720" s="63">
        <f>(COUNTIFS($P:$P, "&gt;" &amp; $P720) + 1) / (COUNTA($I:$I) - 1)</f>
        <v>0.38779999999999998</v>
      </c>
      <c r="S720" s="23">
        <f>SUMIFS($P:$P, $Q:$Q, "&lt;" &amp; $Q720)</f>
        <v>179499165</v>
      </c>
    </row>
    <row r="721" spans="1:19" x14ac:dyDescent="0.25">
      <c r="A721" s="1">
        <v>716</v>
      </c>
      <c r="B721" s="1" t="s">
        <v>2</v>
      </c>
      <c r="C721" s="1" t="str">
        <f>IF($B721 = "Production Item", _xlfn.XLOOKUP($A721, 'Instrument Table'!$J:$J, 'Instrument Table'!$B:$B, $C720), IF($B721 = "Service Item", _xlfn.XLOOKUP($A721, 'Instrument Table'!$I:$I, 'Instrument Table'!$B:$B, $C720), _xlfn.XLOOKUP($A721, 'Instrument Table'!$H:$H, 'Instrument Table'!$B:$B, $C720)))</f>
        <v>Upright Piano</v>
      </c>
      <c r="D721" s="1" t="str">
        <f>VLOOKUP($C721, 'Instrument Table'!$B:$C, 2, FALSE)</f>
        <v>Pianos</v>
      </c>
      <c r="E721" s="1">
        <f t="shared" si="66"/>
        <v>1</v>
      </c>
      <c r="F721" s="1">
        <f>_xlfn.XLOOKUP($C721, 'Instrument Table'!$B:$B, 'Instrument Table'!$A:$A, "")</f>
        <v>11</v>
      </c>
      <c r="G721" s="1" t="str">
        <f>TEXT(IF($B721 = "Retail Item", IF((ROW($A721) - 4504 - _xlfn.XMATCH($C721, $C$4506:$C$5005, 0, 1)) &lt;= VLOOKUP($C721, 'Instrument Table'!$B:$D, 3, FALSE), ROW($A721) - 4504 - _xlfn.XMATCH($C721, $C$4506:$C$5005, 0, 1), 0), 0), "00")</f>
        <v>00</v>
      </c>
      <c r="H721" s="1" t="str">
        <f t="shared" si="67"/>
        <v>165</v>
      </c>
      <c r="I721" s="1" t="str">
        <f t="shared" si="68"/>
        <v>11100-165</v>
      </c>
      <c r="J721" s="1" t="str">
        <f t="shared" si="69"/>
        <v>Upright piano production item #165</v>
      </c>
      <c r="K721" s="1" t="str">
        <f>IF(SUM(COUNTIFS(I:I, I721)) &gt; 1, "DUPLICATE", "UNIQUE")</f>
        <v>UNIQUE</v>
      </c>
      <c r="L721" s="18">
        <v>0</v>
      </c>
      <c r="M721" s="28">
        <v>79</v>
      </c>
      <c r="N721" s="6">
        <v>4</v>
      </c>
      <c r="O721" s="30">
        <f t="shared" si="70"/>
        <v>0</v>
      </c>
      <c r="P721" s="30">
        <f t="shared" si="71"/>
        <v>316</v>
      </c>
      <c r="Q721" s="1">
        <f>COUNTIFS($P:$P, "&gt;" &amp; $P721) + 1</f>
        <v>4199</v>
      </c>
      <c r="R721" s="63">
        <f>(COUNTIFS($P:$P, "&gt;" &amp; $P721) + 1) / (COUNTA($I:$I) - 1)</f>
        <v>0.83979999999999999</v>
      </c>
      <c r="S721" s="23">
        <f>SUMIFS($P:$P, $Q:$Q, "&lt;" &amp; $Q721)</f>
        <v>186480078</v>
      </c>
    </row>
    <row r="722" spans="1:19" x14ac:dyDescent="0.25">
      <c r="A722" s="1">
        <v>717</v>
      </c>
      <c r="B722" s="1" t="s">
        <v>2</v>
      </c>
      <c r="C722" s="1" t="str">
        <f>IF($B722 = "Production Item", _xlfn.XLOOKUP($A722, 'Instrument Table'!$J:$J, 'Instrument Table'!$B:$B, $C721), IF($B722 = "Service Item", _xlfn.XLOOKUP($A722, 'Instrument Table'!$I:$I, 'Instrument Table'!$B:$B, $C721), _xlfn.XLOOKUP($A722, 'Instrument Table'!$H:$H, 'Instrument Table'!$B:$B, $C721)))</f>
        <v>Upright Piano</v>
      </c>
      <c r="D722" s="1" t="str">
        <f>VLOOKUP($C722, 'Instrument Table'!$B:$C, 2, FALSE)</f>
        <v>Pianos</v>
      </c>
      <c r="E722" s="1">
        <f t="shared" si="66"/>
        <v>1</v>
      </c>
      <c r="F722" s="1">
        <f>_xlfn.XLOOKUP($C722, 'Instrument Table'!$B:$B, 'Instrument Table'!$A:$A, "")</f>
        <v>11</v>
      </c>
      <c r="G722" s="1" t="str">
        <f>TEXT(IF($B722 = "Retail Item", IF((ROW($A722) - 4504 - _xlfn.XMATCH($C722, $C$4506:$C$5005, 0, 1)) &lt;= VLOOKUP($C722, 'Instrument Table'!$B:$D, 3, FALSE), ROW($A722) - 4504 - _xlfn.XMATCH($C722, $C$4506:$C$5005, 0, 1), 0), 0), "00")</f>
        <v>00</v>
      </c>
      <c r="H722" s="1" t="str">
        <f t="shared" si="67"/>
        <v>166</v>
      </c>
      <c r="I722" s="1" t="str">
        <f t="shared" si="68"/>
        <v>11100-166</v>
      </c>
      <c r="J722" s="1" t="str">
        <f t="shared" si="69"/>
        <v>Upright piano production item #166</v>
      </c>
      <c r="K722" s="1" t="str">
        <f>IF(SUM(COUNTIFS(I:I, I722)) &gt; 1, "DUPLICATE", "UNIQUE")</f>
        <v>UNIQUE</v>
      </c>
      <c r="L722" s="18">
        <v>0</v>
      </c>
      <c r="M722" s="28">
        <v>3</v>
      </c>
      <c r="N722" s="6">
        <v>1</v>
      </c>
      <c r="O722" s="30">
        <f t="shared" si="70"/>
        <v>0</v>
      </c>
      <c r="P722" s="30">
        <f t="shared" si="71"/>
        <v>3</v>
      </c>
      <c r="Q722" s="1">
        <f>COUNTIFS($P:$P, "&gt;" &amp; $P722) + 1</f>
        <v>4740</v>
      </c>
      <c r="R722" s="63">
        <f>(COUNTIFS($P:$P, "&gt;" &amp; $P722) + 1) / (COUNTA($I:$I) - 1)</f>
        <v>0.94799999999999995</v>
      </c>
      <c r="S722" s="23">
        <f>SUMIFS($P:$P, $Q:$Q, "&lt;" &amp; $Q722)</f>
        <v>186547850</v>
      </c>
    </row>
    <row r="723" spans="1:19" x14ac:dyDescent="0.25">
      <c r="A723" s="1">
        <v>718</v>
      </c>
      <c r="B723" s="1" t="s">
        <v>2</v>
      </c>
      <c r="C723" s="1" t="str">
        <f>IF($B723 = "Production Item", _xlfn.XLOOKUP($A723, 'Instrument Table'!$J:$J, 'Instrument Table'!$B:$B, $C722), IF($B723 = "Service Item", _xlfn.XLOOKUP($A723, 'Instrument Table'!$I:$I, 'Instrument Table'!$B:$B, $C722), _xlfn.XLOOKUP($A723, 'Instrument Table'!$H:$H, 'Instrument Table'!$B:$B, $C722)))</f>
        <v>Upright Piano</v>
      </c>
      <c r="D723" s="1" t="str">
        <f>VLOOKUP($C723, 'Instrument Table'!$B:$C, 2, FALSE)</f>
        <v>Pianos</v>
      </c>
      <c r="E723" s="1">
        <f t="shared" si="66"/>
        <v>1</v>
      </c>
      <c r="F723" s="1">
        <f>_xlfn.XLOOKUP($C723, 'Instrument Table'!$B:$B, 'Instrument Table'!$A:$A, "")</f>
        <v>11</v>
      </c>
      <c r="G723" s="1" t="str">
        <f>TEXT(IF($B723 = "Retail Item", IF((ROW($A723) - 4504 - _xlfn.XMATCH($C723, $C$4506:$C$5005, 0, 1)) &lt;= VLOOKUP($C723, 'Instrument Table'!$B:$D, 3, FALSE), ROW($A723) - 4504 - _xlfn.XMATCH($C723, $C$4506:$C$5005, 0, 1), 0), 0), "00")</f>
        <v>00</v>
      </c>
      <c r="H723" s="1" t="str">
        <f t="shared" si="67"/>
        <v>167</v>
      </c>
      <c r="I723" s="1" t="str">
        <f t="shared" si="68"/>
        <v>11100-167</v>
      </c>
      <c r="J723" s="1" t="str">
        <f t="shared" si="69"/>
        <v>Upright piano production item #167</v>
      </c>
      <c r="K723" s="1" t="str">
        <f>IF(SUM(COUNTIFS(I:I, I723)) &gt; 1, "DUPLICATE", "UNIQUE")</f>
        <v>UNIQUE</v>
      </c>
      <c r="L723" s="18">
        <v>0</v>
      </c>
      <c r="M723" s="28">
        <v>93</v>
      </c>
      <c r="N723" s="6">
        <v>36</v>
      </c>
      <c r="O723" s="30">
        <f t="shared" si="70"/>
        <v>0</v>
      </c>
      <c r="P723" s="30">
        <f t="shared" si="71"/>
        <v>3348</v>
      </c>
      <c r="Q723" s="1">
        <f>COUNTIFS($P:$P, "&gt;" &amp; $P723) + 1</f>
        <v>2814</v>
      </c>
      <c r="R723" s="63">
        <f>(COUNTIFS($P:$P, "&gt;" &amp; $P723) + 1) / (COUNTA($I:$I) - 1)</f>
        <v>0.56279999999999997</v>
      </c>
      <c r="S723" s="23">
        <f>SUMIFS($P:$P, $Q:$Q, "&lt;" &amp; $Q723)</f>
        <v>184373375</v>
      </c>
    </row>
    <row r="724" spans="1:19" x14ac:dyDescent="0.25">
      <c r="A724" s="1">
        <v>719</v>
      </c>
      <c r="B724" s="1" t="s">
        <v>2</v>
      </c>
      <c r="C724" s="1" t="str">
        <f>IF($B724 = "Production Item", _xlfn.XLOOKUP($A724, 'Instrument Table'!$J:$J, 'Instrument Table'!$B:$B, $C723), IF($B724 = "Service Item", _xlfn.XLOOKUP($A724, 'Instrument Table'!$I:$I, 'Instrument Table'!$B:$B, $C723), _xlfn.XLOOKUP($A724, 'Instrument Table'!$H:$H, 'Instrument Table'!$B:$B, $C723)))</f>
        <v>Upright Piano</v>
      </c>
      <c r="D724" s="1" t="str">
        <f>VLOOKUP($C724, 'Instrument Table'!$B:$C, 2, FALSE)</f>
        <v>Pianos</v>
      </c>
      <c r="E724" s="1">
        <f t="shared" si="66"/>
        <v>1</v>
      </c>
      <c r="F724" s="1">
        <f>_xlfn.XLOOKUP($C724, 'Instrument Table'!$B:$B, 'Instrument Table'!$A:$A, "")</f>
        <v>11</v>
      </c>
      <c r="G724" s="1" t="str">
        <f>TEXT(IF($B724 = "Retail Item", IF((ROW($A724) - 4504 - _xlfn.XMATCH($C724, $C$4506:$C$5005, 0, 1)) &lt;= VLOOKUP($C724, 'Instrument Table'!$B:$D, 3, FALSE), ROW($A724) - 4504 - _xlfn.XMATCH($C724, $C$4506:$C$5005, 0, 1), 0), 0), "00")</f>
        <v>00</v>
      </c>
      <c r="H724" s="1" t="str">
        <f t="shared" si="67"/>
        <v>168</v>
      </c>
      <c r="I724" s="1" t="str">
        <f t="shared" si="68"/>
        <v>11100-168</v>
      </c>
      <c r="J724" s="1" t="str">
        <f t="shared" si="69"/>
        <v>Upright piano production item #168</v>
      </c>
      <c r="K724" s="1" t="str">
        <f>IF(SUM(COUNTIFS(I:I, I724)) &gt; 1, "DUPLICATE", "UNIQUE")</f>
        <v>UNIQUE</v>
      </c>
      <c r="L724" s="18">
        <v>0</v>
      </c>
      <c r="M724" s="28">
        <v>62</v>
      </c>
      <c r="N724" s="6">
        <v>169</v>
      </c>
      <c r="O724" s="30">
        <f t="shared" si="70"/>
        <v>0</v>
      </c>
      <c r="P724" s="30">
        <f t="shared" si="71"/>
        <v>10478</v>
      </c>
      <c r="Q724" s="1">
        <f>COUNTIFS($P:$P, "&gt;" &amp; $P724) + 1</f>
        <v>1730</v>
      </c>
      <c r="R724" s="63">
        <f>(COUNTIFS($P:$P, "&gt;" &amp; $P724) + 1) / (COUNTA($I:$I) - 1)</f>
        <v>0.34599999999999997</v>
      </c>
      <c r="S724" s="23">
        <f>SUMIFS($P:$P, $Q:$Q, "&lt;" &amp; $Q724)</f>
        <v>177534117</v>
      </c>
    </row>
    <row r="725" spans="1:19" x14ac:dyDescent="0.25">
      <c r="A725" s="1">
        <v>720</v>
      </c>
      <c r="B725" s="1" t="s">
        <v>2</v>
      </c>
      <c r="C725" s="1" t="str">
        <f>IF($B725 = "Production Item", _xlfn.XLOOKUP($A725, 'Instrument Table'!$J:$J, 'Instrument Table'!$B:$B, $C724), IF($B725 = "Service Item", _xlfn.XLOOKUP($A725, 'Instrument Table'!$I:$I, 'Instrument Table'!$B:$B, $C724), _xlfn.XLOOKUP($A725, 'Instrument Table'!$H:$H, 'Instrument Table'!$B:$B, $C724)))</f>
        <v>Upright Piano</v>
      </c>
      <c r="D725" s="1" t="str">
        <f>VLOOKUP($C725, 'Instrument Table'!$B:$C, 2, FALSE)</f>
        <v>Pianos</v>
      </c>
      <c r="E725" s="1">
        <f t="shared" si="66"/>
        <v>1</v>
      </c>
      <c r="F725" s="1">
        <f>_xlfn.XLOOKUP($C725, 'Instrument Table'!$B:$B, 'Instrument Table'!$A:$A, "")</f>
        <v>11</v>
      </c>
      <c r="G725" s="1" t="str">
        <f>TEXT(IF($B725 = "Retail Item", IF((ROW($A725) - 4504 - _xlfn.XMATCH($C725, $C$4506:$C$5005, 0, 1)) &lt;= VLOOKUP($C725, 'Instrument Table'!$B:$D, 3, FALSE), ROW($A725) - 4504 - _xlfn.XMATCH($C725, $C$4506:$C$5005, 0, 1), 0), 0), "00")</f>
        <v>00</v>
      </c>
      <c r="H725" s="1" t="str">
        <f t="shared" si="67"/>
        <v>169</v>
      </c>
      <c r="I725" s="1" t="str">
        <f t="shared" si="68"/>
        <v>11100-169</v>
      </c>
      <c r="J725" s="1" t="str">
        <f t="shared" si="69"/>
        <v>Upright piano production item #169</v>
      </c>
      <c r="K725" s="1" t="str">
        <f>IF(SUM(COUNTIFS(I:I, I725)) &gt; 1, "DUPLICATE", "UNIQUE")</f>
        <v>UNIQUE</v>
      </c>
      <c r="L725" s="18">
        <v>16</v>
      </c>
      <c r="M725" s="28">
        <v>57</v>
      </c>
      <c r="N725" s="6">
        <v>225</v>
      </c>
      <c r="O725" s="30">
        <f t="shared" si="70"/>
        <v>912</v>
      </c>
      <c r="P725" s="30">
        <f t="shared" si="71"/>
        <v>12825</v>
      </c>
      <c r="Q725" s="1">
        <f>COUNTIFS($P:$P, "&gt;" &amp; $P725) + 1</f>
        <v>1513</v>
      </c>
      <c r="R725" s="63">
        <f>(COUNTIFS($P:$P, "&gt;" &amp; $P725) + 1) / (COUNTA($I:$I) - 1)</f>
        <v>0.30259999999999998</v>
      </c>
      <c r="S725" s="23">
        <f>SUMIFS($P:$P, $Q:$Q, "&lt;" &amp; $Q725)</f>
        <v>175007815</v>
      </c>
    </row>
    <row r="726" spans="1:19" x14ac:dyDescent="0.25">
      <c r="A726" s="1">
        <v>721</v>
      </c>
      <c r="B726" s="1" t="s">
        <v>2</v>
      </c>
      <c r="C726" s="1" t="str">
        <f>IF($B726 = "Production Item", _xlfn.XLOOKUP($A726, 'Instrument Table'!$J:$J, 'Instrument Table'!$B:$B, $C725), IF($B726 = "Service Item", _xlfn.XLOOKUP($A726, 'Instrument Table'!$I:$I, 'Instrument Table'!$B:$B, $C725), _xlfn.XLOOKUP($A726, 'Instrument Table'!$H:$H, 'Instrument Table'!$B:$B, $C725)))</f>
        <v>Upright Piano</v>
      </c>
      <c r="D726" s="1" t="str">
        <f>VLOOKUP($C726, 'Instrument Table'!$B:$C, 2, FALSE)</f>
        <v>Pianos</v>
      </c>
      <c r="E726" s="1">
        <f t="shared" si="66"/>
        <v>1</v>
      </c>
      <c r="F726" s="1">
        <f>_xlfn.XLOOKUP($C726, 'Instrument Table'!$B:$B, 'Instrument Table'!$A:$A, "")</f>
        <v>11</v>
      </c>
      <c r="G726" s="1" t="str">
        <f>TEXT(IF($B726 = "Retail Item", IF((ROW($A726) - 4504 - _xlfn.XMATCH($C726, $C$4506:$C$5005, 0, 1)) &lt;= VLOOKUP($C726, 'Instrument Table'!$B:$D, 3, FALSE), ROW($A726) - 4504 - _xlfn.XMATCH($C726, $C$4506:$C$5005, 0, 1), 0), 0), "00")</f>
        <v>00</v>
      </c>
      <c r="H726" s="1" t="str">
        <f t="shared" si="67"/>
        <v>170</v>
      </c>
      <c r="I726" s="1" t="str">
        <f t="shared" si="68"/>
        <v>11100-170</v>
      </c>
      <c r="J726" s="1" t="str">
        <f t="shared" si="69"/>
        <v>Upright piano production item #170</v>
      </c>
      <c r="K726" s="1" t="str">
        <f>IF(SUM(COUNTIFS(I:I, I726)) &gt; 1, "DUPLICATE", "UNIQUE")</f>
        <v>UNIQUE</v>
      </c>
      <c r="L726" s="18">
        <v>16</v>
      </c>
      <c r="M726" s="28">
        <v>58</v>
      </c>
      <c r="N726" s="6">
        <v>25</v>
      </c>
      <c r="O726" s="30">
        <f t="shared" si="70"/>
        <v>928</v>
      </c>
      <c r="P726" s="30">
        <f t="shared" si="71"/>
        <v>1450</v>
      </c>
      <c r="Q726" s="1">
        <f>COUNTIFS($P:$P, "&gt;" &amp; $P726) + 1</f>
        <v>3487</v>
      </c>
      <c r="R726" s="63">
        <f>(COUNTIFS($P:$P, "&gt;" &amp; $P726) + 1) / (COUNTA($I:$I) - 1)</f>
        <v>0.69740000000000002</v>
      </c>
      <c r="S726" s="23">
        <f>SUMIFS($P:$P, $Q:$Q, "&lt;" &amp; $Q726)</f>
        <v>185918722</v>
      </c>
    </row>
    <row r="727" spans="1:19" x14ac:dyDescent="0.25">
      <c r="A727" s="1">
        <v>722</v>
      </c>
      <c r="B727" s="1" t="s">
        <v>2</v>
      </c>
      <c r="C727" s="1" t="str">
        <f>IF($B727 = "Production Item", _xlfn.XLOOKUP($A727, 'Instrument Table'!$J:$J, 'Instrument Table'!$B:$B, $C726), IF($B727 = "Service Item", _xlfn.XLOOKUP($A727, 'Instrument Table'!$I:$I, 'Instrument Table'!$B:$B, $C726), _xlfn.XLOOKUP($A727, 'Instrument Table'!$H:$H, 'Instrument Table'!$B:$B, $C726)))</f>
        <v>Upright Piano</v>
      </c>
      <c r="D727" s="1" t="str">
        <f>VLOOKUP($C727, 'Instrument Table'!$B:$C, 2, FALSE)</f>
        <v>Pianos</v>
      </c>
      <c r="E727" s="1">
        <f t="shared" si="66"/>
        <v>1</v>
      </c>
      <c r="F727" s="1">
        <f>_xlfn.XLOOKUP($C727, 'Instrument Table'!$B:$B, 'Instrument Table'!$A:$A, "")</f>
        <v>11</v>
      </c>
      <c r="G727" s="1" t="str">
        <f>TEXT(IF($B727 = "Retail Item", IF((ROW($A727) - 4504 - _xlfn.XMATCH($C727, $C$4506:$C$5005, 0, 1)) &lt;= VLOOKUP($C727, 'Instrument Table'!$B:$D, 3, FALSE), ROW($A727) - 4504 - _xlfn.XMATCH($C727, $C$4506:$C$5005, 0, 1), 0), 0), "00")</f>
        <v>00</v>
      </c>
      <c r="H727" s="1" t="str">
        <f t="shared" si="67"/>
        <v>171</v>
      </c>
      <c r="I727" s="1" t="str">
        <f t="shared" si="68"/>
        <v>11100-171</v>
      </c>
      <c r="J727" s="1" t="str">
        <f t="shared" si="69"/>
        <v>Upright piano production item #171</v>
      </c>
      <c r="K727" s="1" t="str">
        <f>IF(SUM(COUNTIFS(I:I, I727)) &gt; 1, "DUPLICATE", "UNIQUE")</f>
        <v>UNIQUE</v>
      </c>
      <c r="L727" s="18">
        <v>1</v>
      </c>
      <c r="M727" s="28">
        <v>93</v>
      </c>
      <c r="N727" s="6">
        <v>121</v>
      </c>
      <c r="O727" s="30">
        <f t="shared" si="70"/>
        <v>93</v>
      </c>
      <c r="P727" s="30">
        <f t="shared" si="71"/>
        <v>11253</v>
      </c>
      <c r="Q727" s="1">
        <f>COUNTIFS($P:$P, "&gt;" &amp; $P727) + 1</f>
        <v>1659</v>
      </c>
      <c r="R727" s="63">
        <f>(COUNTIFS($P:$P, "&gt;" &amp; $P727) + 1) / (COUNTA($I:$I) - 1)</f>
        <v>0.33179999999999998</v>
      </c>
      <c r="S727" s="23">
        <f>SUMIFS($P:$P, $Q:$Q, "&lt;" &amp; $Q727)</f>
        <v>176760000</v>
      </c>
    </row>
    <row r="728" spans="1:19" x14ac:dyDescent="0.25">
      <c r="A728" s="1">
        <v>723</v>
      </c>
      <c r="B728" s="1" t="s">
        <v>2</v>
      </c>
      <c r="C728" s="1" t="str">
        <f>IF($B728 = "Production Item", _xlfn.XLOOKUP($A728, 'Instrument Table'!$J:$J, 'Instrument Table'!$B:$B, $C727), IF($B728 = "Service Item", _xlfn.XLOOKUP($A728, 'Instrument Table'!$I:$I, 'Instrument Table'!$B:$B, $C727), _xlfn.XLOOKUP($A728, 'Instrument Table'!$H:$H, 'Instrument Table'!$B:$B, $C727)))</f>
        <v>Upright Piano</v>
      </c>
      <c r="D728" s="1" t="str">
        <f>VLOOKUP($C728, 'Instrument Table'!$B:$C, 2, FALSE)</f>
        <v>Pianos</v>
      </c>
      <c r="E728" s="1">
        <f t="shared" si="66"/>
        <v>1</v>
      </c>
      <c r="F728" s="1">
        <f>_xlfn.XLOOKUP($C728, 'Instrument Table'!$B:$B, 'Instrument Table'!$A:$A, "")</f>
        <v>11</v>
      </c>
      <c r="G728" s="1" t="str">
        <f>TEXT(IF($B728 = "Retail Item", IF((ROW($A728) - 4504 - _xlfn.XMATCH($C728, $C$4506:$C$5005, 0, 1)) &lt;= VLOOKUP($C728, 'Instrument Table'!$B:$D, 3, FALSE), ROW($A728) - 4504 - _xlfn.XMATCH($C728, $C$4506:$C$5005, 0, 1), 0), 0), "00")</f>
        <v>00</v>
      </c>
      <c r="H728" s="1" t="str">
        <f t="shared" si="67"/>
        <v>172</v>
      </c>
      <c r="I728" s="1" t="str">
        <f t="shared" si="68"/>
        <v>11100-172</v>
      </c>
      <c r="J728" s="1" t="str">
        <f t="shared" si="69"/>
        <v>Upright piano production item #172</v>
      </c>
      <c r="K728" s="1" t="str">
        <f>IF(SUM(COUNTIFS(I:I, I728)) &gt; 1, "DUPLICATE", "UNIQUE")</f>
        <v>UNIQUE</v>
      </c>
      <c r="L728" s="18">
        <v>1</v>
      </c>
      <c r="M728" s="28">
        <v>86</v>
      </c>
      <c r="N728" s="6">
        <v>1</v>
      </c>
      <c r="O728" s="30">
        <f t="shared" si="70"/>
        <v>86</v>
      </c>
      <c r="P728" s="30">
        <f t="shared" si="71"/>
        <v>86</v>
      </c>
      <c r="Q728" s="1">
        <f>COUNTIFS($P:$P, "&gt;" &amp; $P728) + 1</f>
        <v>4492</v>
      </c>
      <c r="R728" s="63">
        <f>(COUNTIFS($P:$P, "&gt;" &amp; $P728) + 1) / (COUNTA($I:$I) - 1)</f>
        <v>0.89839999999999998</v>
      </c>
      <c r="S728" s="23">
        <f>SUMIFS($P:$P, $Q:$Q, "&lt;" &amp; $Q728)</f>
        <v>186536179</v>
      </c>
    </row>
    <row r="729" spans="1:19" x14ac:dyDescent="0.25">
      <c r="A729" s="1">
        <v>724</v>
      </c>
      <c r="B729" s="1" t="s">
        <v>2</v>
      </c>
      <c r="C729" s="1" t="str">
        <f>IF($B729 = "Production Item", _xlfn.XLOOKUP($A729, 'Instrument Table'!$J:$J, 'Instrument Table'!$B:$B, $C728), IF($B729 = "Service Item", _xlfn.XLOOKUP($A729, 'Instrument Table'!$I:$I, 'Instrument Table'!$B:$B, $C728), _xlfn.XLOOKUP($A729, 'Instrument Table'!$H:$H, 'Instrument Table'!$B:$B, $C728)))</f>
        <v>Upright Piano</v>
      </c>
      <c r="D729" s="1" t="str">
        <f>VLOOKUP($C729, 'Instrument Table'!$B:$C, 2, FALSE)</f>
        <v>Pianos</v>
      </c>
      <c r="E729" s="1">
        <f t="shared" si="66"/>
        <v>1</v>
      </c>
      <c r="F729" s="1">
        <f>_xlfn.XLOOKUP($C729, 'Instrument Table'!$B:$B, 'Instrument Table'!$A:$A, "")</f>
        <v>11</v>
      </c>
      <c r="G729" s="1" t="str">
        <f>TEXT(IF($B729 = "Retail Item", IF((ROW($A729) - 4504 - _xlfn.XMATCH($C729, $C$4506:$C$5005, 0, 1)) &lt;= VLOOKUP($C729, 'Instrument Table'!$B:$D, 3, FALSE), ROW($A729) - 4504 - _xlfn.XMATCH($C729, $C$4506:$C$5005, 0, 1), 0), 0), "00")</f>
        <v>00</v>
      </c>
      <c r="H729" s="1" t="str">
        <f t="shared" si="67"/>
        <v>173</v>
      </c>
      <c r="I729" s="1" t="str">
        <f t="shared" si="68"/>
        <v>11100-173</v>
      </c>
      <c r="J729" s="1" t="str">
        <f t="shared" si="69"/>
        <v>Upright piano production item #173</v>
      </c>
      <c r="K729" s="1" t="str">
        <f>IF(SUM(COUNTIFS(I:I, I729)) &gt; 1, "DUPLICATE", "UNIQUE")</f>
        <v>UNIQUE</v>
      </c>
      <c r="L729" s="18">
        <v>0</v>
      </c>
      <c r="M729" s="28">
        <v>75</v>
      </c>
      <c r="N729" s="6">
        <v>1</v>
      </c>
      <c r="O729" s="30">
        <f t="shared" si="70"/>
        <v>0</v>
      </c>
      <c r="P729" s="30">
        <f t="shared" si="71"/>
        <v>75</v>
      </c>
      <c r="Q729" s="1">
        <f>COUNTIFS($P:$P, "&gt;" &amp; $P729) + 1</f>
        <v>4527</v>
      </c>
      <c r="R729" s="63">
        <f>(COUNTIFS($P:$P, "&gt;" &amp; $P729) + 1) / (COUNTA($I:$I) - 1)</f>
        <v>0.90539999999999998</v>
      </c>
      <c r="S729" s="23">
        <f>SUMIFS($P:$P, $Q:$Q, "&lt;" &amp; $Q729)</f>
        <v>186539016</v>
      </c>
    </row>
    <row r="730" spans="1:19" x14ac:dyDescent="0.25">
      <c r="A730" s="1">
        <v>725</v>
      </c>
      <c r="B730" s="1" t="s">
        <v>2</v>
      </c>
      <c r="C730" s="1" t="str">
        <f>IF($B730 = "Production Item", _xlfn.XLOOKUP($A730, 'Instrument Table'!$J:$J, 'Instrument Table'!$B:$B, $C729), IF($B730 = "Service Item", _xlfn.XLOOKUP($A730, 'Instrument Table'!$I:$I, 'Instrument Table'!$B:$B, $C729), _xlfn.XLOOKUP($A730, 'Instrument Table'!$H:$H, 'Instrument Table'!$B:$B, $C729)))</f>
        <v>Upright Piano</v>
      </c>
      <c r="D730" s="1" t="str">
        <f>VLOOKUP($C730, 'Instrument Table'!$B:$C, 2, FALSE)</f>
        <v>Pianos</v>
      </c>
      <c r="E730" s="1">
        <f t="shared" si="66"/>
        <v>1</v>
      </c>
      <c r="F730" s="1">
        <f>_xlfn.XLOOKUP($C730, 'Instrument Table'!$B:$B, 'Instrument Table'!$A:$A, "")</f>
        <v>11</v>
      </c>
      <c r="G730" s="1" t="str">
        <f>TEXT(IF($B730 = "Retail Item", IF((ROW($A730) - 4504 - _xlfn.XMATCH($C730, $C$4506:$C$5005, 0, 1)) &lt;= VLOOKUP($C730, 'Instrument Table'!$B:$D, 3, FALSE), ROW($A730) - 4504 - _xlfn.XMATCH($C730, $C$4506:$C$5005, 0, 1), 0), 0), "00")</f>
        <v>00</v>
      </c>
      <c r="H730" s="1" t="str">
        <f t="shared" si="67"/>
        <v>174</v>
      </c>
      <c r="I730" s="1" t="str">
        <f t="shared" si="68"/>
        <v>11100-174</v>
      </c>
      <c r="J730" s="1" t="str">
        <f t="shared" si="69"/>
        <v>Upright piano production item #174</v>
      </c>
      <c r="K730" s="1" t="str">
        <f>IF(SUM(COUNTIFS(I:I, I730)) &gt; 1, "DUPLICATE", "UNIQUE")</f>
        <v>UNIQUE</v>
      </c>
      <c r="L730" s="18">
        <v>1</v>
      </c>
      <c r="M730" s="28">
        <v>51</v>
      </c>
      <c r="N730" s="6">
        <v>81</v>
      </c>
      <c r="O730" s="30">
        <f t="shared" si="70"/>
        <v>51</v>
      </c>
      <c r="P730" s="30">
        <f t="shared" si="71"/>
        <v>4131</v>
      </c>
      <c r="Q730" s="1">
        <f>COUNTIFS($P:$P, "&gt;" &amp; $P730) + 1</f>
        <v>2625</v>
      </c>
      <c r="R730" s="63">
        <f>(COUNTIFS($P:$P, "&gt;" &amp; $P730) + 1) / (COUNTA($I:$I) - 1)</f>
        <v>0.52500000000000002</v>
      </c>
      <c r="S730" s="23">
        <f>SUMIFS($P:$P, $Q:$Q, "&lt;" &amp; $Q730)</f>
        <v>183668650</v>
      </c>
    </row>
    <row r="731" spans="1:19" x14ac:dyDescent="0.25">
      <c r="A731" s="1">
        <v>726</v>
      </c>
      <c r="B731" s="1" t="s">
        <v>2</v>
      </c>
      <c r="C731" s="1" t="str">
        <f>IF($B731 = "Production Item", _xlfn.XLOOKUP($A731, 'Instrument Table'!$J:$J, 'Instrument Table'!$B:$B, $C730), IF($B731 = "Service Item", _xlfn.XLOOKUP($A731, 'Instrument Table'!$I:$I, 'Instrument Table'!$B:$B, $C730), _xlfn.XLOOKUP($A731, 'Instrument Table'!$H:$H, 'Instrument Table'!$B:$B, $C730)))</f>
        <v>Upright Piano</v>
      </c>
      <c r="D731" s="1" t="str">
        <f>VLOOKUP($C731, 'Instrument Table'!$B:$C, 2, FALSE)</f>
        <v>Pianos</v>
      </c>
      <c r="E731" s="1">
        <f t="shared" si="66"/>
        <v>1</v>
      </c>
      <c r="F731" s="1">
        <f>_xlfn.XLOOKUP($C731, 'Instrument Table'!$B:$B, 'Instrument Table'!$A:$A, "")</f>
        <v>11</v>
      </c>
      <c r="G731" s="1" t="str">
        <f>TEXT(IF($B731 = "Retail Item", IF((ROW($A731) - 4504 - _xlfn.XMATCH($C731, $C$4506:$C$5005, 0, 1)) &lt;= VLOOKUP($C731, 'Instrument Table'!$B:$D, 3, FALSE), ROW($A731) - 4504 - _xlfn.XMATCH($C731, $C$4506:$C$5005, 0, 1), 0), 0), "00")</f>
        <v>00</v>
      </c>
      <c r="H731" s="1" t="str">
        <f t="shared" si="67"/>
        <v>175</v>
      </c>
      <c r="I731" s="1" t="str">
        <f t="shared" si="68"/>
        <v>11100-175</v>
      </c>
      <c r="J731" s="1" t="str">
        <f t="shared" si="69"/>
        <v>Upright piano production item #175</v>
      </c>
      <c r="K731" s="1" t="str">
        <f>IF(SUM(COUNTIFS(I:I, I731)) &gt; 1, "DUPLICATE", "UNIQUE")</f>
        <v>UNIQUE</v>
      </c>
      <c r="L731" s="18">
        <v>4</v>
      </c>
      <c r="M731" s="28">
        <v>79</v>
      </c>
      <c r="N731" s="6">
        <v>64</v>
      </c>
      <c r="O731" s="30">
        <f t="shared" si="70"/>
        <v>316</v>
      </c>
      <c r="P731" s="30">
        <f t="shared" si="71"/>
        <v>5056</v>
      </c>
      <c r="Q731" s="1">
        <f>COUNTIFS($P:$P, "&gt;" &amp; $P731) + 1</f>
        <v>2437</v>
      </c>
      <c r="R731" s="63">
        <f>(COUNTIFS($P:$P, "&gt;" &amp; $P731) + 1) / (COUNTA($I:$I) - 1)</f>
        <v>0.4874</v>
      </c>
      <c r="S731" s="23">
        <f>SUMIFS($P:$P, $Q:$Q, "&lt;" &amp; $Q731)</f>
        <v>182807115</v>
      </c>
    </row>
    <row r="732" spans="1:19" x14ac:dyDescent="0.25">
      <c r="A732" s="1">
        <v>727</v>
      </c>
      <c r="B732" s="1" t="s">
        <v>2</v>
      </c>
      <c r="C732" s="1" t="str">
        <f>IF($B732 = "Production Item", _xlfn.XLOOKUP($A732, 'Instrument Table'!$J:$J, 'Instrument Table'!$B:$B, $C731), IF($B732 = "Service Item", _xlfn.XLOOKUP($A732, 'Instrument Table'!$I:$I, 'Instrument Table'!$B:$B, $C731), _xlfn.XLOOKUP($A732, 'Instrument Table'!$H:$H, 'Instrument Table'!$B:$B, $C731)))</f>
        <v>Upright Piano</v>
      </c>
      <c r="D732" s="1" t="str">
        <f>VLOOKUP($C732, 'Instrument Table'!$B:$C, 2, FALSE)</f>
        <v>Pianos</v>
      </c>
      <c r="E732" s="1">
        <f t="shared" si="66"/>
        <v>1</v>
      </c>
      <c r="F732" s="1">
        <f>_xlfn.XLOOKUP($C732, 'Instrument Table'!$B:$B, 'Instrument Table'!$A:$A, "")</f>
        <v>11</v>
      </c>
      <c r="G732" s="1" t="str">
        <f>TEXT(IF($B732 = "Retail Item", IF((ROW($A732) - 4504 - _xlfn.XMATCH($C732, $C$4506:$C$5005, 0, 1)) &lt;= VLOOKUP($C732, 'Instrument Table'!$B:$D, 3, FALSE), ROW($A732) - 4504 - _xlfn.XMATCH($C732, $C$4506:$C$5005, 0, 1), 0), 0), "00")</f>
        <v>00</v>
      </c>
      <c r="H732" s="1" t="str">
        <f t="shared" si="67"/>
        <v>176</v>
      </c>
      <c r="I732" s="1" t="str">
        <f t="shared" si="68"/>
        <v>11100-176</v>
      </c>
      <c r="J732" s="1" t="str">
        <f t="shared" si="69"/>
        <v>Upright piano production item #176</v>
      </c>
      <c r="K732" s="1" t="str">
        <f>IF(SUM(COUNTIFS(I:I, I732)) &gt; 1, "DUPLICATE", "UNIQUE")</f>
        <v>UNIQUE</v>
      </c>
      <c r="L732" s="18">
        <v>8</v>
      </c>
      <c r="M732" s="28">
        <v>30</v>
      </c>
      <c r="N732" s="6">
        <v>4</v>
      </c>
      <c r="O732" s="30">
        <f t="shared" si="70"/>
        <v>240</v>
      </c>
      <c r="P732" s="30">
        <f t="shared" si="71"/>
        <v>120</v>
      </c>
      <c r="Q732" s="1">
        <f>COUNTIFS($P:$P, "&gt;" &amp; $P732) + 1</f>
        <v>4427</v>
      </c>
      <c r="R732" s="63">
        <f>(COUNTIFS($P:$P, "&gt;" &amp; $P732) + 1) / (COUNTA($I:$I) - 1)</f>
        <v>0.88539999999999996</v>
      </c>
      <c r="S732" s="23">
        <f>SUMIFS($P:$P, $Q:$Q, "&lt;" &amp; $Q732)</f>
        <v>186529639</v>
      </c>
    </row>
    <row r="733" spans="1:19" x14ac:dyDescent="0.25">
      <c r="A733" s="1">
        <v>728</v>
      </c>
      <c r="B733" s="1" t="s">
        <v>2</v>
      </c>
      <c r="C733" s="1" t="str">
        <f>IF($B733 = "Production Item", _xlfn.XLOOKUP($A733, 'Instrument Table'!$J:$J, 'Instrument Table'!$B:$B, $C732), IF($B733 = "Service Item", _xlfn.XLOOKUP($A733, 'Instrument Table'!$I:$I, 'Instrument Table'!$B:$B, $C732), _xlfn.XLOOKUP($A733, 'Instrument Table'!$H:$H, 'Instrument Table'!$B:$B, $C732)))</f>
        <v>Upright Piano</v>
      </c>
      <c r="D733" s="1" t="str">
        <f>VLOOKUP($C733, 'Instrument Table'!$B:$C, 2, FALSE)</f>
        <v>Pianos</v>
      </c>
      <c r="E733" s="1">
        <f t="shared" si="66"/>
        <v>1</v>
      </c>
      <c r="F733" s="1">
        <f>_xlfn.XLOOKUP($C733, 'Instrument Table'!$B:$B, 'Instrument Table'!$A:$A, "")</f>
        <v>11</v>
      </c>
      <c r="G733" s="1" t="str">
        <f>TEXT(IF($B733 = "Retail Item", IF((ROW($A733) - 4504 - _xlfn.XMATCH($C733, $C$4506:$C$5005, 0, 1)) &lt;= VLOOKUP($C733, 'Instrument Table'!$B:$D, 3, FALSE), ROW($A733) - 4504 - _xlfn.XMATCH($C733, $C$4506:$C$5005, 0, 1), 0), 0), "00")</f>
        <v>00</v>
      </c>
      <c r="H733" s="1" t="str">
        <f t="shared" si="67"/>
        <v>177</v>
      </c>
      <c r="I733" s="1" t="str">
        <f t="shared" si="68"/>
        <v>11100-177</v>
      </c>
      <c r="J733" s="1" t="str">
        <f t="shared" si="69"/>
        <v>Upright piano production item #177</v>
      </c>
      <c r="K733" s="1" t="str">
        <f>IF(SUM(COUNTIFS(I:I, I733)) &gt; 1, "DUPLICATE", "UNIQUE")</f>
        <v>UNIQUE</v>
      </c>
      <c r="L733" s="18">
        <v>16</v>
      </c>
      <c r="M733" s="28">
        <v>56</v>
      </c>
      <c r="N733" s="6">
        <v>289</v>
      </c>
      <c r="O733" s="30">
        <f t="shared" si="70"/>
        <v>896</v>
      </c>
      <c r="P733" s="30">
        <f t="shared" si="71"/>
        <v>16184</v>
      </c>
      <c r="Q733" s="1">
        <f>COUNTIFS($P:$P, "&gt;" &amp; $P733) + 1</f>
        <v>1268</v>
      </c>
      <c r="R733" s="63">
        <f>(COUNTIFS($P:$P, "&gt;" &amp; $P733) + 1) / (COUNTA($I:$I) - 1)</f>
        <v>0.25359999999999999</v>
      </c>
      <c r="S733" s="23">
        <f>SUMIFS($P:$P, $Q:$Q, "&lt;" &amp; $Q733)</f>
        <v>171462914</v>
      </c>
    </row>
    <row r="734" spans="1:19" x14ac:dyDescent="0.25">
      <c r="A734" s="1">
        <v>729</v>
      </c>
      <c r="B734" s="1" t="s">
        <v>2</v>
      </c>
      <c r="C734" s="1" t="str">
        <f>IF($B734 = "Production Item", _xlfn.XLOOKUP($A734, 'Instrument Table'!$J:$J, 'Instrument Table'!$B:$B, $C733), IF($B734 = "Service Item", _xlfn.XLOOKUP($A734, 'Instrument Table'!$I:$I, 'Instrument Table'!$B:$B, $C733), _xlfn.XLOOKUP($A734, 'Instrument Table'!$H:$H, 'Instrument Table'!$B:$B, $C733)))</f>
        <v>Upright Piano</v>
      </c>
      <c r="D734" s="1" t="str">
        <f>VLOOKUP($C734, 'Instrument Table'!$B:$C, 2, FALSE)</f>
        <v>Pianos</v>
      </c>
      <c r="E734" s="1">
        <f t="shared" si="66"/>
        <v>1</v>
      </c>
      <c r="F734" s="1">
        <f>_xlfn.XLOOKUP($C734, 'Instrument Table'!$B:$B, 'Instrument Table'!$A:$A, "")</f>
        <v>11</v>
      </c>
      <c r="G734" s="1" t="str">
        <f>TEXT(IF($B734 = "Retail Item", IF((ROW($A734) - 4504 - _xlfn.XMATCH($C734, $C$4506:$C$5005, 0, 1)) &lt;= VLOOKUP($C734, 'Instrument Table'!$B:$D, 3, FALSE), ROW($A734) - 4504 - _xlfn.XMATCH($C734, $C$4506:$C$5005, 0, 1), 0), 0), "00")</f>
        <v>00</v>
      </c>
      <c r="H734" s="1" t="str">
        <f t="shared" si="67"/>
        <v>178</v>
      </c>
      <c r="I734" s="1" t="str">
        <f t="shared" si="68"/>
        <v>11100-178</v>
      </c>
      <c r="J734" s="1" t="str">
        <f t="shared" si="69"/>
        <v>Upright piano production item #178</v>
      </c>
      <c r="K734" s="1" t="str">
        <f>IF(SUM(COUNTIFS(I:I, I734)) &gt; 1, "DUPLICATE", "UNIQUE")</f>
        <v>UNIQUE</v>
      </c>
      <c r="L734" s="18">
        <v>1</v>
      </c>
      <c r="M734" s="28">
        <v>52</v>
      </c>
      <c r="N734" s="6">
        <v>225</v>
      </c>
      <c r="O734" s="30">
        <f t="shared" si="70"/>
        <v>52</v>
      </c>
      <c r="P734" s="30">
        <f t="shared" si="71"/>
        <v>11700</v>
      </c>
      <c r="Q734" s="1">
        <f>COUNTIFS($P:$P, "&gt;" &amp; $P734) + 1</f>
        <v>1603</v>
      </c>
      <c r="R734" s="63">
        <f>(COUNTIFS($P:$P, "&gt;" &amp; $P734) + 1) / (COUNTA($I:$I) - 1)</f>
        <v>0.3206</v>
      </c>
      <c r="S734" s="23">
        <f>SUMIFS($P:$P, $Q:$Q, "&lt;" &amp; $Q734)</f>
        <v>176113924</v>
      </c>
    </row>
    <row r="735" spans="1:19" x14ac:dyDescent="0.25">
      <c r="A735" s="1">
        <v>730</v>
      </c>
      <c r="B735" s="1" t="s">
        <v>2</v>
      </c>
      <c r="C735" s="1" t="str">
        <f>IF($B735 = "Production Item", _xlfn.XLOOKUP($A735, 'Instrument Table'!$J:$J, 'Instrument Table'!$B:$B, $C734), IF($B735 = "Service Item", _xlfn.XLOOKUP($A735, 'Instrument Table'!$I:$I, 'Instrument Table'!$B:$B, $C734), _xlfn.XLOOKUP($A735, 'Instrument Table'!$H:$H, 'Instrument Table'!$B:$B, $C734)))</f>
        <v>Upright Piano</v>
      </c>
      <c r="D735" s="1" t="str">
        <f>VLOOKUP($C735, 'Instrument Table'!$B:$C, 2, FALSE)</f>
        <v>Pianos</v>
      </c>
      <c r="E735" s="1">
        <f t="shared" si="66"/>
        <v>1</v>
      </c>
      <c r="F735" s="1">
        <f>_xlfn.XLOOKUP($C735, 'Instrument Table'!$B:$B, 'Instrument Table'!$A:$A, "")</f>
        <v>11</v>
      </c>
      <c r="G735" s="1" t="str">
        <f>TEXT(IF($B735 = "Retail Item", IF((ROW($A735) - 4504 - _xlfn.XMATCH($C735, $C$4506:$C$5005, 0, 1)) &lt;= VLOOKUP($C735, 'Instrument Table'!$B:$D, 3, FALSE), ROW($A735) - 4504 - _xlfn.XMATCH($C735, $C$4506:$C$5005, 0, 1), 0), 0), "00")</f>
        <v>00</v>
      </c>
      <c r="H735" s="1" t="str">
        <f t="shared" si="67"/>
        <v>179</v>
      </c>
      <c r="I735" s="1" t="str">
        <f t="shared" si="68"/>
        <v>11100-179</v>
      </c>
      <c r="J735" s="1" t="str">
        <f t="shared" si="69"/>
        <v>Upright piano production item #179</v>
      </c>
      <c r="K735" s="1" t="str">
        <f>IF(SUM(COUNTIFS(I:I, I735)) &gt; 1, "DUPLICATE", "UNIQUE")</f>
        <v>UNIQUE</v>
      </c>
      <c r="L735" s="18">
        <v>0</v>
      </c>
      <c r="M735" s="28">
        <v>67</v>
      </c>
      <c r="N735" s="6">
        <v>144</v>
      </c>
      <c r="O735" s="30">
        <f t="shared" si="70"/>
        <v>0</v>
      </c>
      <c r="P735" s="30">
        <f t="shared" si="71"/>
        <v>9648</v>
      </c>
      <c r="Q735" s="1">
        <f>COUNTIFS($P:$P, "&gt;" &amp; $P735) + 1</f>
        <v>1804</v>
      </c>
      <c r="R735" s="63">
        <f>(COUNTIFS($P:$P, "&gt;" &amp; $P735) + 1) / (COUNTA($I:$I) - 1)</f>
        <v>0.36080000000000001</v>
      </c>
      <c r="S735" s="23">
        <f>SUMIFS($P:$P, $Q:$Q, "&lt;" &amp; $Q735)</f>
        <v>178280068</v>
      </c>
    </row>
    <row r="736" spans="1:19" x14ac:dyDescent="0.25">
      <c r="A736" s="1">
        <v>731</v>
      </c>
      <c r="B736" s="1" t="s">
        <v>2</v>
      </c>
      <c r="C736" s="1" t="str">
        <f>IF($B736 = "Production Item", _xlfn.XLOOKUP($A736, 'Instrument Table'!$J:$J, 'Instrument Table'!$B:$B, $C735), IF($B736 = "Service Item", _xlfn.XLOOKUP($A736, 'Instrument Table'!$I:$I, 'Instrument Table'!$B:$B, $C735), _xlfn.XLOOKUP($A736, 'Instrument Table'!$H:$H, 'Instrument Table'!$B:$B, $C735)))</f>
        <v>Upright Piano</v>
      </c>
      <c r="D736" s="1" t="str">
        <f>VLOOKUP($C736, 'Instrument Table'!$B:$C, 2, FALSE)</f>
        <v>Pianos</v>
      </c>
      <c r="E736" s="1">
        <f t="shared" si="66"/>
        <v>1</v>
      </c>
      <c r="F736" s="1">
        <f>_xlfn.XLOOKUP($C736, 'Instrument Table'!$B:$B, 'Instrument Table'!$A:$A, "")</f>
        <v>11</v>
      </c>
      <c r="G736" s="1" t="str">
        <f>TEXT(IF($B736 = "Retail Item", IF((ROW($A736) - 4504 - _xlfn.XMATCH($C736, $C$4506:$C$5005, 0, 1)) &lt;= VLOOKUP($C736, 'Instrument Table'!$B:$D, 3, FALSE), ROW($A736) - 4504 - _xlfn.XMATCH($C736, $C$4506:$C$5005, 0, 1), 0), 0), "00")</f>
        <v>00</v>
      </c>
      <c r="H736" s="1" t="str">
        <f t="shared" si="67"/>
        <v>180</v>
      </c>
      <c r="I736" s="1" t="str">
        <f t="shared" si="68"/>
        <v>11100-180</v>
      </c>
      <c r="J736" s="1" t="str">
        <f t="shared" si="69"/>
        <v>Upright piano production item #180</v>
      </c>
      <c r="K736" s="1" t="str">
        <f>IF(SUM(COUNTIFS(I:I, I736)) &gt; 1, "DUPLICATE", "UNIQUE")</f>
        <v>UNIQUE</v>
      </c>
      <c r="L736" s="18">
        <v>1</v>
      </c>
      <c r="M736" s="28">
        <v>84</v>
      </c>
      <c r="N736" s="6">
        <v>256</v>
      </c>
      <c r="O736" s="30">
        <f t="shared" si="70"/>
        <v>84</v>
      </c>
      <c r="P736" s="30">
        <f t="shared" si="71"/>
        <v>21504</v>
      </c>
      <c r="Q736" s="1">
        <f>COUNTIFS($P:$P, "&gt;" &amp; $P736) + 1</f>
        <v>982</v>
      </c>
      <c r="R736" s="63">
        <f>(COUNTIFS($P:$P, "&gt;" &amp; $P736) + 1) / (COUNTA($I:$I) - 1)</f>
        <v>0.19639999999999999</v>
      </c>
      <c r="S736" s="23">
        <f>SUMIFS($P:$P, $Q:$Q, "&lt;" &amp; $Q736)</f>
        <v>166107482</v>
      </c>
    </row>
    <row r="737" spans="1:19" x14ac:dyDescent="0.25">
      <c r="A737" s="1">
        <v>732</v>
      </c>
      <c r="B737" s="1" t="s">
        <v>2</v>
      </c>
      <c r="C737" s="1" t="str">
        <f>IF($B737 = "Production Item", _xlfn.XLOOKUP($A737, 'Instrument Table'!$J:$J, 'Instrument Table'!$B:$B, $C736), IF($B737 = "Service Item", _xlfn.XLOOKUP($A737, 'Instrument Table'!$I:$I, 'Instrument Table'!$B:$B, $C736), _xlfn.XLOOKUP($A737, 'Instrument Table'!$H:$H, 'Instrument Table'!$B:$B, $C736)))</f>
        <v>Upright Piano</v>
      </c>
      <c r="D737" s="1" t="str">
        <f>VLOOKUP($C737, 'Instrument Table'!$B:$C, 2, FALSE)</f>
        <v>Pianos</v>
      </c>
      <c r="E737" s="1">
        <f t="shared" si="66"/>
        <v>1</v>
      </c>
      <c r="F737" s="1">
        <f>_xlfn.XLOOKUP($C737, 'Instrument Table'!$B:$B, 'Instrument Table'!$A:$A, "")</f>
        <v>11</v>
      </c>
      <c r="G737" s="1" t="str">
        <f>TEXT(IF($B737 = "Retail Item", IF((ROW($A737) - 4504 - _xlfn.XMATCH($C737, $C$4506:$C$5005, 0, 1)) &lt;= VLOOKUP($C737, 'Instrument Table'!$B:$D, 3, FALSE), ROW($A737) - 4504 - _xlfn.XMATCH($C737, $C$4506:$C$5005, 0, 1), 0), 0), "00")</f>
        <v>00</v>
      </c>
      <c r="H737" s="1" t="str">
        <f t="shared" si="67"/>
        <v>181</v>
      </c>
      <c r="I737" s="1" t="str">
        <f t="shared" si="68"/>
        <v>11100-181</v>
      </c>
      <c r="J737" s="1" t="str">
        <f t="shared" si="69"/>
        <v>Upright piano production item #181</v>
      </c>
      <c r="K737" s="1" t="str">
        <f>IF(SUM(COUNTIFS(I:I, I737)) &gt; 1, "DUPLICATE", "UNIQUE")</f>
        <v>UNIQUE</v>
      </c>
      <c r="L737" s="18">
        <v>8</v>
      </c>
      <c r="M737" s="28">
        <v>29</v>
      </c>
      <c r="N737" s="6">
        <v>49</v>
      </c>
      <c r="O737" s="30">
        <f t="shared" si="70"/>
        <v>232</v>
      </c>
      <c r="P737" s="30">
        <f t="shared" si="71"/>
        <v>1421</v>
      </c>
      <c r="Q737" s="1">
        <f>COUNTIFS($P:$P, "&gt;" &amp; $P737) + 1</f>
        <v>3498</v>
      </c>
      <c r="R737" s="63">
        <f>(COUNTIFS($P:$P, "&gt;" &amp; $P737) + 1) / (COUNTA($I:$I) - 1)</f>
        <v>0.6996</v>
      </c>
      <c r="S737" s="23">
        <f>SUMIFS($P:$P, $Q:$Q, "&lt;" &amp; $Q737)</f>
        <v>185934616</v>
      </c>
    </row>
    <row r="738" spans="1:19" x14ac:dyDescent="0.25">
      <c r="A738" s="1">
        <v>733</v>
      </c>
      <c r="B738" s="1" t="s">
        <v>2</v>
      </c>
      <c r="C738" s="1" t="str">
        <f>IF($B738 = "Production Item", _xlfn.XLOOKUP($A738, 'Instrument Table'!$J:$J, 'Instrument Table'!$B:$B, $C737), IF($B738 = "Service Item", _xlfn.XLOOKUP($A738, 'Instrument Table'!$I:$I, 'Instrument Table'!$B:$B, $C737), _xlfn.XLOOKUP($A738, 'Instrument Table'!$H:$H, 'Instrument Table'!$B:$B, $C737)))</f>
        <v>Upright Piano</v>
      </c>
      <c r="D738" s="1" t="str">
        <f>VLOOKUP($C738, 'Instrument Table'!$B:$C, 2, FALSE)</f>
        <v>Pianos</v>
      </c>
      <c r="E738" s="1">
        <f t="shared" si="66"/>
        <v>1</v>
      </c>
      <c r="F738" s="1">
        <f>_xlfn.XLOOKUP($C738, 'Instrument Table'!$B:$B, 'Instrument Table'!$A:$A, "")</f>
        <v>11</v>
      </c>
      <c r="G738" s="1" t="str">
        <f>TEXT(IF($B738 = "Retail Item", IF((ROW($A738) - 4504 - _xlfn.XMATCH($C738, $C$4506:$C$5005, 0, 1)) &lt;= VLOOKUP($C738, 'Instrument Table'!$B:$D, 3, FALSE), ROW($A738) - 4504 - _xlfn.XMATCH($C738, $C$4506:$C$5005, 0, 1), 0), 0), "00")</f>
        <v>00</v>
      </c>
      <c r="H738" s="1" t="str">
        <f t="shared" si="67"/>
        <v>182</v>
      </c>
      <c r="I738" s="1" t="str">
        <f t="shared" si="68"/>
        <v>11100-182</v>
      </c>
      <c r="J738" s="1" t="str">
        <f t="shared" si="69"/>
        <v>Upright piano production item #182</v>
      </c>
      <c r="K738" s="1" t="str">
        <f>IF(SUM(COUNTIFS(I:I, I738)) &gt; 1, "DUPLICATE", "UNIQUE")</f>
        <v>UNIQUE</v>
      </c>
      <c r="L738" s="18">
        <v>4</v>
      </c>
      <c r="M738" s="28">
        <v>4</v>
      </c>
      <c r="N738" s="6">
        <v>144</v>
      </c>
      <c r="O738" s="30">
        <f t="shared" si="70"/>
        <v>16</v>
      </c>
      <c r="P738" s="30">
        <f t="shared" si="71"/>
        <v>576</v>
      </c>
      <c r="Q738" s="1">
        <f>COUNTIFS($P:$P, "&gt;" &amp; $P738) + 1</f>
        <v>3957</v>
      </c>
      <c r="R738" s="63">
        <f>(COUNTIFS($P:$P, "&gt;" &amp; $P738) + 1) / (COUNTA($I:$I) - 1)</f>
        <v>0.79139999999999999</v>
      </c>
      <c r="S738" s="23">
        <f>SUMIFS($P:$P, $Q:$Q, "&lt;" &amp; $Q738)</f>
        <v>186374368</v>
      </c>
    </row>
    <row r="739" spans="1:19" x14ac:dyDescent="0.25">
      <c r="A739" s="1">
        <v>734</v>
      </c>
      <c r="B739" s="1" t="s">
        <v>2</v>
      </c>
      <c r="C739" s="1" t="str">
        <f>IF($B739 = "Production Item", _xlfn.XLOOKUP($A739, 'Instrument Table'!$J:$J, 'Instrument Table'!$B:$B, $C738), IF($B739 = "Service Item", _xlfn.XLOOKUP($A739, 'Instrument Table'!$I:$I, 'Instrument Table'!$B:$B, $C738), _xlfn.XLOOKUP($A739, 'Instrument Table'!$H:$H, 'Instrument Table'!$B:$B, $C738)))</f>
        <v>Upright Piano</v>
      </c>
      <c r="D739" s="1" t="str">
        <f>VLOOKUP($C739, 'Instrument Table'!$B:$C, 2, FALSE)</f>
        <v>Pianos</v>
      </c>
      <c r="E739" s="1">
        <f t="shared" si="66"/>
        <v>1</v>
      </c>
      <c r="F739" s="1">
        <f>_xlfn.XLOOKUP($C739, 'Instrument Table'!$B:$B, 'Instrument Table'!$A:$A, "")</f>
        <v>11</v>
      </c>
      <c r="G739" s="1" t="str">
        <f>TEXT(IF($B739 = "Retail Item", IF((ROW($A739) - 4504 - _xlfn.XMATCH($C739, $C$4506:$C$5005, 0, 1)) &lt;= VLOOKUP($C739, 'Instrument Table'!$B:$D, 3, FALSE), ROW($A739) - 4504 - _xlfn.XMATCH($C739, $C$4506:$C$5005, 0, 1), 0), 0), "00")</f>
        <v>00</v>
      </c>
      <c r="H739" s="1" t="str">
        <f t="shared" si="67"/>
        <v>183</v>
      </c>
      <c r="I739" s="1" t="str">
        <f t="shared" si="68"/>
        <v>11100-183</v>
      </c>
      <c r="J739" s="1" t="str">
        <f t="shared" si="69"/>
        <v>Upright piano production item #183</v>
      </c>
      <c r="K739" s="1" t="str">
        <f>IF(SUM(COUNTIFS(I:I, I739)) &gt; 1, "DUPLICATE", "UNIQUE")</f>
        <v>UNIQUE</v>
      </c>
      <c r="L739" s="18">
        <v>1</v>
      </c>
      <c r="M739" s="28">
        <v>52</v>
      </c>
      <c r="N739" s="6">
        <v>64</v>
      </c>
      <c r="O739" s="30">
        <f t="shared" si="70"/>
        <v>52</v>
      </c>
      <c r="P739" s="30">
        <f t="shared" si="71"/>
        <v>3328</v>
      </c>
      <c r="Q739" s="1">
        <f>COUNTIFS($P:$P, "&gt;" &amp; $P739) + 1</f>
        <v>2820</v>
      </c>
      <c r="R739" s="63">
        <f>(COUNTIFS($P:$P, "&gt;" &amp; $P739) + 1) / (COUNTA($I:$I) - 1)</f>
        <v>0.56399999999999995</v>
      </c>
      <c r="S739" s="23">
        <f>SUMIFS($P:$P, $Q:$Q, "&lt;" &amp; $Q739)</f>
        <v>184393383</v>
      </c>
    </row>
    <row r="740" spans="1:19" x14ac:dyDescent="0.25">
      <c r="A740" s="1">
        <v>735</v>
      </c>
      <c r="B740" s="1" t="s">
        <v>2</v>
      </c>
      <c r="C740" s="1" t="str">
        <f>IF($B740 = "Production Item", _xlfn.XLOOKUP($A740, 'Instrument Table'!$J:$J, 'Instrument Table'!$B:$B, $C739), IF($B740 = "Service Item", _xlfn.XLOOKUP($A740, 'Instrument Table'!$I:$I, 'Instrument Table'!$B:$B, $C739), _xlfn.XLOOKUP($A740, 'Instrument Table'!$H:$H, 'Instrument Table'!$B:$B, $C739)))</f>
        <v>Upright Piano</v>
      </c>
      <c r="D740" s="1" t="str">
        <f>VLOOKUP($C740, 'Instrument Table'!$B:$C, 2, FALSE)</f>
        <v>Pianos</v>
      </c>
      <c r="E740" s="1">
        <f t="shared" si="66"/>
        <v>1</v>
      </c>
      <c r="F740" s="1">
        <f>_xlfn.XLOOKUP($C740, 'Instrument Table'!$B:$B, 'Instrument Table'!$A:$A, "")</f>
        <v>11</v>
      </c>
      <c r="G740" s="1" t="str">
        <f>TEXT(IF($B740 = "Retail Item", IF((ROW($A740) - 4504 - _xlfn.XMATCH($C740, $C$4506:$C$5005, 0, 1)) &lt;= VLOOKUP($C740, 'Instrument Table'!$B:$D, 3, FALSE), ROW($A740) - 4504 - _xlfn.XMATCH($C740, $C$4506:$C$5005, 0, 1), 0), 0), "00")</f>
        <v>00</v>
      </c>
      <c r="H740" s="1" t="str">
        <f t="shared" si="67"/>
        <v>184</v>
      </c>
      <c r="I740" s="1" t="str">
        <f t="shared" si="68"/>
        <v>11100-184</v>
      </c>
      <c r="J740" s="1" t="str">
        <f t="shared" si="69"/>
        <v>Upright piano production item #184</v>
      </c>
      <c r="K740" s="1" t="str">
        <f>IF(SUM(COUNTIFS(I:I, I740)) &gt; 1, "DUPLICATE", "UNIQUE")</f>
        <v>UNIQUE</v>
      </c>
      <c r="L740" s="18">
        <v>16</v>
      </c>
      <c r="M740" s="28">
        <v>34</v>
      </c>
      <c r="N740" s="6">
        <v>1</v>
      </c>
      <c r="O740" s="30">
        <f t="shared" si="70"/>
        <v>544</v>
      </c>
      <c r="P740" s="30">
        <f t="shared" si="71"/>
        <v>34</v>
      </c>
      <c r="Q740" s="1">
        <f>COUNTIFS($P:$P, "&gt;" &amp; $P740) + 1</f>
        <v>4656</v>
      </c>
      <c r="R740" s="63">
        <f>(COUNTIFS($P:$P, "&gt;" &amp; $P740) + 1) / (COUNTA($I:$I) - 1)</f>
        <v>0.93120000000000003</v>
      </c>
      <c r="S740" s="23">
        <f>SUMIFS($P:$P, $Q:$Q, "&lt;" &amp; $Q740)</f>
        <v>186546240</v>
      </c>
    </row>
    <row r="741" spans="1:19" x14ac:dyDescent="0.25">
      <c r="A741" s="1">
        <v>736</v>
      </c>
      <c r="B741" s="1" t="s">
        <v>2</v>
      </c>
      <c r="C741" s="1" t="str">
        <f>IF($B741 = "Production Item", _xlfn.XLOOKUP($A741, 'Instrument Table'!$J:$J, 'Instrument Table'!$B:$B, $C740), IF($B741 = "Service Item", _xlfn.XLOOKUP($A741, 'Instrument Table'!$I:$I, 'Instrument Table'!$B:$B, $C740), _xlfn.XLOOKUP($A741, 'Instrument Table'!$H:$H, 'Instrument Table'!$B:$B, $C740)))</f>
        <v>Upright Piano</v>
      </c>
      <c r="D741" s="1" t="str">
        <f>VLOOKUP($C741, 'Instrument Table'!$B:$C, 2, FALSE)</f>
        <v>Pianos</v>
      </c>
      <c r="E741" s="1">
        <f t="shared" si="66"/>
        <v>1</v>
      </c>
      <c r="F741" s="1">
        <f>_xlfn.XLOOKUP($C741, 'Instrument Table'!$B:$B, 'Instrument Table'!$A:$A, "")</f>
        <v>11</v>
      </c>
      <c r="G741" s="1" t="str">
        <f>TEXT(IF($B741 = "Retail Item", IF((ROW($A741) - 4504 - _xlfn.XMATCH($C741, $C$4506:$C$5005, 0, 1)) &lt;= VLOOKUP($C741, 'Instrument Table'!$B:$D, 3, FALSE), ROW($A741) - 4504 - _xlfn.XMATCH($C741, $C$4506:$C$5005, 0, 1), 0), 0), "00")</f>
        <v>00</v>
      </c>
      <c r="H741" s="1" t="str">
        <f t="shared" si="67"/>
        <v>185</v>
      </c>
      <c r="I741" s="1" t="str">
        <f t="shared" si="68"/>
        <v>11100-185</v>
      </c>
      <c r="J741" s="1" t="str">
        <f t="shared" si="69"/>
        <v>Upright piano production item #185</v>
      </c>
      <c r="K741" s="1" t="str">
        <f>IF(SUM(COUNTIFS(I:I, I741)) &gt; 1, "DUPLICATE", "UNIQUE")</f>
        <v>UNIQUE</v>
      </c>
      <c r="L741" s="18">
        <v>8</v>
      </c>
      <c r="M741" s="28">
        <v>54</v>
      </c>
      <c r="N741" s="6">
        <v>256</v>
      </c>
      <c r="O741" s="30">
        <f t="shared" si="70"/>
        <v>432</v>
      </c>
      <c r="P741" s="30">
        <f t="shared" si="71"/>
        <v>13824</v>
      </c>
      <c r="Q741" s="1">
        <f>COUNTIFS($P:$P, "&gt;" &amp; $P741) + 1</f>
        <v>1432</v>
      </c>
      <c r="R741" s="63">
        <f>(COUNTIFS($P:$P, "&gt;" &amp; $P741) + 1) / (COUNTA($I:$I) - 1)</f>
        <v>0.28639999999999999</v>
      </c>
      <c r="S741" s="23">
        <f>SUMIFS($P:$P, $Q:$Q, "&lt;" &amp; $Q741)</f>
        <v>173925940</v>
      </c>
    </row>
    <row r="742" spans="1:19" x14ac:dyDescent="0.25">
      <c r="A742" s="1">
        <v>737</v>
      </c>
      <c r="B742" s="1" t="s">
        <v>2</v>
      </c>
      <c r="C742" s="1" t="str">
        <f>IF($B742 = "Production Item", _xlfn.XLOOKUP($A742, 'Instrument Table'!$J:$J, 'Instrument Table'!$B:$B, $C741), IF($B742 = "Service Item", _xlfn.XLOOKUP($A742, 'Instrument Table'!$I:$I, 'Instrument Table'!$B:$B, $C741), _xlfn.XLOOKUP($A742, 'Instrument Table'!$H:$H, 'Instrument Table'!$B:$B, $C741)))</f>
        <v>Upright Piano</v>
      </c>
      <c r="D742" s="1" t="str">
        <f>VLOOKUP($C742, 'Instrument Table'!$B:$C, 2, FALSE)</f>
        <v>Pianos</v>
      </c>
      <c r="E742" s="1">
        <f t="shared" si="66"/>
        <v>1</v>
      </c>
      <c r="F742" s="1">
        <f>_xlfn.XLOOKUP($C742, 'Instrument Table'!$B:$B, 'Instrument Table'!$A:$A, "")</f>
        <v>11</v>
      </c>
      <c r="G742" s="1" t="str">
        <f>TEXT(IF($B742 = "Retail Item", IF((ROW($A742) - 4504 - _xlfn.XMATCH($C742, $C$4506:$C$5005, 0, 1)) &lt;= VLOOKUP($C742, 'Instrument Table'!$B:$D, 3, FALSE), ROW($A742) - 4504 - _xlfn.XMATCH($C742, $C$4506:$C$5005, 0, 1), 0), 0), "00")</f>
        <v>00</v>
      </c>
      <c r="H742" s="1" t="str">
        <f t="shared" si="67"/>
        <v>186</v>
      </c>
      <c r="I742" s="1" t="str">
        <f t="shared" si="68"/>
        <v>11100-186</v>
      </c>
      <c r="J742" s="1" t="str">
        <f t="shared" si="69"/>
        <v>Upright piano production item #186</v>
      </c>
      <c r="K742" s="1" t="str">
        <f>IF(SUM(COUNTIFS(I:I, I742)) &gt; 1, "DUPLICATE", "UNIQUE")</f>
        <v>UNIQUE</v>
      </c>
      <c r="L742" s="18">
        <v>1</v>
      </c>
      <c r="M742" s="28">
        <v>3</v>
      </c>
      <c r="N742" s="6">
        <v>289</v>
      </c>
      <c r="O742" s="30">
        <f t="shared" si="70"/>
        <v>3</v>
      </c>
      <c r="P742" s="30">
        <f t="shared" si="71"/>
        <v>867</v>
      </c>
      <c r="Q742" s="1">
        <f>COUNTIFS($P:$P, "&gt;" &amp; $P742) + 1</f>
        <v>3748</v>
      </c>
      <c r="R742" s="63">
        <f>(COUNTIFS($P:$P, "&gt;" &amp; $P742) + 1) / (COUNTA($I:$I) - 1)</f>
        <v>0.74960000000000004</v>
      </c>
      <c r="S742" s="23">
        <f>SUMIFS($P:$P, $Q:$Q, "&lt;" &amp; $Q742)</f>
        <v>186222444</v>
      </c>
    </row>
    <row r="743" spans="1:19" x14ac:dyDescent="0.25">
      <c r="A743" s="1">
        <v>738</v>
      </c>
      <c r="B743" s="1" t="s">
        <v>2</v>
      </c>
      <c r="C743" s="1" t="str">
        <f>IF($B743 = "Production Item", _xlfn.XLOOKUP($A743, 'Instrument Table'!$J:$J, 'Instrument Table'!$B:$B, $C742), IF($B743 = "Service Item", _xlfn.XLOOKUP($A743, 'Instrument Table'!$I:$I, 'Instrument Table'!$B:$B, $C742), _xlfn.XLOOKUP($A743, 'Instrument Table'!$H:$H, 'Instrument Table'!$B:$B, $C742)))</f>
        <v>Upright Piano</v>
      </c>
      <c r="D743" s="1" t="str">
        <f>VLOOKUP($C743, 'Instrument Table'!$B:$C, 2, FALSE)</f>
        <v>Pianos</v>
      </c>
      <c r="E743" s="1">
        <f t="shared" si="66"/>
        <v>1</v>
      </c>
      <c r="F743" s="1">
        <f>_xlfn.XLOOKUP($C743, 'Instrument Table'!$B:$B, 'Instrument Table'!$A:$A, "")</f>
        <v>11</v>
      </c>
      <c r="G743" s="1" t="str">
        <f>TEXT(IF($B743 = "Retail Item", IF((ROW($A743) - 4504 - _xlfn.XMATCH($C743, $C$4506:$C$5005, 0, 1)) &lt;= VLOOKUP($C743, 'Instrument Table'!$B:$D, 3, FALSE), ROW($A743) - 4504 - _xlfn.XMATCH($C743, $C$4506:$C$5005, 0, 1), 0), 0), "00")</f>
        <v>00</v>
      </c>
      <c r="H743" s="1" t="str">
        <f t="shared" si="67"/>
        <v>187</v>
      </c>
      <c r="I743" s="1" t="str">
        <f t="shared" si="68"/>
        <v>11100-187</v>
      </c>
      <c r="J743" s="1" t="str">
        <f t="shared" si="69"/>
        <v>Upright piano production item #187</v>
      </c>
      <c r="K743" s="1" t="str">
        <f>IF(SUM(COUNTIFS(I:I, I743)) &gt; 1, "DUPLICATE", "UNIQUE")</f>
        <v>UNIQUE</v>
      </c>
      <c r="L743" s="18">
        <v>0</v>
      </c>
      <c r="M743" s="28">
        <v>5</v>
      </c>
      <c r="N743" s="6">
        <v>400</v>
      </c>
      <c r="O743" s="30">
        <f t="shared" si="70"/>
        <v>0</v>
      </c>
      <c r="P743" s="30">
        <f t="shared" si="71"/>
        <v>2000</v>
      </c>
      <c r="Q743" s="1">
        <f>COUNTIFS($P:$P, "&gt;" &amp; $P743) + 1</f>
        <v>3257</v>
      </c>
      <c r="R743" s="63">
        <f>(COUNTIFS($P:$P, "&gt;" &amp; $P743) + 1) / (COUNTA($I:$I) - 1)</f>
        <v>0.65139999999999998</v>
      </c>
      <c r="S743" s="23">
        <f>SUMIFS($P:$P, $Q:$Q, "&lt;" &amp; $Q743)</f>
        <v>185525191</v>
      </c>
    </row>
    <row r="744" spans="1:19" x14ac:dyDescent="0.25">
      <c r="A744" s="1">
        <v>739</v>
      </c>
      <c r="B744" s="1" t="s">
        <v>2</v>
      </c>
      <c r="C744" s="1" t="str">
        <f>IF($B744 = "Production Item", _xlfn.XLOOKUP($A744, 'Instrument Table'!$J:$J, 'Instrument Table'!$B:$B, $C743), IF($B744 = "Service Item", _xlfn.XLOOKUP($A744, 'Instrument Table'!$I:$I, 'Instrument Table'!$B:$B, $C743), _xlfn.XLOOKUP($A744, 'Instrument Table'!$H:$H, 'Instrument Table'!$B:$B, $C743)))</f>
        <v>Upright Piano</v>
      </c>
      <c r="D744" s="1" t="str">
        <f>VLOOKUP($C744, 'Instrument Table'!$B:$C, 2, FALSE)</f>
        <v>Pianos</v>
      </c>
      <c r="E744" s="1">
        <f t="shared" si="66"/>
        <v>1</v>
      </c>
      <c r="F744" s="1">
        <f>_xlfn.XLOOKUP($C744, 'Instrument Table'!$B:$B, 'Instrument Table'!$A:$A, "")</f>
        <v>11</v>
      </c>
      <c r="G744" s="1" t="str">
        <f>TEXT(IF($B744 = "Retail Item", IF((ROW($A744) - 4504 - _xlfn.XMATCH($C744, $C$4506:$C$5005, 0, 1)) &lt;= VLOOKUP($C744, 'Instrument Table'!$B:$D, 3, FALSE), ROW($A744) - 4504 - _xlfn.XMATCH($C744, $C$4506:$C$5005, 0, 1), 0), 0), "00")</f>
        <v>00</v>
      </c>
      <c r="H744" s="1" t="str">
        <f t="shared" si="67"/>
        <v>188</v>
      </c>
      <c r="I744" s="1" t="str">
        <f t="shared" si="68"/>
        <v>11100-188</v>
      </c>
      <c r="J744" s="1" t="str">
        <f t="shared" si="69"/>
        <v>Upright piano production item #188</v>
      </c>
      <c r="K744" s="1" t="str">
        <f>IF(SUM(COUNTIFS(I:I, I744)) &gt; 1, "DUPLICATE", "UNIQUE")</f>
        <v>UNIQUE</v>
      </c>
      <c r="L744" s="18">
        <v>8</v>
      </c>
      <c r="M744" s="28">
        <v>73</v>
      </c>
      <c r="N744" s="6">
        <v>144</v>
      </c>
      <c r="O744" s="30">
        <f t="shared" si="70"/>
        <v>584</v>
      </c>
      <c r="P744" s="30">
        <f t="shared" si="71"/>
        <v>10512</v>
      </c>
      <c r="Q744" s="1">
        <f>COUNTIFS($P:$P, "&gt;" &amp; $P744) + 1</f>
        <v>1726</v>
      </c>
      <c r="R744" s="63">
        <f>(COUNTIFS($P:$P, "&gt;" &amp; $P744) + 1) / (COUNTA($I:$I) - 1)</f>
        <v>0.34520000000000001</v>
      </c>
      <c r="S744" s="23">
        <f>SUMIFS($P:$P, $Q:$Q, "&lt;" &amp; $Q744)</f>
        <v>177492085</v>
      </c>
    </row>
    <row r="745" spans="1:19" x14ac:dyDescent="0.25">
      <c r="A745" s="1">
        <v>740</v>
      </c>
      <c r="B745" s="1" t="s">
        <v>2</v>
      </c>
      <c r="C745" s="1" t="str">
        <f>IF($B745 = "Production Item", _xlfn.XLOOKUP($A745, 'Instrument Table'!$J:$J, 'Instrument Table'!$B:$B, $C744), IF($B745 = "Service Item", _xlfn.XLOOKUP($A745, 'Instrument Table'!$I:$I, 'Instrument Table'!$B:$B, $C744), _xlfn.XLOOKUP($A745, 'Instrument Table'!$H:$H, 'Instrument Table'!$B:$B, $C744)))</f>
        <v>Upright Piano</v>
      </c>
      <c r="D745" s="1" t="str">
        <f>VLOOKUP($C745, 'Instrument Table'!$B:$C, 2, FALSE)</f>
        <v>Pianos</v>
      </c>
      <c r="E745" s="1">
        <f t="shared" si="66"/>
        <v>1</v>
      </c>
      <c r="F745" s="1">
        <f>_xlfn.XLOOKUP($C745, 'Instrument Table'!$B:$B, 'Instrument Table'!$A:$A, "")</f>
        <v>11</v>
      </c>
      <c r="G745" s="1" t="str">
        <f>TEXT(IF($B745 = "Retail Item", IF((ROW($A745) - 4504 - _xlfn.XMATCH($C745, $C$4506:$C$5005, 0, 1)) &lt;= VLOOKUP($C745, 'Instrument Table'!$B:$D, 3, FALSE), ROW($A745) - 4504 - _xlfn.XMATCH($C745, $C$4506:$C$5005, 0, 1), 0), 0), "00")</f>
        <v>00</v>
      </c>
      <c r="H745" s="1" t="str">
        <f t="shared" si="67"/>
        <v>189</v>
      </c>
      <c r="I745" s="1" t="str">
        <f t="shared" si="68"/>
        <v>11100-189</v>
      </c>
      <c r="J745" s="1" t="str">
        <f t="shared" si="69"/>
        <v>Upright piano production item #189</v>
      </c>
      <c r="K745" s="1" t="str">
        <f>IF(SUM(COUNTIFS(I:I, I745)) &gt; 1, "DUPLICATE", "UNIQUE")</f>
        <v>UNIQUE</v>
      </c>
      <c r="L745" s="18">
        <v>0</v>
      </c>
      <c r="M745" s="28">
        <v>70</v>
      </c>
      <c r="N745" s="6">
        <v>4</v>
      </c>
      <c r="O745" s="30">
        <f t="shared" si="70"/>
        <v>0</v>
      </c>
      <c r="P745" s="30">
        <f t="shared" si="71"/>
        <v>280</v>
      </c>
      <c r="Q745" s="1">
        <f>COUNTIFS($P:$P, "&gt;" &amp; $P745) + 1</f>
        <v>4239</v>
      </c>
      <c r="R745" s="63">
        <f>(COUNTIFS($P:$P, "&gt;" &amp; $P745) + 1) / (COUNTA($I:$I) - 1)</f>
        <v>0.8478</v>
      </c>
      <c r="S745" s="23">
        <f>SUMIFS($P:$P, $Q:$Q, "&lt;" &amp; $Q745)</f>
        <v>186492057</v>
      </c>
    </row>
    <row r="746" spans="1:19" x14ac:dyDescent="0.25">
      <c r="A746" s="1">
        <v>741</v>
      </c>
      <c r="B746" s="1" t="s">
        <v>2</v>
      </c>
      <c r="C746" s="1" t="str">
        <f>IF($B746 = "Production Item", _xlfn.XLOOKUP($A746, 'Instrument Table'!$J:$J, 'Instrument Table'!$B:$B, $C745), IF($B746 = "Service Item", _xlfn.XLOOKUP($A746, 'Instrument Table'!$I:$I, 'Instrument Table'!$B:$B, $C745), _xlfn.XLOOKUP($A746, 'Instrument Table'!$H:$H, 'Instrument Table'!$B:$B, $C745)))</f>
        <v>Upright Piano</v>
      </c>
      <c r="D746" s="1" t="str">
        <f>VLOOKUP($C746, 'Instrument Table'!$B:$C, 2, FALSE)</f>
        <v>Pianos</v>
      </c>
      <c r="E746" s="1">
        <f t="shared" si="66"/>
        <v>1</v>
      </c>
      <c r="F746" s="1">
        <f>_xlfn.XLOOKUP($C746, 'Instrument Table'!$B:$B, 'Instrument Table'!$A:$A, "")</f>
        <v>11</v>
      </c>
      <c r="G746" s="1" t="str">
        <f>TEXT(IF($B746 = "Retail Item", IF((ROW($A746) - 4504 - _xlfn.XMATCH($C746, $C$4506:$C$5005, 0, 1)) &lt;= VLOOKUP($C746, 'Instrument Table'!$B:$D, 3, FALSE), ROW($A746) - 4504 - _xlfn.XMATCH($C746, $C$4506:$C$5005, 0, 1), 0), 0), "00")</f>
        <v>00</v>
      </c>
      <c r="H746" s="1" t="str">
        <f t="shared" si="67"/>
        <v>190</v>
      </c>
      <c r="I746" s="1" t="str">
        <f t="shared" si="68"/>
        <v>11100-190</v>
      </c>
      <c r="J746" s="1" t="str">
        <f t="shared" si="69"/>
        <v>Upright piano production item #190</v>
      </c>
      <c r="K746" s="1" t="str">
        <f>IF(SUM(COUNTIFS(I:I, I746)) &gt; 1, "DUPLICATE", "UNIQUE")</f>
        <v>UNIQUE</v>
      </c>
      <c r="L746" s="18">
        <v>0</v>
      </c>
      <c r="M746" s="28">
        <v>50</v>
      </c>
      <c r="N746" s="6">
        <v>324</v>
      </c>
      <c r="O746" s="30">
        <f t="shared" si="70"/>
        <v>0</v>
      </c>
      <c r="P746" s="30">
        <f t="shared" si="71"/>
        <v>16200</v>
      </c>
      <c r="Q746" s="1">
        <f>COUNTIFS($P:$P, "&gt;" &amp; $P746) + 1</f>
        <v>1265</v>
      </c>
      <c r="R746" s="63">
        <f>(COUNTIFS($P:$P, "&gt;" &amp; $P746) + 1) / (COUNTA($I:$I) - 1)</f>
        <v>0.253</v>
      </c>
      <c r="S746" s="23">
        <f>SUMIFS($P:$P, $Q:$Q, "&lt;" &amp; $Q746)</f>
        <v>171414314</v>
      </c>
    </row>
    <row r="747" spans="1:19" x14ac:dyDescent="0.25">
      <c r="A747" s="1">
        <v>742</v>
      </c>
      <c r="B747" s="1" t="s">
        <v>2</v>
      </c>
      <c r="C747" s="1" t="str">
        <f>IF($B747 = "Production Item", _xlfn.XLOOKUP($A747, 'Instrument Table'!$J:$J, 'Instrument Table'!$B:$B, $C746), IF($B747 = "Service Item", _xlfn.XLOOKUP($A747, 'Instrument Table'!$I:$I, 'Instrument Table'!$B:$B, $C746), _xlfn.XLOOKUP($A747, 'Instrument Table'!$H:$H, 'Instrument Table'!$B:$B, $C746)))</f>
        <v>Upright Piano</v>
      </c>
      <c r="D747" s="1" t="str">
        <f>VLOOKUP($C747, 'Instrument Table'!$B:$C, 2, FALSE)</f>
        <v>Pianos</v>
      </c>
      <c r="E747" s="1">
        <f t="shared" si="66"/>
        <v>1</v>
      </c>
      <c r="F747" s="1">
        <f>_xlfn.XLOOKUP($C747, 'Instrument Table'!$B:$B, 'Instrument Table'!$A:$A, "")</f>
        <v>11</v>
      </c>
      <c r="G747" s="1" t="str">
        <f>TEXT(IF($B747 = "Retail Item", IF((ROW($A747) - 4504 - _xlfn.XMATCH($C747, $C$4506:$C$5005, 0, 1)) &lt;= VLOOKUP($C747, 'Instrument Table'!$B:$D, 3, FALSE), ROW($A747) - 4504 - _xlfn.XMATCH($C747, $C$4506:$C$5005, 0, 1), 0), 0), "00")</f>
        <v>00</v>
      </c>
      <c r="H747" s="1" t="str">
        <f t="shared" si="67"/>
        <v>191</v>
      </c>
      <c r="I747" s="1" t="str">
        <f t="shared" si="68"/>
        <v>11100-191</v>
      </c>
      <c r="J747" s="1" t="str">
        <f t="shared" si="69"/>
        <v>Upright piano production item #191</v>
      </c>
      <c r="K747" s="1" t="str">
        <f>IF(SUM(COUNTIFS(I:I, I747)) &gt; 1, "DUPLICATE", "UNIQUE")</f>
        <v>UNIQUE</v>
      </c>
      <c r="L747" s="18">
        <v>0</v>
      </c>
      <c r="M747" s="28">
        <v>90</v>
      </c>
      <c r="N747" s="6">
        <v>169</v>
      </c>
      <c r="O747" s="30">
        <f t="shared" si="70"/>
        <v>0</v>
      </c>
      <c r="P747" s="30">
        <f t="shared" si="71"/>
        <v>15210</v>
      </c>
      <c r="Q747" s="1">
        <f>COUNTIFS($P:$P, "&gt;" &amp; $P747) + 1</f>
        <v>1335</v>
      </c>
      <c r="R747" s="63">
        <f>(COUNTIFS($P:$P, "&gt;" &amp; $P747) + 1) / (COUNTA($I:$I) - 1)</f>
        <v>0.26700000000000002</v>
      </c>
      <c r="S747" s="23">
        <f>SUMIFS($P:$P, $Q:$Q, "&lt;" &amp; $Q747)</f>
        <v>172516108</v>
      </c>
    </row>
    <row r="748" spans="1:19" x14ac:dyDescent="0.25">
      <c r="A748" s="1">
        <v>743</v>
      </c>
      <c r="B748" s="1" t="s">
        <v>2</v>
      </c>
      <c r="C748" s="1" t="str">
        <f>IF($B748 = "Production Item", _xlfn.XLOOKUP($A748, 'Instrument Table'!$J:$J, 'Instrument Table'!$B:$B, $C747), IF($B748 = "Service Item", _xlfn.XLOOKUP($A748, 'Instrument Table'!$I:$I, 'Instrument Table'!$B:$B, $C747), _xlfn.XLOOKUP($A748, 'Instrument Table'!$H:$H, 'Instrument Table'!$B:$B, $C747)))</f>
        <v>Upright Piano</v>
      </c>
      <c r="D748" s="1" t="str">
        <f>VLOOKUP($C748, 'Instrument Table'!$B:$C, 2, FALSE)</f>
        <v>Pianos</v>
      </c>
      <c r="E748" s="1">
        <f t="shared" si="66"/>
        <v>1</v>
      </c>
      <c r="F748" s="1">
        <f>_xlfn.XLOOKUP($C748, 'Instrument Table'!$B:$B, 'Instrument Table'!$A:$A, "")</f>
        <v>11</v>
      </c>
      <c r="G748" s="1" t="str">
        <f>TEXT(IF($B748 = "Retail Item", IF((ROW($A748) - 4504 - _xlfn.XMATCH($C748, $C$4506:$C$5005, 0, 1)) &lt;= VLOOKUP($C748, 'Instrument Table'!$B:$D, 3, FALSE), ROW($A748) - 4504 - _xlfn.XMATCH($C748, $C$4506:$C$5005, 0, 1), 0), 0), "00")</f>
        <v>00</v>
      </c>
      <c r="H748" s="1" t="str">
        <f t="shared" si="67"/>
        <v>192</v>
      </c>
      <c r="I748" s="1" t="str">
        <f t="shared" si="68"/>
        <v>11100-192</v>
      </c>
      <c r="J748" s="1" t="str">
        <f t="shared" si="69"/>
        <v>Upright piano production item #192</v>
      </c>
      <c r="K748" s="1" t="str">
        <f>IF(SUM(COUNTIFS(I:I, I748)) &gt; 1, "DUPLICATE", "UNIQUE")</f>
        <v>UNIQUE</v>
      </c>
      <c r="L748" s="18">
        <v>0</v>
      </c>
      <c r="M748" s="28">
        <v>60</v>
      </c>
      <c r="N748" s="6">
        <v>25</v>
      </c>
      <c r="O748" s="30">
        <f t="shared" si="70"/>
        <v>0</v>
      </c>
      <c r="P748" s="30">
        <f t="shared" si="71"/>
        <v>1500</v>
      </c>
      <c r="Q748" s="1">
        <f>COUNTIFS($P:$P, "&gt;" &amp; $P748) + 1</f>
        <v>3459</v>
      </c>
      <c r="R748" s="63">
        <f>(COUNTIFS($P:$P, "&gt;" &amp; $P748) + 1) / (COUNTA($I:$I) - 1)</f>
        <v>0.69179999999999997</v>
      </c>
      <c r="S748" s="23">
        <f>SUMIFS($P:$P, $Q:$Q, "&lt;" &amp; $Q748)</f>
        <v>185877471</v>
      </c>
    </row>
    <row r="749" spans="1:19" x14ac:dyDescent="0.25">
      <c r="A749" s="1">
        <v>744</v>
      </c>
      <c r="B749" s="1" t="s">
        <v>2</v>
      </c>
      <c r="C749" s="1" t="str">
        <f>IF($B749 = "Production Item", _xlfn.XLOOKUP($A749, 'Instrument Table'!$J:$J, 'Instrument Table'!$B:$B, $C748), IF($B749 = "Service Item", _xlfn.XLOOKUP($A749, 'Instrument Table'!$I:$I, 'Instrument Table'!$B:$B, $C748), _xlfn.XLOOKUP($A749, 'Instrument Table'!$H:$H, 'Instrument Table'!$B:$B, $C748)))</f>
        <v>Upright Piano</v>
      </c>
      <c r="D749" s="1" t="str">
        <f>VLOOKUP($C749, 'Instrument Table'!$B:$C, 2, FALSE)</f>
        <v>Pianos</v>
      </c>
      <c r="E749" s="1">
        <f t="shared" si="66"/>
        <v>1</v>
      </c>
      <c r="F749" s="1">
        <f>_xlfn.XLOOKUP($C749, 'Instrument Table'!$B:$B, 'Instrument Table'!$A:$A, "")</f>
        <v>11</v>
      </c>
      <c r="G749" s="1" t="str">
        <f>TEXT(IF($B749 = "Retail Item", IF((ROW($A749) - 4504 - _xlfn.XMATCH($C749, $C$4506:$C$5005, 0, 1)) &lt;= VLOOKUP($C749, 'Instrument Table'!$B:$D, 3, FALSE), ROW($A749) - 4504 - _xlfn.XMATCH($C749, $C$4506:$C$5005, 0, 1), 0), 0), "00")</f>
        <v>00</v>
      </c>
      <c r="H749" s="1" t="str">
        <f t="shared" si="67"/>
        <v>193</v>
      </c>
      <c r="I749" s="1" t="str">
        <f t="shared" si="68"/>
        <v>11100-193</v>
      </c>
      <c r="J749" s="1" t="str">
        <f t="shared" si="69"/>
        <v>Upright piano production item #193</v>
      </c>
      <c r="K749" s="1" t="str">
        <f>IF(SUM(COUNTIFS(I:I, I749)) &gt; 1, "DUPLICATE", "UNIQUE")</f>
        <v>UNIQUE</v>
      </c>
      <c r="L749" s="18">
        <v>16</v>
      </c>
      <c r="M749" s="28">
        <v>77</v>
      </c>
      <c r="N749" s="6">
        <v>9</v>
      </c>
      <c r="O749" s="30">
        <f t="shared" si="70"/>
        <v>1232</v>
      </c>
      <c r="P749" s="30">
        <f t="shared" si="71"/>
        <v>693</v>
      </c>
      <c r="Q749" s="1">
        <f>COUNTIFS($P:$P, "&gt;" &amp; $P749) + 1</f>
        <v>3888</v>
      </c>
      <c r="R749" s="63">
        <f>(COUNTIFS($P:$P, "&gt;" &amp; $P749) + 1) / (COUNTA($I:$I) - 1)</f>
        <v>0.77759999999999996</v>
      </c>
      <c r="S749" s="23">
        <f>SUMIFS($P:$P, $Q:$Q, "&lt;" &amp; $Q749)</f>
        <v>186330693</v>
      </c>
    </row>
    <row r="750" spans="1:19" x14ac:dyDescent="0.25">
      <c r="A750" s="1">
        <v>745</v>
      </c>
      <c r="B750" s="1" t="s">
        <v>2</v>
      </c>
      <c r="C750" s="1" t="str">
        <f>IF($B750 = "Production Item", _xlfn.XLOOKUP($A750, 'Instrument Table'!$J:$J, 'Instrument Table'!$B:$B, $C749), IF($B750 = "Service Item", _xlfn.XLOOKUP($A750, 'Instrument Table'!$I:$I, 'Instrument Table'!$B:$B, $C749), _xlfn.XLOOKUP($A750, 'Instrument Table'!$H:$H, 'Instrument Table'!$B:$B, $C749)))</f>
        <v>Upright Piano</v>
      </c>
      <c r="D750" s="1" t="str">
        <f>VLOOKUP($C750, 'Instrument Table'!$B:$C, 2, FALSE)</f>
        <v>Pianos</v>
      </c>
      <c r="E750" s="1">
        <f t="shared" si="66"/>
        <v>1</v>
      </c>
      <c r="F750" s="1">
        <f>_xlfn.XLOOKUP($C750, 'Instrument Table'!$B:$B, 'Instrument Table'!$A:$A, "")</f>
        <v>11</v>
      </c>
      <c r="G750" s="1" t="str">
        <f>TEXT(IF($B750 = "Retail Item", IF((ROW($A750) - 4504 - _xlfn.XMATCH($C750, $C$4506:$C$5005, 0, 1)) &lt;= VLOOKUP($C750, 'Instrument Table'!$B:$D, 3, FALSE), ROW($A750) - 4504 - _xlfn.XMATCH($C750, $C$4506:$C$5005, 0, 1), 0), 0), "00")</f>
        <v>00</v>
      </c>
      <c r="H750" s="1" t="str">
        <f t="shared" si="67"/>
        <v>194</v>
      </c>
      <c r="I750" s="1" t="str">
        <f t="shared" si="68"/>
        <v>11100-194</v>
      </c>
      <c r="J750" s="1" t="str">
        <f t="shared" si="69"/>
        <v>Upright piano production item #194</v>
      </c>
      <c r="K750" s="1" t="str">
        <f>IF(SUM(COUNTIFS(I:I, I750)) &gt; 1, "DUPLICATE", "UNIQUE")</f>
        <v>UNIQUE</v>
      </c>
      <c r="L750" s="18">
        <v>4</v>
      </c>
      <c r="M750" s="28">
        <v>69</v>
      </c>
      <c r="N750" s="6">
        <v>169</v>
      </c>
      <c r="O750" s="30">
        <f t="shared" si="70"/>
        <v>276</v>
      </c>
      <c r="P750" s="30">
        <f t="shared" si="71"/>
        <v>11661</v>
      </c>
      <c r="Q750" s="1">
        <f>COUNTIFS($P:$P, "&gt;" &amp; $P750) + 1</f>
        <v>1616</v>
      </c>
      <c r="R750" s="63">
        <f>(COUNTIFS($P:$P, "&gt;" &amp; $P750) + 1) / (COUNTA($I:$I) - 1)</f>
        <v>0.32319999999999999</v>
      </c>
      <c r="S750" s="23">
        <f>SUMIFS($P:$P, $Q:$Q, "&lt;" &amp; $Q750)</f>
        <v>176265691</v>
      </c>
    </row>
    <row r="751" spans="1:19" x14ac:dyDescent="0.25">
      <c r="A751" s="1">
        <v>746</v>
      </c>
      <c r="B751" s="1" t="s">
        <v>2</v>
      </c>
      <c r="C751" s="1" t="str">
        <f>IF($B751 = "Production Item", _xlfn.XLOOKUP($A751, 'Instrument Table'!$J:$J, 'Instrument Table'!$B:$B, $C750), IF($B751 = "Service Item", _xlfn.XLOOKUP($A751, 'Instrument Table'!$I:$I, 'Instrument Table'!$B:$B, $C750), _xlfn.XLOOKUP($A751, 'Instrument Table'!$H:$H, 'Instrument Table'!$B:$B, $C750)))</f>
        <v>Upright Piano</v>
      </c>
      <c r="D751" s="1" t="str">
        <f>VLOOKUP($C751, 'Instrument Table'!$B:$C, 2, FALSE)</f>
        <v>Pianos</v>
      </c>
      <c r="E751" s="1">
        <f t="shared" si="66"/>
        <v>1</v>
      </c>
      <c r="F751" s="1">
        <f>_xlfn.XLOOKUP($C751, 'Instrument Table'!$B:$B, 'Instrument Table'!$A:$A, "")</f>
        <v>11</v>
      </c>
      <c r="G751" s="1" t="str">
        <f>TEXT(IF($B751 = "Retail Item", IF((ROW($A751) - 4504 - _xlfn.XMATCH($C751, $C$4506:$C$5005, 0, 1)) &lt;= VLOOKUP($C751, 'Instrument Table'!$B:$D, 3, FALSE), ROW($A751) - 4504 - _xlfn.XMATCH($C751, $C$4506:$C$5005, 0, 1), 0), 0), "00")</f>
        <v>00</v>
      </c>
      <c r="H751" s="1" t="str">
        <f t="shared" si="67"/>
        <v>195</v>
      </c>
      <c r="I751" s="1" t="str">
        <f t="shared" si="68"/>
        <v>11100-195</v>
      </c>
      <c r="J751" s="1" t="str">
        <f t="shared" si="69"/>
        <v>Upright piano production item #195</v>
      </c>
      <c r="K751" s="1" t="str">
        <f>IF(SUM(COUNTIFS(I:I, I751)) &gt; 1, "DUPLICATE", "UNIQUE")</f>
        <v>UNIQUE</v>
      </c>
      <c r="L751" s="18">
        <v>0</v>
      </c>
      <c r="M751" s="28">
        <v>72</v>
      </c>
      <c r="N751" s="6">
        <v>36</v>
      </c>
      <c r="O751" s="30">
        <f t="shared" si="70"/>
        <v>0</v>
      </c>
      <c r="P751" s="30">
        <f t="shared" si="71"/>
        <v>2592</v>
      </c>
      <c r="Q751" s="1">
        <f>COUNTIFS($P:$P, "&gt;" &amp; $P751) + 1</f>
        <v>3012</v>
      </c>
      <c r="R751" s="63">
        <f>(COUNTIFS($P:$P, "&gt;" &amp; $P751) + 1) / (COUNTA($I:$I) - 1)</f>
        <v>0.60240000000000005</v>
      </c>
      <c r="S751" s="23">
        <f>SUMIFS($P:$P, $Q:$Q, "&lt;" &amp; $Q751)</f>
        <v>184963466</v>
      </c>
    </row>
    <row r="752" spans="1:19" x14ac:dyDescent="0.25">
      <c r="A752" s="1">
        <v>747</v>
      </c>
      <c r="B752" s="1" t="s">
        <v>2</v>
      </c>
      <c r="C752" s="1" t="str">
        <f>IF($B752 = "Production Item", _xlfn.XLOOKUP($A752, 'Instrument Table'!$J:$J, 'Instrument Table'!$B:$B, $C751), IF($B752 = "Service Item", _xlfn.XLOOKUP($A752, 'Instrument Table'!$I:$I, 'Instrument Table'!$B:$B, $C751), _xlfn.XLOOKUP($A752, 'Instrument Table'!$H:$H, 'Instrument Table'!$B:$B, $C751)))</f>
        <v>Upright Piano</v>
      </c>
      <c r="D752" s="1" t="str">
        <f>VLOOKUP($C752, 'Instrument Table'!$B:$C, 2, FALSE)</f>
        <v>Pianos</v>
      </c>
      <c r="E752" s="1">
        <f t="shared" si="66"/>
        <v>1</v>
      </c>
      <c r="F752" s="1">
        <f>_xlfn.XLOOKUP($C752, 'Instrument Table'!$B:$B, 'Instrument Table'!$A:$A, "")</f>
        <v>11</v>
      </c>
      <c r="G752" s="1" t="str">
        <f>TEXT(IF($B752 = "Retail Item", IF((ROW($A752) - 4504 - _xlfn.XMATCH($C752, $C$4506:$C$5005, 0, 1)) &lt;= VLOOKUP($C752, 'Instrument Table'!$B:$D, 3, FALSE), ROW($A752) - 4504 - _xlfn.XMATCH($C752, $C$4506:$C$5005, 0, 1), 0), 0), "00")</f>
        <v>00</v>
      </c>
      <c r="H752" s="1" t="str">
        <f t="shared" si="67"/>
        <v>196</v>
      </c>
      <c r="I752" s="1" t="str">
        <f t="shared" si="68"/>
        <v>11100-196</v>
      </c>
      <c r="J752" s="1" t="str">
        <f t="shared" si="69"/>
        <v>Upright piano production item #196</v>
      </c>
      <c r="K752" s="1" t="str">
        <f>IF(SUM(COUNTIFS(I:I, I752)) &gt; 1, "DUPLICATE", "UNIQUE")</f>
        <v>UNIQUE</v>
      </c>
      <c r="L752" s="18">
        <v>0</v>
      </c>
      <c r="M752" s="28">
        <v>94</v>
      </c>
      <c r="N752" s="6">
        <v>144</v>
      </c>
      <c r="O752" s="30">
        <f t="shared" si="70"/>
        <v>0</v>
      </c>
      <c r="P752" s="30">
        <f t="shared" si="71"/>
        <v>13536</v>
      </c>
      <c r="Q752" s="1">
        <f>COUNTIFS($P:$P, "&gt;" &amp; $P752) + 1</f>
        <v>1458</v>
      </c>
      <c r="R752" s="63">
        <f>(COUNTIFS($P:$P, "&gt;" &amp; $P752) + 1) / (COUNTA($I:$I) - 1)</f>
        <v>0.29160000000000003</v>
      </c>
      <c r="S752" s="23">
        <f>SUMIFS($P:$P, $Q:$Q, "&lt;" &amp; $Q752)</f>
        <v>174281777</v>
      </c>
    </row>
    <row r="753" spans="1:19" x14ac:dyDescent="0.25">
      <c r="A753" s="1">
        <v>748</v>
      </c>
      <c r="B753" s="1" t="s">
        <v>2</v>
      </c>
      <c r="C753" s="1" t="str">
        <f>IF($B753 = "Production Item", _xlfn.XLOOKUP($A753, 'Instrument Table'!$J:$J, 'Instrument Table'!$B:$B, $C752), IF($B753 = "Service Item", _xlfn.XLOOKUP($A753, 'Instrument Table'!$I:$I, 'Instrument Table'!$B:$B, $C752), _xlfn.XLOOKUP($A753, 'Instrument Table'!$H:$H, 'Instrument Table'!$B:$B, $C752)))</f>
        <v>Upright Piano</v>
      </c>
      <c r="D753" s="1" t="str">
        <f>VLOOKUP($C753, 'Instrument Table'!$B:$C, 2, FALSE)</f>
        <v>Pianos</v>
      </c>
      <c r="E753" s="1">
        <f t="shared" si="66"/>
        <v>1</v>
      </c>
      <c r="F753" s="1">
        <f>_xlfn.XLOOKUP($C753, 'Instrument Table'!$B:$B, 'Instrument Table'!$A:$A, "")</f>
        <v>11</v>
      </c>
      <c r="G753" s="1" t="str">
        <f>TEXT(IF($B753 = "Retail Item", IF((ROW($A753) - 4504 - _xlfn.XMATCH($C753, $C$4506:$C$5005, 0, 1)) &lt;= VLOOKUP($C753, 'Instrument Table'!$B:$D, 3, FALSE), ROW($A753) - 4504 - _xlfn.XMATCH($C753, $C$4506:$C$5005, 0, 1), 0), 0), "00")</f>
        <v>00</v>
      </c>
      <c r="H753" s="1" t="str">
        <f t="shared" si="67"/>
        <v>197</v>
      </c>
      <c r="I753" s="1" t="str">
        <f t="shared" si="68"/>
        <v>11100-197</v>
      </c>
      <c r="J753" s="1" t="str">
        <f t="shared" si="69"/>
        <v>Upright piano production item #197</v>
      </c>
      <c r="K753" s="1" t="str">
        <f>IF(SUM(COUNTIFS(I:I, I753)) &gt; 1, "DUPLICATE", "UNIQUE")</f>
        <v>UNIQUE</v>
      </c>
      <c r="L753" s="18">
        <v>0</v>
      </c>
      <c r="M753" s="28">
        <v>84</v>
      </c>
      <c r="N753" s="6">
        <v>1</v>
      </c>
      <c r="O753" s="30">
        <f t="shared" si="70"/>
        <v>0</v>
      </c>
      <c r="P753" s="30">
        <f t="shared" si="71"/>
        <v>84</v>
      </c>
      <c r="Q753" s="1">
        <f>COUNTIFS($P:$P, "&gt;" &amp; $P753) + 1</f>
        <v>4496</v>
      </c>
      <c r="R753" s="63">
        <f>(COUNTIFS($P:$P, "&gt;" &amp; $P753) + 1) / (COUNTA($I:$I) - 1)</f>
        <v>0.8992</v>
      </c>
      <c r="S753" s="23">
        <f>SUMIFS($P:$P, $Q:$Q, "&lt;" &amp; $Q753)</f>
        <v>186536523</v>
      </c>
    </row>
    <row r="754" spans="1:19" x14ac:dyDescent="0.25">
      <c r="A754" s="1">
        <v>749</v>
      </c>
      <c r="B754" s="1" t="s">
        <v>2</v>
      </c>
      <c r="C754" s="1" t="str">
        <f>IF($B754 = "Production Item", _xlfn.XLOOKUP($A754, 'Instrument Table'!$J:$J, 'Instrument Table'!$B:$B, $C753), IF($B754 = "Service Item", _xlfn.XLOOKUP($A754, 'Instrument Table'!$I:$I, 'Instrument Table'!$B:$B, $C753), _xlfn.XLOOKUP($A754, 'Instrument Table'!$H:$H, 'Instrument Table'!$B:$B, $C753)))</f>
        <v>Upright Piano</v>
      </c>
      <c r="D754" s="1" t="str">
        <f>VLOOKUP($C754, 'Instrument Table'!$B:$C, 2, FALSE)</f>
        <v>Pianos</v>
      </c>
      <c r="E754" s="1">
        <f t="shared" si="66"/>
        <v>1</v>
      </c>
      <c r="F754" s="1">
        <f>_xlfn.XLOOKUP($C754, 'Instrument Table'!$B:$B, 'Instrument Table'!$A:$A, "")</f>
        <v>11</v>
      </c>
      <c r="G754" s="1" t="str">
        <f>TEXT(IF($B754 = "Retail Item", IF((ROW($A754) - 4504 - _xlfn.XMATCH($C754, $C$4506:$C$5005, 0, 1)) &lt;= VLOOKUP($C754, 'Instrument Table'!$B:$D, 3, FALSE), ROW($A754) - 4504 - _xlfn.XMATCH($C754, $C$4506:$C$5005, 0, 1), 0), 0), "00")</f>
        <v>00</v>
      </c>
      <c r="H754" s="1" t="str">
        <f t="shared" si="67"/>
        <v>198</v>
      </c>
      <c r="I754" s="1" t="str">
        <f t="shared" si="68"/>
        <v>11100-198</v>
      </c>
      <c r="J754" s="1" t="str">
        <f t="shared" si="69"/>
        <v>Upright piano production item #198</v>
      </c>
      <c r="K754" s="1" t="str">
        <f>IF(SUM(COUNTIFS(I:I, I754)) &gt; 1, "DUPLICATE", "UNIQUE")</f>
        <v>UNIQUE</v>
      </c>
      <c r="L754" s="18">
        <v>32</v>
      </c>
      <c r="M754" s="28">
        <v>15</v>
      </c>
      <c r="N754" s="6">
        <v>196</v>
      </c>
      <c r="O754" s="30">
        <f t="shared" si="70"/>
        <v>480</v>
      </c>
      <c r="P754" s="30">
        <f t="shared" si="71"/>
        <v>2940</v>
      </c>
      <c r="Q754" s="1">
        <f>COUNTIFS($P:$P, "&gt;" &amp; $P754) + 1</f>
        <v>2917</v>
      </c>
      <c r="R754" s="63">
        <f>(COUNTIFS($P:$P, "&gt;" &amp; $P754) + 1) / (COUNTA($I:$I) - 1)</f>
        <v>0.58340000000000003</v>
      </c>
      <c r="S754" s="23">
        <f>SUMIFS($P:$P, $Q:$Q, "&lt;" &amp; $Q754)</f>
        <v>184699259</v>
      </c>
    </row>
    <row r="755" spans="1:19" x14ac:dyDescent="0.25">
      <c r="A755" s="1">
        <v>750</v>
      </c>
      <c r="B755" s="1" t="s">
        <v>2</v>
      </c>
      <c r="C755" s="1" t="str">
        <f>IF($B755 = "Production Item", _xlfn.XLOOKUP($A755, 'Instrument Table'!$J:$J, 'Instrument Table'!$B:$B, $C754), IF($B755 = "Service Item", _xlfn.XLOOKUP($A755, 'Instrument Table'!$I:$I, 'Instrument Table'!$B:$B, $C754), _xlfn.XLOOKUP($A755, 'Instrument Table'!$H:$H, 'Instrument Table'!$B:$B, $C754)))</f>
        <v>Upright Piano</v>
      </c>
      <c r="D755" s="1" t="str">
        <f>VLOOKUP($C755, 'Instrument Table'!$B:$C, 2, FALSE)</f>
        <v>Pianos</v>
      </c>
      <c r="E755" s="1">
        <f t="shared" si="66"/>
        <v>1</v>
      </c>
      <c r="F755" s="1">
        <f>_xlfn.XLOOKUP($C755, 'Instrument Table'!$B:$B, 'Instrument Table'!$A:$A, "")</f>
        <v>11</v>
      </c>
      <c r="G755" s="1" t="str">
        <f>TEXT(IF($B755 = "Retail Item", IF((ROW($A755) - 4504 - _xlfn.XMATCH($C755, $C$4506:$C$5005, 0, 1)) &lt;= VLOOKUP($C755, 'Instrument Table'!$B:$D, 3, FALSE), ROW($A755) - 4504 - _xlfn.XMATCH($C755, $C$4506:$C$5005, 0, 1), 0), 0), "00")</f>
        <v>00</v>
      </c>
      <c r="H755" s="1" t="str">
        <f t="shared" si="67"/>
        <v>199</v>
      </c>
      <c r="I755" s="1" t="str">
        <f t="shared" si="68"/>
        <v>11100-199</v>
      </c>
      <c r="J755" s="1" t="str">
        <f t="shared" si="69"/>
        <v>Upright piano production item #199</v>
      </c>
      <c r="K755" s="1" t="str">
        <f>IF(SUM(COUNTIFS(I:I, I755)) &gt; 1, "DUPLICATE", "UNIQUE")</f>
        <v>UNIQUE</v>
      </c>
      <c r="L755" s="18">
        <v>0</v>
      </c>
      <c r="M755" s="28">
        <v>79</v>
      </c>
      <c r="N755" s="6">
        <v>4</v>
      </c>
      <c r="O755" s="30">
        <f t="shared" si="70"/>
        <v>0</v>
      </c>
      <c r="P755" s="30">
        <f t="shared" si="71"/>
        <v>316</v>
      </c>
      <c r="Q755" s="1">
        <f>COUNTIFS($P:$P, "&gt;" &amp; $P755) + 1</f>
        <v>4199</v>
      </c>
      <c r="R755" s="63">
        <f>(COUNTIFS($P:$P, "&gt;" &amp; $P755) + 1) / (COUNTA($I:$I) - 1)</f>
        <v>0.83979999999999999</v>
      </c>
      <c r="S755" s="23">
        <f>SUMIFS($P:$P, $Q:$Q, "&lt;" &amp; $Q755)</f>
        <v>186480078</v>
      </c>
    </row>
    <row r="756" spans="1:19" x14ac:dyDescent="0.25">
      <c r="A756" s="1">
        <v>751</v>
      </c>
      <c r="B756" s="1" t="s">
        <v>2</v>
      </c>
      <c r="C756" s="1" t="str">
        <f>IF($B756 = "Production Item", _xlfn.XLOOKUP($A756, 'Instrument Table'!$J:$J, 'Instrument Table'!$B:$B, $C755), IF($B756 = "Service Item", _xlfn.XLOOKUP($A756, 'Instrument Table'!$I:$I, 'Instrument Table'!$B:$B, $C755), _xlfn.XLOOKUP($A756, 'Instrument Table'!$H:$H, 'Instrument Table'!$B:$B, $C755)))</f>
        <v>Electric Keyboard</v>
      </c>
      <c r="D756" s="1" t="str">
        <f>VLOOKUP($C756, 'Instrument Table'!$B:$C, 2, FALSE)</f>
        <v>Pianos</v>
      </c>
      <c r="E756" s="1">
        <f t="shared" si="66"/>
        <v>1</v>
      </c>
      <c r="F756" s="1">
        <f>_xlfn.XLOOKUP($C756, 'Instrument Table'!$B:$B, 'Instrument Table'!$A:$A, "")</f>
        <v>12</v>
      </c>
      <c r="G756" s="1" t="str">
        <f>TEXT(IF($B756 = "Retail Item", IF((ROW($A756) - 4504 - _xlfn.XMATCH($C756, $C$4506:$C$5005, 0, 1)) &lt;= VLOOKUP($C756, 'Instrument Table'!$B:$D, 3, FALSE), ROW($A756) - 4504 - _xlfn.XMATCH($C756, $C$4506:$C$5005, 0, 1), 0), 0), "00")</f>
        <v>00</v>
      </c>
      <c r="H756" s="1" t="str">
        <f t="shared" si="67"/>
        <v>000</v>
      </c>
      <c r="I756" s="1" t="str">
        <f t="shared" si="68"/>
        <v>11200-000</v>
      </c>
      <c r="J756" s="1" t="str">
        <f t="shared" si="69"/>
        <v>Electric keyboard production item #000</v>
      </c>
      <c r="K756" s="1" t="str">
        <f>IF(SUM(COUNTIFS(I:I, I756)) &gt; 1, "DUPLICATE", "UNIQUE")</f>
        <v>UNIQUE</v>
      </c>
      <c r="L756" s="18">
        <v>0</v>
      </c>
      <c r="M756" s="28">
        <v>15</v>
      </c>
      <c r="N756" s="6">
        <v>49</v>
      </c>
      <c r="O756" s="30">
        <f t="shared" si="70"/>
        <v>0</v>
      </c>
      <c r="P756" s="30">
        <f t="shared" si="71"/>
        <v>735</v>
      </c>
      <c r="Q756" s="1">
        <f>COUNTIFS($P:$P, "&gt;" &amp; $P756) + 1</f>
        <v>3842</v>
      </c>
      <c r="R756" s="63">
        <f>(COUNTIFS($P:$P, "&gt;" &amp; $P756) + 1) / (COUNTA($I:$I) - 1)</f>
        <v>0.76839999999999997</v>
      </c>
      <c r="S756" s="23">
        <f>SUMIFS($P:$P, $Q:$Q, "&lt;" &amp; $Q756)</f>
        <v>186297691</v>
      </c>
    </row>
    <row r="757" spans="1:19" x14ac:dyDescent="0.25">
      <c r="A757" s="1">
        <v>752</v>
      </c>
      <c r="B757" s="1" t="s">
        <v>2</v>
      </c>
      <c r="C757" s="1" t="str">
        <f>IF($B757 = "Production Item", _xlfn.XLOOKUP($A757, 'Instrument Table'!$J:$J, 'Instrument Table'!$B:$B, $C756), IF($B757 = "Service Item", _xlfn.XLOOKUP($A757, 'Instrument Table'!$I:$I, 'Instrument Table'!$B:$B, $C756), _xlfn.XLOOKUP($A757, 'Instrument Table'!$H:$H, 'Instrument Table'!$B:$B, $C756)))</f>
        <v>Electric Keyboard</v>
      </c>
      <c r="D757" s="1" t="str">
        <f>VLOOKUP($C757, 'Instrument Table'!$B:$C, 2, FALSE)</f>
        <v>Pianos</v>
      </c>
      <c r="E757" s="1">
        <f t="shared" si="66"/>
        <v>1</v>
      </c>
      <c r="F757" s="1">
        <f>_xlfn.XLOOKUP($C757, 'Instrument Table'!$B:$B, 'Instrument Table'!$A:$A, "")</f>
        <v>12</v>
      </c>
      <c r="G757" s="1" t="str">
        <f>TEXT(IF($B757 = "Retail Item", IF((ROW($A757) - 4504 - _xlfn.XMATCH($C757, $C$4506:$C$5005, 0, 1)) &lt;= VLOOKUP($C757, 'Instrument Table'!$B:$D, 3, FALSE), ROW($A757) - 4504 - _xlfn.XMATCH($C757, $C$4506:$C$5005, 0, 1), 0), 0), "00")</f>
        <v>00</v>
      </c>
      <c r="H757" s="1" t="str">
        <f t="shared" si="67"/>
        <v>001</v>
      </c>
      <c r="I757" s="1" t="str">
        <f t="shared" si="68"/>
        <v>11200-001</v>
      </c>
      <c r="J757" s="1" t="str">
        <f t="shared" si="69"/>
        <v>Electric keyboard production item #001</v>
      </c>
      <c r="K757" s="1" t="str">
        <f>IF(SUM(COUNTIFS(I:I, I757)) &gt; 1, "DUPLICATE", "UNIQUE")</f>
        <v>UNIQUE</v>
      </c>
      <c r="L757" s="18">
        <v>0</v>
      </c>
      <c r="M757" s="28">
        <v>14</v>
      </c>
      <c r="N757" s="6">
        <v>100</v>
      </c>
      <c r="O757" s="30">
        <f t="shared" si="70"/>
        <v>0</v>
      </c>
      <c r="P757" s="30">
        <f t="shared" si="71"/>
        <v>1400</v>
      </c>
      <c r="Q757" s="1">
        <f>COUNTIFS($P:$P, "&gt;" &amp; $P757) + 1</f>
        <v>3510</v>
      </c>
      <c r="R757" s="63">
        <f>(COUNTIFS($P:$P, "&gt;" &amp; $P757) + 1) / (COUNTA($I:$I) - 1)</f>
        <v>0.70199999999999996</v>
      </c>
      <c r="S757" s="23">
        <f>SUMIFS($P:$P, $Q:$Q, "&lt;" &amp; $Q757)</f>
        <v>185951547</v>
      </c>
    </row>
    <row r="758" spans="1:19" x14ac:dyDescent="0.25">
      <c r="A758" s="1">
        <v>753</v>
      </c>
      <c r="B758" s="1" t="s">
        <v>2</v>
      </c>
      <c r="C758" s="1" t="str">
        <f>IF($B758 = "Production Item", _xlfn.XLOOKUP($A758, 'Instrument Table'!$J:$J, 'Instrument Table'!$B:$B, $C757), IF($B758 = "Service Item", _xlfn.XLOOKUP($A758, 'Instrument Table'!$I:$I, 'Instrument Table'!$B:$B, $C757), _xlfn.XLOOKUP($A758, 'Instrument Table'!$H:$H, 'Instrument Table'!$B:$B, $C757)))</f>
        <v>Electric Keyboard</v>
      </c>
      <c r="D758" s="1" t="str">
        <f>VLOOKUP($C758, 'Instrument Table'!$B:$C, 2, FALSE)</f>
        <v>Pianos</v>
      </c>
      <c r="E758" s="1">
        <f t="shared" si="66"/>
        <v>1</v>
      </c>
      <c r="F758" s="1">
        <f>_xlfn.XLOOKUP($C758, 'Instrument Table'!$B:$B, 'Instrument Table'!$A:$A, "")</f>
        <v>12</v>
      </c>
      <c r="G758" s="1" t="str">
        <f>TEXT(IF($B758 = "Retail Item", IF((ROW($A758) - 4504 - _xlfn.XMATCH($C758, $C$4506:$C$5005, 0, 1)) &lt;= VLOOKUP($C758, 'Instrument Table'!$B:$D, 3, FALSE), ROW($A758) - 4504 - _xlfn.XMATCH($C758, $C$4506:$C$5005, 0, 1), 0), 0), "00")</f>
        <v>00</v>
      </c>
      <c r="H758" s="1" t="str">
        <f t="shared" si="67"/>
        <v>002</v>
      </c>
      <c r="I758" s="1" t="str">
        <f t="shared" si="68"/>
        <v>11200-002</v>
      </c>
      <c r="J758" s="1" t="str">
        <f t="shared" si="69"/>
        <v>Electric keyboard production item #002</v>
      </c>
      <c r="K758" s="1" t="str">
        <f>IF(SUM(COUNTIFS(I:I, I758)) &gt; 1, "DUPLICATE", "UNIQUE")</f>
        <v>UNIQUE</v>
      </c>
      <c r="L758" s="18">
        <v>1</v>
      </c>
      <c r="M758" s="28">
        <v>46</v>
      </c>
      <c r="N758" s="6">
        <v>225</v>
      </c>
      <c r="O758" s="30">
        <f t="shared" si="70"/>
        <v>46</v>
      </c>
      <c r="P758" s="30">
        <f t="shared" si="71"/>
        <v>10350</v>
      </c>
      <c r="Q758" s="1">
        <f>COUNTIFS($P:$P, "&gt;" &amp; $P758) + 1</f>
        <v>1745</v>
      </c>
      <c r="R758" s="63">
        <f>(COUNTIFS($P:$P, "&gt;" &amp; $P758) + 1) / (COUNTA($I:$I) - 1)</f>
        <v>0.34899999999999998</v>
      </c>
      <c r="S758" s="23">
        <f>SUMIFS($P:$P, $Q:$Q, "&lt;" &amp; $Q758)</f>
        <v>177690452</v>
      </c>
    </row>
    <row r="759" spans="1:19" x14ac:dyDescent="0.25">
      <c r="A759" s="1">
        <v>754</v>
      </c>
      <c r="B759" s="1" t="s">
        <v>2</v>
      </c>
      <c r="C759" s="1" t="str">
        <f>IF($B759 = "Production Item", _xlfn.XLOOKUP($A759, 'Instrument Table'!$J:$J, 'Instrument Table'!$B:$B, $C758), IF($B759 = "Service Item", _xlfn.XLOOKUP($A759, 'Instrument Table'!$I:$I, 'Instrument Table'!$B:$B, $C758), _xlfn.XLOOKUP($A759, 'Instrument Table'!$H:$H, 'Instrument Table'!$B:$B, $C758)))</f>
        <v>Electric Keyboard</v>
      </c>
      <c r="D759" s="1" t="str">
        <f>VLOOKUP($C759, 'Instrument Table'!$B:$C, 2, FALSE)</f>
        <v>Pianos</v>
      </c>
      <c r="E759" s="1">
        <f t="shared" si="66"/>
        <v>1</v>
      </c>
      <c r="F759" s="1">
        <f>_xlfn.XLOOKUP($C759, 'Instrument Table'!$B:$B, 'Instrument Table'!$A:$A, "")</f>
        <v>12</v>
      </c>
      <c r="G759" s="1" t="str">
        <f>TEXT(IF($B759 = "Retail Item", IF((ROW($A759) - 4504 - _xlfn.XMATCH($C759, $C$4506:$C$5005, 0, 1)) &lt;= VLOOKUP($C759, 'Instrument Table'!$B:$D, 3, FALSE), ROW($A759) - 4504 - _xlfn.XMATCH($C759, $C$4506:$C$5005, 0, 1), 0), 0), "00")</f>
        <v>00</v>
      </c>
      <c r="H759" s="1" t="str">
        <f t="shared" si="67"/>
        <v>003</v>
      </c>
      <c r="I759" s="1" t="str">
        <f t="shared" si="68"/>
        <v>11200-003</v>
      </c>
      <c r="J759" s="1" t="str">
        <f t="shared" si="69"/>
        <v>Electric keyboard production item #003</v>
      </c>
      <c r="K759" s="1" t="str">
        <f>IF(SUM(COUNTIFS(I:I, I759)) &gt; 1, "DUPLICATE", "UNIQUE")</f>
        <v>UNIQUE</v>
      </c>
      <c r="L759" s="18">
        <v>1</v>
      </c>
      <c r="M759" s="28">
        <v>58</v>
      </c>
      <c r="N759" s="6">
        <v>324</v>
      </c>
      <c r="O759" s="30">
        <f t="shared" si="70"/>
        <v>58</v>
      </c>
      <c r="P759" s="30">
        <f t="shared" si="71"/>
        <v>18792</v>
      </c>
      <c r="Q759" s="1">
        <f>COUNTIFS($P:$P, "&gt;" &amp; $P759) + 1</f>
        <v>1113</v>
      </c>
      <c r="R759" s="63">
        <f>(COUNTIFS($P:$P, "&gt;" &amp; $P759) + 1) / (COUNTA($I:$I) - 1)</f>
        <v>0.22259999999999999</v>
      </c>
      <c r="S759" s="23">
        <f>SUMIFS($P:$P, $Q:$Q, "&lt;" &amp; $Q759)</f>
        <v>168750418</v>
      </c>
    </row>
    <row r="760" spans="1:19" x14ac:dyDescent="0.25">
      <c r="A760" s="1">
        <v>755</v>
      </c>
      <c r="B760" s="1" t="s">
        <v>2</v>
      </c>
      <c r="C760" s="1" t="str">
        <f>IF($B760 = "Production Item", _xlfn.XLOOKUP($A760, 'Instrument Table'!$J:$J, 'Instrument Table'!$B:$B, $C759), IF($B760 = "Service Item", _xlfn.XLOOKUP($A760, 'Instrument Table'!$I:$I, 'Instrument Table'!$B:$B, $C759), _xlfn.XLOOKUP($A760, 'Instrument Table'!$H:$H, 'Instrument Table'!$B:$B, $C759)))</f>
        <v>Electric Keyboard</v>
      </c>
      <c r="D760" s="1" t="str">
        <f>VLOOKUP($C760, 'Instrument Table'!$B:$C, 2, FALSE)</f>
        <v>Pianos</v>
      </c>
      <c r="E760" s="1">
        <f t="shared" si="66"/>
        <v>1</v>
      </c>
      <c r="F760" s="1">
        <f>_xlfn.XLOOKUP($C760, 'Instrument Table'!$B:$B, 'Instrument Table'!$A:$A, "")</f>
        <v>12</v>
      </c>
      <c r="G760" s="1" t="str">
        <f>TEXT(IF($B760 = "Retail Item", IF((ROW($A760) - 4504 - _xlfn.XMATCH($C760, $C$4506:$C$5005, 0, 1)) &lt;= VLOOKUP($C760, 'Instrument Table'!$B:$D, 3, FALSE), ROW($A760) - 4504 - _xlfn.XMATCH($C760, $C$4506:$C$5005, 0, 1), 0), 0), "00")</f>
        <v>00</v>
      </c>
      <c r="H760" s="1" t="str">
        <f t="shared" si="67"/>
        <v>004</v>
      </c>
      <c r="I760" s="1" t="str">
        <f t="shared" si="68"/>
        <v>11200-004</v>
      </c>
      <c r="J760" s="1" t="str">
        <f t="shared" si="69"/>
        <v>Electric keyboard production item #004</v>
      </c>
      <c r="K760" s="1" t="str">
        <f>IF(SUM(COUNTIFS(I:I, I760)) &gt; 1, "DUPLICATE", "UNIQUE")</f>
        <v>UNIQUE</v>
      </c>
      <c r="L760" s="18">
        <v>0</v>
      </c>
      <c r="M760" s="28">
        <v>42</v>
      </c>
      <c r="N760" s="6">
        <v>64</v>
      </c>
      <c r="O760" s="30">
        <f t="shared" si="70"/>
        <v>0</v>
      </c>
      <c r="P760" s="30">
        <f t="shared" si="71"/>
        <v>2688</v>
      </c>
      <c r="Q760" s="1">
        <f>COUNTIFS($P:$P, "&gt;" &amp; $P760) + 1</f>
        <v>2989</v>
      </c>
      <c r="R760" s="63">
        <f>(COUNTIFS($P:$P, "&gt;" &amp; $P760) + 1) / (COUNTA($I:$I) - 1)</f>
        <v>0.5978</v>
      </c>
      <c r="S760" s="23">
        <f>SUMIFS($P:$P, $Q:$Q, "&lt;" &amp; $Q760)</f>
        <v>184902778</v>
      </c>
    </row>
    <row r="761" spans="1:19" x14ac:dyDescent="0.25">
      <c r="A761" s="1">
        <v>756</v>
      </c>
      <c r="B761" s="1" t="s">
        <v>2</v>
      </c>
      <c r="C761" s="1" t="str">
        <f>IF($B761 = "Production Item", _xlfn.XLOOKUP($A761, 'Instrument Table'!$J:$J, 'Instrument Table'!$B:$B, $C760), IF($B761 = "Service Item", _xlfn.XLOOKUP($A761, 'Instrument Table'!$I:$I, 'Instrument Table'!$B:$B, $C760), _xlfn.XLOOKUP($A761, 'Instrument Table'!$H:$H, 'Instrument Table'!$B:$B, $C760)))</f>
        <v>Electric Keyboard</v>
      </c>
      <c r="D761" s="1" t="str">
        <f>VLOOKUP($C761, 'Instrument Table'!$B:$C, 2, FALSE)</f>
        <v>Pianos</v>
      </c>
      <c r="E761" s="1">
        <f t="shared" si="66"/>
        <v>1</v>
      </c>
      <c r="F761" s="1">
        <f>_xlfn.XLOOKUP($C761, 'Instrument Table'!$B:$B, 'Instrument Table'!$A:$A, "")</f>
        <v>12</v>
      </c>
      <c r="G761" s="1" t="str">
        <f>TEXT(IF($B761 = "Retail Item", IF((ROW($A761) - 4504 - _xlfn.XMATCH($C761, $C$4506:$C$5005, 0, 1)) &lt;= VLOOKUP($C761, 'Instrument Table'!$B:$D, 3, FALSE), ROW($A761) - 4504 - _xlfn.XMATCH($C761, $C$4506:$C$5005, 0, 1), 0), 0), "00")</f>
        <v>00</v>
      </c>
      <c r="H761" s="1" t="str">
        <f t="shared" si="67"/>
        <v>005</v>
      </c>
      <c r="I761" s="1" t="str">
        <f t="shared" si="68"/>
        <v>11200-005</v>
      </c>
      <c r="J761" s="1" t="str">
        <f t="shared" si="69"/>
        <v>Electric keyboard production item #005</v>
      </c>
      <c r="K761" s="1" t="str">
        <f>IF(SUM(COUNTIFS(I:I, I761)) &gt; 1, "DUPLICATE", "UNIQUE")</f>
        <v>UNIQUE</v>
      </c>
      <c r="L761" s="18">
        <v>0</v>
      </c>
      <c r="M761" s="28">
        <v>47</v>
      </c>
      <c r="N761" s="6">
        <v>196</v>
      </c>
      <c r="O761" s="30">
        <f t="shared" si="70"/>
        <v>0</v>
      </c>
      <c r="P761" s="30">
        <f t="shared" si="71"/>
        <v>9212</v>
      </c>
      <c r="Q761" s="1">
        <f>COUNTIFS($P:$P, "&gt;" &amp; $P761) + 1</f>
        <v>1854</v>
      </c>
      <c r="R761" s="63">
        <f>(COUNTIFS($P:$P, "&gt;" &amp; $P761) + 1) / (COUNTA($I:$I) - 1)</f>
        <v>0.37080000000000002</v>
      </c>
      <c r="S761" s="23">
        <f>SUMIFS($P:$P, $Q:$Q, "&lt;" &amp; $Q761)</f>
        <v>178750688</v>
      </c>
    </row>
    <row r="762" spans="1:19" x14ac:dyDescent="0.25">
      <c r="A762" s="1">
        <v>757</v>
      </c>
      <c r="B762" s="1" t="s">
        <v>2</v>
      </c>
      <c r="C762" s="1" t="str">
        <f>IF($B762 = "Production Item", _xlfn.XLOOKUP($A762, 'Instrument Table'!$J:$J, 'Instrument Table'!$B:$B, $C761), IF($B762 = "Service Item", _xlfn.XLOOKUP($A762, 'Instrument Table'!$I:$I, 'Instrument Table'!$B:$B, $C761), _xlfn.XLOOKUP($A762, 'Instrument Table'!$H:$H, 'Instrument Table'!$B:$B, $C761)))</f>
        <v>Electric Keyboard</v>
      </c>
      <c r="D762" s="1" t="str">
        <f>VLOOKUP($C762, 'Instrument Table'!$B:$C, 2, FALSE)</f>
        <v>Pianos</v>
      </c>
      <c r="E762" s="1">
        <f t="shared" si="66"/>
        <v>1</v>
      </c>
      <c r="F762" s="1">
        <f>_xlfn.XLOOKUP($C762, 'Instrument Table'!$B:$B, 'Instrument Table'!$A:$A, "")</f>
        <v>12</v>
      </c>
      <c r="G762" s="1" t="str">
        <f>TEXT(IF($B762 = "Retail Item", IF((ROW($A762) - 4504 - _xlfn.XMATCH($C762, $C$4506:$C$5005, 0, 1)) &lt;= VLOOKUP($C762, 'Instrument Table'!$B:$D, 3, FALSE), ROW($A762) - 4504 - _xlfn.XMATCH($C762, $C$4506:$C$5005, 0, 1), 0), 0), "00")</f>
        <v>00</v>
      </c>
      <c r="H762" s="1" t="str">
        <f t="shared" si="67"/>
        <v>006</v>
      </c>
      <c r="I762" s="1" t="str">
        <f t="shared" si="68"/>
        <v>11200-006</v>
      </c>
      <c r="J762" s="1" t="str">
        <f t="shared" si="69"/>
        <v>Electric keyboard production item #006</v>
      </c>
      <c r="K762" s="1" t="str">
        <f>IF(SUM(COUNTIFS(I:I, I762)) &gt; 1, "DUPLICATE", "UNIQUE")</f>
        <v>UNIQUE</v>
      </c>
      <c r="L762" s="18">
        <v>1</v>
      </c>
      <c r="M762" s="28">
        <v>49</v>
      </c>
      <c r="N762" s="6">
        <v>144</v>
      </c>
      <c r="O762" s="30">
        <f t="shared" si="70"/>
        <v>49</v>
      </c>
      <c r="P762" s="30">
        <f t="shared" si="71"/>
        <v>7056</v>
      </c>
      <c r="Q762" s="1">
        <f>COUNTIFS($P:$P, "&gt;" &amp; $P762) + 1</f>
        <v>2125</v>
      </c>
      <c r="R762" s="63">
        <f>(COUNTIFS($P:$P, "&gt;" &amp; $P762) + 1) / (COUNTA($I:$I) - 1)</f>
        <v>0.42499999999999999</v>
      </c>
      <c r="S762" s="23">
        <f>SUMIFS($P:$P, $Q:$Q, "&lt;" &amp; $Q762)</f>
        <v>180938988</v>
      </c>
    </row>
    <row r="763" spans="1:19" x14ac:dyDescent="0.25">
      <c r="A763" s="1">
        <v>758</v>
      </c>
      <c r="B763" s="1" t="s">
        <v>2</v>
      </c>
      <c r="C763" s="1" t="str">
        <f>IF($B763 = "Production Item", _xlfn.XLOOKUP($A763, 'Instrument Table'!$J:$J, 'Instrument Table'!$B:$B, $C762), IF($B763 = "Service Item", _xlfn.XLOOKUP($A763, 'Instrument Table'!$I:$I, 'Instrument Table'!$B:$B, $C762), _xlfn.XLOOKUP($A763, 'Instrument Table'!$H:$H, 'Instrument Table'!$B:$B, $C762)))</f>
        <v>Electric Keyboard</v>
      </c>
      <c r="D763" s="1" t="str">
        <f>VLOOKUP($C763, 'Instrument Table'!$B:$C, 2, FALSE)</f>
        <v>Pianos</v>
      </c>
      <c r="E763" s="1">
        <f t="shared" si="66"/>
        <v>1</v>
      </c>
      <c r="F763" s="1">
        <f>_xlfn.XLOOKUP($C763, 'Instrument Table'!$B:$B, 'Instrument Table'!$A:$A, "")</f>
        <v>12</v>
      </c>
      <c r="G763" s="1" t="str">
        <f>TEXT(IF($B763 = "Retail Item", IF((ROW($A763) - 4504 - _xlfn.XMATCH($C763, $C$4506:$C$5005, 0, 1)) &lt;= VLOOKUP($C763, 'Instrument Table'!$B:$D, 3, FALSE), ROW($A763) - 4504 - _xlfn.XMATCH($C763, $C$4506:$C$5005, 0, 1), 0), 0), "00")</f>
        <v>00</v>
      </c>
      <c r="H763" s="1" t="str">
        <f t="shared" si="67"/>
        <v>007</v>
      </c>
      <c r="I763" s="1" t="str">
        <f t="shared" si="68"/>
        <v>11200-007</v>
      </c>
      <c r="J763" s="1" t="str">
        <f t="shared" si="69"/>
        <v>Electric keyboard production item #007</v>
      </c>
      <c r="K763" s="1" t="str">
        <f>IF(SUM(COUNTIFS(I:I, I763)) &gt; 1, "DUPLICATE", "UNIQUE")</f>
        <v>UNIQUE</v>
      </c>
      <c r="L763" s="18">
        <v>0</v>
      </c>
      <c r="M763" s="28">
        <v>82</v>
      </c>
      <c r="N763" s="6">
        <v>144</v>
      </c>
      <c r="O763" s="30">
        <f t="shared" si="70"/>
        <v>0</v>
      </c>
      <c r="P763" s="30">
        <f t="shared" si="71"/>
        <v>11808</v>
      </c>
      <c r="Q763" s="1">
        <f>COUNTIFS($P:$P, "&gt;" &amp; $P763) + 1</f>
        <v>1597</v>
      </c>
      <c r="R763" s="63">
        <f>(COUNTIFS($P:$P, "&gt;" &amp; $P763) + 1) / (COUNTA($I:$I) - 1)</f>
        <v>0.31940000000000002</v>
      </c>
      <c r="S763" s="23">
        <f>SUMIFS($P:$P, $Q:$Q, "&lt;" &amp; $Q763)</f>
        <v>176043252</v>
      </c>
    </row>
    <row r="764" spans="1:19" x14ac:dyDescent="0.25">
      <c r="A764" s="1">
        <v>759</v>
      </c>
      <c r="B764" s="1" t="s">
        <v>2</v>
      </c>
      <c r="C764" s="1" t="str">
        <f>IF($B764 = "Production Item", _xlfn.XLOOKUP($A764, 'Instrument Table'!$J:$J, 'Instrument Table'!$B:$B, $C763), IF($B764 = "Service Item", _xlfn.XLOOKUP($A764, 'Instrument Table'!$I:$I, 'Instrument Table'!$B:$B, $C763), _xlfn.XLOOKUP($A764, 'Instrument Table'!$H:$H, 'Instrument Table'!$B:$B, $C763)))</f>
        <v>Electric Keyboard</v>
      </c>
      <c r="D764" s="1" t="str">
        <f>VLOOKUP($C764, 'Instrument Table'!$B:$C, 2, FALSE)</f>
        <v>Pianos</v>
      </c>
      <c r="E764" s="1">
        <f t="shared" si="66"/>
        <v>1</v>
      </c>
      <c r="F764" s="1">
        <f>_xlfn.XLOOKUP($C764, 'Instrument Table'!$B:$B, 'Instrument Table'!$A:$A, "")</f>
        <v>12</v>
      </c>
      <c r="G764" s="1" t="str">
        <f>TEXT(IF($B764 = "Retail Item", IF((ROW($A764) - 4504 - _xlfn.XMATCH($C764, $C$4506:$C$5005, 0, 1)) &lt;= VLOOKUP($C764, 'Instrument Table'!$B:$D, 3, FALSE), ROW($A764) - 4504 - _xlfn.XMATCH($C764, $C$4506:$C$5005, 0, 1), 0), 0), "00")</f>
        <v>00</v>
      </c>
      <c r="H764" s="1" t="str">
        <f t="shared" si="67"/>
        <v>008</v>
      </c>
      <c r="I764" s="1" t="str">
        <f t="shared" si="68"/>
        <v>11200-008</v>
      </c>
      <c r="J764" s="1" t="str">
        <f t="shared" si="69"/>
        <v>Electric keyboard production item #008</v>
      </c>
      <c r="K764" s="1" t="str">
        <f>IF(SUM(COUNTIFS(I:I, I764)) &gt; 1, "DUPLICATE", "UNIQUE")</f>
        <v>UNIQUE</v>
      </c>
      <c r="L764" s="18">
        <v>1</v>
      </c>
      <c r="M764" s="28">
        <v>28</v>
      </c>
      <c r="N764" s="6">
        <v>1</v>
      </c>
      <c r="O764" s="30">
        <f t="shared" si="70"/>
        <v>28</v>
      </c>
      <c r="P764" s="30">
        <f t="shared" si="71"/>
        <v>28</v>
      </c>
      <c r="Q764" s="1">
        <f>COUNTIFS($P:$P, "&gt;" &amp; $P764) + 1</f>
        <v>4673</v>
      </c>
      <c r="R764" s="63">
        <f>(COUNTIFS($P:$P, "&gt;" &amp; $P764) + 1) / (COUNTA($I:$I) - 1)</f>
        <v>0.93459999999999999</v>
      </c>
      <c r="S764" s="23">
        <f>SUMIFS($P:$P, $Q:$Q, "&lt;" &amp; $Q764)</f>
        <v>186546776</v>
      </c>
    </row>
    <row r="765" spans="1:19" x14ac:dyDescent="0.25">
      <c r="A765" s="1">
        <v>760</v>
      </c>
      <c r="B765" s="1" t="s">
        <v>2</v>
      </c>
      <c r="C765" s="1" t="str">
        <f>IF($B765 = "Production Item", _xlfn.XLOOKUP($A765, 'Instrument Table'!$J:$J, 'Instrument Table'!$B:$B, $C764), IF($B765 = "Service Item", _xlfn.XLOOKUP($A765, 'Instrument Table'!$I:$I, 'Instrument Table'!$B:$B, $C764), _xlfn.XLOOKUP($A765, 'Instrument Table'!$H:$H, 'Instrument Table'!$B:$B, $C764)))</f>
        <v>Electric Keyboard</v>
      </c>
      <c r="D765" s="1" t="str">
        <f>VLOOKUP($C765, 'Instrument Table'!$B:$C, 2, FALSE)</f>
        <v>Pianos</v>
      </c>
      <c r="E765" s="1">
        <f t="shared" si="66"/>
        <v>1</v>
      </c>
      <c r="F765" s="1">
        <f>_xlfn.XLOOKUP($C765, 'Instrument Table'!$B:$B, 'Instrument Table'!$A:$A, "")</f>
        <v>12</v>
      </c>
      <c r="G765" s="1" t="str">
        <f>TEXT(IF($B765 = "Retail Item", IF((ROW($A765) - 4504 - _xlfn.XMATCH($C765, $C$4506:$C$5005, 0, 1)) &lt;= VLOOKUP($C765, 'Instrument Table'!$B:$D, 3, FALSE), ROW($A765) - 4504 - _xlfn.XMATCH($C765, $C$4506:$C$5005, 0, 1), 0), 0), "00")</f>
        <v>00</v>
      </c>
      <c r="H765" s="1" t="str">
        <f t="shared" si="67"/>
        <v>009</v>
      </c>
      <c r="I765" s="1" t="str">
        <f t="shared" si="68"/>
        <v>11200-009</v>
      </c>
      <c r="J765" s="1" t="str">
        <f t="shared" si="69"/>
        <v>Electric keyboard production item #009</v>
      </c>
      <c r="K765" s="1" t="str">
        <f>IF(SUM(COUNTIFS(I:I, I765)) &gt; 1, "DUPLICATE", "UNIQUE")</f>
        <v>UNIQUE</v>
      </c>
      <c r="L765" s="18">
        <v>1</v>
      </c>
      <c r="M765" s="28">
        <v>65</v>
      </c>
      <c r="N765" s="6">
        <v>36</v>
      </c>
      <c r="O765" s="30">
        <f t="shared" si="70"/>
        <v>65</v>
      </c>
      <c r="P765" s="30">
        <f t="shared" si="71"/>
        <v>2340</v>
      </c>
      <c r="Q765" s="1">
        <f>COUNTIFS($P:$P, "&gt;" &amp; $P765) + 1</f>
        <v>3110</v>
      </c>
      <c r="R765" s="63">
        <f>(COUNTIFS($P:$P, "&gt;" &amp; $P765) + 1) / (COUNTA($I:$I) - 1)</f>
        <v>0.622</v>
      </c>
      <c r="S765" s="23">
        <f>SUMIFS($P:$P, $Q:$Q, "&lt;" &amp; $Q765)</f>
        <v>185206004</v>
      </c>
    </row>
    <row r="766" spans="1:19" x14ac:dyDescent="0.25">
      <c r="A766" s="1">
        <v>761</v>
      </c>
      <c r="B766" s="1" t="s">
        <v>2</v>
      </c>
      <c r="C766" s="1" t="str">
        <f>IF($B766 = "Production Item", _xlfn.XLOOKUP($A766, 'Instrument Table'!$J:$J, 'Instrument Table'!$B:$B, $C765), IF($B766 = "Service Item", _xlfn.XLOOKUP($A766, 'Instrument Table'!$I:$I, 'Instrument Table'!$B:$B, $C765), _xlfn.XLOOKUP($A766, 'Instrument Table'!$H:$H, 'Instrument Table'!$B:$B, $C765)))</f>
        <v>Electric Keyboard</v>
      </c>
      <c r="D766" s="1" t="str">
        <f>VLOOKUP($C766, 'Instrument Table'!$B:$C, 2, FALSE)</f>
        <v>Pianos</v>
      </c>
      <c r="E766" s="1">
        <f t="shared" si="66"/>
        <v>1</v>
      </c>
      <c r="F766" s="1">
        <f>_xlfn.XLOOKUP($C766, 'Instrument Table'!$B:$B, 'Instrument Table'!$A:$A, "")</f>
        <v>12</v>
      </c>
      <c r="G766" s="1" t="str">
        <f>TEXT(IF($B766 = "Retail Item", IF((ROW($A766) - 4504 - _xlfn.XMATCH($C766, $C$4506:$C$5005, 0, 1)) &lt;= VLOOKUP($C766, 'Instrument Table'!$B:$D, 3, FALSE), ROW($A766) - 4504 - _xlfn.XMATCH($C766, $C$4506:$C$5005, 0, 1), 0), 0), "00")</f>
        <v>00</v>
      </c>
      <c r="H766" s="1" t="str">
        <f t="shared" si="67"/>
        <v>010</v>
      </c>
      <c r="I766" s="1" t="str">
        <f t="shared" si="68"/>
        <v>11200-010</v>
      </c>
      <c r="J766" s="1" t="str">
        <f t="shared" si="69"/>
        <v>Electric keyboard production item #010</v>
      </c>
      <c r="K766" s="1" t="str">
        <f>IF(SUM(COUNTIFS(I:I, I766)) &gt; 1, "DUPLICATE", "UNIQUE")</f>
        <v>UNIQUE</v>
      </c>
      <c r="L766" s="18">
        <v>0</v>
      </c>
      <c r="M766" s="28">
        <v>28</v>
      </c>
      <c r="N766" s="6">
        <v>25</v>
      </c>
      <c r="O766" s="30">
        <f t="shared" si="70"/>
        <v>0</v>
      </c>
      <c r="P766" s="30">
        <f t="shared" si="71"/>
        <v>700</v>
      </c>
      <c r="Q766" s="1">
        <f>COUNTIFS($P:$P, "&gt;" &amp; $P766) + 1</f>
        <v>3882</v>
      </c>
      <c r="R766" s="63">
        <f>(COUNTIFS($P:$P, "&gt;" &amp; $P766) + 1) / (COUNTA($I:$I) - 1)</f>
        <v>0.77639999999999998</v>
      </c>
      <c r="S766" s="23">
        <f>SUMIFS($P:$P, $Q:$Q, "&lt;" &amp; $Q766)</f>
        <v>186326493</v>
      </c>
    </row>
    <row r="767" spans="1:19" x14ac:dyDescent="0.25">
      <c r="A767" s="1">
        <v>762</v>
      </c>
      <c r="B767" s="1" t="s">
        <v>2</v>
      </c>
      <c r="C767" s="1" t="str">
        <f>IF($B767 = "Production Item", _xlfn.XLOOKUP($A767, 'Instrument Table'!$J:$J, 'Instrument Table'!$B:$B, $C766), IF($B767 = "Service Item", _xlfn.XLOOKUP($A767, 'Instrument Table'!$I:$I, 'Instrument Table'!$B:$B, $C766), _xlfn.XLOOKUP($A767, 'Instrument Table'!$H:$H, 'Instrument Table'!$B:$B, $C766)))</f>
        <v>Electric Keyboard</v>
      </c>
      <c r="D767" s="1" t="str">
        <f>VLOOKUP($C767, 'Instrument Table'!$B:$C, 2, FALSE)</f>
        <v>Pianos</v>
      </c>
      <c r="E767" s="1">
        <f t="shared" si="66"/>
        <v>1</v>
      </c>
      <c r="F767" s="1">
        <f>_xlfn.XLOOKUP($C767, 'Instrument Table'!$B:$B, 'Instrument Table'!$A:$A, "")</f>
        <v>12</v>
      </c>
      <c r="G767" s="1" t="str">
        <f>TEXT(IF($B767 = "Retail Item", IF((ROW($A767) - 4504 - _xlfn.XMATCH($C767, $C$4506:$C$5005, 0, 1)) &lt;= VLOOKUP($C767, 'Instrument Table'!$B:$D, 3, FALSE), ROW($A767) - 4504 - _xlfn.XMATCH($C767, $C$4506:$C$5005, 0, 1), 0), 0), "00")</f>
        <v>00</v>
      </c>
      <c r="H767" s="1" t="str">
        <f t="shared" si="67"/>
        <v>011</v>
      </c>
      <c r="I767" s="1" t="str">
        <f t="shared" si="68"/>
        <v>11200-011</v>
      </c>
      <c r="J767" s="1" t="str">
        <f t="shared" si="69"/>
        <v>Electric keyboard production item #011</v>
      </c>
      <c r="K767" s="1" t="str">
        <f>IF(SUM(COUNTIFS(I:I, I767)) &gt; 1, "DUPLICATE", "UNIQUE")</f>
        <v>UNIQUE</v>
      </c>
      <c r="L767" s="18">
        <v>1</v>
      </c>
      <c r="M767" s="28">
        <v>93</v>
      </c>
      <c r="N767" s="6">
        <v>0</v>
      </c>
      <c r="O767" s="30">
        <f t="shared" si="70"/>
        <v>93</v>
      </c>
      <c r="P767" s="30">
        <f t="shared" si="71"/>
        <v>0</v>
      </c>
      <c r="Q767" s="1">
        <f>COUNTIFS($P:$P, "&gt;" &amp; $P767) + 1</f>
        <v>4746</v>
      </c>
      <c r="R767" s="63">
        <f>(COUNTIFS($P:$P, "&gt;" &amp; $P767) + 1) / (COUNTA($I:$I) - 1)</f>
        <v>0.94920000000000004</v>
      </c>
      <c r="S767" s="23">
        <f>SUMIFS($P:$P, $Q:$Q, "&lt;" &amp; $Q767)</f>
        <v>186547861</v>
      </c>
    </row>
    <row r="768" spans="1:19" x14ac:dyDescent="0.25">
      <c r="A768" s="1">
        <v>763</v>
      </c>
      <c r="B768" s="1" t="s">
        <v>2</v>
      </c>
      <c r="C768" s="1" t="str">
        <f>IF($B768 = "Production Item", _xlfn.XLOOKUP($A768, 'Instrument Table'!$J:$J, 'Instrument Table'!$B:$B, $C767), IF($B768 = "Service Item", _xlfn.XLOOKUP($A768, 'Instrument Table'!$I:$I, 'Instrument Table'!$B:$B, $C767), _xlfn.XLOOKUP($A768, 'Instrument Table'!$H:$H, 'Instrument Table'!$B:$B, $C767)))</f>
        <v>Electric Keyboard</v>
      </c>
      <c r="D768" s="1" t="str">
        <f>VLOOKUP($C768, 'Instrument Table'!$B:$C, 2, FALSE)</f>
        <v>Pianos</v>
      </c>
      <c r="E768" s="1">
        <f t="shared" si="66"/>
        <v>1</v>
      </c>
      <c r="F768" s="1">
        <f>_xlfn.XLOOKUP($C768, 'Instrument Table'!$B:$B, 'Instrument Table'!$A:$A, "")</f>
        <v>12</v>
      </c>
      <c r="G768" s="1" t="str">
        <f>TEXT(IF($B768 = "Retail Item", IF((ROW($A768) - 4504 - _xlfn.XMATCH($C768, $C$4506:$C$5005, 0, 1)) &lt;= VLOOKUP($C768, 'Instrument Table'!$B:$D, 3, FALSE), ROW($A768) - 4504 - _xlfn.XMATCH($C768, $C$4506:$C$5005, 0, 1), 0), 0), "00")</f>
        <v>00</v>
      </c>
      <c r="H768" s="1" t="str">
        <f t="shared" si="67"/>
        <v>012</v>
      </c>
      <c r="I768" s="1" t="str">
        <f t="shared" si="68"/>
        <v>11200-012</v>
      </c>
      <c r="J768" s="1" t="str">
        <f t="shared" si="69"/>
        <v>Electric keyboard production item #012</v>
      </c>
      <c r="K768" s="1" t="str">
        <f>IF(SUM(COUNTIFS(I:I, I768)) &gt; 1, "DUPLICATE", "UNIQUE")</f>
        <v>UNIQUE</v>
      </c>
      <c r="L768" s="18">
        <v>0</v>
      </c>
      <c r="M768" s="28">
        <v>98</v>
      </c>
      <c r="N768" s="6">
        <v>289</v>
      </c>
      <c r="O768" s="30">
        <f t="shared" si="70"/>
        <v>0</v>
      </c>
      <c r="P768" s="30">
        <f t="shared" si="71"/>
        <v>28322</v>
      </c>
      <c r="Q768" s="1">
        <f>COUNTIFS($P:$P, "&gt;" &amp; $P768) + 1</f>
        <v>727</v>
      </c>
      <c r="R768" s="63">
        <f>(COUNTIFS($P:$P, "&gt;" &amp; $P768) + 1) / (COUNTA($I:$I) - 1)</f>
        <v>0.1454</v>
      </c>
      <c r="S768" s="23">
        <f>SUMIFS($P:$P, $Q:$Q, "&lt;" &amp; $Q768)</f>
        <v>159871154</v>
      </c>
    </row>
    <row r="769" spans="1:19" x14ac:dyDescent="0.25">
      <c r="A769" s="1">
        <v>764</v>
      </c>
      <c r="B769" s="1" t="s">
        <v>2</v>
      </c>
      <c r="C769" s="1" t="str">
        <f>IF($B769 = "Production Item", _xlfn.XLOOKUP($A769, 'Instrument Table'!$J:$J, 'Instrument Table'!$B:$B, $C768), IF($B769 = "Service Item", _xlfn.XLOOKUP($A769, 'Instrument Table'!$I:$I, 'Instrument Table'!$B:$B, $C768), _xlfn.XLOOKUP($A769, 'Instrument Table'!$H:$H, 'Instrument Table'!$B:$B, $C768)))</f>
        <v>Electric Keyboard</v>
      </c>
      <c r="D769" s="1" t="str">
        <f>VLOOKUP($C769, 'Instrument Table'!$B:$C, 2, FALSE)</f>
        <v>Pianos</v>
      </c>
      <c r="E769" s="1">
        <f t="shared" si="66"/>
        <v>1</v>
      </c>
      <c r="F769" s="1">
        <f>_xlfn.XLOOKUP($C769, 'Instrument Table'!$B:$B, 'Instrument Table'!$A:$A, "")</f>
        <v>12</v>
      </c>
      <c r="G769" s="1" t="str">
        <f>TEXT(IF($B769 = "Retail Item", IF((ROW($A769) - 4504 - _xlfn.XMATCH($C769, $C$4506:$C$5005, 0, 1)) &lt;= VLOOKUP($C769, 'Instrument Table'!$B:$D, 3, FALSE), ROW($A769) - 4504 - _xlfn.XMATCH($C769, $C$4506:$C$5005, 0, 1), 0), 0), "00")</f>
        <v>00</v>
      </c>
      <c r="H769" s="1" t="str">
        <f t="shared" si="67"/>
        <v>013</v>
      </c>
      <c r="I769" s="1" t="str">
        <f t="shared" si="68"/>
        <v>11200-013</v>
      </c>
      <c r="J769" s="1" t="str">
        <f t="shared" si="69"/>
        <v>Electric keyboard production item #013</v>
      </c>
      <c r="K769" s="1" t="str">
        <f>IF(SUM(COUNTIFS(I:I, I769)) &gt; 1, "DUPLICATE", "UNIQUE")</f>
        <v>UNIQUE</v>
      </c>
      <c r="L769" s="18">
        <v>1</v>
      </c>
      <c r="M769" s="28">
        <v>100</v>
      </c>
      <c r="N769" s="6">
        <v>1</v>
      </c>
      <c r="O769" s="30">
        <f t="shared" si="70"/>
        <v>100</v>
      </c>
      <c r="P769" s="30">
        <f t="shared" si="71"/>
        <v>100</v>
      </c>
      <c r="Q769" s="1">
        <f>COUNTIFS($P:$P, "&gt;" &amp; $P769) + 1</f>
        <v>4452</v>
      </c>
      <c r="R769" s="63">
        <f>(COUNTIFS($P:$P, "&gt;" &amp; $P769) + 1) / (COUNTA($I:$I) - 1)</f>
        <v>0.89039999999999997</v>
      </c>
      <c r="S769" s="23">
        <f>SUMIFS($P:$P, $Q:$Q, "&lt;" &amp; $Q769)</f>
        <v>186532418</v>
      </c>
    </row>
    <row r="770" spans="1:19" x14ac:dyDescent="0.25">
      <c r="A770" s="1">
        <v>765</v>
      </c>
      <c r="B770" s="1" t="s">
        <v>2</v>
      </c>
      <c r="C770" s="1" t="str">
        <f>IF($B770 = "Production Item", _xlfn.XLOOKUP($A770, 'Instrument Table'!$J:$J, 'Instrument Table'!$B:$B, $C769), IF($B770 = "Service Item", _xlfn.XLOOKUP($A770, 'Instrument Table'!$I:$I, 'Instrument Table'!$B:$B, $C769), _xlfn.XLOOKUP($A770, 'Instrument Table'!$H:$H, 'Instrument Table'!$B:$B, $C769)))</f>
        <v>Electric Keyboard</v>
      </c>
      <c r="D770" s="1" t="str">
        <f>VLOOKUP($C770, 'Instrument Table'!$B:$C, 2, FALSE)</f>
        <v>Pianos</v>
      </c>
      <c r="E770" s="1">
        <f t="shared" si="66"/>
        <v>1</v>
      </c>
      <c r="F770" s="1">
        <f>_xlfn.XLOOKUP($C770, 'Instrument Table'!$B:$B, 'Instrument Table'!$A:$A, "")</f>
        <v>12</v>
      </c>
      <c r="G770" s="1" t="str">
        <f>TEXT(IF($B770 = "Retail Item", IF((ROW($A770) - 4504 - _xlfn.XMATCH($C770, $C$4506:$C$5005, 0, 1)) &lt;= VLOOKUP($C770, 'Instrument Table'!$B:$D, 3, FALSE), ROW($A770) - 4504 - _xlfn.XMATCH($C770, $C$4506:$C$5005, 0, 1), 0), 0), "00")</f>
        <v>00</v>
      </c>
      <c r="H770" s="1" t="str">
        <f t="shared" si="67"/>
        <v>014</v>
      </c>
      <c r="I770" s="1" t="str">
        <f t="shared" si="68"/>
        <v>11200-014</v>
      </c>
      <c r="J770" s="1" t="str">
        <f t="shared" si="69"/>
        <v>Electric keyboard production item #014</v>
      </c>
      <c r="K770" s="1" t="str">
        <f>IF(SUM(COUNTIFS(I:I, I770)) &gt; 1, "DUPLICATE", "UNIQUE")</f>
        <v>UNIQUE</v>
      </c>
      <c r="L770" s="18">
        <v>8</v>
      </c>
      <c r="M770" s="28">
        <v>99</v>
      </c>
      <c r="N770" s="6">
        <v>400</v>
      </c>
      <c r="O770" s="30">
        <f t="shared" si="70"/>
        <v>792</v>
      </c>
      <c r="P770" s="30">
        <f t="shared" si="71"/>
        <v>39600</v>
      </c>
      <c r="Q770" s="1">
        <f>COUNTIFS($P:$P, "&gt;" &amp; $P770) + 1</f>
        <v>560</v>
      </c>
      <c r="R770" s="63">
        <f>(COUNTIFS($P:$P, "&gt;" &amp; $P770) + 1) / (COUNTA($I:$I) - 1)</f>
        <v>0.112</v>
      </c>
      <c r="S770" s="23">
        <f>SUMIFS($P:$P, $Q:$Q, "&lt;" &amp; $Q770)</f>
        <v>154377034</v>
      </c>
    </row>
    <row r="771" spans="1:19" x14ac:dyDescent="0.25">
      <c r="A771" s="1">
        <v>766</v>
      </c>
      <c r="B771" s="1" t="s">
        <v>2</v>
      </c>
      <c r="C771" s="1" t="str">
        <f>IF($B771 = "Production Item", _xlfn.XLOOKUP($A771, 'Instrument Table'!$J:$J, 'Instrument Table'!$B:$B, $C770), IF($B771 = "Service Item", _xlfn.XLOOKUP($A771, 'Instrument Table'!$I:$I, 'Instrument Table'!$B:$B, $C770), _xlfn.XLOOKUP($A771, 'Instrument Table'!$H:$H, 'Instrument Table'!$B:$B, $C770)))</f>
        <v>Electric Keyboard</v>
      </c>
      <c r="D771" s="1" t="str">
        <f>VLOOKUP($C771, 'Instrument Table'!$B:$C, 2, FALSE)</f>
        <v>Pianos</v>
      </c>
      <c r="E771" s="1">
        <f t="shared" si="66"/>
        <v>1</v>
      </c>
      <c r="F771" s="1">
        <f>_xlfn.XLOOKUP($C771, 'Instrument Table'!$B:$B, 'Instrument Table'!$A:$A, "")</f>
        <v>12</v>
      </c>
      <c r="G771" s="1" t="str">
        <f>TEXT(IF($B771 = "Retail Item", IF((ROW($A771) - 4504 - _xlfn.XMATCH($C771, $C$4506:$C$5005, 0, 1)) &lt;= VLOOKUP($C771, 'Instrument Table'!$B:$D, 3, FALSE), ROW($A771) - 4504 - _xlfn.XMATCH($C771, $C$4506:$C$5005, 0, 1), 0), 0), "00")</f>
        <v>00</v>
      </c>
      <c r="H771" s="1" t="str">
        <f t="shared" si="67"/>
        <v>015</v>
      </c>
      <c r="I771" s="1" t="str">
        <f t="shared" si="68"/>
        <v>11200-015</v>
      </c>
      <c r="J771" s="1" t="str">
        <f t="shared" si="69"/>
        <v>Electric keyboard production item #015</v>
      </c>
      <c r="K771" s="1" t="str">
        <f>IF(SUM(COUNTIFS(I:I, I771)) &gt; 1, "DUPLICATE", "UNIQUE")</f>
        <v>UNIQUE</v>
      </c>
      <c r="L771" s="18">
        <v>0</v>
      </c>
      <c r="M771" s="28">
        <v>39</v>
      </c>
      <c r="N771" s="6">
        <v>400</v>
      </c>
      <c r="O771" s="30">
        <f t="shared" si="70"/>
        <v>0</v>
      </c>
      <c r="P771" s="30">
        <f t="shared" si="71"/>
        <v>15600</v>
      </c>
      <c r="Q771" s="1">
        <f>COUNTIFS($P:$P, "&gt;" &amp; $P771) + 1</f>
        <v>1308</v>
      </c>
      <c r="R771" s="63">
        <f>(COUNTIFS($P:$P, "&gt;" &amp; $P771) + 1) / (COUNTA($I:$I) - 1)</f>
        <v>0.2616</v>
      </c>
      <c r="S771" s="23">
        <f>SUMIFS($P:$P, $Q:$Q, "&lt;" &amp; $Q771)</f>
        <v>172099015</v>
      </c>
    </row>
    <row r="772" spans="1:19" x14ac:dyDescent="0.25">
      <c r="A772" s="1">
        <v>767</v>
      </c>
      <c r="B772" s="1" t="s">
        <v>2</v>
      </c>
      <c r="C772" s="1" t="str">
        <f>IF($B772 = "Production Item", _xlfn.XLOOKUP($A772, 'Instrument Table'!$J:$J, 'Instrument Table'!$B:$B, $C771), IF($B772 = "Service Item", _xlfn.XLOOKUP($A772, 'Instrument Table'!$I:$I, 'Instrument Table'!$B:$B, $C771), _xlfn.XLOOKUP($A772, 'Instrument Table'!$H:$H, 'Instrument Table'!$B:$B, $C771)))</f>
        <v>Electric Keyboard</v>
      </c>
      <c r="D772" s="1" t="str">
        <f>VLOOKUP($C772, 'Instrument Table'!$B:$C, 2, FALSE)</f>
        <v>Pianos</v>
      </c>
      <c r="E772" s="1">
        <f t="shared" si="66"/>
        <v>1</v>
      </c>
      <c r="F772" s="1">
        <f>_xlfn.XLOOKUP($C772, 'Instrument Table'!$B:$B, 'Instrument Table'!$A:$A, "")</f>
        <v>12</v>
      </c>
      <c r="G772" s="1" t="str">
        <f>TEXT(IF($B772 = "Retail Item", IF((ROW($A772) - 4504 - _xlfn.XMATCH($C772, $C$4506:$C$5005, 0, 1)) &lt;= VLOOKUP($C772, 'Instrument Table'!$B:$D, 3, FALSE), ROW($A772) - 4504 - _xlfn.XMATCH($C772, $C$4506:$C$5005, 0, 1), 0), 0), "00")</f>
        <v>00</v>
      </c>
      <c r="H772" s="1" t="str">
        <f t="shared" si="67"/>
        <v>016</v>
      </c>
      <c r="I772" s="1" t="str">
        <f t="shared" si="68"/>
        <v>11200-016</v>
      </c>
      <c r="J772" s="1" t="str">
        <f t="shared" si="69"/>
        <v>Electric keyboard production item #016</v>
      </c>
      <c r="K772" s="1" t="str">
        <f>IF(SUM(COUNTIFS(I:I, I772)) &gt; 1, "DUPLICATE", "UNIQUE")</f>
        <v>UNIQUE</v>
      </c>
      <c r="L772" s="18">
        <v>0</v>
      </c>
      <c r="M772" s="28">
        <v>95</v>
      </c>
      <c r="N772" s="6">
        <v>361</v>
      </c>
      <c r="O772" s="30">
        <f t="shared" si="70"/>
        <v>0</v>
      </c>
      <c r="P772" s="30">
        <f t="shared" si="71"/>
        <v>34295</v>
      </c>
      <c r="Q772" s="1">
        <f>COUNTIFS($P:$P, "&gt;" &amp; $P772) + 1</f>
        <v>615</v>
      </c>
      <c r="R772" s="63">
        <f>(COUNTIFS($P:$P, "&gt;" &amp; $P772) + 1) / (COUNTA($I:$I) - 1)</f>
        <v>0.123</v>
      </c>
      <c r="S772" s="23">
        <f>SUMIFS($P:$P, $Q:$Q, "&lt;" &amp; $Q772)</f>
        <v>156391640</v>
      </c>
    </row>
    <row r="773" spans="1:19" x14ac:dyDescent="0.25">
      <c r="A773" s="1">
        <v>768</v>
      </c>
      <c r="B773" s="1" t="s">
        <v>2</v>
      </c>
      <c r="C773" s="1" t="str">
        <f>IF($B773 = "Production Item", _xlfn.XLOOKUP($A773, 'Instrument Table'!$J:$J, 'Instrument Table'!$B:$B, $C772), IF($B773 = "Service Item", _xlfn.XLOOKUP($A773, 'Instrument Table'!$I:$I, 'Instrument Table'!$B:$B, $C772), _xlfn.XLOOKUP($A773, 'Instrument Table'!$H:$H, 'Instrument Table'!$B:$B, $C772)))</f>
        <v>Electric Keyboard</v>
      </c>
      <c r="D773" s="1" t="str">
        <f>VLOOKUP($C773, 'Instrument Table'!$B:$C, 2, FALSE)</f>
        <v>Pianos</v>
      </c>
      <c r="E773" s="1">
        <f t="shared" si="66"/>
        <v>1</v>
      </c>
      <c r="F773" s="1">
        <f>_xlfn.XLOOKUP($C773, 'Instrument Table'!$B:$B, 'Instrument Table'!$A:$A, "")</f>
        <v>12</v>
      </c>
      <c r="G773" s="1" t="str">
        <f>TEXT(IF($B773 = "Retail Item", IF((ROW($A773) - 4504 - _xlfn.XMATCH($C773, $C$4506:$C$5005, 0, 1)) &lt;= VLOOKUP($C773, 'Instrument Table'!$B:$D, 3, FALSE), ROW($A773) - 4504 - _xlfn.XMATCH($C773, $C$4506:$C$5005, 0, 1), 0), 0), "00")</f>
        <v>00</v>
      </c>
      <c r="H773" s="1" t="str">
        <f t="shared" si="67"/>
        <v>017</v>
      </c>
      <c r="I773" s="1" t="str">
        <f t="shared" si="68"/>
        <v>11200-017</v>
      </c>
      <c r="J773" s="1" t="str">
        <f t="shared" si="69"/>
        <v>Electric keyboard production item #017</v>
      </c>
      <c r="K773" s="1" t="str">
        <f>IF(SUM(COUNTIFS(I:I, I773)) &gt; 1, "DUPLICATE", "UNIQUE")</f>
        <v>UNIQUE</v>
      </c>
      <c r="L773" s="18">
        <v>8</v>
      </c>
      <c r="M773" s="28">
        <v>49</v>
      </c>
      <c r="N773" s="6">
        <v>9</v>
      </c>
      <c r="O773" s="30">
        <f t="shared" si="70"/>
        <v>392</v>
      </c>
      <c r="P773" s="30">
        <f t="shared" si="71"/>
        <v>441</v>
      </c>
      <c r="Q773" s="1">
        <f>COUNTIFS($P:$P, "&gt;" &amp; $P773) + 1</f>
        <v>4066</v>
      </c>
      <c r="R773" s="63">
        <f>(COUNTIFS($P:$P, "&gt;" &amp; $P773) + 1) / (COUNTA($I:$I) - 1)</f>
        <v>0.81320000000000003</v>
      </c>
      <c r="S773" s="23">
        <f>SUMIFS($P:$P, $Q:$Q, "&lt;" &amp; $Q773)</f>
        <v>186430642</v>
      </c>
    </row>
    <row r="774" spans="1:19" x14ac:dyDescent="0.25">
      <c r="A774" s="1">
        <v>769</v>
      </c>
      <c r="B774" s="1" t="s">
        <v>2</v>
      </c>
      <c r="C774" s="1" t="str">
        <f>IF($B774 = "Production Item", _xlfn.XLOOKUP($A774, 'Instrument Table'!$J:$J, 'Instrument Table'!$B:$B, $C773), IF($B774 = "Service Item", _xlfn.XLOOKUP($A774, 'Instrument Table'!$I:$I, 'Instrument Table'!$B:$B, $C773), _xlfn.XLOOKUP($A774, 'Instrument Table'!$H:$H, 'Instrument Table'!$B:$B, $C773)))</f>
        <v>Electric Keyboard</v>
      </c>
      <c r="D774" s="1" t="str">
        <f>VLOOKUP($C774, 'Instrument Table'!$B:$C, 2, FALSE)</f>
        <v>Pianos</v>
      </c>
      <c r="E774" s="1">
        <f t="shared" si="66"/>
        <v>1</v>
      </c>
      <c r="F774" s="1">
        <f>_xlfn.XLOOKUP($C774, 'Instrument Table'!$B:$B, 'Instrument Table'!$A:$A, "")</f>
        <v>12</v>
      </c>
      <c r="G774" s="1" t="str">
        <f>TEXT(IF($B774 = "Retail Item", IF((ROW($A774) - 4504 - _xlfn.XMATCH($C774, $C$4506:$C$5005, 0, 1)) &lt;= VLOOKUP($C774, 'Instrument Table'!$B:$D, 3, FALSE), ROW($A774) - 4504 - _xlfn.XMATCH($C774, $C$4506:$C$5005, 0, 1), 0), 0), "00")</f>
        <v>00</v>
      </c>
      <c r="H774" s="1" t="str">
        <f t="shared" si="67"/>
        <v>018</v>
      </c>
      <c r="I774" s="1" t="str">
        <f t="shared" si="68"/>
        <v>11200-018</v>
      </c>
      <c r="J774" s="1" t="str">
        <f t="shared" si="69"/>
        <v>Electric keyboard production item #018</v>
      </c>
      <c r="K774" s="1" t="str">
        <f>IF(SUM(COUNTIFS(I:I, I774)) &gt; 1, "DUPLICATE", "UNIQUE")</f>
        <v>UNIQUE</v>
      </c>
      <c r="L774" s="18">
        <v>0</v>
      </c>
      <c r="M774" s="28">
        <v>48</v>
      </c>
      <c r="N774" s="6">
        <v>225</v>
      </c>
      <c r="O774" s="30">
        <f t="shared" si="70"/>
        <v>0</v>
      </c>
      <c r="P774" s="30">
        <f t="shared" si="71"/>
        <v>10800</v>
      </c>
      <c r="Q774" s="1">
        <f>COUNTIFS($P:$P, "&gt;" &amp; $P774) + 1</f>
        <v>1703</v>
      </c>
      <c r="R774" s="63">
        <f>(COUNTIFS($P:$P, "&gt;" &amp; $P774) + 1) / (COUNTA($I:$I) - 1)</f>
        <v>0.34060000000000001</v>
      </c>
      <c r="S774" s="23">
        <f>SUMIFS($P:$P, $Q:$Q, "&lt;" &amp; $Q774)</f>
        <v>177245912</v>
      </c>
    </row>
    <row r="775" spans="1:19" x14ac:dyDescent="0.25">
      <c r="A775" s="1">
        <v>770</v>
      </c>
      <c r="B775" s="1" t="s">
        <v>2</v>
      </c>
      <c r="C775" s="1" t="str">
        <f>IF($B775 = "Production Item", _xlfn.XLOOKUP($A775, 'Instrument Table'!$J:$J, 'Instrument Table'!$B:$B, $C774), IF($B775 = "Service Item", _xlfn.XLOOKUP($A775, 'Instrument Table'!$I:$I, 'Instrument Table'!$B:$B, $C774), _xlfn.XLOOKUP($A775, 'Instrument Table'!$H:$H, 'Instrument Table'!$B:$B, $C774)))</f>
        <v>Electric Keyboard</v>
      </c>
      <c r="D775" s="1" t="str">
        <f>VLOOKUP($C775, 'Instrument Table'!$B:$C, 2, FALSE)</f>
        <v>Pianos</v>
      </c>
      <c r="E775" s="1">
        <f t="shared" ref="E775:E838" si="72">IF($B775 = "Production Item", 1, IF($B775 = "Service Item", 2, IF($B775 = "Retail Item", 3, "")))</f>
        <v>1</v>
      </c>
      <c r="F775" s="1">
        <f>_xlfn.XLOOKUP($C775, 'Instrument Table'!$B:$B, 'Instrument Table'!$A:$A, "")</f>
        <v>12</v>
      </c>
      <c r="G775" s="1" t="str">
        <f>TEXT(IF($B775 = "Retail Item", IF((ROW($A775) - 4504 - _xlfn.XMATCH($C775, $C$4506:$C$5005, 0, 1)) &lt;= VLOOKUP($C775, 'Instrument Table'!$B:$D, 3, FALSE), ROW($A775) - 4504 - _xlfn.XMATCH($C775, $C$4506:$C$5005, 0, 1), 0), 0), "00")</f>
        <v>00</v>
      </c>
      <c r="H775" s="1" t="str">
        <f t="shared" ref="H775:H838" si="73">TEXT(IF($E775 &amp; $F775 &amp; $G775 = $E774 &amp; $F774 &amp; $G774, 1 + H774, 0), "000")</f>
        <v>019</v>
      </c>
      <c r="I775" s="1" t="str">
        <f t="shared" ref="I775:I838" si="74" xml:space="preserve"> _xlfn.CONCAT($E775, $F775, $G775, "-", H775)</f>
        <v>11200-019</v>
      </c>
      <c r="J775" s="1" t="str">
        <f t="shared" ref="J775:J838" si="75">LEFT($C775, 1) &amp; LOWER(RIGHT($C775, LEN($C775) - 1)) &amp; IF(AND($G775 &lt;&gt; "00", $B775 = "Retail Item"), " model #" &amp; $G775, " " &amp; LOWER($B775) &amp; " #" &amp; $H775)</f>
        <v>Electric keyboard production item #019</v>
      </c>
      <c r="K775" s="1" t="str">
        <f>IF(SUM(COUNTIFS(I:I, I775)) &gt; 1, "DUPLICATE", "UNIQUE")</f>
        <v>UNIQUE</v>
      </c>
      <c r="L775" s="18">
        <v>32</v>
      </c>
      <c r="M775" s="28">
        <v>16</v>
      </c>
      <c r="N775" s="6">
        <v>169</v>
      </c>
      <c r="O775" s="30">
        <f t="shared" ref="O775:O838" si="76">$L775 * $M775</f>
        <v>512</v>
      </c>
      <c r="P775" s="30">
        <f t="shared" ref="P775:P838" si="77">$N775 * $M775</f>
        <v>2704</v>
      </c>
      <c r="Q775" s="1">
        <f>COUNTIFS($P:$P, "&gt;" &amp; $P775) + 1</f>
        <v>2978</v>
      </c>
      <c r="R775" s="63">
        <f>(COUNTIFS($P:$P, "&gt;" &amp; $P775) + 1) / (COUNTA($I:$I) - 1)</f>
        <v>0.59560000000000002</v>
      </c>
      <c r="S775" s="23">
        <f>SUMIFS($P:$P, $Q:$Q, "&lt;" &amp; $Q775)</f>
        <v>184873062</v>
      </c>
    </row>
    <row r="776" spans="1:19" x14ac:dyDescent="0.25">
      <c r="A776" s="1">
        <v>771</v>
      </c>
      <c r="B776" s="1" t="s">
        <v>2</v>
      </c>
      <c r="C776" s="1" t="str">
        <f>IF($B776 = "Production Item", _xlfn.XLOOKUP($A776, 'Instrument Table'!$J:$J, 'Instrument Table'!$B:$B, $C775), IF($B776 = "Service Item", _xlfn.XLOOKUP($A776, 'Instrument Table'!$I:$I, 'Instrument Table'!$B:$B, $C775), _xlfn.XLOOKUP($A776, 'Instrument Table'!$H:$H, 'Instrument Table'!$B:$B, $C775)))</f>
        <v>Electric Keyboard</v>
      </c>
      <c r="D776" s="1" t="str">
        <f>VLOOKUP($C776, 'Instrument Table'!$B:$C, 2, FALSE)</f>
        <v>Pianos</v>
      </c>
      <c r="E776" s="1">
        <f t="shared" si="72"/>
        <v>1</v>
      </c>
      <c r="F776" s="1">
        <f>_xlfn.XLOOKUP($C776, 'Instrument Table'!$B:$B, 'Instrument Table'!$A:$A, "")</f>
        <v>12</v>
      </c>
      <c r="G776" s="1" t="str">
        <f>TEXT(IF($B776 = "Retail Item", IF((ROW($A776) - 4504 - _xlfn.XMATCH($C776, $C$4506:$C$5005, 0, 1)) &lt;= VLOOKUP($C776, 'Instrument Table'!$B:$D, 3, FALSE), ROW($A776) - 4504 - _xlfn.XMATCH($C776, $C$4506:$C$5005, 0, 1), 0), 0), "00")</f>
        <v>00</v>
      </c>
      <c r="H776" s="1" t="str">
        <f t="shared" si="73"/>
        <v>020</v>
      </c>
      <c r="I776" s="1" t="str">
        <f t="shared" si="74"/>
        <v>11200-020</v>
      </c>
      <c r="J776" s="1" t="str">
        <f t="shared" si="75"/>
        <v>Electric keyboard production item #020</v>
      </c>
      <c r="K776" s="1" t="str">
        <f>IF(SUM(COUNTIFS(I:I, I776)) &gt; 1, "DUPLICATE", "UNIQUE")</f>
        <v>UNIQUE</v>
      </c>
      <c r="L776" s="18">
        <v>16</v>
      </c>
      <c r="M776" s="28">
        <v>59</v>
      </c>
      <c r="N776" s="6">
        <v>9</v>
      </c>
      <c r="O776" s="30">
        <f t="shared" si="76"/>
        <v>944</v>
      </c>
      <c r="P776" s="30">
        <f t="shared" si="77"/>
        <v>531</v>
      </c>
      <c r="Q776" s="1">
        <f>COUNTIFS($P:$P, "&gt;" &amp; $P776) + 1</f>
        <v>3997</v>
      </c>
      <c r="R776" s="63">
        <f>(COUNTIFS($P:$P, "&gt;" &amp; $P776) + 1) / (COUNTA($I:$I) - 1)</f>
        <v>0.7994</v>
      </c>
      <c r="S776" s="23">
        <f>SUMIFS($P:$P, $Q:$Q, "&lt;" &amp; $Q776)</f>
        <v>186396712</v>
      </c>
    </row>
    <row r="777" spans="1:19" x14ac:dyDescent="0.25">
      <c r="A777" s="1">
        <v>772</v>
      </c>
      <c r="B777" s="1" t="s">
        <v>2</v>
      </c>
      <c r="C777" s="1" t="str">
        <f>IF($B777 = "Production Item", _xlfn.XLOOKUP($A777, 'Instrument Table'!$J:$J, 'Instrument Table'!$B:$B, $C776), IF($B777 = "Service Item", _xlfn.XLOOKUP($A777, 'Instrument Table'!$I:$I, 'Instrument Table'!$B:$B, $C776), _xlfn.XLOOKUP($A777, 'Instrument Table'!$H:$H, 'Instrument Table'!$B:$B, $C776)))</f>
        <v>Electric Keyboard</v>
      </c>
      <c r="D777" s="1" t="str">
        <f>VLOOKUP($C777, 'Instrument Table'!$B:$C, 2, FALSE)</f>
        <v>Pianos</v>
      </c>
      <c r="E777" s="1">
        <f t="shared" si="72"/>
        <v>1</v>
      </c>
      <c r="F777" s="1">
        <f>_xlfn.XLOOKUP($C777, 'Instrument Table'!$B:$B, 'Instrument Table'!$A:$A, "")</f>
        <v>12</v>
      </c>
      <c r="G777" s="1" t="str">
        <f>TEXT(IF($B777 = "Retail Item", IF((ROW($A777) - 4504 - _xlfn.XMATCH($C777, $C$4506:$C$5005, 0, 1)) &lt;= VLOOKUP($C777, 'Instrument Table'!$B:$D, 3, FALSE), ROW($A777) - 4504 - _xlfn.XMATCH($C777, $C$4506:$C$5005, 0, 1), 0), 0), "00")</f>
        <v>00</v>
      </c>
      <c r="H777" s="1" t="str">
        <f t="shared" si="73"/>
        <v>021</v>
      </c>
      <c r="I777" s="1" t="str">
        <f t="shared" si="74"/>
        <v>11200-021</v>
      </c>
      <c r="J777" s="1" t="str">
        <f t="shared" si="75"/>
        <v>Electric keyboard production item #021</v>
      </c>
      <c r="K777" s="1" t="str">
        <f>IF(SUM(COUNTIFS(I:I, I777)) &gt; 1, "DUPLICATE", "UNIQUE")</f>
        <v>UNIQUE</v>
      </c>
      <c r="L777" s="18">
        <v>1</v>
      </c>
      <c r="M777" s="28">
        <v>25</v>
      </c>
      <c r="N777" s="6">
        <v>64</v>
      </c>
      <c r="O777" s="30">
        <f t="shared" si="76"/>
        <v>25</v>
      </c>
      <c r="P777" s="30">
        <f t="shared" si="77"/>
        <v>1600</v>
      </c>
      <c r="Q777" s="1">
        <f>COUNTIFS($P:$P, "&gt;" &amp; $P777) + 1</f>
        <v>3401</v>
      </c>
      <c r="R777" s="63">
        <f>(COUNTIFS($P:$P, "&gt;" &amp; $P777) + 1) / (COUNTA($I:$I) - 1)</f>
        <v>0.68020000000000003</v>
      </c>
      <c r="S777" s="23">
        <f>SUMIFS($P:$P, $Q:$Q, "&lt;" &amp; $Q777)</f>
        <v>185786623</v>
      </c>
    </row>
    <row r="778" spans="1:19" x14ac:dyDescent="0.25">
      <c r="A778" s="1">
        <v>773</v>
      </c>
      <c r="B778" s="1" t="s">
        <v>2</v>
      </c>
      <c r="C778" s="1" t="str">
        <f>IF($B778 = "Production Item", _xlfn.XLOOKUP($A778, 'Instrument Table'!$J:$J, 'Instrument Table'!$B:$B, $C777), IF($B778 = "Service Item", _xlfn.XLOOKUP($A778, 'Instrument Table'!$I:$I, 'Instrument Table'!$B:$B, $C777), _xlfn.XLOOKUP($A778, 'Instrument Table'!$H:$H, 'Instrument Table'!$B:$B, $C777)))</f>
        <v>Electric Keyboard</v>
      </c>
      <c r="D778" s="1" t="str">
        <f>VLOOKUP($C778, 'Instrument Table'!$B:$C, 2, FALSE)</f>
        <v>Pianos</v>
      </c>
      <c r="E778" s="1">
        <f t="shared" si="72"/>
        <v>1</v>
      </c>
      <c r="F778" s="1">
        <f>_xlfn.XLOOKUP($C778, 'Instrument Table'!$B:$B, 'Instrument Table'!$A:$A, "")</f>
        <v>12</v>
      </c>
      <c r="G778" s="1" t="str">
        <f>TEXT(IF($B778 = "Retail Item", IF((ROW($A778) - 4504 - _xlfn.XMATCH($C778, $C$4506:$C$5005, 0, 1)) &lt;= VLOOKUP($C778, 'Instrument Table'!$B:$D, 3, FALSE), ROW($A778) - 4504 - _xlfn.XMATCH($C778, $C$4506:$C$5005, 0, 1), 0), 0), "00")</f>
        <v>00</v>
      </c>
      <c r="H778" s="1" t="str">
        <f t="shared" si="73"/>
        <v>022</v>
      </c>
      <c r="I778" s="1" t="str">
        <f t="shared" si="74"/>
        <v>11200-022</v>
      </c>
      <c r="J778" s="1" t="str">
        <f t="shared" si="75"/>
        <v>Electric keyboard production item #022</v>
      </c>
      <c r="K778" s="1" t="str">
        <f>IF(SUM(COUNTIFS(I:I, I778)) &gt; 1, "DUPLICATE", "UNIQUE")</f>
        <v>UNIQUE</v>
      </c>
      <c r="L778" s="18">
        <v>1</v>
      </c>
      <c r="M778" s="28">
        <v>9</v>
      </c>
      <c r="N778" s="6">
        <v>81</v>
      </c>
      <c r="O778" s="30">
        <f t="shared" si="76"/>
        <v>9</v>
      </c>
      <c r="P778" s="30">
        <f t="shared" si="77"/>
        <v>729</v>
      </c>
      <c r="Q778" s="1">
        <f>COUNTIFS($P:$P, "&gt;" &amp; $P778) + 1</f>
        <v>3847</v>
      </c>
      <c r="R778" s="63">
        <f>(COUNTIFS($P:$P, "&gt;" &amp; $P778) + 1) / (COUNTA($I:$I) - 1)</f>
        <v>0.76939999999999997</v>
      </c>
      <c r="S778" s="23">
        <f>SUMIFS($P:$P, $Q:$Q, "&lt;" &amp; $Q778)</f>
        <v>186301356</v>
      </c>
    </row>
    <row r="779" spans="1:19" x14ac:dyDescent="0.25">
      <c r="A779" s="1">
        <v>774</v>
      </c>
      <c r="B779" s="1" t="s">
        <v>2</v>
      </c>
      <c r="C779" s="1" t="str">
        <f>IF($B779 = "Production Item", _xlfn.XLOOKUP($A779, 'Instrument Table'!$J:$J, 'Instrument Table'!$B:$B, $C778), IF($B779 = "Service Item", _xlfn.XLOOKUP($A779, 'Instrument Table'!$I:$I, 'Instrument Table'!$B:$B, $C778), _xlfn.XLOOKUP($A779, 'Instrument Table'!$H:$H, 'Instrument Table'!$B:$B, $C778)))</f>
        <v>Electric Keyboard</v>
      </c>
      <c r="D779" s="1" t="str">
        <f>VLOOKUP($C779, 'Instrument Table'!$B:$C, 2, FALSE)</f>
        <v>Pianos</v>
      </c>
      <c r="E779" s="1">
        <f t="shared" si="72"/>
        <v>1</v>
      </c>
      <c r="F779" s="1">
        <f>_xlfn.XLOOKUP($C779, 'Instrument Table'!$B:$B, 'Instrument Table'!$A:$A, "")</f>
        <v>12</v>
      </c>
      <c r="G779" s="1" t="str">
        <f>TEXT(IF($B779 = "Retail Item", IF((ROW($A779) - 4504 - _xlfn.XMATCH($C779, $C$4506:$C$5005, 0, 1)) &lt;= VLOOKUP($C779, 'Instrument Table'!$B:$D, 3, FALSE), ROW($A779) - 4504 - _xlfn.XMATCH($C779, $C$4506:$C$5005, 0, 1), 0), 0), "00")</f>
        <v>00</v>
      </c>
      <c r="H779" s="1" t="str">
        <f t="shared" si="73"/>
        <v>023</v>
      </c>
      <c r="I779" s="1" t="str">
        <f t="shared" si="74"/>
        <v>11200-023</v>
      </c>
      <c r="J779" s="1" t="str">
        <f t="shared" si="75"/>
        <v>Electric keyboard production item #023</v>
      </c>
      <c r="K779" s="1" t="str">
        <f>IF(SUM(COUNTIFS(I:I, I779)) &gt; 1, "DUPLICATE", "UNIQUE")</f>
        <v>UNIQUE</v>
      </c>
      <c r="L779" s="18">
        <v>1</v>
      </c>
      <c r="M779" s="28">
        <v>2</v>
      </c>
      <c r="N779" s="6">
        <v>100</v>
      </c>
      <c r="O779" s="30">
        <f t="shared" si="76"/>
        <v>2</v>
      </c>
      <c r="P779" s="30">
        <f t="shared" si="77"/>
        <v>200</v>
      </c>
      <c r="Q779" s="1">
        <f>COUNTIFS($P:$P, "&gt;" &amp; $P779) + 1</f>
        <v>4322</v>
      </c>
      <c r="R779" s="63">
        <f>(COUNTIFS($P:$P, "&gt;" &amp; $P779) + 1) / (COUNTA($I:$I) - 1)</f>
        <v>0.86439999999999995</v>
      </c>
      <c r="S779" s="23">
        <f>SUMIFS($P:$P, $Q:$Q, "&lt;" &amp; $Q779)</f>
        <v>186512097</v>
      </c>
    </row>
    <row r="780" spans="1:19" x14ac:dyDescent="0.25">
      <c r="A780" s="1">
        <v>775</v>
      </c>
      <c r="B780" s="1" t="s">
        <v>2</v>
      </c>
      <c r="C780" s="1" t="str">
        <f>IF($B780 = "Production Item", _xlfn.XLOOKUP($A780, 'Instrument Table'!$J:$J, 'Instrument Table'!$B:$B, $C779), IF($B780 = "Service Item", _xlfn.XLOOKUP($A780, 'Instrument Table'!$I:$I, 'Instrument Table'!$B:$B, $C779), _xlfn.XLOOKUP($A780, 'Instrument Table'!$H:$H, 'Instrument Table'!$B:$B, $C779)))</f>
        <v>Electric Keyboard</v>
      </c>
      <c r="D780" s="1" t="str">
        <f>VLOOKUP($C780, 'Instrument Table'!$B:$C, 2, FALSE)</f>
        <v>Pianos</v>
      </c>
      <c r="E780" s="1">
        <f t="shared" si="72"/>
        <v>1</v>
      </c>
      <c r="F780" s="1">
        <f>_xlfn.XLOOKUP($C780, 'Instrument Table'!$B:$B, 'Instrument Table'!$A:$A, "")</f>
        <v>12</v>
      </c>
      <c r="G780" s="1" t="str">
        <f>TEXT(IF($B780 = "Retail Item", IF((ROW($A780) - 4504 - _xlfn.XMATCH($C780, $C$4506:$C$5005, 0, 1)) &lt;= VLOOKUP($C780, 'Instrument Table'!$B:$D, 3, FALSE), ROW($A780) - 4504 - _xlfn.XMATCH($C780, $C$4506:$C$5005, 0, 1), 0), 0), "00")</f>
        <v>00</v>
      </c>
      <c r="H780" s="1" t="str">
        <f t="shared" si="73"/>
        <v>024</v>
      </c>
      <c r="I780" s="1" t="str">
        <f t="shared" si="74"/>
        <v>11200-024</v>
      </c>
      <c r="J780" s="1" t="str">
        <f t="shared" si="75"/>
        <v>Electric keyboard production item #024</v>
      </c>
      <c r="K780" s="1" t="str">
        <f>IF(SUM(COUNTIFS(I:I, I780)) &gt; 1, "DUPLICATE", "UNIQUE")</f>
        <v>UNIQUE</v>
      </c>
      <c r="L780" s="18">
        <v>0</v>
      </c>
      <c r="M780" s="28">
        <v>56</v>
      </c>
      <c r="N780" s="6">
        <v>361</v>
      </c>
      <c r="O780" s="30">
        <f t="shared" si="76"/>
        <v>0</v>
      </c>
      <c r="P780" s="30">
        <f t="shared" si="77"/>
        <v>20216</v>
      </c>
      <c r="Q780" s="1">
        <f>COUNTIFS($P:$P, "&gt;" &amp; $P780) + 1</f>
        <v>1051</v>
      </c>
      <c r="R780" s="63">
        <f>(COUNTIFS($P:$P, "&gt;" &amp; $P780) + 1) / (COUNTA($I:$I) - 1)</f>
        <v>0.2102</v>
      </c>
      <c r="S780" s="23">
        <f>SUMIFS($P:$P, $Q:$Q, "&lt;" &amp; $Q780)</f>
        <v>167542628</v>
      </c>
    </row>
    <row r="781" spans="1:19" x14ac:dyDescent="0.25">
      <c r="A781" s="1">
        <v>776</v>
      </c>
      <c r="B781" s="1" t="s">
        <v>2</v>
      </c>
      <c r="C781" s="1" t="str">
        <f>IF($B781 = "Production Item", _xlfn.XLOOKUP($A781, 'Instrument Table'!$J:$J, 'Instrument Table'!$B:$B, $C780), IF($B781 = "Service Item", _xlfn.XLOOKUP($A781, 'Instrument Table'!$I:$I, 'Instrument Table'!$B:$B, $C780), _xlfn.XLOOKUP($A781, 'Instrument Table'!$H:$H, 'Instrument Table'!$B:$B, $C780)))</f>
        <v>Electric Keyboard</v>
      </c>
      <c r="D781" s="1" t="str">
        <f>VLOOKUP($C781, 'Instrument Table'!$B:$C, 2, FALSE)</f>
        <v>Pianos</v>
      </c>
      <c r="E781" s="1">
        <f t="shared" si="72"/>
        <v>1</v>
      </c>
      <c r="F781" s="1">
        <f>_xlfn.XLOOKUP($C781, 'Instrument Table'!$B:$B, 'Instrument Table'!$A:$A, "")</f>
        <v>12</v>
      </c>
      <c r="G781" s="1" t="str">
        <f>TEXT(IF($B781 = "Retail Item", IF((ROW($A781) - 4504 - _xlfn.XMATCH($C781, $C$4506:$C$5005, 0, 1)) &lt;= VLOOKUP($C781, 'Instrument Table'!$B:$D, 3, FALSE), ROW($A781) - 4504 - _xlfn.XMATCH($C781, $C$4506:$C$5005, 0, 1), 0), 0), "00")</f>
        <v>00</v>
      </c>
      <c r="H781" s="1" t="str">
        <f t="shared" si="73"/>
        <v>025</v>
      </c>
      <c r="I781" s="1" t="str">
        <f t="shared" si="74"/>
        <v>11200-025</v>
      </c>
      <c r="J781" s="1" t="str">
        <f t="shared" si="75"/>
        <v>Electric keyboard production item #025</v>
      </c>
      <c r="K781" s="1" t="str">
        <f>IF(SUM(COUNTIFS(I:I, I781)) &gt; 1, "DUPLICATE", "UNIQUE")</f>
        <v>UNIQUE</v>
      </c>
      <c r="L781" s="18">
        <v>1</v>
      </c>
      <c r="M781" s="28">
        <v>61</v>
      </c>
      <c r="N781" s="6">
        <v>400</v>
      </c>
      <c r="O781" s="30">
        <f t="shared" si="76"/>
        <v>61</v>
      </c>
      <c r="P781" s="30">
        <f t="shared" si="77"/>
        <v>24400</v>
      </c>
      <c r="Q781" s="1">
        <f>COUNTIFS($P:$P, "&gt;" &amp; $P781) + 1</f>
        <v>858</v>
      </c>
      <c r="R781" s="63">
        <f>(COUNTIFS($P:$P, "&gt;" &amp; $P781) + 1) / (COUNTA($I:$I) - 1)</f>
        <v>0.1716</v>
      </c>
      <c r="S781" s="23">
        <f>SUMIFS($P:$P, $Q:$Q, "&lt;" &amp; $Q781)</f>
        <v>163279892</v>
      </c>
    </row>
    <row r="782" spans="1:19" x14ac:dyDescent="0.25">
      <c r="A782" s="1">
        <v>777</v>
      </c>
      <c r="B782" s="1" t="s">
        <v>2</v>
      </c>
      <c r="C782" s="1" t="str">
        <f>IF($B782 = "Production Item", _xlfn.XLOOKUP($A782, 'Instrument Table'!$J:$J, 'Instrument Table'!$B:$B, $C781), IF($B782 = "Service Item", _xlfn.XLOOKUP($A782, 'Instrument Table'!$I:$I, 'Instrument Table'!$B:$B, $C781), _xlfn.XLOOKUP($A782, 'Instrument Table'!$H:$H, 'Instrument Table'!$B:$B, $C781)))</f>
        <v>Electric Keyboard</v>
      </c>
      <c r="D782" s="1" t="str">
        <f>VLOOKUP($C782, 'Instrument Table'!$B:$C, 2, FALSE)</f>
        <v>Pianos</v>
      </c>
      <c r="E782" s="1">
        <f t="shared" si="72"/>
        <v>1</v>
      </c>
      <c r="F782" s="1">
        <f>_xlfn.XLOOKUP($C782, 'Instrument Table'!$B:$B, 'Instrument Table'!$A:$A, "")</f>
        <v>12</v>
      </c>
      <c r="G782" s="1" t="str">
        <f>TEXT(IF($B782 = "Retail Item", IF((ROW($A782) - 4504 - _xlfn.XMATCH($C782, $C$4506:$C$5005, 0, 1)) &lt;= VLOOKUP($C782, 'Instrument Table'!$B:$D, 3, FALSE), ROW($A782) - 4504 - _xlfn.XMATCH($C782, $C$4506:$C$5005, 0, 1), 0), 0), "00")</f>
        <v>00</v>
      </c>
      <c r="H782" s="1" t="str">
        <f t="shared" si="73"/>
        <v>026</v>
      </c>
      <c r="I782" s="1" t="str">
        <f t="shared" si="74"/>
        <v>11200-026</v>
      </c>
      <c r="J782" s="1" t="str">
        <f t="shared" si="75"/>
        <v>Electric keyboard production item #026</v>
      </c>
      <c r="K782" s="1" t="str">
        <f>IF(SUM(COUNTIFS(I:I, I782)) &gt; 1, "DUPLICATE", "UNIQUE")</f>
        <v>UNIQUE</v>
      </c>
      <c r="L782" s="18">
        <v>4</v>
      </c>
      <c r="M782" s="28">
        <v>83</v>
      </c>
      <c r="N782" s="6">
        <v>16</v>
      </c>
      <c r="O782" s="30">
        <f t="shared" si="76"/>
        <v>332</v>
      </c>
      <c r="P782" s="30">
        <f t="shared" si="77"/>
        <v>1328</v>
      </c>
      <c r="Q782" s="1">
        <f>COUNTIFS($P:$P, "&gt;" &amp; $P782) + 1</f>
        <v>3552</v>
      </c>
      <c r="R782" s="63">
        <f>(COUNTIFS($P:$P, "&gt;" &amp; $P782) + 1) / (COUNTA($I:$I) - 1)</f>
        <v>0.71040000000000003</v>
      </c>
      <c r="S782" s="23">
        <f>SUMIFS($P:$P, $Q:$Q, "&lt;" &amp; $Q782)</f>
        <v>186008741</v>
      </c>
    </row>
    <row r="783" spans="1:19" x14ac:dyDescent="0.25">
      <c r="A783" s="1">
        <v>778</v>
      </c>
      <c r="B783" s="1" t="s">
        <v>2</v>
      </c>
      <c r="C783" s="1" t="str">
        <f>IF($B783 = "Production Item", _xlfn.XLOOKUP($A783, 'Instrument Table'!$J:$J, 'Instrument Table'!$B:$B, $C782), IF($B783 = "Service Item", _xlfn.XLOOKUP($A783, 'Instrument Table'!$I:$I, 'Instrument Table'!$B:$B, $C782), _xlfn.XLOOKUP($A783, 'Instrument Table'!$H:$H, 'Instrument Table'!$B:$B, $C782)))</f>
        <v>Electric Keyboard</v>
      </c>
      <c r="D783" s="1" t="str">
        <f>VLOOKUP($C783, 'Instrument Table'!$B:$C, 2, FALSE)</f>
        <v>Pianos</v>
      </c>
      <c r="E783" s="1">
        <f t="shared" si="72"/>
        <v>1</v>
      </c>
      <c r="F783" s="1">
        <f>_xlfn.XLOOKUP($C783, 'Instrument Table'!$B:$B, 'Instrument Table'!$A:$A, "")</f>
        <v>12</v>
      </c>
      <c r="G783" s="1" t="str">
        <f>TEXT(IF($B783 = "Retail Item", IF((ROW($A783) - 4504 - _xlfn.XMATCH($C783, $C$4506:$C$5005, 0, 1)) &lt;= VLOOKUP($C783, 'Instrument Table'!$B:$D, 3, FALSE), ROW($A783) - 4504 - _xlfn.XMATCH($C783, $C$4506:$C$5005, 0, 1), 0), 0), "00")</f>
        <v>00</v>
      </c>
      <c r="H783" s="1" t="str">
        <f t="shared" si="73"/>
        <v>027</v>
      </c>
      <c r="I783" s="1" t="str">
        <f t="shared" si="74"/>
        <v>11200-027</v>
      </c>
      <c r="J783" s="1" t="str">
        <f t="shared" si="75"/>
        <v>Electric keyboard production item #027</v>
      </c>
      <c r="K783" s="1" t="str">
        <f>IF(SUM(COUNTIFS(I:I, I783)) &gt; 1, "DUPLICATE", "UNIQUE")</f>
        <v>UNIQUE</v>
      </c>
      <c r="L783" s="18">
        <v>32</v>
      </c>
      <c r="M783" s="28">
        <v>24</v>
      </c>
      <c r="N783" s="6">
        <v>81</v>
      </c>
      <c r="O783" s="30">
        <f t="shared" si="76"/>
        <v>768</v>
      </c>
      <c r="P783" s="30">
        <f t="shared" si="77"/>
        <v>1944</v>
      </c>
      <c r="Q783" s="1">
        <f>COUNTIFS($P:$P, "&gt;" &amp; $P783) + 1</f>
        <v>3276</v>
      </c>
      <c r="R783" s="63">
        <f>(COUNTIFS($P:$P, "&gt;" &amp; $P783) + 1) / (COUNTA($I:$I) - 1)</f>
        <v>0.6552</v>
      </c>
      <c r="S783" s="23">
        <f>SUMIFS($P:$P, $Q:$Q, "&lt;" &amp; $Q783)</f>
        <v>185562800</v>
      </c>
    </row>
    <row r="784" spans="1:19" x14ac:dyDescent="0.25">
      <c r="A784" s="1">
        <v>779</v>
      </c>
      <c r="B784" s="1" t="s">
        <v>2</v>
      </c>
      <c r="C784" s="1" t="str">
        <f>IF($B784 = "Production Item", _xlfn.XLOOKUP($A784, 'Instrument Table'!$J:$J, 'Instrument Table'!$B:$B, $C783), IF($B784 = "Service Item", _xlfn.XLOOKUP($A784, 'Instrument Table'!$I:$I, 'Instrument Table'!$B:$B, $C783), _xlfn.XLOOKUP($A784, 'Instrument Table'!$H:$H, 'Instrument Table'!$B:$B, $C783)))</f>
        <v>Electric Keyboard</v>
      </c>
      <c r="D784" s="1" t="str">
        <f>VLOOKUP($C784, 'Instrument Table'!$B:$C, 2, FALSE)</f>
        <v>Pianos</v>
      </c>
      <c r="E784" s="1">
        <f t="shared" si="72"/>
        <v>1</v>
      </c>
      <c r="F784" s="1">
        <f>_xlfn.XLOOKUP($C784, 'Instrument Table'!$B:$B, 'Instrument Table'!$A:$A, "")</f>
        <v>12</v>
      </c>
      <c r="G784" s="1" t="str">
        <f>TEXT(IF($B784 = "Retail Item", IF((ROW($A784) - 4504 - _xlfn.XMATCH($C784, $C$4506:$C$5005, 0, 1)) &lt;= VLOOKUP($C784, 'Instrument Table'!$B:$D, 3, FALSE), ROW($A784) - 4504 - _xlfn.XMATCH($C784, $C$4506:$C$5005, 0, 1), 0), 0), "00")</f>
        <v>00</v>
      </c>
      <c r="H784" s="1" t="str">
        <f t="shared" si="73"/>
        <v>028</v>
      </c>
      <c r="I784" s="1" t="str">
        <f t="shared" si="74"/>
        <v>11200-028</v>
      </c>
      <c r="J784" s="1" t="str">
        <f t="shared" si="75"/>
        <v>Electric keyboard production item #028</v>
      </c>
      <c r="K784" s="1" t="str">
        <f>IF(SUM(COUNTIFS(I:I, I784)) &gt; 1, "DUPLICATE", "UNIQUE")</f>
        <v>UNIQUE</v>
      </c>
      <c r="L784" s="18">
        <v>2</v>
      </c>
      <c r="M784" s="28">
        <v>63</v>
      </c>
      <c r="N784" s="6">
        <v>25</v>
      </c>
      <c r="O784" s="30">
        <f t="shared" si="76"/>
        <v>126</v>
      </c>
      <c r="P784" s="30">
        <f t="shared" si="77"/>
        <v>1575</v>
      </c>
      <c r="Q784" s="1">
        <f>COUNTIFS($P:$P, "&gt;" &amp; $P784) + 1</f>
        <v>3424</v>
      </c>
      <c r="R784" s="63">
        <f>(COUNTIFS($P:$P, "&gt;" &amp; $P784) + 1) / (COUNTA($I:$I) - 1)</f>
        <v>0.68479999999999996</v>
      </c>
      <c r="S784" s="23">
        <f>SUMIFS($P:$P, $Q:$Q, "&lt;" &amp; $Q784)</f>
        <v>185823279</v>
      </c>
    </row>
    <row r="785" spans="1:19" x14ac:dyDescent="0.25">
      <c r="A785" s="1">
        <v>780</v>
      </c>
      <c r="B785" s="1" t="s">
        <v>2</v>
      </c>
      <c r="C785" s="1" t="str">
        <f>IF($B785 = "Production Item", _xlfn.XLOOKUP($A785, 'Instrument Table'!$J:$J, 'Instrument Table'!$B:$B, $C784), IF($B785 = "Service Item", _xlfn.XLOOKUP($A785, 'Instrument Table'!$I:$I, 'Instrument Table'!$B:$B, $C784), _xlfn.XLOOKUP($A785, 'Instrument Table'!$H:$H, 'Instrument Table'!$B:$B, $C784)))</f>
        <v>Electric Keyboard</v>
      </c>
      <c r="D785" s="1" t="str">
        <f>VLOOKUP($C785, 'Instrument Table'!$B:$C, 2, FALSE)</f>
        <v>Pianos</v>
      </c>
      <c r="E785" s="1">
        <f t="shared" si="72"/>
        <v>1</v>
      </c>
      <c r="F785" s="1">
        <f>_xlfn.XLOOKUP($C785, 'Instrument Table'!$B:$B, 'Instrument Table'!$A:$A, "")</f>
        <v>12</v>
      </c>
      <c r="G785" s="1" t="str">
        <f>TEXT(IF($B785 = "Retail Item", IF((ROW($A785) - 4504 - _xlfn.XMATCH($C785, $C$4506:$C$5005, 0, 1)) &lt;= VLOOKUP($C785, 'Instrument Table'!$B:$D, 3, FALSE), ROW($A785) - 4504 - _xlfn.XMATCH($C785, $C$4506:$C$5005, 0, 1), 0), 0), "00")</f>
        <v>00</v>
      </c>
      <c r="H785" s="1" t="str">
        <f t="shared" si="73"/>
        <v>029</v>
      </c>
      <c r="I785" s="1" t="str">
        <f t="shared" si="74"/>
        <v>11200-029</v>
      </c>
      <c r="J785" s="1" t="str">
        <f t="shared" si="75"/>
        <v>Electric keyboard production item #029</v>
      </c>
      <c r="K785" s="1" t="str">
        <f>IF(SUM(COUNTIFS(I:I, I785)) &gt; 1, "DUPLICATE", "UNIQUE")</f>
        <v>UNIQUE</v>
      </c>
      <c r="L785" s="18">
        <v>1</v>
      </c>
      <c r="M785" s="28">
        <v>22</v>
      </c>
      <c r="N785" s="6">
        <v>9</v>
      </c>
      <c r="O785" s="30">
        <f t="shared" si="76"/>
        <v>22</v>
      </c>
      <c r="P785" s="30">
        <f t="shared" si="77"/>
        <v>198</v>
      </c>
      <c r="Q785" s="1">
        <f>COUNTIFS($P:$P, "&gt;" &amp; $P785) + 1</f>
        <v>4332</v>
      </c>
      <c r="R785" s="63">
        <f>(COUNTIFS($P:$P, "&gt;" &amp; $P785) + 1) / (COUNTA($I:$I) - 1)</f>
        <v>0.86639999999999995</v>
      </c>
      <c r="S785" s="23">
        <f>SUMIFS($P:$P, $Q:$Q, "&lt;" &amp; $Q785)</f>
        <v>186514097</v>
      </c>
    </row>
    <row r="786" spans="1:19" x14ac:dyDescent="0.25">
      <c r="A786" s="1">
        <v>781</v>
      </c>
      <c r="B786" s="1" t="s">
        <v>2</v>
      </c>
      <c r="C786" s="1" t="str">
        <f>IF($B786 = "Production Item", _xlfn.XLOOKUP($A786, 'Instrument Table'!$J:$J, 'Instrument Table'!$B:$B, $C785), IF($B786 = "Service Item", _xlfn.XLOOKUP($A786, 'Instrument Table'!$I:$I, 'Instrument Table'!$B:$B, $C785), _xlfn.XLOOKUP($A786, 'Instrument Table'!$H:$H, 'Instrument Table'!$B:$B, $C785)))</f>
        <v>Electric Keyboard</v>
      </c>
      <c r="D786" s="1" t="str">
        <f>VLOOKUP($C786, 'Instrument Table'!$B:$C, 2, FALSE)</f>
        <v>Pianos</v>
      </c>
      <c r="E786" s="1">
        <f t="shared" si="72"/>
        <v>1</v>
      </c>
      <c r="F786" s="1">
        <f>_xlfn.XLOOKUP($C786, 'Instrument Table'!$B:$B, 'Instrument Table'!$A:$A, "")</f>
        <v>12</v>
      </c>
      <c r="G786" s="1" t="str">
        <f>TEXT(IF($B786 = "Retail Item", IF((ROW($A786) - 4504 - _xlfn.XMATCH($C786, $C$4506:$C$5005, 0, 1)) &lt;= VLOOKUP($C786, 'Instrument Table'!$B:$D, 3, FALSE), ROW($A786) - 4504 - _xlfn.XMATCH($C786, $C$4506:$C$5005, 0, 1), 0), 0), "00")</f>
        <v>00</v>
      </c>
      <c r="H786" s="1" t="str">
        <f t="shared" si="73"/>
        <v>030</v>
      </c>
      <c r="I786" s="1" t="str">
        <f t="shared" si="74"/>
        <v>11200-030</v>
      </c>
      <c r="J786" s="1" t="str">
        <f t="shared" si="75"/>
        <v>Electric keyboard production item #030</v>
      </c>
      <c r="K786" s="1" t="str">
        <f>IF(SUM(COUNTIFS(I:I, I786)) &gt; 1, "DUPLICATE", "UNIQUE")</f>
        <v>UNIQUE</v>
      </c>
      <c r="L786" s="18">
        <v>1</v>
      </c>
      <c r="M786" s="28">
        <v>21</v>
      </c>
      <c r="N786" s="6">
        <v>324</v>
      </c>
      <c r="O786" s="30">
        <f t="shared" si="76"/>
        <v>21</v>
      </c>
      <c r="P786" s="30">
        <f t="shared" si="77"/>
        <v>6804</v>
      </c>
      <c r="Q786" s="1">
        <f>COUNTIFS($P:$P, "&gt;" &amp; $P786) + 1</f>
        <v>2164</v>
      </c>
      <c r="R786" s="63">
        <f>(COUNTIFS($P:$P, "&gt;" &amp; $P786) + 1) / (COUNTA($I:$I) - 1)</f>
        <v>0.43280000000000002</v>
      </c>
      <c r="S786" s="23">
        <f>SUMIFS($P:$P, $Q:$Q, "&lt;" &amp; $Q786)</f>
        <v>181209884</v>
      </c>
    </row>
    <row r="787" spans="1:19" x14ac:dyDescent="0.25">
      <c r="A787" s="1">
        <v>782</v>
      </c>
      <c r="B787" s="1" t="s">
        <v>2</v>
      </c>
      <c r="C787" s="1" t="str">
        <f>IF($B787 = "Production Item", _xlfn.XLOOKUP($A787, 'Instrument Table'!$J:$J, 'Instrument Table'!$B:$B, $C786), IF($B787 = "Service Item", _xlfn.XLOOKUP($A787, 'Instrument Table'!$I:$I, 'Instrument Table'!$B:$B, $C786), _xlfn.XLOOKUP($A787, 'Instrument Table'!$H:$H, 'Instrument Table'!$B:$B, $C786)))</f>
        <v>Electric Keyboard</v>
      </c>
      <c r="D787" s="1" t="str">
        <f>VLOOKUP($C787, 'Instrument Table'!$B:$C, 2, FALSE)</f>
        <v>Pianos</v>
      </c>
      <c r="E787" s="1">
        <f t="shared" si="72"/>
        <v>1</v>
      </c>
      <c r="F787" s="1">
        <f>_xlfn.XLOOKUP($C787, 'Instrument Table'!$B:$B, 'Instrument Table'!$A:$A, "")</f>
        <v>12</v>
      </c>
      <c r="G787" s="1" t="str">
        <f>TEXT(IF($B787 = "Retail Item", IF((ROW($A787) - 4504 - _xlfn.XMATCH($C787, $C$4506:$C$5005, 0, 1)) &lt;= VLOOKUP($C787, 'Instrument Table'!$B:$D, 3, FALSE), ROW($A787) - 4504 - _xlfn.XMATCH($C787, $C$4506:$C$5005, 0, 1), 0), 0), "00")</f>
        <v>00</v>
      </c>
      <c r="H787" s="1" t="str">
        <f t="shared" si="73"/>
        <v>031</v>
      </c>
      <c r="I787" s="1" t="str">
        <f t="shared" si="74"/>
        <v>11200-031</v>
      </c>
      <c r="J787" s="1" t="str">
        <f t="shared" si="75"/>
        <v>Electric keyboard production item #031</v>
      </c>
      <c r="K787" s="1" t="str">
        <f>IF(SUM(COUNTIFS(I:I, I787)) &gt; 1, "DUPLICATE", "UNIQUE")</f>
        <v>UNIQUE</v>
      </c>
      <c r="L787" s="18">
        <v>0</v>
      </c>
      <c r="M787" s="28">
        <v>3</v>
      </c>
      <c r="N787" s="6">
        <v>25</v>
      </c>
      <c r="O787" s="30">
        <f t="shared" si="76"/>
        <v>0</v>
      </c>
      <c r="P787" s="30">
        <f t="shared" si="77"/>
        <v>75</v>
      </c>
      <c r="Q787" s="1">
        <f>COUNTIFS($P:$P, "&gt;" &amp; $P787) + 1</f>
        <v>4527</v>
      </c>
      <c r="R787" s="63">
        <f>(COUNTIFS($P:$P, "&gt;" &amp; $P787) + 1) / (COUNTA($I:$I) - 1)</f>
        <v>0.90539999999999998</v>
      </c>
      <c r="S787" s="23">
        <f>SUMIFS($P:$P, $Q:$Q, "&lt;" &amp; $Q787)</f>
        <v>186539016</v>
      </c>
    </row>
    <row r="788" spans="1:19" x14ac:dyDescent="0.25">
      <c r="A788" s="1">
        <v>783</v>
      </c>
      <c r="B788" s="1" t="s">
        <v>2</v>
      </c>
      <c r="C788" s="1" t="str">
        <f>IF($B788 = "Production Item", _xlfn.XLOOKUP($A788, 'Instrument Table'!$J:$J, 'Instrument Table'!$B:$B, $C787), IF($B788 = "Service Item", _xlfn.XLOOKUP($A788, 'Instrument Table'!$I:$I, 'Instrument Table'!$B:$B, $C787), _xlfn.XLOOKUP($A788, 'Instrument Table'!$H:$H, 'Instrument Table'!$B:$B, $C787)))</f>
        <v>Electric Keyboard</v>
      </c>
      <c r="D788" s="1" t="str">
        <f>VLOOKUP($C788, 'Instrument Table'!$B:$C, 2, FALSE)</f>
        <v>Pianos</v>
      </c>
      <c r="E788" s="1">
        <f t="shared" si="72"/>
        <v>1</v>
      </c>
      <c r="F788" s="1">
        <f>_xlfn.XLOOKUP($C788, 'Instrument Table'!$B:$B, 'Instrument Table'!$A:$A, "")</f>
        <v>12</v>
      </c>
      <c r="G788" s="1" t="str">
        <f>TEXT(IF($B788 = "Retail Item", IF((ROW($A788) - 4504 - _xlfn.XMATCH($C788, $C$4506:$C$5005, 0, 1)) &lt;= VLOOKUP($C788, 'Instrument Table'!$B:$D, 3, FALSE), ROW($A788) - 4504 - _xlfn.XMATCH($C788, $C$4506:$C$5005, 0, 1), 0), 0), "00")</f>
        <v>00</v>
      </c>
      <c r="H788" s="1" t="str">
        <f t="shared" si="73"/>
        <v>032</v>
      </c>
      <c r="I788" s="1" t="str">
        <f t="shared" si="74"/>
        <v>11200-032</v>
      </c>
      <c r="J788" s="1" t="str">
        <f t="shared" si="75"/>
        <v>Electric keyboard production item #032</v>
      </c>
      <c r="K788" s="1" t="str">
        <f>IF(SUM(COUNTIFS(I:I, I788)) &gt; 1, "DUPLICATE", "UNIQUE")</f>
        <v>UNIQUE</v>
      </c>
      <c r="L788" s="18">
        <v>32</v>
      </c>
      <c r="M788" s="28">
        <v>34</v>
      </c>
      <c r="N788" s="6">
        <v>9</v>
      </c>
      <c r="O788" s="30">
        <f t="shared" si="76"/>
        <v>1088</v>
      </c>
      <c r="P788" s="30">
        <f t="shared" si="77"/>
        <v>306</v>
      </c>
      <c r="Q788" s="1">
        <f>COUNTIFS($P:$P, "&gt;" &amp; $P788) + 1</f>
        <v>4208</v>
      </c>
      <c r="R788" s="63">
        <f>(COUNTIFS($P:$P, "&gt;" &amp; $P788) + 1) / (COUNTA($I:$I) - 1)</f>
        <v>0.84160000000000001</v>
      </c>
      <c r="S788" s="23">
        <f>SUMIFS($P:$P, $Q:$Q, "&lt;" &amp; $Q788)</f>
        <v>186482895</v>
      </c>
    </row>
    <row r="789" spans="1:19" x14ac:dyDescent="0.25">
      <c r="A789" s="1">
        <v>784</v>
      </c>
      <c r="B789" s="1" t="s">
        <v>2</v>
      </c>
      <c r="C789" s="1" t="str">
        <f>IF($B789 = "Production Item", _xlfn.XLOOKUP($A789, 'Instrument Table'!$J:$J, 'Instrument Table'!$B:$B, $C788), IF($B789 = "Service Item", _xlfn.XLOOKUP($A789, 'Instrument Table'!$I:$I, 'Instrument Table'!$B:$B, $C788), _xlfn.XLOOKUP($A789, 'Instrument Table'!$H:$H, 'Instrument Table'!$B:$B, $C788)))</f>
        <v>Electric Keyboard</v>
      </c>
      <c r="D789" s="1" t="str">
        <f>VLOOKUP($C789, 'Instrument Table'!$B:$C, 2, FALSE)</f>
        <v>Pianos</v>
      </c>
      <c r="E789" s="1">
        <f t="shared" si="72"/>
        <v>1</v>
      </c>
      <c r="F789" s="1">
        <f>_xlfn.XLOOKUP($C789, 'Instrument Table'!$B:$B, 'Instrument Table'!$A:$A, "")</f>
        <v>12</v>
      </c>
      <c r="G789" s="1" t="str">
        <f>TEXT(IF($B789 = "Retail Item", IF((ROW($A789) - 4504 - _xlfn.XMATCH($C789, $C$4506:$C$5005, 0, 1)) &lt;= VLOOKUP($C789, 'Instrument Table'!$B:$D, 3, FALSE), ROW($A789) - 4504 - _xlfn.XMATCH($C789, $C$4506:$C$5005, 0, 1), 0), 0), "00")</f>
        <v>00</v>
      </c>
      <c r="H789" s="1" t="str">
        <f t="shared" si="73"/>
        <v>033</v>
      </c>
      <c r="I789" s="1" t="str">
        <f t="shared" si="74"/>
        <v>11200-033</v>
      </c>
      <c r="J789" s="1" t="str">
        <f t="shared" si="75"/>
        <v>Electric keyboard production item #033</v>
      </c>
      <c r="K789" s="1" t="str">
        <f>IF(SUM(COUNTIFS(I:I, I789)) &gt; 1, "DUPLICATE", "UNIQUE")</f>
        <v>UNIQUE</v>
      </c>
      <c r="L789" s="18">
        <v>4</v>
      </c>
      <c r="M789" s="28">
        <v>53</v>
      </c>
      <c r="N789" s="6">
        <v>225</v>
      </c>
      <c r="O789" s="30">
        <f t="shared" si="76"/>
        <v>212</v>
      </c>
      <c r="P789" s="30">
        <f t="shared" si="77"/>
        <v>11925</v>
      </c>
      <c r="Q789" s="1">
        <f>COUNTIFS($P:$P, "&gt;" &amp; $P789) + 1</f>
        <v>1591</v>
      </c>
      <c r="R789" s="63">
        <f>(COUNTIFS($P:$P, "&gt;" &amp; $P789) + 1) / (COUNTA($I:$I) - 1)</f>
        <v>0.31819999999999998</v>
      </c>
      <c r="S789" s="23">
        <f>SUMIFS($P:$P, $Q:$Q, "&lt;" &amp; $Q789)</f>
        <v>175972106</v>
      </c>
    </row>
    <row r="790" spans="1:19" x14ac:dyDescent="0.25">
      <c r="A790" s="1">
        <v>785</v>
      </c>
      <c r="B790" s="1" t="s">
        <v>2</v>
      </c>
      <c r="C790" s="1" t="str">
        <f>IF($B790 = "Production Item", _xlfn.XLOOKUP($A790, 'Instrument Table'!$J:$J, 'Instrument Table'!$B:$B, $C789), IF($B790 = "Service Item", _xlfn.XLOOKUP($A790, 'Instrument Table'!$I:$I, 'Instrument Table'!$B:$B, $C789), _xlfn.XLOOKUP($A790, 'Instrument Table'!$H:$H, 'Instrument Table'!$B:$B, $C789)))</f>
        <v>Electric Keyboard</v>
      </c>
      <c r="D790" s="1" t="str">
        <f>VLOOKUP($C790, 'Instrument Table'!$B:$C, 2, FALSE)</f>
        <v>Pianos</v>
      </c>
      <c r="E790" s="1">
        <f t="shared" si="72"/>
        <v>1</v>
      </c>
      <c r="F790" s="1">
        <f>_xlfn.XLOOKUP($C790, 'Instrument Table'!$B:$B, 'Instrument Table'!$A:$A, "")</f>
        <v>12</v>
      </c>
      <c r="G790" s="1" t="str">
        <f>TEXT(IF($B790 = "Retail Item", IF((ROW($A790) - 4504 - _xlfn.XMATCH($C790, $C$4506:$C$5005, 0, 1)) &lt;= VLOOKUP($C790, 'Instrument Table'!$B:$D, 3, FALSE), ROW($A790) - 4504 - _xlfn.XMATCH($C790, $C$4506:$C$5005, 0, 1), 0), 0), "00")</f>
        <v>00</v>
      </c>
      <c r="H790" s="1" t="str">
        <f t="shared" si="73"/>
        <v>034</v>
      </c>
      <c r="I790" s="1" t="str">
        <f t="shared" si="74"/>
        <v>11200-034</v>
      </c>
      <c r="J790" s="1" t="str">
        <f t="shared" si="75"/>
        <v>Electric keyboard production item #034</v>
      </c>
      <c r="K790" s="1" t="str">
        <f>IF(SUM(COUNTIFS(I:I, I790)) &gt; 1, "DUPLICATE", "UNIQUE")</f>
        <v>UNIQUE</v>
      </c>
      <c r="L790" s="18">
        <v>0</v>
      </c>
      <c r="M790" s="28">
        <v>97</v>
      </c>
      <c r="N790" s="6">
        <v>4</v>
      </c>
      <c r="O790" s="30">
        <f t="shared" si="76"/>
        <v>0</v>
      </c>
      <c r="P790" s="30">
        <f t="shared" si="77"/>
        <v>388</v>
      </c>
      <c r="Q790" s="1">
        <f>COUNTIFS($P:$P, "&gt;" &amp; $P790) + 1</f>
        <v>4116</v>
      </c>
      <c r="R790" s="63">
        <f>(COUNTIFS($P:$P, "&gt;" &amp; $P790) + 1) / (COUNTA($I:$I) - 1)</f>
        <v>0.82320000000000004</v>
      </c>
      <c r="S790" s="23">
        <f>SUMIFS($P:$P, $Q:$Q, "&lt;" &amp; $Q790)</f>
        <v>186451186</v>
      </c>
    </row>
    <row r="791" spans="1:19" x14ac:dyDescent="0.25">
      <c r="A791" s="1">
        <v>786</v>
      </c>
      <c r="B791" s="1" t="s">
        <v>2</v>
      </c>
      <c r="C791" s="1" t="str">
        <f>IF($B791 = "Production Item", _xlfn.XLOOKUP($A791, 'Instrument Table'!$J:$J, 'Instrument Table'!$B:$B, $C790), IF($B791 = "Service Item", _xlfn.XLOOKUP($A791, 'Instrument Table'!$I:$I, 'Instrument Table'!$B:$B, $C790), _xlfn.XLOOKUP($A791, 'Instrument Table'!$H:$H, 'Instrument Table'!$B:$B, $C790)))</f>
        <v>Electric Keyboard</v>
      </c>
      <c r="D791" s="1" t="str">
        <f>VLOOKUP($C791, 'Instrument Table'!$B:$C, 2, FALSE)</f>
        <v>Pianos</v>
      </c>
      <c r="E791" s="1">
        <f t="shared" si="72"/>
        <v>1</v>
      </c>
      <c r="F791" s="1">
        <f>_xlfn.XLOOKUP($C791, 'Instrument Table'!$B:$B, 'Instrument Table'!$A:$A, "")</f>
        <v>12</v>
      </c>
      <c r="G791" s="1" t="str">
        <f>TEXT(IF($B791 = "Retail Item", IF((ROW($A791) - 4504 - _xlfn.XMATCH($C791, $C$4506:$C$5005, 0, 1)) &lt;= VLOOKUP($C791, 'Instrument Table'!$B:$D, 3, FALSE), ROW($A791) - 4504 - _xlfn.XMATCH($C791, $C$4506:$C$5005, 0, 1), 0), 0), "00")</f>
        <v>00</v>
      </c>
      <c r="H791" s="1" t="str">
        <f t="shared" si="73"/>
        <v>035</v>
      </c>
      <c r="I791" s="1" t="str">
        <f t="shared" si="74"/>
        <v>11200-035</v>
      </c>
      <c r="J791" s="1" t="str">
        <f t="shared" si="75"/>
        <v>Electric keyboard production item #035</v>
      </c>
      <c r="K791" s="1" t="str">
        <f>IF(SUM(COUNTIFS(I:I, I791)) &gt; 1, "DUPLICATE", "UNIQUE")</f>
        <v>UNIQUE</v>
      </c>
      <c r="L791" s="18">
        <v>1</v>
      </c>
      <c r="M791" s="28">
        <v>89</v>
      </c>
      <c r="N791" s="6">
        <v>100</v>
      </c>
      <c r="O791" s="30">
        <f t="shared" si="76"/>
        <v>89</v>
      </c>
      <c r="P791" s="30">
        <f t="shared" si="77"/>
        <v>8900</v>
      </c>
      <c r="Q791" s="1">
        <f>COUNTIFS($P:$P, "&gt;" &amp; $P791) + 1</f>
        <v>1886</v>
      </c>
      <c r="R791" s="63">
        <f>(COUNTIFS($P:$P, "&gt;" &amp; $P791) + 1) / (COUNTA($I:$I) - 1)</f>
        <v>0.37719999999999998</v>
      </c>
      <c r="S791" s="23">
        <f>SUMIFS($P:$P, $Q:$Q, "&lt;" &amp; $Q791)</f>
        <v>179039555</v>
      </c>
    </row>
    <row r="792" spans="1:19" x14ac:dyDescent="0.25">
      <c r="A792" s="1">
        <v>787</v>
      </c>
      <c r="B792" s="1" t="s">
        <v>2</v>
      </c>
      <c r="C792" s="1" t="str">
        <f>IF($B792 = "Production Item", _xlfn.XLOOKUP($A792, 'Instrument Table'!$J:$J, 'Instrument Table'!$B:$B, $C791), IF($B792 = "Service Item", _xlfn.XLOOKUP($A792, 'Instrument Table'!$I:$I, 'Instrument Table'!$B:$B, $C791), _xlfn.XLOOKUP($A792, 'Instrument Table'!$H:$H, 'Instrument Table'!$B:$B, $C791)))</f>
        <v>Electric Keyboard</v>
      </c>
      <c r="D792" s="1" t="str">
        <f>VLOOKUP($C792, 'Instrument Table'!$B:$C, 2, FALSE)</f>
        <v>Pianos</v>
      </c>
      <c r="E792" s="1">
        <f t="shared" si="72"/>
        <v>1</v>
      </c>
      <c r="F792" s="1">
        <f>_xlfn.XLOOKUP($C792, 'Instrument Table'!$B:$B, 'Instrument Table'!$A:$A, "")</f>
        <v>12</v>
      </c>
      <c r="G792" s="1" t="str">
        <f>TEXT(IF($B792 = "Retail Item", IF((ROW($A792) - 4504 - _xlfn.XMATCH($C792, $C$4506:$C$5005, 0, 1)) &lt;= VLOOKUP($C792, 'Instrument Table'!$B:$D, 3, FALSE), ROW($A792) - 4504 - _xlfn.XMATCH($C792, $C$4506:$C$5005, 0, 1), 0), 0), "00")</f>
        <v>00</v>
      </c>
      <c r="H792" s="1" t="str">
        <f t="shared" si="73"/>
        <v>036</v>
      </c>
      <c r="I792" s="1" t="str">
        <f t="shared" si="74"/>
        <v>11200-036</v>
      </c>
      <c r="J792" s="1" t="str">
        <f t="shared" si="75"/>
        <v>Electric keyboard production item #036</v>
      </c>
      <c r="K792" s="1" t="str">
        <f>IF(SUM(COUNTIFS(I:I, I792)) &gt; 1, "DUPLICATE", "UNIQUE")</f>
        <v>UNIQUE</v>
      </c>
      <c r="L792" s="18">
        <v>1</v>
      </c>
      <c r="M792" s="28">
        <v>65</v>
      </c>
      <c r="N792" s="6">
        <v>400</v>
      </c>
      <c r="O792" s="30">
        <f t="shared" si="76"/>
        <v>65</v>
      </c>
      <c r="P792" s="30">
        <f t="shared" si="77"/>
        <v>26000</v>
      </c>
      <c r="Q792" s="1">
        <f>COUNTIFS($P:$P, "&gt;" &amp; $P792) + 1</f>
        <v>787</v>
      </c>
      <c r="R792" s="63">
        <f>(COUNTIFS($P:$P, "&gt;" &amp; $P792) + 1) / (COUNTA($I:$I) - 1)</f>
        <v>0.15740000000000001</v>
      </c>
      <c r="S792" s="23">
        <f>SUMIFS($P:$P, $Q:$Q, "&lt;" &amp; $Q792)</f>
        <v>161491013</v>
      </c>
    </row>
    <row r="793" spans="1:19" x14ac:dyDescent="0.25">
      <c r="A793" s="1">
        <v>788</v>
      </c>
      <c r="B793" s="1" t="s">
        <v>2</v>
      </c>
      <c r="C793" s="1" t="str">
        <f>IF($B793 = "Production Item", _xlfn.XLOOKUP($A793, 'Instrument Table'!$J:$J, 'Instrument Table'!$B:$B, $C792), IF($B793 = "Service Item", _xlfn.XLOOKUP($A793, 'Instrument Table'!$I:$I, 'Instrument Table'!$B:$B, $C792), _xlfn.XLOOKUP($A793, 'Instrument Table'!$H:$H, 'Instrument Table'!$B:$B, $C792)))</f>
        <v>Electric Keyboard</v>
      </c>
      <c r="D793" s="1" t="str">
        <f>VLOOKUP($C793, 'Instrument Table'!$B:$C, 2, FALSE)</f>
        <v>Pianos</v>
      </c>
      <c r="E793" s="1">
        <f t="shared" si="72"/>
        <v>1</v>
      </c>
      <c r="F793" s="1">
        <f>_xlfn.XLOOKUP($C793, 'Instrument Table'!$B:$B, 'Instrument Table'!$A:$A, "")</f>
        <v>12</v>
      </c>
      <c r="G793" s="1" t="str">
        <f>TEXT(IF($B793 = "Retail Item", IF((ROW($A793) - 4504 - _xlfn.XMATCH($C793, $C$4506:$C$5005, 0, 1)) &lt;= VLOOKUP($C793, 'Instrument Table'!$B:$D, 3, FALSE), ROW($A793) - 4504 - _xlfn.XMATCH($C793, $C$4506:$C$5005, 0, 1), 0), 0), "00")</f>
        <v>00</v>
      </c>
      <c r="H793" s="1" t="str">
        <f t="shared" si="73"/>
        <v>037</v>
      </c>
      <c r="I793" s="1" t="str">
        <f t="shared" si="74"/>
        <v>11200-037</v>
      </c>
      <c r="J793" s="1" t="str">
        <f t="shared" si="75"/>
        <v>Electric keyboard production item #037</v>
      </c>
      <c r="K793" s="1" t="str">
        <f>IF(SUM(COUNTIFS(I:I, I793)) &gt; 1, "DUPLICATE", "UNIQUE")</f>
        <v>UNIQUE</v>
      </c>
      <c r="L793" s="18">
        <v>0</v>
      </c>
      <c r="M793" s="28">
        <v>94</v>
      </c>
      <c r="N793" s="6">
        <v>400</v>
      </c>
      <c r="O793" s="30">
        <f t="shared" si="76"/>
        <v>0</v>
      </c>
      <c r="P793" s="30">
        <f t="shared" si="77"/>
        <v>37600</v>
      </c>
      <c r="Q793" s="1">
        <f>COUNTIFS($P:$P, "&gt;" &amp; $P793) + 1</f>
        <v>576</v>
      </c>
      <c r="R793" s="63">
        <f>(COUNTIFS($P:$P, "&gt;" &amp; $P793) + 1) / (COUNTA($I:$I) - 1)</f>
        <v>0.1152</v>
      </c>
      <c r="S793" s="23">
        <f>SUMIFS($P:$P, $Q:$Q, "&lt;" &amp; $Q793)</f>
        <v>154996325</v>
      </c>
    </row>
    <row r="794" spans="1:19" x14ac:dyDescent="0.25">
      <c r="A794" s="1">
        <v>789</v>
      </c>
      <c r="B794" s="1" t="s">
        <v>2</v>
      </c>
      <c r="C794" s="1" t="str">
        <f>IF($B794 = "Production Item", _xlfn.XLOOKUP($A794, 'Instrument Table'!$J:$J, 'Instrument Table'!$B:$B, $C793), IF($B794 = "Service Item", _xlfn.XLOOKUP($A794, 'Instrument Table'!$I:$I, 'Instrument Table'!$B:$B, $C793), _xlfn.XLOOKUP($A794, 'Instrument Table'!$H:$H, 'Instrument Table'!$B:$B, $C793)))</f>
        <v>Electric Keyboard</v>
      </c>
      <c r="D794" s="1" t="str">
        <f>VLOOKUP($C794, 'Instrument Table'!$B:$C, 2, FALSE)</f>
        <v>Pianos</v>
      </c>
      <c r="E794" s="1">
        <f t="shared" si="72"/>
        <v>1</v>
      </c>
      <c r="F794" s="1">
        <f>_xlfn.XLOOKUP($C794, 'Instrument Table'!$B:$B, 'Instrument Table'!$A:$A, "")</f>
        <v>12</v>
      </c>
      <c r="G794" s="1" t="str">
        <f>TEXT(IF($B794 = "Retail Item", IF((ROW($A794) - 4504 - _xlfn.XMATCH($C794, $C$4506:$C$5005, 0, 1)) &lt;= VLOOKUP($C794, 'Instrument Table'!$B:$D, 3, FALSE), ROW($A794) - 4504 - _xlfn.XMATCH($C794, $C$4506:$C$5005, 0, 1), 0), 0), "00")</f>
        <v>00</v>
      </c>
      <c r="H794" s="1" t="str">
        <f t="shared" si="73"/>
        <v>038</v>
      </c>
      <c r="I794" s="1" t="str">
        <f t="shared" si="74"/>
        <v>11200-038</v>
      </c>
      <c r="J794" s="1" t="str">
        <f t="shared" si="75"/>
        <v>Electric keyboard production item #038</v>
      </c>
      <c r="K794" s="1" t="str">
        <f>IF(SUM(COUNTIFS(I:I, I794)) &gt; 1, "DUPLICATE", "UNIQUE")</f>
        <v>UNIQUE</v>
      </c>
      <c r="L794" s="18">
        <v>1</v>
      </c>
      <c r="M794" s="28">
        <v>54</v>
      </c>
      <c r="N794" s="6">
        <v>324</v>
      </c>
      <c r="O794" s="30">
        <f t="shared" si="76"/>
        <v>54</v>
      </c>
      <c r="P794" s="30">
        <f t="shared" si="77"/>
        <v>17496</v>
      </c>
      <c r="Q794" s="1">
        <f>COUNTIFS($P:$P, "&gt;" &amp; $P794) + 1</f>
        <v>1191</v>
      </c>
      <c r="R794" s="63">
        <f>(COUNTIFS($P:$P, "&gt;" &amp; $P794) + 1) / (COUNTA($I:$I) - 1)</f>
        <v>0.2382</v>
      </c>
      <c r="S794" s="23">
        <f>SUMIFS($P:$P, $Q:$Q, "&lt;" &amp; $Q794)</f>
        <v>170169445</v>
      </c>
    </row>
    <row r="795" spans="1:19" x14ac:dyDescent="0.25">
      <c r="A795" s="1">
        <v>790</v>
      </c>
      <c r="B795" s="1" t="s">
        <v>2</v>
      </c>
      <c r="C795" s="1" t="str">
        <f>IF($B795 = "Production Item", _xlfn.XLOOKUP($A795, 'Instrument Table'!$J:$J, 'Instrument Table'!$B:$B, $C794), IF($B795 = "Service Item", _xlfn.XLOOKUP($A795, 'Instrument Table'!$I:$I, 'Instrument Table'!$B:$B, $C794), _xlfn.XLOOKUP($A795, 'Instrument Table'!$H:$H, 'Instrument Table'!$B:$B, $C794)))</f>
        <v>Electric Keyboard</v>
      </c>
      <c r="D795" s="1" t="str">
        <f>VLOOKUP($C795, 'Instrument Table'!$B:$C, 2, FALSE)</f>
        <v>Pianos</v>
      </c>
      <c r="E795" s="1">
        <f t="shared" si="72"/>
        <v>1</v>
      </c>
      <c r="F795" s="1">
        <f>_xlfn.XLOOKUP($C795, 'Instrument Table'!$B:$B, 'Instrument Table'!$A:$A, "")</f>
        <v>12</v>
      </c>
      <c r="G795" s="1" t="str">
        <f>TEXT(IF($B795 = "Retail Item", IF((ROW($A795) - 4504 - _xlfn.XMATCH($C795, $C$4506:$C$5005, 0, 1)) &lt;= VLOOKUP($C795, 'Instrument Table'!$B:$D, 3, FALSE), ROW($A795) - 4504 - _xlfn.XMATCH($C795, $C$4506:$C$5005, 0, 1), 0), 0), "00")</f>
        <v>00</v>
      </c>
      <c r="H795" s="1" t="str">
        <f t="shared" si="73"/>
        <v>039</v>
      </c>
      <c r="I795" s="1" t="str">
        <f t="shared" si="74"/>
        <v>11200-039</v>
      </c>
      <c r="J795" s="1" t="str">
        <f t="shared" si="75"/>
        <v>Electric keyboard production item #039</v>
      </c>
      <c r="K795" s="1" t="str">
        <f>IF(SUM(COUNTIFS(I:I, I795)) &gt; 1, "DUPLICATE", "UNIQUE")</f>
        <v>UNIQUE</v>
      </c>
      <c r="L795" s="18">
        <v>1</v>
      </c>
      <c r="M795" s="28">
        <v>8</v>
      </c>
      <c r="N795" s="6">
        <v>1</v>
      </c>
      <c r="O795" s="30">
        <f t="shared" si="76"/>
        <v>8</v>
      </c>
      <c r="P795" s="30">
        <f t="shared" si="77"/>
        <v>8</v>
      </c>
      <c r="Q795" s="1">
        <f>COUNTIFS($P:$P, "&gt;" &amp; $P795) + 1</f>
        <v>4729</v>
      </c>
      <c r="R795" s="63">
        <f>(COUNTIFS($P:$P, "&gt;" &amp; $P795) + 1) / (COUNTA($I:$I) - 1)</f>
        <v>0.94579999999999997</v>
      </c>
      <c r="S795" s="23">
        <f>SUMIFS($P:$P, $Q:$Q, "&lt;" &amp; $Q795)</f>
        <v>186547777</v>
      </c>
    </row>
    <row r="796" spans="1:19" x14ac:dyDescent="0.25">
      <c r="A796" s="1">
        <v>791</v>
      </c>
      <c r="B796" s="1" t="s">
        <v>2</v>
      </c>
      <c r="C796" s="1" t="str">
        <f>IF($B796 = "Production Item", _xlfn.XLOOKUP($A796, 'Instrument Table'!$J:$J, 'Instrument Table'!$B:$B, $C795), IF($B796 = "Service Item", _xlfn.XLOOKUP($A796, 'Instrument Table'!$I:$I, 'Instrument Table'!$B:$B, $C795), _xlfn.XLOOKUP($A796, 'Instrument Table'!$H:$H, 'Instrument Table'!$B:$B, $C795)))</f>
        <v>Electric Keyboard</v>
      </c>
      <c r="D796" s="1" t="str">
        <f>VLOOKUP($C796, 'Instrument Table'!$B:$C, 2, FALSE)</f>
        <v>Pianos</v>
      </c>
      <c r="E796" s="1">
        <f t="shared" si="72"/>
        <v>1</v>
      </c>
      <c r="F796" s="1">
        <f>_xlfn.XLOOKUP($C796, 'Instrument Table'!$B:$B, 'Instrument Table'!$A:$A, "")</f>
        <v>12</v>
      </c>
      <c r="G796" s="1" t="str">
        <f>TEXT(IF($B796 = "Retail Item", IF((ROW($A796) - 4504 - _xlfn.XMATCH($C796, $C$4506:$C$5005, 0, 1)) &lt;= VLOOKUP($C796, 'Instrument Table'!$B:$D, 3, FALSE), ROW($A796) - 4504 - _xlfn.XMATCH($C796, $C$4506:$C$5005, 0, 1), 0), 0), "00")</f>
        <v>00</v>
      </c>
      <c r="H796" s="1" t="str">
        <f t="shared" si="73"/>
        <v>040</v>
      </c>
      <c r="I796" s="1" t="str">
        <f t="shared" si="74"/>
        <v>11200-040</v>
      </c>
      <c r="J796" s="1" t="str">
        <f t="shared" si="75"/>
        <v>Electric keyboard production item #040</v>
      </c>
      <c r="K796" s="1" t="str">
        <f>IF(SUM(COUNTIFS(I:I, I796)) &gt; 1, "DUPLICATE", "UNIQUE")</f>
        <v>UNIQUE</v>
      </c>
      <c r="L796" s="18">
        <v>1</v>
      </c>
      <c r="M796" s="28">
        <v>66</v>
      </c>
      <c r="N796" s="6">
        <v>121</v>
      </c>
      <c r="O796" s="30">
        <f t="shared" si="76"/>
        <v>66</v>
      </c>
      <c r="P796" s="30">
        <f t="shared" si="77"/>
        <v>7986</v>
      </c>
      <c r="Q796" s="1">
        <f>COUNTIFS($P:$P, "&gt;" &amp; $P796) + 1</f>
        <v>1990</v>
      </c>
      <c r="R796" s="63">
        <f>(COUNTIFS($P:$P, "&gt;" &amp; $P796) + 1) / (COUNTA($I:$I) - 1)</f>
        <v>0.39800000000000002</v>
      </c>
      <c r="S796" s="23">
        <f>SUMIFS($P:$P, $Q:$Q, "&lt;" &amp; $Q796)</f>
        <v>179916921</v>
      </c>
    </row>
    <row r="797" spans="1:19" x14ac:dyDescent="0.25">
      <c r="A797" s="1">
        <v>792</v>
      </c>
      <c r="B797" s="1" t="s">
        <v>2</v>
      </c>
      <c r="C797" s="1" t="str">
        <f>IF($B797 = "Production Item", _xlfn.XLOOKUP($A797, 'Instrument Table'!$J:$J, 'Instrument Table'!$B:$B, $C796), IF($B797 = "Service Item", _xlfn.XLOOKUP($A797, 'Instrument Table'!$I:$I, 'Instrument Table'!$B:$B, $C796), _xlfn.XLOOKUP($A797, 'Instrument Table'!$H:$H, 'Instrument Table'!$B:$B, $C796)))</f>
        <v>Electric Keyboard</v>
      </c>
      <c r="D797" s="1" t="str">
        <f>VLOOKUP($C797, 'Instrument Table'!$B:$C, 2, FALSE)</f>
        <v>Pianos</v>
      </c>
      <c r="E797" s="1">
        <f t="shared" si="72"/>
        <v>1</v>
      </c>
      <c r="F797" s="1">
        <f>_xlfn.XLOOKUP($C797, 'Instrument Table'!$B:$B, 'Instrument Table'!$A:$A, "")</f>
        <v>12</v>
      </c>
      <c r="G797" s="1" t="str">
        <f>TEXT(IF($B797 = "Retail Item", IF((ROW($A797) - 4504 - _xlfn.XMATCH($C797, $C$4506:$C$5005, 0, 1)) &lt;= VLOOKUP($C797, 'Instrument Table'!$B:$D, 3, FALSE), ROW($A797) - 4504 - _xlfn.XMATCH($C797, $C$4506:$C$5005, 0, 1), 0), 0), "00")</f>
        <v>00</v>
      </c>
      <c r="H797" s="1" t="str">
        <f t="shared" si="73"/>
        <v>041</v>
      </c>
      <c r="I797" s="1" t="str">
        <f t="shared" si="74"/>
        <v>11200-041</v>
      </c>
      <c r="J797" s="1" t="str">
        <f t="shared" si="75"/>
        <v>Electric keyboard production item #041</v>
      </c>
      <c r="K797" s="1" t="str">
        <f>IF(SUM(COUNTIFS(I:I, I797)) &gt; 1, "DUPLICATE", "UNIQUE")</f>
        <v>UNIQUE</v>
      </c>
      <c r="L797" s="18">
        <v>1</v>
      </c>
      <c r="M797" s="28">
        <v>14</v>
      </c>
      <c r="N797" s="6">
        <v>16</v>
      </c>
      <c r="O797" s="30">
        <f t="shared" si="76"/>
        <v>14</v>
      </c>
      <c r="P797" s="30">
        <f t="shared" si="77"/>
        <v>224</v>
      </c>
      <c r="Q797" s="1">
        <f>COUNTIFS($P:$P, "&gt;" &amp; $P797) + 1</f>
        <v>4297</v>
      </c>
      <c r="R797" s="63">
        <f>(COUNTIFS($P:$P, "&gt;" &amp; $P797) + 1) / (COUNTA($I:$I) - 1)</f>
        <v>0.85940000000000005</v>
      </c>
      <c r="S797" s="23">
        <f>SUMIFS($P:$P, $Q:$Q, "&lt;" &amp; $Q797)</f>
        <v>186506766</v>
      </c>
    </row>
    <row r="798" spans="1:19" x14ac:dyDescent="0.25">
      <c r="A798" s="1">
        <v>793</v>
      </c>
      <c r="B798" s="1" t="s">
        <v>2</v>
      </c>
      <c r="C798" s="1" t="str">
        <f>IF($B798 = "Production Item", _xlfn.XLOOKUP($A798, 'Instrument Table'!$J:$J, 'Instrument Table'!$B:$B, $C797), IF($B798 = "Service Item", _xlfn.XLOOKUP($A798, 'Instrument Table'!$I:$I, 'Instrument Table'!$B:$B, $C797), _xlfn.XLOOKUP($A798, 'Instrument Table'!$H:$H, 'Instrument Table'!$B:$B, $C797)))</f>
        <v>Electric Keyboard</v>
      </c>
      <c r="D798" s="1" t="str">
        <f>VLOOKUP($C798, 'Instrument Table'!$B:$C, 2, FALSE)</f>
        <v>Pianos</v>
      </c>
      <c r="E798" s="1">
        <f t="shared" si="72"/>
        <v>1</v>
      </c>
      <c r="F798" s="1">
        <f>_xlfn.XLOOKUP($C798, 'Instrument Table'!$B:$B, 'Instrument Table'!$A:$A, "")</f>
        <v>12</v>
      </c>
      <c r="G798" s="1" t="str">
        <f>TEXT(IF($B798 = "Retail Item", IF((ROW($A798) - 4504 - _xlfn.XMATCH($C798, $C$4506:$C$5005, 0, 1)) &lt;= VLOOKUP($C798, 'Instrument Table'!$B:$D, 3, FALSE), ROW($A798) - 4504 - _xlfn.XMATCH($C798, $C$4506:$C$5005, 0, 1), 0), 0), "00")</f>
        <v>00</v>
      </c>
      <c r="H798" s="1" t="str">
        <f t="shared" si="73"/>
        <v>042</v>
      </c>
      <c r="I798" s="1" t="str">
        <f t="shared" si="74"/>
        <v>11200-042</v>
      </c>
      <c r="J798" s="1" t="str">
        <f t="shared" si="75"/>
        <v>Electric keyboard production item #042</v>
      </c>
      <c r="K798" s="1" t="str">
        <f>IF(SUM(COUNTIFS(I:I, I798)) &gt; 1, "DUPLICATE", "UNIQUE")</f>
        <v>UNIQUE</v>
      </c>
      <c r="L798" s="18">
        <v>0</v>
      </c>
      <c r="M798" s="28">
        <v>87</v>
      </c>
      <c r="N798" s="6">
        <v>324</v>
      </c>
      <c r="O798" s="30">
        <f t="shared" si="76"/>
        <v>0</v>
      </c>
      <c r="P798" s="30">
        <f t="shared" si="77"/>
        <v>28188</v>
      </c>
      <c r="Q798" s="1">
        <f>COUNTIFS($P:$P, "&gt;" &amp; $P798) + 1</f>
        <v>728</v>
      </c>
      <c r="R798" s="63">
        <f>(COUNTIFS($P:$P, "&gt;" &amp; $P798) + 1) / (COUNTA($I:$I) - 1)</f>
        <v>0.14560000000000001</v>
      </c>
      <c r="S798" s="23">
        <f>SUMIFS($P:$P, $Q:$Q, "&lt;" &amp; $Q798)</f>
        <v>159899476</v>
      </c>
    </row>
    <row r="799" spans="1:19" x14ac:dyDescent="0.25">
      <c r="A799" s="1">
        <v>794</v>
      </c>
      <c r="B799" s="1" t="s">
        <v>2</v>
      </c>
      <c r="C799" s="1" t="str">
        <f>IF($B799 = "Production Item", _xlfn.XLOOKUP($A799, 'Instrument Table'!$J:$J, 'Instrument Table'!$B:$B, $C798), IF($B799 = "Service Item", _xlfn.XLOOKUP($A799, 'Instrument Table'!$I:$I, 'Instrument Table'!$B:$B, $C798), _xlfn.XLOOKUP($A799, 'Instrument Table'!$H:$H, 'Instrument Table'!$B:$B, $C798)))</f>
        <v>Electric Keyboard</v>
      </c>
      <c r="D799" s="1" t="str">
        <f>VLOOKUP($C799, 'Instrument Table'!$B:$C, 2, FALSE)</f>
        <v>Pianos</v>
      </c>
      <c r="E799" s="1">
        <f t="shared" si="72"/>
        <v>1</v>
      </c>
      <c r="F799" s="1">
        <f>_xlfn.XLOOKUP($C799, 'Instrument Table'!$B:$B, 'Instrument Table'!$A:$A, "")</f>
        <v>12</v>
      </c>
      <c r="G799" s="1" t="str">
        <f>TEXT(IF($B799 = "Retail Item", IF((ROW($A799) - 4504 - _xlfn.XMATCH($C799, $C$4506:$C$5005, 0, 1)) &lt;= VLOOKUP($C799, 'Instrument Table'!$B:$D, 3, FALSE), ROW($A799) - 4504 - _xlfn.XMATCH($C799, $C$4506:$C$5005, 0, 1), 0), 0), "00")</f>
        <v>00</v>
      </c>
      <c r="H799" s="1" t="str">
        <f t="shared" si="73"/>
        <v>043</v>
      </c>
      <c r="I799" s="1" t="str">
        <f t="shared" si="74"/>
        <v>11200-043</v>
      </c>
      <c r="J799" s="1" t="str">
        <f t="shared" si="75"/>
        <v>Electric keyboard production item #043</v>
      </c>
      <c r="K799" s="1" t="str">
        <f>IF(SUM(COUNTIFS(I:I, I799)) &gt; 1, "DUPLICATE", "UNIQUE")</f>
        <v>UNIQUE</v>
      </c>
      <c r="L799" s="18">
        <v>0</v>
      </c>
      <c r="M799" s="28">
        <v>73</v>
      </c>
      <c r="N799" s="6">
        <v>289</v>
      </c>
      <c r="O799" s="30">
        <f t="shared" si="76"/>
        <v>0</v>
      </c>
      <c r="P799" s="30">
        <f t="shared" si="77"/>
        <v>21097</v>
      </c>
      <c r="Q799" s="1">
        <f>COUNTIFS($P:$P, "&gt;" &amp; $P799) + 1</f>
        <v>999</v>
      </c>
      <c r="R799" s="63">
        <f>(COUNTIFS($P:$P, "&gt;" &amp; $P799) + 1) / (COUNTA($I:$I) - 1)</f>
        <v>0.19980000000000001</v>
      </c>
      <c r="S799" s="23">
        <f>SUMIFS($P:$P, $Q:$Q, "&lt;" &amp; $Q799)</f>
        <v>166469848</v>
      </c>
    </row>
    <row r="800" spans="1:19" x14ac:dyDescent="0.25">
      <c r="A800" s="1">
        <v>795</v>
      </c>
      <c r="B800" s="1" t="s">
        <v>2</v>
      </c>
      <c r="C800" s="1" t="str">
        <f>IF($B800 = "Production Item", _xlfn.XLOOKUP($A800, 'Instrument Table'!$J:$J, 'Instrument Table'!$B:$B, $C799), IF($B800 = "Service Item", _xlfn.XLOOKUP($A800, 'Instrument Table'!$I:$I, 'Instrument Table'!$B:$B, $C799), _xlfn.XLOOKUP($A800, 'Instrument Table'!$H:$H, 'Instrument Table'!$B:$B, $C799)))</f>
        <v>Electric Keyboard</v>
      </c>
      <c r="D800" s="1" t="str">
        <f>VLOOKUP($C800, 'Instrument Table'!$B:$C, 2, FALSE)</f>
        <v>Pianos</v>
      </c>
      <c r="E800" s="1">
        <f t="shared" si="72"/>
        <v>1</v>
      </c>
      <c r="F800" s="1">
        <f>_xlfn.XLOOKUP($C800, 'Instrument Table'!$B:$B, 'Instrument Table'!$A:$A, "")</f>
        <v>12</v>
      </c>
      <c r="G800" s="1" t="str">
        <f>TEXT(IF($B800 = "Retail Item", IF((ROW($A800) - 4504 - _xlfn.XMATCH($C800, $C$4506:$C$5005, 0, 1)) &lt;= VLOOKUP($C800, 'Instrument Table'!$B:$D, 3, FALSE), ROW($A800) - 4504 - _xlfn.XMATCH($C800, $C$4506:$C$5005, 0, 1), 0), 0), "00")</f>
        <v>00</v>
      </c>
      <c r="H800" s="1" t="str">
        <f t="shared" si="73"/>
        <v>044</v>
      </c>
      <c r="I800" s="1" t="str">
        <f t="shared" si="74"/>
        <v>11200-044</v>
      </c>
      <c r="J800" s="1" t="str">
        <f t="shared" si="75"/>
        <v>Electric keyboard production item #044</v>
      </c>
      <c r="K800" s="1" t="str">
        <f>IF(SUM(COUNTIFS(I:I, I800)) &gt; 1, "DUPLICATE", "UNIQUE")</f>
        <v>UNIQUE</v>
      </c>
      <c r="L800" s="18">
        <v>0</v>
      </c>
      <c r="M800" s="28">
        <v>31</v>
      </c>
      <c r="N800" s="6">
        <v>256</v>
      </c>
      <c r="O800" s="30">
        <f t="shared" si="76"/>
        <v>0</v>
      </c>
      <c r="P800" s="30">
        <f t="shared" si="77"/>
        <v>7936</v>
      </c>
      <c r="Q800" s="1">
        <f>COUNTIFS($P:$P, "&gt;" &amp; $P800) + 1</f>
        <v>1996</v>
      </c>
      <c r="R800" s="63">
        <f>(COUNTIFS($P:$P, "&gt;" &amp; $P800) + 1) / (COUNTA($I:$I) - 1)</f>
        <v>0.3992</v>
      </c>
      <c r="S800" s="23">
        <f>SUMIFS($P:$P, $Q:$Q, "&lt;" &amp; $Q800)</f>
        <v>179964727</v>
      </c>
    </row>
    <row r="801" spans="1:19" x14ac:dyDescent="0.25">
      <c r="A801" s="1">
        <v>796</v>
      </c>
      <c r="B801" s="1" t="s">
        <v>2</v>
      </c>
      <c r="C801" s="1" t="str">
        <f>IF($B801 = "Production Item", _xlfn.XLOOKUP($A801, 'Instrument Table'!$J:$J, 'Instrument Table'!$B:$B, $C800), IF($B801 = "Service Item", _xlfn.XLOOKUP($A801, 'Instrument Table'!$I:$I, 'Instrument Table'!$B:$B, $C800), _xlfn.XLOOKUP($A801, 'Instrument Table'!$H:$H, 'Instrument Table'!$B:$B, $C800)))</f>
        <v>Electric Keyboard</v>
      </c>
      <c r="D801" s="1" t="str">
        <f>VLOOKUP($C801, 'Instrument Table'!$B:$C, 2, FALSE)</f>
        <v>Pianos</v>
      </c>
      <c r="E801" s="1">
        <f t="shared" si="72"/>
        <v>1</v>
      </c>
      <c r="F801" s="1">
        <f>_xlfn.XLOOKUP($C801, 'Instrument Table'!$B:$B, 'Instrument Table'!$A:$A, "")</f>
        <v>12</v>
      </c>
      <c r="G801" s="1" t="str">
        <f>TEXT(IF($B801 = "Retail Item", IF((ROW($A801) - 4504 - _xlfn.XMATCH($C801, $C$4506:$C$5005, 0, 1)) &lt;= VLOOKUP($C801, 'Instrument Table'!$B:$D, 3, FALSE), ROW($A801) - 4504 - _xlfn.XMATCH($C801, $C$4506:$C$5005, 0, 1), 0), 0), "00")</f>
        <v>00</v>
      </c>
      <c r="H801" s="1" t="str">
        <f t="shared" si="73"/>
        <v>045</v>
      </c>
      <c r="I801" s="1" t="str">
        <f t="shared" si="74"/>
        <v>11200-045</v>
      </c>
      <c r="J801" s="1" t="str">
        <f t="shared" si="75"/>
        <v>Electric keyboard production item #045</v>
      </c>
      <c r="K801" s="1" t="str">
        <f>IF(SUM(COUNTIFS(I:I, I801)) &gt; 1, "DUPLICATE", "UNIQUE")</f>
        <v>UNIQUE</v>
      </c>
      <c r="L801" s="18">
        <v>1</v>
      </c>
      <c r="M801" s="28">
        <v>68</v>
      </c>
      <c r="N801" s="6">
        <v>400</v>
      </c>
      <c r="O801" s="30">
        <f t="shared" si="76"/>
        <v>68</v>
      </c>
      <c r="P801" s="30">
        <f t="shared" si="77"/>
        <v>27200</v>
      </c>
      <c r="Q801" s="1">
        <f>COUNTIFS($P:$P, "&gt;" &amp; $P801) + 1</f>
        <v>744</v>
      </c>
      <c r="R801" s="63">
        <f>(COUNTIFS($P:$P, "&gt;" &amp; $P801) + 1) / (COUNTA($I:$I) - 1)</f>
        <v>0.14879999999999999</v>
      </c>
      <c r="S801" s="23">
        <f>SUMIFS($P:$P, $Q:$Q, "&lt;" &amp; $Q801)</f>
        <v>160342430</v>
      </c>
    </row>
    <row r="802" spans="1:19" x14ac:dyDescent="0.25">
      <c r="A802" s="1">
        <v>797</v>
      </c>
      <c r="B802" s="1" t="s">
        <v>2</v>
      </c>
      <c r="C802" s="1" t="str">
        <f>IF($B802 = "Production Item", _xlfn.XLOOKUP($A802, 'Instrument Table'!$J:$J, 'Instrument Table'!$B:$B, $C801), IF($B802 = "Service Item", _xlfn.XLOOKUP($A802, 'Instrument Table'!$I:$I, 'Instrument Table'!$B:$B, $C801), _xlfn.XLOOKUP($A802, 'Instrument Table'!$H:$H, 'Instrument Table'!$B:$B, $C801)))</f>
        <v>Electric Keyboard</v>
      </c>
      <c r="D802" s="1" t="str">
        <f>VLOOKUP($C802, 'Instrument Table'!$B:$C, 2, FALSE)</f>
        <v>Pianos</v>
      </c>
      <c r="E802" s="1">
        <f t="shared" si="72"/>
        <v>1</v>
      </c>
      <c r="F802" s="1">
        <f>_xlfn.XLOOKUP($C802, 'Instrument Table'!$B:$B, 'Instrument Table'!$A:$A, "")</f>
        <v>12</v>
      </c>
      <c r="G802" s="1" t="str">
        <f>TEXT(IF($B802 = "Retail Item", IF((ROW($A802) - 4504 - _xlfn.XMATCH($C802, $C$4506:$C$5005, 0, 1)) &lt;= VLOOKUP($C802, 'Instrument Table'!$B:$D, 3, FALSE), ROW($A802) - 4504 - _xlfn.XMATCH($C802, $C$4506:$C$5005, 0, 1), 0), 0), "00")</f>
        <v>00</v>
      </c>
      <c r="H802" s="1" t="str">
        <f t="shared" si="73"/>
        <v>046</v>
      </c>
      <c r="I802" s="1" t="str">
        <f t="shared" si="74"/>
        <v>11200-046</v>
      </c>
      <c r="J802" s="1" t="str">
        <f t="shared" si="75"/>
        <v>Electric keyboard production item #046</v>
      </c>
      <c r="K802" s="1" t="str">
        <f>IF(SUM(COUNTIFS(I:I, I802)) &gt; 1, "DUPLICATE", "UNIQUE")</f>
        <v>UNIQUE</v>
      </c>
      <c r="L802" s="18">
        <v>0</v>
      </c>
      <c r="M802" s="28">
        <v>13</v>
      </c>
      <c r="N802" s="6">
        <v>400</v>
      </c>
      <c r="O802" s="30">
        <f t="shared" si="76"/>
        <v>0</v>
      </c>
      <c r="P802" s="30">
        <f t="shared" si="77"/>
        <v>5200</v>
      </c>
      <c r="Q802" s="1">
        <f>COUNTIFS($P:$P, "&gt;" &amp; $P802) + 1</f>
        <v>2403</v>
      </c>
      <c r="R802" s="63">
        <f>(COUNTIFS($P:$P, "&gt;" &amp; $P802) + 1) / (COUNTA($I:$I) - 1)</f>
        <v>0.48060000000000003</v>
      </c>
      <c r="S802" s="23">
        <f>SUMIFS($P:$P, $Q:$Q, "&lt;" &amp; $Q802)</f>
        <v>182632128</v>
      </c>
    </row>
    <row r="803" spans="1:19" x14ac:dyDescent="0.25">
      <c r="A803" s="1">
        <v>798</v>
      </c>
      <c r="B803" s="1" t="s">
        <v>2</v>
      </c>
      <c r="C803" s="1" t="str">
        <f>IF($B803 = "Production Item", _xlfn.XLOOKUP($A803, 'Instrument Table'!$J:$J, 'Instrument Table'!$B:$B, $C802), IF($B803 = "Service Item", _xlfn.XLOOKUP($A803, 'Instrument Table'!$I:$I, 'Instrument Table'!$B:$B, $C802), _xlfn.XLOOKUP($A803, 'Instrument Table'!$H:$H, 'Instrument Table'!$B:$B, $C802)))</f>
        <v>Electric Keyboard</v>
      </c>
      <c r="D803" s="1" t="str">
        <f>VLOOKUP($C803, 'Instrument Table'!$B:$C, 2, FALSE)</f>
        <v>Pianos</v>
      </c>
      <c r="E803" s="1">
        <f t="shared" si="72"/>
        <v>1</v>
      </c>
      <c r="F803" s="1">
        <f>_xlfn.XLOOKUP($C803, 'Instrument Table'!$B:$B, 'Instrument Table'!$A:$A, "")</f>
        <v>12</v>
      </c>
      <c r="G803" s="1" t="str">
        <f>TEXT(IF($B803 = "Retail Item", IF((ROW($A803) - 4504 - _xlfn.XMATCH($C803, $C$4506:$C$5005, 0, 1)) &lt;= VLOOKUP($C803, 'Instrument Table'!$B:$D, 3, FALSE), ROW($A803) - 4504 - _xlfn.XMATCH($C803, $C$4506:$C$5005, 0, 1), 0), 0), "00")</f>
        <v>00</v>
      </c>
      <c r="H803" s="1" t="str">
        <f t="shared" si="73"/>
        <v>047</v>
      </c>
      <c r="I803" s="1" t="str">
        <f t="shared" si="74"/>
        <v>11200-047</v>
      </c>
      <c r="J803" s="1" t="str">
        <f t="shared" si="75"/>
        <v>Electric keyboard production item #047</v>
      </c>
      <c r="K803" s="1" t="str">
        <f>IF(SUM(COUNTIFS(I:I, I803)) &gt; 1, "DUPLICATE", "UNIQUE")</f>
        <v>UNIQUE</v>
      </c>
      <c r="L803" s="18">
        <v>8</v>
      </c>
      <c r="M803" s="28">
        <v>36</v>
      </c>
      <c r="N803" s="6">
        <v>225</v>
      </c>
      <c r="O803" s="30">
        <f t="shared" si="76"/>
        <v>288</v>
      </c>
      <c r="P803" s="30">
        <f t="shared" si="77"/>
        <v>8100</v>
      </c>
      <c r="Q803" s="1">
        <f>COUNTIFS($P:$P, "&gt;" &amp; $P803) + 1</f>
        <v>1974</v>
      </c>
      <c r="R803" s="63">
        <f>(COUNTIFS($P:$P, "&gt;" &amp; $P803) + 1) / (COUNTA($I:$I) - 1)</f>
        <v>0.39479999999999998</v>
      </c>
      <c r="S803" s="23">
        <f>SUMIFS($P:$P, $Q:$Q, "&lt;" &amp; $Q803)</f>
        <v>179788102</v>
      </c>
    </row>
    <row r="804" spans="1:19" x14ac:dyDescent="0.25">
      <c r="A804" s="1">
        <v>799</v>
      </c>
      <c r="B804" s="1" t="s">
        <v>2</v>
      </c>
      <c r="C804" s="1" t="str">
        <f>IF($B804 = "Production Item", _xlfn.XLOOKUP($A804, 'Instrument Table'!$J:$J, 'Instrument Table'!$B:$B, $C803), IF($B804 = "Service Item", _xlfn.XLOOKUP($A804, 'Instrument Table'!$I:$I, 'Instrument Table'!$B:$B, $C803), _xlfn.XLOOKUP($A804, 'Instrument Table'!$H:$H, 'Instrument Table'!$B:$B, $C803)))</f>
        <v>Electric Keyboard</v>
      </c>
      <c r="D804" s="1" t="str">
        <f>VLOOKUP($C804, 'Instrument Table'!$B:$C, 2, FALSE)</f>
        <v>Pianos</v>
      </c>
      <c r="E804" s="1">
        <f t="shared" si="72"/>
        <v>1</v>
      </c>
      <c r="F804" s="1">
        <f>_xlfn.XLOOKUP($C804, 'Instrument Table'!$B:$B, 'Instrument Table'!$A:$A, "")</f>
        <v>12</v>
      </c>
      <c r="G804" s="1" t="str">
        <f>TEXT(IF($B804 = "Retail Item", IF((ROW($A804) - 4504 - _xlfn.XMATCH($C804, $C$4506:$C$5005, 0, 1)) &lt;= VLOOKUP($C804, 'Instrument Table'!$B:$D, 3, FALSE), ROW($A804) - 4504 - _xlfn.XMATCH($C804, $C$4506:$C$5005, 0, 1), 0), 0), "00")</f>
        <v>00</v>
      </c>
      <c r="H804" s="1" t="str">
        <f t="shared" si="73"/>
        <v>048</v>
      </c>
      <c r="I804" s="1" t="str">
        <f t="shared" si="74"/>
        <v>11200-048</v>
      </c>
      <c r="J804" s="1" t="str">
        <f t="shared" si="75"/>
        <v>Electric keyboard production item #048</v>
      </c>
      <c r="K804" s="1" t="str">
        <f>IF(SUM(COUNTIFS(I:I, I804)) &gt; 1, "DUPLICATE", "UNIQUE")</f>
        <v>UNIQUE</v>
      </c>
      <c r="L804" s="18">
        <v>4</v>
      </c>
      <c r="M804" s="28">
        <v>85</v>
      </c>
      <c r="N804" s="6">
        <v>256</v>
      </c>
      <c r="O804" s="30">
        <f t="shared" si="76"/>
        <v>340</v>
      </c>
      <c r="P804" s="30">
        <f t="shared" si="77"/>
        <v>21760</v>
      </c>
      <c r="Q804" s="1">
        <f>COUNTIFS($P:$P, "&gt;" &amp; $P804) + 1</f>
        <v>967</v>
      </c>
      <c r="R804" s="63">
        <f>(COUNTIFS($P:$P, "&gt;" &amp; $P804) + 1) / (COUNTA($I:$I) - 1)</f>
        <v>0.19339999999999999</v>
      </c>
      <c r="S804" s="23">
        <f>SUMIFS($P:$P, $Q:$Q, "&lt;" &amp; $Q804)</f>
        <v>165782570</v>
      </c>
    </row>
    <row r="805" spans="1:19" x14ac:dyDescent="0.25">
      <c r="A805" s="1">
        <v>800</v>
      </c>
      <c r="B805" s="1" t="s">
        <v>2</v>
      </c>
      <c r="C805" s="1" t="str">
        <f>IF($B805 = "Production Item", _xlfn.XLOOKUP($A805, 'Instrument Table'!$J:$J, 'Instrument Table'!$B:$B, $C804), IF($B805 = "Service Item", _xlfn.XLOOKUP($A805, 'Instrument Table'!$I:$I, 'Instrument Table'!$B:$B, $C804), _xlfn.XLOOKUP($A805, 'Instrument Table'!$H:$H, 'Instrument Table'!$B:$B, $C804)))</f>
        <v>Electric Keyboard</v>
      </c>
      <c r="D805" s="1" t="str">
        <f>VLOOKUP($C805, 'Instrument Table'!$B:$C, 2, FALSE)</f>
        <v>Pianos</v>
      </c>
      <c r="E805" s="1">
        <f t="shared" si="72"/>
        <v>1</v>
      </c>
      <c r="F805" s="1">
        <f>_xlfn.XLOOKUP($C805, 'Instrument Table'!$B:$B, 'Instrument Table'!$A:$A, "")</f>
        <v>12</v>
      </c>
      <c r="G805" s="1" t="str">
        <f>TEXT(IF($B805 = "Retail Item", IF((ROW($A805) - 4504 - _xlfn.XMATCH($C805, $C$4506:$C$5005, 0, 1)) &lt;= VLOOKUP($C805, 'Instrument Table'!$B:$D, 3, FALSE), ROW($A805) - 4504 - _xlfn.XMATCH($C805, $C$4506:$C$5005, 0, 1), 0), 0), "00")</f>
        <v>00</v>
      </c>
      <c r="H805" s="1" t="str">
        <f t="shared" si="73"/>
        <v>049</v>
      </c>
      <c r="I805" s="1" t="str">
        <f t="shared" si="74"/>
        <v>11200-049</v>
      </c>
      <c r="J805" s="1" t="str">
        <f t="shared" si="75"/>
        <v>Electric keyboard production item #049</v>
      </c>
      <c r="K805" s="1" t="str">
        <f>IF(SUM(COUNTIFS(I:I, I805)) &gt; 1, "DUPLICATE", "UNIQUE")</f>
        <v>UNIQUE</v>
      </c>
      <c r="L805" s="18">
        <v>0</v>
      </c>
      <c r="M805" s="28">
        <v>34</v>
      </c>
      <c r="N805" s="6">
        <v>225</v>
      </c>
      <c r="O805" s="30">
        <f t="shared" si="76"/>
        <v>0</v>
      </c>
      <c r="P805" s="30">
        <f t="shared" si="77"/>
        <v>7650</v>
      </c>
      <c r="Q805" s="1">
        <f>COUNTIFS($P:$P, "&gt;" &amp; $P805) + 1</f>
        <v>2046</v>
      </c>
      <c r="R805" s="63">
        <f>(COUNTIFS($P:$P, "&gt;" &amp; $P805) + 1) / (COUNTA($I:$I) - 1)</f>
        <v>0.40920000000000001</v>
      </c>
      <c r="S805" s="23">
        <f>SUMIFS($P:$P, $Q:$Q, "&lt;" &amp; $Q805)</f>
        <v>180354450</v>
      </c>
    </row>
    <row r="806" spans="1:19" x14ac:dyDescent="0.25">
      <c r="A806" s="1">
        <v>801</v>
      </c>
      <c r="B806" s="1" t="s">
        <v>2</v>
      </c>
      <c r="C806" s="1" t="str">
        <f>IF($B806 = "Production Item", _xlfn.XLOOKUP($A806, 'Instrument Table'!$J:$J, 'Instrument Table'!$B:$B, $C805), IF($B806 = "Service Item", _xlfn.XLOOKUP($A806, 'Instrument Table'!$I:$I, 'Instrument Table'!$B:$B, $C805), _xlfn.XLOOKUP($A806, 'Instrument Table'!$H:$H, 'Instrument Table'!$B:$B, $C805)))</f>
        <v>Electric Keyboard</v>
      </c>
      <c r="D806" s="1" t="str">
        <f>VLOOKUP($C806, 'Instrument Table'!$B:$C, 2, FALSE)</f>
        <v>Pianos</v>
      </c>
      <c r="E806" s="1">
        <f t="shared" si="72"/>
        <v>1</v>
      </c>
      <c r="F806" s="1">
        <f>_xlfn.XLOOKUP($C806, 'Instrument Table'!$B:$B, 'Instrument Table'!$A:$A, "")</f>
        <v>12</v>
      </c>
      <c r="G806" s="1" t="str">
        <f>TEXT(IF($B806 = "Retail Item", IF((ROW($A806) - 4504 - _xlfn.XMATCH($C806, $C$4506:$C$5005, 0, 1)) &lt;= VLOOKUP($C806, 'Instrument Table'!$B:$D, 3, FALSE), ROW($A806) - 4504 - _xlfn.XMATCH($C806, $C$4506:$C$5005, 0, 1), 0), 0), "00")</f>
        <v>00</v>
      </c>
      <c r="H806" s="1" t="str">
        <f t="shared" si="73"/>
        <v>050</v>
      </c>
      <c r="I806" s="1" t="str">
        <f t="shared" si="74"/>
        <v>11200-050</v>
      </c>
      <c r="J806" s="1" t="str">
        <f t="shared" si="75"/>
        <v>Electric keyboard production item #050</v>
      </c>
      <c r="K806" s="1" t="str">
        <f>IF(SUM(COUNTIFS(I:I, I806)) &gt; 1, "DUPLICATE", "UNIQUE")</f>
        <v>UNIQUE</v>
      </c>
      <c r="L806" s="18">
        <v>0</v>
      </c>
      <c r="M806" s="28">
        <v>75</v>
      </c>
      <c r="N806" s="6">
        <v>4</v>
      </c>
      <c r="O806" s="30">
        <f t="shared" si="76"/>
        <v>0</v>
      </c>
      <c r="P806" s="30">
        <f t="shared" si="77"/>
        <v>300</v>
      </c>
      <c r="Q806" s="1">
        <f>COUNTIFS($P:$P, "&gt;" &amp; $P806) + 1</f>
        <v>4215</v>
      </c>
      <c r="R806" s="63">
        <f>(COUNTIFS($P:$P, "&gt;" &amp; $P806) + 1) / (COUNTA($I:$I) - 1)</f>
        <v>0.84299999999999997</v>
      </c>
      <c r="S806" s="23">
        <f>SUMIFS($P:$P, $Q:$Q, "&lt;" &amp; $Q806)</f>
        <v>186485027</v>
      </c>
    </row>
    <row r="807" spans="1:19" x14ac:dyDescent="0.25">
      <c r="A807" s="1">
        <v>802</v>
      </c>
      <c r="B807" s="1" t="s">
        <v>2</v>
      </c>
      <c r="C807" s="1" t="str">
        <f>IF($B807 = "Production Item", _xlfn.XLOOKUP($A807, 'Instrument Table'!$J:$J, 'Instrument Table'!$B:$B, $C806), IF($B807 = "Service Item", _xlfn.XLOOKUP($A807, 'Instrument Table'!$I:$I, 'Instrument Table'!$B:$B, $C806), _xlfn.XLOOKUP($A807, 'Instrument Table'!$H:$H, 'Instrument Table'!$B:$B, $C806)))</f>
        <v>Electric Keyboard</v>
      </c>
      <c r="D807" s="1" t="str">
        <f>VLOOKUP($C807, 'Instrument Table'!$B:$C, 2, FALSE)</f>
        <v>Pianos</v>
      </c>
      <c r="E807" s="1">
        <f t="shared" si="72"/>
        <v>1</v>
      </c>
      <c r="F807" s="1">
        <f>_xlfn.XLOOKUP($C807, 'Instrument Table'!$B:$B, 'Instrument Table'!$A:$A, "")</f>
        <v>12</v>
      </c>
      <c r="G807" s="1" t="str">
        <f>TEXT(IF($B807 = "Retail Item", IF((ROW($A807) - 4504 - _xlfn.XMATCH($C807, $C$4506:$C$5005, 0, 1)) &lt;= VLOOKUP($C807, 'Instrument Table'!$B:$D, 3, FALSE), ROW($A807) - 4504 - _xlfn.XMATCH($C807, $C$4506:$C$5005, 0, 1), 0), 0), "00")</f>
        <v>00</v>
      </c>
      <c r="H807" s="1" t="str">
        <f t="shared" si="73"/>
        <v>051</v>
      </c>
      <c r="I807" s="1" t="str">
        <f t="shared" si="74"/>
        <v>11200-051</v>
      </c>
      <c r="J807" s="1" t="str">
        <f t="shared" si="75"/>
        <v>Electric keyboard production item #051</v>
      </c>
      <c r="K807" s="1" t="str">
        <f>IF(SUM(COUNTIFS(I:I, I807)) &gt; 1, "DUPLICATE", "UNIQUE")</f>
        <v>UNIQUE</v>
      </c>
      <c r="L807" s="18">
        <v>16</v>
      </c>
      <c r="M807" s="28">
        <v>54</v>
      </c>
      <c r="N807" s="6">
        <v>0</v>
      </c>
      <c r="O807" s="30">
        <f t="shared" si="76"/>
        <v>864</v>
      </c>
      <c r="P807" s="30">
        <f t="shared" si="77"/>
        <v>0</v>
      </c>
      <c r="Q807" s="1">
        <f>COUNTIFS($P:$P, "&gt;" &amp; $P807) + 1</f>
        <v>4746</v>
      </c>
      <c r="R807" s="63">
        <f>(COUNTIFS($P:$P, "&gt;" &amp; $P807) + 1) / (COUNTA($I:$I) - 1)</f>
        <v>0.94920000000000004</v>
      </c>
      <c r="S807" s="23">
        <f>SUMIFS($P:$P, $Q:$Q, "&lt;" &amp; $Q807)</f>
        <v>186547861</v>
      </c>
    </row>
    <row r="808" spans="1:19" x14ac:dyDescent="0.25">
      <c r="A808" s="1">
        <v>803</v>
      </c>
      <c r="B808" s="1" t="s">
        <v>2</v>
      </c>
      <c r="C808" s="1" t="str">
        <f>IF($B808 = "Production Item", _xlfn.XLOOKUP($A808, 'Instrument Table'!$J:$J, 'Instrument Table'!$B:$B, $C807), IF($B808 = "Service Item", _xlfn.XLOOKUP($A808, 'Instrument Table'!$I:$I, 'Instrument Table'!$B:$B, $C807), _xlfn.XLOOKUP($A808, 'Instrument Table'!$H:$H, 'Instrument Table'!$B:$B, $C807)))</f>
        <v>Electric Keyboard</v>
      </c>
      <c r="D808" s="1" t="str">
        <f>VLOOKUP($C808, 'Instrument Table'!$B:$C, 2, FALSE)</f>
        <v>Pianos</v>
      </c>
      <c r="E808" s="1">
        <f t="shared" si="72"/>
        <v>1</v>
      </c>
      <c r="F808" s="1">
        <f>_xlfn.XLOOKUP($C808, 'Instrument Table'!$B:$B, 'Instrument Table'!$A:$A, "")</f>
        <v>12</v>
      </c>
      <c r="G808" s="1" t="str">
        <f>TEXT(IF($B808 = "Retail Item", IF((ROW($A808) - 4504 - _xlfn.XMATCH($C808, $C$4506:$C$5005, 0, 1)) &lt;= VLOOKUP($C808, 'Instrument Table'!$B:$D, 3, FALSE), ROW($A808) - 4504 - _xlfn.XMATCH($C808, $C$4506:$C$5005, 0, 1), 0), 0), "00")</f>
        <v>00</v>
      </c>
      <c r="H808" s="1" t="str">
        <f t="shared" si="73"/>
        <v>052</v>
      </c>
      <c r="I808" s="1" t="str">
        <f t="shared" si="74"/>
        <v>11200-052</v>
      </c>
      <c r="J808" s="1" t="str">
        <f t="shared" si="75"/>
        <v>Electric keyboard production item #052</v>
      </c>
      <c r="K808" s="1" t="str">
        <f>IF(SUM(COUNTIFS(I:I, I808)) &gt; 1, "DUPLICATE", "UNIQUE")</f>
        <v>UNIQUE</v>
      </c>
      <c r="L808" s="18">
        <v>1</v>
      </c>
      <c r="M808" s="28">
        <v>43</v>
      </c>
      <c r="N808" s="6">
        <v>400</v>
      </c>
      <c r="O808" s="30">
        <f t="shared" si="76"/>
        <v>43</v>
      </c>
      <c r="P808" s="30">
        <f t="shared" si="77"/>
        <v>17200</v>
      </c>
      <c r="Q808" s="1">
        <f>COUNTIFS($P:$P, "&gt;" &amp; $P808) + 1</f>
        <v>1204</v>
      </c>
      <c r="R808" s="63">
        <f>(COUNTIFS($P:$P, "&gt;" &amp; $P808) + 1) / (COUNTA($I:$I) - 1)</f>
        <v>0.24079999999999999</v>
      </c>
      <c r="S808" s="23">
        <f>SUMIFS($P:$P, $Q:$Q, "&lt;" &amp; $Q808)</f>
        <v>170395357</v>
      </c>
    </row>
    <row r="809" spans="1:19" x14ac:dyDescent="0.25">
      <c r="A809" s="1">
        <v>804</v>
      </c>
      <c r="B809" s="1" t="s">
        <v>2</v>
      </c>
      <c r="C809" s="1" t="str">
        <f>IF($B809 = "Production Item", _xlfn.XLOOKUP($A809, 'Instrument Table'!$J:$J, 'Instrument Table'!$B:$B, $C808), IF($B809 = "Service Item", _xlfn.XLOOKUP($A809, 'Instrument Table'!$I:$I, 'Instrument Table'!$B:$B, $C808), _xlfn.XLOOKUP($A809, 'Instrument Table'!$H:$H, 'Instrument Table'!$B:$B, $C808)))</f>
        <v>Electric Keyboard</v>
      </c>
      <c r="D809" s="1" t="str">
        <f>VLOOKUP($C809, 'Instrument Table'!$B:$C, 2, FALSE)</f>
        <v>Pianos</v>
      </c>
      <c r="E809" s="1">
        <f t="shared" si="72"/>
        <v>1</v>
      </c>
      <c r="F809" s="1">
        <f>_xlfn.XLOOKUP($C809, 'Instrument Table'!$B:$B, 'Instrument Table'!$A:$A, "")</f>
        <v>12</v>
      </c>
      <c r="G809" s="1" t="str">
        <f>TEXT(IF($B809 = "Retail Item", IF((ROW($A809) - 4504 - _xlfn.XMATCH($C809, $C$4506:$C$5005, 0, 1)) &lt;= VLOOKUP($C809, 'Instrument Table'!$B:$D, 3, FALSE), ROW($A809) - 4504 - _xlfn.XMATCH($C809, $C$4506:$C$5005, 0, 1), 0), 0), "00")</f>
        <v>00</v>
      </c>
      <c r="H809" s="1" t="str">
        <f t="shared" si="73"/>
        <v>053</v>
      </c>
      <c r="I809" s="1" t="str">
        <f t="shared" si="74"/>
        <v>11200-053</v>
      </c>
      <c r="J809" s="1" t="str">
        <f t="shared" si="75"/>
        <v>Electric keyboard production item #053</v>
      </c>
      <c r="K809" s="1" t="str">
        <f>IF(SUM(COUNTIFS(I:I, I809)) &gt; 1, "DUPLICATE", "UNIQUE")</f>
        <v>UNIQUE</v>
      </c>
      <c r="L809" s="18">
        <v>0</v>
      </c>
      <c r="M809" s="28">
        <v>56</v>
      </c>
      <c r="N809" s="6">
        <v>81</v>
      </c>
      <c r="O809" s="30">
        <f t="shared" si="76"/>
        <v>0</v>
      </c>
      <c r="P809" s="30">
        <f t="shared" si="77"/>
        <v>4536</v>
      </c>
      <c r="Q809" s="1">
        <f>COUNTIFS($P:$P, "&gt;" &amp; $P809) + 1</f>
        <v>2534</v>
      </c>
      <c r="R809" s="63">
        <f>(COUNTIFS($P:$P, "&gt;" &amp; $P809) + 1) / (COUNTA($I:$I) - 1)</f>
        <v>0.50680000000000003</v>
      </c>
      <c r="S809" s="23">
        <f>SUMIFS($P:$P, $Q:$Q, "&lt;" &amp; $Q809)</f>
        <v>183272703</v>
      </c>
    </row>
    <row r="810" spans="1:19" x14ac:dyDescent="0.25">
      <c r="A810" s="1">
        <v>805</v>
      </c>
      <c r="B810" s="1" t="s">
        <v>2</v>
      </c>
      <c r="C810" s="1" t="str">
        <f>IF($B810 = "Production Item", _xlfn.XLOOKUP($A810, 'Instrument Table'!$J:$J, 'Instrument Table'!$B:$B, $C809), IF($B810 = "Service Item", _xlfn.XLOOKUP($A810, 'Instrument Table'!$I:$I, 'Instrument Table'!$B:$B, $C809), _xlfn.XLOOKUP($A810, 'Instrument Table'!$H:$H, 'Instrument Table'!$B:$B, $C809)))</f>
        <v>Electric Keyboard</v>
      </c>
      <c r="D810" s="1" t="str">
        <f>VLOOKUP($C810, 'Instrument Table'!$B:$C, 2, FALSE)</f>
        <v>Pianos</v>
      </c>
      <c r="E810" s="1">
        <f t="shared" si="72"/>
        <v>1</v>
      </c>
      <c r="F810" s="1">
        <f>_xlfn.XLOOKUP($C810, 'Instrument Table'!$B:$B, 'Instrument Table'!$A:$A, "")</f>
        <v>12</v>
      </c>
      <c r="G810" s="1" t="str">
        <f>TEXT(IF($B810 = "Retail Item", IF((ROW($A810) - 4504 - _xlfn.XMATCH($C810, $C$4506:$C$5005, 0, 1)) &lt;= VLOOKUP($C810, 'Instrument Table'!$B:$D, 3, FALSE), ROW($A810) - 4504 - _xlfn.XMATCH($C810, $C$4506:$C$5005, 0, 1), 0), 0), "00")</f>
        <v>00</v>
      </c>
      <c r="H810" s="1" t="str">
        <f t="shared" si="73"/>
        <v>054</v>
      </c>
      <c r="I810" s="1" t="str">
        <f t="shared" si="74"/>
        <v>11200-054</v>
      </c>
      <c r="J810" s="1" t="str">
        <f t="shared" si="75"/>
        <v>Electric keyboard production item #054</v>
      </c>
      <c r="K810" s="1" t="str">
        <f>IF(SUM(COUNTIFS(I:I, I810)) &gt; 1, "DUPLICATE", "UNIQUE")</f>
        <v>UNIQUE</v>
      </c>
      <c r="L810" s="18">
        <v>1</v>
      </c>
      <c r="M810" s="28">
        <v>66</v>
      </c>
      <c r="N810" s="6">
        <v>25</v>
      </c>
      <c r="O810" s="30">
        <f t="shared" si="76"/>
        <v>66</v>
      </c>
      <c r="P810" s="30">
        <f t="shared" si="77"/>
        <v>1650</v>
      </c>
      <c r="Q810" s="1">
        <f>COUNTIFS($P:$P, "&gt;" &amp; $P810) + 1</f>
        <v>3388</v>
      </c>
      <c r="R810" s="63">
        <f>(COUNTIFS($P:$P, "&gt;" &amp; $P810) + 1) / (COUNTA($I:$I) - 1)</f>
        <v>0.67759999999999998</v>
      </c>
      <c r="S810" s="23">
        <f>SUMIFS($P:$P, $Q:$Q, "&lt;" &amp; $Q810)</f>
        <v>185765499</v>
      </c>
    </row>
    <row r="811" spans="1:19" x14ac:dyDescent="0.25">
      <c r="A811" s="1">
        <v>806</v>
      </c>
      <c r="B811" s="1" t="s">
        <v>2</v>
      </c>
      <c r="C811" s="1" t="str">
        <f>IF($B811 = "Production Item", _xlfn.XLOOKUP($A811, 'Instrument Table'!$J:$J, 'Instrument Table'!$B:$B, $C810), IF($B811 = "Service Item", _xlfn.XLOOKUP($A811, 'Instrument Table'!$I:$I, 'Instrument Table'!$B:$B, $C810), _xlfn.XLOOKUP($A811, 'Instrument Table'!$H:$H, 'Instrument Table'!$B:$B, $C810)))</f>
        <v>Electric Keyboard</v>
      </c>
      <c r="D811" s="1" t="str">
        <f>VLOOKUP($C811, 'Instrument Table'!$B:$C, 2, FALSE)</f>
        <v>Pianos</v>
      </c>
      <c r="E811" s="1">
        <f t="shared" si="72"/>
        <v>1</v>
      </c>
      <c r="F811" s="1">
        <f>_xlfn.XLOOKUP($C811, 'Instrument Table'!$B:$B, 'Instrument Table'!$A:$A, "")</f>
        <v>12</v>
      </c>
      <c r="G811" s="1" t="str">
        <f>TEXT(IF($B811 = "Retail Item", IF((ROW($A811) - 4504 - _xlfn.XMATCH($C811, $C$4506:$C$5005, 0, 1)) &lt;= VLOOKUP($C811, 'Instrument Table'!$B:$D, 3, FALSE), ROW($A811) - 4504 - _xlfn.XMATCH($C811, $C$4506:$C$5005, 0, 1), 0), 0), "00")</f>
        <v>00</v>
      </c>
      <c r="H811" s="1" t="str">
        <f t="shared" si="73"/>
        <v>055</v>
      </c>
      <c r="I811" s="1" t="str">
        <f t="shared" si="74"/>
        <v>11200-055</v>
      </c>
      <c r="J811" s="1" t="str">
        <f t="shared" si="75"/>
        <v>Electric keyboard production item #055</v>
      </c>
      <c r="K811" s="1" t="str">
        <f>IF(SUM(COUNTIFS(I:I, I811)) &gt; 1, "DUPLICATE", "UNIQUE")</f>
        <v>UNIQUE</v>
      </c>
      <c r="L811" s="18">
        <v>1</v>
      </c>
      <c r="M811" s="28">
        <v>48</v>
      </c>
      <c r="N811" s="6">
        <v>25</v>
      </c>
      <c r="O811" s="30">
        <f t="shared" si="76"/>
        <v>48</v>
      </c>
      <c r="P811" s="30">
        <f t="shared" si="77"/>
        <v>1200</v>
      </c>
      <c r="Q811" s="1">
        <f>COUNTIFS($P:$P, "&gt;" &amp; $P811) + 1</f>
        <v>3608</v>
      </c>
      <c r="R811" s="63">
        <f>(COUNTIFS($P:$P, "&gt;" &amp; $P811) + 1) / (COUNTA($I:$I) - 1)</f>
        <v>0.72160000000000002</v>
      </c>
      <c r="S811" s="23">
        <f>SUMIFS($P:$P, $Q:$Q, "&lt;" &amp; $Q811)</f>
        <v>186079438</v>
      </c>
    </row>
    <row r="812" spans="1:19" x14ac:dyDescent="0.25">
      <c r="A812" s="1">
        <v>807</v>
      </c>
      <c r="B812" s="1" t="s">
        <v>2</v>
      </c>
      <c r="C812" s="1" t="str">
        <f>IF($B812 = "Production Item", _xlfn.XLOOKUP($A812, 'Instrument Table'!$J:$J, 'Instrument Table'!$B:$B, $C811), IF($B812 = "Service Item", _xlfn.XLOOKUP($A812, 'Instrument Table'!$I:$I, 'Instrument Table'!$B:$B, $C811), _xlfn.XLOOKUP($A812, 'Instrument Table'!$H:$H, 'Instrument Table'!$B:$B, $C811)))</f>
        <v>Electric Keyboard</v>
      </c>
      <c r="D812" s="1" t="str">
        <f>VLOOKUP($C812, 'Instrument Table'!$B:$C, 2, FALSE)</f>
        <v>Pianos</v>
      </c>
      <c r="E812" s="1">
        <f t="shared" si="72"/>
        <v>1</v>
      </c>
      <c r="F812" s="1">
        <f>_xlfn.XLOOKUP($C812, 'Instrument Table'!$B:$B, 'Instrument Table'!$A:$A, "")</f>
        <v>12</v>
      </c>
      <c r="G812" s="1" t="str">
        <f>TEXT(IF($B812 = "Retail Item", IF((ROW($A812) - 4504 - _xlfn.XMATCH($C812, $C$4506:$C$5005, 0, 1)) &lt;= VLOOKUP($C812, 'Instrument Table'!$B:$D, 3, FALSE), ROW($A812) - 4504 - _xlfn.XMATCH($C812, $C$4506:$C$5005, 0, 1), 0), 0), "00")</f>
        <v>00</v>
      </c>
      <c r="H812" s="1" t="str">
        <f t="shared" si="73"/>
        <v>056</v>
      </c>
      <c r="I812" s="1" t="str">
        <f t="shared" si="74"/>
        <v>11200-056</v>
      </c>
      <c r="J812" s="1" t="str">
        <f t="shared" si="75"/>
        <v>Electric keyboard production item #056</v>
      </c>
      <c r="K812" s="1" t="str">
        <f>IF(SUM(COUNTIFS(I:I, I812)) &gt; 1, "DUPLICATE", "UNIQUE")</f>
        <v>UNIQUE</v>
      </c>
      <c r="L812" s="18">
        <v>8</v>
      </c>
      <c r="M812" s="28">
        <v>51</v>
      </c>
      <c r="N812" s="6">
        <v>25</v>
      </c>
      <c r="O812" s="30">
        <f t="shared" si="76"/>
        <v>408</v>
      </c>
      <c r="P812" s="30">
        <f t="shared" si="77"/>
        <v>1275</v>
      </c>
      <c r="Q812" s="1">
        <f>COUNTIFS($P:$P, "&gt;" &amp; $P812) + 1</f>
        <v>3577</v>
      </c>
      <c r="R812" s="63">
        <f>(COUNTIFS($P:$P, "&gt;" &amp; $P812) + 1) / (COUNTA($I:$I) - 1)</f>
        <v>0.71540000000000004</v>
      </c>
      <c r="S812" s="23">
        <f>SUMIFS($P:$P, $Q:$Q, "&lt;" &amp; $Q812)</f>
        <v>186041248</v>
      </c>
    </row>
    <row r="813" spans="1:19" x14ac:dyDescent="0.25">
      <c r="A813" s="1">
        <v>808</v>
      </c>
      <c r="B813" s="1" t="s">
        <v>2</v>
      </c>
      <c r="C813" s="1" t="str">
        <f>IF($B813 = "Production Item", _xlfn.XLOOKUP($A813, 'Instrument Table'!$J:$J, 'Instrument Table'!$B:$B, $C812), IF($B813 = "Service Item", _xlfn.XLOOKUP($A813, 'Instrument Table'!$I:$I, 'Instrument Table'!$B:$B, $C812), _xlfn.XLOOKUP($A813, 'Instrument Table'!$H:$H, 'Instrument Table'!$B:$B, $C812)))</f>
        <v>Electric Keyboard</v>
      </c>
      <c r="D813" s="1" t="str">
        <f>VLOOKUP($C813, 'Instrument Table'!$B:$C, 2, FALSE)</f>
        <v>Pianos</v>
      </c>
      <c r="E813" s="1">
        <f t="shared" si="72"/>
        <v>1</v>
      </c>
      <c r="F813" s="1">
        <f>_xlfn.XLOOKUP($C813, 'Instrument Table'!$B:$B, 'Instrument Table'!$A:$A, "")</f>
        <v>12</v>
      </c>
      <c r="G813" s="1" t="str">
        <f>TEXT(IF($B813 = "Retail Item", IF((ROW($A813) - 4504 - _xlfn.XMATCH($C813, $C$4506:$C$5005, 0, 1)) &lt;= VLOOKUP($C813, 'Instrument Table'!$B:$D, 3, FALSE), ROW($A813) - 4504 - _xlfn.XMATCH($C813, $C$4506:$C$5005, 0, 1), 0), 0), "00")</f>
        <v>00</v>
      </c>
      <c r="H813" s="1" t="str">
        <f t="shared" si="73"/>
        <v>057</v>
      </c>
      <c r="I813" s="1" t="str">
        <f t="shared" si="74"/>
        <v>11200-057</v>
      </c>
      <c r="J813" s="1" t="str">
        <f t="shared" si="75"/>
        <v>Electric keyboard production item #057</v>
      </c>
      <c r="K813" s="1" t="str">
        <f>IF(SUM(COUNTIFS(I:I, I813)) &gt; 1, "DUPLICATE", "UNIQUE")</f>
        <v>UNIQUE</v>
      </c>
      <c r="L813" s="18">
        <v>1</v>
      </c>
      <c r="M813" s="28">
        <v>82</v>
      </c>
      <c r="N813" s="6">
        <v>225</v>
      </c>
      <c r="O813" s="30">
        <f t="shared" si="76"/>
        <v>82</v>
      </c>
      <c r="P813" s="30">
        <f t="shared" si="77"/>
        <v>18450</v>
      </c>
      <c r="Q813" s="1">
        <f>COUNTIFS($P:$P, "&gt;" &amp; $P813) + 1</f>
        <v>1134</v>
      </c>
      <c r="R813" s="63">
        <f>(COUNTIFS($P:$P, "&gt;" &amp; $P813) + 1) / (COUNTA($I:$I) - 1)</f>
        <v>0.2268</v>
      </c>
      <c r="S813" s="23">
        <f>SUMIFS($P:$P, $Q:$Q, "&lt;" &amp; $Q813)</f>
        <v>169142039</v>
      </c>
    </row>
    <row r="814" spans="1:19" x14ac:dyDescent="0.25">
      <c r="A814" s="1">
        <v>809</v>
      </c>
      <c r="B814" s="1" t="s">
        <v>2</v>
      </c>
      <c r="C814" s="1" t="str">
        <f>IF($B814 = "Production Item", _xlfn.XLOOKUP($A814, 'Instrument Table'!$J:$J, 'Instrument Table'!$B:$B, $C813), IF($B814 = "Service Item", _xlfn.XLOOKUP($A814, 'Instrument Table'!$I:$I, 'Instrument Table'!$B:$B, $C813), _xlfn.XLOOKUP($A814, 'Instrument Table'!$H:$H, 'Instrument Table'!$B:$B, $C813)))</f>
        <v>Electric Keyboard</v>
      </c>
      <c r="D814" s="1" t="str">
        <f>VLOOKUP($C814, 'Instrument Table'!$B:$C, 2, FALSE)</f>
        <v>Pianos</v>
      </c>
      <c r="E814" s="1">
        <f t="shared" si="72"/>
        <v>1</v>
      </c>
      <c r="F814" s="1">
        <f>_xlfn.XLOOKUP($C814, 'Instrument Table'!$B:$B, 'Instrument Table'!$A:$A, "")</f>
        <v>12</v>
      </c>
      <c r="G814" s="1" t="str">
        <f>TEXT(IF($B814 = "Retail Item", IF((ROW($A814) - 4504 - _xlfn.XMATCH($C814, $C$4506:$C$5005, 0, 1)) &lt;= VLOOKUP($C814, 'Instrument Table'!$B:$D, 3, FALSE), ROW($A814) - 4504 - _xlfn.XMATCH($C814, $C$4506:$C$5005, 0, 1), 0), 0), "00")</f>
        <v>00</v>
      </c>
      <c r="H814" s="1" t="str">
        <f t="shared" si="73"/>
        <v>058</v>
      </c>
      <c r="I814" s="1" t="str">
        <f t="shared" si="74"/>
        <v>11200-058</v>
      </c>
      <c r="J814" s="1" t="str">
        <f t="shared" si="75"/>
        <v>Electric keyboard production item #058</v>
      </c>
      <c r="K814" s="1" t="str">
        <f>IF(SUM(COUNTIFS(I:I, I814)) &gt; 1, "DUPLICATE", "UNIQUE")</f>
        <v>UNIQUE</v>
      </c>
      <c r="L814" s="18">
        <v>16</v>
      </c>
      <c r="M814" s="28">
        <v>60</v>
      </c>
      <c r="N814" s="6">
        <v>64</v>
      </c>
      <c r="O814" s="30">
        <f t="shared" si="76"/>
        <v>960</v>
      </c>
      <c r="P814" s="30">
        <f t="shared" si="77"/>
        <v>3840</v>
      </c>
      <c r="Q814" s="1">
        <f>COUNTIFS($P:$P, "&gt;" &amp; $P814) + 1</f>
        <v>2690</v>
      </c>
      <c r="R814" s="63">
        <f>(COUNTIFS($P:$P, "&gt;" &amp; $P814) + 1) / (COUNTA($I:$I) - 1)</f>
        <v>0.53800000000000003</v>
      </c>
      <c r="S814" s="23">
        <f>SUMIFS($P:$P, $Q:$Q, "&lt;" &amp; $Q814)</f>
        <v>183928493</v>
      </c>
    </row>
    <row r="815" spans="1:19" x14ac:dyDescent="0.25">
      <c r="A815" s="1">
        <v>810</v>
      </c>
      <c r="B815" s="1" t="s">
        <v>2</v>
      </c>
      <c r="C815" s="1" t="str">
        <f>IF($B815 = "Production Item", _xlfn.XLOOKUP($A815, 'Instrument Table'!$J:$J, 'Instrument Table'!$B:$B, $C814), IF($B815 = "Service Item", _xlfn.XLOOKUP($A815, 'Instrument Table'!$I:$I, 'Instrument Table'!$B:$B, $C814), _xlfn.XLOOKUP($A815, 'Instrument Table'!$H:$H, 'Instrument Table'!$B:$B, $C814)))</f>
        <v>Electric Keyboard</v>
      </c>
      <c r="D815" s="1" t="str">
        <f>VLOOKUP($C815, 'Instrument Table'!$B:$C, 2, FALSE)</f>
        <v>Pianos</v>
      </c>
      <c r="E815" s="1">
        <f t="shared" si="72"/>
        <v>1</v>
      </c>
      <c r="F815" s="1">
        <f>_xlfn.XLOOKUP($C815, 'Instrument Table'!$B:$B, 'Instrument Table'!$A:$A, "")</f>
        <v>12</v>
      </c>
      <c r="G815" s="1" t="str">
        <f>TEXT(IF($B815 = "Retail Item", IF((ROW($A815) - 4504 - _xlfn.XMATCH($C815, $C$4506:$C$5005, 0, 1)) &lt;= VLOOKUP($C815, 'Instrument Table'!$B:$D, 3, FALSE), ROW($A815) - 4504 - _xlfn.XMATCH($C815, $C$4506:$C$5005, 0, 1), 0), 0), "00")</f>
        <v>00</v>
      </c>
      <c r="H815" s="1" t="str">
        <f t="shared" si="73"/>
        <v>059</v>
      </c>
      <c r="I815" s="1" t="str">
        <f t="shared" si="74"/>
        <v>11200-059</v>
      </c>
      <c r="J815" s="1" t="str">
        <f t="shared" si="75"/>
        <v>Electric keyboard production item #059</v>
      </c>
      <c r="K815" s="1" t="str">
        <f>IF(SUM(COUNTIFS(I:I, I815)) &gt; 1, "DUPLICATE", "UNIQUE")</f>
        <v>UNIQUE</v>
      </c>
      <c r="L815" s="18">
        <v>1</v>
      </c>
      <c r="M815" s="28">
        <v>10</v>
      </c>
      <c r="N815" s="6">
        <v>49</v>
      </c>
      <c r="O815" s="30">
        <f t="shared" si="76"/>
        <v>10</v>
      </c>
      <c r="P815" s="30">
        <f t="shared" si="77"/>
        <v>490</v>
      </c>
      <c r="Q815" s="1">
        <f>COUNTIFS($P:$P, "&gt;" &amp; $P815) + 1</f>
        <v>4035</v>
      </c>
      <c r="R815" s="63">
        <f>(COUNTIFS($P:$P, "&gt;" &amp; $P815) + 1) / (COUNTA($I:$I) - 1)</f>
        <v>0.80700000000000005</v>
      </c>
      <c r="S815" s="23">
        <f>SUMIFS($P:$P, $Q:$Q, "&lt;" &amp; $Q815)</f>
        <v>186416132</v>
      </c>
    </row>
    <row r="816" spans="1:19" x14ac:dyDescent="0.25">
      <c r="A816" s="1">
        <v>811</v>
      </c>
      <c r="B816" s="1" t="s">
        <v>2</v>
      </c>
      <c r="C816" s="1" t="str">
        <f>IF($B816 = "Production Item", _xlfn.XLOOKUP($A816, 'Instrument Table'!$J:$J, 'Instrument Table'!$B:$B, $C815), IF($B816 = "Service Item", _xlfn.XLOOKUP($A816, 'Instrument Table'!$I:$I, 'Instrument Table'!$B:$B, $C815), _xlfn.XLOOKUP($A816, 'Instrument Table'!$H:$H, 'Instrument Table'!$B:$B, $C815)))</f>
        <v>Electric Keyboard</v>
      </c>
      <c r="D816" s="1" t="str">
        <f>VLOOKUP($C816, 'Instrument Table'!$B:$C, 2, FALSE)</f>
        <v>Pianos</v>
      </c>
      <c r="E816" s="1">
        <f t="shared" si="72"/>
        <v>1</v>
      </c>
      <c r="F816" s="1">
        <f>_xlfn.XLOOKUP($C816, 'Instrument Table'!$B:$B, 'Instrument Table'!$A:$A, "")</f>
        <v>12</v>
      </c>
      <c r="G816" s="1" t="str">
        <f>TEXT(IF($B816 = "Retail Item", IF((ROW($A816) - 4504 - _xlfn.XMATCH($C816, $C$4506:$C$5005, 0, 1)) &lt;= VLOOKUP($C816, 'Instrument Table'!$B:$D, 3, FALSE), ROW($A816) - 4504 - _xlfn.XMATCH($C816, $C$4506:$C$5005, 0, 1), 0), 0), "00")</f>
        <v>00</v>
      </c>
      <c r="H816" s="1" t="str">
        <f t="shared" si="73"/>
        <v>060</v>
      </c>
      <c r="I816" s="1" t="str">
        <f t="shared" si="74"/>
        <v>11200-060</v>
      </c>
      <c r="J816" s="1" t="str">
        <f t="shared" si="75"/>
        <v>Electric keyboard production item #060</v>
      </c>
      <c r="K816" s="1" t="str">
        <f>IF(SUM(COUNTIFS(I:I, I816)) &gt; 1, "DUPLICATE", "UNIQUE")</f>
        <v>UNIQUE</v>
      </c>
      <c r="L816" s="18">
        <v>8</v>
      </c>
      <c r="M816" s="28">
        <v>61</v>
      </c>
      <c r="N816" s="6">
        <v>289</v>
      </c>
      <c r="O816" s="30">
        <f t="shared" si="76"/>
        <v>488</v>
      </c>
      <c r="P816" s="30">
        <f t="shared" si="77"/>
        <v>17629</v>
      </c>
      <c r="Q816" s="1">
        <f>COUNTIFS($P:$P, "&gt;" &amp; $P816) + 1</f>
        <v>1179</v>
      </c>
      <c r="R816" s="63">
        <f>(COUNTIFS($P:$P, "&gt;" &amp; $P816) + 1) / (COUNTA($I:$I) - 1)</f>
        <v>0.23580000000000001</v>
      </c>
      <c r="S816" s="23">
        <f>SUMIFS($P:$P, $Q:$Q, "&lt;" &amp; $Q816)</f>
        <v>169958358</v>
      </c>
    </row>
    <row r="817" spans="1:19" x14ac:dyDescent="0.25">
      <c r="A817" s="1">
        <v>812</v>
      </c>
      <c r="B817" s="1" t="s">
        <v>2</v>
      </c>
      <c r="C817" s="1" t="str">
        <f>IF($B817 = "Production Item", _xlfn.XLOOKUP($A817, 'Instrument Table'!$J:$J, 'Instrument Table'!$B:$B, $C816), IF($B817 = "Service Item", _xlfn.XLOOKUP($A817, 'Instrument Table'!$I:$I, 'Instrument Table'!$B:$B, $C816), _xlfn.XLOOKUP($A817, 'Instrument Table'!$H:$H, 'Instrument Table'!$B:$B, $C816)))</f>
        <v>Electric Keyboard</v>
      </c>
      <c r="D817" s="1" t="str">
        <f>VLOOKUP($C817, 'Instrument Table'!$B:$C, 2, FALSE)</f>
        <v>Pianos</v>
      </c>
      <c r="E817" s="1">
        <f t="shared" si="72"/>
        <v>1</v>
      </c>
      <c r="F817" s="1">
        <f>_xlfn.XLOOKUP($C817, 'Instrument Table'!$B:$B, 'Instrument Table'!$A:$A, "")</f>
        <v>12</v>
      </c>
      <c r="G817" s="1" t="str">
        <f>TEXT(IF($B817 = "Retail Item", IF((ROW($A817) - 4504 - _xlfn.XMATCH($C817, $C$4506:$C$5005, 0, 1)) &lt;= VLOOKUP($C817, 'Instrument Table'!$B:$D, 3, FALSE), ROW($A817) - 4504 - _xlfn.XMATCH($C817, $C$4506:$C$5005, 0, 1), 0), 0), "00")</f>
        <v>00</v>
      </c>
      <c r="H817" s="1" t="str">
        <f t="shared" si="73"/>
        <v>061</v>
      </c>
      <c r="I817" s="1" t="str">
        <f t="shared" si="74"/>
        <v>11200-061</v>
      </c>
      <c r="J817" s="1" t="str">
        <f t="shared" si="75"/>
        <v>Electric keyboard production item #061</v>
      </c>
      <c r="K817" s="1" t="str">
        <f>IF(SUM(COUNTIFS(I:I, I817)) &gt; 1, "DUPLICATE", "UNIQUE")</f>
        <v>UNIQUE</v>
      </c>
      <c r="L817" s="18">
        <v>32</v>
      </c>
      <c r="M817" s="28">
        <v>51</v>
      </c>
      <c r="N817" s="6">
        <v>100</v>
      </c>
      <c r="O817" s="30">
        <f t="shared" si="76"/>
        <v>1632</v>
      </c>
      <c r="P817" s="30">
        <f t="shared" si="77"/>
        <v>5100</v>
      </c>
      <c r="Q817" s="1">
        <f>COUNTIFS($P:$P, "&gt;" &amp; $P817) + 1</f>
        <v>2427</v>
      </c>
      <c r="R817" s="63">
        <f>(COUNTIFS($P:$P, "&gt;" &amp; $P817) + 1) / (COUNTA($I:$I) - 1)</f>
        <v>0.4854</v>
      </c>
      <c r="S817" s="23">
        <f>SUMIFS($P:$P, $Q:$Q, "&lt;" &amp; $Q817)</f>
        <v>182756237</v>
      </c>
    </row>
    <row r="818" spans="1:19" x14ac:dyDescent="0.25">
      <c r="A818" s="1">
        <v>813</v>
      </c>
      <c r="B818" s="1" t="s">
        <v>2</v>
      </c>
      <c r="C818" s="1" t="str">
        <f>IF($B818 = "Production Item", _xlfn.XLOOKUP($A818, 'Instrument Table'!$J:$J, 'Instrument Table'!$B:$B, $C817), IF($B818 = "Service Item", _xlfn.XLOOKUP($A818, 'Instrument Table'!$I:$I, 'Instrument Table'!$B:$B, $C817), _xlfn.XLOOKUP($A818, 'Instrument Table'!$H:$H, 'Instrument Table'!$B:$B, $C817)))</f>
        <v>Electric Keyboard</v>
      </c>
      <c r="D818" s="1" t="str">
        <f>VLOOKUP($C818, 'Instrument Table'!$B:$C, 2, FALSE)</f>
        <v>Pianos</v>
      </c>
      <c r="E818" s="1">
        <f t="shared" si="72"/>
        <v>1</v>
      </c>
      <c r="F818" s="1">
        <f>_xlfn.XLOOKUP($C818, 'Instrument Table'!$B:$B, 'Instrument Table'!$A:$A, "")</f>
        <v>12</v>
      </c>
      <c r="G818" s="1" t="str">
        <f>TEXT(IF($B818 = "Retail Item", IF((ROW($A818) - 4504 - _xlfn.XMATCH($C818, $C$4506:$C$5005, 0, 1)) &lt;= VLOOKUP($C818, 'Instrument Table'!$B:$D, 3, FALSE), ROW($A818) - 4504 - _xlfn.XMATCH($C818, $C$4506:$C$5005, 0, 1), 0), 0), "00")</f>
        <v>00</v>
      </c>
      <c r="H818" s="1" t="str">
        <f t="shared" si="73"/>
        <v>062</v>
      </c>
      <c r="I818" s="1" t="str">
        <f t="shared" si="74"/>
        <v>11200-062</v>
      </c>
      <c r="J818" s="1" t="str">
        <f t="shared" si="75"/>
        <v>Electric keyboard production item #062</v>
      </c>
      <c r="K818" s="1" t="str">
        <f>IF(SUM(COUNTIFS(I:I, I818)) &gt; 1, "DUPLICATE", "UNIQUE")</f>
        <v>UNIQUE</v>
      </c>
      <c r="L818" s="18">
        <v>1</v>
      </c>
      <c r="M818" s="28">
        <v>17</v>
      </c>
      <c r="N818" s="6">
        <v>121</v>
      </c>
      <c r="O818" s="30">
        <f t="shared" si="76"/>
        <v>17</v>
      </c>
      <c r="P818" s="30">
        <f t="shared" si="77"/>
        <v>2057</v>
      </c>
      <c r="Q818" s="1">
        <f>COUNTIFS($P:$P, "&gt;" &amp; $P818) + 1</f>
        <v>3229</v>
      </c>
      <c r="R818" s="63">
        <f>(COUNTIFS($P:$P, "&gt;" &amp; $P818) + 1) / (COUNTA($I:$I) - 1)</f>
        <v>0.64580000000000004</v>
      </c>
      <c r="S818" s="23">
        <f>SUMIFS($P:$P, $Q:$Q, "&lt;" &amp; $Q818)</f>
        <v>185468282</v>
      </c>
    </row>
    <row r="819" spans="1:19" x14ac:dyDescent="0.25">
      <c r="A819" s="1">
        <v>814</v>
      </c>
      <c r="B819" s="1" t="s">
        <v>2</v>
      </c>
      <c r="C819" s="1" t="str">
        <f>IF($B819 = "Production Item", _xlfn.XLOOKUP($A819, 'Instrument Table'!$J:$J, 'Instrument Table'!$B:$B, $C818), IF($B819 = "Service Item", _xlfn.XLOOKUP($A819, 'Instrument Table'!$I:$I, 'Instrument Table'!$B:$B, $C818), _xlfn.XLOOKUP($A819, 'Instrument Table'!$H:$H, 'Instrument Table'!$B:$B, $C818)))</f>
        <v>Electric Keyboard</v>
      </c>
      <c r="D819" s="1" t="str">
        <f>VLOOKUP($C819, 'Instrument Table'!$B:$C, 2, FALSE)</f>
        <v>Pianos</v>
      </c>
      <c r="E819" s="1">
        <f t="shared" si="72"/>
        <v>1</v>
      </c>
      <c r="F819" s="1">
        <f>_xlfn.XLOOKUP($C819, 'Instrument Table'!$B:$B, 'Instrument Table'!$A:$A, "")</f>
        <v>12</v>
      </c>
      <c r="G819" s="1" t="str">
        <f>TEXT(IF($B819 = "Retail Item", IF((ROW($A819) - 4504 - _xlfn.XMATCH($C819, $C$4506:$C$5005, 0, 1)) &lt;= VLOOKUP($C819, 'Instrument Table'!$B:$D, 3, FALSE), ROW($A819) - 4504 - _xlfn.XMATCH($C819, $C$4506:$C$5005, 0, 1), 0), 0), "00")</f>
        <v>00</v>
      </c>
      <c r="H819" s="1" t="str">
        <f t="shared" si="73"/>
        <v>063</v>
      </c>
      <c r="I819" s="1" t="str">
        <f t="shared" si="74"/>
        <v>11200-063</v>
      </c>
      <c r="J819" s="1" t="str">
        <f t="shared" si="75"/>
        <v>Electric keyboard production item #063</v>
      </c>
      <c r="K819" s="1" t="str">
        <f>IF(SUM(COUNTIFS(I:I, I819)) &gt; 1, "DUPLICATE", "UNIQUE")</f>
        <v>UNIQUE</v>
      </c>
      <c r="L819" s="18">
        <v>16</v>
      </c>
      <c r="M819" s="28">
        <v>100</v>
      </c>
      <c r="N819" s="6">
        <v>225</v>
      </c>
      <c r="O819" s="30">
        <f t="shared" si="76"/>
        <v>1600</v>
      </c>
      <c r="P819" s="30">
        <f t="shared" si="77"/>
        <v>22500</v>
      </c>
      <c r="Q819" s="1">
        <f>COUNTIFS($P:$P, "&gt;" &amp; $P819) + 1</f>
        <v>925</v>
      </c>
      <c r="R819" s="63">
        <f>(COUNTIFS($P:$P, "&gt;" &amp; $P819) + 1) / (COUNTA($I:$I) - 1)</f>
        <v>0.185</v>
      </c>
      <c r="S819" s="23">
        <f>SUMIFS($P:$P, $Q:$Q, "&lt;" &amp; $Q819)</f>
        <v>164851773</v>
      </c>
    </row>
    <row r="820" spans="1:19" x14ac:dyDescent="0.25">
      <c r="A820" s="1">
        <v>815</v>
      </c>
      <c r="B820" s="1" t="s">
        <v>2</v>
      </c>
      <c r="C820" s="1" t="str">
        <f>IF($B820 = "Production Item", _xlfn.XLOOKUP($A820, 'Instrument Table'!$J:$J, 'Instrument Table'!$B:$B, $C819), IF($B820 = "Service Item", _xlfn.XLOOKUP($A820, 'Instrument Table'!$I:$I, 'Instrument Table'!$B:$B, $C819), _xlfn.XLOOKUP($A820, 'Instrument Table'!$H:$H, 'Instrument Table'!$B:$B, $C819)))</f>
        <v>Electric Keyboard</v>
      </c>
      <c r="D820" s="1" t="str">
        <f>VLOOKUP($C820, 'Instrument Table'!$B:$C, 2, FALSE)</f>
        <v>Pianos</v>
      </c>
      <c r="E820" s="1">
        <f t="shared" si="72"/>
        <v>1</v>
      </c>
      <c r="F820" s="1">
        <f>_xlfn.XLOOKUP($C820, 'Instrument Table'!$B:$B, 'Instrument Table'!$A:$A, "")</f>
        <v>12</v>
      </c>
      <c r="G820" s="1" t="str">
        <f>TEXT(IF($B820 = "Retail Item", IF((ROW($A820) - 4504 - _xlfn.XMATCH($C820, $C$4506:$C$5005, 0, 1)) &lt;= VLOOKUP($C820, 'Instrument Table'!$B:$D, 3, FALSE), ROW($A820) - 4504 - _xlfn.XMATCH($C820, $C$4506:$C$5005, 0, 1), 0), 0), "00")</f>
        <v>00</v>
      </c>
      <c r="H820" s="1" t="str">
        <f t="shared" si="73"/>
        <v>064</v>
      </c>
      <c r="I820" s="1" t="str">
        <f t="shared" si="74"/>
        <v>11200-064</v>
      </c>
      <c r="J820" s="1" t="str">
        <f t="shared" si="75"/>
        <v>Electric keyboard production item #064</v>
      </c>
      <c r="K820" s="1" t="str">
        <f>IF(SUM(COUNTIFS(I:I, I820)) &gt; 1, "DUPLICATE", "UNIQUE")</f>
        <v>UNIQUE</v>
      </c>
      <c r="L820" s="18">
        <v>4</v>
      </c>
      <c r="M820" s="28">
        <v>37</v>
      </c>
      <c r="N820" s="6">
        <v>196</v>
      </c>
      <c r="O820" s="30">
        <f t="shared" si="76"/>
        <v>148</v>
      </c>
      <c r="P820" s="30">
        <f t="shared" si="77"/>
        <v>7252</v>
      </c>
      <c r="Q820" s="1">
        <f>COUNTIFS($P:$P, "&gt;" &amp; $P820) + 1</f>
        <v>2104</v>
      </c>
      <c r="R820" s="63">
        <f>(COUNTIFS($P:$P, "&gt;" &amp; $P820) + 1) / (COUNTA($I:$I) - 1)</f>
        <v>0.42080000000000001</v>
      </c>
      <c r="S820" s="23">
        <f>SUMIFS($P:$P, $Q:$Q, "&lt;" &amp; $Q820)</f>
        <v>180787751</v>
      </c>
    </row>
    <row r="821" spans="1:19" x14ac:dyDescent="0.25">
      <c r="A821" s="1">
        <v>816</v>
      </c>
      <c r="B821" s="1" t="s">
        <v>2</v>
      </c>
      <c r="C821" s="1" t="str">
        <f>IF($B821 = "Production Item", _xlfn.XLOOKUP($A821, 'Instrument Table'!$J:$J, 'Instrument Table'!$B:$B, $C820), IF($B821 = "Service Item", _xlfn.XLOOKUP($A821, 'Instrument Table'!$I:$I, 'Instrument Table'!$B:$B, $C820), _xlfn.XLOOKUP($A821, 'Instrument Table'!$H:$H, 'Instrument Table'!$B:$B, $C820)))</f>
        <v>Electric Keyboard</v>
      </c>
      <c r="D821" s="1" t="str">
        <f>VLOOKUP($C821, 'Instrument Table'!$B:$C, 2, FALSE)</f>
        <v>Pianos</v>
      </c>
      <c r="E821" s="1">
        <f t="shared" si="72"/>
        <v>1</v>
      </c>
      <c r="F821" s="1">
        <f>_xlfn.XLOOKUP($C821, 'Instrument Table'!$B:$B, 'Instrument Table'!$A:$A, "")</f>
        <v>12</v>
      </c>
      <c r="G821" s="1" t="str">
        <f>TEXT(IF($B821 = "Retail Item", IF((ROW($A821) - 4504 - _xlfn.XMATCH($C821, $C$4506:$C$5005, 0, 1)) &lt;= VLOOKUP($C821, 'Instrument Table'!$B:$D, 3, FALSE), ROW($A821) - 4504 - _xlfn.XMATCH($C821, $C$4506:$C$5005, 0, 1), 0), 0), "00")</f>
        <v>00</v>
      </c>
      <c r="H821" s="1" t="str">
        <f t="shared" si="73"/>
        <v>065</v>
      </c>
      <c r="I821" s="1" t="str">
        <f t="shared" si="74"/>
        <v>11200-065</v>
      </c>
      <c r="J821" s="1" t="str">
        <f t="shared" si="75"/>
        <v>Electric keyboard production item #065</v>
      </c>
      <c r="K821" s="1" t="str">
        <f>IF(SUM(COUNTIFS(I:I, I821)) &gt; 1, "DUPLICATE", "UNIQUE")</f>
        <v>UNIQUE</v>
      </c>
      <c r="L821" s="18">
        <v>1</v>
      </c>
      <c r="M821" s="28">
        <v>61</v>
      </c>
      <c r="N821" s="6">
        <v>81</v>
      </c>
      <c r="O821" s="30">
        <f t="shared" si="76"/>
        <v>61</v>
      </c>
      <c r="P821" s="30">
        <f t="shared" si="77"/>
        <v>4941</v>
      </c>
      <c r="Q821" s="1">
        <f>COUNTIFS($P:$P, "&gt;" &amp; $P821) + 1</f>
        <v>2455</v>
      </c>
      <c r="R821" s="63">
        <f>(COUNTIFS($P:$P, "&gt;" &amp; $P821) + 1) / (COUNTA($I:$I) - 1)</f>
        <v>0.49099999999999999</v>
      </c>
      <c r="S821" s="23">
        <f>SUMIFS($P:$P, $Q:$Q, "&lt;" &amp; $Q821)</f>
        <v>182897299</v>
      </c>
    </row>
    <row r="822" spans="1:19" x14ac:dyDescent="0.25">
      <c r="A822" s="1">
        <v>817</v>
      </c>
      <c r="B822" s="1" t="s">
        <v>2</v>
      </c>
      <c r="C822" s="1" t="str">
        <f>IF($B822 = "Production Item", _xlfn.XLOOKUP($A822, 'Instrument Table'!$J:$J, 'Instrument Table'!$B:$B, $C821), IF($B822 = "Service Item", _xlfn.XLOOKUP($A822, 'Instrument Table'!$I:$I, 'Instrument Table'!$B:$B, $C821), _xlfn.XLOOKUP($A822, 'Instrument Table'!$H:$H, 'Instrument Table'!$B:$B, $C821)))</f>
        <v>Electric Keyboard</v>
      </c>
      <c r="D822" s="1" t="str">
        <f>VLOOKUP($C822, 'Instrument Table'!$B:$C, 2, FALSE)</f>
        <v>Pianos</v>
      </c>
      <c r="E822" s="1">
        <f t="shared" si="72"/>
        <v>1</v>
      </c>
      <c r="F822" s="1">
        <f>_xlfn.XLOOKUP($C822, 'Instrument Table'!$B:$B, 'Instrument Table'!$A:$A, "")</f>
        <v>12</v>
      </c>
      <c r="G822" s="1" t="str">
        <f>TEXT(IF($B822 = "Retail Item", IF((ROW($A822) - 4504 - _xlfn.XMATCH($C822, $C$4506:$C$5005, 0, 1)) &lt;= VLOOKUP($C822, 'Instrument Table'!$B:$D, 3, FALSE), ROW($A822) - 4504 - _xlfn.XMATCH($C822, $C$4506:$C$5005, 0, 1), 0), 0), "00")</f>
        <v>00</v>
      </c>
      <c r="H822" s="1" t="str">
        <f t="shared" si="73"/>
        <v>066</v>
      </c>
      <c r="I822" s="1" t="str">
        <f t="shared" si="74"/>
        <v>11200-066</v>
      </c>
      <c r="J822" s="1" t="str">
        <f t="shared" si="75"/>
        <v>Electric keyboard production item #066</v>
      </c>
      <c r="K822" s="1" t="str">
        <f>IF(SUM(COUNTIFS(I:I, I822)) &gt; 1, "DUPLICATE", "UNIQUE")</f>
        <v>UNIQUE</v>
      </c>
      <c r="L822" s="18">
        <v>0</v>
      </c>
      <c r="M822" s="28">
        <v>7</v>
      </c>
      <c r="N822" s="6">
        <v>121</v>
      </c>
      <c r="O822" s="30">
        <f t="shared" si="76"/>
        <v>0</v>
      </c>
      <c r="P822" s="30">
        <f t="shared" si="77"/>
        <v>847</v>
      </c>
      <c r="Q822" s="1">
        <f>COUNTIFS($P:$P, "&gt;" &amp; $P822) + 1</f>
        <v>3761</v>
      </c>
      <c r="R822" s="63">
        <f>(COUNTIFS($P:$P, "&gt;" &amp; $P822) + 1) / (COUNTA($I:$I) - 1)</f>
        <v>0.75219999999999998</v>
      </c>
      <c r="S822" s="23">
        <f>SUMIFS($P:$P, $Q:$Q, "&lt;" &amp; $Q822)</f>
        <v>186233642</v>
      </c>
    </row>
    <row r="823" spans="1:19" x14ac:dyDescent="0.25">
      <c r="A823" s="1">
        <v>818</v>
      </c>
      <c r="B823" s="1" t="s">
        <v>2</v>
      </c>
      <c r="C823" s="1" t="str">
        <f>IF($B823 = "Production Item", _xlfn.XLOOKUP($A823, 'Instrument Table'!$J:$J, 'Instrument Table'!$B:$B, $C822), IF($B823 = "Service Item", _xlfn.XLOOKUP($A823, 'Instrument Table'!$I:$I, 'Instrument Table'!$B:$B, $C822), _xlfn.XLOOKUP($A823, 'Instrument Table'!$H:$H, 'Instrument Table'!$B:$B, $C822)))</f>
        <v>Electric Keyboard</v>
      </c>
      <c r="D823" s="1" t="str">
        <f>VLOOKUP($C823, 'Instrument Table'!$B:$C, 2, FALSE)</f>
        <v>Pianos</v>
      </c>
      <c r="E823" s="1">
        <f t="shared" si="72"/>
        <v>1</v>
      </c>
      <c r="F823" s="1">
        <f>_xlfn.XLOOKUP($C823, 'Instrument Table'!$B:$B, 'Instrument Table'!$A:$A, "")</f>
        <v>12</v>
      </c>
      <c r="G823" s="1" t="str">
        <f>TEXT(IF($B823 = "Retail Item", IF((ROW($A823) - 4504 - _xlfn.XMATCH($C823, $C$4506:$C$5005, 0, 1)) &lt;= VLOOKUP($C823, 'Instrument Table'!$B:$D, 3, FALSE), ROW($A823) - 4504 - _xlfn.XMATCH($C823, $C$4506:$C$5005, 0, 1), 0), 0), "00")</f>
        <v>00</v>
      </c>
      <c r="H823" s="1" t="str">
        <f t="shared" si="73"/>
        <v>067</v>
      </c>
      <c r="I823" s="1" t="str">
        <f t="shared" si="74"/>
        <v>11200-067</v>
      </c>
      <c r="J823" s="1" t="str">
        <f t="shared" si="75"/>
        <v>Electric keyboard production item #067</v>
      </c>
      <c r="K823" s="1" t="str">
        <f>IF(SUM(COUNTIFS(I:I, I823)) &gt; 1, "DUPLICATE", "UNIQUE")</f>
        <v>UNIQUE</v>
      </c>
      <c r="L823" s="18">
        <v>0</v>
      </c>
      <c r="M823" s="28">
        <v>86</v>
      </c>
      <c r="N823" s="6">
        <v>400</v>
      </c>
      <c r="O823" s="30">
        <f t="shared" si="76"/>
        <v>0</v>
      </c>
      <c r="P823" s="30">
        <f t="shared" si="77"/>
        <v>34400</v>
      </c>
      <c r="Q823" s="1">
        <f>COUNTIFS($P:$P, "&gt;" &amp; $P823) + 1</f>
        <v>610</v>
      </c>
      <c r="R823" s="63">
        <f>(COUNTIFS($P:$P, "&gt;" &amp; $P823) + 1) / (COUNTA($I:$I) - 1)</f>
        <v>0.122</v>
      </c>
      <c r="S823" s="23">
        <f>SUMIFS($P:$P, $Q:$Q, "&lt;" &amp; $Q823)</f>
        <v>156219776</v>
      </c>
    </row>
    <row r="824" spans="1:19" x14ac:dyDescent="0.25">
      <c r="A824" s="1">
        <v>819</v>
      </c>
      <c r="B824" s="1" t="s">
        <v>2</v>
      </c>
      <c r="C824" s="1" t="str">
        <f>IF($B824 = "Production Item", _xlfn.XLOOKUP($A824, 'Instrument Table'!$J:$J, 'Instrument Table'!$B:$B, $C823), IF($B824 = "Service Item", _xlfn.XLOOKUP($A824, 'Instrument Table'!$I:$I, 'Instrument Table'!$B:$B, $C823), _xlfn.XLOOKUP($A824, 'Instrument Table'!$H:$H, 'Instrument Table'!$B:$B, $C823)))</f>
        <v>Electric Keyboard</v>
      </c>
      <c r="D824" s="1" t="str">
        <f>VLOOKUP($C824, 'Instrument Table'!$B:$C, 2, FALSE)</f>
        <v>Pianos</v>
      </c>
      <c r="E824" s="1">
        <f t="shared" si="72"/>
        <v>1</v>
      </c>
      <c r="F824" s="1">
        <f>_xlfn.XLOOKUP($C824, 'Instrument Table'!$B:$B, 'Instrument Table'!$A:$A, "")</f>
        <v>12</v>
      </c>
      <c r="G824" s="1" t="str">
        <f>TEXT(IF($B824 = "Retail Item", IF((ROW($A824) - 4504 - _xlfn.XMATCH($C824, $C$4506:$C$5005, 0, 1)) &lt;= VLOOKUP($C824, 'Instrument Table'!$B:$D, 3, FALSE), ROW($A824) - 4504 - _xlfn.XMATCH($C824, $C$4506:$C$5005, 0, 1), 0), 0), "00")</f>
        <v>00</v>
      </c>
      <c r="H824" s="1" t="str">
        <f t="shared" si="73"/>
        <v>068</v>
      </c>
      <c r="I824" s="1" t="str">
        <f t="shared" si="74"/>
        <v>11200-068</v>
      </c>
      <c r="J824" s="1" t="str">
        <f t="shared" si="75"/>
        <v>Electric keyboard production item #068</v>
      </c>
      <c r="K824" s="1" t="str">
        <f>IF(SUM(COUNTIFS(I:I, I824)) &gt; 1, "DUPLICATE", "UNIQUE")</f>
        <v>UNIQUE</v>
      </c>
      <c r="L824" s="18">
        <v>16</v>
      </c>
      <c r="M824" s="28">
        <v>44</v>
      </c>
      <c r="N824" s="6">
        <v>361</v>
      </c>
      <c r="O824" s="30">
        <f t="shared" si="76"/>
        <v>704</v>
      </c>
      <c r="P824" s="30">
        <f t="shared" si="77"/>
        <v>15884</v>
      </c>
      <c r="Q824" s="1">
        <f>COUNTIFS($P:$P, "&gt;" &amp; $P824) + 1</f>
        <v>1284</v>
      </c>
      <c r="R824" s="63">
        <f>(COUNTIFS($P:$P, "&gt;" &amp; $P824) + 1) / (COUNTA($I:$I) - 1)</f>
        <v>0.25679999999999997</v>
      </c>
      <c r="S824" s="23">
        <f>SUMIFS($P:$P, $Q:$Q, "&lt;" &amp; $Q824)</f>
        <v>171720645</v>
      </c>
    </row>
    <row r="825" spans="1:19" x14ac:dyDescent="0.25">
      <c r="A825" s="1">
        <v>820</v>
      </c>
      <c r="B825" s="1" t="s">
        <v>2</v>
      </c>
      <c r="C825" s="1" t="str">
        <f>IF($B825 = "Production Item", _xlfn.XLOOKUP($A825, 'Instrument Table'!$J:$J, 'Instrument Table'!$B:$B, $C824), IF($B825 = "Service Item", _xlfn.XLOOKUP($A825, 'Instrument Table'!$I:$I, 'Instrument Table'!$B:$B, $C824), _xlfn.XLOOKUP($A825, 'Instrument Table'!$H:$H, 'Instrument Table'!$B:$B, $C824)))</f>
        <v>Electric Keyboard</v>
      </c>
      <c r="D825" s="1" t="str">
        <f>VLOOKUP($C825, 'Instrument Table'!$B:$C, 2, FALSE)</f>
        <v>Pianos</v>
      </c>
      <c r="E825" s="1">
        <f t="shared" si="72"/>
        <v>1</v>
      </c>
      <c r="F825" s="1">
        <f>_xlfn.XLOOKUP($C825, 'Instrument Table'!$B:$B, 'Instrument Table'!$A:$A, "")</f>
        <v>12</v>
      </c>
      <c r="G825" s="1" t="str">
        <f>TEXT(IF($B825 = "Retail Item", IF((ROW($A825) - 4504 - _xlfn.XMATCH($C825, $C$4506:$C$5005, 0, 1)) &lt;= VLOOKUP($C825, 'Instrument Table'!$B:$D, 3, FALSE), ROW($A825) - 4504 - _xlfn.XMATCH($C825, $C$4506:$C$5005, 0, 1), 0), 0), "00")</f>
        <v>00</v>
      </c>
      <c r="H825" s="1" t="str">
        <f t="shared" si="73"/>
        <v>069</v>
      </c>
      <c r="I825" s="1" t="str">
        <f t="shared" si="74"/>
        <v>11200-069</v>
      </c>
      <c r="J825" s="1" t="str">
        <f t="shared" si="75"/>
        <v>Electric keyboard production item #069</v>
      </c>
      <c r="K825" s="1" t="str">
        <f>IF(SUM(COUNTIFS(I:I, I825)) &gt; 1, "DUPLICATE", "UNIQUE")</f>
        <v>UNIQUE</v>
      </c>
      <c r="L825" s="18">
        <v>0</v>
      </c>
      <c r="M825" s="28">
        <v>77</v>
      </c>
      <c r="N825" s="6">
        <v>64</v>
      </c>
      <c r="O825" s="30">
        <f t="shared" si="76"/>
        <v>0</v>
      </c>
      <c r="P825" s="30">
        <f t="shared" si="77"/>
        <v>4928</v>
      </c>
      <c r="Q825" s="1">
        <f>COUNTIFS($P:$P, "&gt;" &amp; $P825) + 1</f>
        <v>2458</v>
      </c>
      <c r="R825" s="63">
        <f>(COUNTIFS($P:$P, "&gt;" &amp; $P825) + 1) / (COUNTA($I:$I) - 1)</f>
        <v>0.49159999999999998</v>
      </c>
      <c r="S825" s="23">
        <f>SUMIFS($P:$P, $Q:$Q, "&lt;" &amp; $Q825)</f>
        <v>182912122</v>
      </c>
    </row>
    <row r="826" spans="1:19" x14ac:dyDescent="0.25">
      <c r="A826" s="1">
        <v>821</v>
      </c>
      <c r="B826" s="1" t="s">
        <v>2</v>
      </c>
      <c r="C826" s="1" t="str">
        <f>IF($B826 = "Production Item", _xlfn.XLOOKUP($A826, 'Instrument Table'!$J:$J, 'Instrument Table'!$B:$B, $C825), IF($B826 = "Service Item", _xlfn.XLOOKUP($A826, 'Instrument Table'!$I:$I, 'Instrument Table'!$B:$B, $C825), _xlfn.XLOOKUP($A826, 'Instrument Table'!$H:$H, 'Instrument Table'!$B:$B, $C825)))</f>
        <v>Electric Keyboard</v>
      </c>
      <c r="D826" s="1" t="str">
        <f>VLOOKUP($C826, 'Instrument Table'!$B:$C, 2, FALSE)</f>
        <v>Pianos</v>
      </c>
      <c r="E826" s="1">
        <f t="shared" si="72"/>
        <v>1</v>
      </c>
      <c r="F826" s="1">
        <f>_xlfn.XLOOKUP($C826, 'Instrument Table'!$B:$B, 'Instrument Table'!$A:$A, "")</f>
        <v>12</v>
      </c>
      <c r="G826" s="1" t="str">
        <f>TEXT(IF($B826 = "Retail Item", IF((ROW($A826) - 4504 - _xlfn.XMATCH($C826, $C$4506:$C$5005, 0, 1)) &lt;= VLOOKUP($C826, 'Instrument Table'!$B:$D, 3, FALSE), ROW($A826) - 4504 - _xlfn.XMATCH($C826, $C$4506:$C$5005, 0, 1), 0), 0), "00")</f>
        <v>00</v>
      </c>
      <c r="H826" s="1" t="str">
        <f t="shared" si="73"/>
        <v>070</v>
      </c>
      <c r="I826" s="1" t="str">
        <f t="shared" si="74"/>
        <v>11200-070</v>
      </c>
      <c r="J826" s="1" t="str">
        <f t="shared" si="75"/>
        <v>Electric keyboard production item #070</v>
      </c>
      <c r="K826" s="1" t="str">
        <f>IF(SUM(COUNTIFS(I:I, I826)) &gt; 1, "DUPLICATE", "UNIQUE")</f>
        <v>UNIQUE</v>
      </c>
      <c r="L826" s="18">
        <v>2</v>
      </c>
      <c r="M826" s="28">
        <v>44</v>
      </c>
      <c r="N826" s="6">
        <v>4</v>
      </c>
      <c r="O826" s="30">
        <f t="shared" si="76"/>
        <v>88</v>
      </c>
      <c r="P826" s="30">
        <f t="shared" si="77"/>
        <v>176</v>
      </c>
      <c r="Q826" s="1">
        <f>COUNTIFS($P:$P, "&gt;" &amp; $P826) + 1</f>
        <v>4365</v>
      </c>
      <c r="R826" s="63">
        <f>(COUNTIFS($P:$P, "&gt;" &amp; $P826) + 1) / (COUNTA($I:$I) - 1)</f>
        <v>0.873</v>
      </c>
      <c r="S826" s="23">
        <f>SUMIFS($P:$P, $Q:$Q, "&lt;" &amp; $Q826)</f>
        <v>186520292</v>
      </c>
    </row>
    <row r="827" spans="1:19" x14ac:dyDescent="0.25">
      <c r="A827" s="1">
        <v>822</v>
      </c>
      <c r="B827" s="1" t="s">
        <v>2</v>
      </c>
      <c r="C827" s="1" t="str">
        <f>IF($B827 = "Production Item", _xlfn.XLOOKUP($A827, 'Instrument Table'!$J:$J, 'Instrument Table'!$B:$B, $C826), IF($B827 = "Service Item", _xlfn.XLOOKUP($A827, 'Instrument Table'!$I:$I, 'Instrument Table'!$B:$B, $C826), _xlfn.XLOOKUP($A827, 'Instrument Table'!$H:$H, 'Instrument Table'!$B:$B, $C826)))</f>
        <v>Electric Keyboard</v>
      </c>
      <c r="D827" s="1" t="str">
        <f>VLOOKUP($C827, 'Instrument Table'!$B:$C, 2, FALSE)</f>
        <v>Pianos</v>
      </c>
      <c r="E827" s="1">
        <f t="shared" si="72"/>
        <v>1</v>
      </c>
      <c r="F827" s="1">
        <f>_xlfn.XLOOKUP($C827, 'Instrument Table'!$B:$B, 'Instrument Table'!$A:$A, "")</f>
        <v>12</v>
      </c>
      <c r="G827" s="1" t="str">
        <f>TEXT(IF($B827 = "Retail Item", IF((ROW($A827) - 4504 - _xlfn.XMATCH($C827, $C$4506:$C$5005, 0, 1)) &lt;= VLOOKUP($C827, 'Instrument Table'!$B:$D, 3, FALSE), ROW($A827) - 4504 - _xlfn.XMATCH($C827, $C$4506:$C$5005, 0, 1), 0), 0), "00")</f>
        <v>00</v>
      </c>
      <c r="H827" s="1" t="str">
        <f t="shared" si="73"/>
        <v>071</v>
      </c>
      <c r="I827" s="1" t="str">
        <f t="shared" si="74"/>
        <v>11200-071</v>
      </c>
      <c r="J827" s="1" t="str">
        <f t="shared" si="75"/>
        <v>Electric keyboard production item #071</v>
      </c>
      <c r="K827" s="1" t="str">
        <f>IF(SUM(COUNTIFS(I:I, I827)) &gt; 1, "DUPLICATE", "UNIQUE")</f>
        <v>UNIQUE</v>
      </c>
      <c r="L827" s="18">
        <v>0</v>
      </c>
      <c r="M827" s="28">
        <v>23</v>
      </c>
      <c r="N827" s="6">
        <v>324</v>
      </c>
      <c r="O827" s="30">
        <f t="shared" si="76"/>
        <v>0</v>
      </c>
      <c r="P827" s="30">
        <f t="shared" si="77"/>
        <v>7452</v>
      </c>
      <c r="Q827" s="1">
        <f>COUNTIFS($P:$P, "&gt;" &amp; $P827) + 1</f>
        <v>2071</v>
      </c>
      <c r="R827" s="63">
        <f>(COUNTIFS($P:$P, "&gt;" &amp; $P827) + 1) / (COUNTA($I:$I) - 1)</f>
        <v>0.41420000000000001</v>
      </c>
      <c r="S827" s="23">
        <f>SUMIFS($P:$P, $Q:$Q, "&lt;" &amp; $Q827)</f>
        <v>180544439</v>
      </c>
    </row>
    <row r="828" spans="1:19" x14ac:dyDescent="0.25">
      <c r="A828" s="1">
        <v>823</v>
      </c>
      <c r="B828" s="1" t="s">
        <v>2</v>
      </c>
      <c r="C828" s="1" t="str">
        <f>IF($B828 = "Production Item", _xlfn.XLOOKUP($A828, 'Instrument Table'!$J:$J, 'Instrument Table'!$B:$B, $C827), IF($B828 = "Service Item", _xlfn.XLOOKUP($A828, 'Instrument Table'!$I:$I, 'Instrument Table'!$B:$B, $C827), _xlfn.XLOOKUP($A828, 'Instrument Table'!$H:$H, 'Instrument Table'!$B:$B, $C827)))</f>
        <v>Electric Keyboard</v>
      </c>
      <c r="D828" s="1" t="str">
        <f>VLOOKUP($C828, 'Instrument Table'!$B:$C, 2, FALSE)</f>
        <v>Pianos</v>
      </c>
      <c r="E828" s="1">
        <f t="shared" si="72"/>
        <v>1</v>
      </c>
      <c r="F828" s="1">
        <f>_xlfn.XLOOKUP($C828, 'Instrument Table'!$B:$B, 'Instrument Table'!$A:$A, "")</f>
        <v>12</v>
      </c>
      <c r="G828" s="1" t="str">
        <f>TEXT(IF($B828 = "Retail Item", IF((ROW($A828) - 4504 - _xlfn.XMATCH($C828, $C$4506:$C$5005, 0, 1)) &lt;= VLOOKUP($C828, 'Instrument Table'!$B:$D, 3, FALSE), ROW($A828) - 4504 - _xlfn.XMATCH($C828, $C$4506:$C$5005, 0, 1), 0), 0), "00")</f>
        <v>00</v>
      </c>
      <c r="H828" s="1" t="str">
        <f t="shared" si="73"/>
        <v>072</v>
      </c>
      <c r="I828" s="1" t="str">
        <f t="shared" si="74"/>
        <v>11200-072</v>
      </c>
      <c r="J828" s="1" t="str">
        <f t="shared" si="75"/>
        <v>Electric keyboard production item #072</v>
      </c>
      <c r="K828" s="1" t="str">
        <f>IF(SUM(COUNTIFS(I:I, I828)) &gt; 1, "DUPLICATE", "UNIQUE")</f>
        <v>UNIQUE</v>
      </c>
      <c r="L828" s="18">
        <v>1</v>
      </c>
      <c r="M828" s="28">
        <v>46</v>
      </c>
      <c r="N828" s="6">
        <v>169</v>
      </c>
      <c r="O828" s="30">
        <f t="shared" si="76"/>
        <v>46</v>
      </c>
      <c r="P828" s="30">
        <f t="shared" si="77"/>
        <v>7774</v>
      </c>
      <c r="Q828" s="1">
        <f>COUNTIFS($P:$P, "&gt;" &amp; $P828) + 1</f>
        <v>2030</v>
      </c>
      <c r="R828" s="63">
        <f>(COUNTIFS($P:$P, "&gt;" &amp; $P828) + 1) / (COUNTA($I:$I) - 1)</f>
        <v>0.40600000000000003</v>
      </c>
      <c r="S828" s="23">
        <f>SUMIFS($P:$P, $Q:$Q, "&lt;" &amp; $Q828)</f>
        <v>180231157</v>
      </c>
    </row>
    <row r="829" spans="1:19" x14ac:dyDescent="0.25">
      <c r="A829" s="1">
        <v>824</v>
      </c>
      <c r="B829" s="1" t="s">
        <v>2</v>
      </c>
      <c r="C829" s="1" t="str">
        <f>IF($B829 = "Production Item", _xlfn.XLOOKUP($A829, 'Instrument Table'!$J:$J, 'Instrument Table'!$B:$B, $C828), IF($B829 = "Service Item", _xlfn.XLOOKUP($A829, 'Instrument Table'!$I:$I, 'Instrument Table'!$B:$B, $C828), _xlfn.XLOOKUP($A829, 'Instrument Table'!$H:$H, 'Instrument Table'!$B:$B, $C828)))</f>
        <v>Electric Keyboard</v>
      </c>
      <c r="D829" s="1" t="str">
        <f>VLOOKUP($C829, 'Instrument Table'!$B:$C, 2, FALSE)</f>
        <v>Pianos</v>
      </c>
      <c r="E829" s="1">
        <f t="shared" si="72"/>
        <v>1</v>
      </c>
      <c r="F829" s="1">
        <f>_xlfn.XLOOKUP($C829, 'Instrument Table'!$B:$B, 'Instrument Table'!$A:$A, "")</f>
        <v>12</v>
      </c>
      <c r="G829" s="1" t="str">
        <f>TEXT(IF($B829 = "Retail Item", IF((ROW($A829) - 4504 - _xlfn.XMATCH($C829, $C$4506:$C$5005, 0, 1)) &lt;= VLOOKUP($C829, 'Instrument Table'!$B:$D, 3, FALSE), ROW($A829) - 4504 - _xlfn.XMATCH($C829, $C$4506:$C$5005, 0, 1), 0), 0), "00")</f>
        <v>00</v>
      </c>
      <c r="H829" s="1" t="str">
        <f t="shared" si="73"/>
        <v>073</v>
      </c>
      <c r="I829" s="1" t="str">
        <f t="shared" si="74"/>
        <v>11200-073</v>
      </c>
      <c r="J829" s="1" t="str">
        <f t="shared" si="75"/>
        <v>Electric keyboard production item #073</v>
      </c>
      <c r="K829" s="1" t="str">
        <f>IF(SUM(COUNTIFS(I:I, I829)) &gt; 1, "DUPLICATE", "UNIQUE")</f>
        <v>UNIQUE</v>
      </c>
      <c r="L829" s="18">
        <v>4</v>
      </c>
      <c r="M829" s="28">
        <v>90</v>
      </c>
      <c r="N829" s="6">
        <v>1</v>
      </c>
      <c r="O829" s="30">
        <f t="shared" si="76"/>
        <v>360</v>
      </c>
      <c r="P829" s="30">
        <f t="shared" si="77"/>
        <v>90</v>
      </c>
      <c r="Q829" s="1">
        <f>COUNTIFS($P:$P, "&gt;" &amp; $P829) + 1</f>
        <v>4480</v>
      </c>
      <c r="R829" s="63">
        <f>(COUNTIFS($P:$P, "&gt;" &amp; $P829) + 1) / (COUNTA($I:$I) - 1)</f>
        <v>0.89600000000000002</v>
      </c>
      <c r="S829" s="23">
        <f>SUMIFS($P:$P, $Q:$Q, "&lt;" &amp; $Q829)</f>
        <v>186535118</v>
      </c>
    </row>
    <row r="830" spans="1:19" x14ac:dyDescent="0.25">
      <c r="A830" s="1">
        <v>825</v>
      </c>
      <c r="B830" s="1" t="s">
        <v>2</v>
      </c>
      <c r="C830" s="1" t="str">
        <f>IF($B830 = "Production Item", _xlfn.XLOOKUP($A830, 'Instrument Table'!$J:$J, 'Instrument Table'!$B:$B, $C829), IF($B830 = "Service Item", _xlfn.XLOOKUP($A830, 'Instrument Table'!$I:$I, 'Instrument Table'!$B:$B, $C829), _xlfn.XLOOKUP($A830, 'Instrument Table'!$H:$H, 'Instrument Table'!$B:$B, $C829)))</f>
        <v>Electric Keyboard</v>
      </c>
      <c r="D830" s="1" t="str">
        <f>VLOOKUP($C830, 'Instrument Table'!$B:$C, 2, FALSE)</f>
        <v>Pianos</v>
      </c>
      <c r="E830" s="1">
        <f t="shared" si="72"/>
        <v>1</v>
      </c>
      <c r="F830" s="1">
        <f>_xlfn.XLOOKUP($C830, 'Instrument Table'!$B:$B, 'Instrument Table'!$A:$A, "")</f>
        <v>12</v>
      </c>
      <c r="G830" s="1" t="str">
        <f>TEXT(IF($B830 = "Retail Item", IF((ROW($A830) - 4504 - _xlfn.XMATCH($C830, $C$4506:$C$5005, 0, 1)) &lt;= VLOOKUP($C830, 'Instrument Table'!$B:$D, 3, FALSE), ROW($A830) - 4504 - _xlfn.XMATCH($C830, $C$4506:$C$5005, 0, 1), 0), 0), "00")</f>
        <v>00</v>
      </c>
      <c r="H830" s="1" t="str">
        <f t="shared" si="73"/>
        <v>074</v>
      </c>
      <c r="I830" s="1" t="str">
        <f t="shared" si="74"/>
        <v>11200-074</v>
      </c>
      <c r="J830" s="1" t="str">
        <f t="shared" si="75"/>
        <v>Electric keyboard production item #074</v>
      </c>
      <c r="K830" s="1" t="str">
        <f>IF(SUM(COUNTIFS(I:I, I830)) &gt; 1, "DUPLICATE", "UNIQUE")</f>
        <v>UNIQUE</v>
      </c>
      <c r="L830" s="18">
        <v>2</v>
      </c>
      <c r="M830" s="28">
        <v>52</v>
      </c>
      <c r="N830" s="6">
        <v>64</v>
      </c>
      <c r="O830" s="30">
        <f t="shared" si="76"/>
        <v>104</v>
      </c>
      <c r="P830" s="30">
        <f t="shared" si="77"/>
        <v>3328</v>
      </c>
      <c r="Q830" s="1">
        <f>COUNTIFS($P:$P, "&gt;" &amp; $P830) + 1</f>
        <v>2820</v>
      </c>
      <c r="R830" s="63">
        <f>(COUNTIFS($P:$P, "&gt;" &amp; $P830) + 1) / (COUNTA($I:$I) - 1)</f>
        <v>0.56399999999999995</v>
      </c>
      <c r="S830" s="23">
        <f>SUMIFS($P:$P, $Q:$Q, "&lt;" &amp; $Q830)</f>
        <v>184393383</v>
      </c>
    </row>
    <row r="831" spans="1:19" x14ac:dyDescent="0.25">
      <c r="A831" s="1">
        <v>826</v>
      </c>
      <c r="B831" s="1" t="s">
        <v>2</v>
      </c>
      <c r="C831" s="1" t="str">
        <f>IF($B831 = "Production Item", _xlfn.XLOOKUP($A831, 'Instrument Table'!$J:$J, 'Instrument Table'!$B:$B, $C830), IF($B831 = "Service Item", _xlfn.XLOOKUP($A831, 'Instrument Table'!$I:$I, 'Instrument Table'!$B:$B, $C830), _xlfn.XLOOKUP($A831, 'Instrument Table'!$H:$H, 'Instrument Table'!$B:$B, $C830)))</f>
        <v>Electric Keyboard</v>
      </c>
      <c r="D831" s="1" t="str">
        <f>VLOOKUP($C831, 'Instrument Table'!$B:$C, 2, FALSE)</f>
        <v>Pianos</v>
      </c>
      <c r="E831" s="1">
        <f t="shared" si="72"/>
        <v>1</v>
      </c>
      <c r="F831" s="1">
        <f>_xlfn.XLOOKUP($C831, 'Instrument Table'!$B:$B, 'Instrument Table'!$A:$A, "")</f>
        <v>12</v>
      </c>
      <c r="G831" s="1" t="str">
        <f>TEXT(IF($B831 = "Retail Item", IF((ROW($A831) - 4504 - _xlfn.XMATCH($C831, $C$4506:$C$5005, 0, 1)) &lt;= VLOOKUP($C831, 'Instrument Table'!$B:$D, 3, FALSE), ROW($A831) - 4504 - _xlfn.XMATCH($C831, $C$4506:$C$5005, 0, 1), 0), 0), "00")</f>
        <v>00</v>
      </c>
      <c r="H831" s="1" t="str">
        <f t="shared" si="73"/>
        <v>075</v>
      </c>
      <c r="I831" s="1" t="str">
        <f t="shared" si="74"/>
        <v>11200-075</v>
      </c>
      <c r="J831" s="1" t="str">
        <f t="shared" si="75"/>
        <v>Electric keyboard production item #075</v>
      </c>
      <c r="K831" s="1" t="str">
        <f>IF(SUM(COUNTIFS(I:I, I831)) &gt; 1, "DUPLICATE", "UNIQUE")</f>
        <v>UNIQUE</v>
      </c>
      <c r="L831" s="18">
        <v>1</v>
      </c>
      <c r="M831" s="28">
        <v>47</v>
      </c>
      <c r="N831" s="6">
        <v>4</v>
      </c>
      <c r="O831" s="30">
        <f t="shared" si="76"/>
        <v>47</v>
      </c>
      <c r="P831" s="30">
        <f t="shared" si="77"/>
        <v>188</v>
      </c>
      <c r="Q831" s="1">
        <f>COUNTIFS($P:$P, "&gt;" &amp; $P831) + 1</f>
        <v>4348</v>
      </c>
      <c r="R831" s="63">
        <f>(COUNTIFS($P:$P, "&gt;" &amp; $P831) + 1) / (COUNTA($I:$I) - 1)</f>
        <v>0.86960000000000004</v>
      </c>
      <c r="S831" s="23">
        <f>SUMIFS($P:$P, $Q:$Q, "&lt;" &amp; $Q831)</f>
        <v>186517200</v>
      </c>
    </row>
    <row r="832" spans="1:19" x14ac:dyDescent="0.25">
      <c r="A832" s="1">
        <v>827</v>
      </c>
      <c r="B832" s="1" t="s">
        <v>2</v>
      </c>
      <c r="C832" s="1" t="str">
        <f>IF($B832 = "Production Item", _xlfn.XLOOKUP($A832, 'Instrument Table'!$J:$J, 'Instrument Table'!$B:$B, $C831), IF($B832 = "Service Item", _xlfn.XLOOKUP($A832, 'Instrument Table'!$I:$I, 'Instrument Table'!$B:$B, $C831), _xlfn.XLOOKUP($A832, 'Instrument Table'!$H:$H, 'Instrument Table'!$B:$B, $C831)))</f>
        <v>Electric Keyboard</v>
      </c>
      <c r="D832" s="1" t="str">
        <f>VLOOKUP($C832, 'Instrument Table'!$B:$C, 2, FALSE)</f>
        <v>Pianos</v>
      </c>
      <c r="E832" s="1">
        <f t="shared" si="72"/>
        <v>1</v>
      </c>
      <c r="F832" s="1">
        <f>_xlfn.XLOOKUP($C832, 'Instrument Table'!$B:$B, 'Instrument Table'!$A:$A, "")</f>
        <v>12</v>
      </c>
      <c r="G832" s="1" t="str">
        <f>TEXT(IF($B832 = "Retail Item", IF((ROW($A832) - 4504 - _xlfn.XMATCH($C832, $C$4506:$C$5005, 0, 1)) &lt;= VLOOKUP($C832, 'Instrument Table'!$B:$D, 3, FALSE), ROW($A832) - 4504 - _xlfn.XMATCH($C832, $C$4506:$C$5005, 0, 1), 0), 0), "00")</f>
        <v>00</v>
      </c>
      <c r="H832" s="1" t="str">
        <f t="shared" si="73"/>
        <v>076</v>
      </c>
      <c r="I832" s="1" t="str">
        <f t="shared" si="74"/>
        <v>11200-076</v>
      </c>
      <c r="J832" s="1" t="str">
        <f t="shared" si="75"/>
        <v>Electric keyboard production item #076</v>
      </c>
      <c r="K832" s="1" t="str">
        <f>IF(SUM(COUNTIFS(I:I, I832)) &gt; 1, "DUPLICATE", "UNIQUE")</f>
        <v>UNIQUE</v>
      </c>
      <c r="L832" s="18">
        <v>1</v>
      </c>
      <c r="M832" s="28">
        <v>83</v>
      </c>
      <c r="N832" s="6">
        <v>9</v>
      </c>
      <c r="O832" s="30">
        <f t="shared" si="76"/>
        <v>83</v>
      </c>
      <c r="P832" s="30">
        <f t="shared" si="77"/>
        <v>747</v>
      </c>
      <c r="Q832" s="1">
        <f>COUNTIFS($P:$P, "&gt;" &amp; $P832) + 1</f>
        <v>3832</v>
      </c>
      <c r="R832" s="63">
        <f>(COUNTIFS($P:$P, "&gt;" &amp; $P832) + 1) / (COUNTA($I:$I) - 1)</f>
        <v>0.76639999999999997</v>
      </c>
      <c r="S832" s="23">
        <f>SUMIFS($P:$P, $Q:$Q, "&lt;" &amp; $Q832)</f>
        <v>186290258</v>
      </c>
    </row>
    <row r="833" spans="1:19" x14ac:dyDescent="0.25">
      <c r="A833" s="1">
        <v>828</v>
      </c>
      <c r="B833" s="1" t="s">
        <v>2</v>
      </c>
      <c r="C833" s="1" t="str">
        <f>IF($B833 = "Production Item", _xlfn.XLOOKUP($A833, 'Instrument Table'!$J:$J, 'Instrument Table'!$B:$B, $C832), IF($B833 = "Service Item", _xlfn.XLOOKUP($A833, 'Instrument Table'!$I:$I, 'Instrument Table'!$B:$B, $C832), _xlfn.XLOOKUP($A833, 'Instrument Table'!$H:$H, 'Instrument Table'!$B:$B, $C832)))</f>
        <v>Electric Keyboard</v>
      </c>
      <c r="D833" s="1" t="str">
        <f>VLOOKUP($C833, 'Instrument Table'!$B:$C, 2, FALSE)</f>
        <v>Pianos</v>
      </c>
      <c r="E833" s="1">
        <f t="shared" si="72"/>
        <v>1</v>
      </c>
      <c r="F833" s="1">
        <f>_xlfn.XLOOKUP($C833, 'Instrument Table'!$B:$B, 'Instrument Table'!$A:$A, "")</f>
        <v>12</v>
      </c>
      <c r="G833" s="1" t="str">
        <f>TEXT(IF($B833 = "Retail Item", IF((ROW($A833) - 4504 - _xlfn.XMATCH($C833, $C$4506:$C$5005, 0, 1)) &lt;= VLOOKUP($C833, 'Instrument Table'!$B:$D, 3, FALSE), ROW($A833) - 4504 - _xlfn.XMATCH($C833, $C$4506:$C$5005, 0, 1), 0), 0), "00")</f>
        <v>00</v>
      </c>
      <c r="H833" s="1" t="str">
        <f t="shared" si="73"/>
        <v>077</v>
      </c>
      <c r="I833" s="1" t="str">
        <f t="shared" si="74"/>
        <v>11200-077</v>
      </c>
      <c r="J833" s="1" t="str">
        <f t="shared" si="75"/>
        <v>Electric keyboard production item #077</v>
      </c>
      <c r="K833" s="1" t="str">
        <f>IF(SUM(COUNTIFS(I:I, I833)) &gt; 1, "DUPLICATE", "UNIQUE")</f>
        <v>UNIQUE</v>
      </c>
      <c r="L833" s="18">
        <v>2</v>
      </c>
      <c r="M833" s="28">
        <v>29</v>
      </c>
      <c r="N833" s="6">
        <v>25</v>
      </c>
      <c r="O833" s="30">
        <f t="shared" si="76"/>
        <v>58</v>
      </c>
      <c r="P833" s="30">
        <f t="shared" si="77"/>
        <v>725</v>
      </c>
      <c r="Q833" s="1">
        <f>COUNTIFS($P:$P, "&gt;" &amp; $P833) + 1</f>
        <v>3858</v>
      </c>
      <c r="R833" s="63">
        <f>(COUNTIFS($P:$P, "&gt;" &amp; $P833) + 1) / (COUNTA($I:$I) - 1)</f>
        <v>0.77159999999999995</v>
      </c>
      <c r="S833" s="23">
        <f>SUMIFS($P:$P, $Q:$Q, "&lt;" &amp; $Q833)</f>
        <v>186309357</v>
      </c>
    </row>
    <row r="834" spans="1:19" x14ac:dyDescent="0.25">
      <c r="A834" s="1">
        <v>829</v>
      </c>
      <c r="B834" s="1" t="s">
        <v>2</v>
      </c>
      <c r="C834" s="1" t="str">
        <f>IF($B834 = "Production Item", _xlfn.XLOOKUP($A834, 'Instrument Table'!$J:$J, 'Instrument Table'!$B:$B, $C833), IF($B834 = "Service Item", _xlfn.XLOOKUP($A834, 'Instrument Table'!$I:$I, 'Instrument Table'!$B:$B, $C833), _xlfn.XLOOKUP($A834, 'Instrument Table'!$H:$H, 'Instrument Table'!$B:$B, $C833)))</f>
        <v>Electric Keyboard</v>
      </c>
      <c r="D834" s="1" t="str">
        <f>VLOOKUP($C834, 'Instrument Table'!$B:$C, 2, FALSE)</f>
        <v>Pianos</v>
      </c>
      <c r="E834" s="1">
        <f t="shared" si="72"/>
        <v>1</v>
      </c>
      <c r="F834" s="1">
        <f>_xlfn.XLOOKUP($C834, 'Instrument Table'!$B:$B, 'Instrument Table'!$A:$A, "")</f>
        <v>12</v>
      </c>
      <c r="G834" s="1" t="str">
        <f>TEXT(IF($B834 = "Retail Item", IF((ROW($A834) - 4504 - _xlfn.XMATCH($C834, $C$4506:$C$5005, 0, 1)) &lt;= VLOOKUP($C834, 'Instrument Table'!$B:$D, 3, FALSE), ROW($A834) - 4504 - _xlfn.XMATCH($C834, $C$4506:$C$5005, 0, 1), 0), 0), "00")</f>
        <v>00</v>
      </c>
      <c r="H834" s="1" t="str">
        <f t="shared" si="73"/>
        <v>078</v>
      </c>
      <c r="I834" s="1" t="str">
        <f t="shared" si="74"/>
        <v>11200-078</v>
      </c>
      <c r="J834" s="1" t="str">
        <f t="shared" si="75"/>
        <v>Electric keyboard production item #078</v>
      </c>
      <c r="K834" s="1" t="str">
        <f>IF(SUM(COUNTIFS(I:I, I834)) &gt; 1, "DUPLICATE", "UNIQUE")</f>
        <v>UNIQUE</v>
      </c>
      <c r="L834" s="18">
        <v>1</v>
      </c>
      <c r="M834" s="28">
        <v>60</v>
      </c>
      <c r="N834" s="6">
        <v>1</v>
      </c>
      <c r="O834" s="30">
        <f t="shared" si="76"/>
        <v>60</v>
      </c>
      <c r="P834" s="30">
        <f t="shared" si="77"/>
        <v>60</v>
      </c>
      <c r="Q834" s="1">
        <f>COUNTIFS($P:$P, "&gt;" &amp; $P834) + 1</f>
        <v>4578</v>
      </c>
      <c r="R834" s="63">
        <f>(COUNTIFS($P:$P, "&gt;" &amp; $P834) + 1) / (COUNTA($I:$I) - 1)</f>
        <v>0.91559999999999997</v>
      </c>
      <c r="S834" s="23">
        <f>SUMIFS($P:$P, $Q:$Q, "&lt;" &amp; $Q834)</f>
        <v>186542436</v>
      </c>
    </row>
    <row r="835" spans="1:19" x14ac:dyDescent="0.25">
      <c r="A835" s="1">
        <v>830</v>
      </c>
      <c r="B835" s="1" t="s">
        <v>2</v>
      </c>
      <c r="C835" s="1" t="str">
        <f>IF($B835 = "Production Item", _xlfn.XLOOKUP($A835, 'Instrument Table'!$J:$J, 'Instrument Table'!$B:$B, $C834), IF($B835 = "Service Item", _xlfn.XLOOKUP($A835, 'Instrument Table'!$I:$I, 'Instrument Table'!$B:$B, $C834), _xlfn.XLOOKUP($A835, 'Instrument Table'!$H:$H, 'Instrument Table'!$B:$B, $C834)))</f>
        <v>Electric Keyboard</v>
      </c>
      <c r="D835" s="1" t="str">
        <f>VLOOKUP($C835, 'Instrument Table'!$B:$C, 2, FALSE)</f>
        <v>Pianos</v>
      </c>
      <c r="E835" s="1">
        <f t="shared" si="72"/>
        <v>1</v>
      </c>
      <c r="F835" s="1">
        <f>_xlfn.XLOOKUP($C835, 'Instrument Table'!$B:$B, 'Instrument Table'!$A:$A, "")</f>
        <v>12</v>
      </c>
      <c r="G835" s="1" t="str">
        <f>TEXT(IF($B835 = "Retail Item", IF((ROW($A835) - 4504 - _xlfn.XMATCH($C835, $C$4506:$C$5005, 0, 1)) &lt;= VLOOKUP($C835, 'Instrument Table'!$B:$D, 3, FALSE), ROW($A835) - 4504 - _xlfn.XMATCH($C835, $C$4506:$C$5005, 0, 1), 0), 0), "00")</f>
        <v>00</v>
      </c>
      <c r="H835" s="1" t="str">
        <f t="shared" si="73"/>
        <v>079</v>
      </c>
      <c r="I835" s="1" t="str">
        <f t="shared" si="74"/>
        <v>11200-079</v>
      </c>
      <c r="J835" s="1" t="str">
        <f t="shared" si="75"/>
        <v>Electric keyboard production item #079</v>
      </c>
      <c r="K835" s="1" t="str">
        <f>IF(SUM(COUNTIFS(I:I, I835)) &gt; 1, "DUPLICATE", "UNIQUE")</f>
        <v>UNIQUE</v>
      </c>
      <c r="L835" s="18">
        <v>1</v>
      </c>
      <c r="M835" s="28">
        <v>11</v>
      </c>
      <c r="N835" s="6">
        <v>9</v>
      </c>
      <c r="O835" s="30">
        <f t="shared" si="76"/>
        <v>11</v>
      </c>
      <c r="P835" s="30">
        <f t="shared" si="77"/>
        <v>99</v>
      </c>
      <c r="Q835" s="1">
        <f>COUNTIFS($P:$P, "&gt;" &amp; $P835) + 1</f>
        <v>4457</v>
      </c>
      <c r="R835" s="63">
        <f>(COUNTIFS($P:$P, "&gt;" &amp; $P835) + 1) / (COUNTA($I:$I) - 1)</f>
        <v>0.89139999999999997</v>
      </c>
      <c r="S835" s="23">
        <f>SUMIFS($P:$P, $Q:$Q, "&lt;" &amp; $Q835)</f>
        <v>186532918</v>
      </c>
    </row>
    <row r="836" spans="1:19" x14ac:dyDescent="0.25">
      <c r="A836" s="1">
        <v>831</v>
      </c>
      <c r="B836" s="1" t="s">
        <v>2</v>
      </c>
      <c r="C836" s="1" t="str">
        <f>IF($B836 = "Production Item", _xlfn.XLOOKUP($A836, 'Instrument Table'!$J:$J, 'Instrument Table'!$B:$B, $C835), IF($B836 = "Service Item", _xlfn.XLOOKUP($A836, 'Instrument Table'!$I:$I, 'Instrument Table'!$B:$B, $C835), _xlfn.XLOOKUP($A836, 'Instrument Table'!$H:$H, 'Instrument Table'!$B:$B, $C835)))</f>
        <v>Electric Keyboard</v>
      </c>
      <c r="D836" s="1" t="str">
        <f>VLOOKUP($C836, 'Instrument Table'!$B:$C, 2, FALSE)</f>
        <v>Pianos</v>
      </c>
      <c r="E836" s="1">
        <f t="shared" si="72"/>
        <v>1</v>
      </c>
      <c r="F836" s="1">
        <f>_xlfn.XLOOKUP($C836, 'Instrument Table'!$B:$B, 'Instrument Table'!$A:$A, "")</f>
        <v>12</v>
      </c>
      <c r="G836" s="1" t="str">
        <f>TEXT(IF($B836 = "Retail Item", IF((ROW($A836) - 4504 - _xlfn.XMATCH($C836, $C$4506:$C$5005, 0, 1)) &lt;= VLOOKUP($C836, 'Instrument Table'!$B:$D, 3, FALSE), ROW($A836) - 4504 - _xlfn.XMATCH($C836, $C$4506:$C$5005, 0, 1), 0), 0), "00")</f>
        <v>00</v>
      </c>
      <c r="H836" s="1" t="str">
        <f t="shared" si="73"/>
        <v>080</v>
      </c>
      <c r="I836" s="1" t="str">
        <f t="shared" si="74"/>
        <v>11200-080</v>
      </c>
      <c r="J836" s="1" t="str">
        <f t="shared" si="75"/>
        <v>Electric keyboard production item #080</v>
      </c>
      <c r="K836" s="1" t="str">
        <f>IF(SUM(COUNTIFS(I:I, I836)) &gt; 1, "DUPLICATE", "UNIQUE")</f>
        <v>UNIQUE</v>
      </c>
      <c r="L836" s="18">
        <v>0</v>
      </c>
      <c r="M836" s="28">
        <v>29</v>
      </c>
      <c r="N836" s="6">
        <v>9</v>
      </c>
      <c r="O836" s="30">
        <f t="shared" si="76"/>
        <v>0</v>
      </c>
      <c r="P836" s="30">
        <f t="shared" si="77"/>
        <v>261</v>
      </c>
      <c r="Q836" s="1">
        <f>COUNTIFS($P:$P, "&gt;" &amp; $P836) + 1</f>
        <v>4254</v>
      </c>
      <c r="R836" s="63">
        <f>(COUNTIFS($P:$P, "&gt;" &amp; $P836) + 1) / (COUNTA($I:$I) - 1)</f>
        <v>0.8508</v>
      </c>
      <c r="S836" s="23">
        <f>SUMIFS($P:$P, $Q:$Q, "&lt;" &amp; $Q836)</f>
        <v>186496149</v>
      </c>
    </row>
    <row r="837" spans="1:19" x14ac:dyDescent="0.25">
      <c r="A837" s="1">
        <v>832</v>
      </c>
      <c r="B837" s="1" t="s">
        <v>2</v>
      </c>
      <c r="C837" s="1" t="str">
        <f>IF($B837 = "Production Item", _xlfn.XLOOKUP($A837, 'Instrument Table'!$J:$J, 'Instrument Table'!$B:$B, $C836), IF($B837 = "Service Item", _xlfn.XLOOKUP($A837, 'Instrument Table'!$I:$I, 'Instrument Table'!$B:$B, $C836), _xlfn.XLOOKUP($A837, 'Instrument Table'!$H:$H, 'Instrument Table'!$B:$B, $C836)))</f>
        <v>Electric Keyboard</v>
      </c>
      <c r="D837" s="1" t="str">
        <f>VLOOKUP($C837, 'Instrument Table'!$B:$C, 2, FALSE)</f>
        <v>Pianos</v>
      </c>
      <c r="E837" s="1">
        <f t="shared" si="72"/>
        <v>1</v>
      </c>
      <c r="F837" s="1">
        <f>_xlfn.XLOOKUP($C837, 'Instrument Table'!$B:$B, 'Instrument Table'!$A:$A, "")</f>
        <v>12</v>
      </c>
      <c r="G837" s="1" t="str">
        <f>TEXT(IF($B837 = "Retail Item", IF((ROW($A837) - 4504 - _xlfn.XMATCH($C837, $C$4506:$C$5005, 0, 1)) &lt;= VLOOKUP($C837, 'Instrument Table'!$B:$D, 3, FALSE), ROW($A837) - 4504 - _xlfn.XMATCH($C837, $C$4506:$C$5005, 0, 1), 0), 0), "00")</f>
        <v>00</v>
      </c>
      <c r="H837" s="1" t="str">
        <f t="shared" si="73"/>
        <v>081</v>
      </c>
      <c r="I837" s="1" t="str">
        <f t="shared" si="74"/>
        <v>11200-081</v>
      </c>
      <c r="J837" s="1" t="str">
        <f t="shared" si="75"/>
        <v>Electric keyboard production item #081</v>
      </c>
      <c r="K837" s="1" t="str">
        <f>IF(SUM(COUNTIFS(I:I, I837)) &gt; 1, "DUPLICATE", "UNIQUE")</f>
        <v>UNIQUE</v>
      </c>
      <c r="L837" s="18">
        <v>16</v>
      </c>
      <c r="M837" s="28">
        <v>100</v>
      </c>
      <c r="N837" s="6">
        <v>100</v>
      </c>
      <c r="O837" s="30">
        <f t="shared" si="76"/>
        <v>1600</v>
      </c>
      <c r="P837" s="30">
        <f t="shared" si="77"/>
        <v>10000</v>
      </c>
      <c r="Q837" s="1">
        <f>COUNTIFS($P:$P, "&gt;" &amp; $P837) + 1</f>
        <v>1771</v>
      </c>
      <c r="R837" s="63">
        <f>(COUNTIFS($P:$P, "&gt;" &amp; $P837) + 1) / (COUNTA($I:$I) - 1)</f>
        <v>0.35420000000000001</v>
      </c>
      <c r="S837" s="23">
        <f>SUMIFS($P:$P, $Q:$Q, "&lt;" &amp; $Q837)</f>
        <v>177955695</v>
      </c>
    </row>
    <row r="838" spans="1:19" x14ac:dyDescent="0.25">
      <c r="A838" s="1">
        <v>833</v>
      </c>
      <c r="B838" s="1" t="s">
        <v>2</v>
      </c>
      <c r="C838" s="1" t="str">
        <f>IF($B838 = "Production Item", _xlfn.XLOOKUP($A838, 'Instrument Table'!$J:$J, 'Instrument Table'!$B:$B, $C837), IF($B838 = "Service Item", _xlfn.XLOOKUP($A838, 'Instrument Table'!$I:$I, 'Instrument Table'!$B:$B, $C837), _xlfn.XLOOKUP($A838, 'Instrument Table'!$H:$H, 'Instrument Table'!$B:$B, $C837)))</f>
        <v>Electric Keyboard</v>
      </c>
      <c r="D838" s="1" t="str">
        <f>VLOOKUP($C838, 'Instrument Table'!$B:$C, 2, FALSE)</f>
        <v>Pianos</v>
      </c>
      <c r="E838" s="1">
        <f t="shared" si="72"/>
        <v>1</v>
      </c>
      <c r="F838" s="1">
        <f>_xlfn.XLOOKUP($C838, 'Instrument Table'!$B:$B, 'Instrument Table'!$A:$A, "")</f>
        <v>12</v>
      </c>
      <c r="G838" s="1" t="str">
        <f>TEXT(IF($B838 = "Retail Item", IF((ROW($A838) - 4504 - _xlfn.XMATCH($C838, $C$4506:$C$5005, 0, 1)) &lt;= VLOOKUP($C838, 'Instrument Table'!$B:$D, 3, FALSE), ROW($A838) - 4504 - _xlfn.XMATCH($C838, $C$4506:$C$5005, 0, 1), 0), 0), "00")</f>
        <v>00</v>
      </c>
      <c r="H838" s="1" t="str">
        <f t="shared" si="73"/>
        <v>082</v>
      </c>
      <c r="I838" s="1" t="str">
        <f t="shared" si="74"/>
        <v>11200-082</v>
      </c>
      <c r="J838" s="1" t="str">
        <f t="shared" si="75"/>
        <v>Electric keyboard production item #082</v>
      </c>
      <c r="K838" s="1" t="str">
        <f>IF(SUM(COUNTIFS(I:I, I838)) &gt; 1, "DUPLICATE", "UNIQUE")</f>
        <v>UNIQUE</v>
      </c>
      <c r="L838" s="18">
        <v>2</v>
      </c>
      <c r="M838" s="28">
        <v>87</v>
      </c>
      <c r="N838" s="6">
        <v>4</v>
      </c>
      <c r="O838" s="30">
        <f t="shared" si="76"/>
        <v>174</v>
      </c>
      <c r="P838" s="30">
        <f t="shared" si="77"/>
        <v>348</v>
      </c>
      <c r="Q838" s="1">
        <f>COUNTIFS($P:$P, "&gt;" &amp; $P838) + 1</f>
        <v>4157</v>
      </c>
      <c r="R838" s="63">
        <f>(COUNTIFS($P:$P, "&gt;" &amp; $P838) + 1) / (COUNTA($I:$I) - 1)</f>
        <v>0.83140000000000003</v>
      </c>
      <c r="S838" s="23">
        <f>SUMIFS($P:$P, $Q:$Q, "&lt;" &amp; $Q838)</f>
        <v>186466187</v>
      </c>
    </row>
    <row r="839" spans="1:19" x14ac:dyDescent="0.25">
      <c r="A839" s="1">
        <v>834</v>
      </c>
      <c r="B839" s="1" t="s">
        <v>2</v>
      </c>
      <c r="C839" s="1" t="str">
        <f>IF($B839 = "Production Item", _xlfn.XLOOKUP($A839, 'Instrument Table'!$J:$J, 'Instrument Table'!$B:$B, $C838), IF($B839 = "Service Item", _xlfn.XLOOKUP($A839, 'Instrument Table'!$I:$I, 'Instrument Table'!$B:$B, $C838), _xlfn.XLOOKUP($A839, 'Instrument Table'!$H:$H, 'Instrument Table'!$B:$B, $C838)))</f>
        <v>Electric Keyboard</v>
      </c>
      <c r="D839" s="1" t="str">
        <f>VLOOKUP($C839, 'Instrument Table'!$B:$C, 2, FALSE)</f>
        <v>Pianos</v>
      </c>
      <c r="E839" s="1">
        <f t="shared" ref="E839:E902" si="78">IF($B839 = "Production Item", 1, IF($B839 = "Service Item", 2, IF($B839 = "Retail Item", 3, "")))</f>
        <v>1</v>
      </c>
      <c r="F839" s="1">
        <f>_xlfn.XLOOKUP($C839, 'Instrument Table'!$B:$B, 'Instrument Table'!$A:$A, "")</f>
        <v>12</v>
      </c>
      <c r="G839" s="1" t="str">
        <f>TEXT(IF($B839 = "Retail Item", IF((ROW($A839) - 4504 - _xlfn.XMATCH($C839, $C$4506:$C$5005, 0, 1)) &lt;= VLOOKUP($C839, 'Instrument Table'!$B:$D, 3, FALSE), ROW($A839) - 4504 - _xlfn.XMATCH($C839, $C$4506:$C$5005, 0, 1), 0), 0), "00")</f>
        <v>00</v>
      </c>
      <c r="H839" s="1" t="str">
        <f t="shared" ref="H839:H902" si="79">TEXT(IF($E839 &amp; $F839 &amp; $G839 = $E838 &amp; $F838 &amp; $G838, 1 + H838, 0), "000")</f>
        <v>083</v>
      </c>
      <c r="I839" s="1" t="str">
        <f t="shared" ref="I839:I902" si="80" xml:space="preserve"> _xlfn.CONCAT($E839, $F839, $G839, "-", H839)</f>
        <v>11200-083</v>
      </c>
      <c r="J839" s="1" t="str">
        <f t="shared" ref="J839:J902" si="81">LEFT($C839, 1) &amp; LOWER(RIGHT($C839, LEN($C839) - 1)) &amp; IF(AND($G839 &lt;&gt; "00", $B839 = "Retail Item"), " model #" &amp; $G839, " " &amp; LOWER($B839) &amp; " #" &amp; $H839)</f>
        <v>Electric keyboard production item #083</v>
      </c>
      <c r="K839" s="1" t="str">
        <f>IF(SUM(COUNTIFS(I:I, I839)) &gt; 1, "DUPLICATE", "UNIQUE")</f>
        <v>UNIQUE</v>
      </c>
      <c r="L839" s="18">
        <v>4</v>
      </c>
      <c r="M839" s="28">
        <v>70</v>
      </c>
      <c r="N839" s="6">
        <v>256</v>
      </c>
      <c r="O839" s="30">
        <f t="shared" ref="O839:O902" si="82">$L839 * $M839</f>
        <v>280</v>
      </c>
      <c r="P839" s="30">
        <f t="shared" ref="P839:P902" si="83">$N839 * $M839</f>
        <v>17920</v>
      </c>
      <c r="Q839" s="1">
        <f>COUNTIFS($P:$P, "&gt;" &amp; $P839) + 1</f>
        <v>1168</v>
      </c>
      <c r="R839" s="63">
        <f>(COUNTIFS($P:$P, "&gt;" &amp; $P839) + 1) / (COUNTA($I:$I) - 1)</f>
        <v>0.2336</v>
      </c>
      <c r="S839" s="23">
        <f>SUMIFS($P:$P, $Q:$Q, "&lt;" &amp; $Q839)</f>
        <v>169762618</v>
      </c>
    </row>
    <row r="840" spans="1:19" x14ac:dyDescent="0.25">
      <c r="A840" s="1">
        <v>835</v>
      </c>
      <c r="B840" s="1" t="s">
        <v>2</v>
      </c>
      <c r="C840" s="1" t="str">
        <f>IF($B840 = "Production Item", _xlfn.XLOOKUP($A840, 'Instrument Table'!$J:$J, 'Instrument Table'!$B:$B, $C839), IF($B840 = "Service Item", _xlfn.XLOOKUP($A840, 'Instrument Table'!$I:$I, 'Instrument Table'!$B:$B, $C839), _xlfn.XLOOKUP($A840, 'Instrument Table'!$H:$H, 'Instrument Table'!$B:$B, $C839)))</f>
        <v>Electric Keyboard</v>
      </c>
      <c r="D840" s="1" t="str">
        <f>VLOOKUP($C840, 'Instrument Table'!$B:$C, 2, FALSE)</f>
        <v>Pianos</v>
      </c>
      <c r="E840" s="1">
        <f t="shared" si="78"/>
        <v>1</v>
      </c>
      <c r="F840" s="1">
        <f>_xlfn.XLOOKUP($C840, 'Instrument Table'!$B:$B, 'Instrument Table'!$A:$A, "")</f>
        <v>12</v>
      </c>
      <c r="G840" s="1" t="str">
        <f>TEXT(IF($B840 = "Retail Item", IF((ROW($A840) - 4504 - _xlfn.XMATCH($C840, $C$4506:$C$5005, 0, 1)) &lt;= VLOOKUP($C840, 'Instrument Table'!$B:$D, 3, FALSE), ROW($A840) - 4504 - _xlfn.XMATCH($C840, $C$4506:$C$5005, 0, 1), 0), 0), "00")</f>
        <v>00</v>
      </c>
      <c r="H840" s="1" t="str">
        <f t="shared" si="79"/>
        <v>084</v>
      </c>
      <c r="I840" s="1" t="str">
        <f t="shared" si="80"/>
        <v>11200-084</v>
      </c>
      <c r="J840" s="1" t="str">
        <f t="shared" si="81"/>
        <v>Electric keyboard production item #084</v>
      </c>
      <c r="K840" s="1" t="str">
        <f>IF(SUM(COUNTIFS(I:I, I840)) &gt; 1, "DUPLICATE", "UNIQUE")</f>
        <v>UNIQUE</v>
      </c>
      <c r="L840" s="18">
        <v>8</v>
      </c>
      <c r="M840" s="28">
        <v>31</v>
      </c>
      <c r="N840" s="6">
        <v>1</v>
      </c>
      <c r="O840" s="30">
        <f t="shared" si="82"/>
        <v>248</v>
      </c>
      <c r="P840" s="30">
        <f t="shared" si="83"/>
        <v>31</v>
      </c>
      <c r="Q840" s="1">
        <f>COUNTIFS($P:$P, "&gt;" &amp; $P840) + 1</f>
        <v>4666</v>
      </c>
      <c r="R840" s="63">
        <f>(COUNTIFS($P:$P, "&gt;" &amp; $P840) + 1) / (COUNTA($I:$I) - 1)</f>
        <v>0.93320000000000003</v>
      </c>
      <c r="S840" s="23">
        <f>SUMIFS($P:$P, $Q:$Q, "&lt;" &amp; $Q840)</f>
        <v>186546564</v>
      </c>
    </row>
    <row r="841" spans="1:19" x14ac:dyDescent="0.25">
      <c r="A841" s="1">
        <v>836</v>
      </c>
      <c r="B841" s="1" t="s">
        <v>2</v>
      </c>
      <c r="C841" s="1" t="str">
        <f>IF($B841 = "Production Item", _xlfn.XLOOKUP($A841, 'Instrument Table'!$J:$J, 'Instrument Table'!$B:$B, $C840), IF($B841 = "Service Item", _xlfn.XLOOKUP($A841, 'Instrument Table'!$I:$I, 'Instrument Table'!$B:$B, $C840), _xlfn.XLOOKUP($A841, 'Instrument Table'!$H:$H, 'Instrument Table'!$B:$B, $C840)))</f>
        <v>Electric Keyboard</v>
      </c>
      <c r="D841" s="1" t="str">
        <f>VLOOKUP($C841, 'Instrument Table'!$B:$C, 2, FALSE)</f>
        <v>Pianos</v>
      </c>
      <c r="E841" s="1">
        <f t="shared" si="78"/>
        <v>1</v>
      </c>
      <c r="F841" s="1">
        <f>_xlfn.XLOOKUP($C841, 'Instrument Table'!$B:$B, 'Instrument Table'!$A:$A, "")</f>
        <v>12</v>
      </c>
      <c r="G841" s="1" t="str">
        <f>TEXT(IF($B841 = "Retail Item", IF((ROW($A841) - 4504 - _xlfn.XMATCH($C841, $C$4506:$C$5005, 0, 1)) &lt;= VLOOKUP($C841, 'Instrument Table'!$B:$D, 3, FALSE), ROW($A841) - 4504 - _xlfn.XMATCH($C841, $C$4506:$C$5005, 0, 1), 0), 0), "00")</f>
        <v>00</v>
      </c>
      <c r="H841" s="1" t="str">
        <f t="shared" si="79"/>
        <v>085</v>
      </c>
      <c r="I841" s="1" t="str">
        <f t="shared" si="80"/>
        <v>11200-085</v>
      </c>
      <c r="J841" s="1" t="str">
        <f t="shared" si="81"/>
        <v>Electric keyboard production item #085</v>
      </c>
      <c r="K841" s="1" t="str">
        <f>IF(SUM(COUNTIFS(I:I, I841)) &gt; 1, "DUPLICATE", "UNIQUE")</f>
        <v>UNIQUE</v>
      </c>
      <c r="L841" s="18">
        <v>1</v>
      </c>
      <c r="M841" s="28">
        <v>12</v>
      </c>
      <c r="N841" s="6">
        <v>400</v>
      </c>
      <c r="O841" s="30">
        <f t="shared" si="82"/>
        <v>12</v>
      </c>
      <c r="P841" s="30">
        <f t="shared" si="83"/>
        <v>4800</v>
      </c>
      <c r="Q841" s="1">
        <f>COUNTIFS($P:$P, "&gt;" &amp; $P841) + 1</f>
        <v>2486</v>
      </c>
      <c r="R841" s="63">
        <f>(COUNTIFS($P:$P, "&gt;" &amp; $P841) + 1) / (COUNTA($I:$I) - 1)</f>
        <v>0.49719999999999998</v>
      </c>
      <c r="S841" s="23">
        <f>SUMIFS($P:$P, $Q:$Q, "&lt;" &amp; $Q841)</f>
        <v>183048530</v>
      </c>
    </row>
    <row r="842" spans="1:19" x14ac:dyDescent="0.25">
      <c r="A842" s="1">
        <v>837</v>
      </c>
      <c r="B842" s="1" t="s">
        <v>2</v>
      </c>
      <c r="C842" s="1" t="str">
        <f>IF($B842 = "Production Item", _xlfn.XLOOKUP($A842, 'Instrument Table'!$J:$J, 'Instrument Table'!$B:$B, $C841), IF($B842 = "Service Item", _xlfn.XLOOKUP($A842, 'Instrument Table'!$I:$I, 'Instrument Table'!$B:$B, $C841), _xlfn.XLOOKUP($A842, 'Instrument Table'!$H:$H, 'Instrument Table'!$B:$B, $C841)))</f>
        <v>Electric Keyboard</v>
      </c>
      <c r="D842" s="1" t="str">
        <f>VLOOKUP($C842, 'Instrument Table'!$B:$C, 2, FALSE)</f>
        <v>Pianos</v>
      </c>
      <c r="E842" s="1">
        <f t="shared" si="78"/>
        <v>1</v>
      </c>
      <c r="F842" s="1">
        <f>_xlfn.XLOOKUP($C842, 'Instrument Table'!$B:$B, 'Instrument Table'!$A:$A, "")</f>
        <v>12</v>
      </c>
      <c r="G842" s="1" t="str">
        <f>TEXT(IF($B842 = "Retail Item", IF((ROW($A842) - 4504 - _xlfn.XMATCH($C842, $C$4506:$C$5005, 0, 1)) &lt;= VLOOKUP($C842, 'Instrument Table'!$B:$D, 3, FALSE), ROW($A842) - 4504 - _xlfn.XMATCH($C842, $C$4506:$C$5005, 0, 1), 0), 0), "00")</f>
        <v>00</v>
      </c>
      <c r="H842" s="1" t="str">
        <f t="shared" si="79"/>
        <v>086</v>
      </c>
      <c r="I842" s="1" t="str">
        <f t="shared" si="80"/>
        <v>11200-086</v>
      </c>
      <c r="J842" s="1" t="str">
        <f t="shared" si="81"/>
        <v>Electric keyboard production item #086</v>
      </c>
      <c r="K842" s="1" t="str">
        <f>IF(SUM(COUNTIFS(I:I, I842)) &gt; 1, "DUPLICATE", "UNIQUE")</f>
        <v>UNIQUE</v>
      </c>
      <c r="L842" s="18">
        <v>0</v>
      </c>
      <c r="M842" s="28">
        <v>88</v>
      </c>
      <c r="N842" s="6">
        <v>144</v>
      </c>
      <c r="O842" s="30">
        <f t="shared" si="82"/>
        <v>0</v>
      </c>
      <c r="P842" s="30">
        <f t="shared" si="83"/>
        <v>12672</v>
      </c>
      <c r="Q842" s="1">
        <f>COUNTIFS($P:$P, "&gt;" &amp; $P842) + 1</f>
        <v>1528</v>
      </c>
      <c r="R842" s="63">
        <f>(COUNTIFS($P:$P, "&gt;" &amp; $P842) + 1) / (COUNTA($I:$I) - 1)</f>
        <v>0.30559999999999998</v>
      </c>
      <c r="S842" s="23">
        <f>SUMIFS($P:$P, $Q:$Q, "&lt;" &amp; $Q842)</f>
        <v>175199426</v>
      </c>
    </row>
    <row r="843" spans="1:19" x14ac:dyDescent="0.25">
      <c r="A843" s="1">
        <v>838</v>
      </c>
      <c r="B843" s="1" t="s">
        <v>2</v>
      </c>
      <c r="C843" s="1" t="str">
        <f>IF($B843 = "Production Item", _xlfn.XLOOKUP($A843, 'Instrument Table'!$J:$J, 'Instrument Table'!$B:$B, $C842), IF($B843 = "Service Item", _xlfn.XLOOKUP($A843, 'Instrument Table'!$I:$I, 'Instrument Table'!$B:$B, $C842), _xlfn.XLOOKUP($A843, 'Instrument Table'!$H:$H, 'Instrument Table'!$B:$B, $C842)))</f>
        <v>Electric Keyboard</v>
      </c>
      <c r="D843" s="1" t="str">
        <f>VLOOKUP($C843, 'Instrument Table'!$B:$C, 2, FALSE)</f>
        <v>Pianos</v>
      </c>
      <c r="E843" s="1">
        <f t="shared" si="78"/>
        <v>1</v>
      </c>
      <c r="F843" s="1">
        <f>_xlfn.XLOOKUP($C843, 'Instrument Table'!$B:$B, 'Instrument Table'!$A:$A, "")</f>
        <v>12</v>
      </c>
      <c r="G843" s="1" t="str">
        <f>TEXT(IF($B843 = "Retail Item", IF((ROW($A843) - 4504 - _xlfn.XMATCH($C843, $C$4506:$C$5005, 0, 1)) &lt;= VLOOKUP($C843, 'Instrument Table'!$B:$D, 3, FALSE), ROW($A843) - 4504 - _xlfn.XMATCH($C843, $C$4506:$C$5005, 0, 1), 0), 0), "00")</f>
        <v>00</v>
      </c>
      <c r="H843" s="1" t="str">
        <f t="shared" si="79"/>
        <v>087</v>
      </c>
      <c r="I843" s="1" t="str">
        <f t="shared" si="80"/>
        <v>11200-087</v>
      </c>
      <c r="J843" s="1" t="str">
        <f t="shared" si="81"/>
        <v>Electric keyboard production item #087</v>
      </c>
      <c r="K843" s="1" t="str">
        <f>IF(SUM(COUNTIFS(I:I, I843)) &gt; 1, "DUPLICATE", "UNIQUE")</f>
        <v>UNIQUE</v>
      </c>
      <c r="L843" s="18">
        <v>16</v>
      </c>
      <c r="M843" s="28">
        <v>24</v>
      </c>
      <c r="N843" s="6">
        <v>36</v>
      </c>
      <c r="O843" s="30">
        <f t="shared" si="82"/>
        <v>384</v>
      </c>
      <c r="P843" s="30">
        <f t="shared" si="83"/>
        <v>864</v>
      </c>
      <c r="Q843" s="1">
        <f>COUNTIFS($P:$P, "&gt;" &amp; $P843) + 1</f>
        <v>3751</v>
      </c>
      <c r="R843" s="63">
        <f>(COUNTIFS($P:$P, "&gt;" &amp; $P843) + 1) / (COUNTA($I:$I) - 1)</f>
        <v>0.75019999999999998</v>
      </c>
      <c r="S843" s="23">
        <f>SUMIFS($P:$P, $Q:$Q, "&lt;" &amp; $Q843)</f>
        <v>186225045</v>
      </c>
    </row>
    <row r="844" spans="1:19" x14ac:dyDescent="0.25">
      <c r="A844" s="1">
        <v>839</v>
      </c>
      <c r="B844" s="1" t="s">
        <v>2</v>
      </c>
      <c r="C844" s="1" t="str">
        <f>IF($B844 = "Production Item", _xlfn.XLOOKUP($A844, 'Instrument Table'!$J:$J, 'Instrument Table'!$B:$B, $C843), IF($B844 = "Service Item", _xlfn.XLOOKUP($A844, 'Instrument Table'!$I:$I, 'Instrument Table'!$B:$B, $C843), _xlfn.XLOOKUP($A844, 'Instrument Table'!$H:$H, 'Instrument Table'!$B:$B, $C843)))</f>
        <v>Electric Keyboard</v>
      </c>
      <c r="D844" s="1" t="str">
        <f>VLOOKUP($C844, 'Instrument Table'!$B:$C, 2, FALSE)</f>
        <v>Pianos</v>
      </c>
      <c r="E844" s="1">
        <f t="shared" si="78"/>
        <v>1</v>
      </c>
      <c r="F844" s="1">
        <f>_xlfn.XLOOKUP($C844, 'Instrument Table'!$B:$B, 'Instrument Table'!$A:$A, "")</f>
        <v>12</v>
      </c>
      <c r="G844" s="1" t="str">
        <f>TEXT(IF($B844 = "Retail Item", IF((ROW($A844) - 4504 - _xlfn.XMATCH($C844, $C$4506:$C$5005, 0, 1)) &lt;= VLOOKUP($C844, 'Instrument Table'!$B:$D, 3, FALSE), ROW($A844) - 4504 - _xlfn.XMATCH($C844, $C$4506:$C$5005, 0, 1), 0), 0), "00")</f>
        <v>00</v>
      </c>
      <c r="H844" s="1" t="str">
        <f t="shared" si="79"/>
        <v>088</v>
      </c>
      <c r="I844" s="1" t="str">
        <f t="shared" si="80"/>
        <v>11200-088</v>
      </c>
      <c r="J844" s="1" t="str">
        <f t="shared" si="81"/>
        <v>Electric keyboard production item #088</v>
      </c>
      <c r="K844" s="1" t="str">
        <f>IF(SUM(COUNTIFS(I:I, I844)) &gt; 1, "DUPLICATE", "UNIQUE")</f>
        <v>UNIQUE</v>
      </c>
      <c r="L844" s="18">
        <v>16</v>
      </c>
      <c r="M844" s="28">
        <v>21</v>
      </c>
      <c r="N844" s="6">
        <v>289</v>
      </c>
      <c r="O844" s="30">
        <f t="shared" si="82"/>
        <v>336</v>
      </c>
      <c r="P844" s="30">
        <f t="shared" si="83"/>
        <v>6069</v>
      </c>
      <c r="Q844" s="1">
        <f>COUNTIFS($P:$P, "&gt;" &amp; $P844) + 1</f>
        <v>2255</v>
      </c>
      <c r="R844" s="63">
        <f>(COUNTIFS($P:$P, "&gt;" &amp; $P844) + 1) / (COUNTA($I:$I) - 1)</f>
        <v>0.45100000000000001</v>
      </c>
      <c r="S844" s="23">
        <f>SUMIFS($P:$P, $Q:$Q, "&lt;" &amp; $Q844)</f>
        <v>181797491</v>
      </c>
    </row>
    <row r="845" spans="1:19" x14ac:dyDescent="0.25">
      <c r="A845" s="1">
        <v>840</v>
      </c>
      <c r="B845" s="1" t="s">
        <v>2</v>
      </c>
      <c r="C845" s="1" t="str">
        <f>IF($B845 = "Production Item", _xlfn.XLOOKUP($A845, 'Instrument Table'!$J:$J, 'Instrument Table'!$B:$B, $C844), IF($B845 = "Service Item", _xlfn.XLOOKUP($A845, 'Instrument Table'!$I:$I, 'Instrument Table'!$B:$B, $C844), _xlfn.XLOOKUP($A845, 'Instrument Table'!$H:$H, 'Instrument Table'!$B:$B, $C844)))</f>
        <v>Electric Keyboard</v>
      </c>
      <c r="D845" s="1" t="str">
        <f>VLOOKUP($C845, 'Instrument Table'!$B:$C, 2, FALSE)</f>
        <v>Pianos</v>
      </c>
      <c r="E845" s="1">
        <f t="shared" si="78"/>
        <v>1</v>
      </c>
      <c r="F845" s="1">
        <f>_xlfn.XLOOKUP($C845, 'Instrument Table'!$B:$B, 'Instrument Table'!$A:$A, "")</f>
        <v>12</v>
      </c>
      <c r="G845" s="1" t="str">
        <f>TEXT(IF($B845 = "Retail Item", IF((ROW($A845) - 4504 - _xlfn.XMATCH($C845, $C$4506:$C$5005, 0, 1)) &lt;= VLOOKUP($C845, 'Instrument Table'!$B:$D, 3, FALSE), ROW($A845) - 4504 - _xlfn.XMATCH($C845, $C$4506:$C$5005, 0, 1), 0), 0), "00")</f>
        <v>00</v>
      </c>
      <c r="H845" s="1" t="str">
        <f t="shared" si="79"/>
        <v>089</v>
      </c>
      <c r="I845" s="1" t="str">
        <f t="shared" si="80"/>
        <v>11200-089</v>
      </c>
      <c r="J845" s="1" t="str">
        <f t="shared" si="81"/>
        <v>Electric keyboard production item #089</v>
      </c>
      <c r="K845" s="1" t="str">
        <f>IF(SUM(COUNTIFS(I:I, I845)) &gt; 1, "DUPLICATE", "UNIQUE")</f>
        <v>UNIQUE</v>
      </c>
      <c r="L845" s="18">
        <v>0</v>
      </c>
      <c r="M845" s="28">
        <v>51</v>
      </c>
      <c r="N845" s="6">
        <v>289</v>
      </c>
      <c r="O845" s="30">
        <f t="shared" si="82"/>
        <v>0</v>
      </c>
      <c r="P845" s="30">
        <f t="shared" si="83"/>
        <v>14739</v>
      </c>
      <c r="Q845" s="1">
        <f>COUNTIFS($P:$P, "&gt;" &amp; $P845) + 1</f>
        <v>1365</v>
      </c>
      <c r="R845" s="63">
        <f>(COUNTIFS($P:$P, "&gt;" &amp; $P845) + 1) / (COUNTA($I:$I) - 1)</f>
        <v>0.27300000000000002</v>
      </c>
      <c r="S845" s="23">
        <f>SUMIFS($P:$P, $Q:$Q, "&lt;" &amp; $Q845)</f>
        <v>172966555</v>
      </c>
    </row>
    <row r="846" spans="1:19" x14ac:dyDescent="0.25">
      <c r="A846" s="1">
        <v>841</v>
      </c>
      <c r="B846" s="1" t="s">
        <v>2</v>
      </c>
      <c r="C846" s="1" t="str">
        <f>IF($B846 = "Production Item", _xlfn.XLOOKUP($A846, 'Instrument Table'!$J:$J, 'Instrument Table'!$B:$B, $C845), IF($B846 = "Service Item", _xlfn.XLOOKUP($A846, 'Instrument Table'!$I:$I, 'Instrument Table'!$B:$B, $C845), _xlfn.XLOOKUP($A846, 'Instrument Table'!$H:$H, 'Instrument Table'!$B:$B, $C845)))</f>
        <v>Electric Keyboard</v>
      </c>
      <c r="D846" s="1" t="str">
        <f>VLOOKUP($C846, 'Instrument Table'!$B:$C, 2, FALSE)</f>
        <v>Pianos</v>
      </c>
      <c r="E846" s="1">
        <f t="shared" si="78"/>
        <v>1</v>
      </c>
      <c r="F846" s="1">
        <f>_xlfn.XLOOKUP($C846, 'Instrument Table'!$B:$B, 'Instrument Table'!$A:$A, "")</f>
        <v>12</v>
      </c>
      <c r="G846" s="1" t="str">
        <f>TEXT(IF($B846 = "Retail Item", IF((ROW($A846) - 4504 - _xlfn.XMATCH($C846, $C$4506:$C$5005, 0, 1)) &lt;= VLOOKUP($C846, 'Instrument Table'!$B:$D, 3, FALSE), ROW($A846) - 4504 - _xlfn.XMATCH($C846, $C$4506:$C$5005, 0, 1), 0), 0), "00")</f>
        <v>00</v>
      </c>
      <c r="H846" s="1" t="str">
        <f t="shared" si="79"/>
        <v>090</v>
      </c>
      <c r="I846" s="1" t="str">
        <f t="shared" si="80"/>
        <v>11200-090</v>
      </c>
      <c r="J846" s="1" t="str">
        <f t="shared" si="81"/>
        <v>Electric keyboard production item #090</v>
      </c>
      <c r="K846" s="1" t="str">
        <f>IF(SUM(COUNTIFS(I:I, I846)) &gt; 1, "DUPLICATE", "UNIQUE")</f>
        <v>UNIQUE</v>
      </c>
      <c r="L846" s="18">
        <v>2</v>
      </c>
      <c r="M846" s="28">
        <v>57</v>
      </c>
      <c r="N846" s="6">
        <v>9</v>
      </c>
      <c r="O846" s="30">
        <f t="shared" si="82"/>
        <v>114</v>
      </c>
      <c r="P846" s="30">
        <f t="shared" si="83"/>
        <v>513</v>
      </c>
      <c r="Q846" s="1">
        <f>COUNTIFS($P:$P, "&gt;" &amp; $P846) + 1</f>
        <v>4008</v>
      </c>
      <c r="R846" s="63">
        <f>(COUNTIFS($P:$P, "&gt;" &amp; $P846) + 1) / (COUNTA($I:$I) - 1)</f>
        <v>0.80159999999999998</v>
      </c>
      <c r="S846" s="23">
        <f>SUMIFS($P:$P, $Q:$Q, "&lt;" &amp; $Q846)</f>
        <v>186402478</v>
      </c>
    </row>
    <row r="847" spans="1:19" x14ac:dyDescent="0.25">
      <c r="A847" s="1">
        <v>842</v>
      </c>
      <c r="B847" s="1" t="s">
        <v>2</v>
      </c>
      <c r="C847" s="1" t="str">
        <f>IF($B847 = "Production Item", _xlfn.XLOOKUP($A847, 'Instrument Table'!$J:$J, 'Instrument Table'!$B:$B, $C846), IF($B847 = "Service Item", _xlfn.XLOOKUP($A847, 'Instrument Table'!$I:$I, 'Instrument Table'!$B:$B, $C846), _xlfn.XLOOKUP($A847, 'Instrument Table'!$H:$H, 'Instrument Table'!$B:$B, $C846)))</f>
        <v>Electric Keyboard</v>
      </c>
      <c r="D847" s="1" t="str">
        <f>VLOOKUP($C847, 'Instrument Table'!$B:$C, 2, FALSE)</f>
        <v>Pianos</v>
      </c>
      <c r="E847" s="1">
        <f t="shared" si="78"/>
        <v>1</v>
      </c>
      <c r="F847" s="1">
        <f>_xlfn.XLOOKUP($C847, 'Instrument Table'!$B:$B, 'Instrument Table'!$A:$A, "")</f>
        <v>12</v>
      </c>
      <c r="G847" s="1" t="str">
        <f>TEXT(IF($B847 = "Retail Item", IF((ROW($A847) - 4504 - _xlfn.XMATCH($C847, $C$4506:$C$5005, 0, 1)) &lt;= VLOOKUP($C847, 'Instrument Table'!$B:$D, 3, FALSE), ROW($A847) - 4504 - _xlfn.XMATCH($C847, $C$4506:$C$5005, 0, 1), 0), 0), "00")</f>
        <v>00</v>
      </c>
      <c r="H847" s="1" t="str">
        <f t="shared" si="79"/>
        <v>091</v>
      </c>
      <c r="I847" s="1" t="str">
        <f t="shared" si="80"/>
        <v>11200-091</v>
      </c>
      <c r="J847" s="1" t="str">
        <f t="shared" si="81"/>
        <v>Electric keyboard production item #091</v>
      </c>
      <c r="K847" s="1" t="str">
        <f>IF(SUM(COUNTIFS(I:I, I847)) &gt; 1, "DUPLICATE", "UNIQUE")</f>
        <v>UNIQUE</v>
      </c>
      <c r="L847" s="18">
        <v>1</v>
      </c>
      <c r="M847" s="28">
        <v>3</v>
      </c>
      <c r="N847" s="6">
        <v>81</v>
      </c>
      <c r="O847" s="30">
        <f t="shared" si="82"/>
        <v>3</v>
      </c>
      <c r="P847" s="30">
        <f t="shared" si="83"/>
        <v>243</v>
      </c>
      <c r="Q847" s="1">
        <f>COUNTIFS($P:$P, "&gt;" &amp; $P847) + 1</f>
        <v>4281</v>
      </c>
      <c r="R847" s="63">
        <f>(COUNTIFS($P:$P, "&gt;" &amp; $P847) + 1) / (COUNTA($I:$I) - 1)</f>
        <v>0.85619999999999996</v>
      </c>
      <c r="S847" s="23">
        <f>SUMIFS($P:$P, $Q:$Q, "&lt;" &amp; $Q847)</f>
        <v>186503016</v>
      </c>
    </row>
    <row r="848" spans="1:19" x14ac:dyDescent="0.25">
      <c r="A848" s="1">
        <v>843</v>
      </c>
      <c r="B848" s="1" t="s">
        <v>2</v>
      </c>
      <c r="C848" s="1" t="str">
        <f>IF($B848 = "Production Item", _xlfn.XLOOKUP($A848, 'Instrument Table'!$J:$J, 'Instrument Table'!$B:$B, $C847), IF($B848 = "Service Item", _xlfn.XLOOKUP($A848, 'Instrument Table'!$I:$I, 'Instrument Table'!$B:$B, $C847), _xlfn.XLOOKUP($A848, 'Instrument Table'!$H:$H, 'Instrument Table'!$B:$B, $C847)))</f>
        <v>Electric Keyboard</v>
      </c>
      <c r="D848" s="1" t="str">
        <f>VLOOKUP($C848, 'Instrument Table'!$B:$C, 2, FALSE)</f>
        <v>Pianos</v>
      </c>
      <c r="E848" s="1">
        <f t="shared" si="78"/>
        <v>1</v>
      </c>
      <c r="F848" s="1">
        <f>_xlfn.XLOOKUP($C848, 'Instrument Table'!$B:$B, 'Instrument Table'!$A:$A, "")</f>
        <v>12</v>
      </c>
      <c r="G848" s="1" t="str">
        <f>TEXT(IF($B848 = "Retail Item", IF((ROW($A848) - 4504 - _xlfn.XMATCH($C848, $C$4506:$C$5005, 0, 1)) &lt;= VLOOKUP($C848, 'Instrument Table'!$B:$D, 3, FALSE), ROW($A848) - 4504 - _xlfn.XMATCH($C848, $C$4506:$C$5005, 0, 1), 0), 0), "00")</f>
        <v>00</v>
      </c>
      <c r="H848" s="1" t="str">
        <f t="shared" si="79"/>
        <v>092</v>
      </c>
      <c r="I848" s="1" t="str">
        <f t="shared" si="80"/>
        <v>11200-092</v>
      </c>
      <c r="J848" s="1" t="str">
        <f t="shared" si="81"/>
        <v>Electric keyboard production item #092</v>
      </c>
      <c r="K848" s="1" t="str">
        <f>IF(SUM(COUNTIFS(I:I, I848)) &gt; 1, "DUPLICATE", "UNIQUE")</f>
        <v>UNIQUE</v>
      </c>
      <c r="L848" s="18">
        <v>1</v>
      </c>
      <c r="M848" s="28">
        <v>72</v>
      </c>
      <c r="N848" s="6">
        <v>4</v>
      </c>
      <c r="O848" s="30">
        <f t="shared" si="82"/>
        <v>72</v>
      </c>
      <c r="P848" s="30">
        <f t="shared" si="83"/>
        <v>288</v>
      </c>
      <c r="Q848" s="1">
        <f>COUNTIFS($P:$P, "&gt;" &amp; $P848) + 1</f>
        <v>4231</v>
      </c>
      <c r="R848" s="63">
        <f>(COUNTIFS($P:$P, "&gt;" &amp; $P848) + 1) / (COUNTA($I:$I) - 1)</f>
        <v>0.84619999999999995</v>
      </c>
      <c r="S848" s="23">
        <f>SUMIFS($P:$P, $Q:$Q, "&lt;" &amp; $Q848)</f>
        <v>186489774</v>
      </c>
    </row>
    <row r="849" spans="1:19" x14ac:dyDescent="0.25">
      <c r="A849" s="1">
        <v>844</v>
      </c>
      <c r="B849" s="1" t="s">
        <v>2</v>
      </c>
      <c r="C849" s="1" t="str">
        <f>IF($B849 = "Production Item", _xlfn.XLOOKUP($A849, 'Instrument Table'!$J:$J, 'Instrument Table'!$B:$B, $C848), IF($B849 = "Service Item", _xlfn.XLOOKUP($A849, 'Instrument Table'!$I:$I, 'Instrument Table'!$B:$B, $C848), _xlfn.XLOOKUP($A849, 'Instrument Table'!$H:$H, 'Instrument Table'!$B:$B, $C848)))</f>
        <v>Electric Keyboard</v>
      </c>
      <c r="D849" s="1" t="str">
        <f>VLOOKUP($C849, 'Instrument Table'!$B:$C, 2, FALSE)</f>
        <v>Pianos</v>
      </c>
      <c r="E849" s="1">
        <f t="shared" si="78"/>
        <v>1</v>
      </c>
      <c r="F849" s="1">
        <f>_xlfn.XLOOKUP($C849, 'Instrument Table'!$B:$B, 'Instrument Table'!$A:$A, "")</f>
        <v>12</v>
      </c>
      <c r="G849" s="1" t="str">
        <f>TEXT(IF($B849 = "Retail Item", IF((ROW($A849) - 4504 - _xlfn.XMATCH($C849, $C$4506:$C$5005, 0, 1)) &lt;= VLOOKUP($C849, 'Instrument Table'!$B:$D, 3, FALSE), ROW($A849) - 4504 - _xlfn.XMATCH($C849, $C$4506:$C$5005, 0, 1), 0), 0), "00")</f>
        <v>00</v>
      </c>
      <c r="H849" s="1" t="str">
        <f t="shared" si="79"/>
        <v>093</v>
      </c>
      <c r="I849" s="1" t="str">
        <f t="shared" si="80"/>
        <v>11200-093</v>
      </c>
      <c r="J849" s="1" t="str">
        <f t="shared" si="81"/>
        <v>Electric keyboard production item #093</v>
      </c>
      <c r="K849" s="1" t="str">
        <f>IF(SUM(COUNTIFS(I:I, I849)) &gt; 1, "DUPLICATE", "UNIQUE")</f>
        <v>UNIQUE</v>
      </c>
      <c r="L849" s="18">
        <v>0</v>
      </c>
      <c r="M849" s="28">
        <v>59</v>
      </c>
      <c r="N849" s="6">
        <v>0</v>
      </c>
      <c r="O849" s="30">
        <f t="shared" si="82"/>
        <v>0</v>
      </c>
      <c r="P849" s="30">
        <f t="shared" si="83"/>
        <v>0</v>
      </c>
      <c r="Q849" s="1">
        <f>COUNTIFS($P:$P, "&gt;" &amp; $P849) + 1</f>
        <v>4746</v>
      </c>
      <c r="R849" s="63">
        <f>(COUNTIFS($P:$P, "&gt;" &amp; $P849) + 1) / (COUNTA($I:$I) - 1)</f>
        <v>0.94920000000000004</v>
      </c>
      <c r="S849" s="23">
        <f>SUMIFS($P:$P, $Q:$Q, "&lt;" &amp; $Q849)</f>
        <v>186547861</v>
      </c>
    </row>
    <row r="850" spans="1:19" x14ac:dyDescent="0.25">
      <c r="A850" s="1">
        <v>845</v>
      </c>
      <c r="B850" s="1" t="s">
        <v>2</v>
      </c>
      <c r="C850" s="1" t="str">
        <f>IF($B850 = "Production Item", _xlfn.XLOOKUP($A850, 'Instrument Table'!$J:$J, 'Instrument Table'!$B:$B, $C849), IF($B850 = "Service Item", _xlfn.XLOOKUP($A850, 'Instrument Table'!$I:$I, 'Instrument Table'!$B:$B, $C849), _xlfn.XLOOKUP($A850, 'Instrument Table'!$H:$H, 'Instrument Table'!$B:$B, $C849)))</f>
        <v>Electric Keyboard</v>
      </c>
      <c r="D850" s="1" t="str">
        <f>VLOOKUP($C850, 'Instrument Table'!$B:$C, 2, FALSE)</f>
        <v>Pianos</v>
      </c>
      <c r="E850" s="1">
        <f t="shared" si="78"/>
        <v>1</v>
      </c>
      <c r="F850" s="1">
        <f>_xlfn.XLOOKUP($C850, 'Instrument Table'!$B:$B, 'Instrument Table'!$A:$A, "")</f>
        <v>12</v>
      </c>
      <c r="G850" s="1" t="str">
        <f>TEXT(IF($B850 = "Retail Item", IF((ROW($A850) - 4504 - _xlfn.XMATCH($C850, $C$4506:$C$5005, 0, 1)) &lt;= VLOOKUP($C850, 'Instrument Table'!$B:$D, 3, FALSE), ROW($A850) - 4504 - _xlfn.XMATCH($C850, $C$4506:$C$5005, 0, 1), 0), 0), "00")</f>
        <v>00</v>
      </c>
      <c r="H850" s="1" t="str">
        <f t="shared" si="79"/>
        <v>094</v>
      </c>
      <c r="I850" s="1" t="str">
        <f t="shared" si="80"/>
        <v>11200-094</v>
      </c>
      <c r="J850" s="1" t="str">
        <f t="shared" si="81"/>
        <v>Electric keyboard production item #094</v>
      </c>
      <c r="K850" s="1" t="str">
        <f>IF(SUM(COUNTIFS(I:I, I850)) &gt; 1, "DUPLICATE", "UNIQUE")</f>
        <v>UNIQUE</v>
      </c>
      <c r="L850" s="18">
        <v>0</v>
      </c>
      <c r="M850" s="28">
        <v>52</v>
      </c>
      <c r="N850" s="6">
        <v>361</v>
      </c>
      <c r="O850" s="30">
        <f t="shared" si="82"/>
        <v>0</v>
      </c>
      <c r="P850" s="30">
        <f t="shared" si="83"/>
        <v>18772</v>
      </c>
      <c r="Q850" s="1">
        <f>COUNTIFS($P:$P, "&gt;" &amp; $P850) + 1</f>
        <v>1117</v>
      </c>
      <c r="R850" s="63">
        <f>(COUNTIFS($P:$P, "&gt;" &amp; $P850) + 1) / (COUNTA($I:$I) - 1)</f>
        <v>0.22339999999999999</v>
      </c>
      <c r="S850" s="23">
        <f>SUMIFS($P:$P, $Q:$Q, "&lt;" &amp; $Q850)</f>
        <v>168825579</v>
      </c>
    </row>
    <row r="851" spans="1:19" x14ac:dyDescent="0.25">
      <c r="A851" s="1">
        <v>846</v>
      </c>
      <c r="B851" s="1" t="s">
        <v>2</v>
      </c>
      <c r="C851" s="1" t="str">
        <f>IF($B851 = "Production Item", _xlfn.XLOOKUP($A851, 'Instrument Table'!$J:$J, 'Instrument Table'!$B:$B, $C850), IF($B851 = "Service Item", _xlfn.XLOOKUP($A851, 'Instrument Table'!$I:$I, 'Instrument Table'!$B:$B, $C850), _xlfn.XLOOKUP($A851, 'Instrument Table'!$H:$H, 'Instrument Table'!$B:$B, $C850)))</f>
        <v>Electric Keyboard</v>
      </c>
      <c r="D851" s="1" t="str">
        <f>VLOOKUP($C851, 'Instrument Table'!$B:$C, 2, FALSE)</f>
        <v>Pianos</v>
      </c>
      <c r="E851" s="1">
        <f t="shared" si="78"/>
        <v>1</v>
      </c>
      <c r="F851" s="1">
        <f>_xlfn.XLOOKUP($C851, 'Instrument Table'!$B:$B, 'Instrument Table'!$A:$A, "")</f>
        <v>12</v>
      </c>
      <c r="G851" s="1" t="str">
        <f>TEXT(IF($B851 = "Retail Item", IF((ROW($A851) - 4504 - _xlfn.XMATCH($C851, $C$4506:$C$5005, 0, 1)) &lt;= VLOOKUP($C851, 'Instrument Table'!$B:$D, 3, FALSE), ROW($A851) - 4504 - _xlfn.XMATCH($C851, $C$4506:$C$5005, 0, 1), 0), 0), "00")</f>
        <v>00</v>
      </c>
      <c r="H851" s="1" t="str">
        <f t="shared" si="79"/>
        <v>095</v>
      </c>
      <c r="I851" s="1" t="str">
        <f t="shared" si="80"/>
        <v>11200-095</v>
      </c>
      <c r="J851" s="1" t="str">
        <f t="shared" si="81"/>
        <v>Electric keyboard production item #095</v>
      </c>
      <c r="K851" s="1" t="str">
        <f>IF(SUM(COUNTIFS(I:I, I851)) &gt; 1, "DUPLICATE", "UNIQUE")</f>
        <v>UNIQUE</v>
      </c>
      <c r="L851" s="18">
        <v>0</v>
      </c>
      <c r="M851" s="28">
        <v>51</v>
      </c>
      <c r="N851" s="6">
        <v>16</v>
      </c>
      <c r="O851" s="30">
        <f t="shared" si="82"/>
        <v>0</v>
      </c>
      <c r="P851" s="30">
        <f t="shared" si="83"/>
        <v>816</v>
      </c>
      <c r="Q851" s="1">
        <f>COUNTIFS($P:$P, "&gt;" &amp; $P851) + 1</f>
        <v>3782</v>
      </c>
      <c r="R851" s="63">
        <f>(COUNTIFS($P:$P, "&gt;" &amp; $P851) + 1) / (COUNTA($I:$I) - 1)</f>
        <v>0.75639999999999996</v>
      </c>
      <c r="S851" s="23">
        <f>SUMIFS($P:$P, $Q:$Q, "&lt;" &amp; $Q851)</f>
        <v>186251204</v>
      </c>
    </row>
    <row r="852" spans="1:19" x14ac:dyDescent="0.25">
      <c r="A852" s="1">
        <v>847</v>
      </c>
      <c r="B852" s="1" t="s">
        <v>2</v>
      </c>
      <c r="C852" s="1" t="str">
        <f>IF($B852 = "Production Item", _xlfn.XLOOKUP($A852, 'Instrument Table'!$J:$J, 'Instrument Table'!$B:$B, $C851), IF($B852 = "Service Item", _xlfn.XLOOKUP($A852, 'Instrument Table'!$I:$I, 'Instrument Table'!$B:$B, $C851), _xlfn.XLOOKUP($A852, 'Instrument Table'!$H:$H, 'Instrument Table'!$B:$B, $C851)))</f>
        <v>Electric Keyboard</v>
      </c>
      <c r="D852" s="1" t="str">
        <f>VLOOKUP($C852, 'Instrument Table'!$B:$C, 2, FALSE)</f>
        <v>Pianos</v>
      </c>
      <c r="E852" s="1">
        <f t="shared" si="78"/>
        <v>1</v>
      </c>
      <c r="F852" s="1">
        <f>_xlfn.XLOOKUP($C852, 'Instrument Table'!$B:$B, 'Instrument Table'!$A:$A, "")</f>
        <v>12</v>
      </c>
      <c r="G852" s="1" t="str">
        <f>TEXT(IF($B852 = "Retail Item", IF((ROW($A852) - 4504 - _xlfn.XMATCH($C852, $C$4506:$C$5005, 0, 1)) &lt;= VLOOKUP($C852, 'Instrument Table'!$B:$D, 3, FALSE), ROW($A852) - 4504 - _xlfn.XMATCH($C852, $C$4506:$C$5005, 0, 1), 0), 0), "00")</f>
        <v>00</v>
      </c>
      <c r="H852" s="1" t="str">
        <f t="shared" si="79"/>
        <v>096</v>
      </c>
      <c r="I852" s="1" t="str">
        <f t="shared" si="80"/>
        <v>11200-096</v>
      </c>
      <c r="J852" s="1" t="str">
        <f t="shared" si="81"/>
        <v>Electric keyboard production item #096</v>
      </c>
      <c r="K852" s="1" t="str">
        <f>IF(SUM(COUNTIFS(I:I, I852)) &gt; 1, "DUPLICATE", "UNIQUE")</f>
        <v>UNIQUE</v>
      </c>
      <c r="L852" s="18">
        <v>0</v>
      </c>
      <c r="M852" s="28">
        <v>9</v>
      </c>
      <c r="N852" s="6">
        <v>324</v>
      </c>
      <c r="O852" s="30">
        <f t="shared" si="82"/>
        <v>0</v>
      </c>
      <c r="P852" s="30">
        <f t="shared" si="83"/>
        <v>2916</v>
      </c>
      <c r="Q852" s="1">
        <f>COUNTIFS($P:$P, "&gt;" &amp; $P852) + 1</f>
        <v>2925</v>
      </c>
      <c r="R852" s="63">
        <f>(COUNTIFS($P:$P, "&gt;" &amp; $P852) + 1) / (COUNTA($I:$I) - 1)</f>
        <v>0.58499999999999996</v>
      </c>
      <c r="S852" s="23">
        <f>SUMIFS($P:$P, $Q:$Q, "&lt;" &amp; $Q852)</f>
        <v>184722737</v>
      </c>
    </row>
    <row r="853" spans="1:19" x14ac:dyDescent="0.25">
      <c r="A853" s="1">
        <v>848</v>
      </c>
      <c r="B853" s="1" t="s">
        <v>2</v>
      </c>
      <c r="C853" s="1" t="str">
        <f>IF($B853 = "Production Item", _xlfn.XLOOKUP($A853, 'Instrument Table'!$J:$J, 'Instrument Table'!$B:$B, $C852), IF($B853 = "Service Item", _xlfn.XLOOKUP($A853, 'Instrument Table'!$I:$I, 'Instrument Table'!$B:$B, $C852), _xlfn.XLOOKUP($A853, 'Instrument Table'!$H:$H, 'Instrument Table'!$B:$B, $C852)))</f>
        <v>Electric Keyboard</v>
      </c>
      <c r="D853" s="1" t="str">
        <f>VLOOKUP($C853, 'Instrument Table'!$B:$C, 2, FALSE)</f>
        <v>Pianos</v>
      </c>
      <c r="E853" s="1">
        <f t="shared" si="78"/>
        <v>1</v>
      </c>
      <c r="F853" s="1">
        <f>_xlfn.XLOOKUP($C853, 'Instrument Table'!$B:$B, 'Instrument Table'!$A:$A, "")</f>
        <v>12</v>
      </c>
      <c r="G853" s="1" t="str">
        <f>TEXT(IF($B853 = "Retail Item", IF((ROW($A853) - 4504 - _xlfn.XMATCH($C853, $C$4506:$C$5005, 0, 1)) &lt;= VLOOKUP($C853, 'Instrument Table'!$B:$D, 3, FALSE), ROW($A853) - 4504 - _xlfn.XMATCH($C853, $C$4506:$C$5005, 0, 1), 0), 0), "00")</f>
        <v>00</v>
      </c>
      <c r="H853" s="1" t="str">
        <f t="shared" si="79"/>
        <v>097</v>
      </c>
      <c r="I853" s="1" t="str">
        <f t="shared" si="80"/>
        <v>11200-097</v>
      </c>
      <c r="J853" s="1" t="str">
        <f t="shared" si="81"/>
        <v>Electric keyboard production item #097</v>
      </c>
      <c r="K853" s="1" t="str">
        <f>IF(SUM(COUNTIFS(I:I, I853)) &gt; 1, "DUPLICATE", "UNIQUE")</f>
        <v>UNIQUE</v>
      </c>
      <c r="L853" s="18">
        <v>1</v>
      </c>
      <c r="M853" s="28">
        <v>4</v>
      </c>
      <c r="N853" s="6">
        <v>121</v>
      </c>
      <c r="O853" s="30">
        <f t="shared" si="82"/>
        <v>4</v>
      </c>
      <c r="P853" s="30">
        <f t="shared" si="83"/>
        <v>484</v>
      </c>
      <c r="Q853" s="1">
        <f>COUNTIFS($P:$P, "&gt;" &amp; $P853) + 1</f>
        <v>4044</v>
      </c>
      <c r="R853" s="63">
        <f>(COUNTIFS($P:$P, "&gt;" &amp; $P853) + 1) / (COUNTA($I:$I) - 1)</f>
        <v>0.80879999999999996</v>
      </c>
      <c r="S853" s="23">
        <f>SUMIFS($P:$P, $Q:$Q, "&lt;" &amp; $Q853)</f>
        <v>186420522</v>
      </c>
    </row>
    <row r="854" spans="1:19" x14ac:dyDescent="0.25">
      <c r="A854" s="1">
        <v>849</v>
      </c>
      <c r="B854" s="1" t="s">
        <v>2</v>
      </c>
      <c r="C854" s="1" t="str">
        <f>IF($B854 = "Production Item", _xlfn.XLOOKUP($A854, 'Instrument Table'!$J:$J, 'Instrument Table'!$B:$B, $C853), IF($B854 = "Service Item", _xlfn.XLOOKUP($A854, 'Instrument Table'!$I:$I, 'Instrument Table'!$B:$B, $C853), _xlfn.XLOOKUP($A854, 'Instrument Table'!$H:$H, 'Instrument Table'!$B:$B, $C853)))</f>
        <v>Electric Keyboard</v>
      </c>
      <c r="D854" s="1" t="str">
        <f>VLOOKUP($C854, 'Instrument Table'!$B:$C, 2, FALSE)</f>
        <v>Pianos</v>
      </c>
      <c r="E854" s="1">
        <f t="shared" si="78"/>
        <v>1</v>
      </c>
      <c r="F854" s="1">
        <f>_xlfn.XLOOKUP($C854, 'Instrument Table'!$B:$B, 'Instrument Table'!$A:$A, "")</f>
        <v>12</v>
      </c>
      <c r="G854" s="1" t="str">
        <f>TEXT(IF($B854 = "Retail Item", IF((ROW($A854) - 4504 - _xlfn.XMATCH($C854, $C$4506:$C$5005, 0, 1)) &lt;= VLOOKUP($C854, 'Instrument Table'!$B:$D, 3, FALSE), ROW($A854) - 4504 - _xlfn.XMATCH($C854, $C$4506:$C$5005, 0, 1), 0), 0), "00")</f>
        <v>00</v>
      </c>
      <c r="H854" s="1" t="str">
        <f t="shared" si="79"/>
        <v>098</v>
      </c>
      <c r="I854" s="1" t="str">
        <f t="shared" si="80"/>
        <v>11200-098</v>
      </c>
      <c r="J854" s="1" t="str">
        <f t="shared" si="81"/>
        <v>Electric keyboard production item #098</v>
      </c>
      <c r="K854" s="1" t="str">
        <f>IF(SUM(COUNTIFS(I:I, I854)) &gt; 1, "DUPLICATE", "UNIQUE")</f>
        <v>UNIQUE</v>
      </c>
      <c r="L854" s="18">
        <v>0</v>
      </c>
      <c r="M854" s="28">
        <v>9</v>
      </c>
      <c r="N854" s="6">
        <v>144</v>
      </c>
      <c r="O854" s="30">
        <f t="shared" si="82"/>
        <v>0</v>
      </c>
      <c r="P854" s="30">
        <f t="shared" si="83"/>
        <v>1296</v>
      </c>
      <c r="Q854" s="1">
        <f>COUNTIFS($P:$P, "&gt;" &amp; $P854) + 1</f>
        <v>3564</v>
      </c>
      <c r="R854" s="63">
        <f>(COUNTIFS($P:$P, "&gt;" &amp; $P854) + 1) / (COUNTA($I:$I) - 1)</f>
        <v>0.71279999999999999</v>
      </c>
      <c r="S854" s="23">
        <f>SUMIFS($P:$P, $Q:$Q, "&lt;" &amp; $Q854)</f>
        <v>186024528</v>
      </c>
    </row>
    <row r="855" spans="1:19" x14ac:dyDescent="0.25">
      <c r="A855" s="1">
        <v>850</v>
      </c>
      <c r="B855" s="1" t="s">
        <v>2</v>
      </c>
      <c r="C855" s="1" t="str">
        <f>IF($B855 = "Production Item", _xlfn.XLOOKUP($A855, 'Instrument Table'!$J:$J, 'Instrument Table'!$B:$B, $C854), IF($B855 = "Service Item", _xlfn.XLOOKUP($A855, 'Instrument Table'!$I:$I, 'Instrument Table'!$B:$B, $C854), _xlfn.XLOOKUP($A855, 'Instrument Table'!$H:$H, 'Instrument Table'!$B:$B, $C854)))</f>
        <v>Electric Keyboard</v>
      </c>
      <c r="D855" s="1" t="str">
        <f>VLOOKUP($C855, 'Instrument Table'!$B:$C, 2, FALSE)</f>
        <v>Pianos</v>
      </c>
      <c r="E855" s="1">
        <f t="shared" si="78"/>
        <v>1</v>
      </c>
      <c r="F855" s="1">
        <f>_xlfn.XLOOKUP($C855, 'Instrument Table'!$B:$B, 'Instrument Table'!$A:$A, "")</f>
        <v>12</v>
      </c>
      <c r="G855" s="1" t="str">
        <f>TEXT(IF($B855 = "Retail Item", IF((ROW($A855) - 4504 - _xlfn.XMATCH($C855, $C$4506:$C$5005, 0, 1)) &lt;= VLOOKUP($C855, 'Instrument Table'!$B:$D, 3, FALSE), ROW($A855) - 4504 - _xlfn.XMATCH($C855, $C$4506:$C$5005, 0, 1), 0), 0), "00")</f>
        <v>00</v>
      </c>
      <c r="H855" s="1" t="str">
        <f t="shared" si="79"/>
        <v>099</v>
      </c>
      <c r="I855" s="1" t="str">
        <f t="shared" si="80"/>
        <v>11200-099</v>
      </c>
      <c r="J855" s="1" t="str">
        <f t="shared" si="81"/>
        <v>Electric keyboard production item #099</v>
      </c>
      <c r="K855" s="1" t="str">
        <f>IF(SUM(COUNTIFS(I:I, I855)) &gt; 1, "DUPLICATE", "UNIQUE")</f>
        <v>UNIQUE</v>
      </c>
      <c r="L855" s="18">
        <v>4</v>
      </c>
      <c r="M855" s="28">
        <v>67</v>
      </c>
      <c r="N855" s="6">
        <v>36</v>
      </c>
      <c r="O855" s="30">
        <f t="shared" si="82"/>
        <v>268</v>
      </c>
      <c r="P855" s="30">
        <f t="shared" si="83"/>
        <v>2412</v>
      </c>
      <c r="Q855" s="1">
        <f>COUNTIFS($P:$P, "&gt;" &amp; $P855) + 1</f>
        <v>3081</v>
      </c>
      <c r="R855" s="63">
        <f>(COUNTIFS($P:$P, "&gt;" &amp; $P855) + 1) / (COUNTA($I:$I) - 1)</f>
        <v>0.61619999999999997</v>
      </c>
      <c r="S855" s="23">
        <f>SUMIFS($P:$P, $Q:$Q, "&lt;" &amp; $Q855)</f>
        <v>185136940</v>
      </c>
    </row>
    <row r="856" spans="1:19" x14ac:dyDescent="0.25">
      <c r="A856" s="1">
        <v>851</v>
      </c>
      <c r="B856" s="1" t="s">
        <v>2</v>
      </c>
      <c r="C856" s="1" t="str">
        <f>IF($B856 = "Production Item", _xlfn.XLOOKUP($A856, 'Instrument Table'!$J:$J, 'Instrument Table'!$B:$B, $C855), IF($B856 = "Service Item", _xlfn.XLOOKUP($A856, 'Instrument Table'!$I:$I, 'Instrument Table'!$B:$B, $C855), _xlfn.XLOOKUP($A856, 'Instrument Table'!$H:$H, 'Instrument Table'!$B:$B, $C855)))</f>
        <v>Electric Keyboard</v>
      </c>
      <c r="D856" s="1" t="str">
        <f>VLOOKUP($C856, 'Instrument Table'!$B:$C, 2, FALSE)</f>
        <v>Pianos</v>
      </c>
      <c r="E856" s="1">
        <f t="shared" si="78"/>
        <v>1</v>
      </c>
      <c r="F856" s="1">
        <f>_xlfn.XLOOKUP($C856, 'Instrument Table'!$B:$B, 'Instrument Table'!$A:$A, "")</f>
        <v>12</v>
      </c>
      <c r="G856" s="1" t="str">
        <f>TEXT(IF($B856 = "Retail Item", IF((ROW($A856) - 4504 - _xlfn.XMATCH($C856, $C$4506:$C$5005, 0, 1)) &lt;= VLOOKUP($C856, 'Instrument Table'!$B:$D, 3, FALSE), ROW($A856) - 4504 - _xlfn.XMATCH($C856, $C$4506:$C$5005, 0, 1), 0), 0), "00")</f>
        <v>00</v>
      </c>
      <c r="H856" s="1" t="str">
        <f t="shared" si="79"/>
        <v>100</v>
      </c>
      <c r="I856" s="1" t="str">
        <f t="shared" si="80"/>
        <v>11200-100</v>
      </c>
      <c r="J856" s="1" t="str">
        <f t="shared" si="81"/>
        <v>Electric keyboard production item #100</v>
      </c>
      <c r="K856" s="1" t="str">
        <f>IF(SUM(COUNTIFS(I:I, I856)) &gt; 1, "DUPLICATE", "UNIQUE")</f>
        <v>UNIQUE</v>
      </c>
      <c r="L856" s="18">
        <v>1</v>
      </c>
      <c r="M856" s="28">
        <v>31</v>
      </c>
      <c r="N856" s="6">
        <v>169</v>
      </c>
      <c r="O856" s="30">
        <f t="shared" si="82"/>
        <v>31</v>
      </c>
      <c r="P856" s="30">
        <f t="shared" si="83"/>
        <v>5239</v>
      </c>
      <c r="Q856" s="1">
        <f>COUNTIFS($P:$P, "&gt;" &amp; $P856) + 1</f>
        <v>2397</v>
      </c>
      <c r="R856" s="63">
        <f>(COUNTIFS($P:$P, "&gt;" &amp; $P856) + 1) / (COUNTA($I:$I) - 1)</f>
        <v>0.47939999999999999</v>
      </c>
      <c r="S856" s="23">
        <f>SUMIFS($P:$P, $Q:$Q, "&lt;" &amp; $Q856)</f>
        <v>182600803</v>
      </c>
    </row>
    <row r="857" spans="1:19" x14ac:dyDescent="0.25">
      <c r="A857" s="1">
        <v>852</v>
      </c>
      <c r="B857" s="1" t="s">
        <v>2</v>
      </c>
      <c r="C857" s="1" t="str">
        <f>IF($B857 = "Production Item", _xlfn.XLOOKUP($A857, 'Instrument Table'!$J:$J, 'Instrument Table'!$B:$B, $C856), IF($B857 = "Service Item", _xlfn.XLOOKUP($A857, 'Instrument Table'!$I:$I, 'Instrument Table'!$B:$B, $C856), _xlfn.XLOOKUP($A857, 'Instrument Table'!$H:$H, 'Instrument Table'!$B:$B, $C856)))</f>
        <v>Electric Keyboard</v>
      </c>
      <c r="D857" s="1" t="str">
        <f>VLOOKUP($C857, 'Instrument Table'!$B:$C, 2, FALSE)</f>
        <v>Pianos</v>
      </c>
      <c r="E857" s="1">
        <f t="shared" si="78"/>
        <v>1</v>
      </c>
      <c r="F857" s="1">
        <f>_xlfn.XLOOKUP($C857, 'Instrument Table'!$B:$B, 'Instrument Table'!$A:$A, "")</f>
        <v>12</v>
      </c>
      <c r="G857" s="1" t="str">
        <f>TEXT(IF($B857 = "Retail Item", IF((ROW($A857) - 4504 - _xlfn.XMATCH($C857, $C$4506:$C$5005, 0, 1)) &lt;= VLOOKUP($C857, 'Instrument Table'!$B:$D, 3, FALSE), ROW($A857) - 4504 - _xlfn.XMATCH($C857, $C$4506:$C$5005, 0, 1), 0), 0), "00")</f>
        <v>00</v>
      </c>
      <c r="H857" s="1" t="str">
        <f t="shared" si="79"/>
        <v>101</v>
      </c>
      <c r="I857" s="1" t="str">
        <f t="shared" si="80"/>
        <v>11200-101</v>
      </c>
      <c r="J857" s="1" t="str">
        <f t="shared" si="81"/>
        <v>Electric keyboard production item #101</v>
      </c>
      <c r="K857" s="1" t="str">
        <f>IF(SUM(COUNTIFS(I:I, I857)) &gt; 1, "DUPLICATE", "UNIQUE")</f>
        <v>UNIQUE</v>
      </c>
      <c r="L857" s="18">
        <v>1</v>
      </c>
      <c r="M857" s="28">
        <v>28</v>
      </c>
      <c r="N857" s="6">
        <v>16</v>
      </c>
      <c r="O857" s="30">
        <f t="shared" si="82"/>
        <v>28</v>
      </c>
      <c r="P857" s="30">
        <f t="shared" si="83"/>
        <v>448</v>
      </c>
      <c r="Q857" s="1">
        <f>COUNTIFS($P:$P, "&gt;" &amp; $P857) + 1</f>
        <v>4062</v>
      </c>
      <c r="R857" s="63">
        <f>(COUNTIFS($P:$P, "&gt;" &amp; $P857) + 1) / (COUNTA($I:$I) - 1)</f>
        <v>0.81240000000000001</v>
      </c>
      <c r="S857" s="23">
        <f>SUMIFS($P:$P, $Q:$Q, "&lt;" &amp; $Q857)</f>
        <v>186428850</v>
      </c>
    </row>
    <row r="858" spans="1:19" x14ac:dyDescent="0.25">
      <c r="A858" s="1">
        <v>853</v>
      </c>
      <c r="B858" s="1" t="s">
        <v>2</v>
      </c>
      <c r="C858" s="1" t="str">
        <f>IF($B858 = "Production Item", _xlfn.XLOOKUP($A858, 'Instrument Table'!$J:$J, 'Instrument Table'!$B:$B, $C857), IF($B858 = "Service Item", _xlfn.XLOOKUP($A858, 'Instrument Table'!$I:$I, 'Instrument Table'!$B:$B, $C857), _xlfn.XLOOKUP($A858, 'Instrument Table'!$H:$H, 'Instrument Table'!$B:$B, $C857)))</f>
        <v>Electric Keyboard</v>
      </c>
      <c r="D858" s="1" t="str">
        <f>VLOOKUP($C858, 'Instrument Table'!$B:$C, 2, FALSE)</f>
        <v>Pianos</v>
      </c>
      <c r="E858" s="1">
        <f t="shared" si="78"/>
        <v>1</v>
      </c>
      <c r="F858" s="1">
        <f>_xlfn.XLOOKUP($C858, 'Instrument Table'!$B:$B, 'Instrument Table'!$A:$A, "")</f>
        <v>12</v>
      </c>
      <c r="G858" s="1" t="str">
        <f>TEXT(IF($B858 = "Retail Item", IF((ROW($A858) - 4504 - _xlfn.XMATCH($C858, $C$4506:$C$5005, 0, 1)) &lt;= VLOOKUP($C858, 'Instrument Table'!$B:$D, 3, FALSE), ROW($A858) - 4504 - _xlfn.XMATCH($C858, $C$4506:$C$5005, 0, 1), 0), 0), "00")</f>
        <v>00</v>
      </c>
      <c r="H858" s="1" t="str">
        <f t="shared" si="79"/>
        <v>102</v>
      </c>
      <c r="I858" s="1" t="str">
        <f t="shared" si="80"/>
        <v>11200-102</v>
      </c>
      <c r="J858" s="1" t="str">
        <f t="shared" si="81"/>
        <v>Electric keyboard production item #102</v>
      </c>
      <c r="K858" s="1" t="str">
        <f>IF(SUM(COUNTIFS(I:I, I858)) &gt; 1, "DUPLICATE", "UNIQUE")</f>
        <v>UNIQUE</v>
      </c>
      <c r="L858" s="18">
        <v>0</v>
      </c>
      <c r="M858" s="28">
        <v>32</v>
      </c>
      <c r="N858" s="6">
        <v>256</v>
      </c>
      <c r="O858" s="30">
        <f t="shared" si="82"/>
        <v>0</v>
      </c>
      <c r="P858" s="30">
        <f t="shared" si="83"/>
        <v>8192</v>
      </c>
      <c r="Q858" s="1">
        <f>COUNTIFS($P:$P, "&gt;" &amp; $P858) + 1</f>
        <v>1964</v>
      </c>
      <c r="R858" s="63">
        <f>(COUNTIFS($P:$P, "&gt;" &amp; $P858) + 1) / (COUNTA($I:$I) - 1)</f>
        <v>0.39279999999999998</v>
      </c>
      <c r="S858" s="23">
        <f>SUMIFS($P:$P, $Q:$Q, "&lt;" &amp; $Q858)</f>
        <v>179706741</v>
      </c>
    </row>
    <row r="859" spans="1:19" x14ac:dyDescent="0.25">
      <c r="A859" s="1">
        <v>854</v>
      </c>
      <c r="B859" s="1" t="s">
        <v>2</v>
      </c>
      <c r="C859" s="1" t="str">
        <f>IF($B859 = "Production Item", _xlfn.XLOOKUP($A859, 'Instrument Table'!$J:$J, 'Instrument Table'!$B:$B, $C858), IF($B859 = "Service Item", _xlfn.XLOOKUP($A859, 'Instrument Table'!$I:$I, 'Instrument Table'!$B:$B, $C858), _xlfn.XLOOKUP($A859, 'Instrument Table'!$H:$H, 'Instrument Table'!$B:$B, $C858)))</f>
        <v>Electric Keyboard</v>
      </c>
      <c r="D859" s="1" t="str">
        <f>VLOOKUP($C859, 'Instrument Table'!$B:$C, 2, FALSE)</f>
        <v>Pianos</v>
      </c>
      <c r="E859" s="1">
        <f t="shared" si="78"/>
        <v>1</v>
      </c>
      <c r="F859" s="1">
        <f>_xlfn.XLOOKUP($C859, 'Instrument Table'!$B:$B, 'Instrument Table'!$A:$A, "")</f>
        <v>12</v>
      </c>
      <c r="G859" s="1" t="str">
        <f>TEXT(IF($B859 = "Retail Item", IF((ROW($A859) - 4504 - _xlfn.XMATCH($C859, $C$4506:$C$5005, 0, 1)) &lt;= VLOOKUP($C859, 'Instrument Table'!$B:$D, 3, FALSE), ROW($A859) - 4504 - _xlfn.XMATCH($C859, $C$4506:$C$5005, 0, 1), 0), 0), "00")</f>
        <v>00</v>
      </c>
      <c r="H859" s="1" t="str">
        <f t="shared" si="79"/>
        <v>103</v>
      </c>
      <c r="I859" s="1" t="str">
        <f t="shared" si="80"/>
        <v>11200-103</v>
      </c>
      <c r="J859" s="1" t="str">
        <f t="shared" si="81"/>
        <v>Electric keyboard production item #103</v>
      </c>
      <c r="K859" s="1" t="str">
        <f>IF(SUM(COUNTIFS(I:I, I859)) &gt; 1, "DUPLICATE", "UNIQUE")</f>
        <v>UNIQUE</v>
      </c>
      <c r="L859" s="18">
        <v>0</v>
      </c>
      <c r="M859" s="28">
        <v>18</v>
      </c>
      <c r="N859" s="6">
        <v>196</v>
      </c>
      <c r="O859" s="30">
        <f t="shared" si="82"/>
        <v>0</v>
      </c>
      <c r="P859" s="30">
        <f t="shared" si="83"/>
        <v>3528</v>
      </c>
      <c r="Q859" s="1">
        <f>COUNTIFS($P:$P, "&gt;" &amp; $P859) + 1</f>
        <v>2761</v>
      </c>
      <c r="R859" s="63">
        <f>(COUNTIFS($P:$P, "&gt;" &amp; $P859) + 1) / (COUNTA($I:$I) - 1)</f>
        <v>0.55220000000000002</v>
      </c>
      <c r="S859" s="23">
        <f>SUMIFS($P:$P, $Q:$Q, "&lt;" &amp; $Q859)</f>
        <v>184189975</v>
      </c>
    </row>
    <row r="860" spans="1:19" x14ac:dyDescent="0.25">
      <c r="A860" s="1">
        <v>855</v>
      </c>
      <c r="B860" s="1" t="s">
        <v>2</v>
      </c>
      <c r="C860" s="1" t="str">
        <f>IF($B860 = "Production Item", _xlfn.XLOOKUP($A860, 'Instrument Table'!$J:$J, 'Instrument Table'!$B:$B, $C859), IF($B860 = "Service Item", _xlfn.XLOOKUP($A860, 'Instrument Table'!$I:$I, 'Instrument Table'!$B:$B, $C859), _xlfn.XLOOKUP($A860, 'Instrument Table'!$H:$H, 'Instrument Table'!$B:$B, $C859)))</f>
        <v>Electric Keyboard</v>
      </c>
      <c r="D860" s="1" t="str">
        <f>VLOOKUP($C860, 'Instrument Table'!$B:$C, 2, FALSE)</f>
        <v>Pianos</v>
      </c>
      <c r="E860" s="1">
        <f t="shared" si="78"/>
        <v>1</v>
      </c>
      <c r="F860" s="1">
        <f>_xlfn.XLOOKUP($C860, 'Instrument Table'!$B:$B, 'Instrument Table'!$A:$A, "")</f>
        <v>12</v>
      </c>
      <c r="G860" s="1" t="str">
        <f>TEXT(IF($B860 = "Retail Item", IF((ROW($A860) - 4504 - _xlfn.XMATCH($C860, $C$4506:$C$5005, 0, 1)) &lt;= VLOOKUP($C860, 'Instrument Table'!$B:$D, 3, FALSE), ROW($A860) - 4504 - _xlfn.XMATCH($C860, $C$4506:$C$5005, 0, 1), 0), 0), "00")</f>
        <v>00</v>
      </c>
      <c r="H860" s="1" t="str">
        <f t="shared" si="79"/>
        <v>104</v>
      </c>
      <c r="I860" s="1" t="str">
        <f t="shared" si="80"/>
        <v>11200-104</v>
      </c>
      <c r="J860" s="1" t="str">
        <f t="shared" si="81"/>
        <v>Electric keyboard production item #104</v>
      </c>
      <c r="K860" s="1" t="str">
        <f>IF(SUM(COUNTIFS(I:I, I860)) &gt; 1, "DUPLICATE", "UNIQUE")</f>
        <v>UNIQUE</v>
      </c>
      <c r="L860" s="18">
        <v>0</v>
      </c>
      <c r="M860" s="28">
        <v>75</v>
      </c>
      <c r="N860" s="6">
        <v>0</v>
      </c>
      <c r="O860" s="30">
        <f t="shared" si="82"/>
        <v>0</v>
      </c>
      <c r="P860" s="30">
        <f t="shared" si="83"/>
        <v>0</v>
      </c>
      <c r="Q860" s="1">
        <f>COUNTIFS($P:$P, "&gt;" &amp; $P860) + 1</f>
        <v>4746</v>
      </c>
      <c r="R860" s="63">
        <f>(COUNTIFS($P:$P, "&gt;" &amp; $P860) + 1) / (COUNTA($I:$I) - 1)</f>
        <v>0.94920000000000004</v>
      </c>
      <c r="S860" s="23">
        <f>SUMIFS($P:$P, $Q:$Q, "&lt;" &amp; $Q860)</f>
        <v>186547861</v>
      </c>
    </row>
    <row r="861" spans="1:19" x14ac:dyDescent="0.25">
      <c r="A861" s="1">
        <v>856</v>
      </c>
      <c r="B861" s="1" t="s">
        <v>2</v>
      </c>
      <c r="C861" s="1" t="str">
        <f>IF($B861 = "Production Item", _xlfn.XLOOKUP($A861, 'Instrument Table'!$J:$J, 'Instrument Table'!$B:$B, $C860), IF($B861 = "Service Item", _xlfn.XLOOKUP($A861, 'Instrument Table'!$I:$I, 'Instrument Table'!$B:$B, $C860), _xlfn.XLOOKUP($A861, 'Instrument Table'!$H:$H, 'Instrument Table'!$B:$B, $C860)))</f>
        <v>Electric Keyboard</v>
      </c>
      <c r="D861" s="1" t="str">
        <f>VLOOKUP($C861, 'Instrument Table'!$B:$C, 2, FALSE)</f>
        <v>Pianos</v>
      </c>
      <c r="E861" s="1">
        <f t="shared" si="78"/>
        <v>1</v>
      </c>
      <c r="F861" s="1">
        <f>_xlfn.XLOOKUP($C861, 'Instrument Table'!$B:$B, 'Instrument Table'!$A:$A, "")</f>
        <v>12</v>
      </c>
      <c r="G861" s="1" t="str">
        <f>TEXT(IF($B861 = "Retail Item", IF((ROW($A861) - 4504 - _xlfn.XMATCH($C861, $C$4506:$C$5005, 0, 1)) &lt;= VLOOKUP($C861, 'Instrument Table'!$B:$D, 3, FALSE), ROW($A861) - 4504 - _xlfn.XMATCH($C861, $C$4506:$C$5005, 0, 1), 0), 0), "00")</f>
        <v>00</v>
      </c>
      <c r="H861" s="1" t="str">
        <f t="shared" si="79"/>
        <v>105</v>
      </c>
      <c r="I861" s="1" t="str">
        <f t="shared" si="80"/>
        <v>11200-105</v>
      </c>
      <c r="J861" s="1" t="str">
        <f t="shared" si="81"/>
        <v>Electric keyboard production item #105</v>
      </c>
      <c r="K861" s="1" t="str">
        <f>IF(SUM(COUNTIFS(I:I, I861)) &gt; 1, "DUPLICATE", "UNIQUE")</f>
        <v>UNIQUE</v>
      </c>
      <c r="L861" s="18">
        <v>1</v>
      </c>
      <c r="M861" s="28">
        <v>81</v>
      </c>
      <c r="N861" s="6">
        <v>196</v>
      </c>
      <c r="O861" s="30">
        <f t="shared" si="82"/>
        <v>81</v>
      </c>
      <c r="P861" s="30">
        <f t="shared" si="83"/>
        <v>15876</v>
      </c>
      <c r="Q861" s="1">
        <f>COUNTIFS($P:$P, "&gt;" &amp; $P861) + 1</f>
        <v>1286</v>
      </c>
      <c r="R861" s="63">
        <f>(COUNTIFS($P:$P, "&gt;" &amp; $P861) + 1) / (COUNTA($I:$I) - 1)</f>
        <v>0.25719999999999998</v>
      </c>
      <c r="S861" s="23">
        <f>SUMIFS($P:$P, $Q:$Q, "&lt;" &amp; $Q861)</f>
        <v>171752413</v>
      </c>
    </row>
    <row r="862" spans="1:19" x14ac:dyDescent="0.25">
      <c r="A862" s="1">
        <v>857</v>
      </c>
      <c r="B862" s="1" t="s">
        <v>2</v>
      </c>
      <c r="C862" s="1" t="str">
        <f>IF($B862 = "Production Item", _xlfn.XLOOKUP($A862, 'Instrument Table'!$J:$J, 'Instrument Table'!$B:$B, $C861), IF($B862 = "Service Item", _xlfn.XLOOKUP($A862, 'Instrument Table'!$I:$I, 'Instrument Table'!$B:$B, $C861), _xlfn.XLOOKUP($A862, 'Instrument Table'!$H:$H, 'Instrument Table'!$B:$B, $C861)))</f>
        <v>Electric Keyboard</v>
      </c>
      <c r="D862" s="1" t="str">
        <f>VLOOKUP($C862, 'Instrument Table'!$B:$C, 2, FALSE)</f>
        <v>Pianos</v>
      </c>
      <c r="E862" s="1">
        <f t="shared" si="78"/>
        <v>1</v>
      </c>
      <c r="F862" s="1">
        <f>_xlfn.XLOOKUP($C862, 'Instrument Table'!$B:$B, 'Instrument Table'!$A:$A, "")</f>
        <v>12</v>
      </c>
      <c r="G862" s="1" t="str">
        <f>TEXT(IF($B862 = "Retail Item", IF((ROW($A862) - 4504 - _xlfn.XMATCH($C862, $C$4506:$C$5005, 0, 1)) &lt;= VLOOKUP($C862, 'Instrument Table'!$B:$D, 3, FALSE), ROW($A862) - 4504 - _xlfn.XMATCH($C862, $C$4506:$C$5005, 0, 1), 0), 0), "00")</f>
        <v>00</v>
      </c>
      <c r="H862" s="1" t="str">
        <f t="shared" si="79"/>
        <v>106</v>
      </c>
      <c r="I862" s="1" t="str">
        <f t="shared" si="80"/>
        <v>11200-106</v>
      </c>
      <c r="J862" s="1" t="str">
        <f t="shared" si="81"/>
        <v>Electric keyboard production item #106</v>
      </c>
      <c r="K862" s="1" t="str">
        <f>IF(SUM(COUNTIFS(I:I, I862)) &gt; 1, "DUPLICATE", "UNIQUE")</f>
        <v>UNIQUE</v>
      </c>
      <c r="L862" s="18">
        <v>1</v>
      </c>
      <c r="M862" s="28">
        <v>86</v>
      </c>
      <c r="N862" s="6">
        <v>361</v>
      </c>
      <c r="O862" s="30">
        <f t="shared" si="82"/>
        <v>86</v>
      </c>
      <c r="P862" s="30">
        <f t="shared" si="83"/>
        <v>31046</v>
      </c>
      <c r="Q862" s="1">
        <f>COUNTIFS($P:$P, "&gt;" &amp; $P862) + 1</f>
        <v>671</v>
      </c>
      <c r="R862" s="63">
        <f>(COUNTIFS($P:$P, "&gt;" &amp; $P862) + 1) / (COUNTA($I:$I) - 1)</f>
        <v>0.13420000000000001</v>
      </c>
      <c r="S862" s="23">
        <f>SUMIFS($P:$P, $Q:$Q, "&lt;" &amp; $Q862)</f>
        <v>158207335</v>
      </c>
    </row>
    <row r="863" spans="1:19" x14ac:dyDescent="0.25">
      <c r="A863" s="1">
        <v>858</v>
      </c>
      <c r="B863" s="1" t="s">
        <v>2</v>
      </c>
      <c r="C863" s="1" t="str">
        <f>IF($B863 = "Production Item", _xlfn.XLOOKUP($A863, 'Instrument Table'!$J:$J, 'Instrument Table'!$B:$B, $C862), IF($B863 = "Service Item", _xlfn.XLOOKUP($A863, 'Instrument Table'!$I:$I, 'Instrument Table'!$B:$B, $C862), _xlfn.XLOOKUP($A863, 'Instrument Table'!$H:$H, 'Instrument Table'!$B:$B, $C862)))</f>
        <v>Electric Keyboard</v>
      </c>
      <c r="D863" s="1" t="str">
        <f>VLOOKUP($C863, 'Instrument Table'!$B:$C, 2, FALSE)</f>
        <v>Pianos</v>
      </c>
      <c r="E863" s="1">
        <f t="shared" si="78"/>
        <v>1</v>
      </c>
      <c r="F863" s="1">
        <f>_xlfn.XLOOKUP($C863, 'Instrument Table'!$B:$B, 'Instrument Table'!$A:$A, "")</f>
        <v>12</v>
      </c>
      <c r="G863" s="1" t="str">
        <f>TEXT(IF($B863 = "Retail Item", IF((ROW($A863) - 4504 - _xlfn.XMATCH($C863, $C$4506:$C$5005, 0, 1)) &lt;= VLOOKUP($C863, 'Instrument Table'!$B:$D, 3, FALSE), ROW($A863) - 4504 - _xlfn.XMATCH($C863, $C$4506:$C$5005, 0, 1), 0), 0), "00")</f>
        <v>00</v>
      </c>
      <c r="H863" s="1" t="str">
        <f t="shared" si="79"/>
        <v>107</v>
      </c>
      <c r="I863" s="1" t="str">
        <f t="shared" si="80"/>
        <v>11200-107</v>
      </c>
      <c r="J863" s="1" t="str">
        <f t="shared" si="81"/>
        <v>Electric keyboard production item #107</v>
      </c>
      <c r="K863" s="1" t="str">
        <f>IF(SUM(COUNTIFS(I:I, I863)) &gt; 1, "DUPLICATE", "UNIQUE")</f>
        <v>UNIQUE</v>
      </c>
      <c r="L863" s="18">
        <v>2</v>
      </c>
      <c r="M863" s="28">
        <v>49</v>
      </c>
      <c r="N863" s="6">
        <v>324</v>
      </c>
      <c r="O863" s="30">
        <f t="shared" si="82"/>
        <v>98</v>
      </c>
      <c r="P863" s="30">
        <f t="shared" si="83"/>
        <v>15876</v>
      </c>
      <c r="Q863" s="1">
        <f>COUNTIFS($P:$P, "&gt;" &amp; $P863) + 1</f>
        <v>1286</v>
      </c>
      <c r="R863" s="63">
        <f>(COUNTIFS($P:$P, "&gt;" &amp; $P863) + 1) / (COUNTA($I:$I) - 1)</f>
        <v>0.25719999999999998</v>
      </c>
      <c r="S863" s="23">
        <f>SUMIFS($P:$P, $Q:$Q, "&lt;" &amp; $Q863)</f>
        <v>171752413</v>
      </c>
    </row>
    <row r="864" spans="1:19" x14ac:dyDescent="0.25">
      <c r="A864" s="1">
        <v>859</v>
      </c>
      <c r="B864" s="1" t="s">
        <v>2</v>
      </c>
      <c r="C864" s="1" t="str">
        <f>IF($B864 = "Production Item", _xlfn.XLOOKUP($A864, 'Instrument Table'!$J:$J, 'Instrument Table'!$B:$B, $C863), IF($B864 = "Service Item", _xlfn.XLOOKUP($A864, 'Instrument Table'!$I:$I, 'Instrument Table'!$B:$B, $C863), _xlfn.XLOOKUP($A864, 'Instrument Table'!$H:$H, 'Instrument Table'!$B:$B, $C863)))</f>
        <v>Electric Keyboard</v>
      </c>
      <c r="D864" s="1" t="str">
        <f>VLOOKUP($C864, 'Instrument Table'!$B:$C, 2, FALSE)</f>
        <v>Pianos</v>
      </c>
      <c r="E864" s="1">
        <f t="shared" si="78"/>
        <v>1</v>
      </c>
      <c r="F864" s="1">
        <f>_xlfn.XLOOKUP($C864, 'Instrument Table'!$B:$B, 'Instrument Table'!$A:$A, "")</f>
        <v>12</v>
      </c>
      <c r="G864" s="1" t="str">
        <f>TEXT(IF($B864 = "Retail Item", IF((ROW($A864) - 4504 - _xlfn.XMATCH($C864, $C$4506:$C$5005, 0, 1)) &lt;= VLOOKUP($C864, 'Instrument Table'!$B:$D, 3, FALSE), ROW($A864) - 4504 - _xlfn.XMATCH($C864, $C$4506:$C$5005, 0, 1), 0), 0), "00")</f>
        <v>00</v>
      </c>
      <c r="H864" s="1" t="str">
        <f t="shared" si="79"/>
        <v>108</v>
      </c>
      <c r="I864" s="1" t="str">
        <f t="shared" si="80"/>
        <v>11200-108</v>
      </c>
      <c r="J864" s="1" t="str">
        <f t="shared" si="81"/>
        <v>Electric keyboard production item #108</v>
      </c>
      <c r="K864" s="1" t="str">
        <f>IF(SUM(COUNTIFS(I:I, I864)) &gt; 1, "DUPLICATE", "UNIQUE")</f>
        <v>UNIQUE</v>
      </c>
      <c r="L864" s="18">
        <v>1</v>
      </c>
      <c r="M864" s="28">
        <v>84</v>
      </c>
      <c r="N864" s="6">
        <v>225</v>
      </c>
      <c r="O864" s="30">
        <f t="shared" si="82"/>
        <v>84</v>
      </c>
      <c r="P864" s="30">
        <f t="shared" si="83"/>
        <v>18900</v>
      </c>
      <c r="Q864" s="1">
        <f>COUNTIFS($P:$P, "&gt;" &amp; $P864) + 1</f>
        <v>1107</v>
      </c>
      <c r="R864" s="63">
        <f>(COUNTIFS($P:$P, "&gt;" &amp; $P864) + 1) / (COUNTA($I:$I) - 1)</f>
        <v>0.22140000000000001</v>
      </c>
      <c r="S864" s="23">
        <f>SUMIFS($P:$P, $Q:$Q, "&lt;" &amp; $Q864)</f>
        <v>168637290</v>
      </c>
    </row>
    <row r="865" spans="1:19" x14ac:dyDescent="0.25">
      <c r="A865" s="1">
        <v>860</v>
      </c>
      <c r="B865" s="1" t="s">
        <v>2</v>
      </c>
      <c r="C865" s="1" t="str">
        <f>IF($B865 = "Production Item", _xlfn.XLOOKUP($A865, 'Instrument Table'!$J:$J, 'Instrument Table'!$B:$B, $C864), IF($B865 = "Service Item", _xlfn.XLOOKUP($A865, 'Instrument Table'!$I:$I, 'Instrument Table'!$B:$B, $C864), _xlfn.XLOOKUP($A865, 'Instrument Table'!$H:$H, 'Instrument Table'!$B:$B, $C864)))</f>
        <v>Electric Keyboard</v>
      </c>
      <c r="D865" s="1" t="str">
        <f>VLOOKUP($C865, 'Instrument Table'!$B:$C, 2, FALSE)</f>
        <v>Pianos</v>
      </c>
      <c r="E865" s="1">
        <f t="shared" si="78"/>
        <v>1</v>
      </c>
      <c r="F865" s="1">
        <f>_xlfn.XLOOKUP($C865, 'Instrument Table'!$B:$B, 'Instrument Table'!$A:$A, "")</f>
        <v>12</v>
      </c>
      <c r="G865" s="1" t="str">
        <f>TEXT(IF($B865 = "Retail Item", IF((ROW($A865) - 4504 - _xlfn.XMATCH($C865, $C$4506:$C$5005, 0, 1)) &lt;= VLOOKUP($C865, 'Instrument Table'!$B:$D, 3, FALSE), ROW($A865) - 4504 - _xlfn.XMATCH($C865, $C$4506:$C$5005, 0, 1), 0), 0), "00")</f>
        <v>00</v>
      </c>
      <c r="H865" s="1" t="str">
        <f t="shared" si="79"/>
        <v>109</v>
      </c>
      <c r="I865" s="1" t="str">
        <f t="shared" si="80"/>
        <v>11200-109</v>
      </c>
      <c r="J865" s="1" t="str">
        <f t="shared" si="81"/>
        <v>Electric keyboard production item #109</v>
      </c>
      <c r="K865" s="1" t="str">
        <f>IF(SUM(COUNTIFS(I:I, I865)) &gt; 1, "DUPLICATE", "UNIQUE")</f>
        <v>UNIQUE</v>
      </c>
      <c r="L865" s="18">
        <v>0</v>
      </c>
      <c r="M865" s="28">
        <v>1</v>
      </c>
      <c r="N865" s="6">
        <v>169</v>
      </c>
      <c r="O865" s="30">
        <f t="shared" si="82"/>
        <v>0</v>
      </c>
      <c r="P865" s="30">
        <f t="shared" si="83"/>
        <v>169</v>
      </c>
      <c r="Q865" s="1">
        <f>COUNTIFS($P:$P, "&gt;" &amp; $P865) + 1</f>
        <v>4374</v>
      </c>
      <c r="R865" s="63">
        <f>(COUNTIFS($P:$P, "&gt;" &amp; $P865) + 1) / (COUNTA($I:$I) - 1)</f>
        <v>0.87480000000000002</v>
      </c>
      <c r="S865" s="23">
        <f>SUMIFS($P:$P, $Q:$Q, "&lt;" &amp; $Q865)</f>
        <v>186521853</v>
      </c>
    </row>
    <row r="866" spans="1:19" x14ac:dyDescent="0.25">
      <c r="A866" s="1">
        <v>861</v>
      </c>
      <c r="B866" s="1" t="s">
        <v>2</v>
      </c>
      <c r="C866" s="1" t="str">
        <f>IF($B866 = "Production Item", _xlfn.XLOOKUP($A866, 'Instrument Table'!$J:$J, 'Instrument Table'!$B:$B, $C865), IF($B866 = "Service Item", _xlfn.XLOOKUP($A866, 'Instrument Table'!$I:$I, 'Instrument Table'!$B:$B, $C865), _xlfn.XLOOKUP($A866, 'Instrument Table'!$H:$H, 'Instrument Table'!$B:$B, $C865)))</f>
        <v>Electric Keyboard</v>
      </c>
      <c r="D866" s="1" t="str">
        <f>VLOOKUP($C866, 'Instrument Table'!$B:$C, 2, FALSE)</f>
        <v>Pianos</v>
      </c>
      <c r="E866" s="1">
        <f t="shared" si="78"/>
        <v>1</v>
      </c>
      <c r="F866" s="1">
        <f>_xlfn.XLOOKUP($C866, 'Instrument Table'!$B:$B, 'Instrument Table'!$A:$A, "")</f>
        <v>12</v>
      </c>
      <c r="G866" s="1" t="str">
        <f>TEXT(IF($B866 = "Retail Item", IF((ROW($A866) - 4504 - _xlfn.XMATCH($C866, $C$4506:$C$5005, 0, 1)) &lt;= VLOOKUP($C866, 'Instrument Table'!$B:$D, 3, FALSE), ROW($A866) - 4504 - _xlfn.XMATCH($C866, $C$4506:$C$5005, 0, 1), 0), 0), "00")</f>
        <v>00</v>
      </c>
      <c r="H866" s="1" t="str">
        <f t="shared" si="79"/>
        <v>110</v>
      </c>
      <c r="I866" s="1" t="str">
        <f t="shared" si="80"/>
        <v>11200-110</v>
      </c>
      <c r="J866" s="1" t="str">
        <f t="shared" si="81"/>
        <v>Electric keyboard production item #110</v>
      </c>
      <c r="K866" s="1" t="str">
        <f>IF(SUM(COUNTIFS(I:I, I866)) &gt; 1, "DUPLICATE", "UNIQUE")</f>
        <v>UNIQUE</v>
      </c>
      <c r="L866" s="18">
        <v>1</v>
      </c>
      <c r="M866" s="28">
        <v>58</v>
      </c>
      <c r="N866" s="6">
        <v>9</v>
      </c>
      <c r="O866" s="30">
        <f t="shared" si="82"/>
        <v>58</v>
      </c>
      <c r="P866" s="30">
        <f t="shared" si="83"/>
        <v>522</v>
      </c>
      <c r="Q866" s="1">
        <f>COUNTIFS($P:$P, "&gt;" &amp; $P866) + 1</f>
        <v>4002</v>
      </c>
      <c r="R866" s="63">
        <f>(COUNTIFS($P:$P, "&gt;" &amp; $P866) + 1) / (COUNTA($I:$I) - 1)</f>
        <v>0.8004</v>
      </c>
      <c r="S866" s="23">
        <f>SUMIFS($P:$P, $Q:$Q, "&lt;" &amp; $Q866)</f>
        <v>186399352</v>
      </c>
    </row>
    <row r="867" spans="1:19" x14ac:dyDescent="0.25">
      <c r="A867" s="1">
        <v>862</v>
      </c>
      <c r="B867" s="1" t="s">
        <v>2</v>
      </c>
      <c r="C867" s="1" t="str">
        <f>IF($B867 = "Production Item", _xlfn.XLOOKUP($A867, 'Instrument Table'!$J:$J, 'Instrument Table'!$B:$B, $C866), IF($B867 = "Service Item", _xlfn.XLOOKUP($A867, 'Instrument Table'!$I:$I, 'Instrument Table'!$B:$B, $C866), _xlfn.XLOOKUP($A867, 'Instrument Table'!$H:$H, 'Instrument Table'!$B:$B, $C866)))</f>
        <v>Electric Keyboard</v>
      </c>
      <c r="D867" s="1" t="str">
        <f>VLOOKUP($C867, 'Instrument Table'!$B:$C, 2, FALSE)</f>
        <v>Pianos</v>
      </c>
      <c r="E867" s="1">
        <f t="shared" si="78"/>
        <v>1</v>
      </c>
      <c r="F867" s="1">
        <f>_xlfn.XLOOKUP($C867, 'Instrument Table'!$B:$B, 'Instrument Table'!$A:$A, "")</f>
        <v>12</v>
      </c>
      <c r="G867" s="1" t="str">
        <f>TEXT(IF($B867 = "Retail Item", IF((ROW($A867) - 4504 - _xlfn.XMATCH($C867, $C$4506:$C$5005, 0, 1)) &lt;= VLOOKUP($C867, 'Instrument Table'!$B:$D, 3, FALSE), ROW($A867) - 4504 - _xlfn.XMATCH($C867, $C$4506:$C$5005, 0, 1), 0), 0), "00")</f>
        <v>00</v>
      </c>
      <c r="H867" s="1" t="str">
        <f t="shared" si="79"/>
        <v>111</v>
      </c>
      <c r="I867" s="1" t="str">
        <f t="shared" si="80"/>
        <v>11200-111</v>
      </c>
      <c r="J867" s="1" t="str">
        <f t="shared" si="81"/>
        <v>Electric keyboard production item #111</v>
      </c>
      <c r="K867" s="1" t="str">
        <f>IF(SUM(COUNTIFS(I:I, I867)) &gt; 1, "DUPLICATE", "UNIQUE")</f>
        <v>UNIQUE</v>
      </c>
      <c r="L867" s="18">
        <v>1</v>
      </c>
      <c r="M867" s="28">
        <v>34</v>
      </c>
      <c r="N867" s="6">
        <v>324</v>
      </c>
      <c r="O867" s="30">
        <f t="shared" si="82"/>
        <v>34</v>
      </c>
      <c r="P867" s="30">
        <f t="shared" si="83"/>
        <v>11016</v>
      </c>
      <c r="Q867" s="1">
        <f>COUNTIFS($P:$P, "&gt;" &amp; $P867) + 1</f>
        <v>1677</v>
      </c>
      <c r="R867" s="63">
        <f>(COUNTIFS($P:$P, "&gt;" &amp; $P867) + 1) / (COUNTA($I:$I) - 1)</f>
        <v>0.33539999999999998</v>
      </c>
      <c r="S867" s="23">
        <f>SUMIFS($P:$P, $Q:$Q, "&lt;" &amp; $Q867)</f>
        <v>176961534</v>
      </c>
    </row>
    <row r="868" spans="1:19" x14ac:dyDescent="0.25">
      <c r="A868" s="1">
        <v>863</v>
      </c>
      <c r="B868" s="1" t="s">
        <v>2</v>
      </c>
      <c r="C868" s="1" t="str">
        <f>IF($B868 = "Production Item", _xlfn.XLOOKUP($A868, 'Instrument Table'!$J:$J, 'Instrument Table'!$B:$B, $C867), IF($B868 = "Service Item", _xlfn.XLOOKUP($A868, 'Instrument Table'!$I:$I, 'Instrument Table'!$B:$B, $C867), _xlfn.XLOOKUP($A868, 'Instrument Table'!$H:$H, 'Instrument Table'!$B:$B, $C867)))</f>
        <v>Electric Keyboard</v>
      </c>
      <c r="D868" s="1" t="str">
        <f>VLOOKUP($C868, 'Instrument Table'!$B:$C, 2, FALSE)</f>
        <v>Pianos</v>
      </c>
      <c r="E868" s="1">
        <f t="shared" si="78"/>
        <v>1</v>
      </c>
      <c r="F868" s="1">
        <f>_xlfn.XLOOKUP($C868, 'Instrument Table'!$B:$B, 'Instrument Table'!$A:$A, "")</f>
        <v>12</v>
      </c>
      <c r="G868" s="1" t="str">
        <f>TEXT(IF($B868 = "Retail Item", IF((ROW($A868) - 4504 - _xlfn.XMATCH($C868, $C$4506:$C$5005, 0, 1)) &lt;= VLOOKUP($C868, 'Instrument Table'!$B:$D, 3, FALSE), ROW($A868) - 4504 - _xlfn.XMATCH($C868, $C$4506:$C$5005, 0, 1), 0), 0), "00")</f>
        <v>00</v>
      </c>
      <c r="H868" s="1" t="str">
        <f t="shared" si="79"/>
        <v>112</v>
      </c>
      <c r="I868" s="1" t="str">
        <f t="shared" si="80"/>
        <v>11200-112</v>
      </c>
      <c r="J868" s="1" t="str">
        <f t="shared" si="81"/>
        <v>Electric keyboard production item #112</v>
      </c>
      <c r="K868" s="1" t="str">
        <f>IF(SUM(COUNTIFS(I:I, I868)) &gt; 1, "DUPLICATE", "UNIQUE")</f>
        <v>UNIQUE</v>
      </c>
      <c r="L868" s="18">
        <v>2</v>
      </c>
      <c r="M868" s="28">
        <v>72</v>
      </c>
      <c r="N868" s="6">
        <v>256</v>
      </c>
      <c r="O868" s="30">
        <f t="shared" si="82"/>
        <v>144</v>
      </c>
      <c r="P868" s="30">
        <f t="shared" si="83"/>
        <v>18432</v>
      </c>
      <c r="Q868" s="1">
        <f>COUNTIFS($P:$P, "&gt;" &amp; $P868) + 1</f>
        <v>1137</v>
      </c>
      <c r="R868" s="63">
        <f>(COUNTIFS($P:$P, "&gt;" &amp; $P868) + 1) / (COUNTA($I:$I) - 1)</f>
        <v>0.22739999999999999</v>
      </c>
      <c r="S868" s="23">
        <f>SUMIFS($P:$P, $Q:$Q, "&lt;" &amp; $Q868)</f>
        <v>169197389</v>
      </c>
    </row>
    <row r="869" spans="1:19" x14ac:dyDescent="0.25">
      <c r="A869" s="1">
        <v>864</v>
      </c>
      <c r="B869" s="1" t="s">
        <v>2</v>
      </c>
      <c r="C869" s="1" t="str">
        <f>IF($B869 = "Production Item", _xlfn.XLOOKUP($A869, 'Instrument Table'!$J:$J, 'Instrument Table'!$B:$B, $C868), IF($B869 = "Service Item", _xlfn.XLOOKUP($A869, 'Instrument Table'!$I:$I, 'Instrument Table'!$B:$B, $C868), _xlfn.XLOOKUP($A869, 'Instrument Table'!$H:$H, 'Instrument Table'!$B:$B, $C868)))</f>
        <v>Electric Keyboard</v>
      </c>
      <c r="D869" s="1" t="str">
        <f>VLOOKUP($C869, 'Instrument Table'!$B:$C, 2, FALSE)</f>
        <v>Pianos</v>
      </c>
      <c r="E869" s="1">
        <f t="shared" si="78"/>
        <v>1</v>
      </c>
      <c r="F869" s="1">
        <f>_xlfn.XLOOKUP($C869, 'Instrument Table'!$B:$B, 'Instrument Table'!$A:$A, "")</f>
        <v>12</v>
      </c>
      <c r="G869" s="1" t="str">
        <f>TEXT(IF($B869 = "Retail Item", IF((ROW($A869) - 4504 - _xlfn.XMATCH($C869, $C$4506:$C$5005, 0, 1)) &lt;= VLOOKUP($C869, 'Instrument Table'!$B:$D, 3, FALSE), ROW($A869) - 4504 - _xlfn.XMATCH($C869, $C$4506:$C$5005, 0, 1), 0), 0), "00")</f>
        <v>00</v>
      </c>
      <c r="H869" s="1" t="str">
        <f t="shared" si="79"/>
        <v>113</v>
      </c>
      <c r="I869" s="1" t="str">
        <f t="shared" si="80"/>
        <v>11200-113</v>
      </c>
      <c r="J869" s="1" t="str">
        <f t="shared" si="81"/>
        <v>Electric keyboard production item #113</v>
      </c>
      <c r="K869" s="1" t="str">
        <f>IF(SUM(COUNTIFS(I:I, I869)) &gt; 1, "DUPLICATE", "UNIQUE")</f>
        <v>UNIQUE</v>
      </c>
      <c r="L869" s="18">
        <v>1</v>
      </c>
      <c r="M869" s="28">
        <v>92</v>
      </c>
      <c r="N869" s="6">
        <v>36</v>
      </c>
      <c r="O869" s="30">
        <f t="shared" si="82"/>
        <v>92</v>
      </c>
      <c r="P869" s="30">
        <f t="shared" si="83"/>
        <v>3312</v>
      </c>
      <c r="Q869" s="1">
        <f>COUNTIFS($P:$P, "&gt;" &amp; $P869) + 1</f>
        <v>2826</v>
      </c>
      <c r="R869" s="63">
        <f>(COUNTIFS($P:$P, "&gt;" &amp; $P869) + 1) / (COUNTA($I:$I) - 1)</f>
        <v>0.56520000000000004</v>
      </c>
      <c r="S869" s="23">
        <f>SUMIFS($P:$P, $Q:$Q, "&lt;" &amp; $Q869)</f>
        <v>184413337</v>
      </c>
    </row>
    <row r="870" spans="1:19" x14ac:dyDescent="0.25">
      <c r="A870" s="1">
        <v>865</v>
      </c>
      <c r="B870" s="1" t="s">
        <v>2</v>
      </c>
      <c r="C870" s="1" t="str">
        <f>IF($B870 = "Production Item", _xlfn.XLOOKUP($A870, 'Instrument Table'!$J:$J, 'Instrument Table'!$B:$B, $C869), IF($B870 = "Service Item", _xlfn.XLOOKUP($A870, 'Instrument Table'!$I:$I, 'Instrument Table'!$B:$B, $C869), _xlfn.XLOOKUP($A870, 'Instrument Table'!$H:$H, 'Instrument Table'!$B:$B, $C869)))</f>
        <v>Electric Keyboard</v>
      </c>
      <c r="D870" s="1" t="str">
        <f>VLOOKUP($C870, 'Instrument Table'!$B:$C, 2, FALSE)</f>
        <v>Pianos</v>
      </c>
      <c r="E870" s="1">
        <f t="shared" si="78"/>
        <v>1</v>
      </c>
      <c r="F870" s="1">
        <f>_xlfn.XLOOKUP($C870, 'Instrument Table'!$B:$B, 'Instrument Table'!$A:$A, "")</f>
        <v>12</v>
      </c>
      <c r="G870" s="1" t="str">
        <f>TEXT(IF($B870 = "Retail Item", IF((ROW($A870) - 4504 - _xlfn.XMATCH($C870, $C$4506:$C$5005, 0, 1)) &lt;= VLOOKUP($C870, 'Instrument Table'!$B:$D, 3, FALSE), ROW($A870) - 4504 - _xlfn.XMATCH($C870, $C$4506:$C$5005, 0, 1), 0), 0), "00")</f>
        <v>00</v>
      </c>
      <c r="H870" s="1" t="str">
        <f t="shared" si="79"/>
        <v>114</v>
      </c>
      <c r="I870" s="1" t="str">
        <f t="shared" si="80"/>
        <v>11200-114</v>
      </c>
      <c r="J870" s="1" t="str">
        <f t="shared" si="81"/>
        <v>Electric keyboard production item #114</v>
      </c>
      <c r="K870" s="1" t="str">
        <f>IF(SUM(COUNTIFS(I:I, I870)) &gt; 1, "DUPLICATE", "UNIQUE")</f>
        <v>UNIQUE</v>
      </c>
      <c r="L870" s="18">
        <v>2</v>
      </c>
      <c r="M870" s="28">
        <v>35</v>
      </c>
      <c r="N870" s="6">
        <v>25</v>
      </c>
      <c r="O870" s="30">
        <f t="shared" si="82"/>
        <v>70</v>
      </c>
      <c r="P870" s="30">
        <f t="shared" si="83"/>
        <v>875</v>
      </c>
      <c r="Q870" s="1">
        <f>COUNTIFS($P:$P, "&gt;" &amp; $P870) + 1</f>
        <v>3744</v>
      </c>
      <c r="R870" s="63">
        <f>(COUNTIFS($P:$P, "&gt;" &amp; $P870) + 1) / (COUNTA($I:$I) - 1)</f>
        <v>0.74880000000000002</v>
      </c>
      <c r="S870" s="23">
        <f>SUMIFS($P:$P, $Q:$Q, "&lt;" &amp; $Q870)</f>
        <v>186218955</v>
      </c>
    </row>
    <row r="871" spans="1:19" x14ac:dyDescent="0.25">
      <c r="A871" s="1">
        <v>866</v>
      </c>
      <c r="B871" s="1" t="s">
        <v>2</v>
      </c>
      <c r="C871" s="1" t="str">
        <f>IF($B871 = "Production Item", _xlfn.XLOOKUP($A871, 'Instrument Table'!$J:$J, 'Instrument Table'!$B:$B, $C870), IF($B871 = "Service Item", _xlfn.XLOOKUP($A871, 'Instrument Table'!$I:$I, 'Instrument Table'!$B:$B, $C870), _xlfn.XLOOKUP($A871, 'Instrument Table'!$H:$H, 'Instrument Table'!$B:$B, $C870)))</f>
        <v>Electric Keyboard</v>
      </c>
      <c r="D871" s="1" t="str">
        <f>VLOOKUP($C871, 'Instrument Table'!$B:$C, 2, FALSE)</f>
        <v>Pianos</v>
      </c>
      <c r="E871" s="1">
        <f t="shared" si="78"/>
        <v>1</v>
      </c>
      <c r="F871" s="1">
        <f>_xlfn.XLOOKUP($C871, 'Instrument Table'!$B:$B, 'Instrument Table'!$A:$A, "")</f>
        <v>12</v>
      </c>
      <c r="G871" s="1" t="str">
        <f>TEXT(IF($B871 = "Retail Item", IF((ROW($A871) - 4504 - _xlfn.XMATCH($C871, $C$4506:$C$5005, 0, 1)) &lt;= VLOOKUP($C871, 'Instrument Table'!$B:$D, 3, FALSE), ROW($A871) - 4504 - _xlfn.XMATCH($C871, $C$4506:$C$5005, 0, 1), 0), 0), "00")</f>
        <v>00</v>
      </c>
      <c r="H871" s="1" t="str">
        <f t="shared" si="79"/>
        <v>115</v>
      </c>
      <c r="I871" s="1" t="str">
        <f t="shared" si="80"/>
        <v>11200-115</v>
      </c>
      <c r="J871" s="1" t="str">
        <f t="shared" si="81"/>
        <v>Electric keyboard production item #115</v>
      </c>
      <c r="K871" s="1" t="str">
        <f>IF(SUM(COUNTIFS(I:I, I871)) &gt; 1, "DUPLICATE", "UNIQUE")</f>
        <v>UNIQUE</v>
      </c>
      <c r="L871" s="18">
        <v>1</v>
      </c>
      <c r="M871" s="28">
        <v>68</v>
      </c>
      <c r="N871" s="6">
        <v>36</v>
      </c>
      <c r="O871" s="30">
        <f t="shared" si="82"/>
        <v>68</v>
      </c>
      <c r="P871" s="30">
        <f t="shared" si="83"/>
        <v>2448</v>
      </c>
      <c r="Q871" s="1">
        <f>COUNTIFS($P:$P, "&gt;" &amp; $P871) + 1</f>
        <v>3069</v>
      </c>
      <c r="R871" s="63">
        <f>(COUNTIFS($P:$P, "&gt;" &amp; $P871) + 1) / (COUNTA($I:$I) - 1)</f>
        <v>0.61380000000000001</v>
      </c>
      <c r="S871" s="23">
        <f>SUMIFS($P:$P, $Q:$Q, "&lt;" &amp; $Q871)</f>
        <v>185107773</v>
      </c>
    </row>
    <row r="872" spans="1:19" x14ac:dyDescent="0.25">
      <c r="A872" s="1">
        <v>867</v>
      </c>
      <c r="B872" s="1" t="s">
        <v>2</v>
      </c>
      <c r="C872" s="1" t="str">
        <f>IF($B872 = "Production Item", _xlfn.XLOOKUP($A872, 'Instrument Table'!$J:$J, 'Instrument Table'!$B:$B, $C871), IF($B872 = "Service Item", _xlfn.XLOOKUP($A872, 'Instrument Table'!$I:$I, 'Instrument Table'!$B:$B, $C871), _xlfn.XLOOKUP($A872, 'Instrument Table'!$H:$H, 'Instrument Table'!$B:$B, $C871)))</f>
        <v>Electric Keyboard</v>
      </c>
      <c r="D872" s="1" t="str">
        <f>VLOOKUP($C872, 'Instrument Table'!$B:$C, 2, FALSE)</f>
        <v>Pianos</v>
      </c>
      <c r="E872" s="1">
        <f t="shared" si="78"/>
        <v>1</v>
      </c>
      <c r="F872" s="1">
        <f>_xlfn.XLOOKUP($C872, 'Instrument Table'!$B:$B, 'Instrument Table'!$A:$A, "")</f>
        <v>12</v>
      </c>
      <c r="G872" s="1" t="str">
        <f>TEXT(IF($B872 = "Retail Item", IF((ROW($A872) - 4504 - _xlfn.XMATCH($C872, $C$4506:$C$5005, 0, 1)) &lt;= VLOOKUP($C872, 'Instrument Table'!$B:$D, 3, FALSE), ROW($A872) - 4504 - _xlfn.XMATCH($C872, $C$4506:$C$5005, 0, 1), 0), 0), "00")</f>
        <v>00</v>
      </c>
      <c r="H872" s="1" t="str">
        <f t="shared" si="79"/>
        <v>116</v>
      </c>
      <c r="I872" s="1" t="str">
        <f t="shared" si="80"/>
        <v>11200-116</v>
      </c>
      <c r="J872" s="1" t="str">
        <f t="shared" si="81"/>
        <v>Electric keyboard production item #116</v>
      </c>
      <c r="K872" s="1" t="str">
        <f>IF(SUM(COUNTIFS(I:I, I872)) &gt; 1, "DUPLICATE", "UNIQUE")</f>
        <v>UNIQUE</v>
      </c>
      <c r="L872" s="18">
        <v>4</v>
      </c>
      <c r="M872" s="28">
        <v>97</v>
      </c>
      <c r="N872" s="6">
        <v>144</v>
      </c>
      <c r="O872" s="30">
        <f t="shared" si="82"/>
        <v>388</v>
      </c>
      <c r="P872" s="30">
        <f t="shared" si="83"/>
        <v>13968</v>
      </c>
      <c r="Q872" s="1">
        <f>COUNTIFS($P:$P, "&gt;" &amp; $P872) + 1</f>
        <v>1424</v>
      </c>
      <c r="R872" s="63">
        <f>(COUNTIFS($P:$P, "&gt;" &amp; $P872) + 1) / (COUNTA($I:$I) - 1)</f>
        <v>0.2848</v>
      </c>
      <c r="S872" s="23">
        <f>SUMIFS($P:$P, $Q:$Q, "&lt;" &amp; $Q872)</f>
        <v>173814645</v>
      </c>
    </row>
    <row r="873" spans="1:19" x14ac:dyDescent="0.25">
      <c r="A873" s="1">
        <v>868</v>
      </c>
      <c r="B873" s="1" t="s">
        <v>2</v>
      </c>
      <c r="C873" s="1" t="str">
        <f>IF($B873 = "Production Item", _xlfn.XLOOKUP($A873, 'Instrument Table'!$J:$J, 'Instrument Table'!$B:$B, $C872), IF($B873 = "Service Item", _xlfn.XLOOKUP($A873, 'Instrument Table'!$I:$I, 'Instrument Table'!$B:$B, $C872), _xlfn.XLOOKUP($A873, 'Instrument Table'!$H:$H, 'Instrument Table'!$B:$B, $C872)))</f>
        <v>Electric Keyboard</v>
      </c>
      <c r="D873" s="1" t="str">
        <f>VLOOKUP($C873, 'Instrument Table'!$B:$C, 2, FALSE)</f>
        <v>Pianos</v>
      </c>
      <c r="E873" s="1">
        <f t="shared" si="78"/>
        <v>1</v>
      </c>
      <c r="F873" s="1">
        <f>_xlfn.XLOOKUP($C873, 'Instrument Table'!$B:$B, 'Instrument Table'!$A:$A, "")</f>
        <v>12</v>
      </c>
      <c r="G873" s="1" t="str">
        <f>TEXT(IF($B873 = "Retail Item", IF((ROW($A873) - 4504 - _xlfn.XMATCH($C873, $C$4506:$C$5005, 0, 1)) &lt;= VLOOKUP($C873, 'Instrument Table'!$B:$D, 3, FALSE), ROW($A873) - 4504 - _xlfn.XMATCH($C873, $C$4506:$C$5005, 0, 1), 0), 0), "00")</f>
        <v>00</v>
      </c>
      <c r="H873" s="1" t="str">
        <f t="shared" si="79"/>
        <v>117</v>
      </c>
      <c r="I873" s="1" t="str">
        <f t="shared" si="80"/>
        <v>11200-117</v>
      </c>
      <c r="J873" s="1" t="str">
        <f t="shared" si="81"/>
        <v>Electric keyboard production item #117</v>
      </c>
      <c r="K873" s="1" t="str">
        <f>IF(SUM(COUNTIFS(I:I, I873)) &gt; 1, "DUPLICATE", "UNIQUE")</f>
        <v>UNIQUE</v>
      </c>
      <c r="L873" s="18">
        <v>1</v>
      </c>
      <c r="M873" s="28">
        <v>84</v>
      </c>
      <c r="N873" s="6">
        <v>1</v>
      </c>
      <c r="O873" s="30">
        <f t="shared" si="82"/>
        <v>84</v>
      </c>
      <c r="P873" s="30">
        <f t="shared" si="83"/>
        <v>84</v>
      </c>
      <c r="Q873" s="1">
        <f>COUNTIFS($P:$P, "&gt;" &amp; $P873) + 1</f>
        <v>4496</v>
      </c>
      <c r="R873" s="63">
        <f>(COUNTIFS($P:$P, "&gt;" &amp; $P873) + 1) / (COUNTA($I:$I) - 1)</f>
        <v>0.8992</v>
      </c>
      <c r="S873" s="23">
        <f>SUMIFS($P:$P, $Q:$Q, "&lt;" &amp; $Q873)</f>
        <v>186536523</v>
      </c>
    </row>
    <row r="874" spans="1:19" x14ac:dyDescent="0.25">
      <c r="A874" s="1">
        <v>869</v>
      </c>
      <c r="B874" s="1" t="s">
        <v>2</v>
      </c>
      <c r="C874" s="1" t="str">
        <f>IF($B874 = "Production Item", _xlfn.XLOOKUP($A874, 'Instrument Table'!$J:$J, 'Instrument Table'!$B:$B, $C873), IF($B874 = "Service Item", _xlfn.XLOOKUP($A874, 'Instrument Table'!$I:$I, 'Instrument Table'!$B:$B, $C873), _xlfn.XLOOKUP($A874, 'Instrument Table'!$H:$H, 'Instrument Table'!$B:$B, $C873)))</f>
        <v>Electric Keyboard</v>
      </c>
      <c r="D874" s="1" t="str">
        <f>VLOOKUP($C874, 'Instrument Table'!$B:$C, 2, FALSE)</f>
        <v>Pianos</v>
      </c>
      <c r="E874" s="1">
        <f t="shared" si="78"/>
        <v>1</v>
      </c>
      <c r="F874" s="1">
        <f>_xlfn.XLOOKUP($C874, 'Instrument Table'!$B:$B, 'Instrument Table'!$A:$A, "")</f>
        <v>12</v>
      </c>
      <c r="G874" s="1" t="str">
        <f>TEXT(IF($B874 = "Retail Item", IF((ROW($A874) - 4504 - _xlfn.XMATCH($C874, $C$4506:$C$5005, 0, 1)) &lt;= VLOOKUP($C874, 'Instrument Table'!$B:$D, 3, FALSE), ROW($A874) - 4504 - _xlfn.XMATCH($C874, $C$4506:$C$5005, 0, 1), 0), 0), "00")</f>
        <v>00</v>
      </c>
      <c r="H874" s="1" t="str">
        <f t="shared" si="79"/>
        <v>118</v>
      </c>
      <c r="I874" s="1" t="str">
        <f t="shared" si="80"/>
        <v>11200-118</v>
      </c>
      <c r="J874" s="1" t="str">
        <f t="shared" si="81"/>
        <v>Electric keyboard production item #118</v>
      </c>
      <c r="K874" s="1" t="str">
        <f>IF(SUM(COUNTIFS(I:I, I874)) &gt; 1, "DUPLICATE", "UNIQUE")</f>
        <v>UNIQUE</v>
      </c>
      <c r="L874" s="18">
        <v>0</v>
      </c>
      <c r="M874" s="28">
        <v>11</v>
      </c>
      <c r="N874" s="6">
        <v>121</v>
      </c>
      <c r="O874" s="30">
        <f t="shared" si="82"/>
        <v>0</v>
      </c>
      <c r="P874" s="30">
        <f t="shared" si="83"/>
        <v>1331</v>
      </c>
      <c r="Q874" s="1">
        <f>COUNTIFS($P:$P, "&gt;" &amp; $P874) + 1</f>
        <v>3548</v>
      </c>
      <c r="R874" s="63">
        <f>(COUNTIFS($P:$P, "&gt;" &amp; $P874) + 1) / (COUNTA($I:$I) - 1)</f>
        <v>0.70960000000000001</v>
      </c>
      <c r="S874" s="23">
        <f>SUMIFS($P:$P, $Q:$Q, "&lt;" &amp; $Q874)</f>
        <v>186003417</v>
      </c>
    </row>
    <row r="875" spans="1:19" x14ac:dyDescent="0.25">
      <c r="A875" s="1">
        <v>870</v>
      </c>
      <c r="B875" s="1" t="s">
        <v>2</v>
      </c>
      <c r="C875" s="1" t="str">
        <f>IF($B875 = "Production Item", _xlfn.XLOOKUP($A875, 'Instrument Table'!$J:$J, 'Instrument Table'!$B:$B, $C874), IF($B875 = "Service Item", _xlfn.XLOOKUP($A875, 'Instrument Table'!$I:$I, 'Instrument Table'!$B:$B, $C874), _xlfn.XLOOKUP($A875, 'Instrument Table'!$H:$H, 'Instrument Table'!$B:$B, $C874)))</f>
        <v>Electric Keyboard</v>
      </c>
      <c r="D875" s="1" t="str">
        <f>VLOOKUP($C875, 'Instrument Table'!$B:$C, 2, FALSE)</f>
        <v>Pianos</v>
      </c>
      <c r="E875" s="1">
        <f t="shared" si="78"/>
        <v>1</v>
      </c>
      <c r="F875" s="1">
        <f>_xlfn.XLOOKUP($C875, 'Instrument Table'!$B:$B, 'Instrument Table'!$A:$A, "")</f>
        <v>12</v>
      </c>
      <c r="G875" s="1" t="str">
        <f>TEXT(IF($B875 = "Retail Item", IF((ROW($A875) - 4504 - _xlfn.XMATCH($C875, $C$4506:$C$5005, 0, 1)) &lt;= VLOOKUP($C875, 'Instrument Table'!$B:$D, 3, FALSE), ROW($A875) - 4504 - _xlfn.XMATCH($C875, $C$4506:$C$5005, 0, 1), 0), 0), "00")</f>
        <v>00</v>
      </c>
      <c r="H875" s="1" t="str">
        <f t="shared" si="79"/>
        <v>119</v>
      </c>
      <c r="I875" s="1" t="str">
        <f t="shared" si="80"/>
        <v>11200-119</v>
      </c>
      <c r="J875" s="1" t="str">
        <f t="shared" si="81"/>
        <v>Electric keyboard production item #119</v>
      </c>
      <c r="K875" s="1" t="str">
        <f>IF(SUM(COUNTIFS(I:I, I875)) &gt; 1, "DUPLICATE", "UNIQUE")</f>
        <v>UNIQUE</v>
      </c>
      <c r="L875" s="18">
        <v>1</v>
      </c>
      <c r="M875" s="28">
        <v>66</v>
      </c>
      <c r="N875" s="6">
        <v>196</v>
      </c>
      <c r="O875" s="30">
        <f t="shared" si="82"/>
        <v>66</v>
      </c>
      <c r="P875" s="30">
        <f t="shared" si="83"/>
        <v>12936</v>
      </c>
      <c r="Q875" s="1">
        <f>COUNTIFS($P:$P, "&gt;" &amp; $P875) + 1</f>
        <v>1505</v>
      </c>
      <c r="R875" s="63">
        <f>(COUNTIFS($P:$P, "&gt;" &amp; $P875) + 1) / (COUNTA($I:$I) - 1)</f>
        <v>0.30099999999999999</v>
      </c>
      <c r="S875" s="23">
        <f>SUMIFS($P:$P, $Q:$Q, "&lt;" &amp; $Q875)</f>
        <v>174904603</v>
      </c>
    </row>
    <row r="876" spans="1:19" x14ac:dyDescent="0.25">
      <c r="A876" s="1">
        <v>871</v>
      </c>
      <c r="B876" s="1" t="s">
        <v>2</v>
      </c>
      <c r="C876" s="1" t="str">
        <f>IF($B876 = "Production Item", _xlfn.XLOOKUP($A876, 'Instrument Table'!$J:$J, 'Instrument Table'!$B:$B, $C875), IF($B876 = "Service Item", _xlfn.XLOOKUP($A876, 'Instrument Table'!$I:$I, 'Instrument Table'!$B:$B, $C875), _xlfn.XLOOKUP($A876, 'Instrument Table'!$H:$H, 'Instrument Table'!$B:$B, $C875)))</f>
        <v>Electric Keyboard</v>
      </c>
      <c r="D876" s="1" t="str">
        <f>VLOOKUP($C876, 'Instrument Table'!$B:$C, 2, FALSE)</f>
        <v>Pianos</v>
      </c>
      <c r="E876" s="1">
        <f t="shared" si="78"/>
        <v>1</v>
      </c>
      <c r="F876" s="1">
        <f>_xlfn.XLOOKUP($C876, 'Instrument Table'!$B:$B, 'Instrument Table'!$A:$A, "")</f>
        <v>12</v>
      </c>
      <c r="G876" s="1" t="str">
        <f>TEXT(IF($B876 = "Retail Item", IF((ROW($A876) - 4504 - _xlfn.XMATCH($C876, $C$4506:$C$5005, 0, 1)) &lt;= VLOOKUP($C876, 'Instrument Table'!$B:$D, 3, FALSE), ROW($A876) - 4504 - _xlfn.XMATCH($C876, $C$4506:$C$5005, 0, 1), 0), 0), "00")</f>
        <v>00</v>
      </c>
      <c r="H876" s="1" t="str">
        <f t="shared" si="79"/>
        <v>120</v>
      </c>
      <c r="I876" s="1" t="str">
        <f t="shared" si="80"/>
        <v>11200-120</v>
      </c>
      <c r="J876" s="1" t="str">
        <f t="shared" si="81"/>
        <v>Electric keyboard production item #120</v>
      </c>
      <c r="K876" s="1" t="str">
        <f>IF(SUM(COUNTIFS(I:I, I876)) &gt; 1, "DUPLICATE", "UNIQUE")</f>
        <v>UNIQUE</v>
      </c>
      <c r="L876" s="18">
        <v>32</v>
      </c>
      <c r="M876" s="28">
        <v>70</v>
      </c>
      <c r="N876" s="6">
        <v>361</v>
      </c>
      <c r="O876" s="30">
        <f t="shared" si="82"/>
        <v>2240</v>
      </c>
      <c r="P876" s="30">
        <f t="shared" si="83"/>
        <v>25270</v>
      </c>
      <c r="Q876" s="1">
        <f>COUNTIFS($P:$P, "&gt;" &amp; $P876) + 1</f>
        <v>817</v>
      </c>
      <c r="R876" s="63">
        <f>(COUNTIFS($P:$P, "&gt;" &amp; $P876) + 1) / (COUNTA($I:$I) - 1)</f>
        <v>0.16339999999999999</v>
      </c>
      <c r="S876" s="23">
        <f>SUMIFS($P:$P, $Q:$Q, "&lt;" &amp; $Q876)</f>
        <v>162262449</v>
      </c>
    </row>
    <row r="877" spans="1:19" x14ac:dyDescent="0.25">
      <c r="A877" s="1">
        <v>872</v>
      </c>
      <c r="B877" s="1" t="s">
        <v>2</v>
      </c>
      <c r="C877" s="1" t="str">
        <f>IF($B877 = "Production Item", _xlfn.XLOOKUP($A877, 'Instrument Table'!$J:$J, 'Instrument Table'!$B:$B, $C876), IF($B877 = "Service Item", _xlfn.XLOOKUP($A877, 'Instrument Table'!$I:$I, 'Instrument Table'!$B:$B, $C876), _xlfn.XLOOKUP($A877, 'Instrument Table'!$H:$H, 'Instrument Table'!$B:$B, $C876)))</f>
        <v>Electric Keyboard</v>
      </c>
      <c r="D877" s="1" t="str">
        <f>VLOOKUP($C877, 'Instrument Table'!$B:$C, 2, FALSE)</f>
        <v>Pianos</v>
      </c>
      <c r="E877" s="1">
        <f t="shared" si="78"/>
        <v>1</v>
      </c>
      <c r="F877" s="1">
        <f>_xlfn.XLOOKUP($C877, 'Instrument Table'!$B:$B, 'Instrument Table'!$A:$A, "")</f>
        <v>12</v>
      </c>
      <c r="G877" s="1" t="str">
        <f>TEXT(IF($B877 = "Retail Item", IF((ROW($A877) - 4504 - _xlfn.XMATCH($C877, $C$4506:$C$5005, 0, 1)) &lt;= VLOOKUP($C877, 'Instrument Table'!$B:$D, 3, FALSE), ROW($A877) - 4504 - _xlfn.XMATCH($C877, $C$4506:$C$5005, 0, 1), 0), 0), "00")</f>
        <v>00</v>
      </c>
      <c r="H877" s="1" t="str">
        <f t="shared" si="79"/>
        <v>121</v>
      </c>
      <c r="I877" s="1" t="str">
        <f t="shared" si="80"/>
        <v>11200-121</v>
      </c>
      <c r="J877" s="1" t="str">
        <f t="shared" si="81"/>
        <v>Electric keyboard production item #121</v>
      </c>
      <c r="K877" s="1" t="str">
        <f>IF(SUM(COUNTIFS(I:I, I877)) &gt; 1, "DUPLICATE", "UNIQUE")</f>
        <v>UNIQUE</v>
      </c>
      <c r="L877" s="18">
        <v>0</v>
      </c>
      <c r="M877" s="28">
        <v>56</v>
      </c>
      <c r="N877" s="6">
        <v>49</v>
      </c>
      <c r="O877" s="30">
        <f t="shared" si="82"/>
        <v>0</v>
      </c>
      <c r="P877" s="30">
        <f t="shared" si="83"/>
        <v>2744</v>
      </c>
      <c r="Q877" s="1">
        <f>COUNTIFS($P:$P, "&gt;" &amp; $P877) + 1</f>
        <v>2969</v>
      </c>
      <c r="R877" s="63">
        <f>(COUNTIFS($P:$P, "&gt;" &amp; $P877) + 1) / (COUNTA($I:$I) - 1)</f>
        <v>0.59379999999999999</v>
      </c>
      <c r="S877" s="23">
        <f>SUMIFS($P:$P, $Q:$Q, "&lt;" &amp; $Q877)</f>
        <v>184848382</v>
      </c>
    </row>
    <row r="878" spans="1:19" x14ac:dyDescent="0.25">
      <c r="A878" s="1">
        <v>873</v>
      </c>
      <c r="B878" s="1" t="s">
        <v>2</v>
      </c>
      <c r="C878" s="1" t="str">
        <f>IF($B878 = "Production Item", _xlfn.XLOOKUP($A878, 'Instrument Table'!$J:$J, 'Instrument Table'!$B:$B, $C877), IF($B878 = "Service Item", _xlfn.XLOOKUP($A878, 'Instrument Table'!$I:$I, 'Instrument Table'!$B:$B, $C877), _xlfn.XLOOKUP($A878, 'Instrument Table'!$H:$H, 'Instrument Table'!$B:$B, $C877)))</f>
        <v>Electric Keyboard</v>
      </c>
      <c r="D878" s="1" t="str">
        <f>VLOOKUP($C878, 'Instrument Table'!$B:$C, 2, FALSE)</f>
        <v>Pianos</v>
      </c>
      <c r="E878" s="1">
        <f t="shared" si="78"/>
        <v>1</v>
      </c>
      <c r="F878" s="1">
        <f>_xlfn.XLOOKUP($C878, 'Instrument Table'!$B:$B, 'Instrument Table'!$A:$A, "")</f>
        <v>12</v>
      </c>
      <c r="G878" s="1" t="str">
        <f>TEXT(IF($B878 = "Retail Item", IF((ROW($A878) - 4504 - _xlfn.XMATCH($C878, $C$4506:$C$5005, 0, 1)) &lt;= VLOOKUP($C878, 'Instrument Table'!$B:$D, 3, FALSE), ROW($A878) - 4504 - _xlfn.XMATCH($C878, $C$4506:$C$5005, 0, 1), 0), 0), "00")</f>
        <v>00</v>
      </c>
      <c r="H878" s="1" t="str">
        <f t="shared" si="79"/>
        <v>122</v>
      </c>
      <c r="I878" s="1" t="str">
        <f t="shared" si="80"/>
        <v>11200-122</v>
      </c>
      <c r="J878" s="1" t="str">
        <f t="shared" si="81"/>
        <v>Electric keyboard production item #122</v>
      </c>
      <c r="K878" s="1" t="str">
        <f>IF(SUM(COUNTIFS(I:I, I878)) &gt; 1, "DUPLICATE", "UNIQUE")</f>
        <v>UNIQUE</v>
      </c>
      <c r="L878" s="18">
        <v>0</v>
      </c>
      <c r="M878" s="28">
        <v>42</v>
      </c>
      <c r="N878" s="6">
        <v>144</v>
      </c>
      <c r="O878" s="30">
        <f t="shared" si="82"/>
        <v>0</v>
      </c>
      <c r="P878" s="30">
        <f t="shared" si="83"/>
        <v>6048</v>
      </c>
      <c r="Q878" s="1">
        <f>COUNTIFS($P:$P, "&gt;" &amp; $P878) + 1</f>
        <v>2258</v>
      </c>
      <c r="R878" s="63">
        <f>(COUNTIFS($P:$P, "&gt;" &amp; $P878) + 1) / (COUNTA($I:$I) - 1)</f>
        <v>0.4516</v>
      </c>
      <c r="S878" s="23">
        <f>SUMIFS($P:$P, $Q:$Q, "&lt;" &amp; $Q878)</f>
        <v>181815698</v>
      </c>
    </row>
    <row r="879" spans="1:19" x14ac:dyDescent="0.25">
      <c r="A879" s="1">
        <v>874</v>
      </c>
      <c r="B879" s="1" t="s">
        <v>2</v>
      </c>
      <c r="C879" s="1" t="str">
        <f>IF($B879 = "Production Item", _xlfn.XLOOKUP($A879, 'Instrument Table'!$J:$J, 'Instrument Table'!$B:$B, $C878), IF($B879 = "Service Item", _xlfn.XLOOKUP($A879, 'Instrument Table'!$I:$I, 'Instrument Table'!$B:$B, $C878), _xlfn.XLOOKUP($A879, 'Instrument Table'!$H:$H, 'Instrument Table'!$B:$B, $C878)))</f>
        <v>Electric Keyboard</v>
      </c>
      <c r="D879" s="1" t="str">
        <f>VLOOKUP($C879, 'Instrument Table'!$B:$C, 2, FALSE)</f>
        <v>Pianos</v>
      </c>
      <c r="E879" s="1">
        <f t="shared" si="78"/>
        <v>1</v>
      </c>
      <c r="F879" s="1">
        <f>_xlfn.XLOOKUP($C879, 'Instrument Table'!$B:$B, 'Instrument Table'!$A:$A, "")</f>
        <v>12</v>
      </c>
      <c r="G879" s="1" t="str">
        <f>TEXT(IF($B879 = "Retail Item", IF((ROW($A879) - 4504 - _xlfn.XMATCH($C879, $C$4506:$C$5005, 0, 1)) &lt;= VLOOKUP($C879, 'Instrument Table'!$B:$D, 3, FALSE), ROW($A879) - 4504 - _xlfn.XMATCH($C879, $C$4506:$C$5005, 0, 1), 0), 0), "00")</f>
        <v>00</v>
      </c>
      <c r="H879" s="1" t="str">
        <f t="shared" si="79"/>
        <v>123</v>
      </c>
      <c r="I879" s="1" t="str">
        <f t="shared" si="80"/>
        <v>11200-123</v>
      </c>
      <c r="J879" s="1" t="str">
        <f t="shared" si="81"/>
        <v>Electric keyboard production item #123</v>
      </c>
      <c r="K879" s="1" t="str">
        <f>IF(SUM(COUNTIFS(I:I, I879)) &gt; 1, "DUPLICATE", "UNIQUE")</f>
        <v>UNIQUE</v>
      </c>
      <c r="L879" s="18">
        <v>1</v>
      </c>
      <c r="M879" s="28">
        <v>22</v>
      </c>
      <c r="N879" s="6">
        <v>121</v>
      </c>
      <c r="O879" s="30">
        <f t="shared" si="82"/>
        <v>22</v>
      </c>
      <c r="P879" s="30">
        <f t="shared" si="83"/>
        <v>2662</v>
      </c>
      <c r="Q879" s="1">
        <f>COUNTIFS($P:$P, "&gt;" &amp; $P879) + 1</f>
        <v>2994</v>
      </c>
      <c r="R879" s="63">
        <f>(COUNTIFS($P:$P, "&gt;" &amp; $P879) + 1) / (COUNTA($I:$I) - 1)</f>
        <v>0.5988</v>
      </c>
      <c r="S879" s="23">
        <f>SUMIFS($P:$P, $Q:$Q, "&lt;" &amp; $Q879)</f>
        <v>184916158</v>
      </c>
    </row>
    <row r="880" spans="1:19" x14ac:dyDescent="0.25">
      <c r="A880" s="1">
        <v>875</v>
      </c>
      <c r="B880" s="1" t="s">
        <v>2</v>
      </c>
      <c r="C880" s="1" t="str">
        <f>IF($B880 = "Production Item", _xlfn.XLOOKUP($A880, 'Instrument Table'!$J:$J, 'Instrument Table'!$B:$B, $C879), IF($B880 = "Service Item", _xlfn.XLOOKUP($A880, 'Instrument Table'!$I:$I, 'Instrument Table'!$B:$B, $C879), _xlfn.XLOOKUP($A880, 'Instrument Table'!$H:$H, 'Instrument Table'!$B:$B, $C879)))</f>
        <v>Electric Keyboard</v>
      </c>
      <c r="D880" s="1" t="str">
        <f>VLOOKUP($C880, 'Instrument Table'!$B:$C, 2, FALSE)</f>
        <v>Pianos</v>
      </c>
      <c r="E880" s="1">
        <f t="shared" si="78"/>
        <v>1</v>
      </c>
      <c r="F880" s="1">
        <f>_xlfn.XLOOKUP($C880, 'Instrument Table'!$B:$B, 'Instrument Table'!$A:$A, "")</f>
        <v>12</v>
      </c>
      <c r="G880" s="1" t="str">
        <f>TEXT(IF($B880 = "Retail Item", IF((ROW($A880) - 4504 - _xlfn.XMATCH($C880, $C$4506:$C$5005, 0, 1)) &lt;= VLOOKUP($C880, 'Instrument Table'!$B:$D, 3, FALSE), ROW($A880) - 4504 - _xlfn.XMATCH($C880, $C$4506:$C$5005, 0, 1), 0), 0), "00")</f>
        <v>00</v>
      </c>
      <c r="H880" s="1" t="str">
        <f t="shared" si="79"/>
        <v>124</v>
      </c>
      <c r="I880" s="1" t="str">
        <f t="shared" si="80"/>
        <v>11200-124</v>
      </c>
      <c r="J880" s="1" t="str">
        <f t="shared" si="81"/>
        <v>Electric keyboard production item #124</v>
      </c>
      <c r="K880" s="1" t="str">
        <f>IF(SUM(COUNTIFS(I:I, I880)) &gt; 1, "DUPLICATE", "UNIQUE")</f>
        <v>UNIQUE</v>
      </c>
      <c r="L880" s="18">
        <v>0</v>
      </c>
      <c r="M880" s="28">
        <v>25</v>
      </c>
      <c r="N880" s="6">
        <v>49</v>
      </c>
      <c r="O880" s="30">
        <f t="shared" si="82"/>
        <v>0</v>
      </c>
      <c r="P880" s="30">
        <f t="shared" si="83"/>
        <v>1225</v>
      </c>
      <c r="Q880" s="1">
        <f>COUNTIFS($P:$P, "&gt;" &amp; $P880) + 1</f>
        <v>3588</v>
      </c>
      <c r="R880" s="63">
        <f>(COUNTIFS($P:$P, "&gt;" &amp; $P880) + 1) / (COUNTA($I:$I) - 1)</f>
        <v>0.71760000000000002</v>
      </c>
      <c r="S880" s="23">
        <f>SUMIFS($P:$P, $Q:$Q, "&lt;" &amp; $Q880)</f>
        <v>186055108</v>
      </c>
    </row>
    <row r="881" spans="1:19" x14ac:dyDescent="0.25">
      <c r="A881" s="1">
        <v>876</v>
      </c>
      <c r="B881" s="1" t="s">
        <v>2</v>
      </c>
      <c r="C881" s="1" t="str">
        <f>IF($B881 = "Production Item", _xlfn.XLOOKUP($A881, 'Instrument Table'!$J:$J, 'Instrument Table'!$B:$B, $C880), IF($B881 = "Service Item", _xlfn.XLOOKUP($A881, 'Instrument Table'!$I:$I, 'Instrument Table'!$B:$B, $C880), _xlfn.XLOOKUP($A881, 'Instrument Table'!$H:$H, 'Instrument Table'!$B:$B, $C880)))</f>
        <v>Electric Keyboard</v>
      </c>
      <c r="D881" s="1" t="str">
        <f>VLOOKUP($C881, 'Instrument Table'!$B:$C, 2, FALSE)</f>
        <v>Pianos</v>
      </c>
      <c r="E881" s="1">
        <f t="shared" si="78"/>
        <v>1</v>
      </c>
      <c r="F881" s="1">
        <f>_xlfn.XLOOKUP($C881, 'Instrument Table'!$B:$B, 'Instrument Table'!$A:$A, "")</f>
        <v>12</v>
      </c>
      <c r="G881" s="1" t="str">
        <f>TEXT(IF($B881 = "Retail Item", IF((ROW($A881) - 4504 - _xlfn.XMATCH($C881, $C$4506:$C$5005, 0, 1)) &lt;= VLOOKUP($C881, 'Instrument Table'!$B:$D, 3, FALSE), ROW($A881) - 4504 - _xlfn.XMATCH($C881, $C$4506:$C$5005, 0, 1), 0), 0), "00")</f>
        <v>00</v>
      </c>
      <c r="H881" s="1" t="str">
        <f t="shared" si="79"/>
        <v>125</v>
      </c>
      <c r="I881" s="1" t="str">
        <f t="shared" si="80"/>
        <v>11200-125</v>
      </c>
      <c r="J881" s="1" t="str">
        <f t="shared" si="81"/>
        <v>Electric keyboard production item #125</v>
      </c>
      <c r="K881" s="1" t="str">
        <f>IF(SUM(COUNTIFS(I:I, I881)) &gt; 1, "DUPLICATE", "UNIQUE")</f>
        <v>UNIQUE</v>
      </c>
      <c r="L881" s="18">
        <v>1</v>
      </c>
      <c r="M881" s="28">
        <v>44</v>
      </c>
      <c r="N881" s="6">
        <v>196</v>
      </c>
      <c r="O881" s="30">
        <f t="shared" si="82"/>
        <v>44</v>
      </c>
      <c r="P881" s="30">
        <f t="shared" si="83"/>
        <v>8624</v>
      </c>
      <c r="Q881" s="1">
        <f>COUNTIFS($P:$P, "&gt;" &amp; $P881) + 1</f>
        <v>1916</v>
      </c>
      <c r="R881" s="63">
        <f>(COUNTIFS($P:$P, "&gt;" &amp; $P881) + 1) / (COUNTA($I:$I) - 1)</f>
        <v>0.38319999999999999</v>
      </c>
      <c r="S881" s="23">
        <f>SUMIFS($P:$P, $Q:$Q, "&lt;" &amp; $Q881)</f>
        <v>179303097</v>
      </c>
    </row>
    <row r="882" spans="1:19" x14ac:dyDescent="0.25">
      <c r="A882" s="1">
        <v>877</v>
      </c>
      <c r="B882" s="1" t="s">
        <v>2</v>
      </c>
      <c r="C882" s="1" t="str">
        <f>IF($B882 = "Production Item", _xlfn.XLOOKUP($A882, 'Instrument Table'!$J:$J, 'Instrument Table'!$B:$B, $C881), IF($B882 = "Service Item", _xlfn.XLOOKUP($A882, 'Instrument Table'!$I:$I, 'Instrument Table'!$B:$B, $C881), _xlfn.XLOOKUP($A882, 'Instrument Table'!$H:$H, 'Instrument Table'!$B:$B, $C881)))</f>
        <v>Electric Keyboard</v>
      </c>
      <c r="D882" s="1" t="str">
        <f>VLOOKUP($C882, 'Instrument Table'!$B:$C, 2, FALSE)</f>
        <v>Pianos</v>
      </c>
      <c r="E882" s="1">
        <f t="shared" si="78"/>
        <v>1</v>
      </c>
      <c r="F882" s="1">
        <f>_xlfn.XLOOKUP($C882, 'Instrument Table'!$B:$B, 'Instrument Table'!$A:$A, "")</f>
        <v>12</v>
      </c>
      <c r="G882" s="1" t="str">
        <f>TEXT(IF($B882 = "Retail Item", IF((ROW($A882) - 4504 - _xlfn.XMATCH($C882, $C$4506:$C$5005, 0, 1)) &lt;= VLOOKUP($C882, 'Instrument Table'!$B:$D, 3, FALSE), ROW($A882) - 4504 - _xlfn.XMATCH($C882, $C$4506:$C$5005, 0, 1), 0), 0), "00")</f>
        <v>00</v>
      </c>
      <c r="H882" s="1" t="str">
        <f t="shared" si="79"/>
        <v>126</v>
      </c>
      <c r="I882" s="1" t="str">
        <f t="shared" si="80"/>
        <v>11200-126</v>
      </c>
      <c r="J882" s="1" t="str">
        <f t="shared" si="81"/>
        <v>Electric keyboard production item #126</v>
      </c>
      <c r="K882" s="1" t="str">
        <f>IF(SUM(COUNTIFS(I:I, I882)) &gt; 1, "DUPLICATE", "UNIQUE")</f>
        <v>UNIQUE</v>
      </c>
      <c r="L882" s="18">
        <v>1</v>
      </c>
      <c r="M882" s="28">
        <v>52</v>
      </c>
      <c r="N882" s="6">
        <v>225</v>
      </c>
      <c r="O882" s="30">
        <f t="shared" si="82"/>
        <v>52</v>
      </c>
      <c r="P882" s="30">
        <f t="shared" si="83"/>
        <v>11700</v>
      </c>
      <c r="Q882" s="1">
        <f>COUNTIFS($P:$P, "&gt;" &amp; $P882) + 1</f>
        <v>1603</v>
      </c>
      <c r="R882" s="63">
        <f>(COUNTIFS($P:$P, "&gt;" &amp; $P882) + 1) / (COUNTA($I:$I) - 1)</f>
        <v>0.3206</v>
      </c>
      <c r="S882" s="23">
        <f>SUMIFS($P:$P, $Q:$Q, "&lt;" &amp; $Q882)</f>
        <v>176113924</v>
      </c>
    </row>
    <row r="883" spans="1:19" x14ac:dyDescent="0.25">
      <c r="A883" s="1">
        <v>878</v>
      </c>
      <c r="B883" s="1" t="s">
        <v>2</v>
      </c>
      <c r="C883" s="1" t="str">
        <f>IF($B883 = "Production Item", _xlfn.XLOOKUP($A883, 'Instrument Table'!$J:$J, 'Instrument Table'!$B:$B, $C882), IF($B883 = "Service Item", _xlfn.XLOOKUP($A883, 'Instrument Table'!$I:$I, 'Instrument Table'!$B:$B, $C882), _xlfn.XLOOKUP($A883, 'Instrument Table'!$H:$H, 'Instrument Table'!$B:$B, $C882)))</f>
        <v>Electric Keyboard</v>
      </c>
      <c r="D883" s="1" t="str">
        <f>VLOOKUP($C883, 'Instrument Table'!$B:$C, 2, FALSE)</f>
        <v>Pianos</v>
      </c>
      <c r="E883" s="1">
        <f t="shared" si="78"/>
        <v>1</v>
      </c>
      <c r="F883" s="1">
        <f>_xlfn.XLOOKUP($C883, 'Instrument Table'!$B:$B, 'Instrument Table'!$A:$A, "")</f>
        <v>12</v>
      </c>
      <c r="G883" s="1" t="str">
        <f>TEXT(IF($B883 = "Retail Item", IF((ROW($A883) - 4504 - _xlfn.XMATCH($C883, $C$4506:$C$5005, 0, 1)) &lt;= VLOOKUP($C883, 'Instrument Table'!$B:$D, 3, FALSE), ROW($A883) - 4504 - _xlfn.XMATCH($C883, $C$4506:$C$5005, 0, 1), 0), 0), "00")</f>
        <v>00</v>
      </c>
      <c r="H883" s="1" t="str">
        <f t="shared" si="79"/>
        <v>127</v>
      </c>
      <c r="I883" s="1" t="str">
        <f t="shared" si="80"/>
        <v>11200-127</v>
      </c>
      <c r="J883" s="1" t="str">
        <f t="shared" si="81"/>
        <v>Electric keyboard production item #127</v>
      </c>
      <c r="K883" s="1" t="str">
        <f>IF(SUM(COUNTIFS(I:I, I883)) &gt; 1, "DUPLICATE", "UNIQUE")</f>
        <v>UNIQUE</v>
      </c>
      <c r="L883" s="18">
        <v>2</v>
      </c>
      <c r="M883" s="28">
        <v>38</v>
      </c>
      <c r="N883" s="6">
        <v>256</v>
      </c>
      <c r="O883" s="30">
        <f t="shared" si="82"/>
        <v>76</v>
      </c>
      <c r="P883" s="30">
        <f t="shared" si="83"/>
        <v>9728</v>
      </c>
      <c r="Q883" s="1">
        <f>COUNTIFS($P:$P, "&gt;" &amp; $P883) + 1</f>
        <v>1793</v>
      </c>
      <c r="R883" s="63">
        <f>(COUNTIFS($P:$P, "&gt;" &amp; $P883) + 1) / (COUNTA($I:$I) - 1)</f>
        <v>0.35859999999999997</v>
      </c>
      <c r="S883" s="23">
        <f>SUMIFS($P:$P, $Q:$Q, "&lt;" &amp; $Q883)</f>
        <v>178173272</v>
      </c>
    </row>
    <row r="884" spans="1:19" x14ac:dyDescent="0.25">
      <c r="A884" s="1">
        <v>879</v>
      </c>
      <c r="B884" s="1" t="s">
        <v>2</v>
      </c>
      <c r="C884" s="1" t="str">
        <f>IF($B884 = "Production Item", _xlfn.XLOOKUP($A884, 'Instrument Table'!$J:$J, 'Instrument Table'!$B:$B, $C883), IF($B884 = "Service Item", _xlfn.XLOOKUP($A884, 'Instrument Table'!$I:$I, 'Instrument Table'!$B:$B, $C883), _xlfn.XLOOKUP($A884, 'Instrument Table'!$H:$H, 'Instrument Table'!$B:$B, $C883)))</f>
        <v>Electric Keyboard</v>
      </c>
      <c r="D884" s="1" t="str">
        <f>VLOOKUP($C884, 'Instrument Table'!$B:$C, 2, FALSE)</f>
        <v>Pianos</v>
      </c>
      <c r="E884" s="1">
        <f t="shared" si="78"/>
        <v>1</v>
      </c>
      <c r="F884" s="1">
        <f>_xlfn.XLOOKUP($C884, 'Instrument Table'!$B:$B, 'Instrument Table'!$A:$A, "")</f>
        <v>12</v>
      </c>
      <c r="G884" s="1" t="str">
        <f>TEXT(IF($B884 = "Retail Item", IF((ROW($A884) - 4504 - _xlfn.XMATCH($C884, $C$4506:$C$5005, 0, 1)) &lt;= VLOOKUP($C884, 'Instrument Table'!$B:$D, 3, FALSE), ROW($A884) - 4504 - _xlfn.XMATCH($C884, $C$4506:$C$5005, 0, 1), 0), 0), "00")</f>
        <v>00</v>
      </c>
      <c r="H884" s="1" t="str">
        <f t="shared" si="79"/>
        <v>128</v>
      </c>
      <c r="I884" s="1" t="str">
        <f t="shared" si="80"/>
        <v>11200-128</v>
      </c>
      <c r="J884" s="1" t="str">
        <f t="shared" si="81"/>
        <v>Electric keyboard production item #128</v>
      </c>
      <c r="K884" s="1" t="str">
        <f>IF(SUM(COUNTIFS(I:I, I884)) &gt; 1, "DUPLICATE", "UNIQUE")</f>
        <v>UNIQUE</v>
      </c>
      <c r="L884" s="18">
        <v>0</v>
      </c>
      <c r="M884" s="28">
        <v>55</v>
      </c>
      <c r="N884" s="6">
        <v>64</v>
      </c>
      <c r="O884" s="30">
        <f t="shared" si="82"/>
        <v>0</v>
      </c>
      <c r="P884" s="30">
        <f t="shared" si="83"/>
        <v>3520</v>
      </c>
      <c r="Q884" s="1">
        <f>COUNTIFS($P:$P, "&gt;" &amp; $P884) + 1</f>
        <v>2772</v>
      </c>
      <c r="R884" s="63">
        <f>(COUNTIFS($P:$P, "&gt;" &amp; $P884) + 1) / (COUNTA($I:$I) - 1)</f>
        <v>0.5544</v>
      </c>
      <c r="S884" s="23">
        <f>SUMIFS($P:$P, $Q:$Q, "&lt;" &amp; $Q884)</f>
        <v>184228783</v>
      </c>
    </row>
    <row r="885" spans="1:19" x14ac:dyDescent="0.25">
      <c r="A885" s="1">
        <v>880</v>
      </c>
      <c r="B885" s="1" t="s">
        <v>2</v>
      </c>
      <c r="C885" s="1" t="str">
        <f>IF($B885 = "Production Item", _xlfn.XLOOKUP($A885, 'Instrument Table'!$J:$J, 'Instrument Table'!$B:$B, $C884), IF($B885 = "Service Item", _xlfn.XLOOKUP($A885, 'Instrument Table'!$I:$I, 'Instrument Table'!$B:$B, $C884), _xlfn.XLOOKUP($A885, 'Instrument Table'!$H:$H, 'Instrument Table'!$B:$B, $C884)))</f>
        <v>Electric Keyboard</v>
      </c>
      <c r="D885" s="1" t="str">
        <f>VLOOKUP($C885, 'Instrument Table'!$B:$C, 2, FALSE)</f>
        <v>Pianos</v>
      </c>
      <c r="E885" s="1">
        <f t="shared" si="78"/>
        <v>1</v>
      </c>
      <c r="F885" s="1">
        <f>_xlfn.XLOOKUP($C885, 'Instrument Table'!$B:$B, 'Instrument Table'!$A:$A, "")</f>
        <v>12</v>
      </c>
      <c r="G885" s="1" t="str">
        <f>TEXT(IF($B885 = "Retail Item", IF((ROW($A885) - 4504 - _xlfn.XMATCH($C885, $C$4506:$C$5005, 0, 1)) &lt;= VLOOKUP($C885, 'Instrument Table'!$B:$D, 3, FALSE), ROW($A885) - 4504 - _xlfn.XMATCH($C885, $C$4506:$C$5005, 0, 1), 0), 0), "00")</f>
        <v>00</v>
      </c>
      <c r="H885" s="1" t="str">
        <f t="shared" si="79"/>
        <v>129</v>
      </c>
      <c r="I885" s="1" t="str">
        <f t="shared" si="80"/>
        <v>11200-129</v>
      </c>
      <c r="J885" s="1" t="str">
        <f t="shared" si="81"/>
        <v>Electric keyboard production item #129</v>
      </c>
      <c r="K885" s="1" t="str">
        <f>IF(SUM(COUNTIFS(I:I, I885)) &gt; 1, "DUPLICATE", "UNIQUE")</f>
        <v>UNIQUE</v>
      </c>
      <c r="L885" s="18">
        <v>4</v>
      </c>
      <c r="M885" s="28">
        <v>68</v>
      </c>
      <c r="N885" s="6">
        <v>225</v>
      </c>
      <c r="O885" s="30">
        <f t="shared" si="82"/>
        <v>272</v>
      </c>
      <c r="P885" s="30">
        <f t="shared" si="83"/>
        <v>15300</v>
      </c>
      <c r="Q885" s="1">
        <f>COUNTIFS($P:$P, "&gt;" &amp; $P885) + 1</f>
        <v>1330</v>
      </c>
      <c r="R885" s="63">
        <f>(COUNTIFS($P:$P, "&gt;" &amp; $P885) + 1) / (COUNTA($I:$I) - 1)</f>
        <v>0.26600000000000001</v>
      </c>
      <c r="S885" s="23">
        <f>SUMIFS($P:$P, $Q:$Q, "&lt;" &amp; $Q885)</f>
        <v>172439802</v>
      </c>
    </row>
    <row r="886" spans="1:19" x14ac:dyDescent="0.25">
      <c r="A886" s="1">
        <v>881</v>
      </c>
      <c r="B886" s="1" t="s">
        <v>2</v>
      </c>
      <c r="C886" s="1" t="str">
        <f>IF($B886 = "Production Item", _xlfn.XLOOKUP($A886, 'Instrument Table'!$J:$J, 'Instrument Table'!$B:$B, $C885), IF($B886 = "Service Item", _xlfn.XLOOKUP($A886, 'Instrument Table'!$I:$I, 'Instrument Table'!$B:$B, $C885), _xlfn.XLOOKUP($A886, 'Instrument Table'!$H:$H, 'Instrument Table'!$B:$B, $C885)))</f>
        <v>Electric Keyboard</v>
      </c>
      <c r="D886" s="1" t="str">
        <f>VLOOKUP($C886, 'Instrument Table'!$B:$C, 2, FALSE)</f>
        <v>Pianos</v>
      </c>
      <c r="E886" s="1">
        <f t="shared" si="78"/>
        <v>1</v>
      </c>
      <c r="F886" s="1">
        <f>_xlfn.XLOOKUP($C886, 'Instrument Table'!$B:$B, 'Instrument Table'!$A:$A, "")</f>
        <v>12</v>
      </c>
      <c r="G886" s="1" t="str">
        <f>TEXT(IF($B886 = "Retail Item", IF((ROW($A886) - 4504 - _xlfn.XMATCH($C886, $C$4506:$C$5005, 0, 1)) &lt;= VLOOKUP($C886, 'Instrument Table'!$B:$D, 3, FALSE), ROW($A886) - 4504 - _xlfn.XMATCH($C886, $C$4506:$C$5005, 0, 1), 0), 0), "00")</f>
        <v>00</v>
      </c>
      <c r="H886" s="1" t="str">
        <f t="shared" si="79"/>
        <v>130</v>
      </c>
      <c r="I886" s="1" t="str">
        <f t="shared" si="80"/>
        <v>11200-130</v>
      </c>
      <c r="J886" s="1" t="str">
        <f t="shared" si="81"/>
        <v>Electric keyboard production item #130</v>
      </c>
      <c r="K886" s="1" t="str">
        <f>IF(SUM(COUNTIFS(I:I, I886)) &gt; 1, "DUPLICATE", "UNIQUE")</f>
        <v>UNIQUE</v>
      </c>
      <c r="L886" s="18">
        <v>0</v>
      </c>
      <c r="M886" s="28">
        <v>36</v>
      </c>
      <c r="N886" s="6">
        <v>100</v>
      </c>
      <c r="O886" s="30">
        <f t="shared" si="82"/>
        <v>0</v>
      </c>
      <c r="P886" s="30">
        <f t="shared" si="83"/>
        <v>3600</v>
      </c>
      <c r="Q886" s="1">
        <f>COUNTIFS($P:$P, "&gt;" &amp; $P886) + 1</f>
        <v>2737</v>
      </c>
      <c r="R886" s="63">
        <f>(COUNTIFS($P:$P, "&gt;" &amp; $P886) + 1) / (COUNTA($I:$I) - 1)</f>
        <v>0.5474</v>
      </c>
      <c r="S886" s="23">
        <f>SUMIFS($P:$P, $Q:$Q, "&lt;" &amp; $Q886)</f>
        <v>184104041</v>
      </c>
    </row>
    <row r="887" spans="1:19" x14ac:dyDescent="0.25">
      <c r="A887" s="1">
        <v>882</v>
      </c>
      <c r="B887" s="1" t="s">
        <v>2</v>
      </c>
      <c r="C887" s="1" t="str">
        <f>IF($B887 = "Production Item", _xlfn.XLOOKUP($A887, 'Instrument Table'!$J:$J, 'Instrument Table'!$B:$B, $C886), IF($B887 = "Service Item", _xlfn.XLOOKUP($A887, 'Instrument Table'!$I:$I, 'Instrument Table'!$B:$B, $C886), _xlfn.XLOOKUP($A887, 'Instrument Table'!$H:$H, 'Instrument Table'!$B:$B, $C886)))</f>
        <v>Electric Keyboard</v>
      </c>
      <c r="D887" s="1" t="str">
        <f>VLOOKUP($C887, 'Instrument Table'!$B:$C, 2, FALSE)</f>
        <v>Pianos</v>
      </c>
      <c r="E887" s="1">
        <f t="shared" si="78"/>
        <v>1</v>
      </c>
      <c r="F887" s="1">
        <f>_xlfn.XLOOKUP($C887, 'Instrument Table'!$B:$B, 'Instrument Table'!$A:$A, "")</f>
        <v>12</v>
      </c>
      <c r="G887" s="1" t="str">
        <f>TEXT(IF($B887 = "Retail Item", IF((ROW($A887) - 4504 - _xlfn.XMATCH($C887, $C$4506:$C$5005, 0, 1)) &lt;= VLOOKUP($C887, 'Instrument Table'!$B:$D, 3, FALSE), ROW($A887) - 4504 - _xlfn.XMATCH($C887, $C$4506:$C$5005, 0, 1), 0), 0), "00")</f>
        <v>00</v>
      </c>
      <c r="H887" s="1" t="str">
        <f t="shared" si="79"/>
        <v>131</v>
      </c>
      <c r="I887" s="1" t="str">
        <f t="shared" si="80"/>
        <v>11200-131</v>
      </c>
      <c r="J887" s="1" t="str">
        <f t="shared" si="81"/>
        <v>Electric keyboard production item #131</v>
      </c>
      <c r="K887" s="1" t="str">
        <f>IF(SUM(COUNTIFS(I:I, I887)) &gt; 1, "DUPLICATE", "UNIQUE")</f>
        <v>UNIQUE</v>
      </c>
      <c r="L887" s="18">
        <v>0</v>
      </c>
      <c r="M887" s="28">
        <v>43</v>
      </c>
      <c r="N887" s="6">
        <v>1</v>
      </c>
      <c r="O887" s="30">
        <f t="shared" si="82"/>
        <v>0</v>
      </c>
      <c r="P887" s="30">
        <f t="shared" si="83"/>
        <v>43</v>
      </c>
      <c r="Q887" s="1">
        <f>COUNTIFS($P:$P, "&gt;" &amp; $P887) + 1</f>
        <v>4635</v>
      </c>
      <c r="R887" s="63">
        <f>(COUNTIFS($P:$P, "&gt;" &amp; $P887) + 1) / (COUNTA($I:$I) - 1)</f>
        <v>0.92700000000000005</v>
      </c>
      <c r="S887" s="23">
        <f>SUMIFS($P:$P, $Q:$Q, "&lt;" &amp; $Q887)</f>
        <v>186545427</v>
      </c>
    </row>
    <row r="888" spans="1:19" x14ac:dyDescent="0.25">
      <c r="A888" s="1">
        <v>883</v>
      </c>
      <c r="B888" s="1" t="s">
        <v>2</v>
      </c>
      <c r="C888" s="1" t="str">
        <f>IF($B888 = "Production Item", _xlfn.XLOOKUP($A888, 'Instrument Table'!$J:$J, 'Instrument Table'!$B:$B, $C887), IF($B888 = "Service Item", _xlfn.XLOOKUP($A888, 'Instrument Table'!$I:$I, 'Instrument Table'!$B:$B, $C887), _xlfn.XLOOKUP($A888, 'Instrument Table'!$H:$H, 'Instrument Table'!$B:$B, $C887)))</f>
        <v>Electric Keyboard</v>
      </c>
      <c r="D888" s="1" t="str">
        <f>VLOOKUP($C888, 'Instrument Table'!$B:$C, 2, FALSE)</f>
        <v>Pianos</v>
      </c>
      <c r="E888" s="1">
        <f t="shared" si="78"/>
        <v>1</v>
      </c>
      <c r="F888" s="1">
        <f>_xlfn.XLOOKUP($C888, 'Instrument Table'!$B:$B, 'Instrument Table'!$A:$A, "")</f>
        <v>12</v>
      </c>
      <c r="G888" s="1" t="str">
        <f>TEXT(IF($B888 = "Retail Item", IF((ROW($A888) - 4504 - _xlfn.XMATCH($C888, $C$4506:$C$5005, 0, 1)) &lt;= VLOOKUP($C888, 'Instrument Table'!$B:$D, 3, FALSE), ROW($A888) - 4504 - _xlfn.XMATCH($C888, $C$4506:$C$5005, 0, 1), 0), 0), "00")</f>
        <v>00</v>
      </c>
      <c r="H888" s="1" t="str">
        <f t="shared" si="79"/>
        <v>132</v>
      </c>
      <c r="I888" s="1" t="str">
        <f t="shared" si="80"/>
        <v>11200-132</v>
      </c>
      <c r="J888" s="1" t="str">
        <f t="shared" si="81"/>
        <v>Electric keyboard production item #132</v>
      </c>
      <c r="K888" s="1" t="str">
        <f>IF(SUM(COUNTIFS(I:I, I888)) &gt; 1, "DUPLICATE", "UNIQUE")</f>
        <v>UNIQUE</v>
      </c>
      <c r="L888" s="18">
        <v>1</v>
      </c>
      <c r="M888" s="28">
        <v>30</v>
      </c>
      <c r="N888" s="6">
        <v>81</v>
      </c>
      <c r="O888" s="30">
        <f t="shared" si="82"/>
        <v>30</v>
      </c>
      <c r="P888" s="30">
        <f t="shared" si="83"/>
        <v>2430</v>
      </c>
      <c r="Q888" s="1">
        <f>COUNTIFS($P:$P, "&gt;" &amp; $P888) + 1</f>
        <v>3074</v>
      </c>
      <c r="R888" s="63">
        <f>(COUNTIFS($P:$P, "&gt;" &amp; $P888) + 1) / (COUNTA($I:$I) - 1)</f>
        <v>0.61480000000000001</v>
      </c>
      <c r="S888" s="23">
        <f>SUMIFS($P:$P, $Q:$Q, "&lt;" &amp; $Q888)</f>
        <v>185119965</v>
      </c>
    </row>
    <row r="889" spans="1:19" x14ac:dyDescent="0.25">
      <c r="A889" s="1">
        <v>884</v>
      </c>
      <c r="B889" s="1" t="s">
        <v>2</v>
      </c>
      <c r="C889" s="1" t="str">
        <f>IF($B889 = "Production Item", _xlfn.XLOOKUP($A889, 'Instrument Table'!$J:$J, 'Instrument Table'!$B:$B, $C888), IF($B889 = "Service Item", _xlfn.XLOOKUP($A889, 'Instrument Table'!$I:$I, 'Instrument Table'!$B:$B, $C888), _xlfn.XLOOKUP($A889, 'Instrument Table'!$H:$H, 'Instrument Table'!$B:$B, $C888)))</f>
        <v>Electric Keyboard</v>
      </c>
      <c r="D889" s="1" t="str">
        <f>VLOOKUP($C889, 'Instrument Table'!$B:$C, 2, FALSE)</f>
        <v>Pianos</v>
      </c>
      <c r="E889" s="1">
        <f t="shared" si="78"/>
        <v>1</v>
      </c>
      <c r="F889" s="1">
        <f>_xlfn.XLOOKUP($C889, 'Instrument Table'!$B:$B, 'Instrument Table'!$A:$A, "")</f>
        <v>12</v>
      </c>
      <c r="G889" s="1" t="str">
        <f>TEXT(IF($B889 = "Retail Item", IF((ROW($A889) - 4504 - _xlfn.XMATCH($C889, $C$4506:$C$5005, 0, 1)) &lt;= VLOOKUP($C889, 'Instrument Table'!$B:$D, 3, FALSE), ROW($A889) - 4504 - _xlfn.XMATCH($C889, $C$4506:$C$5005, 0, 1), 0), 0), "00")</f>
        <v>00</v>
      </c>
      <c r="H889" s="1" t="str">
        <f t="shared" si="79"/>
        <v>133</v>
      </c>
      <c r="I889" s="1" t="str">
        <f t="shared" si="80"/>
        <v>11200-133</v>
      </c>
      <c r="J889" s="1" t="str">
        <f t="shared" si="81"/>
        <v>Electric keyboard production item #133</v>
      </c>
      <c r="K889" s="1" t="str">
        <f>IF(SUM(COUNTIFS(I:I, I889)) &gt; 1, "DUPLICATE", "UNIQUE")</f>
        <v>UNIQUE</v>
      </c>
      <c r="L889" s="18">
        <v>32</v>
      </c>
      <c r="M889" s="28">
        <v>51</v>
      </c>
      <c r="N889" s="6">
        <v>49</v>
      </c>
      <c r="O889" s="30">
        <f t="shared" si="82"/>
        <v>1632</v>
      </c>
      <c r="P889" s="30">
        <f t="shared" si="83"/>
        <v>2499</v>
      </c>
      <c r="Q889" s="1">
        <f>COUNTIFS($P:$P, "&gt;" &amp; $P889) + 1</f>
        <v>3050</v>
      </c>
      <c r="R889" s="63">
        <f>(COUNTIFS($P:$P, "&gt;" &amp; $P889) + 1) / (COUNTA($I:$I) - 1)</f>
        <v>0.61</v>
      </c>
      <c r="S889" s="23">
        <f>SUMIFS($P:$P, $Q:$Q, "&lt;" &amp; $Q889)</f>
        <v>185060549</v>
      </c>
    </row>
    <row r="890" spans="1:19" x14ac:dyDescent="0.25">
      <c r="A890" s="1">
        <v>885</v>
      </c>
      <c r="B890" s="1" t="s">
        <v>2</v>
      </c>
      <c r="C890" s="1" t="str">
        <f>IF($B890 = "Production Item", _xlfn.XLOOKUP($A890, 'Instrument Table'!$J:$J, 'Instrument Table'!$B:$B, $C889), IF($B890 = "Service Item", _xlfn.XLOOKUP($A890, 'Instrument Table'!$I:$I, 'Instrument Table'!$B:$B, $C889), _xlfn.XLOOKUP($A890, 'Instrument Table'!$H:$H, 'Instrument Table'!$B:$B, $C889)))</f>
        <v>Electric Keyboard</v>
      </c>
      <c r="D890" s="1" t="str">
        <f>VLOOKUP($C890, 'Instrument Table'!$B:$C, 2, FALSE)</f>
        <v>Pianos</v>
      </c>
      <c r="E890" s="1">
        <f t="shared" si="78"/>
        <v>1</v>
      </c>
      <c r="F890" s="1">
        <f>_xlfn.XLOOKUP($C890, 'Instrument Table'!$B:$B, 'Instrument Table'!$A:$A, "")</f>
        <v>12</v>
      </c>
      <c r="G890" s="1" t="str">
        <f>TEXT(IF($B890 = "Retail Item", IF((ROW($A890) - 4504 - _xlfn.XMATCH($C890, $C$4506:$C$5005, 0, 1)) &lt;= VLOOKUP($C890, 'Instrument Table'!$B:$D, 3, FALSE), ROW($A890) - 4504 - _xlfn.XMATCH($C890, $C$4506:$C$5005, 0, 1), 0), 0), "00")</f>
        <v>00</v>
      </c>
      <c r="H890" s="1" t="str">
        <f t="shared" si="79"/>
        <v>134</v>
      </c>
      <c r="I890" s="1" t="str">
        <f t="shared" si="80"/>
        <v>11200-134</v>
      </c>
      <c r="J890" s="1" t="str">
        <f t="shared" si="81"/>
        <v>Electric keyboard production item #134</v>
      </c>
      <c r="K890" s="1" t="str">
        <f>IF(SUM(COUNTIFS(I:I, I890)) &gt; 1, "DUPLICATE", "UNIQUE")</f>
        <v>UNIQUE</v>
      </c>
      <c r="L890" s="18">
        <v>32</v>
      </c>
      <c r="M890" s="28">
        <v>83</v>
      </c>
      <c r="N890" s="6">
        <v>324</v>
      </c>
      <c r="O890" s="30">
        <f t="shared" si="82"/>
        <v>2656</v>
      </c>
      <c r="P890" s="30">
        <f t="shared" si="83"/>
        <v>26892</v>
      </c>
      <c r="Q890" s="1">
        <f>COUNTIFS($P:$P, "&gt;" &amp; $P890) + 1</f>
        <v>756</v>
      </c>
      <c r="R890" s="63">
        <f>(COUNTIFS($P:$P, "&gt;" &amp; $P890) + 1) / (COUNTA($I:$I) - 1)</f>
        <v>0.1512</v>
      </c>
      <c r="S890" s="23">
        <f>SUMIFS($P:$P, $Q:$Q, "&lt;" &amp; $Q890)</f>
        <v>160668094</v>
      </c>
    </row>
    <row r="891" spans="1:19" x14ac:dyDescent="0.25">
      <c r="A891" s="1">
        <v>886</v>
      </c>
      <c r="B891" s="1" t="s">
        <v>2</v>
      </c>
      <c r="C891" s="1" t="str">
        <f>IF($B891 = "Production Item", _xlfn.XLOOKUP($A891, 'Instrument Table'!$J:$J, 'Instrument Table'!$B:$B, $C890), IF($B891 = "Service Item", _xlfn.XLOOKUP($A891, 'Instrument Table'!$I:$I, 'Instrument Table'!$B:$B, $C890), _xlfn.XLOOKUP($A891, 'Instrument Table'!$H:$H, 'Instrument Table'!$B:$B, $C890)))</f>
        <v>Electric Keyboard</v>
      </c>
      <c r="D891" s="1" t="str">
        <f>VLOOKUP($C891, 'Instrument Table'!$B:$C, 2, FALSE)</f>
        <v>Pianos</v>
      </c>
      <c r="E891" s="1">
        <f t="shared" si="78"/>
        <v>1</v>
      </c>
      <c r="F891" s="1">
        <f>_xlfn.XLOOKUP($C891, 'Instrument Table'!$B:$B, 'Instrument Table'!$A:$A, "")</f>
        <v>12</v>
      </c>
      <c r="G891" s="1" t="str">
        <f>TEXT(IF($B891 = "Retail Item", IF((ROW($A891) - 4504 - _xlfn.XMATCH($C891, $C$4506:$C$5005, 0, 1)) &lt;= VLOOKUP($C891, 'Instrument Table'!$B:$D, 3, FALSE), ROW($A891) - 4504 - _xlfn.XMATCH($C891, $C$4506:$C$5005, 0, 1), 0), 0), "00")</f>
        <v>00</v>
      </c>
      <c r="H891" s="1" t="str">
        <f t="shared" si="79"/>
        <v>135</v>
      </c>
      <c r="I891" s="1" t="str">
        <f t="shared" si="80"/>
        <v>11200-135</v>
      </c>
      <c r="J891" s="1" t="str">
        <f t="shared" si="81"/>
        <v>Electric keyboard production item #135</v>
      </c>
      <c r="K891" s="1" t="str">
        <f>IF(SUM(COUNTIFS(I:I, I891)) &gt; 1, "DUPLICATE", "UNIQUE")</f>
        <v>UNIQUE</v>
      </c>
      <c r="L891" s="18">
        <v>1</v>
      </c>
      <c r="M891" s="28">
        <v>54</v>
      </c>
      <c r="N891" s="6">
        <v>16</v>
      </c>
      <c r="O891" s="30">
        <f t="shared" si="82"/>
        <v>54</v>
      </c>
      <c r="P891" s="30">
        <f t="shared" si="83"/>
        <v>864</v>
      </c>
      <c r="Q891" s="1">
        <f>COUNTIFS($P:$P, "&gt;" &amp; $P891) + 1</f>
        <v>3751</v>
      </c>
      <c r="R891" s="63">
        <f>(COUNTIFS($P:$P, "&gt;" &amp; $P891) + 1) / (COUNTA($I:$I) - 1)</f>
        <v>0.75019999999999998</v>
      </c>
      <c r="S891" s="23">
        <f>SUMIFS($P:$P, $Q:$Q, "&lt;" &amp; $Q891)</f>
        <v>186225045</v>
      </c>
    </row>
    <row r="892" spans="1:19" x14ac:dyDescent="0.25">
      <c r="A892" s="1">
        <v>887</v>
      </c>
      <c r="B892" s="1" t="s">
        <v>2</v>
      </c>
      <c r="C892" s="1" t="str">
        <f>IF($B892 = "Production Item", _xlfn.XLOOKUP($A892, 'Instrument Table'!$J:$J, 'Instrument Table'!$B:$B, $C891), IF($B892 = "Service Item", _xlfn.XLOOKUP($A892, 'Instrument Table'!$I:$I, 'Instrument Table'!$B:$B, $C891), _xlfn.XLOOKUP($A892, 'Instrument Table'!$H:$H, 'Instrument Table'!$B:$B, $C891)))</f>
        <v>Electric Keyboard</v>
      </c>
      <c r="D892" s="1" t="str">
        <f>VLOOKUP($C892, 'Instrument Table'!$B:$C, 2, FALSE)</f>
        <v>Pianos</v>
      </c>
      <c r="E892" s="1">
        <f t="shared" si="78"/>
        <v>1</v>
      </c>
      <c r="F892" s="1">
        <f>_xlfn.XLOOKUP($C892, 'Instrument Table'!$B:$B, 'Instrument Table'!$A:$A, "")</f>
        <v>12</v>
      </c>
      <c r="G892" s="1" t="str">
        <f>TEXT(IF($B892 = "Retail Item", IF((ROW($A892) - 4504 - _xlfn.XMATCH($C892, $C$4506:$C$5005, 0, 1)) &lt;= VLOOKUP($C892, 'Instrument Table'!$B:$D, 3, FALSE), ROW($A892) - 4504 - _xlfn.XMATCH($C892, $C$4506:$C$5005, 0, 1), 0), 0), "00")</f>
        <v>00</v>
      </c>
      <c r="H892" s="1" t="str">
        <f t="shared" si="79"/>
        <v>136</v>
      </c>
      <c r="I892" s="1" t="str">
        <f t="shared" si="80"/>
        <v>11200-136</v>
      </c>
      <c r="J892" s="1" t="str">
        <f t="shared" si="81"/>
        <v>Electric keyboard production item #136</v>
      </c>
      <c r="K892" s="1" t="str">
        <f>IF(SUM(COUNTIFS(I:I, I892)) &gt; 1, "DUPLICATE", "UNIQUE")</f>
        <v>UNIQUE</v>
      </c>
      <c r="L892" s="18">
        <v>1</v>
      </c>
      <c r="M892" s="28">
        <v>63</v>
      </c>
      <c r="N892" s="6">
        <v>121</v>
      </c>
      <c r="O892" s="30">
        <f t="shared" si="82"/>
        <v>63</v>
      </c>
      <c r="P892" s="30">
        <f t="shared" si="83"/>
        <v>7623</v>
      </c>
      <c r="Q892" s="1">
        <f>COUNTIFS($P:$P, "&gt;" &amp; $P892) + 1</f>
        <v>2053</v>
      </c>
      <c r="R892" s="63">
        <f>(COUNTIFS($P:$P, "&gt;" &amp; $P892) + 1) / (COUNTA($I:$I) - 1)</f>
        <v>0.41060000000000002</v>
      </c>
      <c r="S892" s="23">
        <f>SUMIFS($P:$P, $Q:$Q, "&lt;" &amp; $Q892)</f>
        <v>180407949</v>
      </c>
    </row>
    <row r="893" spans="1:19" x14ac:dyDescent="0.25">
      <c r="A893" s="1">
        <v>888</v>
      </c>
      <c r="B893" s="1" t="s">
        <v>2</v>
      </c>
      <c r="C893" s="1" t="str">
        <f>IF($B893 = "Production Item", _xlfn.XLOOKUP($A893, 'Instrument Table'!$J:$J, 'Instrument Table'!$B:$B, $C892), IF($B893 = "Service Item", _xlfn.XLOOKUP($A893, 'Instrument Table'!$I:$I, 'Instrument Table'!$B:$B, $C892), _xlfn.XLOOKUP($A893, 'Instrument Table'!$H:$H, 'Instrument Table'!$B:$B, $C892)))</f>
        <v>Electric Keyboard</v>
      </c>
      <c r="D893" s="1" t="str">
        <f>VLOOKUP($C893, 'Instrument Table'!$B:$C, 2, FALSE)</f>
        <v>Pianos</v>
      </c>
      <c r="E893" s="1">
        <f t="shared" si="78"/>
        <v>1</v>
      </c>
      <c r="F893" s="1">
        <f>_xlfn.XLOOKUP($C893, 'Instrument Table'!$B:$B, 'Instrument Table'!$A:$A, "")</f>
        <v>12</v>
      </c>
      <c r="G893" s="1" t="str">
        <f>TEXT(IF($B893 = "Retail Item", IF((ROW($A893) - 4504 - _xlfn.XMATCH($C893, $C$4506:$C$5005, 0, 1)) &lt;= VLOOKUP($C893, 'Instrument Table'!$B:$D, 3, FALSE), ROW($A893) - 4504 - _xlfn.XMATCH($C893, $C$4506:$C$5005, 0, 1), 0), 0), "00")</f>
        <v>00</v>
      </c>
      <c r="H893" s="1" t="str">
        <f t="shared" si="79"/>
        <v>137</v>
      </c>
      <c r="I893" s="1" t="str">
        <f t="shared" si="80"/>
        <v>11200-137</v>
      </c>
      <c r="J893" s="1" t="str">
        <f t="shared" si="81"/>
        <v>Electric keyboard production item #137</v>
      </c>
      <c r="K893" s="1" t="str">
        <f>IF(SUM(COUNTIFS(I:I, I893)) &gt; 1, "DUPLICATE", "UNIQUE")</f>
        <v>UNIQUE</v>
      </c>
      <c r="L893" s="18">
        <v>0</v>
      </c>
      <c r="M893" s="28">
        <v>97</v>
      </c>
      <c r="N893" s="6">
        <v>1</v>
      </c>
      <c r="O893" s="30">
        <f t="shared" si="82"/>
        <v>0</v>
      </c>
      <c r="P893" s="30">
        <f t="shared" si="83"/>
        <v>97</v>
      </c>
      <c r="Q893" s="1">
        <f>COUNTIFS($P:$P, "&gt;" &amp; $P893) + 1</f>
        <v>4465</v>
      </c>
      <c r="R893" s="63">
        <f>(COUNTIFS($P:$P, "&gt;" &amp; $P893) + 1) / (COUNTA($I:$I) - 1)</f>
        <v>0.89300000000000002</v>
      </c>
      <c r="S893" s="23">
        <f>SUMIFS($P:$P, $Q:$Q, "&lt;" &amp; $Q893)</f>
        <v>186533705</v>
      </c>
    </row>
    <row r="894" spans="1:19" x14ac:dyDescent="0.25">
      <c r="A894" s="1">
        <v>889</v>
      </c>
      <c r="B894" s="1" t="s">
        <v>2</v>
      </c>
      <c r="C894" s="1" t="str">
        <f>IF($B894 = "Production Item", _xlfn.XLOOKUP($A894, 'Instrument Table'!$J:$J, 'Instrument Table'!$B:$B, $C893), IF($B894 = "Service Item", _xlfn.XLOOKUP($A894, 'Instrument Table'!$I:$I, 'Instrument Table'!$B:$B, $C893), _xlfn.XLOOKUP($A894, 'Instrument Table'!$H:$H, 'Instrument Table'!$B:$B, $C893)))</f>
        <v>Electric Keyboard</v>
      </c>
      <c r="D894" s="1" t="str">
        <f>VLOOKUP($C894, 'Instrument Table'!$B:$C, 2, FALSE)</f>
        <v>Pianos</v>
      </c>
      <c r="E894" s="1">
        <f t="shared" si="78"/>
        <v>1</v>
      </c>
      <c r="F894" s="1">
        <f>_xlfn.XLOOKUP($C894, 'Instrument Table'!$B:$B, 'Instrument Table'!$A:$A, "")</f>
        <v>12</v>
      </c>
      <c r="G894" s="1" t="str">
        <f>TEXT(IF($B894 = "Retail Item", IF((ROW($A894) - 4504 - _xlfn.XMATCH($C894, $C$4506:$C$5005, 0, 1)) &lt;= VLOOKUP($C894, 'Instrument Table'!$B:$D, 3, FALSE), ROW($A894) - 4504 - _xlfn.XMATCH($C894, $C$4506:$C$5005, 0, 1), 0), 0), "00")</f>
        <v>00</v>
      </c>
      <c r="H894" s="1" t="str">
        <f t="shared" si="79"/>
        <v>138</v>
      </c>
      <c r="I894" s="1" t="str">
        <f t="shared" si="80"/>
        <v>11200-138</v>
      </c>
      <c r="J894" s="1" t="str">
        <f t="shared" si="81"/>
        <v>Electric keyboard production item #138</v>
      </c>
      <c r="K894" s="1" t="str">
        <f>IF(SUM(COUNTIFS(I:I, I894)) &gt; 1, "DUPLICATE", "UNIQUE")</f>
        <v>UNIQUE</v>
      </c>
      <c r="L894" s="18">
        <v>1</v>
      </c>
      <c r="M894" s="28">
        <v>11</v>
      </c>
      <c r="N894" s="6">
        <v>36</v>
      </c>
      <c r="O894" s="30">
        <f t="shared" si="82"/>
        <v>11</v>
      </c>
      <c r="P894" s="30">
        <f t="shared" si="83"/>
        <v>396</v>
      </c>
      <c r="Q894" s="1">
        <f>COUNTIFS($P:$P, "&gt;" &amp; $P894) + 1</f>
        <v>4100</v>
      </c>
      <c r="R894" s="63">
        <f>(COUNTIFS($P:$P, "&gt;" &amp; $P894) + 1) / (COUNTA($I:$I) - 1)</f>
        <v>0.82</v>
      </c>
      <c r="S894" s="23">
        <f>SUMIFS($P:$P, $Q:$Q, "&lt;" &amp; $Q894)</f>
        <v>186444882</v>
      </c>
    </row>
    <row r="895" spans="1:19" x14ac:dyDescent="0.25">
      <c r="A895" s="1">
        <v>890</v>
      </c>
      <c r="B895" s="1" t="s">
        <v>2</v>
      </c>
      <c r="C895" s="1" t="str">
        <f>IF($B895 = "Production Item", _xlfn.XLOOKUP($A895, 'Instrument Table'!$J:$J, 'Instrument Table'!$B:$B, $C894), IF($B895 = "Service Item", _xlfn.XLOOKUP($A895, 'Instrument Table'!$I:$I, 'Instrument Table'!$B:$B, $C894), _xlfn.XLOOKUP($A895, 'Instrument Table'!$H:$H, 'Instrument Table'!$B:$B, $C894)))</f>
        <v>Electric Keyboard</v>
      </c>
      <c r="D895" s="1" t="str">
        <f>VLOOKUP($C895, 'Instrument Table'!$B:$C, 2, FALSE)</f>
        <v>Pianos</v>
      </c>
      <c r="E895" s="1">
        <f t="shared" si="78"/>
        <v>1</v>
      </c>
      <c r="F895" s="1">
        <f>_xlfn.XLOOKUP($C895, 'Instrument Table'!$B:$B, 'Instrument Table'!$A:$A, "")</f>
        <v>12</v>
      </c>
      <c r="G895" s="1" t="str">
        <f>TEXT(IF($B895 = "Retail Item", IF((ROW($A895) - 4504 - _xlfn.XMATCH($C895, $C$4506:$C$5005, 0, 1)) &lt;= VLOOKUP($C895, 'Instrument Table'!$B:$D, 3, FALSE), ROW($A895) - 4504 - _xlfn.XMATCH($C895, $C$4506:$C$5005, 0, 1), 0), 0), "00")</f>
        <v>00</v>
      </c>
      <c r="H895" s="1" t="str">
        <f t="shared" si="79"/>
        <v>139</v>
      </c>
      <c r="I895" s="1" t="str">
        <f t="shared" si="80"/>
        <v>11200-139</v>
      </c>
      <c r="J895" s="1" t="str">
        <f t="shared" si="81"/>
        <v>Electric keyboard production item #139</v>
      </c>
      <c r="K895" s="1" t="str">
        <f>IF(SUM(COUNTIFS(I:I, I895)) &gt; 1, "DUPLICATE", "UNIQUE")</f>
        <v>UNIQUE</v>
      </c>
      <c r="L895" s="18">
        <v>0</v>
      </c>
      <c r="M895" s="28">
        <v>81</v>
      </c>
      <c r="N895" s="6">
        <v>64</v>
      </c>
      <c r="O895" s="30">
        <f t="shared" si="82"/>
        <v>0</v>
      </c>
      <c r="P895" s="30">
        <f t="shared" si="83"/>
        <v>5184</v>
      </c>
      <c r="Q895" s="1">
        <f>COUNTIFS($P:$P, "&gt;" &amp; $P895) + 1</f>
        <v>2412</v>
      </c>
      <c r="R895" s="63">
        <f>(COUNTIFS($P:$P, "&gt;" &amp; $P895) + 1) / (COUNTA($I:$I) - 1)</f>
        <v>0.4824</v>
      </c>
      <c r="S895" s="23">
        <f>SUMIFS($P:$P, $Q:$Q, "&lt;" &amp; $Q895)</f>
        <v>182678928</v>
      </c>
    </row>
    <row r="896" spans="1:19" x14ac:dyDescent="0.25">
      <c r="A896" s="1">
        <v>891</v>
      </c>
      <c r="B896" s="1" t="s">
        <v>2</v>
      </c>
      <c r="C896" s="1" t="str">
        <f>IF($B896 = "Production Item", _xlfn.XLOOKUP($A896, 'Instrument Table'!$J:$J, 'Instrument Table'!$B:$B, $C895), IF($B896 = "Service Item", _xlfn.XLOOKUP($A896, 'Instrument Table'!$I:$I, 'Instrument Table'!$B:$B, $C895), _xlfn.XLOOKUP($A896, 'Instrument Table'!$H:$H, 'Instrument Table'!$B:$B, $C895)))</f>
        <v>Electric Keyboard</v>
      </c>
      <c r="D896" s="1" t="str">
        <f>VLOOKUP($C896, 'Instrument Table'!$B:$C, 2, FALSE)</f>
        <v>Pianos</v>
      </c>
      <c r="E896" s="1">
        <f t="shared" si="78"/>
        <v>1</v>
      </c>
      <c r="F896" s="1">
        <f>_xlfn.XLOOKUP($C896, 'Instrument Table'!$B:$B, 'Instrument Table'!$A:$A, "")</f>
        <v>12</v>
      </c>
      <c r="G896" s="1" t="str">
        <f>TEXT(IF($B896 = "Retail Item", IF((ROW($A896) - 4504 - _xlfn.XMATCH($C896, $C$4506:$C$5005, 0, 1)) &lt;= VLOOKUP($C896, 'Instrument Table'!$B:$D, 3, FALSE), ROW($A896) - 4504 - _xlfn.XMATCH($C896, $C$4506:$C$5005, 0, 1), 0), 0), "00")</f>
        <v>00</v>
      </c>
      <c r="H896" s="1" t="str">
        <f t="shared" si="79"/>
        <v>140</v>
      </c>
      <c r="I896" s="1" t="str">
        <f t="shared" si="80"/>
        <v>11200-140</v>
      </c>
      <c r="J896" s="1" t="str">
        <f t="shared" si="81"/>
        <v>Electric keyboard production item #140</v>
      </c>
      <c r="K896" s="1" t="str">
        <f>IF(SUM(COUNTIFS(I:I, I896)) &gt; 1, "DUPLICATE", "UNIQUE")</f>
        <v>UNIQUE</v>
      </c>
      <c r="L896" s="18">
        <v>0</v>
      </c>
      <c r="M896" s="28">
        <v>43</v>
      </c>
      <c r="N896" s="6">
        <v>400</v>
      </c>
      <c r="O896" s="30">
        <f t="shared" si="82"/>
        <v>0</v>
      </c>
      <c r="P896" s="30">
        <f t="shared" si="83"/>
        <v>17200</v>
      </c>
      <c r="Q896" s="1">
        <f>COUNTIFS($P:$P, "&gt;" &amp; $P896) + 1</f>
        <v>1204</v>
      </c>
      <c r="R896" s="63">
        <f>(COUNTIFS($P:$P, "&gt;" &amp; $P896) + 1) / (COUNTA($I:$I) - 1)</f>
        <v>0.24079999999999999</v>
      </c>
      <c r="S896" s="23">
        <f>SUMIFS($P:$P, $Q:$Q, "&lt;" &amp; $Q896)</f>
        <v>170395357</v>
      </c>
    </row>
    <row r="897" spans="1:19" x14ac:dyDescent="0.25">
      <c r="A897" s="1">
        <v>892</v>
      </c>
      <c r="B897" s="1" t="s">
        <v>2</v>
      </c>
      <c r="C897" s="1" t="str">
        <f>IF($B897 = "Production Item", _xlfn.XLOOKUP($A897, 'Instrument Table'!$J:$J, 'Instrument Table'!$B:$B, $C896), IF($B897 = "Service Item", _xlfn.XLOOKUP($A897, 'Instrument Table'!$I:$I, 'Instrument Table'!$B:$B, $C896), _xlfn.XLOOKUP($A897, 'Instrument Table'!$H:$H, 'Instrument Table'!$B:$B, $C896)))</f>
        <v>Electric Keyboard</v>
      </c>
      <c r="D897" s="1" t="str">
        <f>VLOOKUP($C897, 'Instrument Table'!$B:$C, 2, FALSE)</f>
        <v>Pianos</v>
      </c>
      <c r="E897" s="1">
        <f t="shared" si="78"/>
        <v>1</v>
      </c>
      <c r="F897" s="1">
        <f>_xlfn.XLOOKUP($C897, 'Instrument Table'!$B:$B, 'Instrument Table'!$A:$A, "")</f>
        <v>12</v>
      </c>
      <c r="G897" s="1" t="str">
        <f>TEXT(IF($B897 = "Retail Item", IF((ROW($A897) - 4504 - _xlfn.XMATCH($C897, $C$4506:$C$5005, 0, 1)) &lt;= VLOOKUP($C897, 'Instrument Table'!$B:$D, 3, FALSE), ROW($A897) - 4504 - _xlfn.XMATCH($C897, $C$4506:$C$5005, 0, 1), 0), 0), "00")</f>
        <v>00</v>
      </c>
      <c r="H897" s="1" t="str">
        <f t="shared" si="79"/>
        <v>141</v>
      </c>
      <c r="I897" s="1" t="str">
        <f t="shared" si="80"/>
        <v>11200-141</v>
      </c>
      <c r="J897" s="1" t="str">
        <f t="shared" si="81"/>
        <v>Electric keyboard production item #141</v>
      </c>
      <c r="K897" s="1" t="str">
        <f>IF(SUM(COUNTIFS(I:I, I897)) &gt; 1, "DUPLICATE", "UNIQUE")</f>
        <v>UNIQUE</v>
      </c>
      <c r="L897" s="18">
        <v>32</v>
      </c>
      <c r="M897" s="28">
        <v>82</v>
      </c>
      <c r="N897" s="6">
        <v>400</v>
      </c>
      <c r="O897" s="30">
        <f t="shared" si="82"/>
        <v>2624</v>
      </c>
      <c r="P897" s="30">
        <f t="shared" si="83"/>
        <v>32800</v>
      </c>
      <c r="Q897" s="1">
        <f>COUNTIFS($P:$P, "&gt;" &amp; $P897) + 1</f>
        <v>631</v>
      </c>
      <c r="R897" s="63">
        <f>(COUNTIFS($P:$P, "&gt;" &amp; $P897) + 1) / (COUNTA($I:$I) - 1)</f>
        <v>0.12620000000000001</v>
      </c>
      <c r="S897" s="23">
        <f>SUMIFS($P:$P, $Q:$Q, "&lt;" &amp; $Q897)</f>
        <v>156930640</v>
      </c>
    </row>
    <row r="898" spans="1:19" x14ac:dyDescent="0.25">
      <c r="A898" s="1">
        <v>893</v>
      </c>
      <c r="B898" s="1" t="s">
        <v>2</v>
      </c>
      <c r="C898" s="1" t="str">
        <f>IF($B898 = "Production Item", _xlfn.XLOOKUP($A898, 'Instrument Table'!$J:$J, 'Instrument Table'!$B:$B, $C897), IF($B898 = "Service Item", _xlfn.XLOOKUP($A898, 'Instrument Table'!$I:$I, 'Instrument Table'!$B:$B, $C897), _xlfn.XLOOKUP($A898, 'Instrument Table'!$H:$H, 'Instrument Table'!$B:$B, $C897)))</f>
        <v>Electric Keyboard</v>
      </c>
      <c r="D898" s="1" t="str">
        <f>VLOOKUP($C898, 'Instrument Table'!$B:$C, 2, FALSE)</f>
        <v>Pianos</v>
      </c>
      <c r="E898" s="1">
        <f t="shared" si="78"/>
        <v>1</v>
      </c>
      <c r="F898" s="1">
        <f>_xlfn.XLOOKUP($C898, 'Instrument Table'!$B:$B, 'Instrument Table'!$A:$A, "")</f>
        <v>12</v>
      </c>
      <c r="G898" s="1" t="str">
        <f>TEXT(IF($B898 = "Retail Item", IF((ROW($A898) - 4504 - _xlfn.XMATCH($C898, $C$4506:$C$5005, 0, 1)) &lt;= VLOOKUP($C898, 'Instrument Table'!$B:$D, 3, FALSE), ROW($A898) - 4504 - _xlfn.XMATCH($C898, $C$4506:$C$5005, 0, 1), 0), 0), "00")</f>
        <v>00</v>
      </c>
      <c r="H898" s="1" t="str">
        <f t="shared" si="79"/>
        <v>142</v>
      </c>
      <c r="I898" s="1" t="str">
        <f t="shared" si="80"/>
        <v>11200-142</v>
      </c>
      <c r="J898" s="1" t="str">
        <f t="shared" si="81"/>
        <v>Electric keyboard production item #142</v>
      </c>
      <c r="K898" s="1" t="str">
        <f>IF(SUM(COUNTIFS(I:I, I898)) &gt; 1, "DUPLICATE", "UNIQUE")</f>
        <v>UNIQUE</v>
      </c>
      <c r="L898" s="18">
        <v>16</v>
      </c>
      <c r="M898" s="28">
        <v>80</v>
      </c>
      <c r="N898" s="6">
        <v>49</v>
      </c>
      <c r="O898" s="30">
        <f t="shared" si="82"/>
        <v>1280</v>
      </c>
      <c r="P898" s="30">
        <f t="shared" si="83"/>
        <v>3920</v>
      </c>
      <c r="Q898" s="1">
        <f>COUNTIFS($P:$P, "&gt;" &amp; $P898) + 1</f>
        <v>2667</v>
      </c>
      <c r="R898" s="63">
        <f>(COUNTIFS($P:$P, "&gt;" &amp; $P898) + 1) / (COUNTA($I:$I) - 1)</f>
        <v>0.53339999999999999</v>
      </c>
      <c r="S898" s="23">
        <f>SUMIFS($P:$P, $Q:$Q, "&lt;" &amp; $Q898)</f>
        <v>183838824</v>
      </c>
    </row>
    <row r="899" spans="1:19" x14ac:dyDescent="0.25">
      <c r="A899" s="1">
        <v>894</v>
      </c>
      <c r="B899" s="1" t="s">
        <v>2</v>
      </c>
      <c r="C899" s="1" t="str">
        <f>IF($B899 = "Production Item", _xlfn.XLOOKUP($A899, 'Instrument Table'!$J:$J, 'Instrument Table'!$B:$B, $C898), IF($B899 = "Service Item", _xlfn.XLOOKUP($A899, 'Instrument Table'!$I:$I, 'Instrument Table'!$B:$B, $C898), _xlfn.XLOOKUP($A899, 'Instrument Table'!$H:$H, 'Instrument Table'!$B:$B, $C898)))</f>
        <v>Electric Keyboard</v>
      </c>
      <c r="D899" s="1" t="str">
        <f>VLOOKUP($C899, 'Instrument Table'!$B:$C, 2, FALSE)</f>
        <v>Pianos</v>
      </c>
      <c r="E899" s="1">
        <f t="shared" si="78"/>
        <v>1</v>
      </c>
      <c r="F899" s="1">
        <f>_xlfn.XLOOKUP($C899, 'Instrument Table'!$B:$B, 'Instrument Table'!$A:$A, "")</f>
        <v>12</v>
      </c>
      <c r="G899" s="1" t="str">
        <f>TEXT(IF($B899 = "Retail Item", IF((ROW($A899) - 4504 - _xlfn.XMATCH($C899, $C$4506:$C$5005, 0, 1)) &lt;= VLOOKUP($C899, 'Instrument Table'!$B:$D, 3, FALSE), ROW($A899) - 4504 - _xlfn.XMATCH($C899, $C$4506:$C$5005, 0, 1), 0), 0), "00")</f>
        <v>00</v>
      </c>
      <c r="H899" s="1" t="str">
        <f t="shared" si="79"/>
        <v>143</v>
      </c>
      <c r="I899" s="1" t="str">
        <f t="shared" si="80"/>
        <v>11200-143</v>
      </c>
      <c r="J899" s="1" t="str">
        <f t="shared" si="81"/>
        <v>Electric keyboard production item #143</v>
      </c>
      <c r="K899" s="1" t="str">
        <f>IF(SUM(COUNTIFS(I:I, I899)) &gt; 1, "DUPLICATE", "UNIQUE")</f>
        <v>UNIQUE</v>
      </c>
      <c r="L899" s="18">
        <v>16</v>
      </c>
      <c r="M899" s="28">
        <v>9</v>
      </c>
      <c r="N899" s="6">
        <v>169</v>
      </c>
      <c r="O899" s="30">
        <f t="shared" si="82"/>
        <v>144</v>
      </c>
      <c r="P899" s="30">
        <f t="shared" si="83"/>
        <v>1521</v>
      </c>
      <c r="Q899" s="1">
        <f>COUNTIFS($P:$P, "&gt;" &amp; $P899) + 1</f>
        <v>3451</v>
      </c>
      <c r="R899" s="63">
        <f>(COUNTIFS($P:$P, "&gt;" &amp; $P899) + 1) / (COUNTA($I:$I) - 1)</f>
        <v>0.69020000000000004</v>
      </c>
      <c r="S899" s="23">
        <f>SUMIFS($P:$P, $Q:$Q, "&lt;" &amp; $Q899)</f>
        <v>185865347</v>
      </c>
    </row>
    <row r="900" spans="1:19" x14ac:dyDescent="0.25">
      <c r="A900" s="1">
        <v>895</v>
      </c>
      <c r="B900" s="1" t="s">
        <v>2</v>
      </c>
      <c r="C900" s="1" t="str">
        <f>IF($B900 = "Production Item", _xlfn.XLOOKUP($A900, 'Instrument Table'!$J:$J, 'Instrument Table'!$B:$B, $C899), IF($B900 = "Service Item", _xlfn.XLOOKUP($A900, 'Instrument Table'!$I:$I, 'Instrument Table'!$B:$B, $C899), _xlfn.XLOOKUP($A900, 'Instrument Table'!$H:$H, 'Instrument Table'!$B:$B, $C899)))</f>
        <v>Electric Keyboard</v>
      </c>
      <c r="D900" s="1" t="str">
        <f>VLOOKUP($C900, 'Instrument Table'!$B:$C, 2, FALSE)</f>
        <v>Pianos</v>
      </c>
      <c r="E900" s="1">
        <f t="shared" si="78"/>
        <v>1</v>
      </c>
      <c r="F900" s="1">
        <f>_xlfn.XLOOKUP($C900, 'Instrument Table'!$B:$B, 'Instrument Table'!$A:$A, "")</f>
        <v>12</v>
      </c>
      <c r="G900" s="1" t="str">
        <f>TEXT(IF($B900 = "Retail Item", IF((ROW($A900) - 4504 - _xlfn.XMATCH($C900, $C$4506:$C$5005, 0, 1)) &lt;= VLOOKUP($C900, 'Instrument Table'!$B:$D, 3, FALSE), ROW($A900) - 4504 - _xlfn.XMATCH($C900, $C$4506:$C$5005, 0, 1), 0), 0), "00")</f>
        <v>00</v>
      </c>
      <c r="H900" s="1" t="str">
        <f t="shared" si="79"/>
        <v>144</v>
      </c>
      <c r="I900" s="1" t="str">
        <f t="shared" si="80"/>
        <v>11200-144</v>
      </c>
      <c r="J900" s="1" t="str">
        <f t="shared" si="81"/>
        <v>Electric keyboard production item #144</v>
      </c>
      <c r="K900" s="1" t="str">
        <f>IF(SUM(COUNTIFS(I:I, I900)) &gt; 1, "DUPLICATE", "UNIQUE")</f>
        <v>UNIQUE</v>
      </c>
      <c r="L900" s="18">
        <v>32</v>
      </c>
      <c r="M900" s="28">
        <v>46</v>
      </c>
      <c r="N900" s="6">
        <v>49</v>
      </c>
      <c r="O900" s="30">
        <f t="shared" si="82"/>
        <v>1472</v>
      </c>
      <c r="P900" s="30">
        <f t="shared" si="83"/>
        <v>2254</v>
      </c>
      <c r="Q900" s="1">
        <f>COUNTIFS($P:$P, "&gt;" &amp; $P900) + 1</f>
        <v>3155</v>
      </c>
      <c r="R900" s="63">
        <f>(COUNTIFS($P:$P, "&gt;" &amp; $P900) + 1) / (COUNTA($I:$I) - 1)</f>
        <v>0.63100000000000001</v>
      </c>
      <c r="S900" s="23">
        <f>SUMIFS($P:$P, $Q:$Q, "&lt;" &amp; $Q900)</f>
        <v>185309453</v>
      </c>
    </row>
    <row r="901" spans="1:19" x14ac:dyDescent="0.25">
      <c r="A901" s="1">
        <v>896</v>
      </c>
      <c r="B901" s="1" t="s">
        <v>2</v>
      </c>
      <c r="C901" s="1" t="str">
        <f>IF($B901 = "Production Item", _xlfn.XLOOKUP($A901, 'Instrument Table'!$J:$J, 'Instrument Table'!$B:$B, $C900), IF($B901 = "Service Item", _xlfn.XLOOKUP($A901, 'Instrument Table'!$I:$I, 'Instrument Table'!$B:$B, $C900), _xlfn.XLOOKUP($A901, 'Instrument Table'!$H:$H, 'Instrument Table'!$B:$B, $C900)))</f>
        <v>Electric Keyboard</v>
      </c>
      <c r="D901" s="1" t="str">
        <f>VLOOKUP($C901, 'Instrument Table'!$B:$C, 2, FALSE)</f>
        <v>Pianos</v>
      </c>
      <c r="E901" s="1">
        <f t="shared" si="78"/>
        <v>1</v>
      </c>
      <c r="F901" s="1">
        <f>_xlfn.XLOOKUP($C901, 'Instrument Table'!$B:$B, 'Instrument Table'!$A:$A, "")</f>
        <v>12</v>
      </c>
      <c r="G901" s="1" t="str">
        <f>TEXT(IF($B901 = "Retail Item", IF((ROW($A901) - 4504 - _xlfn.XMATCH($C901, $C$4506:$C$5005, 0, 1)) &lt;= VLOOKUP($C901, 'Instrument Table'!$B:$D, 3, FALSE), ROW($A901) - 4504 - _xlfn.XMATCH($C901, $C$4506:$C$5005, 0, 1), 0), 0), "00")</f>
        <v>00</v>
      </c>
      <c r="H901" s="1" t="str">
        <f t="shared" si="79"/>
        <v>145</v>
      </c>
      <c r="I901" s="1" t="str">
        <f t="shared" si="80"/>
        <v>11200-145</v>
      </c>
      <c r="J901" s="1" t="str">
        <f t="shared" si="81"/>
        <v>Electric keyboard production item #145</v>
      </c>
      <c r="K901" s="1" t="str">
        <f>IF(SUM(COUNTIFS(I:I, I901)) &gt; 1, "DUPLICATE", "UNIQUE")</f>
        <v>UNIQUE</v>
      </c>
      <c r="L901" s="18">
        <v>1</v>
      </c>
      <c r="M901" s="28">
        <v>50</v>
      </c>
      <c r="N901" s="6">
        <v>324</v>
      </c>
      <c r="O901" s="30">
        <f t="shared" si="82"/>
        <v>50</v>
      </c>
      <c r="P901" s="30">
        <f t="shared" si="83"/>
        <v>16200</v>
      </c>
      <c r="Q901" s="1">
        <f>COUNTIFS($P:$P, "&gt;" &amp; $P901) + 1</f>
        <v>1265</v>
      </c>
      <c r="R901" s="63">
        <f>(COUNTIFS($P:$P, "&gt;" &amp; $P901) + 1) / (COUNTA($I:$I) - 1)</f>
        <v>0.253</v>
      </c>
      <c r="S901" s="23">
        <f>SUMIFS($P:$P, $Q:$Q, "&lt;" &amp; $Q901)</f>
        <v>171414314</v>
      </c>
    </row>
    <row r="902" spans="1:19" x14ac:dyDescent="0.25">
      <c r="A902" s="1">
        <v>897</v>
      </c>
      <c r="B902" s="1" t="s">
        <v>2</v>
      </c>
      <c r="C902" s="1" t="str">
        <f>IF($B902 = "Production Item", _xlfn.XLOOKUP($A902, 'Instrument Table'!$J:$J, 'Instrument Table'!$B:$B, $C901), IF($B902 = "Service Item", _xlfn.XLOOKUP($A902, 'Instrument Table'!$I:$I, 'Instrument Table'!$B:$B, $C901), _xlfn.XLOOKUP($A902, 'Instrument Table'!$H:$H, 'Instrument Table'!$B:$B, $C901)))</f>
        <v>Electric Keyboard</v>
      </c>
      <c r="D902" s="1" t="str">
        <f>VLOOKUP($C902, 'Instrument Table'!$B:$C, 2, FALSE)</f>
        <v>Pianos</v>
      </c>
      <c r="E902" s="1">
        <f t="shared" si="78"/>
        <v>1</v>
      </c>
      <c r="F902" s="1">
        <f>_xlfn.XLOOKUP($C902, 'Instrument Table'!$B:$B, 'Instrument Table'!$A:$A, "")</f>
        <v>12</v>
      </c>
      <c r="G902" s="1" t="str">
        <f>TEXT(IF($B902 = "Retail Item", IF((ROW($A902) - 4504 - _xlfn.XMATCH($C902, $C$4506:$C$5005, 0, 1)) &lt;= VLOOKUP($C902, 'Instrument Table'!$B:$D, 3, FALSE), ROW($A902) - 4504 - _xlfn.XMATCH($C902, $C$4506:$C$5005, 0, 1), 0), 0), "00")</f>
        <v>00</v>
      </c>
      <c r="H902" s="1" t="str">
        <f t="shared" si="79"/>
        <v>146</v>
      </c>
      <c r="I902" s="1" t="str">
        <f t="shared" si="80"/>
        <v>11200-146</v>
      </c>
      <c r="J902" s="1" t="str">
        <f t="shared" si="81"/>
        <v>Electric keyboard production item #146</v>
      </c>
      <c r="K902" s="1" t="str">
        <f>IF(SUM(COUNTIFS(I:I, I902)) &gt; 1, "DUPLICATE", "UNIQUE")</f>
        <v>UNIQUE</v>
      </c>
      <c r="L902" s="18">
        <v>1</v>
      </c>
      <c r="M902" s="28">
        <v>21</v>
      </c>
      <c r="N902" s="6">
        <v>121</v>
      </c>
      <c r="O902" s="30">
        <f t="shared" si="82"/>
        <v>21</v>
      </c>
      <c r="P902" s="30">
        <f t="shared" si="83"/>
        <v>2541</v>
      </c>
      <c r="Q902" s="1">
        <f>COUNTIFS($P:$P, "&gt;" &amp; $P902) + 1</f>
        <v>3037</v>
      </c>
      <c r="R902" s="63">
        <f>(COUNTIFS($P:$P, "&gt;" &amp; $P902) + 1) / (COUNTA($I:$I) - 1)</f>
        <v>0.60740000000000005</v>
      </c>
      <c r="S902" s="23">
        <f>SUMIFS($P:$P, $Q:$Q, "&lt;" &amp; $Q902)</f>
        <v>185027794</v>
      </c>
    </row>
    <row r="903" spans="1:19" x14ac:dyDescent="0.25">
      <c r="A903" s="1">
        <v>898</v>
      </c>
      <c r="B903" s="1" t="s">
        <v>2</v>
      </c>
      <c r="C903" s="1" t="str">
        <f>IF($B903 = "Production Item", _xlfn.XLOOKUP($A903, 'Instrument Table'!$J:$J, 'Instrument Table'!$B:$B, $C902), IF($B903 = "Service Item", _xlfn.XLOOKUP($A903, 'Instrument Table'!$I:$I, 'Instrument Table'!$B:$B, $C902), _xlfn.XLOOKUP($A903, 'Instrument Table'!$H:$H, 'Instrument Table'!$B:$B, $C902)))</f>
        <v>Electric Keyboard</v>
      </c>
      <c r="D903" s="1" t="str">
        <f>VLOOKUP($C903, 'Instrument Table'!$B:$C, 2, FALSE)</f>
        <v>Pianos</v>
      </c>
      <c r="E903" s="1">
        <f t="shared" ref="E903:E966" si="84">IF($B903 = "Production Item", 1, IF($B903 = "Service Item", 2, IF($B903 = "Retail Item", 3, "")))</f>
        <v>1</v>
      </c>
      <c r="F903" s="1">
        <f>_xlfn.XLOOKUP($C903, 'Instrument Table'!$B:$B, 'Instrument Table'!$A:$A, "")</f>
        <v>12</v>
      </c>
      <c r="G903" s="1" t="str">
        <f>TEXT(IF($B903 = "Retail Item", IF((ROW($A903) - 4504 - _xlfn.XMATCH($C903, $C$4506:$C$5005, 0, 1)) &lt;= VLOOKUP($C903, 'Instrument Table'!$B:$D, 3, FALSE), ROW($A903) - 4504 - _xlfn.XMATCH($C903, $C$4506:$C$5005, 0, 1), 0), 0), "00")</f>
        <v>00</v>
      </c>
      <c r="H903" s="1" t="str">
        <f t="shared" ref="H903:H966" si="85">TEXT(IF($E903 &amp; $F903 &amp; $G903 = $E902 &amp; $F902 &amp; $G902, 1 + H902, 0), "000")</f>
        <v>147</v>
      </c>
      <c r="I903" s="1" t="str">
        <f t="shared" ref="I903:I966" si="86" xml:space="preserve"> _xlfn.CONCAT($E903, $F903, $G903, "-", H903)</f>
        <v>11200-147</v>
      </c>
      <c r="J903" s="1" t="str">
        <f t="shared" ref="J903:J966" si="87">LEFT($C903, 1) &amp; LOWER(RIGHT($C903, LEN($C903) - 1)) &amp; IF(AND($G903 &lt;&gt; "00", $B903 = "Retail Item"), " model #" &amp; $G903, " " &amp; LOWER($B903) &amp; " #" &amp; $H903)</f>
        <v>Electric keyboard production item #147</v>
      </c>
      <c r="K903" s="1" t="str">
        <f>IF(SUM(COUNTIFS(I:I, I903)) &gt; 1, "DUPLICATE", "UNIQUE")</f>
        <v>UNIQUE</v>
      </c>
      <c r="L903" s="18">
        <v>16</v>
      </c>
      <c r="M903" s="28">
        <v>48</v>
      </c>
      <c r="N903" s="6">
        <v>16</v>
      </c>
      <c r="O903" s="30">
        <f t="shared" ref="O903:O966" si="88">$L903 * $M903</f>
        <v>768</v>
      </c>
      <c r="P903" s="30">
        <f t="shared" ref="P903:P966" si="89">$N903 * $M903</f>
        <v>768</v>
      </c>
      <c r="Q903" s="1">
        <f>COUNTIFS($P:$P, "&gt;" &amp; $P903) + 1</f>
        <v>3810</v>
      </c>
      <c r="R903" s="63">
        <f>(COUNTIFS($P:$P, "&gt;" &amp; $P903) + 1) / (COUNTA($I:$I) - 1)</f>
        <v>0.76200000000000001</v>
      </c>
      <c r="S903" s="23">
        <f>SUMIFS($P:$P, $Q:$Q, "&lt;" &amp; $Q903)</f>
        <v>186273454</v>
      </c>
    </row>
    <row r="904" spans="1:19" x14ac:dyDescent="0.25">
      <c r="A904" s="1">
        <v>899</v>
      </c>
      <c r="B904" s="1" t="s">
        <v>2</v>
      </c>
      <c r="C904" s="1" t="str">
        <f>IF($B904 = "Production Item", _xlfn.XLOOKUP($A904, 'Instrument Table'!$J:$J, 'Instrument Table'!$B:$B, $C903), IF($B904 = "Service Item", _xlfn.XLOOKUP($A904, 'Instrument Table'!$I:$I, 'Instrument Table'!$B:$B, $C903), _xlfn.XLOOKUP($A904, 'Instrument Table'!$H:$H, 'Instrument Table'!$B:$B, $C903)))</f>
        <v>Electric Keyboard</v>
      </c>
      <c r="D904" s="1" t="str">
        <f>VLOOKUP($C904, 'Instrument Table'!$B:$C, 2, FALSE)</f>
        <v>Pianos</v>
      </c>
      <c r="E904" s="1">
        <f t="shared" si="84"/>
        <v>1</v>
      </c>
      <c r="F904" s="1">
        <f>_xlfn.XLOOKUP($C904, 'Instrument Table'!$B:$B, 'Instrument Table'!$A:$A, "")</f>
        <v>12</v>
      </c>
      <c r="G904" s="1" t="str">
        <f>TEXT(IF($B904 = "Retail Item", IF((ROW($A904) - 4504 - _xlfn.XMATCH($C904, $C$4506:$C$5005, 0, 1)) &lt;= VLOOKUP($C904, 'Instrument Table'!$B:$D, 3, FALSE), ROW($A904) - 4504 - _xlfn.XMATCH($C904, $C$4506:$C$5005, 0, 1), 0), 0), "00")</f>
        <v>00</v>
      </c>
      <c r="H904" s="1" t="str">
        <f t="shared" si="85"/>
        <v>148</v>
      </c>
      <c r="I904" s="1" t="str">
        <f t="shared" si="86"/>
        <v>11200-148</v>
      </c>
      <c r="J904" s="1" t="str">
        <f t="shared" si="87"/>
        <v>Electric keyboard production item #148</v>
      </c>
      <c r="K904" s="1" t="str">
        <f>IF(SUM(COUNTIFS(I:I, I904)) &gt; 1, "DUPLICATE", "UNIQUE")</f>
        <v>UNIQUE</v>
      </c>
      <c r="L904" s="18">
        <v>1</v>
      </c>
      <c r="M904" s="28">
        <v>63</v>
      </c>
      <c r="N904" s="6">
        <v>100</v>
      </c>
      <c r="O904" s="30">
        <f t="shared" si="88"/>
        <v>63</v>
      </c>
      <c r="P904" s="30">
        <f t="shared" si="89"/>
        <v>6300</v>
      </c>
      <c r="Q904" s="1">
        <f>COUNTIFS($P:$P, "&gt;" &amp; $P904) + 1</f>
        <v>2226</v>
      </c>
      <c r="R904" s="63">
        <f>(COUNTIFS($P:$P, "&gt;" &amp; $P904) + 1) / (COUNTA($I:$I) - 1)</f>
        <v>0.44519999999999998</v>
      </c>
      <c r="S904" s="23">
        <f>SUMIFS($P:$P, $Q:$Q, "&lt;" &amp; $Q904)</f>
        <v>181619074</v>
      </c>
    </row>
    <row r="905" spans="1:19" x14ac:dyDescent="0.25">
      <c r="A905" s="1">
        <v>900</v>
      </c>
      <c r="B905" s="1" t="s">
        <v>2</v>
      </c>
      <c r="C905" s="1" t="str">
        <f>IF($B905 = "Production Item", _xlfn.XLOOKUP($A905, 'Instrument Table'!$J:$J, 'Instrument Table'!$B:$B, $C904), IF($B905 = "Service Item", _xlfn.XLOOKUP($A905, 'Instrument Table'!$I:$I, 'Instrument Table'!$B:$B, $C904), _xlfn.XLOOKUP($A905, 'Instrument Table'!$H:$H, 'Instrument Table'!$B:$B, $C904)))</f>
        <v>Electric Keyboard</v>
      </c>
      <c r="D905" s="1" t="str">
        <f>VLOOKUP($C905, 'Instrument Table'!$B:$C, 2, FALSE)</f>
        <v>Pianos</v>
      </c>
      <c r="E905" s="1">
        <f t="shared" si="84"/>
        <v>1</v>
      </c>
      <c r="F905" s="1">
        <f>_xlfn.XLOOKUP($C905, 'Instrument Table'!$B:$B, 'Instrument Table'!$A:$A, "")</f>
        <v>12</v>
      </c>
      <c r="G905" s="1" t="str">
        <f>TEXT(IF($B905 = "Retail Item", IF((ROW($A905) - 4504 - _xlfn.XMATCH($C905, $C$4506:$C$5005, 0, 1)) &lt;= VLOOKUP($C905, 'Instrument Table'!$B:$D, 3, FALSE), ROW($A905) - 4504 - _xlfn.XMATCH($C905, $C$4506:$C$5005, 0, 1), 0), 0), "00")</f>
        <v>00</v>
      </c>
      <c r="H905" s="1" t="str">
        <f t="shared" si="85"/>
        <v>149</v>
      </c>
      <c r="I905" s="1" t="str">
        <f t="shared" si="86"/>
        <v>11200-149</v>
      </c>
      <c r="J905" s="1" t="str">
        <f t="shared" si="87"/>
        <v>Electric keyboard production item #149</v>
      </c>
      <c r="K905" s="1" t="str">
        <f>IF(SUM(COUNTIFS(I:I, I905)) &gt; 1, "DUPLICATE", "UNIQUE")</f>
        <v>UNIQUE</v>
      </c>
      <c r="L905" s="18">
        <v>0</v>
      </c>
      <c r="M905" s="28">
        <v>87</v>
      </c>
      <c r="N905" s="6">
        <v>49</v>
      </c>
      <c r="O905" s="30">
        <f t="shared" si="88"/>
        <v>0</v>
      </c>
      <c r="P905" s="30">
        <f t="shared" si="89"/>
        <v>4263</v>
      </c>
      <c r="Q905" s="1">
        <f>COUNTIFS($P:$P, "&gt;" &amp; $P905) + 1</f>
        <v>2598</v>
      </c>
      <c r="R905" s="63">
        <f>(COUNTIFS($P:$P, "&gt;" &amp; $P905) + 1) / (COUNTA($I:$I) - 1)</f>
        <v>0.51959999999999995</v>
      </c>
      <c r="S905" s="23">
        <f>SUMIFS($P:$P, $Q:$Q, "&lt;" &amp; $Q905)</f>
        <v>183554900</v>
      </c>
    </row>
    <row r="906" spans="1:19" x14ac:dyDescent="0.25">
      <c r="A906" s="1">
        <v>901</v>
      </c>
      <c r="B906" s="1" t="s">
        <v>2</v>
      </c>
      <c r="C906" s="1" t="str">
        <f>IF($B906 = "Production Item", _xlfn.XLOOKUP($A906, 'Instrument Table'!$J:$J, 'Instrument Table'!$B:$B, $C905), IF($B906 = "Service Item", _xlfn.XLOOKUP($A906, 'Instrument Table'!$I:$I, 'Instrument Table'!$B:$B, $C905), _xlfn.XLOOKUP($A906, 'Instrument Table'!$H:$H, 'Instrument Table'!$B:$B, $C905)))</f>
        <v>Electric Keyboard</v>
      </c>
      <c r="D906" s="1" t="str">
        <f>VLOOKUP($C906, 'Instrument Table'!$B:$C, 2, FALSE)</f>
        <v>Pianos</v>
      </c>
      <c r="E906" s="1">
        <f t="shared" si="84"/>
        <v>1</v>
      </c>
      <c r="F906" s="1">
        <f>_xlfn.XLOOKUP($C906, 'Instrument Table'!$B:$B, 'Instrument Table'!$A:$A, "")</f>
        <v>12</v>
      </c>
      <c r="G906" s="1" t="str">
        <f>TEXT(IF($B906 = "Retail Item", IF((ROW($A906) - 4504 - _xlfn.XMATCH($C906, $C$4506:$C$5005, 0, 1)) &lt;= VLOOKUP($C906, 'Instrument Table'!$B:$D, 3, FALSE), ROW($A906) - 4504 - _xlfn.XMATCH($C906, $C$4506:$C$5005, 0, 1), 0), 0), "00")</f>
        <v>00</v>
      </c>
      <c r="H906" s="1" t="str">
        <f t="shared" si="85"/>
        <v>150</v>
      </c>
      <c r="I906" s="1" t="str">
        <f t="shared" si="86"/>
        <v>11200-150</v>
      </c>
      <c r="J906" s="1" t="str">
        <f t="shared" si="87"/>
        <v>Electric keyboard production item #150</v>
      </c>
      <c r="K906" s="1" t="str">
        <f>IF(SUM(COUNTIFS(I:I, I906)) &gt; 1, "DUPLICATE", "UNIQUE")</f>
        <v>UNIQUE</v>
      </c>
      <c r="L906" s="18">
        <v>4</v>
      </c>
      <c r="M906" s="28">
        <v>54</v>
      </c>
      <c r="N906" s="6">
        <v>324</v>
      </c>
      <c r="O906" s="30">
        <f t="shared" si="88"/>
        <v>216</v>
      </c>
      <c r="P906" s="30">
        <f t="shared" si="89"/>
        <v>17496</v>
      </c>
      <c r="Q906" s="1">
        <f>COUNTIFS($P:$P, "&gt;" &amp; $P906) + 1</f>
        <v>1191</v>
      </c>
      <c r="R906" s="63">
        <f>(COUNTIFS($P:$P, "&gt;" &amp; $P906) + 1) / (COUNTA($I:$I) - 1)</f>
        <v>0.2382</v>
      </c>
      <c r="S906" s="23">
        <f>SUMIFS($P:$P, $Q:$Q, "&lt;" &amp; $Q906)</f>
        <v>170169445</v>
      </c>
    </row>
    <row r="907" spans="1:19" x14ac:dyDescent="0.25">
      <c r="A907" s="1">
        <v>902</v>
      </c>
      <c r="B907" s="1" t="s">
        <v>2</v>
      </c>
      <c r="C907" s="1" t="str">
        <f>IF($B907 = "Production Item", _xlfn.XLOOKUP($A907, 'Instrument Table'!$J:$J, 'Instrument Table'!$B:$B, $C906), IF($B907 = "Service Item", _xlfn.XLOOKUP($A907, 'Instrument Table'!$I:$I, 'Instrument Table'!$B:$B, $C906), _xlfn.XLOOKUP($A907, 'Instrument Table'!$H:$H, 'Instrument Table'!$B:$B, $C906)))</f>
        <v>Electric Keyboard</v>
      </c>
      <c r="D907" s="1" t="str">
        <f>VLOOKUP($C907, 'Instrument Table'!$B:$C, 2, FALSE)</f>
        <v>Pianos</v>
      </c>
      <c r="E907" s="1">
        <f t="shared" si="84"/>
        <v>1</v>
      </c>
      <c r="F907" s="1">
        <f>_xlfn.XLOOKUP($C907, 'Instrument Table'!$B:$B, 'Instrument Table'!$A:$A, "")</f>
        <v>12</v>
      </c>
      <c r="G907" s="1" t="str">
        <f>TEXT(IF($B907 = "Retail Item", IF((ROW($A907) - 4504 - _xlfn.XMATCH($C907, $C$4506:$C$5005, 0, 1)) &lt;= VLOOKUP($C907, 'Instrument Table'!$B:$D, 3, FALSE), ROW($A907) - 4504 - _xlfn.XMATCH($C907, $C$4506:$C$5005, 0, 1), 0), 0), "00")</f>
        <v>00</v>
      </c>
      <c r="H907" s="1" t="str">
        <f t="shared" si="85"/>
        <v>151</v>
      </c>
      <c r="I907" s="1" t="str">
        <f t="shared" si="86"/>
        <v>11200-151</v>
      </c>
      <c r="J907" s="1" t="str">
        <f t="shared" si="87"/>
        <v>Electric keyboard production item #151</v>
      </c>
      <c r="K907" s="1" t="str">
        <f>IF(SUM(COUNTIFS(I:I, I907)) &gt; 1, "DUPLICATE", "UNIQUE")</f>
        <v>UNIQUE</v>
      </c>
      <c r="L907" s="18">
        <v>1</v>
      </c>
      <c r="M907" s="28">
        <v>45</v>
      </c>
      <c r="N907" s="6">
        <v>0</v>
      </c>
      <c r="O907" s="30">
        <f t="shared" si="88"/>
        <v>45</v>
      </c>
      <c r="P907" s="30">
        <f t="shared" si="89"/>
        <v>0</v>
      </c>
      <c r="Q907" s="1">
        <f>COUNTIFS($P:$P, "&gt;" &amp; $P907) + 1</f>
        <v>4746</v>
      </c>
      <c r="R907" s="63">
        <f>(COUNTIFS($P:$P, "&gt;" &amp; $P907) + 1) / (COUNTA($I:$I) - 1)</f>
        <v>0.94920000000000004</v>
      </c>
      <c r="S907" s="23">
        <f>SUMIFS($P:$P, $Q:$Q, "&lt;" &amp; $Q907)</f>
        <v>186547861</v>
      </c>
    </row>
    <row r="908" spans="1:19" x14ac:dyDescent="0.25">
      <c r="A908" s="1">
        <v>903</v>
      </c>
      <c r="B908" s="1" t="s">
        <v>2</v>
      </c>
      <c r="C908" s="1" t="str">
        <f>IF($B908 = "Production Item", _xlfn.XLOOKUP($A908, 'Instrument Table'!$J:$J, 'Instrument Table'!$B:$B, $C907), IF($B908 = "Service Item", _xlfn.XLOOKUP($A908, 'Instrument Table'!$I:$I, 'Instrument Table'!$B:$B, $C907), _xlfn.XLOOKUP($A908, 'Instrument Table'!$H:$H, 'Instrument Table'!$B:$B, $C907)))</f>
        <v>Electric Keyboard</v>
      </c>
      <c r="D908" s="1" t="str">
        <f>VLOOKUP($C908, 'Instrument Table'!$B:$C, 2, FALSE)</f>
        <v>Pianos</v>
      </c>
      <c r="E908" s="1">
        <f t="shared" si="84"/>
        <v>1</v>
      </c>
      <c r="F908" s="1">
        <f>_xlfn.XLOOKUP($C908, 'Instrument Table'!$B:$B, 'Instrument Table'!$A:$A, "")</f>
        <v>12</v>
      </c>
      <c r="G908" s="1" t="str">
        <f>TEXT(IF($B908 = "Retail Item", IF((ROW($A908) - 4504 - _xlfn.XMATCH($C908, $C$4506:$C$5005, 0, 1)) &lt;= VLOOKUP($C908, 'Instrument Table'!$B:$D, 3, FALSE), ROW($A908) - 4504 - _xlfn.XMATCH($C908, $C$4506:$C$5005, 0, 1), 0), 0), "00")</f>
        <v>00</v>
      </c>
      <c r="H908" s="1" t="str">
        <f t="shared" si="85"/>
        <v>152</v>
      </c>
      <c r="I908" s="1" t="str">
        <f t="shared" si="86"/>
        <v>11200-152</v>
      </c>
      <c r="J908" s="1" t="str">
        <f t="shared" si="87"/>
        <v>Electric keyboard production item #152</v>
      </c>
      <c r="K908" s="1" t="str">
        <f>IF(SUM(COUNTIFS(I:I, I908)) &gt; 1, "DUPLICATE", "UNIQUE")</f>
        <v>UNIQUE</v>
      </c>
      <c r="L908" s="18">
        <v>0</v>
      </c>
      <c r="M908" s="28">
        <v>12</v>
      </c>
      <c r="N908" s="6">
        <v>196</v>
      </c>
      <c r="O908" s="30">
        <f t="shared" si="88"/>
        <v>0</v>
      </c>
      <c r="P908" s="30">
        <f t="shared" si="89"/>
        <v>2352</v>
      </c>
      <c r="Q908" s="1">
        <f>COUNTIFS($P:$P, "&gt;" &amp; $P908) + 1</f>
        <v>3102</v>
      </c>
      <c r="R908" s="63">
        <f>(COUNTIFS($P:$P, "&gt;" &amp; $P908) + 1) / (COUNTA($I:$I) - 1)</f>
        <v>0.62039999999999995</v>
      </c>
      <c r="S908" s="23">
        <f>SUMIFS($P:$P, $Q:$Q, "&lt;" &amp; $Q908)</f>
        <v>185187199</v>
      </c>
    </row>
    <row r="909" spans="1:19" x14ac:dyDescent="0.25">
      <c r="A909" s="1">
        <v>904</v>
      </c>
      <c r="B909" s="1" t="s">
        <v>2</v>
      </c>
      <c r="C909" s="1" t="str">
        <f>IF($B909 = "Production Item", _xlfn.XLOOKUP($A909, 'Instrument Table'!$J:$J, 'Instrument Table'!$B:$B, $C908), IF($B909 = "Service Item", _xlfn.XLOOKUP($A909, 'Instrument Table'!$I:$I, 'Instrument Table'!$B:$B, $C908), _xlfn.XLOOKUP($A909, 'Instrument Table'!$H:$H, 'Instrument Table'!$B:$B, $C908)))</f>
        <v>Electric Keyboard</v>
      </c>
      <c r="D909" s="1" t="str">
        <f>VLOOKUP($C909, 'Instrument Table'!$B:$C, 2, FALSE)</f>
        <v>Pianos</v>
      </c>
      <c r="E909" s="1">
        <f t="shared" si="84"/>
        <v>1</v>
      </c>
      <c r="F909" s="1">
        <f>_xlfn.XLOOKUP($C909, 'Instrument Table'!$B:$B, 'Instrument Table'!$A:$A, "")</f>
        <v>12</v>
      </c>
      <c r="G909" s="1" t="str">
        <f>TEXT(IF($B909 = "Retail Item", IF((ROW($A909) - 4504 - _xlfn.XMATCH($C909, $C$4506:$C$5005, 0, 1)) &lt;= VLOOKUP($C909, 'Instrument Table'!$B:$D, 3, FALSE), ROW($A909) - 4504 - _xlfn.XMATCH($C909, $C$4506:$C$5005, 0, 1), 0), 0), "00")</f>
        <v>00</v>
      </c>
      <c r="H909" s="1" t="str">
        <f t="shared" si="85"/>
        <v>153</v>
      </c>
      <c r="I909" s="1" t="str">
        <f t="shared" si="86"/>
        <v>11200-153</v>
      </c>
      <c r="J909" s="1" t="str">
        <f t="shared" si="87"/>
        <v>Electric keyboard production item #153</v>
      </c>
      <c r="K909" s="1" t="str">
        <f>IF(SUM(COUNTIFS(I:I, I909)) &gt; 1, "DUPLICATE", "UNIQUE")</f>
        <v>UNIQUE</v>
      </c>
      <c r="L909" s="18">
        <v>1</v>
      </c>
      <c r="M909" s="28">
        <v>6</v>
      </c>
      <c r="N909" s="6">
        <v>121</v>
      </c>
      <c r="O909" s="30">
        <f t="shared" si="88"/>
        <v>6</v>
      </c>
      <c r="P909" s="30">
        <f t="shared" si="89"/>
        <v>726</v>
      </c>
      <c r="Q909" s="1">
        <f>COUNTIFS($P:$P, "&gt;" &amp; $P909) + 1</f>
        <v>3852</v>
      </c>
      <c r="R909" s="63">
        <f>(COUNTIFS($P:$P, "&gt;" &amp; $P909) + 1) / (COUNTA($I:$I) - 1)</f>
        <v>0.77039999999999997</v>
      </c>
      <c r="S909" s="23">
        <f>SUMIFS($P:$P, $Q:$Q, "&lt;" &amp; $Q909)</f>
        <v>186305001</v>
      </c>
    </row>
    <row r="910" spans="1:19" x14ac:dyDescent="0.25">
      <c r="A910" s="1">
        <v>905</v>
      </c>
      <c r="B910" s="1" t="s">
        <v>2</v>
      </c>
      <c r="C910" s="1" t="str">
        <f>IF($B910 = "Production Item", _xlfn.XLOOKUP($A910, 'Instrument Table'!$J:$J, 'Instrument Table'!$B:$B, $C909), IF($B910 = "Service Item", _xlfn.XLOOKUP($A910, 'Instrument Table'!$I:$I, 'Instrument Table'!$B:$B, $C909), _xlfn.XLOOKUP($A910, 'Instrument Table'!$H:$H, 'Instrument Table'!$B:$B, $C909)))</f>
        <v>Electric Keyboard</v>
      </c>
      <c r="D910" s="1" t="str">
        <f>VLOOKUP($C910, 'Instrument Table'!$B:$C, 2, FALSE)</f>
        <v>Pianos</v>
      </c>
      <c r="E910" s="1">
        <f t="shared" si="84"/>
        <v>1</v>
      </c>
      <c r="F910" s="1">
        <f>_xlfn.XLOOKUP($C910, 'Instrument Table'!$B:$B, 'Instrument Table'!$A:$A, "")</f>
        <v>12</v>
      </c>
      <c r="G910" s="1" t="str">
        <f>TEXT(IF($B910 = "Retail Item", IF((ROW($A910) - 4504 - _xlfn.XMATCH($C910, $C$4506:$C$5005, 0, 1)) &lt;= VLOOKUP($C910, 'Instrument Table'!$B:$D, 3, FALSE), ROW($A910) - 4504 - _xlfn.XMATCH($C910, $C$4506:$C$5005, 0, 1), 0), 0), "00")</f>
        <v>00</v>
      </c>
      <c r="H910" s="1" t="str">
        <f t="shared" si="85"/>
        <v>154</v>
      </c>
      <c r="I910" s="1" t="str">
        <f t="shared" si="86"/>
        <v>11200-154</v>
      </c>
      <c r="J910" s="1" t="str">
        <f t="shared" si="87"/>
        <v>Electric keyboard production item #154</v>
      </c>
      <c r="K910" s="1" t="str">
        <f>IF(SUM(COUNTIFS(I:I, I910)) &gt; 1, "DUPLICATE", "UNIQUE")</f>
        <v>UNIQUE</v>
      </c>
      <c r="L910" s="18">
        <v>0</v>
      </c>
      <c r="M910" s="28">
        <v>95</v>
      </c>
      <c r="N910" s="6">
        <v>81</v>
      </c>
      <c r="O910" s="30">
        <f t="shared" si="88"/>
        <v>0</v>
      </c>
      <c r="P910" s="30">
        <f t="shared" si="89"/>
        <v>7695</v>
      </c>
      <c r="Q910" s="1">
        <f>COUNTIFS($P:$P, "&gt;" &amp; $P910) + 1</f>
        <v>2037</v>
      </c>
      <c r="R910" s="63">
        <f>(COUNTIFS($P:$P, "&gt;" &amp; $P910) + 1) / (COUNTA($I:$I) - 1)</f>
        <v>0.40739999999999998</v>
      </c>
      <c r="S910" s="23">
        <f>SUMIFS($P:$P, $Q:$Q, "&lt;" &amp; $Q910)</f>
        <v>180285279</v>
      </c>
    </row>
    <row r="911" spans="1:19" x14ac:dyDescent="0.25">
      <c r="A911" s="1">
        <v>906</v>
      </c>
      <c r="B911" s="1" t="s">
        <v>2</v>
      </c>
      <c r="C911" s="1" t="str">
        <f>IF($B911 = "Production Item", _xlfn.XLOOKUP($A911, 'Instrument Table'!$J:$J, 'Instrument Table'!$B:$B, $C910), IF($B911 = "Service Item", _xlfn.XLOOKUP($A911, 'Instrument Table'!$I:$I, 'Instrument Table'!$B:$B, $C910), _xlfn.XLOOKUP($A911, 'Instrument Table'!$H:$H, 'Instrument Table'!$B:$B, $C910)))</f>
        <v>Electric Keyboard</v>
      </c>
      <c r="D911" s="1" t="str">
        <f>VLOOKUP($C911, 'Instrument Table'!$B:$C, 2, FALSE)</f>
        <v>Pianos</v>
      </c>
      <c r="E911" s="1">
        <f t="shared" si="84"/>
        <v>1</v>
      </c>
      <c r="F911" s="1">
        <f>_xlfn.XLOOKUP($C911, 'Instrument Table'!$B:$B, 'Instrument Table'!$A:$A, "")</f>
        <v>12</v>
      </c>
      <c r="G911" s="1" t="str">
        <f>TEXT(IF($B911 = "Retail Item", IF((ROW($A911) - 4504 - _xlfn.XMATCH($C911, $C$4506:$C$5005, 0, 1)) &lt;= VLOOKUP($C911, 'Instrument Table'!$B:$D, 3, FALSE), ROW($A911) - 4504 - _xlfn.XMATCH($C911, $C$4506:$C$5005, 0, 1), 0), 0), "00")</f>
        <v>00</v>
      </c>
      <c r="H911" s="1" t="str">
        <f t="shared" si="85"/>
        <v>155</v>
      </c>
      <c r="I911" s="1" t="str">
        <f t="shared" si="86"/>
        <v>11200-155</v>
      </c>
      <c r="J911" s="1" t="str">
        <f t="shared" si="87"/>
        <v>Electric keyboard production item #155</v>
      </c>
      <c r="K911" s="1" t="str">
        <f>IF(SUM(COUNTIFS(I:I, I911)) &gt; 1, "DUPLICATE", "UNIQUE")</f>
        <v>UNIQUE</v>
      </c>
      <c r="L911" s="18">
        <v>0</v>
      </c>
      <c r="M911" s="28">
        <v>55</v>
      </c>
      <c r="N911" s="6">
        <v>324</v>
      </c>
      <c r="O911" s="30">
        <f t="shared" si="88"/>
        <v>0</v>
      </c>
      <c r="P911" s="30">
        <f t="shared" si="89"/>
        <v>17820</v>
      </c>
      <c r="Q911" s="1">
        <f>COUNTIFS($P:$P, "&gt;" &amp; $P911) + 1</f>
        <v>1173</v>
      </c>
      <c r="R911" s="63">
        <f>(COUNTIFS($P:$P, "&gt;" &amp; $P911) + 1) / (COUNTA($I:$I) - 1)</f>
        <v>0.2346</v>
      </c>
      <c r="S911" s="23">
        <f>SUMIFS($P:$P, $Q:$Q, "&lt;" &amp; $Q911)</f>
        <v>169852130</v>
      </c>
    </row>
    <row r="912" spans="1:19" x14ac:dyDescent="0.25">
      <c r="A912" s="1">
        <v>907</v>
      </c>
      <c r="B912" s="1" t="s">
        <v>2</v>
      </c>
      <c r="C912" s="1" t="str">
        <f>IF($B912 = "Production Item", _xlfn.XLOOKUP($A912, 'Instrument Table'!$J:$J, 'Instrument Table'!$B:$B, $C911), IF($B912 = "Service Item", _xlfn.XLOOKUP($A912, 'Instrument Table'!$I:$I, 'Instrument Table'!$B:$B, $C911), _xlfn.XLOOKUP($A912, 'Instrument Table'!$H:$H, 'Instrument Table'!$B:$B, $C911)))</f>
        <v>Electric Keyboard</v>
      </c>
      <c r="D912" s="1" t="str">
        <f>VLOOKUP($C912, 'Instrument Table'!$B:$C, 2, FALSE)</f>
        <v>Pianos</v>
      </c>
      <c r="E912" s="1">
        <f t="shared" si="84"/>
        <v>1</v>
      </c>
      <c r="F912" s="1">
        <f>_xlfn.XLOOKUP($C912, 'Instrument Table'!$B:$B, 'Instrument Table'!$A:$A, "")</f>
        <v>12</v>
      </c>
      <c r="G912" s="1" t="str">
        <f>TEXT(IF($B912 = "Retail Item", IF((ROW($A912) - 4504 - _xlfn.XMATCH($C912, $C$4506:$C$5005, 0, 1)) &lt;= VLOOKUP($C912, 'Instrument Table'!$B:$D, 3, FALSE), ROW($A912) - 4504 - _xlfn.XMATCH($C912, $C$4506:$C$5005, 0, 1), 0), 0), "00")</f>
        <v>00</v>
      </c>
      <c r="H912" s="1" t="str">
        <f t="shared" si="85"/>
        <v>156</v>
      </c>
      <c r="I912" s="1" t="str">
        <f t="shared" si="86"/>
        <v>11200-156</v>
      </c>
      <c r="J912" s="1" t="str">
        <f t="shared" si="87"/>
        <v>Electric keyboard production item #156</v>
      </c>
      <c r="K912" s="1" t="str">
        <f>IF(SUM(COUNTIFS(I:I, I912)) &gt; 1, "DUPLICATE", "UNIQUE")</f>
        <v>UNIQUE</v>
      </c>
      <c r="L912" s="18">
        <v>0</v>
      </c>
      <c r="M912" s="28">
        <v>26</v>
      </c>
      <c r="N912" s="6">
        <v>225</v>
      </c>
      <c r="O912" s="30">
        <f t="shared" si="88"/>
        <v>0</v>
      </c>
      <c r="P912" s="30">
        <f t="shared" si="89"/>
        <v>5850</v>
      </c>
      <c r="Q912" s="1">
        <f>COUNTIFS($P:$P, "&gt;" &amp; $P912) + 1</f>
        <v>2284</v>
      </c>
      <c r="R912" s="63">
        <f>(COUNTIFS($P:$P, "&gt;" &amp; $P912) + 1) / (COUNTA($I:$I) - 1)</f>
        <v>0.45679999999999998</v>
      </c>
      <c r="S912" s="23">
        <f>SUMIFS($P:$P, $Q:$Q, "&lt;" &amp; $Q912)</f>
        <v>181970956</v>
      </c>
    </row>
    <row r="913" spans="1:19" x14ac:dyDescent="0.25">
      <c r="A913" s="1">
        <v>908</v>
      </c>
      <c r="B913" s="1" t="s">
        <v>2</v>
      </c>
      <c r="C913" s="1" t="str">
        <f>IF($B913 = "Production Item", _xlfn.XLOOKUP($A913, 'Instrument Table'!$J:$J, 'Instrument Table'!$B:$B, $C912), IF($B913 = "Service Item", _xlfn.XLOOKUP($A913, 'Instrument Table'!$I:$I, 'Instrument Table'!$B:$B, $C912), _xlfn.XLOOKUP($A913, 'Instrument Table'!$H:$H, 'Instrument Table'!$B:$B, $C912)))</f>
        <v>Electric Keyboard</v>
      </c>
      <c r="D913" s="1" t="str">
        <f>VLOOKUP($C913, 'Instrument Table'!$B:$C, 2, FALSE)</f>
        <v>Pianos</v>
      </c>
      <c r="E913" s="1">
        <f t="shared" si="84"/>
        <v>1</v>
      </c>
      <c r="F913" s="1">
        <f>_xlfn.XLOOKUP($C913, 'Instrument Table'!$B:$B, 'Instrument Table'!$A:$A, "")</f>
        <v>12</v>
      </c>
      <c r="G913" s="1" t="str">
        <f>TEXT(IF($B913 = "Retail Item", IF((ROW($A913) - 4504 - _xlfn.XMATCH($C913, $C$4506:$C$5005, 0, 1)) &lt;= VLOOKUP($C913, 'Instrument Table'!$B:$D, 3, FALSE), ROW($A913) - 4504 - _xlfn.XMATCH($C913, $C$4506:$C$5005, 0, 1), 0), 0), "00")</f>
        <v>00</v>
      </c>
      <c r="H913" s="1" t="str">
        <f t="shared" si="85"/>
        <v>157</v>
      </c>
      <c r="I913" s="1" t="str">
        <f t="shared" si="86"/>
        <v>11200-157</v>
      </c>
      <c r="J913" s="1" t="str">
        <f t="shared" si="87"/>
        <v>Electric keyboard production item #157</v>
      </c>
      <c r="K913" s="1" t="str">
        <f>IF(SUM(COUNTIFS(I:I, I913)) &gt; 1, "DUPLICATE", "UNIQUE")</f>
        <v>UNIQUE</v>
      </c>
      <c r="L913" s="18">
        <v>2</v>
      </c>
      <c r="M913" s="28">
        <v>5</v>
      </c>
      <c r="N913" s="6">
        <v>289</v>
      </c>
      <c r="O913" s="30">
        <f t="shared" si="88"/>
        <v>10</v>
      </c>
      <c r="P913" s="30">
        <f t="shared" si="89"/>
        <v>1445</v>
      </c>
      <c r="Q913" s="1">
        <f>COUNTIFS($P:$P, "&gt;" &amp; $P913) + 1</f>
        <v>3491</v>
      </c>
      <c r="R913" s="63">
        <f>(COUNTIFS($P:$P, "&gt;" &amp; $P913) + 1) / (COUNTA($I:$I) - 1)</f>
        <v>0.69820000000000004</v>
      </c>
      <c r="S913" s="23">
        <f>SUMIFS($P:$P, $Q:$Q, "&lt;" &amp; $Q913)</f>
        <v>185924522</v>
      </c>
    </row>
    <row r="914" spans="1:19" x14ac:dyDescent="0.25">
      <c r="A914" s="1">
        <v>909</v>
      </c>
      <c r="B914" s="1" t="s">
        <v>2</v>
      </c>
      <c r="C914" s="1" t="str">
        <f>IF($B914 = "Production Item", _xlfn.XLOOKUP($A914, 'Instrument Table'!$J:$J, 'Instrument Table'!$B:$B, $C913), IF($B914 = "Service Item", _xlfn.XLOOKUP($A914, 'Instrument Table'!$I:$I, 'Instrument Table'!$B:$B, $C913), _xlfn.XLOOKUP($A914, 'Instrument Table'!$H:$H, 'Instrument Table'!$B:$B, $C913)))</f>
        <v>Electric Keyboard</v>
      </c>
      <c r="D914" s="1" t="str">
        <f>VLOOKUP($C914, 'Instrument Table'!$B:$C, 2, FALSE)</f>
        <v>Pianos</v>
      </c>
      <c r="E914" s="1">
        <f t="shared" si="84"/>
        <v>1</v>
      </c>
      <c r="F914" s="1">
        <f>_xlfn.XLOOKUP($C914, 'Instrument Table'!$B:$B, 'Instrument Table'!$A:$A, "")</f>
        <v>12</v>
      </c>
      <c r="G914" s="1" t="str">
        <f>TEXT(IF($B914 = "Retail Item", IF((ROW($A914) - 4504 - _xlfn.XMATCH($C914, $C$4506:$C$5005, 0, 1)) &lt;= VLOOKUP($C914, 'Instrument Table'!$B:$D, 3, FALSE), ROW($A914) - 4504 - _xlfn.XMATCH($C914, $C$4506:$C$5005, 0, 1), 0), 0), "00")</f>
        <v>00</v>
      </c>
      <c r="H914" s="1" t="str">
        <f t="shared" si="85"/>
        <v>158</v>
      </c>
      <c r="I914" s="1" t="str">
        <f t="shared" si="86"/>
        <v>11200-158</v>
      </c>
      <c r="J914" s="1" t="str">
        <f t="shared" si="87"/>
        <v>Electric keyboard production item #158</v>
      </c>
      <c r="K914" s="1" t="str">
        <f>IF(SUM(COUNTIFS(I:I, I914)) &gt; 1, "DUPLICATE", "UNIQUE")</f>
        <v>UNIQUE</v>
      </c>
      <c r="L914" s="18">
        <v>8</v>
      </c>
      <c r="M914" s="28">
        <v>100</v>
      </c>
      <c r="N914" s="6">
        <v>225</v>
      </c>
      <c r="O914" s="30">
        <f t="shared" si="88"/>
        <v>800</v>
      </c>
      <c r="P914" s="30">
        <f t="shared" si="89"/>
        <v>22500</v>
      </c>
      <c r="Q914" s="1">
        <f>COUNTIFS($P:$P, "&gt;" &amp; $P914) + 1</f>
        <v>925</v>
      </c>
      <c r="R914" s="63">
        <f>(COUNTIFS($P:$P, "&gt;" &amp; $P914) + 1) / (COUNTA($I:$I) - 1)</f>
        <v>0.185</v>
      </c>
      <c r="S914" s="23">
        <f>SUMIFS($P:$P, $Q:$Q, "&lt;" &amp; $Q914)</f>
        <v>164851773</v>
      </c>
    </row>
    <row r="915" spans="1:19" x14ac:dyDescent="0.25">
      <c r="A915" s="1">
        <v>910</v>
      </c>
      <c r="B915" s="1" t="s">
        <v>2</v>
      </c>
      <c r="C915" s="1" t="str">
        <f>IF($B915 = "Production Item", _xlfn.XLOOKUP($A915, 'Instrument Table'!$J:$J, 'Instrument Table'!$B:$B, $C914), IF($B915 = "Service Item", _xlfn.XLOOKUP($A915, 'Instrument Table'!$I:$I, 'Instrument Table'!$B:$B, $C914), _xlfn.XLOOKUP($A915, 'Instrument Table'!$H:$H, 'Instrument Table'!$B:$B, $C914)))</f>
        <v>Electric Keyboard</v>
      </c>
      <c r="D915" s="1" t="str">
        <f>VLOOKUP($C915, 'Instrument Table'!$B:$C, 2, FALSE)</f>
        <v>Pianos</v>
      </c>
      <c r="E915" s="1">
        <f t="shared" si="84"/>
        <v>1</v>
      </c>
      <c r="F915" s="1">
        <f>_xlfn.XLOOKUP($C915, 'Instrument Table'!$B:$B, 'Instrument Table'!$A:$A, "")</f>
        <v>12</v>
      </c>
      <c r="G915" s="1" t="str">
        <f>TEXT(IF($B915 = "Retail Item", IF((ROW($A915) - 4504 - _xlfn.XMATCH($C915, $C$4506:$C$5005, 0, 1)) &lt;= VLOOKUP($C915, 'Instrument Table'!$B:$D, 3, FALSE), ROW($A915) - 4504 - _xlfn.XMATCH($C915, $C$4506:$C$5005, 0, 1), 0), 0), "00")</f>
        <v>00</v>
      </c>
      <c r="H915" s="1" t="str">
        <f t="shared" si="85"/>
        <v>159</v>
      </c>
      <c r="I915" s="1" t="str">
        <f t="shared" si="86"/>
        <v>11200-159</v>
      </c>
      <c r="J915" s="1" t="str">
        <f t="shared" si="87"/>
        <v>Electric keyboard production item #159</v>
      </c>
      <c r="K915" s="1" t="str">
        <f>IF(SUM(COUNTIFS(I:I, I915)) &gt; 1, "DUPLICATE", "UNIQUE")</f>
        <v>UNIQUE</v>
      </c>
      <c r="L915" s="18">
        <v>16</v>
      </c>
      <c r="M915" s="28">
        <v>32</v>
      </c>
      <c r="N915" s="6">
        <v>36</v>
      </c>
      <c r="O915" s="30">
        <f t="shared" si="88"/>
        <v>512</v>
      </c>
      <c r="P915" s="30">
        <f t="shared" si="89"/>
        <v>1152</v>
      </c>
      <c r="Q915" s="1">
        <f>COUNTIFS($P:$P, "&gt;" &amp; $P915) + 1</f>
        <v>3621</v>
      </c>
      <c r="R915" s="63">
        <f>(COUNTIFS($P:$P, "&gt;" &amp; $P915) + 1) / (COUNTA($I:$I) - 1)</f>
        <v>0.72419999999999995</v>
      </c>
      <c r="S915" s="23">
        <f>SUMIFS($P:$P, $Q:$Q, "&lt;" &amp; $Q915)</f>
        <v>186094880</v>
      </c>
    </row>
    <row r="916" spans="1:19" x14ac:dyDescent="0.25">
      <c r="A916" s="1">
        <v>911</v>
      </c>
      <c r="B916" s="1" t="s">
        <v>2</v>
      </c>
      <c r="C916" s="1" t="str">
        <f>IF($B916 = "Production Item", _xlfn.XLOOKUP($A916, 'Instrument Table'!$J:$J, 'Instrument Table'!$B:$B, $C915), IF($B916 = "Service Item", _xlfn.XLOOKUP($A916, 'Instrument Table'!$I:$I, 'Instrument Table'!$B:$B, $C915), _xlfn.XLOOKUP($A916, 'Instrument Table'!$H:$H, 'Instrument Table'!$B:$B, $C915)))</f>
        <v>Electric Keyboard</v>
      </c>
      <c r="D916" s="1" t="str">
        <f>VLOOKUP($C916, 'Instrument Table'!$B:$C, 2, FALSE)</f>
        <v>Pianos</v>
      </c>
      <c r="E916" s="1">
        <f t="shared" si="84"/>
        <v>1</v>
      </c>
      <c r="F916" s="1">
        <f>_xlfn.XLOOKUP($C916, 'Instrument Table'!$B:$B, 'Instrument Table'!$A:$A, "")</f>
        <v>12</v>
      </c>
      <c r="G916" s="1" t="str">
        <f>TEXT(IF($B916 = "Retail Item", IF((ROW($A916) - 4504 - _xlfn.XMATCH($C916, $C$4506:$C$5005, 0, 1)) &lt;= VLOOKUP($C916, 'Instrument Table'!$B:$D, 3, FALSE), ROW($A916) - 4504 - _xlfn.XMATCH($C916, $C$4506:$C$5005, 0, 1), 0), 0), "00")</f>
        <v>00</v>
      </c>
      <c r="H916" s="1" t="str">
        <f t="shared" si="85"/>
        <v>160</v>
      </c>
      <c r="I916" s="1" t="str">
        <f t="shared" si="86"/>
        <v>11200-160</v>
      </c>
      <c r="J916" s="1" t="str">
        <f t="shared" si="87"/>
        <v>Electric keyboard production item #160</v>
      </c>
      <c r="K916" s="1" t="str">
        <f>IF(SUM(COUNTIFS(I:I, I916)) &gt; 1, "DUPLICATE", "UNIQUE")</f>
        <v>UNIQUE</v>
      </c>
      <c r="L916" s="18">
        <v>8</v>
      </c>
      <c r="M916" s="28">
        <v>42</v>
      </c>
      <c r="N916" s="6">
        <v>225</v>
      </c>
      <c r="O916" s="30">
        <f t="shared" si="88"/>
        <v>336</v>
      </c>
      <c r="P916" s="30">
        <f t="shared" si="89"/>
        <v>9450</v>
      </c>
      <c r="Q916" s="1">
        <f>COUNTIFS($P:$P, "&gt;" &amp; $P916) + 1</f>
        <v>1824</v>
      </c>
      <c r="R916" s="63">
        <f>(COUNTIFS($P:$P, "&gt;" &amp; $P916) + 1) / (COUNTA($I:$I) - 1)</f>
        <v>0.36480000000000001</v>
      </c>
      <c r="S916" s="23">
        <f>SUMIFS($P:$P, $Q:$Q, "&lt;" &amp; $Q916)</f>
        <v>178470801</v>
      </c>
    </row>
    <row r="917" spans="1:19" x14ac:dyDescent="0.25">
      <c r="A917" s="1">
        <v>912</v>
      </c>
      <c r="B917" s="1" t="s">
        <v>2</v>
      </c>
      <c r="C917" s="1" t="str">
        <f>IF($B917 = "Production Item", _xlfn.XLOOKUP($A917, 'Instrument Table'!$J:$J, 'Instrument Table'!$B:$B, $C916), IF($B917 = "Service Item", _xlfn.XLOOKUP($A917, 'Instrument Table'!$I:$I, 'Instrument Table'!$B:$B, $C916), _xlfn.XLOOKUP($A917, 'Instrument Table'!$H:$H, 'Instrument Table'!$B:$B, $C916)))</f>
        <v>Electric Keyboard</v>
      </c>
      <c r="D917" s="1" t="str">
        <f>VLOOKUP($C917, 'Instrument Table'!$B:$C, 2, FALSE)</f>
        <v>Pianos</v>
      </c>
      <c r="E917" s="1">
        <f t="shared" si="84"/>
        <v>1</v>
      </c>
      <c r="F917" s="1">
        <f>_xlfn.XLOOKUP($C917, 'Instrument Table'!$B:$B, 'Instrument Table'!$A:$A, "")</f>
        <v>12</v>
      </c>
      <c r="G917" s="1" t="str">
        <f>TEXT(IF($B917 = "Retail Item", IF((ROW($A917) - 4504 - _xlfn.XMATCH($C917, $C$4506:$C$5005, 0, 1)) &lt;= VLOOKUP($C917, 'Instrument Table'!$B:$D, 3, FALSE), ROW($A917) - 4504 - _xlfn.XMATCH($C917, $C$4506:$C$5005, 0, 1), 0), 0), "00")</f>
        <v>00</v>
      </c>
      <c r="H917" s="1" t="str">
        <f t="shared" si="85"/>
        <v>161</v>
      </c>
      <c r="I917" s="1" t="str">
        <f t="shared" si="86"/>
        <v>11200-161</v>
      </c>
      <c r="J917" s="1" t="str">
        <f t="shared" si="87"/>
        <v>Electric keyboard production item #161</v>
      </c>
      <c r="K917" s="1" t="str">
        <f>IF(SUM(COUNTIFS(I:I, I917)) &gt; 1, "DUPLICATE", "UNIQUE")</f>
        <v>UNIQUE</v>
      </c>
      <c r="L917" s="18">
        <v>0</v>
      </c>
      <c r="M917" s="28">
        <v>100</v>
      </c>
      <c r="N917" s="6">
        <v>100</v>
      </c>
      <c r="O917" s="30">
        <f t="shared" si="88"/>
        <v>0</v>
      </c>
      <c r="P917" s="30">
        <f t="shared" si="89"/>
        <v>10000</v>
      </c>
      <c r="Q917" s="1">
        <f>COUNTIFS($P:$P, "&gt;" &amp; $P917) + 1</f>
        <v>1771</v>
      </c>
      <c r="R917" s="63">
        <f>(COUNTIFS($P:$P, "&gt;" &amp; $P917) + 1) / (COUNTA($I:$I) - 1)</f>
        <v>0.35420000000000001</v>
      </c>
      <c r="S917" s="23">
        <f>SUMIFS($P:$P, $Q:$Q, "&lt;" &amp; $Q917)</f>
        <v>177955695</v>
      </c>
    </row>
    <row r="918" spans="1:19" x14ac:dyDescent="0.25">
      <c r="A918" s="1">
        <v>913</v>
      </c>
      <c r="B918" s="1" t="s">
        <v>2</v>
      </c>
      <c r="C918" s="1" t="str">
        <f>IF($B918 = "Production Item", _xlfn.XLOOKUP($A918, 'Instrument Table'!$J:$J, 'Instrument Table'!$B:$B, $C917), IF($B918 = "Service Item", _xlfn.XLOOKUP($A918, 'Instrument Table'!$I:$I, 'Instrument Table'!$B:$B, $C917), _xlfn.XLOOKUP($A918, 'Instrument Table'!$H:$H, 'Instrument Table'!$B:$B, $C917)))</f>
        <v>Electric Keyboard</v>
      </c>
      <c r="D918" s="1" t="str">
        <f>VLOOKUP($C918, 'Instrument Table'!$B:$C, 2, FALSE)</f>
        <v>Pianos</v>
      </c>
      <c r="E918" s="1">
        <f t="shared" si="84"/>
        <v>1</v>
      </c>
      <c r="F918" s="1">
        <f>_xlfn.XLOOKUP($C918, 'Instrument Table'!$B:$B, 'Instrument Table'!$A:$A, "")</f>
        <v>12</v>
      </c>
      <c r="G918" s="1" t="str">
        <f>TEXT(IF($B918 = "Retail Item", IF((ROW($A918) - 4504 - _xlfn.XMATCH($C918, $C$4506:$C$5005, 0, 1)) &lt;= VLOOKUP($C918, 'Instrument Table'!$B:$D, 3, FALSE), ROW($A918) - 4504 - _xlfn.XMATCH($C918, $C$4506:$C$5005, 0, 1), 0), 0), "00")</f>
        <v>00</v>
      </c>
      <c r="H918" s="1" t="str">
        <f t="shared" si="85"/>
        <v>162</v>
      </c>
      <c r="I918" s="1" t="str">
        <f t="shared" si="86"/>
        <v>11200-162</v>
      </c>
      <c r="J918" s="1" t="str">
        <f t="shared" si="87"/>
        <v>Electric keyboard production item #162</v>
      </c>
      <c r="K918" s="1" t="str">
        <f>IF(SUM(COUNTIFS(I:I, I918)) &gt; 1, "DUPLICATE", "UNIQUE")</f>
        <v>UNIQUE</v>
      </c>
      <c r="L918" s="18">
        <v>32</v>
      </c>
      <c r="M918" s="28">
        <v>13</v>
      </c>
      <c r="N918" s="6">
        <v>1</v>
      </c>
      <c r="O918" s="30">
        <f t="shared" si="88"/>
        <v>416</v>
      </c>
      <c r="P918" s="30">
        <f t="shared" si="89"/>
        <v>13</v>
      </c>
      <c r="Q918" s="1">
        <f>COUNTIFS($P:$P, "&gt;" &amp; $P918) + 1</f>
        <v>4714</v>
      </c>
      <c r="R918" s="63">
        <f>(COUNTIFS($P:$P, "&gt;" &amp; $P918) + 1) / (COUNTA($I:$I) - 1)</f>
        <v>0.94279999999999997</v>
      </c>
      <c r="S918" s="23">
        <f>SUMIFS($P:$P, $Q:$Q, "&lt;" &amp; $Q918)</f>
        <v>186547622</v>
      </c>
    </row>
    <row r="919" spans="1:19" x14ac:dyDescent="0.25">
      <c r="A919" s="1">
        <v>914</v>
      </c>
      <c r="B919" s="1" t="s">
        <v>2</v>
      </c>
      <c r="C919" s="1" t="str">
        <f>IF($B919 = "Production Item", _xlfn.XLOOKUP($A919, 'Instrument Table'!$J:$J, 'Instrument Table'!$B:$B, $C918), IF($B919 = "Service Item", _xlfn.XLOOKUP($A919, 'Instrument Table'!$I:$I, 'Instrument Table'!$B:$B, $C918), _xlfn.XLOOKUP($A919, 'Instrument Table'!$H:$H, 'Instrument Table'!$B:$B, $C918)))</f>
        <v>Electric Keyboard</v>
      </c>
      <c r="D919" s="1" t="str">
        <f>VLOOKUP($C919, 'Instrument Table'!$B:$C, 2, FALSE)</f>
        <v>Pianos</v>
      </c>
      <c r="E919" s="1">
        <f t="shared" si="84"/>
        <v>1</v>
      </c>
      <c r="F919" s="1">
        <f>_xlfn.XLOOKUP($C919, 'Instrument Table'!$B:$B, 'Instrument Table'!$A:$A, "")</f>
        <v>12</v>
      </c>
      <c r="G919" s="1" t="str">
        <f>TEXT(IF($B919 = "Retail Item", IF((ROW($A919) - 4504 - _xlfn.XMATCH($C919, $C$4506:$C$5005, 0, 1)) &lt;= VLOOKUP($C919, 'Instrument Table'!$B:$D, 3, FALSE), ROW($A919) - 4504 - _xlfn.XMATCH($C919, $C$4506:$C$5005, 0, 1), 0), 0), "00")</f>
        <v>00</v>
      </c>
      <c r="H919" s="1" t="str">
        <f t="shared" si="85"/>
        <v>163</v>
      </c>
      <c r="I919" s="1" t="str">
        <f t="shared" si="86"/>
        <v>11200-163</v>
      </c>
      <c r="J919" s="1" t="str">
        <f t="shared" si="87"/>
        <v>Electric keyboard production item #163</v>
      </c>
      <c r="K919" s="1" t="str">
        <f>IF(SUM(COUNTIFS(I:I, I919)) &gt; 1, "DUPLICATE", "UNIQUE")</f>
        <v>UNIQUE</v>
      </c>
      <c r="L919" s="18">
        <v>8</v>
      </c>
      <c r="M919" s="28">
        <v>65</v>
      </c>
      <c r="N919" s="6">
        <v>36</v>
      </c>
      <c r="O919" s="30">
        <f t="shared" si="88"/>
        <v>520</v>
      </c>
      <c r="P919" s="30">
        <f t="shared" si="89"/>
        <v>2340</v>
      </c>
      <c r="Q919" s="1">
        <f>COUNTIFS($P:$P, "&gt;" &amp; $P919) + 1</f>
        <v>3110</v>
      </c>
      <c r="R919" s="63">
        <f>(COUNTIFS($P:$P, "&gt;" &amp; $P919) + 1) / (COUNTA($I:$I) - 1)</f>
        <v>0.622</v>
      </c>
      <c r="S919" s="23">
        <f>SUMIFS($P:$P, $Q:$Q, "&lt;" &amp; $Q919)</f>
        <v>185206004</v>
      </c>
    </row>
    <row r="920" spans="1:19" x14ac:dyDescent="0.25">
      <c r="A920" s="1">
        <v>915</v>
      </c>
      <c r="B920" s="1" t="s">
        <v>2</v>
      </c>
      <c r="C920" s="1" t="str">
        <f>IF($B920 = "Production Item", _xlfn.XLOOKUP($A920, 'Instrument Table'!$J:$J, 'Instrument Table'!$B:$B, $C919), IF($B920 = "Service Item", _xlfn.XLOOKUP($A920, 'Instrument Table'!$I:$I, 'Instrument Table'!$B:$B, $C919), _xlfn.XLOOKUP($A920, 'Instrument Table'!$H:$H, 'Instrument Table'!$B:$B, $C919)))</f>
        <v>Electric Keyboard</v>
      </c>
      <c r="D920" s="1" t="str">
        <f>VLOOKUP($C920, 'Instrument Table'!$B:$C, 2, FALSE)</f>
        <v>Pianos</v>
      </c>
      <c r="E920" s="1">
        <f t="shared" si="84"/>
        <v>1</v>
      </c>
      <c r="F920" s="1">
        <f>_xlfn.XLOOKUP($C920, 'Instrument Table'!$B:$B, 'Instrument Table'!$A:$A, "")</f>
        <v>12</v>
      </c>
      <c r="G920" s="1" t="str">
        <f>TEXT(IF($B920 = "Retail Item", IF((ROW($A920) - 4504 - _xlfn.XMATCH($C920, $C$4506:$C$5005, 0, 1)) &lt;= VLOOKUP($C920, 'Instrument Table'!$B:$D, 3, FALSE), ROW($A920) - 4504 - _xlfn.XMATCH($C920, $C$4506:$C$5005, 0, 1), 0), 0), "00")</f>
        <v>00</v>
      </c>
      <c r="H920" s="1" t="str">
        <f t="shared" si="85"/>
        <v>164</v>
      </c>
      <c r="I920" s="1" t="str">
        <f t="shared" si="86"/>
        <v>11200-164</v>
      </c>
      <c r="J920" s="1" t="str">
        <f t="shared" si="87"/>
        <v>Electric keyboard production item #164</v>
      </c>
      <c r="K920" s="1" t="str">
        <f>IF(SUM(COUNTIFS(I:I, I920)) &gt; 1, "DUPLICATE", "UNIQUE")</f>
        <v>UNIQUE</v>
      </c>
      <c r="L920" s="18">
        <v>1</v>
      </c>
      <c r="M920" s="28">
        <v>77</v>
      </c>
      <c r="N920" s="6">
        <v>289</v>
      </c>
      <c r="O920" s="30">
        <f t="shared" si="88"/>
        <v>77</v>
      </c>
      <c r="P920" s="30">
        <f t="shared" si="89"/>
        <v>22253</v>
      </c>
      <c r="Q920" s="1">
        <f>COUNTIFS($P:$P, "&gt;" &amp; $P920) + 1</f>
        <v>941</v>
      </c>
      <c r="R920" s="63">
        <f>(COUNTIFS($P:$P, "&gt;" &amp; $P920) + 1) / (COUNTA($I:$I) - 1)</f>
        <v>0.18820000000000001</v>
      </c>
      <c r="S920" s="23">
        <f>SUMIFS($P:$P, $Q:$Q, "&lt;" &amp; $Q920)</f>
        <v>165210049</v>
      </c>
    </row>
    <row r="921" spans="1:19" x14ac:dyDescent="0.25">
      <c r="A921" s="1">
        <v>916</v>
      </c>
      <c r="B921" s="1" t="s">
        <v>2</v>
      </c>
      <c r="C921" s="1" t="str">
        <f>IF($B921 = "Production Item", _xlfn.XLOOKUP($A921, 'Instrument Table'!$J:$J, 'Instrument Table'!$B:$B, $C920), IF($B921 = "Service Item", _xlfn.XLOOKUP($A921, 'Instrument Table'!$I:$I, 'Instrument Table'!$B:$B, $C920), _xlfn.XLOOKUP($A921, 'Instrument Table'!$H:$H, 'Instrument Table'!$B:$B, $C920)))</f>
        <v>Electric Keyboard</v>
      </c>
      <c r="D921" s="1" t="str">
        <f>VLOOKUP($C921, 'Instrument Table'!$B:$C, 2, FALSE)</f>
        <v>Pianos</v>
      </c>
      <c r="E921" s="1">
        <f t="shared" si="84"/>
        <v>1</v>
      </c>
      <c r="F921" s="1">
        <f>_xlfn.XLOOKUP($C921, 'Instrument Table'!$B:$B, 'Instrument Table'!$A:$A, "")</f>
        <v>12</v>
      </c>
      <c r="G921" s="1" t="str">
        <f>TEXT(IF($B921 = "Retail Item", IF((ROW($A921) - 4504 - _xlfn.XMATCH($C921, $C$4506:$C$5005, 0, 1)) &lt;= VLOOKUP($C921, 'Instrument Table'!$B:$D, 3, FALSE), ROW($A921) - 4504 - _xlfn.XMATCH($C921, $C$4506:$C$5005, 0, 1), 0), 0), "00")</f>
        <v>00</v>
      </c>
      <c r="H921" s="1" t="str">
        <f t="shared" si="85"/>
        <v>165</v>
      </c>
      <c r="I921" s="1" t="str">
        <f t="shared" si="86"/>
        <v>11200-165</v>
      </c>
      <c r="J921" s="1" t="str">
        <f t="shared" si="87"/>
        <v>Electric keyboard production item #165</v>
      </c>
      <c r="K921" s="1" t="str">
        <f>IF(SUM(COUNTIFS(I:I, I921)) &gt; 1, "DUPLICATE", "UNIQUE")</f>
        <v>UNIQUE</v>
      </c>
      <c r="L921" s="18">
        <v>0</v>
      </c>
      <c r="M921" s="28">
        <v>94</v>
      </c>
      <c r="N921" s="6">
        <v>49</v>
      </c>
      <c r="O921" s="30">
        <f t="shared" si="88"/>
        <v>0</v>
      </c>
      <c r="P921" s="30">
        <f t="shared" si="89"/>
        <v>4606</v>
      </c>
      <c r="Q921" s="1">
        <f>COUNTIFS($P:$P, "&gt;" &amp; $P921) + 1</f>
        <v>2521</v>
      </c>
      <c r="R921" s="63">
        <f>(COUNTIFS($P:$P, "&gt;" &amp; $P921) + 1) / (COUNTA($I:$I) - 1)</f>
        <v>0.50419999999999998</v>
      </c>
      <c r="S921" s="23">
        <f>SUMIFS($P:$P, $Q:$Q, "&lt;" &amp; $Q921)</f>
        <v>183213023</v>
      </c>
    </row>
    <row r="922" spans="1:19" x14ac:dyDescent="0.25">
      <c r="A922" s="1">
        <v>917</v>
      </c>
      <c r="B922" s="1" t="s">
        <v>2</v>
      </c>
      <c r="C922" s="1" t="str">
        <f>IF($B922 = "Production Item", _xlfn.XLOOKUP($A922, 'Instrument Table'!$J:$J, 'Instrument Table'!$B:$B, $C921), IF($B922 = "Service Item", _xlfn.XLOOKUP($A922, 'Instrument Table'!$I:$I, 'Instrument Table'!$B:$B, $C921), _xlfn.XLOOKUP($A922, 'Instrument Table'!$H:$H, 'Instrument Table'!$B:$B, $C921)))</f>
        <v>Electric Keyboard</v>
      </c>
      <c r="D922" s="1" t="str">
        <f>VLOOKUP($C922, 'Instrument Table'!$B:$C, 2, FALSE)</f>
        <v>Pianos</v>
      </c>
      <c r="E922" s="1">
        <f t="shared" si="84"/>
        <v>1</v>
      </c>
      <c r="F922" s="1">
        <f>_xlfn.XLOOKUP($C922, 'Instrument Table'!$B:$B, 'Instrument Table'!$A:$A, "")</f>
        <v>12</v>
      </c>
      <c r="G922" s="1" t="str">
        <f>TEXT(IF($B922 = "Retail Item", IF((ROW($A922) - 4504 - _xlfn.XMATCH($C922, $C$4506:$C$5005, 0, 1)) &lt;= VLOOKUP($C922, 'Instrument Table'!$B:$D, 3, FALSE), ROW($A922) - 4504 - _xlfn.XMATCH($C922, $C$4506:$C$5005, 0, 1), 0), 0), "00")</f>
        <v>00</v>
      </c>
      <c r="H922" s="1" t="str">
        <f t="shared" si="85"/>
        <v>166</v>
      </c>
      <c r="I922" s="1" t="str">
        <f t="shared" si="86"/>
        <v>11200-166</v>
      </c>
      <c r="J922" s="1" t="str">
        <f t="shared" si="87"/>
        <v>Electric keyboard production item #166</v>
      </c>
      <c r="K922" s="1" t="str">
        <f>IF(SUM(COUNTIFS(I:I, I922)) &gt; 1, "DUPLICATE", "UNIQUE")</f>
        <v>UNIQUE</v>
      </c>
      <c r="L922" s="18">
        <v>32</v>
      </c>
      <c r="M922" s="28">
        <v>59</v>
      </c>
      <c r="N922" s="6">
        <v>1</v>
      </c>
      <c r="O922" s="30">
        <f t="shared" si="88"/>
        <v>1888</v>
      </c>
      <c r="P922" s="30">
        <f t="shared" si="89"/>
        <v>59</v>
      </c>
      <c r="Q922" s="1">
        <f>COUNTIFS($P:$P, "&gt;" &amp; $P922) + 1</f>
        <v>4583</v>
      </c>
      <c r="R922" s="63">
        <f>(COUNTIFS($P:$P, "&gt;" &amp; $P922) + 1) / (COUNTA($I:$I) - 1)</f>
        <v>0.91659999999999997</v>
      </c>
      <c r="S922" s="23">
        <f>SUMIFS($P:$P, $Q:$Q, "&lt;" &amp; $Q922)</f>
        <v>186542736</v>
      </c>
    </row>
    <row r="923" spans="1:19" x14ac:dyDescent="0.25">
      <c r="A923" s="1">
        <v>918</v>
      </c>
      <c r="B923" s="1" t="s">
        <v>2</v>
      </c>
      <c r="C923" s="1" t="str">
        <f>IF($B923 = "Production Item", _xlfn.XLOOKUP($A923, 'Instrument Table'!$J:$J, 'Instrument Table'!$B:$B, $C922), IF($B923 = "Service Item", _xlfn.XLOOKUP($A923, 'Instrument Table'!$I:$I, 'Instrument Table'!$B:$B, $C922), _xlfn.XLOOKUP($A923, 'Instrument Table'!$H:$H, 'Instrument Table'!$B:$B, $C922)))</f>
        <v>Electric Keyboard</v>
      </c>
      <c r="D923" s="1" t="str">
        <f>VLOOKUP($C923, 'Instrument Table'!$B:$C, 2, FALSE)</f>
        <v>Pianos</v>
      </c>
      <c r="E923" s="1">
        <f t="shared" si="84"/>
        <v>1</v>
      </c>
      <c r="F923" s="1">
        <f>_xlfn.XLOOKUP($C923, 'Instrument Table'!$B:$B, 'Instrument Table'!$A:$A, "")</f>
        <v>12</v>
      </c>
      <c r="G923" s="1" t="str">
        <f>TEXT(IF($B923 = "Retail Item", IF((ROW($A923) - 4504 - _xlfn.XMATCH($C923, $C$4506:$C$5005, 0, 1)) &lt;= VLOOKUP($C923, 'Instrument Table'!$B:$D, 3, FALSE), ROW($A923) - 4504 - _xlfn.XMATCH($C923, $C$4506:$C$5005, 0, 1), 0), 0), "00")</f>
        <v>00</v>
      </c>
      <c r="H923" s="1" t="str">
        <f t="shared" si="85"/>
        <v>167</v>
      </c>
      <c r="I923" s="1" t="str">
        <f t="shared" si="86"/>
        <v>11200-167</v>
      </c>
      <c r="J923" s="1" t="str">
        <f t="shared" si="87"/>
        <v>Electric keyboard production item #167</v>
      </c>
      <c r="K923" s="1" t="str">
        <f>IF(SUM(COUNTIFS(I:I, I923)) &gt; 1, "DUPLICATE", "UNIQUE")</f>
        <v>UNIQUE</v>
      </c>
      <c r="L923" s="18">
        <v>0</v>
      </c>
      <c r="M923" s="28">
        <v>45</v>
      </c>
      <c r="N923" s="6">
        <v>289</v>
      </c>
      <c r="O923" s="30">
        <f t="shared" si="88"/>
        <v>0</v>
      </c>
      <c r="P923" s="30">
        <f t="shared" si="89"/>
        <v>13005</v>
      </c>
      <c r="Q923" s="1">
        <f>COUNTIFS($P:$P, "&gt;" &amp; $P923) + 1</f>
        <v>1497</v>
      </c>
      <c r="R923" s="63">
        <f>(COUNTIFS($P:$P, "&gt;" &amp; $P923) + 1) / (COUNTA($I:$I) - 1)</f>
        <v>0.2994</v>
      </c>
      <c r="S923" s="23">
        <f>SUMIFS($P:$P, $Q:$Q, "&lt;" &amp; $Q923)</f>
        <v>174800761</v>
      </c>
    </row>
    <row r="924" spans="1:19" x14ac:dyDescent="0.25">
      <c r="A924" s="1">
        <v>919</v>
      </c>
      <c r="B924" s="1" t="s">
        <v>2</v>
      </c>
      <c r="C924" s="1" t="str">
        <f>IF($B924 = "Production Item", _xlfn.XLOOKUP($A924, 'Instrument Table'!$J:$J, 'Instrument Table'!$B:$B, $C923), IF($B924 = "Service Item", _xlfn.XLOOKUP($A924, 'Instrument Table'!$I:$I, 'Instrument Table'!$B:$B, $C923), _xlfn.XLOOKUP($A924, 'Instrument Table'!$H:$H, 'Instrument Table'!$B:$B, $C923)))</f>
        <v>Electric Keyboard</v>
      </c>
      <c r="D924" s="1" t="str">
        <f>VLOOKUP($C924, 'Instrument Table'!$B:$C, 2, FALSE)</f>
        <v>Pianos</v>
      </c>
      <c r="E924" s="1">
        <f t="shared" si="84"/>
        <v>1</v>
      </c>
      <c r="F924" s="1">
        <f>_xlfn.XLOOKUP($C924, 'Instrument Table'!$B:$B, 'Instrument Table'!$A:$A, "")</f>
        <v>12</v>
      </c>
      <c r="G924" s="1" t="str">
        <f>TEXT(IF($B924 = "Retail Item", IF((ROW($A924) - 4504 - _xlfn.XMATCH($C924, $C$4506:$C$5005, 0, 1)) &lt;= VLOOKUP($C924, 'Instrument Table'!$B:$D, 3, FALSE), ROW($A924) - 4504 - _xlfn.XMATCH($C924, $C$4506:$C$5005, 0, 1), 0), 0), "00")</f>
        <v>00</v>
      </c>
      <c r="H924" s="1" t="str">
        <f t="shared" si="85"/>
        <v>168</v>
      </c>
      <c r="I924" s="1" t="str">
        <f t="shared" si="86"/>
        <v>11200-168</v>
      </c>
      <c r="J924" s="1" t="str">
        <f t="shared" si="87"/>
        <v>Electric keyboard production item #168</v>
      </c>
      <c r="K924" s="1" t="str">
        <f>IF(SUM(COUNTIFS(I:I, I924)) &gt; 1, "DUPLICATE", "UNIQUE")</f>
        <v>UNIQUE</v>
      </c>
      <c r="L924" s="18">
        <v>1</v>
      </c>
      <c r="M924" s="28">
        <v>68</v>
      </c>
      <c r="N924" s="6">
        <v>289</v>
      </c>
      <c r="O924" s="30">
        <f t="shared" si="88"/>
        <v>68</v>
      </c>
      <c r="P924" s="30">
        <f t="shared" si="89"/>
        <v>19652</v>
      </c>
      <c r="Q924" s="1">
        <f>COUNTIFS($P:$P, "&gt;" &amp; $P924) + 1</f>
        <v>1076</v>
      </c>
      <c r="R924" s="63">
        <f>(COUNTIFS($P:$P, "&gt;" &amp; $P924) + 1) / (COUNTA($I:$I) - 1)</f>
        <v>0.2152</v>
      </c>
      <c r="S924" s="23">
        <f>SUMIFS($P:$P, $Q:$Q, "&lt;" &amp; $Q924)</f>
        <v>168040041</v>
      </c>
    </row>
    <row r="925" spans="1:19" x14ac:dyDescent="0.25">
      <c r="A925" s="1">
        <v>920</v>
      </c>
      <c r="B925" s="1" t="s">
        <v>2</v>
      </c>
      <c r="C925" s="1" t="str">
        <f>IF($B925 = "Production Item", _xlfn.XLOOKUP($A925, 'Instrument Table'!$J:$J, 'Instrument Table'!$B:$B, $C924), IF($B925 = "Service Item", _xlfn.XLOOKUP($A925, 'Instrument Table'!$I:$I, 'Instrument Table'!$B:$B, $C924), _xlfn.XLOOKUP($A925, 'Instrument Table'!$H:$H, 'Instrument Table'!$B:$B, $C924)))</f>
        <v>Electric Keyboard</v>
      </c>
      <c r="D925" s="1" t="str">
        <f>VLOOKUP($C925, 'Instrument Table'!$B:$C, 2, FALSE)</f>
        <v>Pianos</v>
      </c>
      <c r="E925" s="1">
        <f t="shared" si="84"/>
        <v>1</v>
      </c>
      <c r="F925" s="1">
        <f>_xlfn.XLOOKUP($C925, 'Instrument Table'!$B:$B, 'Instrument Table'!$A:$A, "")</f>
        <v>12</v>
      </c>
      <c r="G925" s="1" t="str">
        <f>TEXT(IF($B925 = "Retail Item", IF((ROW($A925) - 4504 - _xlfn.XMATCH($C925, $C$4506:$C$5005, 0, 1)) &lt;= VLOOKUP($C925, 'Instrument Table'!$B:$D, 3, FALSE), ROW($A925) - 4504 - _xlfn.XMATCH($C925, $C$4506:$C$5005, 0, 1), 0), 0), "00")</f>
        <v>00</v>
      </c>
      <c r="H925" s="1" t="str">
        <f t="shared" si="85"/>
        <v>169</v>
      </c>
      <c r="I925" s="1" t="str">
        <f t="shared" si="86"/>
        <v>11200-169</v>
      </c>
      <c r="J925" s="1" t="str">
        <f t="shared" si="87"/>
        <v>Electric keyboard production item #169</v>
      </c>
      <c r="K925" s="1" t="str">
        <f>IF(SUM(COUNTIFS(I:I, I925)) &gt; 1, "DUPLICATE", "UNIQUE")</f>
        <v>UNIQUE</v>
      </c>
      <c r="L925" s="18">
        <v>1</v>
      </c>
      <c r="M925" s="28">
        <v>97</v>
      </c>
      <c r="N925" s="6">
        <v>36</v>
      </c>
      <c r="O925" s="30">
        <f t="shared" si="88"/>
        <v>97</v>
      </c>
      <c r="P925" s="30">
        <f t="shared" si="89"/>
        <v>3492</v>
      </c>
      <c r="Q925" s="1">
        <f>COUNTIFS($P:$P, "&gt;" &amp; $P925) + 1</f>
        <v>2778</v>
      </c>
      <c r="R925" s="63">
        <f>(COUNTIFS($P:$P, "&gt;" &amp; $P925) + 1) / (COUNTA($I:$I) - 1)</f>
        <v>0.55559999999999998</v>
      </c>
      <c r="S925" s="23">
        <f>SUMIFS($P:$P, $Q:$Q, "&lt;" &amp; $Q925)</f>
        <v>184249852</v>
      </c>
    </row>
    <row r="926" spans="1:19" x14ac:dyDescent="0.25">
      <c r="A926" s="1">
        <v>921</v>
      </c>
      <c r="B926" s="1" t="s">
        <v>2</v>
      </c>
      <c r="C926" s="1" t="str">
        <f>IF($B926 = "Production Item", _xlfn.XLOOKUP($A926, 'Instrument Table'!$J:$J, 'Instrument Table'!$B:$B, $C925), IF($B926 = "Service Item", _xlfn.XLOOKUP($A926, 'Instrument Table'!$I:$I, 'Instrument Table'!$B:$B, $C925), _xlfn.XLOOKUP($A926, 'Instrument Table'!$H:$H, 'Instrument Table'!$B:$B, $C925)))</f>
        <v>Electric Keyboard</v>
      </c>
      <c r="D926" s="1" t="str">
        <f>VLOOKUP($C926, 'Instrument Table'!$B:$C, 2, FALSE)</f>
        <v>Pianos</v>
      </c>
      <c r="E926" s="1">
        <f t="shared" si="84"/>
        <v>1</v>
      </c>
      <c r="F926" s="1">
        <f>_xlfn.XLOOKUP($C926, 'Instrument Table'!$B:$B, 'Instrument Table'!$A:$A, "")</f>
        <v>12</v>
      </c>
      <c r="G926" s="1" t="str">
        <f>TEXT(IF($B926 = "Retail Item", IF((ROW($A926) - 4504 - _xlfn.XMATCH($C926, $C$4506:$C$5005, 0, 1)) &lt;= VLOOKUP($C926, 'Instrument Table'!$B:$D, 3, FALSE), ROW($A926) - 4504 - _xlfn.XMATCH($C926, $C$4506:$C$5005, 0, 1), 0), 0), "00")</f>
        <v>00</v>
      </c>
      <c r="H926" s="1" t="str">
        <f t="shared" si="85"/>
        <v>170</v>
      </c>
      <c r="I926" s="1" t="str">
        <f t="shared" si="86"/>
        <v>11200-170</v>
      </c>
      <c r="J926" s="1" t="str">
        <f t="shared" si="87"/>
        <v>Electric keyboard production item #170</v>
      </c>
      <c r="K926" s="1" t="str">
        <f>IF(SUM(COUNTIFS(I:I, I926)) &gt; 1, "DUPLICATE", "UNIQUE")</f>
        <v>UNIQUE</v>
      </c>
      <c r="L926" s="18">
        <v>0</v>
      </c>
      <c r="M926" s="28">
        <v>53</v>
      </c>
      <c r="N926" s="6">
        <v>0</v>
      </c>
      <c r="O926" s="30">
        <f t="shared" si="88"/>
        <v>0</v>
      </c>
      <c r="P926" s="30">
        <f t="shared" si="89"/>
        <v>0</v>
      </c>
      <c r="Q926" s="1">
        <f>COUNTIFS($P:$P, "&gt;" &amp; $P926) + 1</f>
        <v>4746</v>
      </c>
      <c r="R926" s="63">
        <f>(COUNTIFS($P:$P, "&gt;" &amp; $P926) + 1) / (COUNTA($I:$I) - 1)</f>
        <v>0.94920000000000004</v>
      </c>
      <c r="S926" s="23">
        <f>SUMIFS($P:$P, $Q:$Q, "&lt;" &amp; $Q926)</f>
        <v>186547861</v>
      </c>
    </row>
    <row r="927" spans="1:19" x14ac:dyDescent="0.25">
      <c r="A927" s="1">
        <v>922</v>
      </c>
      <c r="B927" s="1" t="s">
        <v>2</v>
      </c>
      <c r="C927" s="1" t="str">
        <f>IF($B927 = "Production Item", _xlfn.XLOOKUP($A927, 'Instrument Table'!$J:$J, 'Instrument Table'!$B:$B, $C926), IF($B927 = "Service Item", _xlfn.XLOOKUP($A927, 'Instrument Table'!$I:$I, 'Instrument Table'!$B:$B, $C926), _xlfn.XLOOKUP($A927, 'Instrument Table'!$H:$H, 'Instrument Table'!$B:$B, $C926)))</f>
        <v>Electric Keyboard</v>
      </c>
      <c r="D927" s="1" t="str">
        <f>VLOOKUP($C927, 'Instrument Table'!$B:$C, 2, FALSE)</f>
        <v>Pianos</v>
      </c>
      <c r="E927" s="1">
        <f t="shared" si="84"/>
        <v>1</v>
      </c>
      <c r="F927" s="1">
        <f>_xlfn.XLOOKUP($C927, 'Instrument Table'!$B:$B, 'Instrument Table'!$A:$A, "")</f>
        <v>12</v>
      </c>
      <c r="G927" s="1" t="str">
        <f>TEXT(IF($B927 = "Retail Item", IF((ROW($A927) - 4504 - _xlfn.XMATCH($C927, $C$4506:$C$5005, 0, 1)) &lt;= VLOOKUP($C927, 'Instrument Table'!$B:$D, 3, FALSE), ROW($A927) - 4504 - _xlfn.XMATCH($C927, $C$4506:$C$5005, 0, 1), 0), 0), "00")</f>
        <v>00</v>
      </c>
      <c r="H927" s="1" t="str">
        <f t="shared" si="85"/>
        <v>171</v>
      </c>
      <c r="I927" s="1" t="str">
        <f t="shared" si="86"/>
        <v>11200-171</v>
      </c>
      <c r="J927" s="1" t="str">
        <f t="shared" si="87"/>
        <v>Electric keyboard production item #171</v>
      </c>
      <c r="K927" s="1" t="str">
        <f>IF(SUM(COUNTIFS(I:I, I927)) &gt; 1, "DUPLICATE", "UNIQUE")</f>
        <v>UNIQUE</v>
      </c>
      <c r="L927" s="18">
        <v>0</v>
      </c>
      <c r="M927" s="28">
        <v>64</v>
      </c>
      <c r="N927" s="6">
        <v>225</v>
      </c>
      <c r="O927" s="30">
        <f t="shared" si="88"/>
        <v>0</v>
      </c>
      <c r="P927" s="30">
        <f t="shared" si="89"/>
        <v>14400</v>
      </c>
      <c r="Q927" s="1">
        <f>COUNTIFS($P:$P, "&gt;" &amp; $P927) + 1</f>
        <v>1389</v>
      </c>
      <c r="R927" s="63">
        <f>(COUNTIFS($P:$P, "&gt;" &amp; $P927) + 1) / (COUNTA($I:$I) - 1)</f>
        <v>0.27779999999999999</v>
      </c>
      <c r="S927" s="23">
        <f>SUMIFS($P:$P, $Q:$Q, "&lt;" &amp; $Q927)</f>
        <v>173317558</v>
      </c>
    </row>
    <row r="928" spans="1:19" x14ac:dyDescent="0.25">
      <c r="A928" s="1">
        <v>923</v>
      </c>
      <c r="B928" s="1" t="s">
        <v>2</v>
      </c>
      <c r="C928" s="1" t="str">
        <f>IF($B928 = "Production Item", _xlfn.XLOOKUP($A928, 'Instrument Table'!$J:$J, 'Instrument Table'!$B:$B, $C927), IF($B928 = "Service Item", _xlfn.XLOOKUP($A928, 'Instrument Table'!$I:$I, 'Instrument Table'!$B:$B, $C927), _xlfn.XLOOKUP($A928, 'Instrument Table'!$H:$H, 'Instrument Table'!$B:$B, $C927)))</f>
        <v>Electric Keyboard</v>
      </c>
      <c r="D928" s="1" t="str">
        <f>VLOOKUP($C928, 'Instrument Table'!$B:$C, 2, FALSE)</f>
        <v>Pianos</v>
      </c>
      <c r="E928" s="1">
        <f t="shared" si="84"/>
        <v>1</v>
      </c>
      <c r="F928" s="1">
        <f>_xlfn.XLOOKUP($C928, 'Instrument Table'!$B:$B, 'Instrument Table'!$A:$A, "")</f>
        <v>12</v>
      </c>
      <c r="G928" s="1" t="str">
        <f>TEXT(IF($B928 = "Retail Item", IF((ROW($A928) - 4504 - _xlfn.XMATCH($C928, $C$4506:$C$5005, 0, 1)) &lt;= VLOOKUP($C928, 'Instrument Table'!$B:$D, 3, FALSE), ROW($A928) - 4504 - _xlfn.XMATCH($C928, $C$4506:$C$5005, 0, 1), 0), 0), "00")</f>
        <v>00</v>
      </c>
      <c r="H928" s="1" t="str">
        <f t="shared" si="85"/>
        <v>172</v>
      </c>
      <c r="I928" s="1" t="str">
        <f t="shared" si="86"/>
        <v>11200-172</v>
      </c>
      <c r="J928" s="1" t="str">
        <f t="shared" si="87"/>
        <v>Electric keyboard production item #172</v>
      </c>
      <c r="K928" s="1" t="str">
        <f>IF(SUM(COUNTIFS(I:I, I928)) &gt; 1, "DUPLICATE", "UNIQUE")</f>
        <v>UNIQUE</v>
      </c>
      <c r="L928" s="18">
        <v>2</v>
      </c>
      <c r="M928" s="28">
        <v>8</v>
      </c>
      <c r="N928" s="6">
        <v>324</v>
      </c>
      <c r="O928" s="30">
        <f t="shared" si="88"/>
        <v>16</v>
      </c>
      <c r="P928" s="30">
        <f t="shared" si="89"/>
        <v>2592</v>
      </c>
      <c r="Q928" s="1">
        <f>COUNTIFS($P:$P, "&gt;" &amp; $P928) + 1</f>
        <v>3012</v>
      </c>
      <c r="R928" s="63">
        <f>(COUNTIFS($P:$P, "&gt;" &amp; $P928) + 1) / (COUNTA($I:$I) - 1)</f>
        <v>0.60240000000000005</v>
      </c>
      <c r="S928" s="23">
        <f>SUMIFS($P:$P, $Q:$Q, "&lt;" &amp; $Q928)</f>
        <v>184963466</v>
      </c>
    </row>
    <row r="929" spans="1:19" x14ac:dyDescent="0.25">
      <c r="A929" s="1">
        <v>924</v>
      </c>
      <c r="B929" s="1" t="s">
        <v>2</v>
      </c>
      <c r="C929" s="1" t="str">
        <f>IF($B929 = "Production Item", _xlfn.XLOOKUP($A929, 'Instrument Table'!$J:$J, 'Instrument Table'!$B:$B, $C928), IF($B929 = "Service Item", _xlfn.XLOOKUP($A929, 'Instrument Table'!$I:$I, 'Instrument Table'!$B:$B, $C928), _xlfn.XLOOKUP($A929, 'Instrument Table'!$H:$H, 'Instrument Table'!$B:$B, $C928)))</f>
        <v>Electric Keyboard</v>
      </c>
      <c r="D929" s="1" t="str">
        <f>VLOOKUP($C929, 'Instrument Table'!$B:$C, 2, FALSE)</f>
        <v>Pianos</v>
      </c>
      <c r="E929" s="1">
        <f t="shared" si="84"/>
        <v>1</v>
      </c>
      <c r="F929" s="1">
        <f>_xlfn.XLOOKUP($C929, 'Instrument Table'!$B:$B, 'Instrument Table'!$A:$A, "")</f>
        <v>12</v>
      </c>
      <c r="G929" s="1" t="str">
        <f>TEXT(IF($B929 = "Retail Item", IF((ROW($A929) - 4504 - _xlfn.XMATCH($C929, $C$4506:$C$5005, 0, 1)) &lt;= VLOOKUP($C929, 'Instrument Table'!$B:$D, 3, FALSE), ROW($A929) - 4504 - _xlfn.XMATCH($C929, $C$4506:$C$5005, 0, 1), 0), 0), "00")</f>
        <v>00</v>
      </c>
      <c r="H929" s="1" t="str">
        <f t="shared" si="85"/>
        <v>173</v>
      </c>
      <c r="I929" s="1" t="str">
        <f t="shared" si="86"/>
        <v>11200-173</v>
      </c>
      <c r="J929" s="1" t="str">
        <f t="shared" si="87"/>
        <v>Electric keyboard production item #173</v>
      </c>
      <c r="K929" s="1" t="str">
        <f>IF(SUM(COUNTIFS(I:I, I929)) &gt; 1, "DUPLICATE", "UNIQUE")</f>
        <v>UNIQUE</v>
      </c>
      <c r="L929" s="18">
        <v>1</v>
      </c>
      <c r="M929" s="28">
        <v>72</v>
      </c>
      <c r="N929" s="6">
        <v>81</v>
      </c>
      <c r="O929" s="30">
        <f t="shared" si="88"/>
        <v>72</v>
      </c>
      <c r="P929" s="30">
        <f t="shared" si="89"/>
        <v>5832</v>
      </c>
      <c r="Q929" s="1">
        <f>COUNTIFS($P:$P, "&gt;" &amp; $P929) + 1</f>
        <v>2288</v>
      </c>
      <c r="R929" s="63">
        <f>(COUNTIFS($P:$P, "&gt;" &amp; $P929) + 1) / (COUNTA($I:$I) - 1)</f>
        <v>0.45760000000000001</v>
      </c>
      <c r="S929" s="23">
        <f>SUMIFS($P:$P, $Q:$Q, "&lt;" &amp; $Q929)</f>
        <v>181994354</v>
      </c>
    </row>
    <row r="930" spans="1:19" x14ac:dyDescent="0.25">
      <c r="A930" s="1">
        <v>925</v>
      </c>
      <c r="B930" s="1" t="s">
        <v>2</v>
      </c>
      <c r="C930" s="1" t="str">
        <f>IF($B930 = "Production Item", _xlfn.XLOOKUP($A930, 'Instrument Table'!$J:$J, 'Instrument Table'!$B:$B, $C929), IF($B930 = "Service Item", _xlfn.XLOOKUP($A930, 'Instrument Table'!$I:$I, 'Instrument Table'!$B:$B, $C929), _xlfn.XLOOKUP($A930, 'Instrument Table'!$H:$H, 'Instrument Table'!$B:$B, $C929)))</f>
        <v>Electric Keyboard</v>
      </c>
      <c r="D930" s="1" t="str">
        <f>VLOOKUP($C930, 'Instrument Table'!$B:$C, 2, FALSE)</f>
        <v>Pianos</v>
      </c>
      <c r="E930" s="1">
        <f t="shared" si="84"/>
        <v>1</v>
      </c>
      <c r="F930" s="1">
        <f>_xlfn.XLOOKUP($C930, 'Instrument Table'!$B:$B, 'Instrument Table'!$A:$A, "")</f>
        <v>12</v>
      </c>
      <c r="G930" s="1" t="str">
        <f>TEXT(IF($B930 = "Retail Item", IF((ROW($A930) - 4504 - _xlfn.XMATCH($C930, $C$4506:$C$5005, 0, 1)) &lt;= VLOOKUP($C930, 'Instrument Table'!$B:$D, 3, FALSE), ROW($A930) - 4504 - _xlfn.XMATCH($C930, $C$4506:$C$5005, 0, 1), 0), 0), "00")</f>
        <v>00</v>
      </c>
      <c r="H930" s="1" t="str">
        <f t="shared" si="85"/>
        <v>174</v>
      </c>
      <c r="I930" s="1" t="str">
        <f t="shared" si="86"/>
        <v>11200-174</v>
      </c>
      <c r="J930" s="1" t="str">
        <f t="shared" si="87"/>
        <v>Electric keyboard production item #174</v>
      </c>
      <c r="K930" s="1" t="str">
        <f>IF(SUM(COUNTIFS(I:I, I930)) &gt; 1, "DUPLICATE", "UNIQUE")</f>
        <v>UNIQUE</v>
      </c>
      <c r="L930" s="18">
        <v>8</v>
      </c>
      <c r="M930" s="28">
        <v>56</v>
      </c>
      <c r="N930" s="6">
        <v>196</v>
      </c>
      <c r="O930" s="30">
        <f t="shared" si="88"/>
        <v>448</v>
      </c>
      <c r="P930" s="30">
        <f t="shared" si="89"/>
        <v>10976</v>
      </c>
      <c r="Q930" s="1">
        <f>COUNTIFS($P:$P, "&gt;" &amp; $P930) + 1</f>
        <v>1689</v>
      </c>
      <c r="R930" s="63">
        <f>(COUNTIFS($P:$P, "&gt;" &amp; $P930) + 1) / (COUNTA($I:$I) - 1)</f>
        <v>0.33779999999999999</v>
      </c>
      <c r="S930" s="23">
        <f>SUMIFS($P:$P, $Q:$Q, "&lt;" &amp; $Q930)</f>
        <v>177093574</v>
      </c>
    </row>
    <row r="931" spans="1:19" x14ac:dyDescent="0.25">
      <c r="A931" s="1">
        <v>926</v>
      </c>
      <c r="B931" s="1" t="s">
        <v>2</v>
      </c>
      <c r="C931" s="1" t="str">
        <f>IF($B931 = "Production Item", _xlfn.XLOOKUP($A931, 'Instrument Table'!$J:$J, 'Instrument Table'!$B:$B, $C930), IF($B931 = "Service Item", _xlfn.XLOOKUP($A931, 'Instrument Table'!$I:$I, 'Instrument Table'!$B:$B, $C930), _xlfn.XLOOKUP($A931, 'Instrument Table'!$H:$H, 'Instrument Table'!$B:$B, $C930)))</f>
        <v>Electric Keyboard</v>
      </c>
      <c r="D931" s="1" t="str">
        <f>VLOOKUP($C931, 'Instrument Table'!$B:$C, 2, FALSE)</f>
        <v>Pianos</v>
      </c>
      <c r="E931" s="1">
        <f t="shared" si="84"/>
        <v>1</v>
      </c>
      <c r="F931" s="1">
        <f>_xlfn.XLOOKUP($C931, 'Instrument Table'!$B:$B, 'Instrument Table'!$A:$A, "")</f>
        <v>12</v>
      </c>
      <c r="G931" s="1" t="str">
        <f>TEXT(IF($B931 = "Retail Item", IF((ROW($A931) - 4504 - _xlfn.XMATCH($C931, $C$4506:$C$5005, 0, 1)) &lt;= VLOOKUP($C931, 'Instrument Table'!$B:$D, 3, FALSE), ROW($A931) - 4504 - _xlfn.XMATCH($C931, $C$4506:$C$5005, 0, 1), 0), 0), "00")</f>
        <v>00</v>
      </c>
      <c r="H931" s="1" t="str">
        <f t="shared" si="85"/>
        <v>175</v>
      </c>
      <c r="I931" s="1" t="str">
        <f t="shared" si="86"/>
        <v>11200-175</v>
      </c>
      <c r="J931" s="1" t="str">
        <f t="shared" si="87"/>
        <v>Electric keyboard production item #175</v>
      </c>
      <c r="K931" s="1" t="str">
        <f>IF(SUM(COUNTIFS(I:I, I931)) &gt; 1, "DUPLICATE", "UNIQUE")</f>
        <v>UNIQUE</v>
      </c>
      <c r="L931" s="18">
        <v>4</v>
      </c>
      <c r="M931" s="28">
        <v>1</v>
      </c>
      <c r="N931" s="6">
        <v>361</v>
      </c>
      <c r="O931" s="30">
        <f t="shared" si="88"/>
        <v>4</v>
      </c>
      <c r="P931" s="30">
        <f t="shared" si="89"/>
        <v>361</v>
      </c>
      <c r="Q931" s="1">
        <f>COUNTIFS($P:$P, "&gt;" &amp; $P931) + 1</f>
        <v>4135</v>
      </c>
      <c r="R931" s="63">
        <f>(COUNTIFS($P:$P, "&gt;" &amp; $P931) + 1) / (COUNTA($I:$I) - 1)</f>
        <v>0.82699999999999996</v>
      </c>
      <c r="S931" s="23">
        <f>SUMIFS($P:$P, $Q:$Q, "&lt;" &amp; $Q931)</f>
        <v>186458347</v>
      </c>
    </row>
    <row r="932" spans="1:19" x14ac:dyDescent="0.25">
      <c r="A932" s="1">
        <v>927</v>
      </c>
      <c r="B932" s="1" t="s">
        <v>2</v>
      </c>
      <c r="C932" s="1" t="str">
        <f>IF($B932 = "Production Item", _xlfn.XLOOKUP($A932, 'Instrument Table'!$J:$J, 'Instrument Table'!$B:$B, $C931), IF($B932 = "Service Item", _xlfn.XLOOKUP($A932, 'Instrument Table'!$I:$I, 'Instrument Table'!$B:$B, $C931), _xlfn.XLOOKUP($A932, 'Instrument Table'!$H:$H, 'Instrument Table'!$B:$B, $C931)))</f>
        <v>Electric Keyboard</v>
      </c>
      <c r="D932" s="1" t="str">
        <f>VLOOKUP($C932, 'Instrument Table'!$B:$C, 2, FALSE)</f>
        <v>Pianos</v>
      </c>
      <c r="E932" s="1">
        <f t="shared" si="84"/>
        <v>1</v>
      </c>
      <c r="F932" s="1">
        <f>_xlfn.XLOOKUP($C932, 'Instrument Table'!$B:$B, 'Instrument Table'!$A:$A, "")</f>
        <v>12</v>
      </c>
      <c r="G932" s="1" t="str">
        <f>TEXT(IF($B932 = "Retail Item", IF((ROW($A932) - 4504 - _xlfn.XMATCH($C932, $C$4506:$C$5005, 0, 1)) &lt;= VLOOKUP($C932, 'Instrument Table'!$B:$D, 3, FALSE), ROW($A932) - 4504 - _xlfn.XMATCH($C932, $C$4506:$C$5005, 0, 1), 0), 0), "00")</f>
        <v>00</v>
      </c>
      <c r="H932" s="1" t="str">
        <f t="shared" si="85"/>
        <v>176</v>
      </c>
      <c r="I932" s="1" t="str">
        <f t="shared" si="86"/>
        <v>11200-176</v>
      </c>
      <c r="J932" s="1" t="str">
        <f t="shared" si="87"/>
        <v>Electric keyboard production item #176</v>
      </c>
      <c r="K932" s="1" t="str">
        <f>IF(SUM(COUNTIFS(I:I, I932)) &gt; 1, "DUPLICATE", "UNIQUE")</f>
        <v>UNIQUE</v>
      </c>
      <c r="L932" s="18">
        <v>1</v>
      </c>
      <c r="M932" s="28">
        <v>76</v>
      </c>
      <c r="N932" s="6">
        <v>64</v>
      </c>
      <c r="O932" s="30">
        <f t="shared" si="88"/>
        <v>76</v>
      </c>
      <c r="P932" s="30">
        <f t="shared" si="89"/>
        <v>4864</v>
      </c>
      <c r="Q932" s="1">
        <f>COUNTIFS($P:$P, "&gt;" &amp; $P932) + 1</f>
        <v>2471</v>
      </c>
      <c r="R932" s="63">
        <f>(COUNTIFS($P:$P, "&gt;" &amp; $P932) + 1) / (COUNTA($I:$I) - 1)</f>
        <v>0.49419999999999997</v>
      </c>
      <c r="S932" s="23">
        <f>SUMIFS($P:$P, $Q:$Q, "&lt;" &amp; $Q932)</f>
        <v>182975918</v>
      </c>
    </row>
    <row r="933" spans="1:19" x14ac:dyDescent="0.25">
      <c r="A933" s="1">
        <v>928</v>
      </c>
      <c r="B933" s="1" t="s">
        <v>2</v>
      </c>
      <c r="C933" s="1" t="str">
        <f>IF($B933 = "Production Item", _xlfn.XLOOKUP($A933, 'Instrument Table'!$J:$J, 'Instrument Table'!$B:$B, $C932), IF($B933 = "Service Item", _xlfn.XLOOKUP($A933, 'Instrument Table'!$I:$I, 'Instrument Table'!$B:$B, $C932), _xlfn.XLOOKUP($A933, 'Instrument Table'!$H:$H, 'Instrument Table'!$B:$B, $C932)))</f>
        <v>Electric Keyboard</v>
      </c>
      <c r="D933" s="1" t="str">
        <f>VLOOKUP($C933, 'Instrument Table'!$B:$C, 2, FALSE)</f>
        <v>Pianos</v>
      </c>
      <c r="E933" s="1">
        <f t="shared" si="84"/>
        <v>1</v>
      </c>
      <c r="F933" s="1">
        <f>_xlfn.XLOOKUP($C933, 'Instrument Table'!$B:$B, 'Instrument Table'!$A:$A, "")</f>
        <v>12</v>
      </c>
      <c r="G933" s="1" t="str">
        <f>TEXT(IF($B933 = "Retail Item", IF((ROW($A933) - 4504 - _xlfn.XMATCH($C933, $C$4506:$C$5005, 0, 1)) &lt;= VLOOKUP($C933, 'Instrument Table'!$B:$D, 3, FALSE), ROW($A933) - 4504 - _xlfn.XMATCH($C933, $C$4506:$C$5005, 0, 1), 0), 0), "00")</f>
        <v>00</v>
      </c>
      <c r="H933" s="1" t="str">
        <f t="shared" si="85"/>
        <v>177</v>
      </c>
      <c r="I933" s="1" t="str">
        <f t="shared" si="86"/>
        <v>11200-177</v>
      </c>
      <c r="J933" s="1" t="str">
        <f t="shared" si="87"/>
        <v>Electric keyboard production item #177</v>
      </c>
      <c r="K933" s="1" t="str">
        <f>IF(SUM(COUNTIFS(I:I, I933)) &gt; 1, "DUPLICATE", "UNIQUE")</f>
        <v>UNIQUE</v>
      </c>
      <c r="L933" s="18">
        <v>2</v>
      </c>
      <c r="M933" s="28">
        <v>96</v>
      </c>
      <c r="N933" s="6">
        <v>225</v>
      </c>
      <c r="O933" s="30">
        <f t="shared" si="88"/>
        <v>192</v>
      </c>
      <c r="P933" s="30">
        <f t="shared" si="89"/>
        <v>21600</v>
      </c>
      <c r="Q933" s="1">
        <f>COUNTIFS($P:$P, "&gt;" &amp; $P933) + 1</f>
        <v>977</v>
      </c>
      <c r="R933" s="63">
        <f>(COUNTIFS($P:$P, "&gt;" &amp; $P933) + 1) / (COUNTA($I:$I) - 1)</f>
        <v>0.19539999999999999</v>
      </c>
      <c r="S933" s="23">
        <f>SUMIFS($P:$P, $Q:$Q, "&lt;" &amp; $Q933)</f>
        <v>165999482</v>
      </c>
    </row>
    <row r="934" spans="1:19" x14ac:dyDescent="0.25">
      <c r="A934" s="1">
        <v>929</v>
      </c>
      <c r="B934" s="1" t="s">
        <v>2</v>
      </c>
      <c r="C934" s="1" t="str">
        <f>IF($B934 = "Production Item", _xlfn.XLOOKUP($A934, 'Instrument Table'!$J:$J, 'Instrument Table'!$B:$B, $C933), IF($B934 = "Service Item", _xlfn.XLOOKUP($A934, 'Instrument Table'!$I:$I, 'Instrument Table'!$B:$B, $C933), _xlfn.XLOOKUP($A934, 'Instrument Table'!$H:$H, 'Instrument Table'!$B:$B, $C933)))</f>
        <v>Electric Keyboard</v>
      </c>
      <c r="D934" s="1" t="str">
        <f>VLOOKUP($C934, 'Instrument Table'!$B:$C, 2, FALSE)</f>
        <v>Pianos</v>
      </c>
      <c r="E934" s="1">
        <f t="shared" si="84"/>
        <v>1</v>
      </c>
      <c r="F934" s="1">
        <f>_xlfn.XLOOKUP($C934, 'Instrument Table'!$B:$B, 'Instrument Table'!$A:$A, "")</f>
        <v>12</v>
      </c>
      <c r="G934" s="1" t="str">
        <f>TEXT(IF($B934 = "Retail Item", IF((ROW($A934) - 4504 - _xlfn.XMATCH($C934, $C$4506:$C$5005, 0, 1)) &lt;= VLOOKUP($C934, 'Instrument Table'!$B:$D, 3, FALSE), ROW($A934) - 4504 - _xlfn.XMATCH($C934, $C$4506:$C$5005, 0, 1), 0), 0), "00")</f>
        <v>00</v>
      </c>
      <c r="H934" s="1" t="str">
        <f t="shared" si="85"/>
        <v>178</v>
      </c>
      <c r="I934" s="1" t="str">
        <f t="shared" si="86"/>
        <v>11200-178</v>
      </c>
      <c r="J934" s="1" t="str">
        <f t="shared" si="87"/>
        <v>Electric keyboard production item #178</v>
      </c>
      <c r="K934" s="1" t="str">
        <f>IF(SUM(COUNTIFS(I:I, I934)) &gt; 1, "DUPLICATE", "UNIQUE")</f>
        <v>UNIQUE</v>
      </c>
      <c r="L934" s="18">
        <v>1</v>
      </c>
      <c r="M934" s="28">
        <v>4</v>
      </c>
      <c r="N934" s="6">
        <v>196</v>
      </c>
      <c r="O934" s="30">
        <f t="shared" si="88"/>
        <v>4</v>
      </c>
      <c r="P934" s="30">
        <f t="shared" si="89"/>
        <v>784</v>
      </c>
      <c r="Q934" s="1">
        <f>COUNTIFS($P:$P, "&gt;" &amp; $P934) + 1</f>
        <v>3800</v>
      </c>
      <c r="R934" s="63">
        <f>(COUNTIFS($P:$P, "&gt;" &amp; $P934) + 1) / (COUNTA($I:$I) - 1)</f>
        <v>0.76</v>
      </c>
      <c r="S934" s="23">
        <f>SUMIFS($P:$P, $Q:$Q, "&lt;" &amp; $Q934)</f>
        <v>186265643</v>
      </c>
    </row>
    <row r="935" spans="1:19" x14ac:dyDescent="0.25">
      <c r="A935" s="1">
        <v>930</v>
      </c>
      <c r="B935" s="1" t="s">
        <v>2</v>
      </c>
      <c r="C935" s="1" t="str">
        <f>IF($B935 = "Production Item", _xlfn.XLOOKUP($A935, 'Instrument Table'!$J:$J, 'Instrument Table'!$B:$B, $C934), IF($B935 = "Service Item", _xlfn.XLOOKUP($A935, 'Instrument Table'!$I:$I, 'Instrument Table'!$B:$B, $C934), _xlfn.XLOOKUP($A935, 'Instrument Table'!$H:$H, 'Instrument Table'!$B:$B, $C934)))</f>
        <v>Electric Keyboard</v>
      </c>
      <c r="D935" s="1" t="str">
        <f>VLOOKUP($C935, 'Instrument Table'!$B:$C, 2, FALSE)</f>
        <v>Pianos</v>
      </c>
      <c r="E935" s="1">
        <f t="shared" si="84"/>
        <v>1</v>
      </c>
      <c r="F935" s="1">
        <f>_xlfn.XLOOKUP($C935, 'Instrument Table'!$B:$B, 'Instrument Table'!$A:$A, "")</f>
        <v>12</v>
      </c>
      <c r="G935" s="1" t="str">
        <f>TEXT(IF($B935 = "Retail Item", IF((ROW($A935) - 4504 - _xlfn.XMATCH($C935, $C$4506:$C$5005, 0, 1)) &lt;= VLOOKUP($C935, 'Instrument Table'!$B:$D, 3, FALSE), ROW($A935) - 4504 - _xlfn.XMATCH($C935, $C$4506:$C$5005, 0, 1), 0), 0), "00")</f>
        <v>00</v>
      </c>
      <c r="H935" s="1" t="str">
        <f t="shared" si="85"/>
        <v>179</v>
      </c>
      <c r="I935" s="1" t="str">
        <f t="shared" si="86"/>
        <v>11200-179</v>
      </c>
      <c r="J935" s="1" t="str">
        <f t="shared" si="87"/>
        <v>Electric keyboard production item #179</v>
      </c>
      <c r="K935" s="1" t="str">
        <f>IF(SUM(COUNTIFS(I:I, I935)) &gt; 1, "DUPLICATE", "UNIQUE")</f>
        <v>UNIQUE</v>
      </c>
      <c r="L935" s="18">
        <v>8</v>
      </c>
      <c r="M935" s="28">
        <v>96</v>
      </c>
      <c r="N935" s="6">
        <v>256</v>
      </c>
      <c r="O935" s="30">
        <f t="shared" si="88"/>
        <v>768</v>
      </c>
      <c r="P935" s="30">
        <f t="shared" si="89"/>
        <v>24576</v>
      </c>
      <c r="Q935" s="1">
        <f>COUNTIFS($P:$P, "&gt;" &amp; $P935) + 1</f>
        <v>842</v>
      </c>
      <c r="R935" s="63">
        <f>(COUNTIFS($P:$P, "&gt;" &amp; $P935) + 1) / (COUNTA($I:$I) - 1)</f>
        <v>0.16839999999999999</v>
      </c>
      <c r="S935" s="23">
        <f>SUMIFS($P:$P, $Q:$Q, "&lt;" &amp; $Q935)</f>
        <v>162887012</v>
      </c>
    </row>
    <row r="936" spans="1:19" x14ac:dyDescent="0.25">
      <c r="A936" s="1">
        <v>931</v>
      </c>
      <c r="B936" s="1" t="s">
        <v>2</v>
      </c>
      <c r="C936" s="1" t="str">
        <f>IF($B936 = "Production Item", _xlfn.XLOOKUP($A936, 'Instrument Table'!$J:$J, 'Instrument Table'!$B:$B, $C935), IF($B936 = "Service Item", _xlfn.XLOOKUP($A936, 'Instrument Table'!$I:$I, 'Instrument Table'!$B:$B, $C935), _xlfn.XLOOKUP($A936, 'Instrument Table'!$H:$H, 'Instrument Table'!$B:$B, $C935)))</f>
        <v>Electric Keyboard</v>
      </c>
      <c r="D936" s="1" t="str">
        <f>VLOOKUP($C936, 'Instrument Table'!$B:$C, 2, FALSE)</f>
        <v>Pianos</v>
      </c>
      <c r="E936" s="1">
        <f t="shared" si="84"/>
        <v>1</v>
      </c>
      <c r="F936" s="1">
        <f>_xlfn.XLOOKUP($C936, 'Instrument Table'!$B:$B, 'Instrument Table'!$A:$A, "")</f>
        <v>12</v>
      </c>
      <c r="G936" s="1" t="str">
        <f>TEXT(IF($B936 = "Retail Item", IF((ROW($A936) - 4504 - _xlfn.XMATCH($C936, $C$4506:$C$5005, 0, 1)) &lt;= VLOOKUP($C936, 'Instrument Table'!$B:$D, 3, FALSE), ROW($A936) - 4504 - _xlfn.XMATCH($C936, $C$4506:$C$5005, 0, 1), 0), 0), "00")</f>
        <v>00</v>
      </c>
      <c r="H936" s="1" t="str">
        <f t="shared" si="85"/>
        <v>180</v>
      </c>
      <c r="I936" s="1" t="str">
        <f t="shared" si="86"/>
        <v>11200-180</v>
      </c>
      <c r="J936" s="1" t="str">
        <f t="shared" si="87"/>
        <v>Electric keyboard production item #180</v>
      </c>
      <c r="K936" s="1" t="str">
        <f>IF(SUM(COUNTIFS(I:I, I936)) &gt; 1, "DUPLICATE", "UNIQUE")</f>
        <v>UNIQUE</v>
      </c>
      <c r="L936" s="18">
        <v>0</v>
      </c>
      <c r="M936" s="28">
        <v>41</v>
      </c>
      <c r="N936" s="6">
        <v>81</v>
      </c>
      <c r="O936" s="30">
        <f t="shared" si="88"/>
        <v>0</v>
      </c>
      <c r="P936" s="30">
        <f t="shared" si="89"/>
        <v>3321</v>
      </c>
      <c r="Q936" s="1">
        <f>COUNTIFS($P:$P, "&gt;" &amp; $P936) + 1</f>
        <v>2824</v>
      </c>
      <c r="R936" s="63">
        <f>(COUNTIFS($P:$P, "&gt;" &amp; $P936) + 1) / (COUNTA($I:$I) - 1)</f>
        <v>0.56479999999999997</v>
      </c>
      <c r="S936" s="23">
        <f>SUMIFS($P:$P, $Q:$Q, "&lt;" &amp; $Q936)</f>
        <v>184406695</v>
      </c>
    </row>
    <row r="937" spans="1:19" x14ac:dyDescent="0.25">
      <c r="A937" s="1">
        <v>932</v>
      </c>
      <c r="B937" s="1" t="s">
        <v>2</v>
      </c>
      <c r="C937" s="1" t="str">
        <f>IF($B937 = "Production Item", _xlfn.XLOOKUP($A937, 'Instrument Table'!$J:$J, 'Instrument Table'!$B:$B, $C936), IF($B937 = "Service Item", _xlfn.XLOOKUP($A937, 'Instrument Table'!$I:$I, 'Instrument Table'!$B:$B, $C936), _xlfn.XLOOKUP($A937, 'Instrument Table'!$H:$H, 'Instrument Table'!$B:$B, $C936)))</f>
        <v>Electric Keyboard</v>
      </c>
      <c r="D937" s="1" t="str">
        <f>VLOOKUP($C937, 'Instrument Table'!$B:$C, 2, FALSE)</f>
        <v>Pianos</v>
      </c>
      <c r="E937" s="1">
        <f t="shared" si="84"/>
        <v>1</v>
      </c>
      <c r="F937" s="1">
        <f>_xlfn.XLOOKUP($C937, 'Instrument Table'!$B:$B, 'Instrument Table'!$A:$A, "")</f>
        <v>12</v>
      </c>
      <c r="G937" s="1" t="str">
        <f>TEXT(IF($B937 = "Retail Item", IF((ROW($A937) - 4504 - _xlfn.XMATCH($C937, $C$4506:$C$5005, 0, 1)) &lt;= VLOOKUP($C937, 'Instrument Table'!$B:$D, 3, FALSE), ROW($A937) - 4504 - _xlfn.XMATCH($C937, $C$4506:$C$5005, 0, 1), 0), 0), "00")</f>
        <v>00</v>
      </c>
      <c r="H937" s="1" t="str">
        <f t="shared" si="85"/>
        <v>181</v>
      </c>
      <c r="I937" s="1" t="str">
        <f t="shared" si="86"/>
        <v>11200-181</v>
      </c>
      <c r="J937" s="1" t="str">
        <f t="shared" si="87"/>
        <v>Electric keyboard production item #181</v>
      </c>
      <c r="K937" s="1" t="str">
        <f>IF(SUM(COUNTIFS(I:I, I937)) &gt; 1, "DUPLICATE", "UNIQUE")</f>
        <v>UNIQUE</v>
      </c>
      <c r="L937" s="18">
        <v>32</v>
      </c>
      <c r="M937" s="28">
        <v>13</v>
      </c>
      <c r="N937" s="6">
        <v>121</v>
      </c>
      <c r="O937" s="30">
        <f t="shared" si="88"/>
        <v>416</v>
      </c>
      <c r="P937" s="30">
        <f t="shared" si="89"/>
        <v>1573</v>
      </c>
      <c r="Q937" s="1">
        <f>COUNTIFS($P:$P, "&gt;" &amp; $P937) + 1</f>
        <v>3430</v>
      </c>
      <c r="R937" s="63">
        <f>(COUNTIFS($P:$P, "&gt;" &amp; $P937) + 1) / (COUNTA($I:$I) - 1)</f>
        <v>0.68600000000000005</v>
      </c>
      <c r="S937" s="23">
        <f>SUMIFS($P:$P, $Q:$Q, "&lt;" &amp; $Q937)</f>
        <v>185832729</v>
      </c>
    </row>
    <row r="938" spans="1:19" x14ac:dyDescent="0.25">
      <c r="A938" s="1">
        <v>933</v>
      </c>
      <c r="B938" s="1" t="s">
        <v>2</v>
      </c>
      <c r="C938" s="1" t="str">
        <f>IF($B938 = "Production Item", _xlfn.XLOOKUP($A938, 'Instrument Table'!$J:$J, 'Instrument Table'!$B:$B, $C937), IF($B938 = "Service Item", _xlfn.XLOOKUP($A938, 'Instrument Table'!$I:$I, 'Instrument Table'!$B:$B, $C937), _xlfn.XLOOKUP($A938, 'Instrument Table'!$H:$H, 'Instrument Table'!$B:$B, $C937)))</f>
        <v>Electric Keyboard</v>
      </c>
      <c r="D938" s="1" t="str">
        <f>VLOOKUP($C938, 'Instrument Table'!$B:$C, 2, FALSE)</f>
        <v>Pianos</v>
      </c>
      <c r="E938" s="1">
        <f t="shared" si="84"/>
        <v>1</v>
      </c>
      <c r="F938" s="1">
        <f>_xlfn.XLOOKUP($C938, 'Instrument Table'!$B:$B, 'Instrument Table'!$A:$A, "")</f>
        <v>12</v>
      </c>
      <c r="G938" s="1" t="str">
        <f>TEXT(IF($B938 = "Retail Item", IF((ROW($A938) - 4504 - _xlfn.XMATCH($C938, $C$4506:$C$5005, 0, 1)) &lt;= VLOOKUP($C938, 'Instrument Table'!$B:$D, 3, FALSE), ROW($A938) - 4504 - _xlfn.XMATCH($C938, $C$4506:$C$5005, 0, 1), 0), 0), "00")</f>
        <v>00</v>
      </c>
      <c r="H938" s="1" t="str">
        <f t="shared" si="85"/>
        <v>182</v>
      </c>
      <c r="I938" s="1" t="str">
        <f t="shared" si="86"/>
        <v>11200-182</v>
      </c>
      <c r="J938" s="1" t="str">
        <f t="shared" si="87"/>
        <v>Electric keyboard production item #182</v>
      </c>
      <c r="K938" s="1" t="str">
        <f>IF(SUM(COUNTIFS(I:I, I938)) &gt; 1, "DUPLICATE", "UNIQUE")</f>
        <v>UNIQUE</v>
      </c>
      <c r="L938" s="18">
        <v>32</v>
      </c>
      <c r="M938" s="28">
        <v>85</v>
      </c>
      <c r="N938" s="6">
        <v>324</v>
      </c>
      <c r="O938" s="30">
        <f t="shared" si="88"/>
        <v>2720</v>
      </c>
      <c r="P938" s="30">
        <f t="shared" si="89"/>
        <v>27540</v>
      </c>
      <c r="Q938" s="1">
        <f>COUNTIFS($P:$P, "&gt;" &amp; $P938) + 1</f>
        <v>738</v>
      </c>
      <c r="R938" s="63">
        <f>(COUNTIFS($P:$P, "&gt;" &amp; $P938) + 1) / (COUNTA($I:$I) - 1)</f>
        <v>0.14760000000000001</v>
      </c>
      <c r="S938" s="23">
        <f>SUMIFS($P:$P, $Q:$Q, "&lt;" &amp; $Q938)</f>
        <v>160178199</v>
      </c>
    </row>
    <row r="939" spans="1:19" x14ac:dyDescent="0.25">
      <c r="A939" s="1">
        <v>934</v>
      </c>
      <c r="B939" s="1" t="s">
        <v>2</v>
      </c>
      <c r="C939" s="1" t="str">
        <f>IF($B939 = "Production Item", _xlfn.XLOOKUP($A939, 'Instrument Table'!$J:$J, 'Instrument Table'!$B:$B, $C938), IF($B939 = "Service Item", _xlfn.XLOOKUP($A939, 'Instrument Table'!$I:$I, 'Instrument Table'!$B:$B, $C938), _xlfn.XLOOKUP($A939, 'Instrument Table'!$H:$H, 'Instrument Table'!$B:$B, $C938)))</f>
        <v>Electric Keyboard</v>
      </c>
      <c r="D939" s="1" t="str">
        <f>VLOOKUP($C939, 'Instrument Table'!$B:$C, 2, FALSE)</f>
        <v>Pianos</v>
      </c>
      <c r="E939" s="1">
        <f t="shared" si="84"/>
        <v>1</v>
      </c>
      <c r="F939" s="1">
        <f>_xlfn.XLOOKUP($C939, 'Instrument Table'!$B:$B, 'Instrument Table'!$A:$A, "")</f>
        <v>12</v>
      </c>
      <c r="G939" s="1" t="str">
        <f>TEXT(IF($B939 = "Retail Item", IF((ROW($A939) - 4504 - _xlfn.XMATCH($C939, $C$4506:$C$5005, 0, 1)) &lt;= VLOOKUP($C939, 'Instrument Table'!$B:$D, 3, FALSE), ROW($A939) - 4504 - _xlfn.XMATCH($C939, $C$4506:$C$5005, 0, 1), 0), 0), "00")</f>
        <v>00</v>
      </c>
      <c r="H939" s="1" t="str">
        <f t="shared" si="85"/>
        <v>183</v>
      </c>
      <c r="I939" s="1" t="str">
        <f t="shared" si="86"/>
        <v>11200-183</v>
      </c>
      <c r="J939" s="1" t="str">
        <f t="shared" si="87"/>
        <v>Electric keyboard production item #183</v>
      </c>
      <c r="K939" s="1" t="str">
        <f>IF(SUM(COUNTIFS(I:I, I939)) &gt; 1, "DUPLICATE", "UNIQUE")</f>
        <v>UNIQUE</v>
      </c>
      <c r="L939" s="18">
        <v>0</v>
      </c>
      <c r="M939" s="28">
        <v>58</v>
      </c>
      <c r="N939" s="6">
        <v>225</v>
      </c>
      <c r="O939" s="30">
        <f t="shared" si="88"/>
        <v>0</v>
      </c>
      <c r="P939" s="30">
        <f t="shared" si="89"/>
        <v>13050</v>
      </c>
      <c r="Q939" s="1">
        <f>COUNTIFS($P:$P, "&gt;" &amp; $P939) + 1</f>
        <v>1495</v>
      </c>
      <c r="R939" s="63">
        <f>(COUNTIFS($P:$P, "&gt;" &amp; $P939) + 1) / (COUNTA($I:$I) - 1)</f>
        <v>0.29899999999999999</v>
      </c>
      <c r="S939" s="23">
        <f>SUMIFS($P:$P, $Q:$Q, "&lt;" &amp; $Q939)</f>
        <v>174774661</v>
      </c>
    </row>
    <row r="940" spans="1:19" x14ac:dyDescent="0.25">
      <c r="A940" s="1">
        <v>935</v>
      </c>
      <c r="B940" s="1" t="s">
        <v>2</v>
      </c>
      <c r="C940" s="1" t="str">
        <f>IF($B940 = "Production Item", _xlfn.XLOOKUP($A940, 'Instrument Table'!$J:$J, 'Instrument Table'!$B:$B, $C939), IF($B940 = "Service Item", _xlfn.XLOOKUP($A940, 'Instrument Table'!$I:$I, 'Instrument Table'!$B:$B, $C939), _xlfn.XLOOKUP($A940, 'Instrument Table'!$H:$H, 'Instrument Table'!$B:$B, $C939)))</f>
        <v>Electric Keyboard</v>
      </c>
      <c r="D940" s="1" t="str">
        <f>VLOOKUP($C940, 'Instrument Table'!$B:$C, 2, FALSE)</f>
        <v>Pianos</v>
      </c>
      <c r="E940" s="1">
        <f t="shared" si="84"/>
        <v>1</v>
      </c>
      <c r="F940" s="1">
        <f>_xlfn.XLOOKUP($C940, 'Instrument Table'!$B:$B, 'Instrument Table'!$A:$A, "")</f>
        <v>12</v>
      </c>
      <c r="G940" s="1" t="str">
        <f>TEXT(IF($B940 = "Retail Item", IF((ROW($A940) - 4504 - _xlfn.XMATCH($C940, $C$4506:$C$5005, 0, 1)) &lt;= VLOOKUP($C940, 'Instrument Table'!$B:$D, 3, FALSE), ROW($A940) - 4504 - _xlfn.XMATCH($C940, $C$4506:$C$5005, 0, 1), 0), 0), "00")</f>
        <v>00</v>
      </c>
      <c r="H940" s="1" t="str">
        <f t="shared" si="85"/>
        <v>184</v>
      </c>
      <c r="I940" s="1" t="str">
        <f t="shared" si="86"/>
        <v>11200-184</v>
      </c>
      <c r="J940" s="1" t="str">
        <f t="shared" si="87"/>
        <v>Electric keyboard production item #184</v>
      </c>
      <c r="K940" s="1" t="str">
        <f>IF(SUM(COUNTIFS(I:I, I940)) &gt; 1, "DUPLICATE", "UNIQUE")</f>
        <v>UNIQUE</v>
      </c>
      <c r="L940" s="18">
        <v>8</v>
      </c>
      <c r="M940" s="28">
        <v>85</v>
      </c>
      <c r="N940" s="6">
        <v>64</v>
      </c>
      <c r="O940" s="30">
        <f t="shared" si="88"/>
        <v>680</v>
      </c>
      <c r="P940" s="30">
        <f t="shared" si="89"/>
        <v>5440</v>
      </c>
      <c r="Q940" s="1">
        <f>COUNTIFS($P:$P, "&gt;" &amp; $P940) + 1</f>
        <v>2364</v>
      </c>
      <c r="R940" s="63">
        <f>(COUNTIFS($P:$P, "&gt;" &amp; $P940) + 1) / (COUNTA($I:$I) - 1)</f>
        <v>0.4728</v>
      </c>
      <c r="S940" s="23">
        <f>SUMIFS($P:$P, $Q:$Q, "&lt;" &amp; $Q940)</f>
        <v>182424297</v>
      </c>
    </row>
    <row r="941" spans="1:19" x14ac:dyDescent="0.25">
      <c r="A941" s="1">
        <v>936</v>
      </c>
      <c r="B941" s="1" t="s">
        <v>2</v>
      </c>
      <c r="C941" s="1" t="str">
        <f>IF($B941 = "Production Item", _xlfn.XLOOKUP($A941, 'Instrument Table'!$J:$J, 'Instrument Table'!$B:$B, $C940), IF($B941 = "Service Item", _xlfn.XLOOKUP($A941, 'Instrument Table'!$I:$I, 'Instrument Table'!$B:$B, $C940), _xlfn.XLOOKUP($A941, 'Instrument Table'!$H:$H, 'Instrument Table'!$B:$B, $C940)))</f>
        <v>Electric Keyboard</v>
      </c>
      <c r="D941" s="1" t="str">
        <f>VLOOKUP($C941, 'Instrument Table'!$B:$C, 2, FALSE)</f>
        <v>Pianos</v>
      </c>
      <c r="E941" s="1">
        <f t="shared" si="84"/>
        <v>1</v>
      </c>
      <c r="F941" s="1">
        <f>_xlfn.XLOOKUP($C941, 'Instrument Table'!$B:$B, 'Instrument Table'!$A:$A, "")</f>
        <v>12</v>
      </c>
      <c r="G941" s="1" t="str">
        <f>TEXT(IF($B941 = "Retail Item", IF((ROW($A941) - 4504 - _xlfn.XMATCH($C941, $C$4506:$C$5005, 0, 1)) &lt;= VLOOKUP($C941, 'Instrument Table'!$B:$D, 3, FALSE), ROW($A941) - 4504 - _xlfn.XMATCH($C941, $C$4506:$C$5005, 0, 1), 0), 0), "00")</f>
        <v>00</v>
      </c>
      <c r="H941" s="1" t="str">
        <f t="shared" si="85"/>
        <v>185</v>
      </c>
      <c r="I941" s="1" t="str">
        <f t="shared" si="86"/>
        <v>11200-185</v>
      </c>
      <c r="J941" s="1" t="str">
        <f t="shared" si="87"/>
        <v>Electric keyboard production item #185</v>
      </c>
      <c r="K941" s="1" t="str">
        <f>IF(SUM(COUNTIFS(I:I, I941)) &gt; 1, "DUPLICATE", "UNIQUE")</f>
        <v>UNIQUE</v>
      </c>
      <c r="L941" s="18">
        <v>32</v>
      </c>
      <c r="M941" s="28">
        <v>43</v>
      </c>
      <c r="N941" s="6">
        <v>9</v>
      </c>
      <c r="O941" s="30">
        <f t="shared" si="88"/>
        <v>1376</v>
      </c>
      <c r="P941" s="30">
        <f t="shared" si="89"/>
        <v>387</v>
      </c>
      <c r="Q941" s="1">
        <f>COUNTIFS($P:$P, "&gt;" &amp; $P941) + 1</f>
        <v>4117</v>
      </c>
      <c r="R941" s="63">
        <f>(COUNTIFS($P:$P, "&gt;" &amp; $P941) + 1) / (COUNTA($I:$I) - 1)</f>
        <v>0.82340000000000002</v>
      </c>
      <c r="S941" s="23">
        <f>SUMIFS($P:$P, $Q:$Q, "&lt;" &amp; $Q941)</f>
        <v>186451574</v>
      </c>
    </row>
    <row r="942" spans="1:19" x14ac:dyDescent="0.25">
      <c r="A942" s="1">
        <v>937</v>
      </c>
      <c r="B942" s="1" t="s">
        <v>2</v>
      </c>
      <c r="C942" s="1" t="str">
        <f>IF($B942 = "Production Item", _xlfn.XLOOKUP($A942, 'Instrument Table'!$J:$J, 'Instrument Table'!$B:$B, $C941), IF($B942 = "Service Item", _xlfn.XLOOKUP($A942, 'Instrument Table'!$I:$I, 'Instrument Table'!$B:$B, $C941), _xlfn.XLOOKUP($A942, 'Instrument Table'!$H:$H, 'Instrument Table'!$B:$B, $C941)))</f>
        <v>Electric Keyboard</v>
      </c>
      <c r="D942" s="1" t="str">
        <f>VLOOKUP($C942, 'Instrument Table'!$B:$C, 2, FALSE)</f>
        <v>Pianos</v>
      </c>
      <c r="E942" s="1">
        <f t="shared" si="84"/>
        <v>1</v>
      </c>
      <c r="F942" s="1">
        <f>_xlfn.XLOOKUP($C942, 'Instrument Table'!$B:$B, 'Instrument Table'!$A:$A, "")</f>
        <v>12</v>
      </c>
      <c r="G942" s="1" t="str">
        <f>TEXT(IF($B942 = "Retail Item", IF((ROW($A942) - 4504 - _xlfn.XMATCH($C942, $C$4506:$C$5005, 0, 1)) &lt;= VLOOKUP($C942, 'Instrument Table'!$B:$D, 3, FALSE), ROW($A942) - 4504 - _xlfn.XMATCH($C942, $C$4506:$C$5005, 0, 1), 0), 0), "00")</f>
        <v>00</v>
      </c>
      <c r="H942" s="1" t="str">
        <f t="shared" si="85"/>
        <v>186</v>
      </c>
      <c r="I942" s="1" t="str">
        <f t="shared" si="86"/>
        <v>11200-186</v>
      </c>
      <c r="J942" s="1" t="str">
        <f t="shared" si="87"/>
        <v>Electric keyboard production item #186</v>
      </c>
      <c r="K942" s="1" t="str">
        <f>IF(SUM(COUNTIFS(I:I, I942)) &gt; 1, "DUPLICATE", "UNIQUE")</f>
        <v>UNIQUE</v>
      </c>
      <c r="L942" s="18">
        <v>32</v>
      </c>
      <c r="M942" s="28">
        <v>53</v>
      </c>
      <c r="N942" s="6">
        <v>256</v>
      </c>
      <c r="O942" s="30">
        <f t="shared" si="88"/>
        <v>1696</v>
      </c>
      <c r="P942" s="30">
        <f t="shared" si="89"/>
        <v>13568</v>
      </c>
      <c r="Q942" s="1">
        <f>COUNTIFS($P:$P, "&gt;" &amp; $P942) + 1</f>
        <v>1454</v>
      </c>
      <c r="R942" s="63">
        <f>(COUNTIFS($P:$P, "&gt;" &amp; $P942) + 1) / (COUNTA($I:$I) - 1)</f>
        <v>0.2908</v>
      </c>
      <c r="S942" s="23">
        <f>SUMIFS($P:$P, $Q:$Q, "&lt;" &amp; $Q942)</f>
        <v>174227505</v>
      </c>
    </row>
    <row r="943" spans="1:19" x14ac:dyDescent="0.25">
      <c r="A943" s="1">
        <v>938</v>
      </c>
      <c r="B943" s="1" t="s">
        <v>2</v>
      </c>
      <c r="C943" s="1" t="str">
        <f>IF($B943 = "Production Item", _xlfn.XLOOKUP($A943, 'Instrument Table'!$J:$J, 'Instrument Table'!$B:$B, $C942), IF($B943 = "Service Item", _xlfn.XLOOKUP($A943, 'Instrument Table'!$I:$I, 'Instrument Table'!$B:$B, $C942), _xlfn.XLOOKUP($A943, 'Instrument Table'!$H:$H, 'Instrument Table'!$B:$B, $C942)))</f>
        <v>Electric Keyboard</v>
      </c>
      <c r="D943" s="1" t="str">
        <f>VLOOKUP($C943, 'Instrument Table'!$B:$C, 2, FALSE)</f>
        <v>Pianos</v>
      </c>
      <c r="E943" s="1">
        <f t="shared" si="84"/>
        <v>1</v>
      </c>
      <c r="F943" s="1">
        <f>_xlfn.XLOOKUP($C943, 'Instrument Table'!$B:$B, 'Instrument Table'!$A:$A, "")</f>
        <v>12</v>
      </c>
      <c r="G943" s="1" t="str">
        <f>TEXT(IF($B943 = "Retail Item", IF((ROW($A943) - 4504 - _xlfn.XMATCH($C943, $C$4506:$C$5005, 0, 1)) &lt;= VLOOKUP($C943, 'Instrument Table'!$B:$D, 3, FALSE), ROW($A943) - 4504 - _xlfn.XMATCH($C943, $C$4506:$C$5005, 0, 1), 0), 0), "00")</f>
        <v>00</v>
      </c>
      <c r="H943" s="1" t="str">
        <f t="shared" si="85"/>
        <v>187</v>
      </c>
      <c r="I943" s="1" t="str">
        <f t="shared" si="86"/>
        <v>11200-187</v>
      </c>
      <c r="J943" s="1" t="str">
        <f t="shared" si="87"/>
        <v>Electric keyboard production item #187</v>
      </c>
      <c r="K943" s="1" t="str">
        <f>IF(SUM(COUNTIFS(I:I, I943)) &gt; 1, "DUPLICATE", "UNIQUE")</f>
        <v>UNIQUE</v>
      </c>
      <c r="L943" s="18">
        <v>16</v>
      </c>
      <c r="M943" s="28">
        <v>22</v>
      </c>
      <c r="N943" s="6">
        <v>144</v>
      </c>
      <c r="O943" s="30">
        <f t="shared" si="88"/>
        <v>352</v>
      </c>
      <c r="P943" s="30">
        <f t="shared" si="89"/>
        <v>3168</v>
      </c>
      <c r="Q943" s="1">
        <f>COUNTIFS($P:$P, "&gt;" &amp; $P943) + 1</f>
        <v>2867</v>
      </c>
      <c r="R943" s="63">
        <f>(COUNTIFS($P:$P, "&gt;" &amp; $P943) + 1) / (COUNTA($I:$I) - 1)</f>
        <v>0.57340000000000002</v>
      </c>
      <c r="S943" s="23">
        <f>SUMIFS($P:$P, $Q:$Q, "&lt;" &amp; $Q943)</f>
        <v>184546148</v>
      </c>
    </row>
    <row r="944" spans="1:19" x14ac:dyDescent="0.25">
      <c r="A944" s="1">
        <v>939</v>
      </c>
      <c r="B944" s="1" t="s">
        <v>2</v>
      </c>
      <c r="C944" s="1" t="str">
        <f>IF($B944 = "Production Item", _xlfn.XLOOKUP($A944, 'Instrument Table'!$J:$J, 'Instrument Table'!$B:$B, $C943), IF($B944 = "Service Item", _xlfn.XLOOKUP($A944, 'Instrument Table'!$I:$I, 'Instrument Table'!$B:$B, $C943), _xlfn.XLOOKUP($A944, 'Instrument Table'!$H:$H, 'Instrument Table'!$B:$B, $C943)))</f>
        <v>Electric Keyboard</v>
      </c>
      <c r="D944" s="1" t="str">
        <f>VLOOKUP($C944, 'Instrument Table'!$B:$C, 2, FALSE)</f>
        <v>Pianos</v>
      </c>
      <c r="E944" s="1">
        <f t="shared" si="84"/>
        <v>1</v>
      </c>
      <c r="F944" s="1">
        <f>_xlfn.XLOOKUP($C944, 'Instrument Table'!$B:$B, 'Instrument Table'!$A:$A, "")</f>
        <v>12</v>
      </c>
      <c r="G944" s="1" t="str">
        <f>TEXT(IF($B944 = "Retail Item", IF((ROW($A944) - 4504 - _xlfn.XMATCH($C944, $C$4506:$C$5005, 0, 1)) &lt;= VLOOKUP($C944, 'Instrument Table'!$B:$D, 3, FALSE), ROW($A944) - 4504 - _xlfn.XMATCH($C944, $C$4506:$C$5005, 0, 1), 0), 0), "00")</f>
        <v>00</v>
      </c>
      <c r="H944" s="1" t="str">
        <f t="shared" si="85"/>
        <v>188</v>
      </c>
      <c r="I944" s="1" t="str">
        <f t="shared" si="86"/>
        <v>11200-188</v>
      </c>
      <c r="J944" s="1" t="str">
        <f t="shared" si="87"/>
        <v>Electric keyboard production item #188</v>
      </c>
      <c r="K944" s="1" t="str">
        <f>IF(SUM(COUNTIFS(I:I, I944)) &gt; 1, "DUPLICATE", "UNIQUE")</f>
        <v>UNIQUE</v>
      </c>
      <c r="L944" s="18">
        <v>16</v>
      </c>
      <c r="M944" s="28">
        <v>97</v>
      </c>
      <c r="N944" s="6">
        <v>25</v>
      </c>
      <c r="O944" s="30">
        <f t="shared" si="88"/>
        <v>1552</v>
      </c>
      <c r="P944" s="30">
        <f t="shared" si="89"/>
        <v>2425</v>
      </c>
      <c r="Q944" s="1">
        <f>COUNTIFS($P:$P, "&gt;" &amp; $P944) + 1</f>
        <v>3076</v>
      </c>
      <c r="R944" s="63">
        <f>(COUNTIFS($P:$P, "&gt;" &amp; $P944) + 1) / (COUNTA($I:$I) - 1)</f>
        <v>0.61519999999999997</v>
      </c>
      <c r="S944" s="23">
        <f>SUMIFS($P:$P, $Q:$Q, "&lt;" &amp; $Q944)</f>
        <v>185124825</v>
      </c>
    </row>
    <row r="945" spans="1:19" x14ac:dyDescent="0.25">
      <c r="A945" s="1">
        <v>940</v>
      </c>
      <c r="B945" s="1" t="s">
        <v>2</v>
      </c>
      <c r="C945" s="1" t="str">
        <f>IF($B945 = "Production Item", _xlfn.XLOOKUP($A945, 'Instrument Table'!$J:$J, 'Instrument Table'!$B:$B, $C944), IF($B945 = "Service Item", _xlfn.XLOOKUP($A945, 'Instrument Table'!$I:$I, 'Instrument Table'!$B:$B, $C944), _xlfn.XLOOKUP($A945, 'Instrument Table'!$H:$H, 'Instrument Table'!$B:$B, $C944)))</f>
        <v>Electric Keyboard</v>
      </c>
      <c r="D945" s="1" t="str">
        <f>VLOOKUP($C945, 'Instrument Table'!$B:$C, 2, FALSE)</f>
        <v>Pianos</v>
      </c>
      <c r="E945" s="1">
        <f t="shared" si="84"/>
        <v>1</v>
      </c>
      <c r="F945" s="1">
        <f>_xlfn.XLOOKUP($C945, 'Instrument Table'!$B:$B, 'Instrument Table'!$A:$A, "")</f>
        <v>12</v>
      </c>
      <c r="G945" s="1" t="str">
        <f>TEXT(IF($B945 = "Retail Item", IF((ROW($A945) - 4504 - _xlfn.XMATCH($C945, $C$4506:$C$5005, 0, 1)) &lt;= VLOOKUP($C945, 'Instrument Table'!$B:$D, 3, FALSE), ROW($A945) - 4504 - _xlfn.XMATCH($C945, $C$4506:$C$5005, 0, 1), 0), 0), "00")</f>
        <v>00</v>
      </c>
      <c r="H945" s="1" t="str">
        <f t="shared" si="85"/>
        <v>189</v>
      </c>
      <c r="I945" s="1" t="str">
        <f t="shared" si="86"/>
        <v>11200-189</v>
      </c>
      <c r="J945" s="1" t="str">
        <f t="shared" si="87"/>
        <v>Electric keyboard production item #189</v>
      </c>
      <c r="K945" s="1" t="str">
        <f>IF(SUM(COUNTIFS(I:I, I945)) &gt; 1, "DUPLICATE", "UNIQUE")</f>
        <v>UNIQUE</v>
      </c>
      <c r="L945" s="18">
        <v>0</v>
      </c>
      <c r="M945" s="28">
        <v>62</v>
      </c>
      <c r="N945" s="6">
        <v>100</v>
      </c>
      <c r="O945" s="30">
        <f t="shared" si="88"/>
        <v>0</v>
      </c>
      <c r="P945" s="30">
        <f t="shared" si="89"/>
        <v>6200</v>
      </c>
      <c r="Q945" s="1">
        <f>COUNTIFS($P:$P, "&gt;" &amp; $P945) + 1</f>
        <v>2235</v>
      </c>
      <c r="R945" s="63">
        <f>(COUNTIFS($P:$P, "&gt;" &amp; $P945) + 1) / (COUNTA($I:$I) - 1)</f>
        <v>0.44700000000000001</v>
      </c>
      <c r="S945" s="23">
        <f>SUMIFS($P:$P, $Q:$Q, "&lt;" &amp; $Q945)</f>
        <v>181675316</v>
      </c>
    </row>
    <row r="946" spans="1:19" x14ac:dyDescent="0.25">
      <c r="A946" s="1">
        <v>941</v>
      </c>
      <c r="B946" s="1" t="s">
        <v>2</v>
      </c>
      <c r="C946" s="1" t="str">
        <f>IF($B946 = "Production Item", _xlfn.XLOOKUP($A946, 'Instrument Table'!$J:$J, 'Instrument Table'!$B:$B, $C945), IF($B946 = "Service Item", _xlfn.XLOOKUP($A946, 'Instrument Table'!$I:$I, 'Instrument Table'!$B:$B, $C945), _xlfn.XLOOKUP($A946, 'Instrument Table'!$H:$H, 'Instrument Table'!$B:$B, $C945)))</f>
        <v>Electric Keyboard</v>
      </c>
      <c r="D946" s="1" t="str">
        <f>VLOOKUP($C946, 'Instrument Table'!$B:$C, 2, FALSE)</f>
        <v>Pianos</v>
      </c>
      <c r="E946" s="1">
        <f t="shared" si="84"/>
        <v>1</v>
      </c>
      <c r="F946" s="1">
        <f>_xlfn.XLOOKUP($C946, 'Instrument Table'!$B:$B, 'Instrument Table'!$A:$A, "")</f>
        <v>12</v>
      </c>
      <c r="G946" s="1" t="str">
        <f>TEXT(IF($B946 = "Retail Item", IF((ROW($A946) - 4504 - _xlfn.XMATCH($C946, $C$4506:$C$5005, 0, 1)) &lt;= VLOOKUP($C946, 'Instrument Table'!$B:$D, 3, FALSE), ROW($A946) - 4504 - _xlfn.XMATCH($C946, $C$4506:$C$5005, 0, 1), 0), 0), "00")</f>
        <v>00</v>
      </c>
      <c r="H946" s="1" t="str">
        <f t="shared" si="85"/>
        <v>190</v>
      </c>
      <c r="I946" s="1" t="str">
        <f t="shared" si="86"/>
        <v>11200-190</v>
      </c>
      <c r="J946" s="1" t="str">
        <f t="shared" si="87"/>
        <v>Electric keyboard production item #190</v>
      </c>
      <c r="K946" s="1" t="str">
        <f>IF(SUM(COUNTIFS(I:I, I946)) &gt; 1, "DUPLICATE", "UNIQUE")</f>
        <v>UNIQUE</v>
      </c>
      <c r="L946" s="18">
        <v>1</v>
      </c>
      <c r="M946" s="28">
        <v>79</v>
      </c>
      <c r="N946" s="6">
        <v>256</v>
      </c>
      <c r="O946" s="30">
        <f t="shared" si="88"/>
        <v>79</v>
      </c>
      <c r="P946" s="30">
        <f t="shared" si="89"/>
        <v>20224</v>
      </c>
      <c r="Q946" s="1">
        <f>COUNTIFS($P:$P, "&gt;" &amp; $P946) + 1</f>
        <v>1048</v>
      </c>
      <c r="R946" s="63">
        <f>(COUNTIFS($P:$P, "&gt;" &amp; $P946) + 1) / (COUNTA($I:$I) - 1)</f>
        <v>0.20960000000000001</v>
      </c>
      <c r="S946" s="23">
        <f>SUMIFS($P:$P, $Q:$Q, "&lt;" &amp; $Q946)</f>
        <v>167481956</v>
      </c>
    </row>
    <row r="947" spans="1:19" x14ac:dyDescent="0.25">
      <c r="A947" s="1">
        <v>942</v>
      </c>
      <c r="B947" s="1" t="s">
        <v>2</v>
      </c>
      <c r="C947" s="1" t="str">
        <f>IF($B947 = "Production Item", _xlfn.XLOOKUP($A947, 'Instrument Table'!$J:$J, 'Instrument Table'!$B:$B, $C946), IF($B947 = "Service Item", _xlfn.XLOOKUP($A947, 'Instrument Table'!$I:$I, 'Instrument Table'!$B:$B, $C946), _xlfn.XLOOKUP($A947, 'Instrument Table'!$H:$H, 'Instrument Table'!$B:$B, $C946)))</f>
        <v>Electric Keyboard</v>
      </c>
      <c r="D947" s="1" t="str">
        <f>VLOOKUP($C947, 'Instrument Table'!$B:$C, 2, FALSE)</f>
        <v>Pianos</v>
      </c>
      <c r="E947" s="1">
        <f t="shared" si="84"/>
        <v>1</v>
      </c>
      <c r="F947" s="1">
        <f>_xlfn.XLOOKUP($C947, 'Instrument Table'!$B:$B, 'Instrument Table'!$A:$A, "")</f>
        <v>12</v>
      </c>
      <c r="G947" s="1" t="str">
        <f>TEXT(IF($B947 = "Retail Item", IF((ROW($A947) - 4504 - _xlfn.XMATCH($C947, $C$4506:$C$5005, 0, 1)) &lt;= VLOOKUP($C947, 'Instrument Table'!$B:$D, 3, FALSE), ROW($A947) - 4504 - _xlfn.XMATCH($C947, $C$4506:$C$5005, 0, 1), 0), 0), "00")</f>
        <v>00</v>
      </c>
      <c r="H947" s="1" t="str">
        <f t="shared" si="85"/>
        <v>191</v>
      </c>
      <c r="I947" s="1" t="str">
        <f t="shared" si="86"/>
        <v>11200-191</v>
      </c>
      <c r="J947" s="1" t="str">
        <f t="shared" si="87"/>
        <v>Electric keyboard production item #191</v>
      </c>
      <c r="K947" s="1" t="str">
        <f>IF(SUM(COUNTIFS(I:I, I947)) &gt; 1, "DUPLICATE", "UNIQUE")</f>
        <v>UNIQUE</v>
      </c>
      <c r="L947" s="18">
        <v>16</v>
      </c>
      <c r="M947" s="28">
        <v>16</v>
      </c>
      <c r="N947" s="6">
        <v>324</v>
      </c>
      <c r="O947" s="30">
        <f t="shared" si="88"/>
        <v>256</v>
      </c>
      <c r="P947" s="30">
        <f t="shared" si="89"/>
        <v>5184</v>
      </c>
      <c r="Q947" s="1">
        <f>COUNTIFS($P:$P, "&gt;" &amp; $P947) + 1</f>
        <v>2412</v>
      </c>
      <c r="R947" s="63">
        <f>(COUNTIFS($P:$P, "&gt;" &amp; $P947) + 1) / (COUNTA($I:$I) - 1)</f>
        <v>0.4824</v>
      </c>
      <c r="S947" s="23">
        <f>SUMIFS($P:$P, $Q:$Q, "&lt;" &amp; $Q947)</f>
        <v>182678928</v>
      </c>
    </row>
    <row r="948" spans="1:19" x14ac:dyDescent="0.25">
      <c r="A948" s="1">
        <v>943</v>
      </c>
      <c r="B948" s="1" t="s">
        <v>2</v>
      </c>
      <c r="C948" s="1" t="str">
        <f>IF($B948 = "Production Item", _xlfn.XLOOKUP($A948, 'Instrument Table'!$J:$J, 'Instrument Table'!$B:$B, $C947), IF($B948 = "Service Item", _xlfn.XLOOKUP($A948, 'Instrument Table'!$I:$I, 'Instrument Table'!$B:$B, $C947), _xlfn.XLOOKUP($A948, 'Instrument Table'!$H:$H, 'Instrument Table'!$B:$B, $C947)))</f>
        <v>Electric Keyboard</v>
      </c>
      <c r="D948" s="1" t="str">
        <f>VLOOKUP($C948, 'Instrument Table'!$B:$C, 2, FALSE)</f>
        <v>Pianos</v>
      </c>
      <c r="E948" s="1">
        <f t="shared" si="84"/>
        <v>1</v>
      </c>
      <c r="F948" s="1">
        <f>_xlfn.XLOOKUP($C948, 'Instrument Table'!$B:$B, 'Instrument Table'!$A:$A, "")</f>
        <v>12</v>
      </c>
      <c r="G948" s="1" t="str">
        <f>TEXT(IF($B948 = "Retail Item", IF((ROW($A948) - 4504 - _xlfn.XMATCH($C948, $C$4506:$C$5005, 0, 1)) &lt;= VLOOKUP($C948, 'Instrument Table'!$B:$D, 3, FALSE), ROW($A948) - 4504 - _xlfn.XMATCH($C948, $C$4506:$C$5005, 0, 1), 0), 0), "00")</f>
        <v>00</v>
      </c>
      <c r="H948" s="1" t="str">
        <f t="shared" si="85"/>
        <v>192</v>
      </c>
      <c r="I948" s="1" t="str">
        <f t="shared" si="86"/>
        <v>11200-192</v>
      </c>
      <c r="J948" s="1" t="str">
        <f t="shared" si="87"/>
        <v>Electric keyboard production item #192</v>
      </c>
      <c r="K948" s="1" t="str">
        <f>IF(SUM(COUNTIFS(I:I, I948)) &gt; 1, "DUPLICATE", "UNIQUE")</f>
        <v>UNIQUE</v>
      </c>
      <c r="L948" s="18">
        <v>16</v>
      </c>
      <c r="M948" s="28">
        <v>94</v>
      </c>
      <c r="N948" s="6">
        <v>400</v>
      </c>
      <c r="O948" s="30">
        <f t="shared" si="88"/>
        <v>1504</v>
      </c>
      <c r="P948" s="30">
        <f t="shared" si="89"/>
        <v>37600</v>
      </c>
      <c r="Q948" s="1">
        <f>COUNTIFS($P:$P, "&gt;" &amp; $P948) + 1</f>
        <v>576</v>
      </c>
      <c r="R948" s="63">
        <f>(COUNTIFS($P:$P, "&gt;" &amp; $P948) + 1) / (COUNTA($I:$I) - 1)</f>
        <v>0.1152</v>
      </c>
      <c r="S948" s="23">
        <f>SUMIFS($P:$P, $Q:$Q, "&lt;" &amp; $Q948)</f>
        <v>154996325</v>
      </c>
    </row>
    <row r="949" spans="1:19" x14ac:dyDescent="0.25">
      <c r="A949" s="1">
        <v>944</v>
      </c>
      <c r="B949" s="1" t="s">
        <v>2</v>
      </c>
      <c r="C949" s="1" t="str">
        <f>IF($B949 = "Production Item", _xlfn.XLOOKUP($A949, 'Instrument Table'!$J:$J, 'Instrument Table'!$B:$B, $C948), IF($B949 = "Service Item", _xlfn.XLOOKUP($A949, 'Instrument Table'!$I:$I, 'Instrument Table'!$B:$B, $C948), _xlfn.XLOOKUP($A949, 'Instrument Table'!$H:$H, 'Instrument Table'!$B:$B, $C948)))</f>
        <v>Electric Keyboard</v>
      </c>
      <c r="D949" s="1" t="str">
        <f>VLOOKUP($C949, 'Instrument Table'!$B:$C, 2, FALSE)</f>
        <v>Pianos</v>
      </c>
      <c r="E949" s="1">
        <f t="shared" si="84"/>
        <v>1</v>
      </c>
      <c r="F949" s="1">
        <f>_xlfn.XLOOKUP($C949, 'Instrument Table'!$B:$B, 'Instrument Table'!$A:$A, "")</f>
        <v>12</v>
      </c>
      <c r="G949" s="1" t="str">
        <f>TEXT(IF($B949 = "Retail Item", IF((ROW($A949) - 4504 - _xlfn.XMATCH($C949, $C$4506:$C$5005, 0, 1)) &lt;= VLOOKUP($C949, 'Instrument Table'!$B:$D, 3, FALSE), ROW($A949) - 4504 - _xlfn.XMATCH($C949, $C$4506:$C$5005, 0, 1), 0), 0), "00")</f>
        <v>00</v>
      </c>
      <c r="H949" s="1" t="str">
        <f t="shared" si="85"/>
        <v>193</v>
      </c>
      <c r="I949" s="1" t="str">
        <f t="shared" si="86"/>
        <v>11200-193</v>
      </c>
      <c r="J949" s="1" t="str">
        <f t="shared" si="87"/>
        <v>Electric keyboard production item #193</v>
      </c>
      <c r="K949" s="1" t="str">
        <f>IF(SUM(COUNTIFS(I:I, I949)) &gt; 1, "DUPLICATE", "UNIQUE")</f>
        <v>UNIQUE</v>
      </c>
      <c r="L949" s="18">
        <v>0</v>
      </c>
      <c r="M949" s="28">
        <v>30</v>
      </c>
      <c r="N949" s="6">
        <v>16</v>
      </c>
      <c r="O949" s="30">
        <f t="shared" si="88"/>
        <v>0</v>
      </c>
      <c r="P949" s="30">
        <f t="shared" si="89"/>
        <v>480</v>
      </c>
      <c r="Q949" s="1">
        <f>COUNTIFS($P:$P, "&gt;" &amp; $P949) + 1</f>
        <v>4045</v>
      </c>
      <c r="R949" s="63">
        <f>(COUNTIFS($P:$P, "&gt;" &amp; $P949) + 1) / (COUNTA($I:$I) - 1)</f>
        <v>0.80900000000000005</v>
      </c>
      <c r="S949" s="23">
        <f>SUMIFS($P:$P, $Q:$Q, "&lt;" &amp; $Q949)</f>
        <v>186421006</v>
      </c>
    </row>
    <row r="950" spans="1:19" x14ac:dyDescent="0.25">
      <c r="A950" s="1">
        <v>945</v>
      </c>
      <c r="B950" s="1" t="s">
        <v>2</v>
      </c>
      <c r="C950" s="1" t="str">
        <f>IF($B950 = "Production Item", _xlfn.XLOOKUP($A950, 'Instrument Table'!$J:$J, 'Instrument Table'!$B:$B, $C949), IF($B950 = "Service Item", _xlfn.XLOOKUP($A950, 'Instrument Table'!$I:$I, 'Instrument Table'!$B:$B, $C949), _xlfn.XLOOKUP($A950, 'Instrument Table'!$H:$H, 'Instrument Table'!$B:$B, $C949)))</f>
        <v>Electric Keyboard</v>
      </c>
      <c r="D950" s="1" t="str">
        <f>VLOOKUP($C950, 'Instrument Table'!$B:$C, 2, FALSE)</f>
        <v>Pianos</v>
      </c>
      <c r="E950" s="1">
        <f t="shared" si="84"/>
        <v>1</v>
      </c>
      <c r="F950" s="1">
        <f>_xlfn.XLOOKUP($C950, 'Instrument Table'!$B:$B, 'Instrument Table'!$A:$A, "")</f>
        <v>12</v>
      </c>
      <c r="G950" s="1" t="str">
        <f>TEXT(IF($B950 = "Retail Item", IF((ROW($A950) - 4504 - _xlfn.XMATCH($C950, $C$4506:$C$5005, 0, 1)) &lt;= VLOOKUP($C950, 'Instrument Table'!$B:$D, 3, FALSE), ROW($A950) - 4504 - _xlfn.XMATCH($C950, $C$4506:$C$5005, 0, 1), 0), 0), "00")</f>
        <v>00</v>
      </c>
      <c r="H950" s="1" t="str">
        <f t="shared" si="85"/>
        <v>194</v>
      </c>
      <c r="I950" s="1" t="str">
        <f t="shared" si="86"/>
        <v>11200-194</v>
      </c>
      <c r="J950" s="1" t="str">
        <f t="shared" si="87"/>
        <v>Electric keyboard production item #194</v>
      </c>
      <c r="K950" s="1" t="str">
        <f>IF(SUM(COUNTIFS(I:I, I950)) &gt; 1, "DUPLICATE", "UNIQUE")</f>
        <v>UNIQUE</v>
      </c>
      <c r="L950" s="18">
        <v>2</v>
      </c>
      <c r="M950" s="28">
        <v>48</v>
      </c>
      <c r="N950" s="6">
        <v>169</v>
      </c>
      <c r="O950" s="30">
        <f t="shared" si="88"/>
        <v>96</v>
      </c>
      <c r="P950" s="30">
        <f t="shared" si="89"/>
        <v>8112</v>
      </c>
      <c r="Q950" s="1">
        <f>COUNTIFS($P:$P, "&gt;" &amp; $P950) + 1</f>
        <v>1968</v>
      </c>
      <c r="R950" s="63">
        <f>(COUNTIFS($P:$P, "&gt;" &amp; $P950) + 1) / (COUNTA($I:$I) - 1)</f>
        <v>0.39360000000000001</v>
      </c>
      <c r="S950" s="23">
        <f>SUMIFS($P:$P, $Q:$Q, "&lt;" &amp; $Q950)</f>
        <v>179739445</v>
      </c>
    </row>
    <row r="951" spans="1:19" x14ac:dyDescent="0.25">
      <c r="A951" s="1">
        <v>946</v>
      </c>
      <c r="B951" s="1" t="s">
        <v>2</v>
      </c>
      <c r="C951" s="1" t="str">
        <f>IF($B951 = "Production Item", _xlfn.XLOOKUP($A951, 'Instrument Table'!$J:$J, 'Instrument Table'!$B:$B, $C950), IF($B951 = "Service Item", _xlfn.XLOOKUP($A951, 'Instrument Table'!$I:$I, 'Instrument Table'!$B:$B, $C950), _xlfn.XLOOKUP($A951, 'Instrument Table'!$H:$H, 'Instrument Table'!$B:$B, $C950)))</f>
        <v>Electric Keyboard</v>
      </c>
      <c r="D951" s="1" t="str">
        <f>VLOOKUP($C951, 'Instrument Table'!$B:$C, 2, FALSE)</f>
        <v>Pianos</v>
      </c>
      <c r="E951" s="1">
        <f t="shared" si="84"/>
        <v>1</v>
      </c>
      <c r="F951" s="1">
        <f>_xlfn.XLOOKUP($C951, 'Instrument Table'!$B:$B, 'Instrument Table'!$A:$A, "")</f>
        <v>12</v>
      </c>
      <c r="G951" s="1" t="str">
        <f>TEXT(IF($B951 = "Retail Item", IF((ROW($A951) - 4504 - _xlfn.XMATCH($C951, $C$4506:$C$5005, 0, 1)) &lt;= VLOOKUP($C951, 'Instrument Table'!$B:$D, 3, FALSE), ROW($A951) - 4504 - _xlfn.XMATCH($C951, $C$4506:$C$5005, 0, 1), 0), 0), "00")</f>
        <v>00</v>
      </c>
      <c r="H951" s="1" t="str">
        <f t="shared" si="85"/>
        <v>195</v>
      </c>
      <c r="I951" s="1" t="str">
        <f t="shared" si="86"/>
        <v>11200-195</v>
      </c>
      <c r="J951" s="1" t="str">
        <f t="shared" si="87"/>
        <v>Electric keyboard production item #195</v>
      </c>
      <c r="K951" s="1" t="str">
        <f>IF(SUM(COUNTIFS(I:I, I951)) &gt; 1, "DUPLICATE", "UNIQUE")</f>
        <v>UNIQUE</v>
      </c>
      <c r="L951" s="18">
        <v>0</v>
      </c>
      <c r="M951" s="28">
        <v>99</v>
      </c>
      <c r="N951" s="6">
        <v>100</v>
      </c>
      <c r="O951" s="30">
        <f t="shared" si="88"/>
        <v>0</v>
      </c>
      <c r="P951" s="30">
        <f t="shared" si="89"/>
        <v>9900</v>
      </c>
      <c r="Q951" s="1">
        <f>COUNTIFS($P:$P, "&gt;" &amp; $P951) + 1</f>
        <v>1779</v>
      </c>
      <c r="R951" s="63">
        <f>(COUNTIFS($P:$P, "&gt;" &amp; $P951) + 1) / (COUNTA($I:$I) - 1)</f>
        <v>0.35580000000000001</v>
      </c>
      <c r="S951" s="23">
        <f>SUMIFS($P:$P, $Q:$Q, "&lt;" &amp; $Q951)</f>
        <v>178035601</v>
      </c>
    </row>
    <row r="952" spans="1:19" x14ac:dyDescent="0.25">
      <c r="A952" s="1">
        <v>947</v>
      </c>
      <c r="B952" s="1" t="s">
        <v>2</v>
      </c>
      <c r="C952" s="1" t="str">
        <f>IF($B952 = "Production Item", _xlfn.XLOOKUP($A952, 'Instrument Table'!$J:$J, 'Instrument Table'!$B:$B, $C951), IF($B952 = "Service Item", _xlfn.XLOOKUP($A952, 'Instrument Table'!$I:$I, 'Instrument Table'!$B:$B, $C951), _xlfn.XLOOKUP($A952, 'Instrument Table'!$H:$H, 'Instrument Table'!$B:$B, $C951)))</f>
        <v>Electric Keyboard</v>
      </c>
      <c r="D952" s="1" t="str">
        <f>VLOOKUP($C952, 'Instrument Table'!$B:$C, 2, FALSE)</f>
        <v>Pianos</v>
      </c>
      <c r="E952" s="1">
        <f t="shared" si="84"/>
        <v>1</v>
      </c>
      <c r="F952" s="1">
        <f>_xlfn.XLOOKUP($C952, 'Instrument Table'!$B:$B, 'Instrument Table'!$A:$A, "")</f>
        <v>12</v>
      </c>
      <c r="G952" s="1" t="str">
        <f>TEXT(IF($B952 = "Retail Item", IF((ROW($A952) - 4504 - _xlfn.XMATCH($C952, $C$4506:$C$5005, 0, 1)) &lt;= VLOOKUP($C952, 'Instrument Table'!$B:$D, 3, FALSE), ROW($A952) - 4504 - _xlfn.XMATCH($C952, $C$4506:$C$5005, 0, 1), 0), 0), "00")</f>
        <v>00</v>
      </c>
      <c r="H952" s="1" t="str">
        <f t="shared" si="85"/>
        <v>196</v>
      </c>
      <c r="I952" s="1" t="str">
        <f t="shared" si="86"/>
        <v>11200-196</v>
      </c>
      <c r="J952" s="1" t="str">
        <f t="shared" si="87"/>
        <v>Electric keyboard production item #196</v>
      </c>
      <c r="K952" s="1" t="str">
        <f>IF(SUM(COUNTIFS(I:I, I952)) &gt; 1, "DUPLICATE", "UNIQUE")</f>
        <v>UNIQUE</v>
      </c>
      <c r="L952" s="18">
        <v>32</v>
      </c>
      <c r="M952" s="28">
        <v>82</v>
      </c>
      <c r="N952" s="6">
        <v>0</v>
      </c>
      <c r="O952" s="30">
        <f t="shared" si="88"/>
        <v>2624</v>
      </c>
      <c r="P952" s="30">
        <f t="shared" si="89"/>
        <v>0</v>
      </c>
      <c r="Q952" s="1">
        <f>COUNTIFS($P:$P, "&gt;" &amp; $P952) + 1</f>
        <v>4746</v>
      </c>
      <c r="R952" s="63">
        <f>(COUNTIFS($P:$P, "&gt;" &amp; $P952) + 1) / (COUNTA($I:$I) - 1)</f>
        <v>0.94920000000000004</v>
      </c>
      <c r="S952" s="23">
        <f>SUMIFS($P:$P, $Q:$Q, "&lt;" &amp; $Q952)</f>
        <v>186547861</v>
      </c>
    </row>
    <row r="953" spans="1:19" x14ac:dyDescent="0.25">
      <c r="A953" s="1">
        <v>948</v>
      </c>
      <c r="B953" s="1" t="s">
        <v>2</v>
      </c>
      <c r="C953" s="1" t="str">
        <f>IF($B953 = "Production Item", _xlfn.XLOOKUP($A953, 'Instrument Table'!$J:$J, 'Instrument Table'!$B:$B, $C952), IF($B953 = "Service Item", _xlfn.XLOOKUP($A953, 'Instrument Table'!$I:$I, 'Instrument Table'!$B:$B, $C952), _xlfn.XLOOKUP($A953, 'Instrument Table'!$H:$H, 'Instrument Table'!$B:$B, $C952)))</f>
        <v>Electric Keyboard</v>
      </c>
      <c r="D953" s="1" t="str">
        <f>VLOOKUP($C953, 'Instrument Table'!$B:$C, 2, FALSE)</f>
        <v>Pianos</v>
      </c>
      <c r="E953" s="1">
        <f t="shared" si="84"/>
        <v>1</v>
      </c>
      <c r="F953" s="1">
        <f>_xlfn.XLOOKUP($C953, 'Instrument Table'!$B:$B, 'Instrument Table'!$A:$A, "")</f>
        <v>12</v>
      </c>
      <c r="G953" s="1" t="str">
        <f>TEXT(IF($B953 = "Retail Item", IF((ROW($A953) - 4504 - _xlfn.XMATCH($C953, $C$4506:$C$5005, 0, 1)) &lt;= VLOOKUP($C953, 'Instrument Table'!$B:$D, 3, FALSE), ROW($A953) - 4504 - _xlfn.XMATCH($C953, $C$4506:$C$5005, 0, 1), 0), 0), "00")</f>
        <v>00</v>
      </c>
      <c r="H953" s="1" t="str">
        <f t="shared" si="85"/>
        <v>197</v>
      </c>
      <c r="I953" s="1" t="str">
        <f t="shared" si="86"/>
        <v>11200-197</v>
      </c>
      <c r="J953" s="1" t="str">
        <f t="shared" si="87"/>
        <v>Electric keyboard production item #197</v>
      </c>
      <c r="K953" s="1" t="str">
        <f>IF(SUM(COUNTIFS(I:I, I953)) &gt; 1, "DUPLICATE", "UNIQUE")</f>
        <v>UNIQUE</v>
      </c>
      <c r="L953" s="18">
        <v>0</v>
      </c>
      <c r="M953" s="28">
        <v>12</v>
      </c>
      <c r="N953" s="6">
        <v>25</v>
      </c>
      <c r="O953" s="30">
        <f t="shared" si="88"/>
        <v>0</v>
      </c>
      <c r="P953" s="30">
        <f t="shared" si="89"/>
        <v>300</v>
      </c>
      <c r="Q953" s="1">
        <f>COUNTIFS($P:$P, "&gt;" &amp; $P953) + 1</f>
        <v>4215</v>
      </c>
      <c r="R953" s="63">
        <f>(COUNTIFS($P:$P, "&gt;" &amp; $P953) + 1) / (COUNTA($I:$I) - 1)</f>
        <v>0.84299999999999997</v>
      </c>
      <c r="S953" s="23">
        <f>SUMIFS($P:$P, $Q:$Q, "&lt;" &amp; $Q953)</f>
        <v>186485027</v>
      </c>
    </row>
    <row r="954" spans="1:19" x14ac:dyDescent="0.25">
      <c r="A954" s="1">
        <v>949</v>
      </c>
      <c r="B954" s="1" t="s">
        <v>2</v>
      </c>
      <c r="C954" s="1" t="str">
        <f>IF($B954 = "Production Item", _xlfn.XLOOKUP($A954, 'Instrument Table'!$J:$J, 'Instrument Table'!$B:$B, $C953), IF($B954 = "Service Item", _xlfn.XLOOKUP($A954, 'Instrument Table'!$I:$I, 'Instrument Table'!$B:$B, $C953), _xlfn.XLOOKUP($A954, 'Instrument Table'!$H:$H, 'Instrument Table'!$B:$B, $C953)))</f>
        <v>Electric Keyboard</v>
      </c>
      <c r="D954" s="1" t="str">
        <f>VLOOKUP($C954, 'Instrument Table'!$B:$C, 2, FALSE)</f>
        <v>Pianos</v>
      </c>
      <c r="E954" s="1">
        <f t="shared" si="84"/>
        <v>1</v>
      </c>
      <c r="F954" s="1">
        <f>_xlfn.XLOOKUP($C954, 'Instrument Table'!$B:$B, 'Instrument Table'!$A:$A, "")</f>
        <v>12</v>
      </c>
      <c r="G954" s="1" t="str">
        <f>TEXT(IF($B954 = "Retail Item", IF((ROW($A954) - 4504 - _xlfn.XMATCH($C954, $C$4506:$C$5005, 0, 1)) &lt;= VLOOKUP($C954, 'Instrument Table'!$B:$D, 3, FALSE), ROW($A954) - 4504 - _xlfn.XMATCH($C954, $C$4506:$C$5005, 0, 1), 0), 0), "00")</f>
        <v>00</v>
      </c>
      <c r="H954" s="1" t="str">
        <f t="shared" si="85"/>
        <v>198</v>
      </c>
      <c r="I954" s="1" t="str">
        <f t="shared" si="86"/>
        <v>11200-198</v>
      </c>
      <c r="J954" s="1" t="str">
        <f t="shared" si="87"/>
        <v>Electric keyboard production item #198</v>
      </c>
      <c r="K954" s="1" t="str">
        <f>IF(SUM(COUNTIFS(I:I, I954)) &gt; 1, "DUPLICATE", "UNIQUE")</f>
        <v>UNIQUE</v>
      </c>
      <c r="L954" s="18">
        <v>0</v>
      </c>
      <c r="M954" s="28">
        <v>79</v>
      </c>
      <c r="N954" s="6">
        <v>256</v>
      </c>
      <c r="O954" s="30">
        <f t="shared" si="88"/>
        <v>0</v>
      </c>
      <c r="P954" s="30">
        <f t="shared" si="89"/>
        <v>20224</v>
      </c>
      <c r="Q954" s="1">
        <f>COUNTIFS($P:$P, "&gt;" &amp; $P954) + 1</f>
        <v>1048</v>
      </c>
      <c r="R954" s="63">
        <f>(COUNTIFS($P:$P, "&gt;" &amp; $P954) + 1) / (COUNTA($I:$I) - 1)</f>
        <v>0.20960000000000001</v>
      </c>
      <c r="S954" s="23">
        <f>SUMIFS($P:$P, $Q:$Q, "&lt;" &amp; $Q954)</f>
        <v>167481956</v>
      </c>
    </row>
    <row r="955" spans="1:19" x14ac:dyDescent="0.25">
      <c r="A955" s="1">
        <v>950</v>
      </c>
      <c r="B955" s="1" t="s">
        <v>2</v>
      </c>
      <c r="C955" s="1" t="str">
        <f>IF($B955 = "Production Item", _xlfn.XLOOKUP($A955, 'Instrument Table'!$J:$J, 'Instrument Table'!$B:$B, $C954), IF($B955 = "Service Item", _xlfn.XLOOKUP($A955, 'Instrument Table'!$I:$I, 'Instrument Table'!$B:$B, $C954), _xlfn.XLOOKUP($A955, 'Instrument Table'!$H:$H, 'Instrument Table'!$B:$B, $C954)))</f>
        <v>Electric Keyboard</v>
      </c>
      <c r="D955" s="1" t="str">
        <f>VLOOKUP($C955, 'Instrument Table'!$B:$C, 2, FALSE)</f>
        <v>Pianos</v>
      </c>
      <c r="E955" s="1">
        <f t="shared" si="84"/>
        <v>1</v>
      </c>
      <c r="F955" s="1">
        <f>_xlfn.XLOOKUP($C955, 'Instrument Table'!$B:$B, 'Instrument Table'!$A:$A, "")</f>
        <v>12</v>
      </c>
      <c r="G955" s="1" t="str">
        <f>TEXT(IF($B955 = "Retail Item", IF((ROW($A955) - 4504 - _xlfn.XMATCH($C955, $C$4506:$C$5005, 0, 1)) &lt;= VLOOKUP($C955, 'Instrument Table'!$B:$D, 3, FALSE), ROW($A955) - 4504 - _xlfn.XMATCH($C955, $C$4506:$C$5005, 0, 1), 0), 0), "00")</f>
        <v>00</v>
      </c>
      <c r="H955" s="1" t="str">
        <f t="shared" si="85"/>
        <v>199</v>
      </c>
      <c r="I955" s="1" t="str">
        <f t="shared" si="86"/>
        <v>11200-199</v>
      </c>
      <c r="J955" s="1" t="str">
        <f t="shared" si="87"/>
        <v>Electric keyboard production item #199</v>
      </c>
      <c r="K955" s="1" t="str">
        <f>IF(SUM(COUNTIFS(I:I, I955)) &gt; 1, "DUPLICATE", "UNIQUE")</f>
        <v>UNIQUE</v>
      </c>
      <c r="L955" s="18">
        <v>1</v>
      </c>
      <c r="M955" s="28">
        <v>94</v>
      </c>
      <c r="N955" s="6">
        <v>16</v>
      </c>
      <c r="O955" s="30">
        <f t="shared" si="88"/>
        <v>94</v>
      </c>
      <c r="P955" s="30">
        <f t="shared" si="89"/>
        <v>1504</v>
      </c>
      <c r="Q955" s="1">
        <f>COUNTIFS($P:$P, "&gt;" &amp; $P955) + 1</f>
        <v>3457</v>
      </c>
      <c r="R955" s="63">
        <f>(COUNTIFS($P:$P, "&gt;" &amp; $P955) + 1) / (COUNTA($I:$I) - 1)</f>
        <v>0.69140000000000001</v>
      </c>
      <c r="S955" s="23">
        <f>SUMIFS($P:$P, $Q:$Q, "&lt;" &amp; $Q955)</f>
        <v>185874463</v>
      </c>
    </row>
    <row r="956" spans="1:19" x14ac:dyDescent="0.25">
      <c r="A956" s="1">
        <v>951</v>
      </c>
      <c r="B956" s="1" t="s">
        <v>2</v>
      </c>
      <c r="C956" s="1" t="str">
        <f>IF($B956 = "Production Item", _xlfn.XLOOKUP($A956, 'Instrument Table'!$J:$J, 'Instrument Table'!$B:$B, $C955), IF($B956 = "Service Item", _xlfn.XLOOKUP($A956, 'Instrument Table'!$I:$I, 'Instrument Table'!$B:$B, $C955), _xlfn.XLOOKUP($A956, 'Instrument Table'!$H:$H, 'Instrument Table'!$B:$B, $C955)))</f>
        <v>Violin</v>
      </c>
      <c r="D956" s="1" t="str">
        <f>VLOOKUP($C956, 'Instrument Table'!$B:$C, 2, FALSE)</f>
        <v>Strings</v>
      </c>
      <c r="E956" s="1">
        <f t="shared" si="84"/>
        <v>1</v>
      </c>
      <c r="F956" s="1">
        <f>_xlfn.XLOOKUP($C956, 'Instrument Table'!$B:$B, 'Instrument Table'!$A:$A, "")</f>
        <v>20</v>
      </c>
      <c r="G956" s="1" t="str">
        <f>TEXT(IF($B956 = "Retail Item", IF((ROW($A956) - 4504 - _xlfn.XMATCH($C956, $C$4506:$C$5005, 0, 1)) &lt;= VLOOKUP($C956, 'Instrument Table'!$B:$D, 3, FALSE), ROW($A956) - 4504 - _xlfn.XMATCH($C956, $C$4506:$C$5005, 0, 1), 0), 0), "00")</f>
        <v>00</v>
      </c>
      <c r="H956" s="1" t="str">
        <f t="shared" si="85"/>
        <v>000</v>
      </c>
      <c r="I956" s="1" t="str">
        <f t="shared" si="86"/>
        <v>12000-000</v>
      </c>
      <c r="J956" s="1" t="str">
        <f t="shared" si="87"/>
        <v>Violin production item #000</v>
      </c>
      <c r="K956" s="1" t="str">
        <f>IF(SUM(COUNTIFS(I:I, I956)) &gt; 1, "DUPLICATE", "UNIQUE")</f>
        <v>UNIQUE</v>
      </c>
      <c r="L956" s="18">
        <v>1</v>
      </c>
      <c r="M956" s="28">
        <v>4</v>
      </c>
      <c r="N956" s="6">
        <v>25</v>
      </c>
      <c r="O956" s="30">
        <f t="shared" si="88"/>
        <v>4</v>
      </c>
      <c r="P956" s="30">
        <f t="shared" si="89"/>
        <v>100</v>
      </c>
      <c r="Q956" s="1">
        <f>COUNTIFS($P:$P, "&gt;" &amp; $P956) + 1</f>
        <v>4452</v>
      </c>
      <c r="R956" s="63">
        <f>(COUNTIFS($P:$P, "&gt;" &amp; $P956) + 1) / (COUNTA($I:$I) - 1)</f>
        <v>0.89039999999999997</v>
      </c>
      <c r="S956" s="23">
        <f>SUMIFS($P:$P, $Q:$Q, "&lt;" &amp; $Q956)</f>
        <v>186532418</v>
      </c>
    </row>
    <row r="957" spans="1:19" x14ac:dyDescent="0.25">
      <c r="A957" s="1">
        <v>952</v>
      </c>
      <c r="B957" s="1" t="s">
        <v>2</v>
      </c>
      <c r="C957" s="1" t="str">
        <f>IF($B957 = "Production Item", _xlfn.XLOOKUP($A957, 'Instrument Table'!$J:$J, 'Instrument Table'!$B:$B, $C956), IF($B957 = "Service Item", _xlfn.XLOOKUP($A957, 'Instrument Table'!$I:$I, 'Instrument Table'!$B:$B, $C956), _xlfn.XLOOKUP($A957, 'Instrument Table'!$H:$H, 'Instrument Table'!$B:$B, $C956)))</f>
        <v>Violin</v>
      </c>
      <c r="D957" s="1" t="str">
        <f>VLOOKUP($C957, 'Instrument Table'!$B:$C, 2, FALSE)</f>
        <v>Strings</v>
      </c>
      <c r="E957" s="1">
        <f t="shared" si="84"/>
        <v>1</v>
      </c>
      <c r="F957" s="1">
        <f>_xlfn.XLOOKUP($C957, 'Instrument Table'!$B:$B, 'Instrument Table'!$A:$A, "")</f>
        <v>20</v>
      </c>
      <c r="G957" s="1" t="str">
        <f>TEXT(IF($B957 = "Retail Item", IF((ROW($A957) - 4504 - _xlfn.XMATCH($C957, $C$4506:$C$5005, 0, 1)) &lt;= VLOOKUP($C957, 'Instrument Table'!$B:$D, 3, FALSE), ROW($A957) - 4504 - _xlfn.XMATCH($C957, $C$4506:$C$5005, 0, 1), 0), 0), "00")</f>
        <v>00</v>
      </c>
      <c r="H957" s="1" t="str">
        <f t="shared" si="85"/>
        <v>001</v>
      </c>
      <c r="I957" s="1" t="str">
        <f t="shared" si="86"/>
        <v>12000-001</v>
      </c>
      <c r="J957" s="1" t="str">
        <f t="shared" si="87"/>
        <v>Violin production item #001</v>
      </c>
      <c r="K957" s="1" t="str">
        <f>IF(SUM(COUNTIFS(I:I, I957)) &gt; 1, "DUPLICATE", "UNIQUE")</f>
        <v>UNIQUE</v>
      </c>
      <c r="L957" s="18">
        <v>1</v>
      </c>
      <c r="M957" s="28">
        <v>81</v>
      </c>
      <c r="N957" s="6">
        <v>196</v>
      </c>
      <c r="O957" s="30">
        <f t="shared" si="88"/>
        <v>81</v>
      </c>
      <c r="P957" s="30">
        <f t="shared" si="89"/>
        <v>15876</v>
      </c>
      <c r="Q957" s="1">
        <f>COUNTIFS($P:$P, "&gt;" &amp; $P957) + 1</f>
        <v>1286</v>
      </c>
      <c r="R957" s="63">
        <f>(COUNTIFS($P:$P, "&gt;" &amp; $P957) + 1) / (COUNTA($I:$I) - 1)</f>
        <v>0.25719999999999998</v>
      </c>
      <c r="S957" s="23">
        <f>SUMIFS($P:$P, $Q:$Q, "&lt;" &amp; $Q957)</f>
        <v>171752413</v>
      </c>
    </row>
    <row r="958" spans="1:19" x14ac:dyDescent="0.25">
      <c r="A958" s="1">
        <v>953</v>
      </c>
      <c r="B958" s="1" t="s">
        <v>2</v>
      </c>
      <c r="C958" s="1" t="str">
        <f>IF($B958 = "Production Item", _xlfn.XLOOKUP($A958, 'Instrument Table'!$J:$J, 'Instrument Table'!$B:$B, $C957), IF($B958 = "Service Item", _xlfn.XLOOKUP($A958, 'Instrument Table'!$I:$I, 'Instrument Table'!$B:$B, $C957), _xlfn.XLOOKUP($A958, 'Instrument Table'!$H:$H, 'Instrument Table'!$B:$B, $C957)))</f>
        <v>Violin</v>
      </c>
      <c r="D958" s="1" t="str">
        <f>VLOOKUP($C958, 'Instrument Table'!$B:$C, 2, FALSE)</f>
        <v>Strings</v>
      </c>
      <c r="E958" s="1">
        <f t="shared" si="84"/>
        <v>1</v>
      </c>
      <c r="F958" s="1">
        <f>_xlfn.XLOOKUP($C958, 'Instrument Table'!$B:$B, 'Instrument Table'!$A:$A, "")</f>
        <v>20</v>
      </c>
      <c r="G958" s="1" t="str">
        <f>TEXT(IF($B958 = "Retail Item", IF((ROW($A958) - 4504 - _xlfn.XMATCH($C958, $C$4506:$C$5005, 0, 1)) &lt;= VLOOKUP($C958, 'Instrument Table'!$B:$D, 3, FALSE), ROW($A958) - 4504 - _xlfn.XMATCH($C958, $C$4506:$C$5005, 0, 1), 0), 0), "00")</f>
        <v>00</v>
      </c>
      <c r="H958" s="1" t="str">
        <f t="shared" si="85"/>
        <v>002</v>
      </c>
      <c r="I958" s="1" t="str">
        <f t="shared" si="86"/>
        <v>12000-002</v>
      </c>
      <c r="J958" s="1" t="str">
        <f t="shared" si="87"/>
        <v>Violin production item #002</v>
      </c>
      <c r="K958" s="1" t="str">
        <f>IF(SUM(COUNTIFS(I:I, I958)) &gt; 1, "DUPLICATE", "UNIQUE")</f>
        <v>UNIQUE</v>
      </c>
      <c r="L958" s="18">
        <v>1</v>
      </c>
      <c r="M958" s="28">
        <v>25</v>
      </c>
      <c r="N958" s="6">
        <v>169</v>
      </c>
      <c r="O958" s="30">
        <f t="shared" si="88"/>
        <v>25</v>
      </c>
      <c r="P958" s="30">
        <f t="shared" si="89"/>
        <v>4225</v>
      </c>
      <c r="Q958" s="1">
        <f>COUNTIFS($P:$P, "&gt;" &amp; $P958) + 1</f>
        <v>2602</v>
      </c>
      <c r="R958" s="63">
        <f>(COUNTIFS($P:$P, "&gt;" &amp; $P958) + 1) / (COUNTA($I:$I) - 1)</f>
        <v>0.52039999999999997</v>
      </c>
      <c r="S958" s="23">
        <f>SUMIFS($P:$P, $Q:$Q, "&lt;" &amp; $Q958)</f>
        <v>183571868</v>
      </c>
    </row>
    <row r="959" spans="1:19" x14ac:dyDescent="0.25">
      <c r="A959" s="1">
        <v>954</v>
      </c>
      <c r="B959" s="1" t="s">
        <v>2</v>
      </c>
      <c r="C959" s="1" t="str">
        <f>IF($B959 = "Production Item", _xlfn.XLOOKUP($A959, 'Instrument Table'!$J:$J, 'Instrument Table'!$B:$B, $C958), IF($B959 = "Service Item", _xlfn.XLOOKUP($A959, 'Instrument Table'!$I:$I, 'Instrument Table'!$B:$B, $C958), _xlfn.XLOOKUP($A959, 'Instrument Table'!$H:$H, 'Instrument Table'!$B:$B, $C958)))</f>
        <v>Violin</v>
      </c>
      <c r="D959" s="1" t="str">
        <f>VLOOKUP($C959, 'Instrument Table'!$B:$C, 2, FALSE)</f>
        <v>Strings</v>
      </c>
      <c r="E959" s="1">
        <f t="shared" si="84"/>
        <v>1</v>
      </c>
      <c r="F959" s="1">
        <f>_xlfn.XLOOKUP($C959, 'Instrument Table'!$B:$B, 'Instrument Table'!$A:$A, "")</f>
        <v>20</v>
      </c>
      <c r="G959" s="1" t="str">
        <f>TEXT(IF($B959 = "Retail Item", IF((ROW($A959) - 4504 - _xlfn.XMATCH($C959, $C$4506:$C$5005, 0, 1)) &lt;= VLOOKUP($C959, 'Instrument Table'!$B:$D, 3, FALSE), ROW($A959) - 4504 - _xlfn.XMATCH($C959, $C$4506:$C$5005, 0, 1), 0), 0), "00")</f>
        <v>00</v>
      </c>
      <c r="H959" s="1" t="str">
        <f t="shared" si="85"/>
        <v>003</v>
      </c>
      <c r="I959" s="1" t="str">
        <f t="shared" si="86"/>
        <v>12000-003</v>
      </c>
      <c r="J959" s="1" t="str">
        <f t="shared" si="87"/>
        <v>Violin production item #003</v>
      </c>
      <c r="K959" s="1" t="str">
        <f>IF(SUM(COUNTIFS(I:I, I959)) &gt; 1, "DUPLICATE", "UNIQUE")</f>
        <v>UNIQUE</v>
      </c>
      <c r="L959" s="18">
        <v>32</v>
      </c>
      <c r="M959" s="28">
        <v>67</v>
      </c>
      <c r="N959" s="6">
        <v>0</v>
      </c>
      <c r="O959" s="30">
        <f t="shared" si="88"/>
        <v>2144</v>
      </c>
      <c r="P959" s="30">
        <f t="shared" si="89"/>
        <v>0</v>
      </c>
      <c r="Q959" s="1">
        <f>COUNTIFS($P:$P, "&gt;" &amp; $P959) + 1</f>
        <v>4746</v>
      </c>
      <c r="R959" s="63">
        <f>(COUNTIFS($P:$P, "&gt;" &amp; $P959) + 1) / (COUNTA($I:$I) - 1)</f>
        <v>0.94920000000000004</v>
      </c>
      <c r="S959" s="23">
        <f>SUMIFS($P:$P, $Q:$Q, "&lt;" &amp; $Q959)</f>
        <v>186547861</v>
      </c>
    </row>
    <row r="960" spans="1:19" x14ac:dyDescent="0.25">
      <c r="A960" s="1">
        <v>955</v>
      </c>
      <c r="B960" s="1" t="s">
        <v>2</v>
      </c>
      <c r="C960" s="1" t="str">
        <f>IF($B960 = "Production Item", _xlfn.XLOOKUP($A960, 'Instrument Table'!$J:$J, 'Instrument Table'!$B:$B, $C959), IF($B960 = "Service Item", _xlfn.XLOOKUP($A960, 'Instrument Table'!$I:$I, 'Instrument Table'!$B:$B, $C959), _xlfn.XLOOKUP($A960, 'Instrument Table'!$H:$H, 'Instrument Table'!$B:$B, $C959)))</f>
        <v>Violin</v>
      </c>
      <c r="D960" s="1" t="str">
        <f>VLOOKUP($C960, 'Instrument Table'!$B:$C, 2, FALSE)</f>
        <v>Strings</v>
      </c>
      <c r="E960" s="1">
        <f t="shared" si="84"/>
        <v>1</v>
      </c>
      <c r="F960" s="1">
        <f>_xlfn.XLOOKUP($C960, 'Instrument Table'!$B:$B, 'Instrument Table'!$A:$A, "")</f>
        <v>20</v>
      </c>
      <c r="G960" s="1" t="str">
        <f>TEXT(IF($B960 = "Retail Item", IF((ROW($A960) - 4504 - _xlfn.XMATCH($C960, $C$4506:$C$5005, 0, 1)) &lt;= VLOOKUP($C960, 'Instrument Table'!$B:$D, 3, FALSE), ROW($A960) - 4504 - _xlfn.XMATCH($C960, $C$4506:$C$5005, 0, 1), 0), 0), "00")</f>
        <v>00</v>
      </c>
      <c r="H960" s="1" t="str">
        <f t="shared" si="85"/>
        <v>004</v>
      </c>
      <c r="I960" s="1" t="str">
        <f t="shared" si="86"/>
        <v>12000-004</v>
      </c>
      <c r="J960" s="1" t="str">
        <f t="shared" si="87"/>
        <v>Violin production item #004</v>
      </c>
      <c r="K960" s="1" t="str">
        <f>IF(SUM(COUNTIFS(I:I, I960)) &gt; 1, "DUPLICATE", "UNIQUE")</f>
        <v>UNIQUE</v>
      </c>
      <c r="L960" s="18">
        <v>0</v>
      </c>
      <c r="M960" s="28">
        <v>79</v>
      </c>
      <c r="N960" s="6">
        <v>289</v>
      </c>
      <c r="O960" s="30">
        <f t="shared" si="88"/>
        <v>0</v>
      </c>
      <c r="P960" s="30">
        <f t="shared" si="89"/>
        <v>22831</v>
      </c>
      <c r="Q960" s="1">
        <f>COUNTIFS($P:$P, "&gt;" &amp; $P960) + 1</f>
        <v>909</v>
      </c>
      <c r="R960" s="63">
        <f>(COUNTIFS($P:$P, "&gt;" &amp; $P960) + 1) / (COUNTA($I:$I) - 1)</f>
        <v>0.18179999999999999</v>
      </c>
      <c r="S960" s="23">
        <f>SUMIFS($P:$P, $Q:$Q, "&lt;" &amp; $Q960)</f>
        <v>164488143</v>
      </c>
    </row>
    <row r="961" spans="1:19" x14ac:dyDescent="0.25">
      <c r="A961" s="1">
        <v>956</v>
      </c>
      <c r="B961" s="1" t="s">
        <v>2</v>
      </c>
      <c r="C961" s="1" t="str">
        <f>IF($B961 = "Production Item", _xlfn.XLOOKUP($A961, 'Instrument Table'!$J:$J, 'Instrument Table'!$B:$B, $C960), IF($B961 = "Service Item", _xlfn.XLOOKUP($A961, 'Instrument Table'!$I:$I, 'Instrument Table'!$B:$B, $C960), _xlfn.XLOOKUP($A961, 'Instrument Table'!$H:$H, 'Instrument Table'!$B:$B, $C960)))</f>
        <v>Violin</v>
      </c>
      <c r="D961" s="1" t="str">
        <f>VLOOKUP($C961, 'Instrument Table'!$B:$C, 2, FALSE)</f>
        <v>Strings</v>
      </c>
      <c r="E961" s="1">
        <f t="shared" si="84"/>
        <v>1</v>
      </c>
      <c r="F961" s="1">
        <f>_xlfn.XLOOKUP($C961, 'Instrument Table'!$B:$B, 'Instrument Table'!$A:$A, "")</f>
        <v>20</v>
      </c>
      <c r="G961" s="1" t="str">
        <f>TEXT(IF($B961 = "Retail Item", IF((ROW($A961) - 4504 - _xlfn.XMATCH($C961, $C$4506:$C$5005, 0, 1)) &lt;= VLOOKUP($C961, 'Instrument Table'!$B:$D, 3, FALSE), ROW($A961) - 4504 - _xlfn.XMATCH($C961, $C$4506:$C$5005, 0, 1), 0), 0), "00")</f>
        <v>00</v>
      </c>
      <c r="H961" s="1" t="str">
        <f t="shared" si="85"/>
        <v>005</v>
      </c>
      <c r="I961" s="1" t="str">
        <f t="shared" si="86"/>
        <v>12000-005</v>
      </c>
      <c r="J961" s="1" t="str">
        <f t="shared" si="87"/>
        <v>Violin production item #005</v>
      </c>
      <c r="K961" s="1" t="str">
        <f>IF(SUM(COUNTIFS(I:I, I961)) &gt; 1, "DUPLICATE", "UNIQUE")</f>
        <v>UNIQUE</v>
      </c>
      <c r="L961" s="18">
        <v>0</v>
      </c>
      <c r="M961" s="28">
        <v>92</v>
      </c>
      <c r="N961" s="6">
        <v>144</v>
      </c>
      <c r="O961" s="30">
        <f t="shared" si="88"/>
        <v>0</v>
      </c>
      <c r="P961" s="30">
        <f t="shared" si="89"/>
        <v>13248</v>
      </c>
      <c r="Q961" s="1">
        <f>COUNTIFS($P:$P, "&gt;" &amp; $P961) + 1</f>
        <v>1487</v>
      </c>
      <c r="R961" s="63">
        <f>(COUNTIFS($P:$P, "&gt;" &amp; $P961) + 1) / (COUNTA($I:$I) - 1)</f>
        <v>0.2974</v>
      </c>
      <c r="S961" s="23">
        <f>SUMIFS($P:$P, $Q:$Q, "&lt;" &amp; $Q961)</f>
        <v>174669460</v>
      </c>
    </row>
    <row r="962" spans="1:19" x14ac:dyDescent="0.25">
      <c r="A962" s="1">
        <v>957</v>
      </c>
      <c r="B962" s="1" t="s">
        <v>2</v>
      </c>
      <c r="C962" s="1" t="str">
        <f>IF($B962 = "Production Item", _xlfn.XLOOKUP($A962, 'Instrument Table'!$J:$J, 'Instrument Table'!$B:$B, $C961), IF($B962 = "Service Item", _xlfn.XLOOKUP($A962, 'Instrument Table'!$I:$I, 'Instrument Table'!$B:$B, $C961), _xlfn.XLOOKUP($A962, 'Instrument Table'!$H:$H, 'Instrument Table'!$B:$B, $C961)))</f>
        <v>Violin</v>
      </c>
      <c r="D962" s="1" t="str">
        <f>VLOOKUP($C962, 'Instrument Table'!$B:$C, 2, FALSE)</f>
        <v>Strings</v>
      </c>
      <c r="E962" s="1">
        <f t="shared" si="84"/>
        <v>1</v>
      </c>
      <c r="F962" s="1">
        <f>_xlfn.XLOOKUP($C962, 'Instrument Table'!$B:$B, 'Instrument Table'!$A:$A, "")</f>
        <v>20</v>
      </c>
      <c r="G962" s="1" t="str">
        <f>TEXT(IF($B962 = "Retail Item", IF((ROW($A962) - 4504 - _xlfn.XMATCH($C962, $C$4506:$C$5005, 0, 1)) &lt;= VLOOKUP($C962, 'Instrument Table'!$B:$D, 3, FALSE), ROW($A962) - 4504 - _xlfn.XMATCH($C962, $C$4506:$C$5005, 0, 1), 0), 0), "00")</f>
        <v>00</v>
      </c>
      <c r="H962" s="1" t="str">
        <f t="shared" si="85"/>
        <v>006</v>
      </c>
      <c r="I962" s="1" t="str">
        <f t="shared" si="86"/>
        <v>12000-006</v>
      </c>
      <c r="J962" s="1" t="str">
        <f t="shared" si="87"/>
        <v>Violin production item #006</v>
      </c>
      <c r="K962" s="1" t="str">
        <f>IF(SUM(COUNTIFS(I:I, I962)) &gt; 1, "DUPLICATE", "UNIQUE")</f>
        <v>UNIQUE</v>
      </c>
      <c r="L962" s="18">
        <v>8</v>
      </c>
      <c r="M962" s="28">
        <v>80</v>
      </c>
      <c r="N962" s="6">
        <v>49</v>
      </c>
      <c r="O962" s="30">
        <f t="shared" si="88"/>
        <v>640</v>
      </c>
      <c r="P962" s="30">
        <f t="shared" si="89"/>
        <v>3920</v>
      </c>
      <c r="Q962" s="1">
        <f>COUNTIFS($P:$P, "&gt;" &amp; $P962) + 1</f>
        <v>2667</v>
      </c>
      <c r="R962" s="63">
        <f>(COUNTIFS($P:$P, "&gt;" &amp; $P962) + 1) / (COUNTA($I:$I) - 1)</f>
        <v>0.53339999999999999</v>
      </c>
      <c r="S962" s="23">
        <f>SUMIFS($P:$P, $Q:$Q, "&lt;" &amp; $Q962)</f>
        <v>183838824</v>
      </c>
    </row>
    <row r="963" spans="1:19" x14ac:dyDescent="0.25">
      <c r="A963" s="1">
        <v>958</v>
      </c>
      <c r="B963" s="1" t="s">
        <v>2</v>
      </c>
      <c r="C963" s="1" t="str">
        <f>IF($B963 = "Production Item", _xlfn.XLOOKUP($A963, 'Instrument Table'!$J:$J, 'Instrument Table'!$B:$B, $C962), IF($B963 = "Service Item", _xlfn.XLOOKUP($A963, 'Instrument Table'!$I:$I, 'Instrument Table'!$B:$B, $C962), _xlfn.XLOOKUP($A963, 'Instrument Table'!$H:$H, 'Instrument Table'!$B:$B, $C962)))</f>
        <v>Violin</v>
      </c>
      <c r="D963" s="1" t="str">
        <f>VLOOKUP($C963, 'Instrument Table'!$B:$C, 2, FALSE)</f>
        <v>Strings</v>
      </c>
      <c r="E963" s="1">
        <f t="shared" si="84"/>
        <v>1</v>
      </c>
      <c r="F963" s="1">
        <f>_xlfn.XLOOKUP($C963, 'Instrument Table'!$B:$B, 'Instrument Table'!$A:$A, "")</f>
        <v>20</v>
      </c>
      <c r="G963" s="1" t="str">
        <f>TEXT(IF($B963 = "Retail Item", IF((ROW($A963) - 4504 - _xlfn.XMATCH($C963, $C$4506:$C$5005, 0, 1)) &lt;= VLOOKUP($C963, 'Instrument Table'!$B:$D, 3, FALSE), ROW($A963) - 4504 - _xlfn.XMATCH($C963, $C$4506:$C$5005, 0, 1), 0), 0), "00")</f>
        <v>00</v>
      </c>
      <c r="H963" s="1" t="str">
        <f t="shared" si="85"/>
        <v>007</v>
      </c>
      <c r="I963" s="1" t="str">
        <f t="shared" si="86"/>
        <v>12000-007</v>
      </c>
      <c r="J963" s="1" t="str">
        <f t="shared" si="87"/>
        <v>Violin production item #007</v>
      </c>
      <c r="K963" s="1" t="str">
        <f>IF(SUM(COUNTIFS(I:I, I963)) &gt; 1, "DUPLICATE", "UNIQUE")</f>
        <v>UNIQUE</v>
      </c>
      <c r="L963" s="18">
        <v>0</v>
      </c>
      <c r="M963" s="28">
        <v>64</v>
      </c>
      <c r="N963" s="6">
        <v>196</v>
      </c>
      <c r="O963" s="30">
        <f t="shared" si="88"/>
        <v>0</v>
      </c>
      <c r="P963" s="30">
        <f t="shared" si="89"/>
        <v>12544</v>
      </c>
      <c r="Q963" s="1">
        <f>COUNTIFS($P:$P, "&gt;" &amp; $P963) + 1</f>
        <v>1537</v>
      </c>
      <c r="R963" s="63">
        <f>(COUNTIFS($P:$P, "&gt;" &amp; $P963) + 1) / (COUNTA($I:$I) - 1)</f>
        <v>0.30740000000000001</v>
      </c>
      <c r="S963" s="23">
        <f>SUMIFS($P:$P, $Q:$Q, "&lt;" &amp; $Q963)</f>
        <v>175313085</v>
      </c>
    </row>
    <row r="964" spans="1:19" x14ac:dyDescent="0.25">
      <c r="A964" s="1">
        <v>959</v>
      </c>
      <c r="B964" s="1" t="s">
        <v>2</v>
      </c>
      <c r="C964" s="1" t="str">
        <f>IF($B964 = "Production Item", _xlfn.XLOOKUP($A964, 'Instrument Table'!$J:$J, 'Instrument Table'!$B:$B, $C963), IF($B964 = "Service Item", _xlfn.XLOOKUP($A964, 'Instrument Table'!$I:$I, 'Instrument Table'!$B:$B, $C963), _xlfn.XLOOKUP($A964, 'Instrument Table'!$H:$H, 'Instrument Table'!$B:$B, $C963)))</f>
        <v>Violin</v>
      </c>
      <c r="D964" s="1" t="str">
        <f>VLOOKUP($C964, 'Instrument Table'!$B:$C, 2, FALSE)</f>
        <v>Strings</v>
      </c>
      <c r="E964" s="1">
        <f t="shared" si="84"/>
        <v>1</v>
      </c>
      <c r="F964" s="1">
        <f>_xlfn.XLOOKUP($C964, 'Instrument Table'!$B:$B, 'Instrument Table'!$A:$A, "")</f>
        <v>20</v>
      </c>
      <c r="G964" s="1" t="str">
        <f>TEXT(IF($B964 = "Retail Item", IF((ROW($A964) - 4504 - _xlfn.XMATCH($C964, $C$4506:$C$5005, 0, 1)) &lt;= VLOOKUP($C964, 'Instrument Table'!$B:$D, 3, FALSE), ROW($A964) - 4504 - _xlfn.XMATCH($C964, $C$4506:$C$5005, 0, 1), 0), 0), "00")</f>
        <v>00</v>
      </c>
      <c r="H964" s="1" t="str">
        <f t="shared" si="85"/>
        <v>008</v>
      </c>
      <c r="I964" s="1" t="str">
        <f t="shared" si="86"/>
        <v>12000-008</v>
      </c>
      <c r="J964" s="1" t="str">
        <f t="shared" si="87"/>
        <v>Violin production item #008</v>
      </c>
      <c r="K964" s="1" t="str">
        <f>IF(SUM(COUNTIFS(I:I, I964)) &gt; 1, "DUPLICATE", "UNIQUE")</f>
        <v>UNIQUE</v>
      </c>
      <c r="L964" s="18">
        <v>1</v>
      </c>
      <c r="M964" s="28">
        <v>40</v>
      </c>
      <c r="N964" s="6">
        <v>25</v>
      </c>
      <c r="O964" s="30">
        <f t="shared" si="88"/>
        <v>40</v>
      </c>
      <c r="P964" s="30">
        <f t="shared" si="89"/>
        <v>1000</v>
      </c>
      <c r="Q964" s="1">
        <f>COUNTIFS($P:$P, "&gt;" &amp; $P964) + 1</f>
        <v>3679</v>
      </c>
      <c r="R964" s="63">
        <f>(COUNTIFS($P:$P, "&gt;" &amp; $P964) + 1) / (COUNTA($I:$I) - 1)</f>
        <v>0.73580000000000001</v>
      </c>
      <c r="S964" s="23">
        <f>SUMIFS($P:$P, $Q:$Q, "&lt;" &amp; $Q964)</f>
        <v>186158143</v>
      </c>
    </row>
    <row r="965" spans="1:19" x14ac:dyDescent="0.25">
      <c r="A965" s="1">
        <v>960</v>
      </c>
      <c r="B965" s="1" t="s">
        <v>2</v>
      </c>
      <c r="C965" s="1" t="str">
        <f>IF($B965 = "Production Item", _xlfn.XLOOKUP($A965, 'Instrument Table'!$J:$J, 'Instrument Table'!$B:$B, $C964), IF($B965 = "Service Item", _xlfn.XLOOKUP($A965, 'Instrument Table'!$I:$I, 'Instrument Table'!$B:$B, $C964), _xlfn.XLOOKUP($A965, 'Instrument Table'!$H:$H, 'Instrument Table'!$B:$B, $C964)))</f>
        <v>Violin</v>
      </c>
      <c r="D965" s="1" t="str">
        <f>VLOOKUP($C965, 'Instrument Table'!$B:$C, 2, FALSE)</f>
        <v>Strings</v>
      </c>
      <c r="E965" s="1">
        <f t="shared" si="84"/>
        <v>1</v>
      </c>
      <c r="F965" s="1">
        <f>_xlfn.XLOOKUP($C965, 'Instrument Table'!$B:$B, 'Instrument Table'!$A:$A, "")</f>
        <v>20</v>
      </c>
      <c r="G965" s="1" t="str">
        <f>TEXT(IF($B965 = "Retail Item", IF((ROW($A965) - 4504 - _xlfn.XMATCH($C965, $C$4506:$C$5005, 0, 1)) &lt;= VLOOKUP($C965, 'Instrument Table'!$B:$D, 3, FALSE), ROW($A965) - 4504 - _xlfn.XMATCH($C965, $C$4506:$C$5005, 0, 1), 0), 0), "00")</f>
        <v>00</v>
      </c>
      <c r="H965" s="1" t="str">
        <f t="shared" si="85"/>
        <v>009</v>
      </c>
      <c r="I965" s="1" t="str">
        <f t="shared" si="86"/>
        <v>12000-009</v>
      </c>
      <c r="J965" s="1" t="str">
        <f t="shared" si="87"/>
        <v>Violin production item #009</v>
      </c>
      <c r="K965" s="1" t="str">
        <f>IF(SUM(COUNTIFS(I:I, I965)) &gt; 1, "DUPLICATE", "UNIQUE")</f>
        <v>UNIQUE</v>
      </c>
      <c r="L965" s="18">
        <v>1</v>
      </c>
      <c r="M965" s="28">
        <v>32</v>
      </c>
      <c r="N965" s="6">
        <v>100</v>
      </c>
      <c r="O965" s="30">
        <f t="shared" si="88"/>
        <v>32</v>
      </c>
      <c r="P965" s="30">
        <f t="shared" si="89"/>
        <v>3200</v>
      </c>
      <c r="Q965" s="1">
        <f>COUNTIFS($P:$P, "&gt;" &amp; $P965) + 1</f>
        <v>2857</v>
      </c>
      <c r="R965" s="63">
        <f>(COUNTIFS($P:$P, "&gt;" &amp; $P965) + 1) / (COUNTA($I:$I) - 1)</f>
        <v>0.57140000000000002</v>
      </c>
      <c r="S965" s="23">
        <f>SUMIFS($P:$P, $Q:$Q, "&lt;" &amp; $Q965)</f>
        <v>184514256</v>
      </c>
    </row>
    <row r="966" spans="1:19" x14ac:dyDescent="0.25">
      <c r="A966" s="1">
        <v>961</v>
      </c>
      <c r="B966" s="1" t="s">
        <v>2</v>
      </c>
      <c r="C966" s="1" t="str">
        <f>IF($B966 = "Production Item", _xlfn.XLOOKUP($A966, 'Instrument Table'!$J:$J, 'Instrument Table'!$B:$B, $C965), IF($B966 = "Service Item", _xlfn.XLOOKUP($A966, 'Instrument Table'!$I:$I, 'Instrument Table'!$B:$B, $C965), _xlfn.XLOOKUP($A966, 'Instrument Table'!$H:$H, 'Instrument Table'!$B:$B, $C965)))</f>
        <v>Violin</v>
      </c>
      <c r="D966" s="1" t="str">
        <f>VLOOKUP($C966, 'Instrument Table'!$B:$C, 2, FALSE)</f>
        <v>Strings</v>
      </c>
      <c r="E966" s="1">
        <f t="shared" si="84"/>
        <v>1</v>
      </c>
      <c r="F966" s="1">
        <f>_xlfn.XLOOKUP($C966, 'Instrument Table'!$B:$B, 'Instrument Table'!$A:$A, "")</f>
        <v>20</v>
      </c>
      <c r="G966" s="1" t="str">
        <f>TEXT(IF($B966 = "Retail Item", IF((ROW($A966) - 4504 - _xlfn.XMATCH($C966, $C$4506:$C$5005, 0, 1)) &lt;= VLOOKUP($C966, 'Instrument Table'!$B:$D, 3, FALSE), ROW($A966) - 4504 - _xlfn.XMATCH($C966, $C$4506:$C$5005, 0, 1), 0), 0), "00")</f>
        <v>00</v>
      </c>
      <c r="H966" s="1" t="str">
        <f t="shared" si="85"/>
        <v>010</v>
      </c>
      <c r="I966" s="1" t="str">
        <f t="shared" si="86"/>
        <v>12000-010</v>
      </c>
      <c r="J966" s="1" t="str">
        <f t="shared" si="87"/>
        <v>Violin production item #010</v>
      </c>
      <c r="K966" s="1" t="str">
        <f>IF(SUM(COUNTIFS(I:I, I966)) &gt; 1, "DUPLICATE", "UNIQUE")</f>
        <v>UNIQUE</v>
      </c>
      <c r="L966" s="18">
        <v>1</v>
      </c>
      <c r="M966" s="28">
        <v>79</v>
      </c>
      <c r="N966" s="6">
        <v>361</v>
      </c>
      <c r="O966" s="30">
        <f t="shared" si="88"/>
        <v>79</v>
      </c>
      <c r="P966" s="30">
        <f t="shared" si="89"/>
        <v>28519</v>
      </c>
      <c r="Q966" s="1">
        <f>COUNTIFS($P:$P, "&gt;" &amp; $P966) + 1</f>
        <v>723</v>
      </c>
      <c r="R966" s="63">
        <f>(COUNTIFS($P:$P, "&gt;" &amp; $P966) + 1) / (COUNTA($I:$I) - 1)</f>
        <v>0.14460000000000001</v>
      </c>
      <c r="S966" s="23">
        <f>SUMIFS($P:$P, $Q:$Q, "&lt;" &amp; $Q966)</f>
        <v>159757197</v>
      </c>
    </row>
    <row r="967" spans="1:19" x14ac:dyDescent="0.25">
      <c r="A967" s="1">
        <v>962</v>
      </c>
      <c r="B967" s="1" t="s">
        <v>2</v>
      </c>
      <c r="C967" s="1" t="str">
        <f>IF($B967 = "Production Item", _xlfn.XLOOKUP($A967, 'Instrument Table'!$J:$J, 'Instrument Table'!$B:$B, $C966), IF($B967 = "Service Item", _xlfn.XLOOKUP($A967, 'Instrument Table'!$I:$I, 'Instrument Table'!$B:$B, $C966), _xlfn.XLOOKUP($A967, 'Instrument Table'!$H:$H, 'Instrument Table'!$B:$B, $C966)))</f>
        <v>Violin</v>
      </c>
      <c r="D967" s="1" t="str">
        <f>VLOOKUP($C967, 'Instrument Table'!$B:$C, 2, FALSE)</f>
        <v>Strings</v>
      </c>
      <c r="E967" s="1">
        <f t="shared" ref="E967:E1030" si="90">IF($B967 = "Production Item", 1, IF($B967 = "Service Item", 2, IF($B967 = "Retail Item", 3, "")))</f>
        <v>1</v>
      </c>
      <c r="F967" s="1">
        <f>_xlfn.XLOOKUP($C967, 'Instrument Table'!$B:$B, 'Instrument Table'!$A:$A, "")</f>
        <v>20</v>
      </c>
      <c r="G967" s="1" t="str">
        <f>TEXT(IF($B967 = "Retail Item", IF((ROW($A967) - 4504 - _xlfn.XMATCH($C967, $C$4506:$C$5005, 0, 1)) &lt;= VLOOKUP($C967, 'Instrument Table'!$B:$D, 3, FALSE), ROW($A967) - 4504 - _xlfn.XMATCH($C967, $C$4506:$C$5005, 0, 1), 0), 0), "00")</f>
        <v>00</v>
      </c>
      <c r="H967" s="1" t="str">
        <f t="shared" ref="H967:H1030" si="91">TEXT(IF($E967 &amp; $F967 &amp; $G967 = $E966 &amp; $F966 &amp; $G966, 1 + H966, 0), "000")</f>
        <v>011</v>
      </c>
      <c r="I967" s="1" t="str">
        <f t="shared" ref="I967:I1030" si="92" xml:space="preserve"> _xlfn.CONCAT($E967, $F967, $G967, "-", H967)</f>
        <v>12000-011</v>
      </c>
      <c r="J967" s="1" t="str">
        <f t="shared" ref="J967:J1030" si="93">LEFT($C967, 1) &amp; LOWER(RIGHT($C967, LEN($C967) - 1)) &amp; IF(AND($G967 &lt;&gt; "00", $B967 = "Retail Item"), " model #" &amp; $G967, " " &amp; LOWER($B967) &amp; " #" &amp; $H967)</f>
        <v>Violin production item #011</v>
      </c>
      <c r="K967" s="1" t="str">
        <f>IF(SUM(COUNTIFS(I:I, I967)) &gt; 1, "DUPLICATE", "UNIQUE")</f>
        <v>UNIQUE</v>
      </c>
      <c r="L967" s="18">
        <v>32</v>
      </c>
      <c r="M967" s="28">
        <v>95</v>
      </c>
      <c r="N967" s="6">
        <v>324</v>
      </c>
      <c r="O967" s="30">
        <f t="shared" ref="O967:O1030" si="94">$L967 * $M967</f>
        <v>3040</v>
      </c>
      <c r="P967" s="30">
        <f t="shared" ref="P967:P1030" si="95">$N967 * $M967</f>
        <v>30780</v>
      </c>
      <c r="Q967" s="1">
        <f>COUNTIFS($P:$P, "&gt;" &amp; $P967) + 1</f>
        <v>677</v>
      </c>
      <c r="R967" s="63">
        <f>(COUNTIFS($P:$P, "&gt;" &amp; $P967) + 1) / (COUNTA($I:$I) - 1)</f>
        <v>0.13539999999999999</v>
      </c>
      <c r="S967" s="23">
        <f>SUMIFS($P:$P, $Q:$Q, "&lt;" &amp; $Q967)</f>
        <v>158393074</v>
      </c>
    </row>
    <row r="968" spans="1:19" x14ac:dyDescent="0.25">
      <c r="A968" s="1">
        <v>963</v>
      </c>
      <c r="B968" s="1" t="s">
        <v>2</v>
      </c>
      <c r="C968" s="1" t="str">
        <f>IF($B968 = "Production Item", _xlfn.XLOOKUP($A968, 'Instrument Table'!$J:$J, 'Instrument Table'!$B:$B, $C967), IF($B968 = "Service Item", _xlfn.XLOOKUP($A968, 'Instrument Table'!$I:$I, 'Instrument Table'!$B:$B, $C967), _xlfn.XLOOKUP($A968, 'Instrument Table'!$H:$H, 'Instrument Table'!$B:$B, $C967)))</f>
        <v>Violin</v>
      </c>
      <c r="D968" s="1" t="str">
        <f>VLOOKUP($C968, 'Instrument Table'!$B:$C, 2, FALSE)</f>
        <v>Strings</v>
      </c>
      <c r="E968" s="1">
        <f t="shared" si="90"/>
        <v>1</v>
      </c>
      <c r="F968" s="1">
        <f>_xlfn.XLOOKUP($C968, 'Instrument Table'!$B:$B, 'Instrument Table'!$A:$A, "")</f>
        <v>20</v>
      </c>
      <c r="G968" s="1" t="str">
        <f>TEXT(IF($B968 = "Retail Item", IF((ROW($A968) - 4504 - _xlfn.XMATCH($C968, $C$4506:$C$5005, 0, 1)) &lt;= VLOOKUP($C968, 'Instrument Table'!$B:$D, 3, FALSE), ROW($A968) - 4504 - _xlfn.XMATCH($C968, $C$4506:$C$5005, 0, 1), 0), 0), "00")</f>
        <v>00</v>
      </c>
      <c r="H968" s="1" t="str">
        <f t="shared" si="91"/>
        <v>012</v>
      </c>
      <c r="I968" s="1" t="str">
        <f t="shared" si="92"/>
        <v>12000-012</v>
      </c>
      <c r="J968" s="1" t="str">
        <f t="shared" si="93"/>
        <v>Violin production item #012</v>
      </c>
      <c r="K968" s="1" t="str">
        <f>IF(SUM(COUNTIFS(I:I, I968)) &gt; 1, "DUPLICATE", "UNIQUE")</f>
        <v>UNIQUE</v>
      </c>
      <c r="L968" s="18">
        <v>0</v>
      </c>
      <c r="M968" s="28">
        <v>18</v>
      </c>
      <c r="N968" s="6">
        <v>169</v>
      </c>
      <c r="O968" s="30">
        <f t="shared" si="94"/>
        <v>0</v>
      </c>
      <c r="P968" s="30">
        <f t="shared" si="95"/>
        <v>3042</v>
      </c>
      <c r="Q968" s="1">
        <f>COUNTIFS($P:$P, "&gt;" &amp; $P968) + 1</f>
        <v>2893</v>
      </c>
      <c r="R968" s="63">
        <f>(COUNTIFS($P:$P, "&gt;" &amp; $P968) + 1) / (COUNTA($I:$I) - 1)</f>
        <v>0.5786</v>
      </c>
      <c r="S968" s="23">
        <f>SUMIFS($P:$P, $Q:$Q, "&lt;" &amp; $Q968)</f>
        <v>184626973</v>
      </c>
    </row>
    <row r="969" spans="1:19" x14ac:dyDescent="0.25">
      <c r="A969" s="1">
        <v>964</v>
      </c>
      <c r="B969" s="1" t="s">
        <v>2</v>
      </c>
      <c r="C969" s="1" t="str">
        <f>IF($B969 = "Production Item", _xlfn.XLOOKUP($A969, 'Instrument Table'!$J:$J, 'Instrument Table'!$B:$B, $C968), IF($B969 = "Service Item", _xlfn.XLOOKUP($A969, 'Instrument Table'!$I:$I, 'Instrument Table'!$B:$B, $C968), _xlfn.XLOOKUP($A969, 'Instrument Table'!$H:$H, 'Instrument Table'!$B:$B, $C968)))</f>
        <v>Violin</v>
      </c>
      <c r="D969" s="1" t="str">
        <f>VLOOKUP($C969, 'Instrument Table'!$B:$C, 2, FALSE)</f>
        <v>Strings</v>
      </c>
      <c r="E969" s="1">
        <f t="shared" si="90"/>
        <v>1</v>
      </c>
      <c r="F969" s="1">
        <f>_xlfn.XLOOKUP($C969, 'Instrument Table'!$B:$B, 'Instrument Table'!$A:$A, "")</f>
        <v>20</v>
      </c>
      <c r="G969" s="1" t="str">
        <f>TEXT(IF($B969 = "Retail Item", IF((ROW($A969) - 4504 - _xlfn.XMATCH($C969, $C$4506:$C$5005, 0, 1)) &lt;= VLOOKUP($C969, 'Instrument Table'!$B:$D, 3, FALSE), ROW($A969) - 4504 - _xlfn.XMATCH($C969, $C$4506:$C$5005, 0, 1), 0), 0), "00")</f>
        <v>00</v>
      </c>
      <c r="H969" s="1" t="str">
        <f t="shared" si="91"/>
        <v>013</v>
      </c>
      <c r="I969" s="1" t="str">
        <f t="shared" si="92"/>
        <v>12000-013</v>
      </c>
      <c r="J969" s="1" t="str">
        <f t="shared" si="93"/>
        <v>Violin production item #013</v>
      </c>
      <c r="K969" s="1" t="str">
        <f>IF(SUM(COUNTIFS(I:I, I969)) &gt; 1, "DUPLICATE", "UNIQUE")</f>
        <v>UNIQUE</v>
      </c>
      <c r="L969" s="18">
        <v>32</v>
      </c>
      <c r="M969" s="28">
        <v>16</v>
      </c>
      <c r="N969" s="6">
        <v>400</v>
      </c>
      <c r="O969" s="30">
        <f t="shared" si="94"/>
        <v>512</v>
      </c>
      <c r="P969" s="30">
        <f t="shared" si="95"/>
        <v>6400</v>
      </c>
      <c r="Q969" s="1">
        <f>COUNTIFS($P:$P, "&gt;" &amp; $P969) + 1</f>
        <v>2216</v>
      </c>
      <c r="R969" s="63">
        <f>(COUNTIFS($P:$P, "&gt;" &amp; $P969) + 1) / (COUNTA($I:$I) - 1)</f>
        <v>0.44319999999999998</v>
      </c>
      <c r="S969" s="23">
        <f>SUMIFS($P:$P, $Q:$Q, "&lt;" &amp; $Q969)</f>
        <v>181555271</v>
      </c>
    </row>
    <row r="970" spans="1:19" x14ac:dyDescent="0.25">
      <c r="A970" s="1">
        <v>965</v>
      </c>
      <c r="B970" s="1" t="s">
        <v>2</v>
      </c>
      <c r="C970" s="1" t="str">
        <f>IF($B970 = "Production Item", _xlfn.XLOOKUP($A970, 'Instrument Table'!$J:$J, 'Instrument Table'!$B:$B, $C969), IF($B970 = "Service Item", _xlfn.XLOOKUP($A970, 'Instrument Table'!$I:$I, 'Instrument Table'!$B:$B, $C969), _xlfn.XLOOKUP($A970, 'Instrument Table'!$H:$H, 'Instrument Table'!$B:$B, $C969)))</f>
        <v>Violin</v>
      </c>
      <c r="D970" s="1" t="str">
        <f>VLOOKUP($C970, 'Instrument Table'!$B:$C, 2, FALSE)</f>
        <v>Strings</v>
      </c>
      <c r="E970" s="1">
        <f t="shared" si="90"/>
        <v>1</v>
      </c>
      <c r="F970" s="1">
        <f>_xlfn.XLOOKUP($C970, 'Instrument Table'!$B:$B, 'Instrument Table'!$A:$A, "")</f>
        <v>20</v>
      </c>
      <c r="G970" s="1" t="str">
        <f>TEXT(IF($B970 = "Retail Item", IF((ROW($A970) - 4504 - _xlfn.XMATCH($C970, $C$4506:$C$5005, 0, 1)) &lt;= VLOOKUP($C970, 'Instrument Table'!$B:$D, 3, FALSE), ROW($A970) - 4504 - _xlfn.XMATCH($C970, $C$4506:$C$5005, 0, 1), 0), 0), "00")</f>
        <v>00</v>
      </c>
      <c r="H970" s="1" t="str">
        <f t="shared" si="91"/>
        <v>014</v>
      </c>
      <c r="I970" s="1" t="str">
        <f t="shared" si="92"/>
        <v>12000-014</v>
      </c>
      <c r="J970" s="1" t="str">
        <f t="shared" si="93"/>
        <v>Violin production item #014</v>
      </c>
      <c r="K970" s="1" t="str">
        <f>IF(SUM(COUNTIFS(I:I, I970)) &gt; 1, "DUPLICATE", "UNIQUE")</f>
        <v>UNIQUE</v>
      </c>
      <c r="L970" s="18">
        <v>0</v>
      </c>
      <c r="M970" s="28">
        <v>49</v>
      </c>
      <c r="N970" s="6">
        <v>49</v>
      </c>
      <c r="O970" s="30">
        <f t="shared" si="94"/>
        <v>0</v>
      </c>
      <c r="P970" s="30">
        <f t="shared" si="95"/>
        <v>2401</v>
      </c>
      <c r="Q970" s="1">
        <f>COUNTIFS($P:$P, "&gt;" &amp; $P970) + 1</f>
        <v>3088</v>
      </c>
      <c r="R970" s="63">
        <f>(COUNTIFS($P:$P, "&gt;" &amp; $P970) + 1) / (COUNTA($I:$I) - 1)</f>
        <v>0.61760000000000004</v>
      </c>
      <c r="S970" s="23">
        <f>SUMIFS($P:$P, $Q:$Q, "&lt;" &amp; $Q970)</f>
        <v>185153820</v>
      </c>
    </row>
    <row r="971" spans="1:19" x14ac:dyDescent="0.25">
      <c r="A971" s="1">
        <v>966</v>
      </c>
      <c r="B971" s="1" t="s">
        <v>2</v>
      </c>
      <c r="C971" s="1" t="str">
        <f>IF($B971 = "Production Item", _xlfn.XLOOKUP($A971, 'Instrument Table'!$J:$J, 'Instrument Table'!$B:$B, $C970), IF($B971 = "Service Item", _xlfn.XLOOKUP($A971, 'Instrument Table'!$I:$I, 'Instrument Table'!$B:$B, $C970), _xlfn.XLOOKUP($A971, 'Instrument Table'!$H:$H, 'Instrument Table'!$B:$B, $C970)))</f>
        <v>Violin</v>
      </c>
      <c r="D971" s="1" t="str">
        <f>VLOOKUP($C971, 'Instrument Table'!$B:$C, 2, FALSE)</f>
        <v>Strings</v>
      </c>
      <c r="E971" s="1">
        <f t="shared" si="90"/>
        <v>1</v>
      </c>
      <c r="F971" s="1">
        <f>_xlfn.XLOOKUP($C971, 'Instrument Table'!$B:$B, 'Instrument Table'!$A:$A, "")</f>
        <v>20</v>
      </c>
      <c r="G971" s="1" t="str">
        <f>TEXT(IF($B971 = "Retail Item", IF((ROW($A971) - 4504 - _xlfn.XMATCH($C971, $C$4506:$C$5005, 0, 1)) &lt;= VLOOKUP($C971, 'Instrument Table'!$B:$D, 3, FALSE), ROW($A971) - 4504 - _xlfn.XMATCH($C971, $C$4506:$C$5005, 0, 1), 0), 0), "00")</f>
        <v>00</v>
      </c>
      <c r="H971" s="1" t="str">
        <f t="shared" si="91"/>
        <v>015</v>
      </c>
      <c r="I971" s="1" t="str">
        <f t="shared" si="92"/>
        <v>12000-015</v>
      </c>
      <c r="J971" s="1" t="str">
        <f t="shared" si="93"/>
        <v>Violin production item #015</v>
      </c>
      <c r="K971" s="1" t="str">
        <f>IF(SUM(COUNTIFS(I:I, I971)) &gt; 1, "DUPLICATE", "UNIQUE")</f>
        <v>UNIQUE</v>
      </c>
      <c r="L971" s="18">
        <v>4</v>
      </c>
      <c r="M971" s="28">
        <v>37</v>
      </c>
      <c r="N971" s="6">
        <v>4</v>
      </c>
      <c r="O971" s="30">
        <f t="shared" si="94"/>
        <v>148</v>
      </c>
      <c r="P971" s="30">
        <f t="shared" si="95"/>
        <v>148</v>
      </c>
      <c r="Q971" s="1">
        <f>COUNTIFS($P:$P, "&gt;" &amp; $P971) + 1</f>
        <v>4396</v>
      </c>
      <c r="R971" s="63">
        <f>(COUNTIFS($P:$P, "&gt;" &amp; $P971) + 1) / (COUNTA($I:$I) - 1)</f>
        <v>0.87919999999999998</v>
      </c>
      <c r="S971" s="23">
        <f>SUMIFS($P:$P, $Q:$Q, "&lt;" &amp; $Q971)</f>
        <v>186525423</v>
      </c>
    </row>
    <row r="972" spans="1:19" x14ac:dyDescent="0.25">
      <c r="A972" s="1">
        <v>967</v>
      </c>
      <c r="B972" s="1" t="s">
        <v>2</v>
      </c>
      <c r="C972" s="1" t="str">
        <f>IF($B972 = "Production Item", _xlfn.XLOOKUP($A972, 'Instrument Table'!$J:$J, 'Instrument Table'!$B:$B, $C971), IF($B972 = "Service Item", _xlfn.XLOOKUP($A972, 'Instrument Table'!$I:$I, 'Instrument Table'!$B:$B, $C971), _xlfn.XLOOKUP($A972, 'Instrument Table'!$H:$H, 'Instrument Table'!$B:$B, $C971)))</f>
        <v>Violin</v>
      </c>
      <c r="D972" s="1" t="str">
        <f>VLOOKUP($C972, 'Instrument Table'!$B:$C, 2, FALSE)</f>
        <v>Strings</v>
      </c>
      <c r="E972" s="1">
        <f t="shared" si="90"/>
        <v>1</v>
      </c>
      <c r="F972" s="1">
        <f>_xlfn.XLOOKUP($C972, 'Instrument Table'!$B:$B, 'Instrument Table'!$A:$A, "")</f>
        <v>20</v>
      </c>
      <c r="G972" s="1" t="str">
        <f>TEXT(IF($B972 = "Retail Item", IF((ROW($A972) - 4504 - _xlfn.XMATCH($C972, $C$4506:$C$5005, 0, 1)) &lt;= VLOOKUP($C972, 'Instrument Table'!$B:$D, 3, FALSE), ROW($A972) - 4504 - _xlfn.XMATCH($C972, $C$4506:$C$5005, 0, 1), 0), 0), "00")</f>
        <v>00</v>
      </c>
      <c r="H972" s="1" t="str">
        <f t="shared" si="91"/>
        <v>016</v>
      </c>
      <c r="I972" s="1" t="str">
        <f t="shared" si="92"/>
        <v>12000-016</v>
      </c>
      <c r="J972" s="1" t="str">
        <f t="shared" si="93"/>
        <v>Violin production item #016</v>
      </c>
      <c r="K972" s="1" t="str">
        <f>IF(SUM(COUNTIFS(I:I, I972)) &gt; 1, "DUPLICATE", "UNIQUE")</f>
        <v>UNIQUE</v>
      </c>
      <c r="L972" s="18">
        <v>1</v>
      </c>
      <c r="M972" s="28">
        <v>88</v>
      </c>
      <c r="N972" s="6">
        <v>400</v>
      </c>
      <c r="O972" s="30">
        <f t="shared" si="94"/>
        <v>88</v>
      </c>
      <c r="P972" s="30">
        <f t="shared" si="95"/>
        <v>35200</v>
      </c>
      <c r="Q972" s="1">
        <f>COUNTIFS($P:$P, "&gt;" &amp; $P972) + 1</f>
        <v>600</v>
      </c>
      <c r="R972" s="63">
        <f>(COUNTIFS($P:$P, "&gt;" &amp; $P972) + 1) / (COUNTA($I:$I) - 1)</f>
        <v>0.12</v>
      </c>
      <c r="S972" s="23">
        <f>SUMIFS($P:$P, $Q:$Q, "&lt;" &amp; $Q972)</f>
        <v>155870441</v>
      </c>
    </row>
    <row r="973" spans="1:19" x14ac:dyDescent="0.25">
      <c r="A973" s="1">
        <v>968</v>
      </c>
      <c r="B973" s="1" t="s">
        <v>2</v>
      </c>
      <c r="C973" s="1" t="str">
        <f>IF($B973 = "Production Item", _xlfn.XLOOKUP($A973, 'Instrument Table'!$J:$J, 'Instrument Table'!$B:$B, $C972), IF($B973 = "Service Item", _xlfn.XLOOKUP($A973, 'Instrument Table'!$I:$I, 'Instrument Table'!$B:$B, $C972), _xlfn.XLOOKUP($A973, 'Instrument Table'!$H:$H, 'Instrument Table'!$B:$B, $C972)))</f>
        <v>Violin</v>
      </c>
      <c r="D973" s="1" t="str">
        <f>VLOOKUP($C973, 'Instrument Table'!$B:$C, 2, FALSE)</f>
        <v>Strings</v>
      </c>
      <c r="E973" s="1">
        <f t="shared" si="90"/>
        <v>1</v>
      </c>
      <c r="F973" s="1">
        <f>_xlfn.XLOOKUP($C973, 'Instrument Table'!$B:$B, 'Instrument Table'!$A:$A, "")</f>
        <v>20</v>
      </c>
      <c r="G973" s="1" t="str">
        <f>TEXT(IF($B973 = "Retail Item", IF((ROW($A973) - 4504 - _xlfn.XMATCH($C973, $C$4506:$C$5005, 0, 1)) &lt;= VLOOKUP($C973, 'Instrument Table'!$B:$D, 3, FALSE), ROW($A973) - 4504 - _xlfn.XMATCH($C973, $C$4506:$C$5005, 0, 1), 0), 0), "00")</f>
        <v>00</v>
      </c>
      <c r="H973" s="1" t="str">
        <f t="shared" si="91"/>
        <v>017</v>
      </c>
      <c r="I973" s="1" t="str">
        <f t="shared" si="92"/>
        <v>12000-017</v>
      </c>
      <c r="J973" s="1" t="str">
        <f t="shared" si="93"/>
        <v>Violin production item #017</v>
      </c>
      <c r="K973" s="1" t="str">
        <f>IF(SUM(COUNTIFS(I:I, I973)) &gt; 1, "DUPLICATE", "UNIQUE")</f>
        <v>UNIQUE</v>
      </c>
      <c r="L973" s="18">
        <v>1</v>
      </c>
      <c r="M973" s="28">
        <v>18</v>
      </c>
      <c r="N973" s="6">
        <v>289</v>
      </c>
      <c r="O973" s="30">
        <f t="shared" si="94"/>
        <v>18</v>
      </c>
      <c r="P973" s="30">
        <f t="shared" si="95"/>
        <v>5202</v>
      </c>
      <c r="Q973" s="1">
        <f>COUNTIFS($P:$P, "&gt;" &amp; $P973) + 1</f>
        <v>2402</v>
      </c>
      <c r="R973" s="63">
        <f>(COUNTIFS($P:$P, "&gt;" &amp; $P973) + 1) / (COUNTA($I:$I) - 1)</f>
        <v>0.48039999999999999</v>
      </c>
      <c r="S973" s="23">
        <f>SUMIFS($P:$P, $Q:$Q, "&lt;" &amp; $Q973)</f>
        <v>182626926</v>
      </c>
    </row>
    <row r="974" spans="1:19" x14ac:dyDescent="0.25">
      <c r="A974" s="1">
        <v>969</v>
      </c>
      <c r="B974" s="1" t="s">
        <v>2</v>
      </c>
      <c r="C974" s="1" t="str">
        <f>IF($B974 = "Production Item", _xlfn.XLOOKUP($A974, 'Instrument Table'!$J:$J, 'Instrument Table'!$B:$B, $C973), IF($B974 = "Service Item", _xlfn.XLOOKUP($A974, 'Instrument Table'!$I:$I, 'Instrument Table'!$B:$B, $C973), _xlfn.XLOOKUP($A974, 'Instrument Table'!$H:$H, 'Instrument Table'!$B:$B, $C973)))</f>
        <v>Violin</v>
      </c>
      <c r="D974" s="1" t="str">
        <f>VLOOKUP($C974, 'Instrument Table'!$B:$C, 2, FALSE)</f>
        <v>Strings</v>
      </c>
      <c r="E974" s="1">
        <f t="shared" si="90"/>
        <v>1</v>
      </c>
      <c r="F974" s="1">
        <f>_xlfn.XLOOKUP($C974, 'Instrument Table'!$B:$B, 'Instrument Table'!$A:$A, "")</f>
        <v>20</v>
      </c>
      <c r="G974" s="1" t="str">
        <f>TEXT(IF($B974 = "Retail Item", IF((ROW($A974) - 4504 - _xlfn.XMATCH($C974, $C$4506:$C$5005, 0, 1)) &lt;= VLOOKUP($C974, 'Instrument Table'!$B:$D, 3, FALSE), ROW($A974) - 4504 - _xlfn.XMATCH($C974, $C$4506:$C$5005, 0, 1), 0), 0), "00")</f>
        <v>00</v>
      </c>
      <c r="H974" s="1" t="str">
        <f t="shared" si="91"/>
        <v>018</v>
      </c>
      <c r="I974" s="1" t="str">
        <f t="shared" si="92"/>
        <v>12000-018</v>
      </c>
      <c r="J974" s="1" t="str">
        <f t="shared" si="93"/>
        <v>Violin production item #018</v>
      </c>
      <c r="K974" s="1" t="str">
        <f>IF(SUM(COUNTIFS(I:I, I974)) &gt; 1, "DUPLICATE", "UNIQUE")</f>
        <v>UNIQUE</v>
      </c>
      <c r="L974" s="18">
        <v>0</v>
      </c>
      <c r="M974" s="28">
        <v>63</v>
      </c>
      <c r="N974" s="6">
        <v>121</v>
      </c>
      <c r="O974" s="30">
        <f t="shared" si="94"/>
        <v>0</v>
      </c>
      <c r="P974" s="30">
        <f t="shared" si="95"/>
        <v>7623</v>
      </c>
      <c r="Q974" s="1">
        <f>COUNTIFS($P:$P, "&gt;" &amp; $P974) + 1</f>
        <v>2053</v>
      </c>
      <c r="R974" s="63">
        <f>(COUNTIFS($P:$P, "&gt;" &amp; $P974) + 1) / (COUNTA($I:$I) - 1)</f>
        <v>0.41060000000000002</v>
      </c>
      <c r="S974" s="23">
        <f>SUMIFS($P:$P, $Q:$Q, "&lt;" &amp; $Q974)</f>
        <v>180407949</v>
      </c>
    </row>
    <row r="975" spans="1:19" x14ac:dyDescent="0.25">
      <c r="A975" s="1">
        <v>970</v>
      </c>
      <c r="B975" s="1" t="s">
        <v>2</v>
      </c>
      <c r="C975" s="1" t="str">
        <f>IF($B975 = "Production Item", _xlfn.XLOOKUP($A975, 'Instrument Table'!$J:$J, 'Instrument Table'!$B:$B, $C974), IF($B975 = "Service Item", _xlfn.XLOOKUP($A975, 'Instrument Table'!$I:$I, 'Instrument Table'!$B:$B, $C974), _xlfn.XLOOKUP($A975, 'Instrument Table'!$H:$H, 'Instrument Table'!$B:$B, $C974)))</f>
        <v>Violin</v>
      </c>
      <c r="D975" s="1" t="str">
        <f>VLOOKUP($C975, 'Instrument Table'!$B:$C, 2, FALSE)</f>
        <v>Strings</v>
      </c>
      <c r="E975" s="1">
        <f t="shared" si="90"/>
        <v>1</v>
      </c>
      <c r="F975" s="1">
        <f>_xlfn.XLOOKUP($C975, 'Instrument Table'!$B:$B, 'Instrument Table'!$A:$A, "")</f>
        <v>20</v>
      </c>
      <c r="G975" s="1" t="str">
        <f>TEXT(IF($B975 = "Retail Item", IF((ROW($A975) - 4504 - _xlfn.XMATCH($C975, $C$4506:$C$5005, 0, 1)) &lt;= VLOOKUP($C975, 'Instrument Table'!$B:$D, 3, FALSE), ROW($A975) - 4504 - _xlfn.XMATCH($C975, $C$4506:$C$5005, 0, 1), 0), 0), "00")</f>
        <v>00</v>
      </c>
      <c r="H975" s="1" t="str">
        <f t="shared" si="91"/>
        <v>019</v>
      </c>
      <c r="I975" s="1" t="str">
        <f t="shared" si="92"/>
        <v>12000-019</v>
      </c>
      <c r="J975" s="1" t="str">
        <f t="shared" si="93"/>
        <v>Violin production item #019</v>
      </c>
      <c r="K975" s="1" t="str">
        <f>IF(SUM(COUNTIFS(I:I, I975)) &gt; 1, "DUPLICATE", "UNIQUE")</f>
        <v>UNIQUE</v>
      </c>
      <c r="L975" s="18">
        <v>1</v>
      </c>
      <c r="M975" s="28">
        <v>1</v>
      </c>
      <c r="N975" s="6">
        <v>9</v>
      </c>
      <c r="O975" s="30">
        <f t="shared" si="94"/>
        <v>1</v>
      </c>
      <c r="P975" s="30">
        <f t="shared" si="95"/>
        <v>9</v>
      </c>
      <c r="Q975" s="1">
        <f>COUNTIFS($P:$P, "&gt;" &amp; $P975) + 1</f>
        <v>4723</v>
      </c>
      <c r="R975" s="63">
        <f>(COUNTIFS($P:$P, "&gt;" &amp; $P975) + 1) / (COUNTA($I:$I) - 1)</f>
        <v>0.9446</v>
      </c>
      <c r="S975" s="23">
        <f>SUMIFS($P:$P, $Q:$Q, "&lt;" &amp; $Q975)</f>
        <v>186547723</v>
      </c>
    </row>
    <row r="976" spans="1:19" x14ac:dyDescent="0.25">
      <c r="A976" s="1">
        <v>971</v>
      </c>
      <c r="B976" s="1" t="s">
        <v>2</v>
      </c>
      <c r="C976" s="1" t="str">
        <f>IF($B976 = "Production Item", _xlfn.XLOOKUP($A976, 'Instrument Table'!$J:$J, 'Instrument Table'!$B:$B, $C975), IF($B976 = "Service Item", _xlfn.XLOOKUP($A976, 'Instrument Table'!$I:$I, 'Instrument Table'!$B:$B, $C975), _xlfn.XLOOKUP($A976, 'Instrument Table'!$H:$H, 'Instrument Table'!$B:$B, $C975)))</f>
        <v>Violin</v>
      </c>
      <c r="D976" s="1" t="str">
        <f>VLOOKUP($C976, 'Instrument Table'!$B:$C, 2, FALSE)</f>
        <v>Strings</v>
      </c>
      <c r="E976" s="1">
        <f t="shared" si="90"/>
        <v>1</v>
      </c>
      <c r="F976" s="1">
        <f>_xlfn.XLOOKUP($C976, 'Instrument Table'!$B:$B, 'Instrument Table'!$A:$A, "")</f>
        <v>20</v>
      </c>
      <c r="G976" s="1" t="str">
        <f>TEXT(IF($B976 = "Retail Item", IF((ROW($A976) - 4504 - _xlfn.XMATCH($C976, $C$4506:$C$5005, 0, 1)) &lt;= VLOOKUP($C976, 'Instrument Table'!$B:$D, 3, FALSE), ROW($A976) - 4504 - _xlfn.XMATCH($C976, $C$4506:$C$5005, 0, 1), 0), 0), "00")</f>
        <v>00</v>
      </c>
      <c r="H976" s="1" t="str">
        <f t="shared" si="91"/>
        <v>020</v>
      </c>
      <c r="I976" s="1" t="str">
        <f t="shared" si="92"/>
        <v>12000-020</v>
      </c>
      <c r="J976" s="1" t="str">
        <f t="shared" si="93"/>
        <v>Violin production item #020</v>
      </c>
      <c r="K976" s="1" t="str">
        <f>IF(SUM(COUNTIFS(I:I, I976)) &gt; 1, "DUPLICATE", "UNIQUE")</f>
        <v>UNIQUE</v>
      </c>
      <c r="L976" s="18">
        <v>0</v>
      </c>
      <c r="M976" s="28">
        <v>71</v>
      </c>
      <c r="N976" s="6">
        <v>361</v>
      </c>
      <c r="O976" s="30">
        <f t="shared" si="94"/>
        <v>0</v>
      </c>
      <c r="P976" s="30">
        <f t="shared" si="95"/>
        <v>25631</v>
      </c>
      <c r="Q976" s="1">
        <f>COUNTIFS($P:$P, "&gt;" &amp; $P976) + 1</f>
        <v>805</v>
      </c>
      <c r="R976" s="63">
        <f>(COUNTIFS($P:$P, "&gt;" &amp; $P976) + 1) / (COUNTA($I:$I) - 1)</f>
        <v>0.161</v>
      </c>
      <c r="S976" s="23">
        <f>SUMIFS($P:$P, $Q:$Q, "&lt;" &amp; $Q976)</f>
        <v>161956279</v>
      </c>
    </row>
    <row r="977" spans="1:19" x14ac:dyDescent="0.25">
      <c r="A977" s="1">
        <v>972</v>
      </c>
      <c r="B977" s="1" t="s">
        <v>2</v>
      </c>
      <c r="C977" s="1" t="str">
        <f>IF($B977 = "Production Item", _xlfn.XLOOKUP($A977, 'Instrument Table'!$J:$J, 'Instrument Table'!$B:$B, $C976), IF($B977 = "Service Item", _xlfn.XLOOKUP($A977, 'Instrument Table'!$I:$I, 'Instrument Table'!$B:$B, $C976), _xlfn.XLOOKUP($A977, 'Instrument Table'!$H:$H, 'Instrument Table'!$B:$B, $C976)))</f>
        <v>Violin</v>
      </c>
      <c r="D977" s="1" t="str">
        <f>VLOOKUP($C977, 'Instrument Table'!$B:$C, 2, FALSE)</f>
        <v>Strings</v>
      </c>
      <c r="E977" s="1">
        <f t="shared" si="90"/>
        <v>1</v>
      </c>
      <c r="F977" s="1">
        <f>_xlfn.XLOOKUP($C977, 'Instrument Table'!$B:$B, 'Instrument Table'!$A:$A, "")</f>
        <v>20</v>
      </c>
      <c r="G977" s="1" t="str">
        <f>TEXT(IF($B977 = "Retail Item", IF((ROW($A977) - 4504 - _xlfn.XMATCH($C977, $C$4506:$C$5005, 0, 1)) &lt;= VLOOKUP($C977, 'Instrument Table'!$B:$D, 3, FALSE), ROW($A977) - 4504 - _xlfn.XMATCH($C977, $C$4506:$C$5005, 0, 1), 0), 0), "00")</f>
        <v>00</v>
      </c>
      <c r="H977" s="1" t="str">
        <f t="shared" si="91"/>
        <v>021</v>
      </c>
      <c r="I977" s="1" t="str">
        <f t="shared" si="92"/>
        <v>12000-021</v>
      </c>
      <c r="J977" s="1" t="str">
        <f t="shared" si="93"/>
        <v>Violin production item #021</v>
      </c>
      <c r="K977" s="1" t="str">
        <f>IF(SUM(COUNTIFS(I:I, I977)) &gt; 1, "DUPLICATE", "UNIQUE")</f>
        <v>UNIQUE</v>
      </c>
      <c r="L977" s="18">
        <v>0</v>
      </c>
      <c r="M977" s="28">
        <v>4</v>
      </c>
      <c r="N977" s="6">
        <v>64</v>
      </c>
      <c r="O977" s="30">
        <f t="shared" si="94"/>
        <v>0</v>
      </c>
      <c r="P977" s="30">
        <f t="shared" si="95"/>
        <v>256</v>
      </c>
      <c r="Q977" s="1">
        <f>COUNTIFS($P:$P, "&gt;" &amp; $P977) + 1</f>
        <v>4259</v>
      </c>
      <c r="R977" s="63">
        <f>(COUNTIFS($P:$P, "&gt;" &amp; $P977) + 1) / (COUNTA($I:$I) - 1)</f>
        <v>0.8518</v>
      </c>
      <c r="S977" s="23">
        <f>SUMIFS($P:$P, $Q:$Q, "&lt;" &amp; $Q977)</f>
        <v>186497451</v>
      </c>
    </row>
    <row r="978" spans="1:19" x14ac:dyDescent="0.25">
      <c r="A978" s="1">
        <v>973</v>
      </c>
      <c r="B978" s="1" t="s">
        <v>2</v>
      </c>
      <c r="C978" s="1" t="str">
        <f>IF($B978 = "Production Item", _xlfn.XLOOKUP($A978, 'Instrument Table'!$J:$J, 'Instrument Table'!$B:$B, $C977), IF($B978 = "Service Item", _xlfn.XLOOKUP($A978, 'Instrument Table'!$I:$I, 'Instrument Table'!$B:$B, $C977), _xlfn.XLOOKUP($A978, 'Instrument Table'!$H:$H, 'Instrument Table'!$B:$B, $C977)))</f>
        <v>Violin</v>
      </c>
      <c r="D978" s="1" t="str">
        <f>VLOOKUP($C978, 'Instrument Table'!$B:$C, 2, FALSE)</f>
        <v>Strings</v>
      </c>
      <c r="E978" s="1">
        <f t="shared" si="90"/>
        <v>1</v>
      </c>
      <c r="F978" s="1">
        <f>_xlfn.XLOOKUP($C978, 'Instrument Table'!$B:$B, 'Instrument Table'!$A:$A, "")</f>
        <v>20</v>
      </c>
      <c r="G978" s="1" t="str">
        <f>TEXT(IF($B978 = "Retail Item", IF((ROW($A978) - 4504 - _xlfn.XMATCH($C978, $C$4506:$C$5005, 0, 1)) &lt;= VLOOKUP($C978, 'Instrument Table'!$B:$D, 3, FALSE), ROW($A978) - 4504 - _xlfn.XMATCH($C978, $C$4506:$C$5005, 0, 1), 0), 0), "00")</f>
        <v>00</v>
      </c>
      <c r="H978" s="1" t="str">
        <f t="shared" si="91"/>
        <v>022</v>
      </c>
      <c r="I978" s="1" t="str">
        <f t="shared" si="92"/>
        <v>12000-022</v>
      </c>
      <c r="J978" s="1" t="str">
        <f t="shared" si="93"/>
        <v>Violin production item #022</v>
      </c>
      <c r="K978" s="1" t="str">
        <f>IF(SUM(COUNTIFS(I:I, I978)) &gt; 1, "DUPLICATE", "UNIQUE")</f>
        <v>UNIQUE</v>
      </c>
      <c r="L978" s="18">
        <v>2</v>
      </c>
      <c r="M978" s="28">
        <v>66</v>
      </c>
      <c r="N978" s="6">
        <v>64</v>
      </c>
      <c r="O978" s="30">
        <f t="shared" si="94"/>
        <v>132</v>
      </c>
      <c r="P978" s="30">
        <f t="shared" si="95"/>
        <v>4224</v>
      </c>
      <c r="Q978" s="1">
        <f>COUNTIFS($P:$P, "&gt;" &amp; $P978) + 1</f>
        <v>2605</v>
      </c>
      <c r="R978" s="63">
        <f>(COUNTIFS($P:$P, "&gt;" &amp; $P978) + 1) / (COUNTA($I:$I) - 1)</f>
        <v>0.52100000000000002</v>
      </c>
      <c r="S978" s="23">
        <f>SUMIFS($P:$P, $Q:$Q, "&lt;" &amp; $Q978)</f>
        <v>183584543</v>
      </c>
    </row>
    <row r="979" spans="1:19" x14ac:dyDescent="0.25">
      <c r="A979" s="1">
        <v>974</v>
      </c>
      <c r="B979" s="1" t="s">
        <v>2</v>
      </c>
      <c r="C979" s="1" t="str">
        <f>IF($B979 = "Production Item", _xlfn.XLOOKUP($A979, 'Instrument Table'!$J:$J, 'Instrument Table'!$B:$B, $C978), IF($B979 = "Service Item", _xlfn.XLOOKUP($A979, 'Instrument Table'!$I:$I, 'Instrument Table'!$B:$B, $C978), _xlfn.XLOOKUP($A979, 'Instrument Table'!$H:$H, 'Instrument Table'!$B:$B, $C978)))</f>
        <v>Violin</v>
      </c>
      <c r="D979" s="1" t="str">
        <f>VLOOKUP($C979, 'Instrument Table'!$B:$C, 2, FALSE)</f>
        <v>Strings</v>
      </c>
      <c r="E979" s="1">
        <f t="shared" si="90"/>
        <v>1</v>
      </c>
      <c r="F979" s="1">
        <f>_xlfn.XLOOKUP($C979, 'Instrument Table'!$B:$B, 'Instrument Table'!$A:$A, "")</f>
        <v>20</v>
      </c>
      <c r="G979" s="1" t="str">
        <f>TEXT(IF($B979 = "Retail Item", IF((ROW($A979) - 4504 - _xlfn.XMATCH($C979, $C$4506:$C$5005, 0, 1)) &lt;= VLOOKUP($C979, 'Instrument Table'!$B:$D, 3, FALSE), ROW($A979) - 4504 - _xlfn.XMATCH($C979, $C$4506:$C$5005, 0, 1), 0), 0), "00")</f>
        <v>00</v>
      </c>
      <c r="H979" s="1" t="str">
        <f t="shared" si="91"/>
        <v>023</v>
      </c>
      <c r="I979" s="1" t="str">
        <f t="shared" si="92"/>
        <v>12000-023</v>
      </c>
      <c r="J979" s="1" t="str">
        <f t="shared" si="93"/>
        <v>Violin production item #023</v>
      </c>
      <c r="K979" s="1" t="str">
        <f>IF(SUM(COUNTIFS(I:I, I979)) &gt; 1, "DUPLICATE", "UNIQUE")</f>
        <v>UNIQUE</v>
      </c>
      <c r="L979" s="18">
        <v>0</v>
      </c>
      <c r="M979" s="28">
        <v>48</v>
      </c>
      <c r="N979" s="6">
        <v>9</v>
      </c>
      <c r="O979" s="30">
        <f t="shared" si="94"/>
        <v>0</v>
      </c>
      <c r="P979" s="30">
        <f t="shared" si="95"/>
        <v>432</v>
      </c>
      <c r="Q979" s="1">
        <f>COUNTIFS($P:$P, "&gt;" &amp; $P979) + 1</f>
        <v>4071</v>
      </c>
      <c r="R979" s="63">
        <f>(COUNTIFS($P:$P, "&gt;" &amp; $P979) + 1) / (COUNTA($I:$I) - 1)</f>
        <v>0.81420000000000003</v>
      </c>
      <c r="S979" s="23">
        <f>SUMIFS($P:$P, $Q:$Q, "&lt;" &amp; $Q979)</f>
        <v>186432845</v>
      </c>
    </row>
    <row r="980" spans="1:19" x14ac:dyDescent="0.25">
      <c r="A980" s="1">
        <v>975</v>
      </c>
      <c r="B980" s="1" t="s">
        <v>2</v>
      </c>
      <c r="C980" s="1" t="str">
        <f>IF($B980 = "Production Item", _xlfn.XLOOKUP($A980, 'Instrument Table'!$J:$J, 'Instrument Table'!$B:$B, $C979), IF($B980 = "Service Item", _xlfn.XLOOKUP($A980, 'Instrument Table'!$I:$I, 'Instrument Table'!$B:$B, $C979), _xlfn.XLOOKUP($A980, 'Instrument Table'!$H:$H, 'Instrument Table'!$B:$B, $C979)))</f>
        <v>Violin</v>
      </c>
      <c r="D980" s="1" t="str">
        <f>VLOOKUP($C980, 'Instrument Table'!$B:$C, 2, FALSE)</f>
        <v>Strings</v>
      </c>
      <c r="E980" s="1">
        <f t="shared" si="90"/>
        <v>1</v>
      </c>
      <c r="F980" s="1">
        <f>_xlfn.XLOOKUP($C980, 'Instrument Table'!$B:$B, 'Instrument Table'!$A:$A, "")</f>
        <v>20</v>
      </c>
      <c r="G980" s="1" t="str">
        <f>TEXT(IF($B980 = "Retail Item", IF((ROW($A980) - 4504 - _xlfn.XMATCH($C980, $C$4506:$C$5005, 0, 1)) &lt;= VLOOKUP($C980, 'Instrument Table'!$B:$D, 3, FALSE), ROW($A980) - 4504 - _xlfn.XMATCH($C980, $C$4506:$C$5005, 0, 1), 0), 0), "00")</f>
        <v>00</v>
      </c>
      <c r="H980" s="1" t="str">
        <f t="shared" si="91"/>
        <v>024</v>
      </c>
      <c r="I980" s="1" t="str">
        <f t="shared" si="92"/>
        <v>12000-024</v>
      </c>
      <c r="J980" s="1" t="str">
        <f t="shared" si="93"/>
        <v>Violin production item #024</v>
      </c>
      <c r="K980" s="1" t="str">
        <f>IF(SUM(COUNTIFS(I:I, I980)) &gt; 1, "DUPLICATE", "UNIQUE")</f>
        <v>UNIQUE</v>
      </c>
      <c r="L980" s="18">
        <v>1</v>
      </c>
      <c r="M980" s="28">
        <v>99</v>
      </c>
      <c r="N980" s="6">
        <v>25</v>
      </c>
      <c r="O980" s="30">
        <f t="shared" si="94"/>
        <v>99</v>
      </c>
      <c r="P980" s="30">
        <f t="shared" si="95"/>
        <v>2475</v>
      </c>
      <c r="Q980" s="1">
        <f>COUNTIFS($P:$P, "&gt;" &amp; $P980) + 1</f>
        <v>3064</v>
      </c>
      <c r="R980" s="63">
        <f>(COUNTIFS($P:$P, "&gt;" &amp; $P980) + 1) / (COUNTA($I:$I) - 1)</f>
        <v>0.61280000000000001</v>
      </c>
      <c r="S980" s="23">
        <f>SUMIFS($P:$P, $Q:$Q, "&lt;" &amp; $Q980)</f>
        <v>185095466</v>
      </c>
    </row>
    <row r="981" spans="1:19" x14ac:dyDescent="0.25">
      <c r="A981" s="1">
        <v>976</v>
      </c>
      <c r="B981" s="1" t="s">
        <v>2</v>
      </c>
      <c r="C981" s="1" t="str">
        <f>IF($B981 = "Production Item", _xlfn.XLOOKUP($A981, 'Instrument Table'!$J:$J, 'Instrument Table'!$B:$B, $C980), IF($B981 = "Service Item", _xlfn.XLOOKUP($A981, 'Instrument Table'!$I:$I, 'Instrument Table'!$B:$B, $C980), _xlfn.XLOOKUP($A981, 'Instrument Table'!$H:$H, 'Instrument Table'!$B:$B, $C980)))</f>
        <v>Violin</v>
      </c>
      <c r="D981" s="1" t="str">
        <f>VLOOKUP($C981, 'Instrument Table'!$B:$C, 2, FALSE)</f>
        <v>Strings</v>
      </c>
      <c r="E981" s="1">
        <f t="shared" si="90"/>
        <v>1</v>
      </c>
      <c r="F981" s="1">
        <f>_xlfn.XLOOKUP($C981, 'Instrument Table'!$B:$B, 'Instrument Table'!$A:$A, "")</f>
        <v>20</v>
      </c>
      <c r="G981" s="1" t="str">
        <f>TEXT(IF($B981 = "Retail Item", IF((ROW($A981) - 4504 - _xlfn.XMATCH($C981, $C$4506:$C$5005, 0, 1)) &lt;= VLOOKUP($C981, 'Instrument Table'!$B:$D, 3, FALSE), ROW($A981) - 4504 - _xlfn.XMATCH($C981, $C$4506:$C$5005, 0, 1), 0), 0), "00")</f>
        <v>00</v>
      </c>
      <c r="H981" s="1" t="str">
        <f t="shared" si="91"/>
        <v>025</v>
      </c>
      <c r="I981" s="1" t="str">
        <f t="shared" si="92"/>
        <v>12000-025</v>
      </c>
      <c r="J981" s="1" t="str">
        <f t="shared" si="93"/>
        <v>Violin production item #025</v>
      </c>
      <c r="K981" s="1" t="str">
        <f>IF(SUM(COUNTIFS(I:I, I981)) &gt; 1, "DUPLICATE", "UNIQUE")</f>
        <v>UNIQUE</v>
      </c>
      <c r="L981" s="18">
        <v>32</v>
      </c>
      <c r="M981" s="28">
        <v>51</v>
      </c>
      <c r="N981" s="6">
        <v>16</v>
      </c>
      <c r="O981" s="30">
        <f t="shared" si="94"/>
        <v>1632</v>
      </c>
      <c r="P981" s="30">
        <f t="shared" si="95"/>
        <v>816</v>
      </c>
      <c r="Q981" s="1">
        <f>COUNTIFS($P:$P, "&gt;" &amp; $P981) + 1</f>
        <v>3782</v>
      </c>
      <c r="R981" s="63">
        <f>(COUNTIFS($P:$P, "&gt;" &amp; $P981) + 1) / (COUNTA($I:$I) - 1)</f>
        <v>0.75639999999999996</v>
      </c>
      <c r="S981" s="23">
        <f>SUMIFS($P:$P, $Q:$Q, "&lt;" &amp; $Q981)</f>
        <v>186251204</v>
      </c>
    </row>
    <row r="982" spans="1:19" x14ac:dyDescent="0.25">
      <c r="A982" s="1">
        <v>977</v>
      </c>
      <c r="B982" s="1" t="s">
        <v>2</v>
      </c>
      <c r="C982" s="1" t="str">
        <f>IF($B982 = "Production Item", _xlfn.XLOOKUP($A982, 'Instrument Table'!$J:$J, 'Instrument Table'!$B:$B, $C981), IF($B982 = "Service Item", _xlfn.XLOOKUP($A982, 'Instrument Table'!$I:$I, 'Instrument Table'!$B:$B, $C981), _xlfn.XLOOKUP($A982, 'Instrument Table'!$H:$H, 'Instrument Table'!$B:$B, $C981)))</f>
        <v>Violin</v>
      </c>
      <c r="D982" s="1" t="str">
        <f>VLOOKUP($C982, 'Instrument Table'!$B:$C, 2, FALSE)</f>
        <v>Strings</v>
      </c>
      <c r="E982" s="1">
        <f t="shared" si="90"/>
        <v>1</v>
      </c>
      <c r="F982" s="1">
        <f>_xlfn.XLOOKUP($C982, 'Instrument Table'!$B:$B, 'Instrument Table'!$A:$A, "")</f>
        <v>20</v>
      </c>
      <c r="G982" s="1" t="str">
        <f>TEXT(IF($B982 = "Retail Item", IF((ROW($A982) - 4504 - _xlfn.XMATCH($C982, $C$4506:$C$5005, 0, 1)) &lt;= VLOOKUP($C982, 'Instrument Table'!$B:$D, 3, FALSE), ROW($A982) - 4504 - _xlfn.XMATCH($C982, $C$4506:$C$5005, 0, 1), 0), 0), "00")</f>
        <v>00</v>
      </c>
      <c r="H982" s="1" t="str">
        <f t="shared" si="91"/>
        <v>026</v>
      </c>
      <c r="I982" s="1" t="str">
        <f t="shared" si="92"/>
        <v>12000-026</v>
      </c>
      <c r="J982" s="1" t="str">
        <f t="shared" si="93"/>
        <v>Violin production item #026</v>
      </c>
      <c r="K982" s="1" t="str">
        <f>IF(SUM(COUNTIFS(I:I, I982)) &gt; 1, "DUPLICATE", "UNIQUE")</f>
        <v>UNIQUE</v>
      </c>
      <c r="L982" s="18">
        <v>1</v>
      </c>
      <c r="M982" s="28">
        <v>91</v>
      </c>
      <c r="N982" s="6">
        <v>100</v>
      </c>
      <c r="O982" s="30">
        <f t="shared" si="94"/>
        <v>91</v>
      </c>
      <c r="P982" s="30">
        <f t="shared" si="95"/>
        <v>9100</v>
      </c>
      <c r="Q982" s="1">
        <f>COUNTIFS($P:$P, "&gt;" &amp; $P982) + 1</f>
        <v>1863</v>
      </c>
      <c r="R982" s="63">
        <f>(COUNTIFS($P:$P, "&gt;" &amp; $P982) + 1) / (COUNTA($I:$I) - 1)</f>
        <v>0.37259999999999999</v>
      </c>
      <c r="S982" s="23">
        <f>SUMIFS($P:$P, $Q:$Q, "&lt;" &amp; $Q982)</f>
        <v>178833125</v>
      </c>
    </row>
    <row r="983" spans="1:19" x14ac:dyDescent="0.25">
      <c r="A983" s="1">
        <v>978</v>
      </c>
      <c r="B983" s="1" t="s">
        <v>2</v>
      </c>
      <c r="C983" s="1" t="str">
        <f>IF($B983 = "Production Item", _xlfn.XLOOKUP($A983, 'Instrument Table'!$J:$J, 'Instrument Table'!$B:$B, $C982), IF($B983 = "Service Item", _xlfn.XLOOKUP($A983, 'Instrument Table'!$I:$I, 'Instrument Table'!$B:$B, $C982), _xlfn.XLOOKUP($A983, 'Instrument Table'!$H:$H, 'Instrument Table'!$B:$B, $C982)))</f>
        <v>Violin</v>
      </c>
      <c r="D983" s="1" t="str">
        <f>VLOOKUP($C983, 'Instrument Table'!$B:$C, 2, FALSE)</f>
        <v>Strings</v>
      </c>
      <c r="E983" s="1">
        <f t="shared" si="90"/>
        <v>1</v>
      </c>
      <c r="F983" s="1">
        <f>_xlfn.XLOOKUP($C983, 'Instrument Table'!$B:$B, 'Instrument Table'!$A:$A, "")</f>
        <v>20</v>
      </c>
      <c r="G983" s="1" t="str">
        <f>TEXT(IF($B983 = "Retail Item", IF((ROW($A983) - 4504 - _xlfn.XMATCH($C983, $C$4506:$C$5005, 0, 1)) &lt;= VLOOKUP($C983, 'Instrument Table'!$B:$D, 3, FALSE), ROW($A983) - 4504 - _xlfn.XMATCH($C983, $C$4506:$C$5005, 0, 1), 0), 0), "00")</f>
        <v>00</v>
      </c>
      <c r="H983" s="1" t="str">
        <f t="shared" si="91"/>
        <v>027</v>
      </c>
      <c r="I983" s="1" t="str">
        <f t="shared" si="92"/>
        <v>12000-027</v>
      </c>
      <c r="J983" s="1" t="str">
        <f t="shared" si="93"/>
        <v>Violin production item #027</v>
      </c>
      <c r="K983" s="1" t="str">
        <f>IF(SUM(COUNTIFS(I:I, I983)) &gt; 1, "DUPLICATE", "UNIQUE")</f>
        <v>UNIQUE</v>
      </c>
      <c r="L983" s="18">
        <v>1</v>
      </c>
      <c r="M983" s="28">
        <v>39</v>
      </c>
      <c r="N983" s="6">
        <v>225</v>
      </c>
      <c r="O983" s="30">
        <f t="shared" si="94"/>
        <v>39</v>
      </c>
      <c r="P983" s="30">
        <f t="shared" si="95"/>
        <v>8775</v>
      </c>
      <c r="Q983" s="1">
        <f>COUNTIFS($P:$P, "&gt;" &amp; $P983) + 1</f>
        <v>1904</v>
      </c>
      <c r="R983" s="63">
        <f>(COUNTIFS($P:$P, "&gt;" &amp; $P983) + 1) / (COUNTA($I:$I) - 1)</f>
        <v>0.38080000000000003</v>
      </c>
      <c r="S983" s="23">
        <f>SUMIFS($P:$P, $Q:$Q, "&lt;" &amp; $Q983)</f>
        <v>179198663</v>
      </c>
    </row>
    <row r="984" spans="1:19" x14ac:dyDescent="0.25">
      <c r="A984" s="1">
        <v>979</v>
      </c>
      <c r="B984" s="1" t="s">
        <v>2</v>
      </c>
      <c r="C984" s="1" t="str">
        <f>IF($B984 = "Production Item", _xlfn.XLOOKUP($A984, 'Instrument Table'!$J:$J, 'Instrument Table'!$B:$B, $C983), IF($B984 = "Service Item", _xlfn.XLOOKUP($A984, 'Instrument Table'!$I:$I, 'Instrument Table'!$B:$B, $C983), _xlfn.XLOOKUP($A984, 'Instrument Table'!$H:$H, 'Instrument Table'!$B:$B, $C983)))</f>
        <v>Violin</v>
      </c>
      <c r="D984" s="1" t="str">
        <f>VLOOKUP($C984, 'Instrument Table'!$B:$C, 2, FALSE)</f>
        <v>Strings</v>
      </c>
      <c r="E984" s="1">
        <f t="shared" si="90"/>
        <v>1</v>
      </c>
      <c r="F984" s="1">
        <f>_xlfn.XLOOKUP($C984, 'Instrument Table'!$B:$B, 'Instrument Table'!$A:$A, "")</f>
        <v>20</v>
      </c>
      <c r="G984" s="1" t="str">
        <f>TEXT(IF($B984 = "Retail Item", IF((ROW($A984) - 4504 - _xlfn.XMATCH($C984, $C$4506:$C$5005, 0, 1)) &lt;= VLOOKUP($C984, 'Instrument Table'!$B:$D, 3, FALSE), ROW($A984) - 4504 - _xlfn.XMATCH($C984, $C$4506:$C$5005, 0, 1), 0), 0), "00")</f>
        <v>00</v>
      </c>
      <c r="H984" s="1" t="str">
        <f t="shared" si="91"/>
        <v>028</v>
      </c>
      <c r="I984" s="1" t="str">
        <f t="shared" si="92"/>
        <v>12000-028</v>
      </c>
      <c r="J984" s="1" t="str">
        <f t="shared" si="93"/>
        <v>Violin production item #028</v>
      </c>
      <c r="K984" s="1" t="str">
        <f>IF(SUM(COUNTIFS(I:I, I984)) &gt; 1, "DUPLICATE", "UNIQUE")</f>
        <v>UNIQUE</v>
      </c>
      <c r="L984" s="18">
        <v>1</v>
      </c>
      <c r="M984" s="28">
        <v>78</v>
      </c>
      <c r="N984" s="6">
        <v>1</v>
      </c>
      <c r="O984" s="30">
        <f t="shared" si="94"/>
        <v>78</v>
      </c>
      <c r="P984" s="30">
        <f t="shared" si="95"/>
        <v>78</v>
      </c>
      <c r="Q984" s="1">
        <f>COUNTIFS($P:$P, "&gt;" &amp; $P984) + 1</f>
        <v>4519</v>
      </c>
      <c r="R984" s="63">
        <f>(COUNTIFS($P:$P, "&gt;" &amp; $P984) + 1) / (COUNTA($I:$I) - 1)</f>
        <v>0.90380000000000005</v>
      </c>
      <c r="S984" s="23">
        <f>SUMIFS($P:$P, $Q:$Q, "&lt;" &amp; $Q984)</f>
        <v>186538402</v>
      </c>
    </row>
    <row r="985" spans="1:19" x14ac:dyDescent="0.25">
      <c r="A985" s="1">
        <v>980</v>
      </c>
      <c r="B985" s="1" t="s">
        <v>2</v>
      </c>
      <c r="C985" s="1" t="str">
        <f>IF($B985 = "Production Item", _xlfn.XLOOKUP($A985, 'Instrument Table'!$J:$J, 'Instrument Table'!$B:$B, $C984), IF($B985 = "Service Item", _xlfn.XLOOKUP($A985, 'Instrument Table'!$I:$I, 'Instrument Table'!$B:$B, $C984), _xlfn.XLOOKUP($A985, 'Instrument Table'!$H:$H, 'Instrument Table'!$B:$B, $C984)))</f>
        <v>Violin</v>
      </c>
      <c r="D985" s="1" t="str">
        <f>VLOOKUP($C985, 'Instrument Table'!$B:$C, 2, FALSE)</f>
        <v>Strings</v>
      </c>
      <c r="E985" s="1">
        <f t="shared" si="90"/>
        <v>1</v>
      </c>
      <c r="F985" s="1">
        <f>_xlfn.XLOOKUP($C985, 'Instrument Table'!$B:$B, 'Instrument Table'!$A:$A, "")</f>
        <v>20</v>
      </c>
      <c r="G985" s="1" t="str">
        <f>TEXT(IF($B985 = "Retail Item", IF((ROW($A985) - 4504 - _xlfn.XMATCH($C985, $C$4506:$C$5005, 0, 1)) &lt;= VLOOKUP($C985, 'Instrument Table'!$B:$D, 3, FALSE), ROW($A985) - 4504 - _xlfn.XMATCH($C985, $C$4506:$C$5005, 0, 1), 0), 0), "00")</f>
        <v>00</v>
      </c>
      <c r="H985" s="1" t="str">
        <f t="shared" si="91"/>
        <v>029</v>
      </c>
      <c r="I985" s="1" t="str">
        <f t="shared" si="92"/>
        <v>12000-029</v>
      </c>
      <c r="J985" s="1" t="str">
        <f t="shared" si="93"/>
        <v>Violin production item #029</v>
      </c>
      <c r="K985" s="1" t="str">
        <f>IF(SUM(COUNTIFS(I:I, I985)) &gt; 1, "DUPLICATE", "UNIQUE")</f>
        <v>UNIQUE</v>
      </c>
      <c r="L985" s="18">
        <v>1</v>
      </c>
      <c r="M985" s="28">
        <v>72</v>
      </c>
      <c r="N985" s="6">
        <v>361</v>
      </c>
      <c r="O985" s="30">
        <f t="shared" si="94"/>
        <v>72</v>
      </c>
      <c r="P985" s="30">
        <f t="shared" si="95"/>
        <v>25992</v>
      </c>
      <c r="Q985" s="1">
        <f>COUNTIFS($P:$P, "&gt;" &amp; $P985) + 1</f>
        <v>790</v>
      </c>
      <c r="R985" s="63">
        <f>(COUNTIFS($P:$P, "&gt;" &amp; $P985) + 1) / (COUNTA($I:$I) - 1)</f>
        <v>0.158</v>
      </c>
      <c r="S985" s="23">
        <f>SUMIFS($P:$P, $Q:$Q, "&lt;" &amp; $Q985)</f>
        <v>161569013</v>
      </c>
    </row>
    <row r="986" spans="1:19" x14ac:dyDescent="0.25">
      <c r="A986" s="1">
        <v>981</v>
      </c>
      <c r="B986" s="1" t="s">
        <v>2</v>
      </c>
      <c r="C986" s="1" t="str">
        <f>IF($B986 = "Production Item", _xlfn.XLOOKUP($A986, 'Instrument Table'!$J:$J, 'Instrument Table'!$B:$B, $C985), IF($B986 = "Service Item", _xlfn.XLOOKUP($A986, 'Instrument Table'!$I:$I, 'Instrument Table'!$B:$B, $C985), _xlfn.XLOOKUP($A986, 'Instrument Table'!$H:$H, 'Instrument Table'!$B:$B, $C985)))</f>
        <v>Violin</v>
      </c>
      <c r="D986" s="1" t="str">
        <f>VLOOKUP($C986, 'Instrument Table'!$B:$C, 2, FALSE)</f>
        <v>Strings</v>
      </c>
      <c r="E986" s="1">
        <f t="shared" si="90"/>
        <v>1</v>
      </c>
      <c r="F986" s="1">
        <f>_xlfn.XLOOKUP($C986, 'Instrument Table'!$B:$B, 'Instrument Table'!$A:$A, "")</f>
        <v>20</v>
      </c>
      <c r="G986" s="1" t="str">
        <f>TEXT(IF($B986 = "Retail Item", IF((ROW($A986) - 4504 - _xlfn.XMATCH($C986, $C$4506:$C$5005, 0, 1)) &lt;= VLOOKUP($C986, 'Instrument Table'!$B:$D, 3, FALSE), ROW($A986) - 4504 - _xlfn.XMATCH($C986, $C$4506:$C$5005, 0, 1), 0), 0), "00")</f>
        <v>00</v>
      </c>
      <c r="H986" s="1" t="str">
        <f t="shared" si="91"/>
        <v>030</v>
      </c>
      <c r="I986" s="1" t="str">
        <f t="shared" si="92"/>
        <v>12000-030</v>
      </c>
      <c r="J986" s="1" t="str">
        <f t="shared" si="93"/>
        <v>Violin production item #030</v>
      </c>
      <c r="K986" s="1" t="str">
        <f>IF(SUM(COUNTIFS(I:I, I986)) &gt; 1, "DUPLICATE", "UNIQUE")</f>
        <v>UNIQUE</v>
      </c>
      <c r="L986" s="18">
        <v>0</v>
      </c>
      <c r="M986" s="28">
        <v>34</v>
      </c>
      <c r="N986" s="6">
        <v>100</v>
      </c>
      <c r="O986" s="30">
        <f t="shared" si="94"/>
        <v>0</v>
      </c>
      <c r="P986" s="30">
        <f t="shared" si="95"/>
        <v>3400</v>
      </c>
      <c r="Q986" s="1">
        <f>COUNTIFS($P:$P, "&gt;" &amp; $P986) + 1</f>
        <v>2801</v>
      </c>
      <c r="R986" s="63">
        <f>(COUNTIFS($P:$P, "&gt;" &amp; $P986) + 1) / (COUNTA($I:$I) - 1)</f>
        <v>0.56020000000000003</v>
      </c>
      <c r="S986" s="23">
        <f>SUMIFS($P:$P, $Q:$Q, "&lt;" &amp; $Q986)</f>
        <v>184329315</v>
      </c>
    </row>
    <row r="987" spans="1:19" x14ac:dyDescent="0.25">
      <c r="A987" s="1">
        <v>982</v>
      </c>
      <c r="B987" s="1" t="s">
        <v>2</v>
      </c>
      <c r="C987" s="1" t="str">
        <f>IF($B987 = "Production Item", _xlfn.XLOOKUP($A987, 'Instrument Table'!$J:$J, 'Instrument Table'!$B:$B, $C986), IF($B987 = "Service Item", _xlfn.XLOOKUP($A987, 'Instrument Table'!$I:$I, 'Instrument Table'!$B:$B, $C986), _xlfn.XLOOKUP($A987, 'Instrument Table'!$H:$H, 'Instrument Table'!$B:$B, $C986)))</f>
        <v>Violin</v>
      </c>
      <c r="D987" s="1" t="str">
        <f>VLOOKUP($C987, 'Instrument Table'!$B:$C, 2, FALSE)</f>
        <v>Strings</v>
      </c>
      <c r="E987" s="1">
        <f t="shared" si="90"/>
        <v>1</v>
      </c>
      <c r="F987" s="1">
        <f>_xlfn.XLOOKUP($C987, 'Instrument Table'!$B:$B, 'Instrument Table'!$A:$A, "")</f>
        <v>20</v>
      </c>
      <c r="G987" s="1" t="str">
        <f>TEXT(IF($B987 = "Retail Item", IF((ROW($A987) - 4504 - _xlfn.XMATCH($C987, $C$4506:$C$5005, 0, 1)) &lt;= VLOOKUP($C987, 'Instrument Table'!$B:$D, 3, FALSE), ROW($A987) - 4504 - _xlfn.XMATCH($C987, $C$4506:$C$5005, 0, 1), 0), 0), "00")</f>
        <v>00</v>
      </c>
      <c r="H987" s="1" t="str">
        <f t="shared" si="91"/>
        <v>031</v>
      </c>
      <c r="I987" s="1" t="str">
        <f t="shared" si="92"/>
        <v>12000-031</v>
      </c>
      <c r="J987" s="1" t="str">
        <f t="shared" si="93"/>
        <v>Violin production item #031</v>
      </c>
      <c r="K987" s="1" t="str">
        <f>IF(SUM(COUNTIFS(I:I, I987)) &gt; 1, "DUPLICATE", "UNIQUE")</f>
        <v>UNIQUE</v>
      </c>
      <c r="L987" s="18">
        <v>32</v>
      </c>
      <c r="M987" s="28">
        <v>22</v>
      </c>
      <c r="N987" s="6">
        <v>25</v>
      </c>
      <c r="O987" s="30">
        <f t="shared" si="94"/>
        <v>704</v>
      </c>
      <c r="P987" s="30">
        <f t="shared" si="95"/>
        <v>550</v>
      </c>
      <c r="Q987" s="1">
        <f>COUNTIFS($P:$P, "&gt;" &amp; $P987) + 1</f>
        <v>3978</v>
      </c>
      <c r="R987" s="63">
        <f>(COUNTIFS($P:$P, "&gt;" &amp; $P987) + 1) / (COUNTA($I:$I) - 1)</f>
        <v>0.79559999999999997</v>
      </c>
      <c r="S987" s="23">
        <f>SUMIFS($P:$P, $Q:$Q, "&lt;" &amp; $Q987)</f>
        <v>186386371</v>
      </c>
    </row>
    <row r="988" spans="1:19" x14ac:dyDescent="0.25">
      <c r="A988" s="1">
        <v>983</v>
      </c>
      <c r="B988" s="1" t="s">
        <v>2</v>
      </c>
      <c r="C988" s="1" t="str">
        <f>IF($B988 = "Production Item", _xlfn.XLOOKUP($A988, 'Instrument Table'!$J:$J, 'Instrument Table'!$B:$B, $C987), IF($B988 = "Service Item", _xlfn.XLOOKUP($A988, 'Instrument Table'!$I:$I, 'Instrument Table'!$B:$B, $C987), _xlfn.XLOOKUP($A988, 'Instrument Table'!$H:$H, 'Instrument Table'!$B:$B, $C987)))</f>
        <v>Violin</v>
      </c>
      <c r="D988" s="1" t="str">
        <f>VLOOKUP($C988, 'Instrument Table'!$B:$C, 2, FALSE)</f>
        <v>Strings</v>
      </c>
      <c r="E988" s="1">
        <f t="shared" si="90"/>
        <v>1</v>
      </c>
      <c r="F988" s="1">
        <f>_xlfn.XLOOKUP($C988, 'Instrument Table'!$B:$B, 'Instrument Table'!$A:$A, "")</f>
        <v>20</v>
      </c>
      <c r="G988" s="1" t="str">
        <f>TEXT(IF($B988 = "Retail Item", IF((ROW($A988) - 4504 - _xlfn.XMATCH($C988, $C$4506:$C$5005, 0, 1)) &lt;= VLOOKUP($C988, 'Instrument Table'!$B:$D, 3, FALSE), ROW($A988) - 4504 - _xlfn.XMATCH($C988, $C$4506:$C$5005, 0, 1), 0), 0), "00")</f>
        <v>00</v>
      </c>
      <c r="H988" s="1" t="str">
        <f t="shared" si="91"/>
        <v>032</v>
      </c>
      <c r="I988" s="1" t="str">
        <f t="shared" si="92"/>
        <v>12000-032</v>
      </c>
      <c r="J988" s="1" t="str">
        <f t="shared" si="93"/>
        <v>Violin production item #032</v>
      </c>
      <c r="K988" s="1" t="str">
        <f>IF(SUM(COUNTIFS(I:I, I988)) &gt; 1, "DUPLICATE", "UNIQUE")</f>
        <v>UNIQUE</v>
      </c>
      <c r="L988" s="18">
        <v>1</v>
      </c>
      <c r="M988" s="28">
        <v>26</v>
      </c>
      <c r="N988" s="6">
        <v>9</v>
      </c>
      <c r="O988" s="30">
        <f t="shared" si="94"/>
        <v>26</v>
      </c>
      <c r="P988" s="30">
        <f t="shared" si="95"/>
        <v>234</v>
      </c>
      <c r="Q988" s="1">
        <f>COUNTIFS($P:$P, "&gt;" &amp; $P988) + 1</f>
        <v>4288</v>
      </c>
      <c r="R988" s="63">
        <f>(COUNTIFS($P:$P, "&gt;" &amp; $P988) + 1) / (COUNTA($I:$I) - 1)</f>
        <v>0.85760000000000003</v>
      </c>
      <c r="S988" s="23">
        <f>SUMIFS($P:$P, $Q:$Q, "&lt;" &amp; $Q988)</f>
        <v>186504707</v>
      </c>
    </row>
    <row r="989" spans="1:19" x14ac:dyDescent="0.25">
      <c r="A989" s="1">
        <v>984</v>
      </c>
      <c r="B989" s="1" t="s">
        <v>2</v>
      </c>
      <c r="C989" s="1" t="str">
        <f>IF($B989 = "Production Item", _xlfn.XLOOKUP($A989, 'Instrument Table'!$J:$J, 'Instrument Table'!$B:$B, $C988), IF($B989 = "Service Item", _xlfn.XLOOKUP($A989, 'Instrument Table'!$I:$I, 'Instrument Table'!$B:$B, $C988), _xlfn.XLOOKUP($A989, 'Instrument Table'!$H:$H, 'Instrument Table'!$B:$B, $C988)))</f>
        <v>Violin</v>
      </c>
      <c r="D989" s="1" t="str">
        <f>VLOOKUP($C989, 'Instrument Table'!$B:$C, 2, FALSE)</f>
        <v>Strings</v>
      </c>
      <c r="E989" s="1">
        <f t="shared" si="90"/>
        <v>1</v>
      </c>
      <c r="F989" s="1">
        <f>_xlfn.XLOOKUP($C989, 'Instrument Table'!$B:$B, 'Instrument Table'!$A:$A, "")</f>
        <v>20</v>
      </c>
      <c r="G989" s="1" t="str">
        <f>TEXT(IF($B989 = "Retail Item", IF((ROW($A989) - 4504 - _xlfn.XMATCH($C989, $C$4506:$C$5005, 0, 1)) &lt;= VLOOKUP($C989, 'Instrument Table'!$B:$D, 3, FALSE), ROW($A989) - 4504 - _xlfn.XMATCH($C989, $C$4506:$C$5005, 0, 1), 0), 0), "00")</f>
        <v>00</v>
      </c>
      <c r="H989" s="1" t="str">
        <f t="shared" si="91"/>
        <v>033</v>
      </c>
      <c r="I989" s="1" t="str">
        <f t="shared" si="92"/>
        <v>12000-033</v>
      </c>
      <c r="J989" s="1" t="str">
        <f t="shared" si="93"/>
        <v>Violin production item #033</v>
      </c>
      <c r="K989" s="1" t="str">
        <f>IF(SUM(COUNTIFS(I:I, I989)) &gt; 1, "DUPLICATE", "UNIQUE")</f>
        <v>UNIQUE</v>
      </c>
      <c r="L989" s="18">
        <v>0</v>
      </c>
      <c r="M989" s="28">
        <v>63</v>
      </c>
      <c r="N989" s="6">
        <v>361</v>
      </c>
      <c r="O989" s="30">
        <f t="shared" si="94"/>
        <v>0</v>
      </c>
      <c r="P989" s="30">
        <f t="shared" si="95"/>
        <v>22743</v>
      </c>
      <c r="Q989" s="1">
        <f>COUNTIFS($P:$P, "&gt;" &amp; $P989) + 1</f>
        <v>917</v>
      </c>
      <c r="R989" s="63">
        <f>(COUNTIFS($P:$P, "&gt;" &amp; $P989) + 1) / (COUNTA($I:$I) - 1)</f>
        <v>0.18340000000000001</v>
      </c>
      <c r="S989" s="23">
        <f>SUMIFS($P:$P, $Q:$Q, "&lt;" &amp; $Q989)</f>
        <v>164670666</v>
      </c>
    </row>
    <row r="990" spans="1:19" x14ac:dyDescent="0.25">
      <c r="A990" s="1">
        <v>985</v>
      </c>
      <c r="B990" s="1" t="s">
        <v>2</v>
      </c>
      <c r="C990" s="1" t="str">
        <f>IF($B990 = "Production Item", _xlfn.XLOOKUP($A990, 'Instrument Table'!$J:$J, 'Instrument Table'!$B:$B, $C989), IF($B990 = "Service Item", _xlfn.XLOOKUP($A990, 'Instrument Table'!$I:$I, 'Instrument Table'!$B:$B, $C989), _xlfn.XLOOKUP($A990, 'Instrument Table'!$H:$H, 'Instrument Table'!$B:$B, $C989)))</f>
        <v>Violin</v>
      </c>
      <c r="D990" s="1" t="str">
        <f>VLOOKUP($C990, 'Instrument Table'!$B:$C, 2, FALSE)</f>
        <v>Strings</v>
      </c>
      <c r="E990" s="1">
        <f t="shared" si="90"/>
        <v>1</v>
      </c>
      <c r="F990" s="1">
        <f>_xlfn.XLOOKUP($C990, 'Instrument Table'!$B:$B, 'Instrument Table'!$A:$A, "")</f>
        <v>20</v>
      </c>
      <c r="G990" s="1" t="str">
        <f>TEXT(IF($B990 = "Retail Item", IF((ROW($A990) - 4504 - _xlfn.XMATCH($C990, $C$4506:$C$5005, 0, 1)) &lt;= VLOOKUP($C990, 'Instrument Table'!$B:$D, 3, FALSE), ROW($A990) - 4504 - _xlfn.XMATCH($C990, $C$4506:$C$5005, 0, 1), 0), 0), "00")</f>
        <v>00</v>
      </c>
      <c r="H990" s="1" t="str">
        <f t="shared" si="91"/>
        <v>034</v>
      </c>
      <c r="I990" s="1" t="str">
        <f t="shared" si="92"/>
        <v>12000-034</v>
      </c>
      <c r="J990" s="1" t="str">
        <f t="shared" si="93"/>
        <v>Violin production item #034</v>
      </c>
      <c r="K990" s="1" t="str">
        <f>IF(SUM(COUNTIFS(I:I, I990)) &gt; 1, "DUPLICATE", "UNIQUE")</f>
        <v>UNIQUE</v>
      </c>
      <c r="L990" s="18">
        <v>8</v>
      </c>
      <c r="M990" s="28">
        <v>1</v>
      </c>
      <c r="N990" s="6">
        <v>289</v>
      </c>
      <c r="O990" s="30">
        <f t="shared" si="94"/>
        <v>8</v>
      </c>
      <c r="P990" s="30">
        <f t="shared" si="95"/>
        <v>289</v>
      </c>
      <c r="Q990" s="1">
        <f>COUNTIFS($P:$P, "&gt;" &amp; $P990) + 1</f>
        <v>4230</v>
      </c>
      <c r="R990" s="63">
        <f>(COUNTIFS($P:$P, "&gt;" &amp; $P990) + 1) / (COUNTA($I:$I) - 1)</f>
        <v>0.84599999999999997</v>
      </c>
      <c r="S990" s="23">
        <f>SUMIFS($P:$P, $Q:$Q, "&lt;" &amp; $Q990)</f>
        <v>186489485</v>
      </c>
    </row>
    <row r="991" spans="1:19" x14ac:dyDescent="0.25">
      <c r="A991" s="1">
        <v>986</v>
      </c>
      <c r="B991" s="1" t="s">
        <v>2</v>
      </c>
      <c r="C991" s="1" t="str">
        <f>IF($B991 = "Production Item", _xlfn.XLOOKUP($A991, 'Instrument Table'!$J:$J, 'Instrument Table'!$B:$B, $C990), IF($B991 = "Service Item", _xlfn.XLOOKUP($A991, 'Instrument Table'!$I:$I, 'Instrument Table'!$B:$B, $C990), _xlfn.XLOOKUP($A991, 'Instrument Table'!$H:$H, 'Instrument Table'!$B:$B, $C990)))</f>
        <v>Violin</v>
      </c>
      <c r="D991" s="1" t="str">
        <f>VLOOKUP($C991, 'Instrument Table'!$B:$C, 2, FALSE)</f>
        <v>Strings</v>
      </c>
      <c r="E991" s="1">
        <f t="shared" si="90"/>
        <v>1</v>
      </c>
      <c r="F991" s="1">
        <f>_xlfn.XLOOKUP($C991, 'Instrument Table'!$B:$B, 'Instrument Table'!$A:$A, "")</f>
        <v>20</v>
      </c>
      <c r="G991" s="1" t="str">
        <f>TEXT(IF($B991 = "Retail Item", IF((ROW($A991) - 4504 - _xlfn.XMATCH($C991, $C$4506:$C$5005, 0, 1)) &lt;= VLOOKUP($C991, 'Instrument Table'!$B:$D, 3, FALSE), ROW($A991) - 4504 - _xlfn.XMATCH($C991, $C$4506:$C$5005, 0, 1), 0), 0), "00")</f>
        <v>00</v>
      </c>
      <c r="H991" s="1" t="str">
        <f t="shared" si="91"/>
        <v>035</v>
      </c>
      <c r="I991" s="1" t="str">
        <f t="shared" si="92"/>
        <v>12000-035</v>
      </c>
      <c r="J991" s="1" t="str">
        <f t="shared" si="93"/>
        <v>Violin production item #035</v>
      </c>
      <c r="K991" s="1" t="str">
        <f>IF(SUM(COUNTIFS(I:I, I991)) &gt; 1, "DUPLICATE", "UNIQUE")</f>
        <v>UNIQUE</v>
      </c>
      <c r="L991" s="18">
        <v>32</v>
      </c>
      <c r="M991" s="28">
        <v>28</v>
      </c>
      <c r="N991" s="6">
        <v>36</v>
      </c>
      <c r="O991" s="30">
        <f t="shared" si="94"/>
        <v>896</v>
      </c>
      <c r="P991" s="30">
        <f t="shared" si="95"/>
        <v>1008</v>
      </c>
      <c r="Q991" s="1">
        <f>COUNTIFS($P:$P, "&gt;" &amp; $P991) + 1</f>
        <v>3673</v>
      </c>
      <c r="R991" s="63">
        <f>(COUNTIFS($P:$P, "&gt;" &amp; $P991) + 1) / (COUNTA($I:$I) - 1)</f>
        <v>0.73460000000000003</v>
      </c>
      <c r="S991" s="23">
        <f>SUMIFS($P:$P, $Q:$Q, "&lt;" &amp; $Q991)</f>
        <v>186152095</v>
      </c>
    </row>
    <row r="992" spans="1:19" x14ac:dyDescent="0.25">
      <c r="A992" s="1">
        <v>987</v>
      </c>
      <c r="B992" s="1" t="s">
        <v>2</v>
      </c>
      <c r="C992" s="1" t="str">
        <f>IF($B992 = "Production Item", _xlfn.XLOOKUP($A992, 'Instrument Table'!$J:$J, 'Instrument Table'!$B:$B, $C991), IF($B992 = "Service Item", _xlfn.XLOOKUP($A992, 'Instrument Table'!$I:$I, 'Instrument Table'!$B:$B, $C991), _xlfn.XLOOKUP($A992, 'Instrument Table'!$H:$H, 'Instrument Table'!$B:$B, $C991)))</f>
        <v>Violin</v>
      </c>
      <c r="D992" s="1" t="str">
        <f>VLOOKUP($C992, 'Instrument Table'!$B:$C, 2, FALSE)</f>
        <v>Strings</v>
      </c>
      <c r="E992" s="1">
        <f t="shared" si="90"/>
        <v>1</v>
      </c>
      <c r="F992" s="1">
        <f>_xlfn.XLOOKUP($C992, 'Instrument Table'!$B:$B, 'Instrument Table'!$A:$A, "")</f>
        <v>20</v>
      </c>
      <c r="G992" s="1" t="str">
        <f>TEXT(IF($B992 = "Retail Item", IF((ROW($A992) - 4504 - _xlfn.XMATCH($C992, $C$4506:$C$5005, 0, 1)) &lt;= VLOOKUP($C992, 'Instrument Table'!$B:$D, 3, FALSE), ROW($A992) - 4504 - _xlfn.XMATCH($C992, $C$4506:$C$5005, 0, 1), 0), 0), "00")</f>
        <v>00</v>
      </c>
      <c r="H992" s="1" t="str">
        <f t="shared" si="91"/>
        <v>036</v>
      </c>
      <c r="I992" s="1" t="str">
        <f t="shared" si="92"/>
        <v>12000-036</v>
      </c>
      <c r="J992" s="1" t="str">
        <f t="shared" si="93"/>
        <v>Violin production item #036</v>
      </c>
      <c r="K992" s="1" t="str">
        <f>IF(SUM(COUNTIFS(I:I, I992)) &gt; 1, "DUPLICATE", "UNIQUE")</f>
        <v>UNIQUE</v>
      </c>
      <c r="L992" s="18">
        <v>8</v>
      </c>
      <c r="M992" s="28">
        <v>84</v>
      </c>
      <c r="N992" s="6">
        <v>196</v>
      </c>
      <c r="O992" s="30">
        <f t="shared" si="94"/>
        <v>672</v>
      </c>
      <c r="P992" s="30">
        <f t="shared" si="95"/>
        <v>16464</v>
      </c>
      <c r="Q992" s="1">
        <f>COUNTIFS($P:$P, "&gt;" &amp; $P992) + 1</f>
        <v>1251</v>
      </c>
      <c r="R992" s="63">
        <f>(COUNTIFS($P:$P, "&gt;" &amp; $P992) + 1) / (COUNTA($I:$I) - 1)</f>
        <v>0.25019999999999998</v>
      </c>
      <c r="S992" s="23">
        <f>SUMIFS($P:$P, $Q:$Q, "&lt;" &amp; $Q992)</f>
        <v>171185934</v>
      </c>
    </row>
    <row r="993" spans="1:19" x14ac:dyDescent="0.25">
      <c r="A993" s="1">
        <v>988</v>
      </c>
      <c r="B993" s="1" t="s">
        <v>2</v>
      </c>
      <c r="C993" s="1" t="str">
        <f>IF($B993 = "Production Item", _xlfn.XLOOKUP($A993, 'Instrument Table'!$J:$J, 'Instrument Table'!$B:$B, $C992), IF($B993 = "Service Item", _xlfn.XLOOKUP($A993, 'Instrument Table'!$I:$I, 'Instrument Table'!$B:$B, $C992), _xlfn.XLOOKUP($A993, 'Instrument Table'!$H:$H, 'Instrument Table'!$B:$B, $C992)))</f>
        <v>Violin</v>
      </c>
      <c r="D993" s="1" t="str">
        <f>VLOOKUP($C993, 'Instrument Table'!$B:$C, 2, FALSE)</f>
        <v>Strings</v>
      </c>
      <c r="E993" s="1">
        <f t="shared" si="90"/>
        <v>1</v>
      </c>
      <c r="F993" s="1">
        <f>_xlfn.XLOOKUP($C993, 'Instrument Table'!$B:$B, 'Instrument Table'!$A:$A, "")</f>
        <v>20</v>
      </c>
      <c r="G993" s="1" t="str">
        <f>TEXT(IF($B993 = "Retail Item", IF((ROW($A993) - 4504 - _xlfn.XMATCH($C993, $C$4506:$C$5005, 0, 1)) &lt;= VLOOKUP($C993, 'Instrument Table'!$B:$D, 3, FALSE), ROW($A993) - 4504 - _xlfn.XMATCH($C993, $C$4506:$C$5005, 0, 1), 0), 0), "00")</f>
        <v>00</v>
      </c>
      <c r="H993" s="1" t="str">
        <f t="shared" si="91"/>
        <v>037</v>
      </c>
      <c r="I993" s="1" t="str">
        <f t="shared" si="92"/>
        <v>12000-037</v>
      </c>
      <c r="J993" s="1" t="str">
        <f t="shared" si="93"/>
        <v>Violin production item #037</v>
      </c>
      <c r="K993" s="1" t="str">
        <f>IF(SUM(COUNTIFS(I:I, I993)) &gt; 1, "DUPLICATE", "UNIQUE")</f>
        <v>UNIQUE</v>
      </c>
      <c r="L993" s="18">
        <v>16</v>
      </c>
      <c r="M993" s="28">
        <v>43</v>
      </c>
      <c r="N993" s="6">
        <v>36</v>
      </c>
      <c r="O993" s="30">
        <f t="shared" si="94"/>
        <v>688</v>
      </c>
      <c r="P993" s="30">
        <f t="shared" si="95"/>
        <v>1548</v>
      </c>
      <c r="Q993" s="1">
        <f>COUNTIFS($P:$P, "&gt;" &amp; $P993) + 1</f>
        <v>3440</v>
      </c>
      <c r="R993" s="63">
        <f>(COUNTIFS($P:$P, "&gt;" &amp; $P993) + 1) / (COUNTA($I:$I) - 1)</f>
        <v>0.68799999999999994</v>
      </c>
      <c r="S993" s="23">
        <f>SUMIFS($P:$P, $Q:$Q, "&lt;" &amp; $Q993)</f>
        <v>185848427</v>
      </c>
    </row>
    <row r="994" spans="1:19" x14ac:dyDescent="0.25">
      <c r="A994" s="1">
        <v>989</v>
      </c>
      <c r="B994" s="1" t="s">
        <v>2</v>
      </c>
      <c r="C994" s="1" t="str">
        <f>IF($B994 = "Production Item", _xlfn.XLOOKUP($A994, 'Instrument Table'!$J:$J, 'Instrument Table'!$B:$B, $C993), IF($B994 = "Service Item", _xlfn.XLOOKUP($A994, 'Instrument Table'!$I:$I, 'Instrument Table'!$B:$B, $C993), _xlfn.XLOOKUP($A994, 'Instrument Table'!$H:$H, 'Instrument Table'!$B:$B, $C993)))</f>
        <v>Violin</v>
      </c>
      <c r="D994" s="1" t="str">
        <f>VLOOKUP($C994, 'Instrument Table'!$B:$C, 2, FALSE)</f>
        <v>Strings</v>
      </c>
      <c r="E994" s="1">
        <f t="shared" si="90"/>
        <v>1</v>
      </c>
      <c r="F994" s="1">
        <f>_xlfn.XLOOKUP($C994, 'Instrument Table'!$B:$B, 'Instrument Table'!$A:$A, "")</f>
        <v>20</v>
      </c>
      <c r="G994" s="1" t="str">
        <f>TEXT(IF($B994 = "Retail Item", IF((ROW($A994) - 4504 - _xlfn.XMATCH($C994, $C$4506:$C$5005, 0, 1)) &lt;= VLOOKUP($C994, 'Instrument Table'!$B:$D, 3, FALSE), ROW($A994) - 4504 - _xlfn.XMATCH($C994, $C$4506:$C$5005, 0, 1), 0), 0), "00")</f>
        <v>00</v>
      </c>
      <c r="H994" s="1" t="str">
        <f t="shared" si="91"/>
        <v>038</v>
      </c>
      <c r="I994" s="1" t="str">
        <f t="shared" si="92"/>
        <v>12000-038</v>
      </c>
      <c r="J994" s="1" t="str">
        <f t="shared" si="93"/>
        <v>Violin production item #038</v>
      </c>
      <c r="K994" s="1" t="str">
        <f>IF(SUM(COUNTIFS(I:I, I994)) &gt; 1, "DUPLICATE", "UNIQUE")</f>
        <v>UNIQUE</v>
      </c>
      <c r="L994" s="18">
        <v>0</v>
      </c>
      <c r="M994" s="28">
        <v>6</v>
      </c>
      <c r="N994" s="6">
        <v>324</v>
      </c>
      <c r="O994" s="30">
        <f t="shared" si="94"/>
        <v>0</v>
      </c>
      <c r="P994" s="30">
        <f t="shared" si="95"/>
        <v>1944</v>
      </c>
      <c r="Q994" s="1">
        <f>COUNTIFS($P:$P, "&gt;" &amp; $P994) + 1</f>
        <v>3276</v>
      </c>
      <c r="R994" s="63">
        <f>(COUNTIFS($P:$P, "&gt;" &amp; $P994) + 1) / (COUNTA($I:$I) - 1)</f>
        <v>0.6552</v>
      </c>
      <c r="S994" s="23">
        <f>SUMIFS($P:$P, $Q:$Q, "&lt;" &amp; $Q994)</f>
        <v>185562800</v>
      </c>
    </row>
    <row r="995" spans="1:19" x14ac:dyDescent="0.25">
      <c r="A995" s="1">
        <v>990</v>
      </c>
      <c r="B995" s="1" t="s">
        <v>2</v>
      </c>
      <c r="C995" s="1" t="str">
        <f>IF($B995 = "Production Item", _xlfn.XLOOKUP($A995, 'Instrument Table'!$J:$J, 'Instrument Table'!$B:$B, $C994), IF($B995 = "Service Item", _xlfn.XLOOKUP($A995, 'Instrument Table'!$I:$I, 'Instrument Table'!$B:$B, $C994), _xlfn.XLOOKUP($A995, 'Instrument Table'!$H:$H, 'Instrument Table'!$B:$B, $C994)))</f>
        <v>Violin</v>
      </c>
      <c r="D995" s="1" t="str">
        <f>VLOOKUP($C995, 'Instrument Table'!$B:$C, 2, FALSE)</f>
        <v>Strings</v>
      </c>
      <c r="E995" s="1">
        <f t="shared" si="90"/>
        <v>1</v>
      </c>
      <c r="F995" s="1">
        <f>_xlfn.XLOOKUP($C995, 'Instrument Table'!$B:$B, 'Instrument Table'!$A:$A, "")</f>
        <v>20</v>
      </c>
      <c r="G995" s="1" t="str">
        <f>TEXT(IF($B995 = "Retail Item", IF((ROW($A995) - 4504 - _xlfn.XMATCH($C995, $C$4506:$C$5005, 0, 1)) &lt;= VLOOKUP($C995, 'Instrument Table'!$B:$D, 3, FALSE), ROW($A995) - 4504 - _xlfn.XMATCH($C995, $C$4506:$C$5005, 0, 1), 0), 0), "00")</f>
        <v>00</v>
      </c>
      <c r="H995" s="1" t="str">
        <f t="shared" si="91"/>
        <v>039</v>
      </c>
      <c r="I995" s="1" t="str">
        <f t="shared" si="92"/>
        <v>12000-039</v>
      </c>
      <c r="J995" s="1" t="str">
        <f t="shared" si="93"/>
        <v>Violin production item #039</v>
      </c>
      <c r="K995" s="1" t="str">
        <f>IF(SUM(COUNTIFS(I:I, I995)) &gt; 1, "DUPLICATE", "UNIQUE")</f>
        <v>UNIQUE</v>
      </c>
      <c r="L995" s="18">
        <v>0</v>
      </c>
      <c r="M995" s="28">
        <v>93</v>
      </c>
      <c r="N995" s="6">
        <v>9</v>
      </c>
      <c r="O995" s="30">
        <f t="shared" si="94"/>
        <v>0</v>
      </c>
      <c r="P995" s="30">
        <f t="shared" si="95"/>
        <v>837</v>
      </c>
      <c r="Q995" s="1">
        <f>COUNTIFS($P:$P, "&gt;" &amp; $P995) + 1</f>
        <v>3769</v>
      </c>
      <c r="R995" s="63">
        <f>(COUNTIFS($P:$P, "&gt;" &amp; $P995) + 1) / (COUNTA($I:$I) - 1)</f>
        <v>0.75380000000000003</v>
      </c>
      <c r="S995" s="23">
        <f>SUMIFS($P:$P, $Q:$Q, "&lt;" &amp; $Q995)</f>
        <v>186240403</v>
      </c>
    </row>
    <row r="996" spans="1:19" x14ac:dyDescent="0.25">
      <c r="A996" s="1">
        <v>991</v>
      </c>
      <c r="B996" s="1" t="s">
        <v>2</v>
      </c>
      <c r="C996" s="1" t="str">
        <f>IF($B996 = "Production Item", _xlfn.XLOOKUP($A996, 'Instrument Table'!$J:$J, 'Instrument Table'!$B:$B, $C995), IF($B996 = "Service Item", _xlfn.XLOOKUP($A996, 'Instrument Table'!$I:$I, 'Instrument Table'!$B:$B, $C995), _xlfn.XLOOKUP($A996, 'Instrument Table'!$H:$H, 'Instrument Table'!$B:$B, $C995)))</f>
        <v>Violin</v>
      </c>
      <c r="D996" s="1" t="str">
        <f>VLOOKUP($C996, 'Instrument Table'!$B:$C, 2, FALSE)</f>
        <v>Strings</v>
      </c>
      <c r="E996" s="1">
        <f t="shared" si="90"/>
        <v>1</v>
      </c>
      <c r="F996" s="1">
        <f>_xlfn.XLOOKUP($C996, 'Instrument Table'!$B:$B, 'Instrument Table'!$A:$A, "")</f>
        <v>20</v>
      </c>
      <c r="G996" s="1" t="str">
        <f>TEXT(IF($B996 = "Retail Item", IF((ROW($A996) - 4504 - _xlfn.XMATCH($C996, $C$4506:$C$5005, 0, 1)) &lt;= VLOOKUP($C996, 'Instrument Table'!$B:$D, 3, FALSE), ROW($A996) - 4504 - _xlfn.XMATCH($C996, $C$4506:$C$5005, 0, 1), 0), 0), "00")</f>
        <v>00</v>
      </c>
      <c r="H996" s="1" t="str">
        <f t="shared" si="91"/>
        <v>040</v>
      </c>
      <c r="I996" s="1" t="str">
        <f t="shared" si="92"/>
        <v>12000-040</v>
      </c>
      <c r="J996" s="1" t="str">
        <f t="shared" si="93"/>
        <v>Violin production item #040</v>
      </c>
      <c r="K996" s="1" t="str">
        <f>IF(SUM(COUNTIFS(I:I, I996)) &gt; 1, "DUPLICATE", "UNIQUE")</f>
        <v>UNIQUE</v>
      </c>
      <c r="L996" s="18">
        <v>32</v>
      </c>
      <c r="M996" s="28">
        <v>99</v>
      </c>
      <c r="N996" s="6">
        <v>196</v>
      </c>
      <c r="O996" s="30">
        <f t="shared" si="94"/>
        <v>3168</v>
      </c>
      <c r="P996" s="30">
        <f t="shared" si="95"/>
        <v>19404</v>
      </c>
      <c r="Q996" s="1">
        <f>COUNTIFS($P:$P, "&gt;" &amp; $P996) + 1</f>
        <v>1083</v>
      </c>
      <c r="R996" s="63">
        <f>(COUNTIFS($P:$P, "&gt;" &amp; $P996) + 1) / (COUNTA($I:$I) - 1)</f>
        <v>0.21659999999999999</v>
      </c>
      <c r="S996" s="23">
        <f>SUMIFS($P:$P, $Q:$Q, "&lt;" &amp; $Q996)</f>
        <v>168176845</v>
      </c>
    </row>
    <row r="997" spans="1:19" x14ac:dyDescent="0.25">
      <c r="A997" s="1">
        <v>992</v>
      </c>
      <c r="B997" s="1" t="s">
        <v>2</v>
      </c>
      <c r="C997" s="1" t="str">
        <f>IF($B997 = "Production Item", _xlfn.XLOOKUP($A997, 'Instrument Table'!$J:$J, 'Instrument Table'!$B:$B, $C996), IF($B997 = "Service Item", _xlfn.XLOOKUP($A997, 'Instrument Table'!$I:$I, 'Instrument Table'!$B:$B, $C996), _xlfn.XLOOKUP($A997, 'Instrument Table'!$H:$H, 'Instrument Table'!$B:$B, $C996)))</f>
        <v>Violin</v>
      </c>
      <c r="D997" s="1" t="str">
        <f>VLOOKUP($C997, 'Instrument Table'!$B:$C, 2, FALSE)</f>
        <v>Strings</v>
      </c>
      <c r="E997" s="1">
        <f t="shared" si="90"/>
        <v>1</v>
      </c>
      <c r="F997" s="1">
        <f>_xlfn.XLOOKUP($C997, 'Instrument Table'!$B:$B, 'Instrument Table'!$A:$A, "")</f>
        <v>20</v>
      </c>
      <c r="G997" s="1" t="str">
        <f>TEXT(IF($B997 = "Retail Item", IF((ROW($A997) - 4504 - _xlfn.XMATCH($C997, $C$4506:$C$5005, 0, 1)) &lt;= VLOOKUP($C997, 'Instrument Table'!$B:$D, 3, FALSE), ROW($A997) - 4504 - _xlfn.XMATCH($C997, $C$4506:$C$5005, 0, 1), 0), 0), "00")</f>
        <v>00</v>
      </c>
      <c r="H997" s="1" t="str">
        <f t="shared" si="91"/>
        <v>041</v>
      </c>
      <c r="I997" s="1" t="str">
        <f t="shared" si="92"/>
        <v>12000-041</v>
      </c>
      <c r="J997" s="1" t="str">
        <f t="shared" si="93"/>
        <v>Violin production item #041</v>
      </c>
      <c r="K997" s="1" t="str">
        <f>IF(SUM(COUNTIFS(I:I, I997)) &gt; 1, "DUPLICATE", "UNIQUE")</f>
        <v>UNIQUE</v>
      </c>
      <c r="L997" s="18">
        <v>1</v>
      </c>
      <c r="M997" s="28">
        <v>95</v>
      </c>
      <c r="N997" s="6">
        <v>4</v>
      </c>
      <c r="O997" s="30">
        <f t="shared" si="94"/>
        <v>95</v>
      </c>
      <c r="P997" s="30">
        <f t="shared" si="95"/>
        <v>380</v>
      </c>
      <c r="Q997" s="1">
        <f>COUNTIFS($P:$P, "&gt;" &amp; $P997) + 1</f>
        <v>4121</v>
      </c>
      <c r="R997" s="63">
        <f>(COUNTIFS($P:$P, "&gt;" &amp; $P997) + 1) / (COUNTA($I:$I) - 1)</f>
        <v>0.82420000000000004</v>
      </c>
      <c r="S997" s="23">
        <f>SUMIFS($P:$P, $Q:$Q, "&lt;" &amp; $Q997)</f>
        <v>186453113</v>
      </c>
    </row>
    <row r="998" spans="1:19" x14ac:dyDescent="0.25">
      <c r="A998" s="1">
        <v>993</v>
      </c>
      <c r="B998" s="1" t="s">
        <v>2</v>
      </c>
      <c r="C998" s="1" t="str">
        <f>IF($B998 = "Production Item", _xlfn.XLOOKUP($A998, 'Instrument Table'!$J:$J, 'Instrument Table'!$B:$B, $C997), IF($B998 = "Service Item", _xlfn.XLOOKUP($A998, 'Instrument Table'!$I:$I, 'Instrument Table'!$B:$B, $C997), _xlfn.XLOOKUP($A998, 'Instrument Table'!$H:$H, 'Instrument Table'!$B:$B, $C997)))</f>
        <v>Violin</v>
      </c>
      <c r="D998" s="1" t="str">
        <f>VLOOKUP($C998, 'Instrument Table'!$B:$C, 2, FALSE)</f>
        <v>Strings</v>
      </c>
      <c r="E998" s="1">
        <f t="shared" si="90"/>
        <v>1</v>
      </c>
      <c r="F998" s="1">
        <f>_xlfn.XLOOKUP($C998, 'Instrument Table'!$B:$B, 'Instrument Table'!$A:$A, "")</f>
        <v>20</v>
      </c>
      <c r="G998" s="1" t="str">
        <f>TEXT(IF($B998 = "Retail Item", IF((ROW($A998) - 4504 - _xlfn.XMATCH($C998, $C$4506:$C$5005, 0, 1)) &lt;= VLOOKUP($C998, 'Instrument Table'!$B:$D, 3, FALSE), ROW($A998) - 4504 - _xlfn.XMATCH($C998, $C$4506:$C$5005, 0, 1), 0), 0), "00")</f>
        <v>00</v>
      </c>
      <c r="H998" s="1" t="str">
        <f t="shared" si="91"/>
        <v>042</v>
      </c>
      <c r="I998" s="1" t="str">
        <f t="shared" si="92"/>
        <v>12000-042</v>
      </c>
      <c r="J998" s="1" t="str">
        <f t="shared" si="93"/>
        <v>Violin production item #042</v>
      </c>
      <c r="K998" s="1" t="str">
        <f>IF(SUM(COUNTIFS(I:I, I998)) &gt; 1, "DUPLICATE", "UNIQUE")</f>
        <v>UNIQUE</v>
      </c>
      <c r="L998" s="18">
        <v>1</v>
      </c>
      <c r="M998" s="28">
        <v>94</v>
      </c>
      <c r="N998" s="6">
        <v>121</v>
      </c>
      <c r="O998" s="30">
        <f t="shared" si="94"/>
        <v>94</v>
      </c>
      <c r="P998" s="30">
        <f t="shared" si="95"/>
        <v>11374</v>
      </c>
      <c r="Q998" s="1">
        <f>COUNTIFS($P:$P, "&gt;" &amp; $P998) + 1</f>
        <v>1649</v>
      </c>
      <c r="R998" s="63">
        <f>(COUNTIFS($P:$P, "&gt;" &amp; $P998) + 1) / (COUNTA($I:$I) - 1)</f>
        <v>0.32979999999999998</v>
      </c>
      <c r="S998" s="23">
        <f>SUMIFS($P:$P, $Q:$Q, "&lt;" &amp; $Q998)</f>
        <v>176646779</v>
      </c>
    </row>
    <row r="999" spans="1:19" x14ac:dyDescent="0.25">
      <c r="A999" s="1">
        <v>994</v>
      </c>
      <c r="B999" s="1" t="s">
        <v>2</v>
      </c>
      <c r="C999" s="1" t="str">
        <f>IF($B999 = "Production Item", _xlfn.XLOOKUP($A999, 'Instrument Table'!$J:$J, 'Instrument Table'!$B:$B, $C998), IF($B999 = "Service Item", _xlfn.XLOOKUP($A999, 'Instrument Table'!$I:$I, 'Instrument Table'!$B:$B, $C998), _xlfn.XLOOKUP($A999, 'Instrument Table'!$H:$H, 'Instrument Table'!$B:$B, $C998)))</f>
        <v>Violin</v>
      </c>
      <c r="D999" s="1" t="str">
        <f>VLOOKUP($C999, 'Instrument Table'!$B:$C, 2, FALSE)</f>
        <v>Strings</v>
      </c>
      <c r="E999" s="1">
        <f t="shared" si="90"/>
        <v>1</v>
      </c>
      <c r="F999" s="1">
        <f>_xlfn.XLOOKUP($C999, 'Instrument Table'!$B:$B, 'Instrument Table'!$A:$A, "")</f>
        <v>20</v>
      </c>
      <c r="G999" s="1" t="str">
        <f>TEXT(IF($B999 = "Retail Item", IF((ROW($A999) - 4504 - _xlfn.XMATCH($C999, $C$4506:$C$5005, 0, 1)) &lt;= VLOOKUP($C999, 'Instrument Table'!$B:$D, 3, FALSE), ROW($A999) - 4504 - _xlfn.XMATCH($C999, $C$4506:$C$5005, 0, 1), 0), 0), "00")</f>
        <v>00</v>
      </c>
      <c r="H999" s="1" t="str">
        <f t="shared" si="91"/>
        <v>043</v>
      </c>
      <c r="I999" s="1" t="str">
        <f t="shared" si="92"/>
        <v>12000-043</v>
      </c>
      <c r="J999" s="1" t="str">
        <f t="shared" si="93"/>
        <v>Violin production item #043</v>
      </c>
      <c r="K999" s="1" t="str">
        <f>IF(SUM(COUNTIFS(I:I, I999)) &gt; 1, "DUPLICATE", "UNIQUE")</f>
        <v>UNIQUE</v>
      </c>
      <c r="L999" s="18">
        <v>1</v>
      </c>
      <c r="M999" s="28">
        <v>85</v>
      </c>
      <c r="N999" s="6">
        <v>16</v>
      </c>
      <c r="O999" s="30">
        <f t="shared" si="94"/>
        <v>85</v>
      </c>
      <c r="P999" s="30">
        <f t="shared" si="95"/>
        <v>1360</v>
      </c>
      <c r="Q999" s="1">
        <f>COUNTIFS($P:$P, "&gt;" &amp; $P999) + 1</f>
        <v>3529</v>
      </c>
      <c r="R999" s="63">
        <f>(COUNTIFS($P:$P, "&gt;" &amp; $P999) + 1) / (COUNTA($I:$I) - 1)</f>
        <v>0.70579999999999998</v>
      </c>
      <c r="S999" s="23">
        <f>SUMIFS($P:$P, $Q:$Q, "&lt;" &amp; $Q999)</f>
        <v>185977817</v>
      </c>
    </row>
    <row r="1000" spans="1:19" x14ac:dyDescent="0.25">
      <c r="A1000" s="1">
        <v>995</v>
      </c>
      <c r="B1000" s="1" t="s">
        <v>2</v>
      </c>
      <c r="C1000" s="1" t="str">
        <f>IF($B1000 = "Production Item", _xlfn.XLOOKUP($A1000, 'Instrument Table'!$J:$J, 'Instrument Table'!$B:$B, $C999), IF($B1000 = "Service Item", _xlfn.XLOOKUP($A1000, 'Instrument Table'!$I:$I, 'Instrument Table'!$B:$B, $C999), _xlfn.XLOOKUP($A1000, 'Instrument Table'!$H:$H, 'Instrument Table'!$B:$B, $C999)))</f>
        <v>Violin</v>
      </c>
      <c r="D1000" s="1" t="str">
        <f>VLOOKUP($C1000, 'Instrument Table'!$B:$C, 2, FALSE)</f>
        <v>Strings</v>
      </c>
      <c r="E1000" s="1">
        <f t="shared" si="90"/>
        <v>1</v>
      </c>
      <c r="F1000" s="1">
        <f>_xlfn.XLOOKUP($C1000, 'Instrument Table'!$B:$B, 'Instrument Table'!$A:$A, "")</f>
        <v>20</v>
      </c>
      <c r="G1000" s="1" t="str">
        <f>TEXT(IF($B1000 = "Retail Item", IF((ROW($A1000) - 4504 - _xlfn.XMATCH($C1000, $C$4506:$C$5005, 0, 1)) &lt;= VLOOKUP($C1000, 'Instrument Table'!$B:$D, 3, FALSE), ROW($A1000) - 4504 - _xlfn.XMATCH($C1000, $C$4506:$C$5005, 0, 1), 0), 0), "00")</f>
        <v>00</v>
      </c>
      <c r="H1000" s="1" t="str">
        <f t="shared" si="91"/>
        <v>044</v>
      </c>
      <c r="I1000" s="1" t="str">
        <f t="shared" si="92"/>
        <v>12000-044</v>
      </c>
      <c r="J1000" s="1" t="str">
        <f t="shared" si="93"/>
        <v>Violin production item #044</v>
      </c>
      <c r="K1000" s="1" t="str">
        <f>IF(SUM(COUNTIFS(I:I, I1000)) &gt; 1, "DUPLICATE", "UNIQUE")</f>
        <v>UNIQUE</v>
      </c>
      <c r="L1000" s="18">
        <v>0</v>
      </c>
      <c r="M1000" s="28">
        <v>10</v>
      </c>
      <c r="N1000" s="6">
        <v>196</v>
      </c>
      <c r="O1000" s="30">
        <f t="shared" si="94"/>
        <v>0</v>
      </c>
      <c r="P1000" s="30">
        <f t="shared" si="95"/>
        <v>1960</v>
      </c>
      <c r="Q1000" s="1">
        <f>COUNTIFS($P:$P, "&gt;" &amp; $P1000) + 1</f>
        <v>3270</v>
      </c>
      <c r="R1000" s="63">
        <f>(COUNTIFS($P:$P, "&gt;" &amp; $P1000) + 1) / (COUNTA($I:$I) - 1)</f>
        <v>0.65400000000000003</v>
      </c>
      <c r="S1000" s="23">
        <f>SUMIFS($P:$P, $Q:$Q, "&lt;" &amp; $Q1000)</f>
        <v>185551060</v>
      </c>
    </row>
    <row r="1001" spans="1:19" x14ac:dyDescent="0.25">
      <c r="A1001" s="1">
        <v>996</v>
      </c>
      <c r="B1001" s="1" t="s">
        <v>2</v>
      </c>
      <c r="C1001" s="1" t="str">
        <f>IF($B1001 = "Production Item", _xlfn.XLOOKUP($A1001, 'Instrument Table'!$J:$J, 'Instrument Table'!$B:$B, $C1000), IF($B1001 = "Service Item", _xlfn.XLOOKUP($A1001, 'Instrument Table'!$I:$I, 'Instrument Table'!$B:$B, $C1000), _xlfn.XLOOKUP($A1001, 'Instrument Table'!$H:$H, 'Instrument Table'!$B:$B, $C1000)))</f>
        <v>Violin</v>
      </c>
      <c r="D1001" s="1" t="str">
        <f>VLOOKUP($C1001, 'Instrument Table'!$B:$C, 2, FALSE)</f>
        <v>Strings</v>
      </c>
      <c r="E1001" s="1">
        <f t="shared" si="90"/>
        <v>1</v>
      </c>
      <c r="F1001" s="1">
        <f>_xlfn.XLOOKUP($C1001, 'Instrument Table'!$B:$B, 'Instrument Table'!$A:$A, "")</f>
        <v>20</v>
      </c>
      <c r="G1001" s="1" t="str">
        <f>TEXT(IF($B1001 = "Retail Item", IF((ROW($A1001) - 4504 - _xlfn.XMATCH($C1001, $C$4506:$C$5005, 0, 1)) &lt;= VLOOKUP($C1001, 'Instrument Table'!$B:$D, 3, FALSE), ROW($A1001) - 4504 - _xlfn.XMATCH($C1001, $C$4506:$C$5005, 0, 1), 0), 0), "00")</f>
        <v>00</v>
      </c>
      <c r="H1001" s="1" t="str">
        <f t="shared" si="91"/>
        <v>045</v>
      </c>
      <c r="I1001" s="1" t="str">
        <f t="shared" si="92"/>
        <v>12000-045</v>
      </c>
      <c r="J1001" s="1" t="str">
        <f t="shared" si="93"/>
        <v>Violin production item #045</v>
      </c>
      <c r="K1001" s="1" t="str">
        <f>IF(SUM(COUNTIFS(I:I, I1001)) &gt; 1, "DUPLICATE", "UNIQUE")</f>
        <v>UNIQUE</v>
      </c>
      <c r="L1001" s="18">
        <v>0</v>
      </c>
      <c r="M1001" s="28">
        <v>63</v>
      </c>
      <c r="N1001" s="6">
        <v>169</v>
      </c>
      <c r="O1001" s="30">
        <f t="shared" si="94"/>
        <v>0</v>
      </c>
      <c r="P1001" s="30">
        <f t="shared" si="95"/>
        <v>10647</v>
      </c>
      <c r="Q1001" s="1">
        <f>COUNTIFS($P:$P, "&gt;" &amp; $P1001) + 1</f>
        <v>1718</v>
      </c>
      <c r="R1001" s="63">
        <f>(COUNTIFS($P:$P, "&gt;" &amp; $P1001) + 1) / (COUNTA($I:$I) - 1)</f>
        <v>0.34360000000000002</v>
      </c>
      <c r="S1001" s="23">
        <f>SUMIFS($P:$P, $Q:$Q, "&lt;" &amp; $Q1001)</f>
        <v>177407092</v>
      </c>
    </row>
    <row r="1002" spans="1:19" x14ac:dyDescent="0.25">
      <c r="A1002" s="1">
        <v>997</v>
      </c>
      <c r="B1002" s="1" t="s">
        <v>2</v>
      </c>
      <c r="C1002" s="1" t="str">
        <f>IF($B1002 = "Production Item", _xlfn.XLOOKUP($A1002, 'Instrument Table'!$J:$J, 'Instrument Table'!$B:$B, $C1001), IF($B1002 = "Service Item", _xlfn.XLOOKUP($A1002, 'Instrument Table'!$I:$I, 'Instrument Table'!$B:$B, $C1001), _xlfn.XLOOKUP($A1002, 'Instrument Table'!$H:$H, 'Instrument Table'!$B:$B, $C1001)))</f>
        <v>Violin</v>
      </c>
      <c r="D1002" s="1" t="str">
        <f>VLOOKUP($C1002, 'Instrument Table'!$B:$C, 2, FALSE)</f>
        <v>Strings</v>
      </c>
      <c r="E1002" s="1">
        <f t="shared" si="90"/>
        <v>1</v>
      </c>
      <c r="F1002" s="1">
        <f>_xlfn.XLOOKUP($C1002, 'Instrument Table'!$B:$B, 'Instrument Table'!$A:$A, "")</f>
        <v>20</v>
      </c>
      <c r="G1002" s="1" t="str">
        <f>TEXT(IF($B1002 = "Retail Item", IF((ROW($A1002) - 4504 - _xlfn.XMATCH($C1002, $C$4506:$C$5005, 0, 1)) &lt;= VLOOKUP($C1002, 'Instrument Table'!$B:$D, 3, FALSE), ROW($A1002) - 4504 - _xlfn.XMATCH($C1002, $C$4506:$C$5005, 0, 1), 0), 0), "00")</f>
        <v>00</v>
      </c>
      <c r="H1002" s="1" t="str">
        <f t="shared" si="91"/>
        <v>046</v>
      </c>
      <c r="I1002" s="1" t="str">
        <f t="shared" si="92"/>
        <v>12000-046</v>
      </c>
      <c r="J1002" s="1" t="str">
        <f t="shared" si="93"/>
        <v>Violin production item #046</v>
      </c>
      <c r="K1002" s="1" t="str">
        <f>IF(SUM(COUNTIFS(I:I, I1002)) &gt; 1, "DUPLICATE", "UNIQUE")</f>
        <v>UNIQUE</v>
      </c>
      <c r="L1002" s="18">
        <v>1</v>
      </c>
      <c r="M1002" s="28">
        <v>20</v>
      </c>
      <c r="N1002" s="6">
        <v>49</v>
      </c>
      <c r="O1002" s="30">
        <f t="shared" si="94"/>
        <v>20</v>
      </c>
      <c r="P1002" s="30">
        <f t="shared" si="95"/>
        <v>980</v>
      </c>
      <c r="Q1002" s="1">
        <f>COUNTIFS($P:$P, "&gt;" &amp; $P1002) + 1</f>
        <v>3689</v>
      </c>
      <c r="R1002" s="63">
        <f>(COUNTIFS($P:$P, "&gt;" &amp; $P1002) + 1) / (COUNTA($I:$I) - 1)</f>
        <v>0.73780000000000001</v>
      </c>
      <c r="S1002" s="23">
        <f>SUMIFS($P:$P, $Q:$Q, "&lt;" &amp; $Q1002)</f>
        <v>186168102</v>
      </c>
    </row>
    <row r="1003" spans="1:19" x14ac:dyDescent="0.25">
      <c r="A1003" s="1">
        <v>998</v>
      </c>
      <c r="B1003" s="1" t="s">
        <v>2</v>
      </c>
      <c r="C1003" s="1" t="str">
        <f>IF($B1003 = "Production Item", _xlfn.XLOOKUP($A1003, 'Instrument Table'!$J:$J, 'Instrument Table'!$B:$B, $C1002), IF($B1003 = "Service Item", _xlfn.XLOOKUP($A1003, 'Instrument Table'!$I:$I, 'Instrument Table'!$B:$B, $C1002), _xlfn.XLOOKUP($A1003, 'Instrument Table'!$H:$H, 'Instrument Table'!$B:$B, $C1002)))</f>
        <v>Violin</v>
      </c>
      <c r="D1003" s="1" t="str">
        <f>VLOOKUP($C1003, 'Instrument Table'!$B:$C, 2, FALSE)</f>
        <v>Strings</v>
      </c>
      <c r="E1003" s="1">
        <f t="shared" si="90"/>
        <v>1</v>
      </c>
      <c r="F1003" s="1">
        <f>_xlfn.XLOOKUP($C1003, 'Instrument Table'!$B:$B, 'Instrument Table'!$A:$A, "")</f>
        <v>20</v>
      </c>
      <c r="G1003" s="1" t="str">
        <f>TEXT(IF($B1003 = "Retail Item", IF((ROW($A1003) - 4504 - _xlfn.XMATCH($C1003, $C$4506:$C$5005, 0, 1)) &lt;= VLOOKUP($C1003, 'Instrument Table'!$B:$D, 3, FALSE), ROW($A1003) - 4504 - _xlfn.XMATCH($C1003, $C$4506:$C$5005, 0, 1), 0), 0), "00")</f>
        <v>00</v>
      </c>
      <c r="H1003" s="1" t="str">
        <f t="shared" si="91"/>
        <v>047</v>
      </c>
      <c r="I1003" s="1" t="str">
        <f t="shared" si="92"/>
        <v>12000-047</v>
      </c>
      <c r="J1003" s="1" t="str">
        <f t="shared" si="93"/>
        <v>Violin production item #047</v>
      </c>
      <c r="K1003" s="1" t="str">
        <f>IF(SUM(COUNTIFS(I:I, I1003)) &gt; 1, "DUPLICATE", "UNIQUE")</f>
        <v>UNIQUE</v>
      </c>
      <c r="L1003" s="18">
        <v>0</v>
      </c>
      <c r="M1003" s="28">
        <v>67</v>
      </c>
      <c r="N1003" s="6">
        <v>100</v>
      </c>
      <c r="O1003" s="30">
        <f t="shared" si="94"/>
        <v>0</v>
      </c>
      <c r="P1003" s="30">
        <f t="shared" si="95"/>
        <v>6700</v>
      </c>
      <c r="Q1003" s="1">
        <f>COUNTIFS($P:$P, "&gt;" &amp; $P1003) + 1</f>
        <v>2183</v>
      </c>
      <c r="R1003" s="63">
        <f>(COUNTIFS($P:$P, "&gt;" &amp; $P1003) + 1) / (COUNTA($I:$I) - 1)</f>
        <v>0.43659999999999999</v>
      </c>
      <c r="S1003" s="23">
        <f>SUMIFS($P:$P, $Q:$Q, "&lt;" &amp; $Q1003)</f>
        <v>181338568</v>
      </c>
    </row>
    <row r="1004" spans="1:19" x14ac:dyDescent="0.25">
      <c r="A1004" s="1">
        <v>999</v>
      </c>
      <c r="B1004" s="1" t="s">
        <v>2</v>
      </c>
      <c r="C1004" s="1" t="str">
        <f>IF($B1004 = "Production Item", _xlfn.XLOOKUP($A1004, 'Instrument Table'!$J:$J, 'Instrument Table'!$B:$B, $C1003), IF($B1004 = "Service Item", _xlfn.XLOOKUP($A1004, 'Instrument Table'!$I:$I, 'Instrument Table'!$B:$B, $C1003), _xlfn.XLOOKUP($A1004, 'Instrument Table'!$H:$H, 'Instrument Table'!$B:$B, $C1003)))</f>
        <v>Violin</v>
      </c>
      <c r="D1004" s="1" t="str">
        <f>VLOOKUP($C1004, 'Instrument Table'!$B:$C, 2, FALSE)</f>
        <v>Strings</v>
      </c>
      <c r="E1004" s="1">
        <f t="shared" si="90"/>
        <v>1</v>
      </c>
      <c r="F1004" s="1">
        <f>_xlfn.XLOOKUP($C1004, 'Instrument Table'!$B:$B, 'Instrument Table'!$A:$A, "")</f>
        <v>20</v>
      </c>
      <c r="G1004" s="1" t="str">
        <f>TEXT(IF($B1004 = "Retail Item", IF((ROW($A1004) - 4504 - _xlfn.XMATCH($C1004, $C$4506:$C$5005, 0, 1)) &lt;= VLOOKUP($C1004, 'Instrument Table'!$B:$D, 3, FALSE), ROW($A1004) - 4504 - _xlfn.XMATCH($C1004, $C$4506:$C$5005, 0, 1), 0), 0), "00")</f>
        <v>00</v>
      </c>
      <c r="H1004" s="1" t="str">
        <f t="shared" si="91"/>
        <v>048</v>
      </c>
      <c r="I1004" s="1" t="str">
        <f t="shared" si="92"/>
        <v>12000-048</v>
      </c>
      <c r="J1004" s="1" t="str">
        <f t="shared" si="93"/>
        <v>Violin production item #048</v>
      </c>
      <c r="K1004" s="1" t="str">
        <f>IF(SUM(COUNTIFS(I:I, I1004)) &gt; 1, "DUPLICATE", "UNIQUE")</f>
        <v>UNIQUE</v>
      </c>
      <c r="L1004" s="18">
        <v>0</v>
      </c>
      <c r="M1004" s="28">
        <v>79</v>
      </c>
      <c r="N1004" s="6">
        <v>100</v>
      </c>
      <c r="O1004" s="30">
        <f t="shared" si="94"/>
        <v>0</v>
      </c>
      <c r="P1004" s="30">
        <f t="shared" si="95"/>
        <v>7900</v>
      </c>
      <c r="Q1004" s="1">
        <f>COUNTIFS($P:$P, "&gt;" &amp; $P1004) + 1</f>
        <v>2002</v>
      </c>
      <c r="R1004" s="63">
        <f>(COUNTIFS($P:$P, "&gt;" &amp; $P1004) + 1) / (COUNTA($I:$I) - 1)</f>
        <v>0.40039999999999998</v>
      </c>
      <c r="S1004" s="23">
        <f>SUMIFS($P:$P, $Q:$Q, "&lt;" &amp; $Q1004)</f>
        <v>180012295</v>
      </c>
    </row>
    <row r="1005" spans="1:19" x14ac:dyDescent="0.25">
      <c r="A1005" s="1">
        <v>1000</v>
      </c>
      <c r="B1005" s="1" t="s">
        <v>2</v>
      </c>
      <c r="C1005" s="1" t="str">
        <f>IF($B1005 = "Production Item", _xlfn.XLOOKUP($A1005, 'Instrument Table'!$J:$J, 'Instrument Table'!$B:$B, $C1004), IF($B1005 = "Service Item", _xlfn.XLOOKUP($A1005, 'Instrument Table'!$I:$I, 'Instrument Table'!$B:$B, $C1004), _xlfn.XLOOKUP($A1005, 'Instrument Table'!$H:$H, 'Instrument Table'!$B:$B, $C1004)))</f>
        <v>Violin</v>
      </c>
      <c r="D1005" s="1" t="str">
        <f>VLOOKUP($C1005, 'Instrument Table'!$B:$C, 2, FALSE)</f>
        <v>Strings</v>
      </c>
      <c r="E1005" s="1">
        <f t="shared" si="90"/>
        <v>1</v>
      </c>
      <c r="F1005" s="1">
        <f>_xlfn.XLOOKUP($C1005, 'Instrument Table'!$B:$B, 'Instrument Table'!$A:$A, "")</f>
        <v>20</v>
      </c>
      <c r="G1005" s="1" t="str">
        <f>TEXT(IF($B1005 = "Retail Item", IF((ROW($A1005) - 4504 - _xlfn.XMATCH($C1005, $C$4506:$C$5005, 0, 1)) &lt;= VLOOKUP($C1005, 'Instrument Table'!$B:$D, 3, FALSE), ROW($A1005) - 4504 - _xlfn.XMATCH($C1005, $C$4506:$C$5005, 0, 1), 0), 0), "00")</f>
        <v>00</v>
      </c>
      <c r="H1005" s="1" t="str">
        <f t="shared" si="91"/>
        <v>049</v>
      </c>
      <c r="I1005" s="1" t="str">
        <f t="shared" si="92"/>
        <v>12000-049</v>
      </c>
      <c r="J1005" s="1" t="str">
        <f t="shared" si="93"/>
        <v>Violin production item #049</v>
      </c>
      <c r="K1005" s="1" t="str">
        <f>IF(SUM(COUNTIFS(I:I, I1005)) &gt; 1, "DUPLICATE", "UNIQUE")</f>
        <v>UNIQUE</v>
      </c>
      <c r="L1005" s="18">
        <v>32</v>
      </c>
      <c r="M1005" s="28">
        <v>39</v>
      </c>
      <c r="N1005" s="6">
        <v>361</v>
      </c>
      <c r="O1005" s="30">
        <f t="shared" si="94"/>
        <v>1248</v>
      </c>
      <c r="P1005" s="30">
        <f t="shared" si="95"/>
        <v>14079</v>
      </c>
      <c r="Q1005" s="1">
        <f>COUNTIFS($P:$P, "&gt;" &amp; $P1005) + 1</f>
        <v>1414</v>
      </c>
      <c r="R1005" s="63">
        <f>(COUNTIFS($P:$P, "&gt;" &amp; $P1005) + 1) / (COUNTA($I:$I) - 1)</f>
        <v>0.2828</v>
      </c>
      <c r="S1005" s="23">
        <f>SUMIFS($P:$P, $Q:$Q, "&lt;" &amp; $Q1005)</f>
        <v>173674474</v>
      </c>
    </row>
    <row r="1006" spans="1:19" x14ac:dyDescent="0.25">
      <c r="A1006" s="1">
        <v>1001</v>
      </c>
      <c r="B1006" s="1" t="s">
        <v>2</v>
      </c>
      <c r="C1006" s="1" t="str">
        <f>IF($B1006 = "Production Item", _xlfn.XLOOKUP($A1006, 'Instrument Table'!$J:$J, 'Instrument Table'!$B:$B, $C1005), IF($B1006 = "Service Item", _xlfn.XLOOKUP($A1006, 'Instrument Table'!$I:$I, 'Instrument Table'!$B:$B, $C1005), _xlfn.XLOOKUP($A1006, 'Instrument Table'!$H:$H, 'Instrument Table'!$B:$B, $C1005)))</f>
        <v>Violin</v>
      </c>
      <c r="D1006" s="1" t="str">
        <f>VLOOKUP($C1006, 'Instrument Table'!$B:$C, 2, FALSE)</f>
        <v>Strings</v>
      </c>
      <c r="E1006" s="1">
        <f t="shared" si="90"/>
        <v>1</v>
      </c>
      <c r="F1006" s="1">
        <f>_xlfn.XLOOKUP($C1006, 'Instrument Table'!$B:$B, 'Instrument Table'!$A:$A, "")</f>
        <v>20</v>
      </c>
      <c r="G1006" s="1" t="str">
        <f>TEXT(IF($B1006 = "Retail Item", IF((ROW($A1006) - 4504 - _xlfn.XMATCH($C1006, $C$4506:$C$5005, 0, 1)) &lt;= VLOOKUP($C1006, 'Instrument Table'!$B:$D, 3, FALSE), ROW($A1006) - 4504 - _xlfn.XMATCH($C1006, $C$4506:$C$5005, 0, 1), 0), 0), "00")</f>
        <v>00</v>
      </c>
      <c r="H1006" s="1" t="str">
        <f t="shared" si="91"/>
        <v>050</v>
      </c>
      <c r="I1006" s="1" t="str">
        <f t="shared" si="92"/>
        <v>12000-050</v>
      </c>
      <c r="J1006" s="1" t="str">
        <f t="shared" si="93"/>
        <v>Violin production item #050</v>
      </c>
      <c r="K1006" s="1" t="str">
        <f>IF(SUM(COUNTIFS(I:I, I1006)) &gt; 1, "DUPLICATE", "UNIQUE")</f>
        <v>UNIQUE</v>
      </c>
      <c r="L1006" s="18">
        <v>4</v>
      </c>
      <c r="M1006" s="28">
        <v>2</v>
      </c>
      <c r="N1006" s="6">
        <v>256</v>
      </c>
      <c r="O1006" s="30">
        <f t="shared" si="94"/>
        <v>8</v>
      </c>
      <c r="P1006" s="30">
        <f t="shared" si="95"/>
        <v>512</v>
      </c>
      <c r="Q1006" s="1">
        <f>COUNTIFS($P:$P, "&gt;" &amp; $P1006) + 1</f>
        <v>4012</v>
      </c>
      <c r="R1006" s="63">
        <f>(COUNTIFS($P:$P, "&gt;" &amp; $P1006) + 1) / (COUNTA($I:$I) - 1)</f>
        <v>0.8024</v>
      </c>
      <c r="S1006" s="23">
        <f>SUMIFS($P:$P, $Q:$Q, "&lt;" &amp; $Q1006)</f>
        <v>186404530</v>
      </c>
    </row>
    <row r="1007" spans="1:19" x14ac:dyDescent="0.25">
      <c r="A1007" s="1">
        <v>1002</v>
      </c>
      <c r="B1007" s="1" t="s">
        <v>2</v>
      </c>
      <c r="C1007" s="1" t="str">
        <f>IF($B1007 = "Production Item", _xlfn.XLOOKUP($A1007, 'Instrument Table'!$J:$J, 'Instrument Table'!$B:$B, $C1006), IF($B1007 = "Service Item", _xlfn.XLOOKUP($A1007, 'Instrument Table'!$I:$I, 'Instrument Table'!$B:$B, $C1006), _xlfn.XLOOKUP($A1007, 'Instrument Table'!$H:$H, 'Instrument Table'!$B:$B, $C1006)))</f>
        <v>Violin</v>
      </c>
      <c r="D1007" s="1" t="str">
        <f>VLOOKUP($C1007, 'Instrument Table'!$B:$C, 2, FALSE)</f>
        <v>Strings</v>
      </c>
      <c r="E1007" s="1">
        <f t="shared" si="90"/>
        <v>1</v>
      </c>
      <c r="F1007" s="1">
        <f>_xlfn.XLOOKUP($C1007, 'Instrument Table'!$B:$B, 'Instrument Table'!$A:$A, "")</f>
        <v>20</v>
      </c>
      <c r="G1007" s="1" t="str">
        <f>TEXT(IF($B1007 = "Retail Item", IF((ROW($A1007) - 4504 - _xlfn.XMATCH($C1007, $C$4506:$C$5005, 0, 1)) &lt;= VLOOKUP($C1007, 'Instrument Table'!$B:$D, 3, FALSE), ROW($A1007) - 4504 - _xlfn.XMATCH($C1007, $C$4506:$C$5005, 0, 1), 0), 0), "00")</f>
        <v>00</v>
      </c>
      <c r="H1007" s="1" t="str">
        <f t="shared" si="91"/>
        <v>051</v>
      </c>
      <c r="I1007" s="1" t="str">
        <f t="shared" si="92"/>
        <v>12000-051</v>
      </c>
      <c r="J1007" s="1" t="str">
        <f t="shared" si="93"/>
        <v>Violin production item #051</v>
      </c>
      <c r="K1007" s="1" t="str">
        <f>IF(SUM(COUNTIFS(I:I, I1007)) &gt; 1, "DUPLICATE", "UNIQUE")</f>
        <v>UNIQUE</v>
      </c>
      <c r="L1007" s="18">
        <v>1</v>
      </c>
      <c r="M1007" s="28">
        <v>82</v>
      </c>
      <c r="N1007" s="6">
        <v>169</v>
      </c>
      <c r="O1007" s="30">
        <f t="shared" si="94"/>
        <v>82</v>
      </c>
      <c r="P1007" s="30">
        <f t="shared" si="95"/>
        <v>13858</v>
      </c>
      <c r="Q1007" s="1">
        <f>COUNTIFS($P:$P, "&gt;" &amp; $P1007) + 1</f>
        <v>1430</v>
      </c>
      <c r="R1007" s="63">
        <f>(COUNTIFS($P:$P, "&gt;" &amp; $P1007) + 1) / (COUNTA($I:$I) - 1)</f>
        <v>0.28599999999999998</v>
      </c>
      <c r="S1007" s="23">
        <f>SUMIFS($P:$P, $Q:$Q, "&lt;" &amp; $Q1007)</f>
        <v>173898224</v>
      </c>
    </row>
    <row r="1008" spans="1:19" x14ac:dyDescent="0.25">
      <c r="A1008" s="1">
        <v>1003</v>
      </c>
      <c r="B1008" s="1" t="s">
        <v>2</v>
      </c>
      <c r="C1008" s="1" t="str">
        <f>IF($B1008 = "Production Item", _xlfn.XLOOKUP($A1008, 'Instrument Table'!$J:$J, 'Instrument Table'!$B:$B, $C1007), IF($B1008 = "Service Item", _xlfn.XLOOKUP($A1008, 'Instrument Table'!$I:$I, 'Instrument Table'!$B:$B, $C1007), _xlfn.XLOOKUP($A1008, 'Instrument Table'!$H:$H, 'Instrument Table'!$B:$B, $C1007)))</f>
        <v>Violin</v>
      </c>
      <c r="D1008" s="1" t="str">
        <f>VLOOKUP($C1008, 'Instrument Table'!$B:$C, 2, FALSE)</f>
        <v>Strings</v>
      </c>
      <c r="E1008" s="1">
        <f t="shared" si="90"/>
        <v>1</v>
      </c>
      <c r="F1008" s="1">
        <f>_xlfn.XLOOKUP($C1008, 'Instrument Table'!$B:$B, 'Instrument Table'!$A:$A, "")</f>
        <v>20</v>
      </c>
      <c r="G1008" s="1" t="str">
        <f>TEXT(IF($B1008 = "Retail Item", IF((ROW($A1008) - 4504 - _xlfn.XMATCH($C1008, $C$4506:$C$5005, 0, 1)) &lt;= VLOOKUP($C1008, 'Instrument Table'!$B:$D, 3, FALSE), ROW($A1008) - 4504 - _xlfn.XMATCH($C1008, $C$4506:$C$5005, 0, 1), 0), 0), "00")</f>
        <v>00</v>
      </c>
      <c r="H1008" s="1" t="str">
        <f t="shared" si="91"/>
        <v>052</v>
      </c>
      <c r="I1008" s="1" t="str">
        <f t="shared" si="92"/>
        <v>12000-052</v>
      </c>
      <c r="J1008" s="1" t="str">
        <f t="shared" si="93"/>
        <v>Violin production item #052</v>
      </c>
      <c r="K1008" s="1" t="str">
        <f>IF(SUM(COUNTIFS(I:I, I1008)) &gt; 1, "DUPLICATE", "UNIQUE")</f>
        <v>UNIQUE</v>
      </c>
      <c r="L1008" s="18">
        <v>1</v>
      </c>
      <c r="M1008" s="28">
        <v>68</v>
      </c>
      <c r="N1008" s="6">
        <v>400</v>
      </c>
      <c r="O1008" s="30">
        <f t="shared" si="94"/>
        <v>68</v>
      </c>
      <c r="P1008" s="30">
        <f t="shared" si="95"/>
        <v>27200</v>
      </c>
      <c r="Q1008" s="1">
        <f>COUNTIFS($P:$P, "&gt;" &amp; $P1008) + 1</f>
        <v>744</v>
      </c>
      <c r="R1008" s="63">
        <f>(COUNTIFS($P:$P, "&gt;" &amp; $P1008) + 1) / (COUNTA($I:$I) - 1)</f>
        <v>0.14879999999999999</v>
      </c>
      <c r="S1008" s="23">
        <f>SUMIFS($P:$P, $Q:$Q, "&lt;" &amp; $Q1008)</f>
        <v>160342430</v>
      </c>
    </row>
    <row r="1009" spans="1:19" x14ac:dyDescent="0.25">
      <c r="A1009" s="1">
        <v>1004</v>
      </c>
      <c r="B1009" s="1" t="s">
        <v>2</v>
      </c>
      <c r="C1009" s="1" t="str">
        <f>IF($B1009 = "Production Item", _xlfn.XLOOKUP($A1009, 'Instrument Table'!$J:$J, 'Instrument Table'!$B:$B, $C1008), IF($B1009 = "Service Item", _xlfn.XLOOKUP($A1009, 'Instrument Table'!$I:$I, 'Instrument Table'!$B:$B, $C1008), _xlfn.XLOOKUP($A1009, 'Instrument Table'!$H:$H, 'Instrument Table'!$B:$B, $C1008)))</f>
        <v>Violin</v>
      </c>
      <c r="D1009" s="1" t="str">
        <f>VLOOKUP($C1009, 'Instrument Table'!$B:$C, 2, FALSE)</f>
        <v>Strings</v>
      </c>
      <c r="E1009" s="1">
        <f t="shared" si="90"/>
        <v>1</v>
      </c>
      <c r="F1009" s="1">
        <f>_xlfn.XLOOKUP($C1009, 'Instrument Table'!$B:$B, 'Instrument Table'!$A:$A, "")</f>
        <v>20</v>
      </c>
      <c r="G1009" s="1" t="str">
        <f>TEXT(IF($B1009 = "Retail Item", IF((ROW($A1009) - 4504 - _xlfn.XMATCH($C1009, $C$4506:$C$5005, 0, 1)) &lt;= VLOOKUP($C1009, 'Instrument Table'!$B:$D, 3, FALSE), ROW($A1009) - 4504 - _xlfn.XMATCH($C1009, $C$4506:$C$5005, 0, 1), 0), 0), "00")</f>
        <v>00</v>
      </c>
      <c r="H1009" s="1" t="str">
        <f t="shared" si="91"/>
        <v>053</v>
      </c>
      <c r="I1009" s="1" t="str">
        <f t="shared" si="92"/>
        <v>12000-053</v>
      </c>
      <c r="J1009" s="1" t="str">
        <f t="shared" si="93"/>
        <v>Violin production item #053</v>
      </c>
      <c r="K1009" s="1" t="str">
        <f>IF(SUM(COUNTIFS(I:I, I1009)) &gt; 1, "DUPLICATE", "UNIQUE")</f>
        <v>UNIQUE</v>
      </c>
      <c r="L1009" s="18">
        <v>8</v>
      </c>
      <c r="M1009" s="28">
        <v>63</v>
      </c>
      <c r="N1009" s="6">
        <v>49</v>
      </c>
      <c r="O1009" s="30">
        <f t="shared" si="94"/>
        <v>504</v>
      </c>
      <c r="P1009" s="30">
        <f t="shared" si="95"/>
        <v>3087</v>
      </c>
      <c r="Q1009" s="1">
        <f>COUNTIFS($P:$P, "&gt;" &amp; $P1009) + 1</f>
        <v>2881</v>
      </c>
      <c r="R1009" s="63">
        <f>(COUNTIFS($P:$P, "&gt;" &amp; $P1009) + 1) / (COUNTA($I:$I) - 1)</f>
        <v>0.57620000000000005</v>
      </c>
      <c r="S1009" s="23">
        <f>SUMIFS($P:$P, $Q:$Q, "&lt;" &amp; $Q1009)</f>
        <v>184590094</v>
      </c>
    </row>
    <row r="1010" spans="1:19" x14ac:dyDescent="0.25">
      <c r="A1010" s="1">
        <v>1005</v>
      </c>
      <c r="B1010" s="1" t="s">
        <v>2</v>
      </c>
      <c r="C1010" s="1" t="str">
        <f>IF($B1010 = "Production Item", _xlfn.XLOOKUP($A1010, 'Instrument Table'!$J:$J, 'Instrument Table'!$B:$B, $C1009), IF($B1010 = "Service Item", _xlfn.XLOOKUP($A1010, 'Instrument Table'!$I:$I, 'Instrument Table'!$B:$B, $C1009), _xlfn.XLOOKUP($A1010, 'Instrument Table'!$H:$H, 'Instrument Table'!$B:$B, $C1009)))</f>
        <v>Violin</v>
      </c>
      <c r="D1010" s="1" t="str">
        <f>VLOOKUP($C1010, 'Instrument Table'!$B:$C, 2, FALSE)</f>
        <v>Strings</v>
      </c>
      <c r="E1010" s="1">
        <f t="shared" si="90"/>
        <v>1</v>
      </c>
      <c r="F1010" s="1">
        <f>_xlfn.XLOOKUP($C1010, 'Instrument Table'!$B:$B, 'Instrument Table'!$A:$A, "")</f>
        <v>20</v>
      </c>
      <c r="G1010" s="1" t="str">
        <f>TEXT(IF($B1010 = "Retail Item", IF((ROW($A1010) - 4504 - _xlfn.XMATCH($C1010, $C$4506:$C$5005, 0, 1)) &lt;= VLOOKUP($C1010, 'Instrument Table'!$B:$D, 3, FALSE), ROW($A1010) - 4504 - _xlfn.XMATCH($C1010, $C$4506:$C$5005, 0, 1), 0), 0), "00")</f>
        <v>00</v>
      </c>
      <c r="H1010" s="1" t="str">
        <f t="shared" si="91"/>
        <v>054</v>
      </c>
      <c r="I1010" s="1" t="str">
        <f t="shared" si="92"/>
        <v>12000-054</v>
      </c>
      <c r="J1010" s="1" t="str">
        <f t="shared" si="93"/>
        <v>Violin production item #054</v>
      </c>
      <c r="K1010" s="1" t="str">
        <f>IF(SUM(COUNTIFS(I:I, I1010)) &gt; 1, "DUPLICATE", "UNIQUE")</f>
        <v>UNIQUE</v>
      </c>
      <c r="L1010" s="18">
        <v>1</v>
      </c>
      <c r="M1010" s="28">
        <v>11</v>
      </c>
      <c r="N1010" s="6">
        <v>121</v>
      </c>
      <c r="O1010" s="30">
        <f t="shared" si="94"/>
        <v>11</v>
      </c>
      <c r="P1010" s="30">
        <f t="shared" si="95"/>
        <v>1331</v>
      </c>
      <c r="Q1010" s="1">
        <f>COUNTIFS($P:$P, "&gt;" &amp; $P1010) + 1</f>
        <v>3548</v>
      </c>
      <c r="R1010" s="63">
        <f>(COUNTIFS($P:$P, "&gt;" &amp; $P1010) + 1) / (COUNTA($I:$I) - 1)</f>
        <v>0.70960000000000001</v>
      </c>
      <c r="S1010" s="23">
        <f>SUMIFS($P:$P, $Q:$Q, "&lt;" &amp; $Q1010)</f>
        <v>186003417</v>
      </c>
    </row>
    <row r="1011" spans="1:19" x14ac:dyDescent="0.25">
      <c r="A1011" s="1">
        <v>1006</v>
      </c>
      <c r="B1011" s="1" t="s">
        <v>2</v>
      </c>
      <c r="C1011" s="1" t="str">
        <f>IF($B1011 = "Production Item", _xlfn.XLOOKUP($A1011, 'Instrument Table'!$J:$J, 'Instrument Table'!$B:$B, $C1010), IF($B1011 = "Service Item", _xlfn.XLOOKUP($A1011, 'Instrument Table'!$I:$I, 'Instrument Table'!$B:$B, $C1010), _xlfn.XLOOKUP($A1011, 'Instrument Table'!$H:$H, 'Instrument Table'!$B:$B, $C1010)))</f>
        <v>Violin</v>
      </c>
      <c r="D1011" s="1" t="str">
        <f>VLOOKUP($C1011, 'Instrument Table'!$B:$C, 2, FALSE)</f>
        <v>Strings</v>
      </c>
      <c r="E1011" s="1">
        <f t="shared" si="90"/>
        <v>1</v>
      </c>
      <c r="F1011" s="1">
        <f>_xlfn.XLOOKUP($C1011, 'Instrument Table'!$B:$B, 'Instrument Table'!$A:$A, "")</f>
        <v>20</v>
      </c>
      <c r="G1011" s="1" t="str">
        <f>TEXT(IF($B1011 = "Retail Item", IF((ROW($A1011) - 4504 - _xlfn.XMATCH($C1011, $C$4506:$C$5005, 0, 1)) &lt;= VLOOKUP($C1011, 'Instrument Table'!$B:$D, 3, FALSE), ROW($A1011) - 4504 - _xlfn.XMATCH($C1011, $C$4506:$C$5005, 0, 1), 0), 0), "00")</f>
        <v>00</v>
      </c>
      <c r="H1011" s="1" t="str">
        <f t="shared" si="91"/>
        <v>055</v>
      </c>
      <c r="I1011" s="1" t="str">
        <f t="shared" si="92"/>
        <v>12000-055</v>
      </c>
      <c r="J1011" s="1" t="str">
        <f t="shared" si="93"/>
        <v>Violin production item #055</v>
      </c>
      <c r="K1011" s="1" t="str">
        <f>IF(SUM(COUNTIFS(I:I, I1011)) &gt; 1, "DUPLICATE", "UNIQUE")</f>
        <v>UNIQUE</v>
      </c>
      <c r="L1011" s="18">
        <v>0</v>
      </c>
      <c r="M1011" s="28">
        <v>18</v>
      </c>
      <c r="N1011" s="6">
        <v>144</v>
      </c>
      <c r="O1011" s="30">
        <f t="shared" si="94"/>
        <v>0</v>
      </c>
      <c r="P1011" s="30">
        <f t="shared" si="95"/>
        <v>2592</v>
      </c>
      <c r="Q1011" s="1">
        <f>COUNTIFS($P:$P, "&gt;" &amp; $P1011) + 1</f>
        <v>3012</v>
      </c>
      <c r="R1011" s="63">
        <f>(COUNTIFS($P:$P, "&gt;" &amp; $P1011) + 1) / (COUNTA($I:$I) - 1)</f>
        <v>0.60240000000000005</v>
      </c>
      <c r="S1011" s="23">
        <f>SUMIFS($P:$P, $Q:$Q, "&lt;" &amp; $Q1011)</f>
        <v>184963466</v>
      </c>
    </row>
    <row r="1012" spans="1:19" x14ac:dyDescent="0.25">
      <c r="A1012" s="1">
        <v>1007</v>
      </c>
      <c r="B1012" s="1" t="s">
        <v>2</v>
      </c>
      <c r="C1012" s="1" t="str">
        <f>IF($B1012 = "Production Item", _xlfn.XLOOKUP($A1012, 'Instrument Table'!$J:$J, 'Instrument Table'!$B:$B, $C1011), IF($B1012 = "Service Item", _xlfn.XLOOKUP($A1012, 'Instrument Table'!$I:$I, 'Instrument Table'!$B:$B, $C1011), _xlfn.XLOOKUP($A1012, 'Instrument Table'!$H:$H, 'Instrument Table'!$B:$B, $C1011)))</f>
        <v>Violin</v>
      </c>
      <c r="D1012" s="1" t="str">
        <f>VLOOKUP($C1012, 'Instrument Table'!$B:$C, 2, FALSE)</f>
        <v>Strings</v>
      </c>
      <c r="E1012" s="1">
        <f t="shared" si="90"/>
        <v>1</v>
      </c>
      <c r="F1012" s="1">
        <f>_xlfn.XLOOKUP($C1012, 'Instrument Table'!$B:$B, 'Instrument Table'!$A:$A, "")</f>
        <v>20</v>
      </c>
      <c r="G1012" s="1" t="str">
        <f>TEXT(IF($B1012 = "Retail Item", IF((ROW($A1012) - 4504 - _xlfn.XMATCH($C1012, $C$4506:$C$5005, 0, 1)) &lt;= VLOOKUP($C1012, 'Instrument Table'!$B:$D, 3, FALSE), ROW($A1012) - 4504 - _xlfn.XMATCH($C1012, $C$4506:$C$5005, 0, 1), 0), 0), "00")</f>
        <v>00</v>
      </c>
      <c r="H1012" s="1" t="str">
        <f t="shared" si="91"/>
        <v>056</v>
      </c>
      <c r="I1012" s="1" t="str">
        <f t="shared" si="92"/>
        <v>12000-056</v>
      </c>
      <c r="J1012" s="1" t="str">
        <f t="shared" si="93"/>
        <v>Violin production item #056</v>
      </c>
      <c r="K1012" s="1" t="str">
        <f>IF(SUM(COUNTIFS(I:I, I1012)) &gt; 1, "DUPLICATE", "UNIQUE")</f>
        <v>UNIQUE</v>
      </c>
      <c r="L1012" s="18">
        <v>1</v>
      </c>
      <c r="M1012" s="28">
        <v>21</v>
      </c>
      <c r="N1012" s="6">
        <v>81</v>
      </c>
      <c r="O1012" s="30">
        <f t="shared" si="94"/>
        <v>21</v>
      </c>
      <c r="P1012" s="30">
        <f t="shared" si="95"/>
        <v>1701</v>
      </c>
      <c r="Q1012" s="1">
        <f>COUNTIFS($P:$P, "&gt;" &amp; $P1012) + 1</f>
        <v>3369</v>
      </c>
      <c r="R1012" s="63">
        <f>(COUNTIFS($P:$P, "&gt;" &amp; $P1012) + 1) / (COUNTA($I:$I) - 1)</f>
        <v>0.67379999999999995</v>
      </c>
      <c r="S1012" s="23">
        <f>SUMIFS($P:$P, $Q:$Q, "&lt;" &amp; $Q1012)</f>
        <v>185733573</v>
      </c>
    </row>
    <row r="1013" spans="1:19" x14ac:dyDescent="0.25">
      <c r="A1013" s="1">
        <v>1008</v>
      </c>
      <c r="B1013" s="1" t="s">
        <v>2</v>
      </c>
      <c r="C1013" s="1" t="str">
        <f>IF($B1013 = "Production Item", _xlfn.XLOOKUP($A1013, 'Instrument Table'!$J:$J, 'Instrument Table'!$B:$B, $C1012), IF($B1013 = "Service Item", _xlfn.XLOOKUP($A1013, 'Instrument Table'!$I:$I, 'Instrument Table'!$B:$B, $C1012), _xlfn.XLOOKUP($A1013, 'Instrument Table'!$H:$H, 'Instrument Table'!$B:$B, $C1012)))</f>
        <v>Violin</v>
      </c>
      <c r="D1013" s="1" t="str">
        <f>VLOOKUP($C1013, 'Instrument Table'!$B:$C, 2, FALSE)</f>
        <v>Strings</v>
      </c>
      <c r="E1013" s="1">
        <f t="shared" si="90"/>
        <v>1</v>
      </c>
      <c r="F1013" s="1">
        <f>_xlfn.XLOOKUP($C1013, 'Instrument Table'!$B:$B, 'Instrument Table'!$A:$A, "")</f>
        <v>20</v>
      </c>
      <c r="G1013" s="1" t="str">
        <f>TEXT(IF($B1013 = "Retail Item", IF((ROW($A1013) - 4504 - _xlfn.XMATCH($C1013, $C$4506:$C$5005, 0, 1)) &lt;= VLOOKUP($C1013, 'Instrument Table'!$B:$D, 3, FALSE), ROW($A1013) - 4504 - _xlfn.XMATCH($C1013, $C$4506:$C$5005, 0, 1), 0), 0), "00")</f>
        <v>00</v>
      </c>
      <c r="H1013" s="1" t="str">
        <f t="shared" si="91"/>
        <v>057</v>
      </c>
      <c r="I1013" s="1" t="str">
        <f t="shared" si="92"/>
        <v>12000-057</v>
      </c>
      <c r="J1013" s="1" t="str">
        <f t="shared" si="93"/>
        <v>Violin production item #057</v>
      </c>
      <c r="K1013" s="1" t="str">
        <f>IF(SUM(COUNTIFS(I:I, I1013)) &gt; 1, "DUPLICATE", "UNIQUE")</f>
        <v>UNIQUE</v>
      </c>
      <c r="L1013" s="18">
        <v>1</v>
      </c>
      <c r="M1013" s="28">
        <v>99</v>
      </c>
      <c r="N1013" s="6">
        <v>289</v>
      </c>
      <c r="O1013" s="30">
        <f t="shared" si="94"/>
        <v>99</v>
      </c>
      <c r="P1013" s="30">
        <f t="shared" si="95"/>
        <v>28611</v>
      </c>
      <c r="Q1013" s="1">
        <f>COUNTIFS($P:$P, "&gt;" &amp; $P1013) + 1</f>
        <v>720</v>
      </c>
      <c r="R1013" s="63">
        <f>(COUNTIFS($P:$P, "&gt;" &amp; $P1013) + 1) / (COUNTA($I:$I) - 1)</f>
        <v>0.14399999999999999</v>
      </c>
      <c r="S1013" s="23">
        <f>SUMIFS($P:$P, $Q:$Q, "&lt;" &amp; $Q1013)</f>
        <v>159671367</v>
      </c>
    </row>
    <row r="1014" spans="1:19" x14ac:dyDescent="0.25">
      <c r="A1014" s="1">
        <v>1009</v>
      </c>
      <c r="B1014" s="1" t="s">
        <v>2</v>
      </c>
      <c r="C1014" s="1" t="str">
        <f>IF($B1014 = "Production Item", _xlfn.XLOOKUP($A1014, 'Instrument Table'!$J:$J, 'Instrument Table'!$B:$B, $C1013), IF($B1014 = "Service Item", _xlfn.XLOOKUP($A1014, 'Instrument Table'!$I:$I, 'Instrument Table'!$B:$B, $C1013), _xlfn.XLOOKUP($A1014, 'Instrument Table'!$H:$H, 'Instrument Table'!$B:$B, $C1013)))</f>
        <v>Violin</v>
      </c>
      <c r="D1014" s="1" t="str">
        <f>VLOOKUP($C1014, 'Instrument Table'!$B:$C, 2, FALSE)</f>
        <v>Strings</v>
      </c>
      <c r="E1014" s="1">
        <f t="shared" si="90"/>
        <v>1</v>
      </c>
      <c r="F1014" s="1">
        <f>_xlfn.XLOOKUP($C1014, 'Instrument Table'!$B:$B, 'Instrument Table'!$A:$A, "")</f>
        <v>20</v>
      </c>
      <c r="G1014" s="1" t="str">
        <f>TEXT(IF($B1014 = "Retail Item", IF((ROW($A1014) - 4504 - _xlfn.XMATCH($C1014, $C$4506:$C$5005, 0, 1)) &lt;= VLOOKUP($C1014, 'Instrument Table'!$B:$D, 3, FALSE), ROW($A1014) - 4504 - _xlfn.XMATCH($C1014, $C$4506:$C$5005, 0, 1), 0), 0), "00")</f>
        <v>00</v>
      </c>
      <c r="H1014" s="1" t="str">
        <f t="shared" si="91"/>
        <v>058</v>
      </c>
      <c r="I1014" s="1" t="str">
        <f t="shared" si="92"/>
        <v>12000-058</v>
      </c>
      <c r="J1014" s="1" t="str">
        <f t="shared" si="93"/>
        <v>Violin production item #058</v>
      </c>
      <c r="K1014" s="1" t="str">
        <f>IF(SUM(COUNTIFS(I:I, I1014)) &gt; 1, "DUPLICATE", "UNIQUE")</f>
        <v>UNIQUE</v>
      </c>
      <c r="L1014" s="18">
        <v>0</v>
      </c>
      <c r="M1014" s="28">
        <v>59</v>
      </c>
      <c r="N1014" s="6">
        <v>196</v>
      </c>
      <c r="O1014" s="30">
        <f t="shared" si="94"/>
        <v>0</v>
      </c>
      <c r="P1014" s="30">
        <f t="shared" si="95"/>
        <v>11564</v>
      </c>
      <c r="Q1014" s="1">
        <f>COUNTIFS($P:$P, "&gt;" &amp; $P1014) + 1</f>
        <v>1627</v>
      </c>
      <c r="R1014" s="63">
        <f>(COUNTIFS($P:$P, "&gt;" &amp; $P1014) + 1) / (COUNTA($I:$I) - 1)</f>
        <v>0.32540000000000002</v>
      </c>
      <c r="S1014" s="23">
        <f>SUMIFS($P:$P, $Q:$Q, "&lt;" &amp; $Q1014)</f>
        <v>176393567</v>
      </c>
    </row>
    <row r="1015" spans="1:19" x14ac:dyDescent="0.25">
      <c r="A1015" s="1">
        <v>1010</v>
      </c>
      <c r="B1015" s="1" t="s">
        <v>2</v>
      </c>
      <c r="C1015" s="1" t="str">
        <f>IF($B1015 = "Production Item", _xlfn.XLOOKUP($A1015, 'Instrument Table'!$J:$J, 'Instrument Table'!$B:$B, $C1014), IF($B1015 = "Service Item", _xlfn.XLOOKUP($A1015, 'Instrument Table'!$I:$I, 'Instrument Table'!$B:$B, $C1014), _xlfn.XLOOKUP($A1015, 'Instrument Table'!$H:$H, 'Instrument Table'!$B:$B, $C1014)))</f>
        <v>Violin</v>
      </c>
      <c r="D1015" s="1" t="str">
        <f>VLOOKUP($C1015, 'Instrument Table'!$B:$C, 2, FALSE)</f>
        <v>Strings</v>
      </c>
      <c r="E1015" s="1">
        <f t="shared" si="90"/>
        <v>1</v>
      </c>
      <c r="F1015" s="1">
        <f>_xlfn.XLOOKUP($C1015, 'Instrument Table'!$B:$B, 'Instrument Table'!$A:$A, "")</f>
        <v>20</v>
      </c>
      <c r="G1015" s="1" t="str">
        <f>TEXT(IF($B1015 = "Retail Item", IF((ROW($A1015) - 4504 - _xlfn.XMATCH($C1015, $C$4506:$C$5005, 0, 1)) &lt;= VLOOKUP($C1015, 'Instrument Table'!$B:$D, 3, FALSE), ROW($A1015) - 4504 - _xlfn.XMATCH($C1015, $C$4506:$C$5005, 0, 1), 0), 0), "00")</f>
        <v>00</v>
      </c>
      <c r="H1015" s="1" t="str">
        <f t="shared" si="91"/>
        <v>059</v>
      </c>
      <c r="I1015" s="1" t="str">
        <f t="shared" si="92"/>
        <v>12000-059</v>
      </c>
      <c r="J1015" s="1" t="str">
        <f t="shared" si="93"/>
        <v>Violin production item #059</v>
      </c>
      <c r="K1015" s="1" t="str">
        <f>IF(SUM(COUNTIFS(I:I, I1015)) &gt; 1, "DUPLICATE", "UNIQUE")</f>
        <v>UNIQUE</v>
      </c>
      <c r="L1015" s="18">
        <v>0</v>
      </c>
      <c r="M1015" s="28">
        <v>94</v>
      </c>
      <c r="N1015" s="6">
        <v>25</v>
      </c>
      <c r="O1015" s="30">
        <f t="shared" si="94"/>
        <v>0</v>
      </c>
      <c r="P1015" s="30">
        <f t="shared" si="95"/>
        <v>2350</v>
      </c>
      <c r="Q1015" s="1">
        <f>COUNTIFS($P:$P, "&gt;" &amp; $P1015) + 1</f>
        <v>3106</v>
      </c>
      <c r="R1015" s="63">
        <f>(COUNTIFS($P:$P, "&gt;" &amp; $P1015) + 1) / (COUNTA($I:$I) - 1)</f>
        <v>0.62119999999999997</v>
      </c>
      <c r="S1015" s="23">
        <f>SUMIFS($P:$P, $Q:$Q, "&lt;" &amp; $Q1015)</f>
        <v>185196607</v>
      </c>
    </row>
    <row r="1016" spans="1:19" x14ac:dyDescent="0.25">
      <c r="A1016" s="1">
        <v>1011</v>
      </c>
      <c r="B1016" s="1" t="s">
        <v>2</v>
      </c>
      <c r="C1016" s="1" t="str">
        <f>IF($B1016 = "Production Item", _xlfn.XLOOKUP($A1016, 'Instrument Table'!$J:$J, 'Instrument Table'!$B:$B, $C1015), IF($B1016 = "Service Item", _xlfn.XLOOKUP($A1016, 'Instrument Table'!$I:$I, 'Instrument Table'!$B:$B, $C1015), _xlfn.XLOOKUP($A1016, 'Instrument Table'!$H:$H, 'Instrument Table'!$B:$B, $C1015)))</f>
        <v>Violin</v>
      </c>
      <c r="D1016" s="1" t="str">
        <f>VLOOKUP($C1016, 'Instrument Table'!$B:$C, 2, FALSE)</f>
        <v>Strings</v>
      </c>
      <c r="E1016" s="1">
        <f t="shared" si="90"/>
        <v>1</v>
      </c>
      <c r="F1016" s="1">
        <f>_xlfn.XLOOKUP($C1016, 'Instrument Table'!$B:$B, 'Instrument Table'!$A:$A, "")</f>
        <v>20</v>
      </c>
      <c r="G1016" s="1" t="str">
        <f>TEXT(IF($B1016 = "Retail Item", IF((ROW($A1016) - 4504 - _xlfn.XMATCH($C1016, $C$4506:$C$5005, 0, 1)) &lt;= VLOOKUP($C1016, 'Instrument Table'!$B:$D, 3, FALSE), ROW($A1016) - 4504 - _xlfn.XMATCH($C1016, $C$4506:$C$5005, 0, 1), 0), 0), "00")</f>
        <v>00</v>
      </c>
      <c r="H1016" s="1" t="str">
        <f t="shared" si="91"/>
        <v>060</v>
      </c>
      <c r="I1016" s="1" t="str">
        <f t="shared" si="92"/>
        <v>12000-060</v>
      </c>
      <c r="J1016" s="1" t="str">
        <f t="shared" si="93"/>
        <v>Violin production item #060</v>
      </c>
      <c r="K1016" s="1" t="str">
        <f>IF(SUM(COUNTIFS(I:I, I1016)) &gt; 1, "DUPLICATE", "UNIQUE")</f>
        <v>UNIQUE</v>
      </c>
      <c r="L1016" s="18">
        <v>16</v>
      </c>
      <c r="M1016" s="28">
        <v>46</v>
      </c>
      <c r="N1016" s="6">
        <v>289</v>
      </c>
      <c r="O1016" s="30">
        <f t="shared" si="94"/>
        <v>736</v>
      </c>
      <c r="P1016" s="30">
        <f t="shared" si="95"/>
        <v>13294</v>
      </c>
      <c r="Q1016" s="1">
        <f>COUNTIFS($P:$P, "&gt;" &amp; $P1016) + 1</f>
        <v>1476</v>
      </c>
      <c r="R1016" s="63">
        <f>(COUNTIFS($P:$P, "&gt;" &amp; $P1016) + 1) / (COUNTA($I:$I) - 1)</f>
        <v>0.29520000000000002</v>
      </c>
      <c r="S1016" s="23">
        <f>SUMIFS($P:$P, $Q:$Q, "&lt;" &amp; $Q1016)</f>
        <v>174523294</v>
      </c>
    </row>
    <row r="1017" spans="1:19" x14ac:dyDescent="0.25">
      <c r="A1017" s="1">
        <v>1012</v>
      </c>
      <c r="B1017" s="1" t="s">
        <v>2</v>
      </c>
      <c r="C1017" s="1" t="str">
        <f>IF($B1017 = "Production Item", _xlfn.XLOOKUP($A1017, 'Instrument Table'!$J:$J, 'Instrument Table'!$B:$B, $C1016), IF($B1017 = "Service Item", _xlfn.XLOOKUP($A1017, 'Instrument Table'!$I:$I, 'Instrument Table'!$B:$B, $C1016), _xlfn.XLOOKUP($A1017, 'Instrument Table'!$H:$H, 'Instrument Table'!$B:$B, $C1016)))</f>
        <v>Violin</v>
      </c>
      <c r="D1017" s="1" t="str">
        <f>VLOOKUP($C1017, 'Instrument Table'!$B:$C, 2, FALSE)</f>
        <v>Strings</v>
      </c>
      <c r="E1017" s="1">
        <f t="shared" si="90"/>
        <v>1</v>
      </c>
      <c r="F1017" s="1">
        <f>_xlfn.XLOOKUP($C1017, 'Instrument Table'!$B:$B, 'Instrument Table'!$A:$A, "")</f>
        <v>20</v>
      </c>
      <c r="G1017" s="1" t="str">
        <f>TEXT(IF($B1017 = "Retail Item", IF((ROW($A1017) - 4504 - _xlfn.XMATCH($C1017, $C$4506:$C$5005, 0, 1)) &lt;= VLOOKUP($C1017, 'Instrument Table'!$B:$D, 3, FALSE), ROW($A1017) - 4504 - _xlfn.XMATCH($C1017, $C$4506:$C$5005, 0, 1), 0), 0), "00")</f>
        <v>00</v>
      </c>
      <c r="H1017" s="1" t="str">
        <f t="shared" si="91"/>
        <v>061</v>
      </c>
      <c r="I1017" s="1" t="str">
        <f t="shared" si="92"/>
        <v>12000-061</v>
      </c>
      <c r="J1017" s="1" t="str">
        <f t="shared" si="93"/>
        <v>Violin production item #061</v>
      </c>
      <c r="K1017" s="1" t="str">
        <f>IF(SUM(COUNTIFS(I:I, I1017)) &gt; 1, "DUPLICATE", "UNIQUE")</f>
        <v>UNIQUE</v>
      </c>
      <c r="L1017" s="18">
        <v>0</v>
      </c>
      <c r="M1017" s="28">
        <v>21</v>
      </c>
      <c r="N1017" s="6">
        <v>25</v>
      </c>
      <c r="O1017" s="30">
        <f t="shared" si="94"/>
        <v>0</v>
      </c>
      <c r="P1017" s="30">
        <f t="shared" si="95"/>
        <v>525</v>
      </c>
      <c r="Q1017" s="1">
        <f>COUNTIFS($P:$P, "&gt;" &amp; $P1017) + 1</f>
        <v>4000</v>
      </c>
      <c r="R1017" s="63">
        <f>(COUNTIFS($P:$P, "&gt;" &amp; $P1017) + 1) / (COUNTA($I:$I) - 1)</f>
        <v>0.8</v>
      </c>
      <c r="S1017" s="23">
        <f>SUMIFS($P:$P, $Q:$Q, "&lt;" &amp; $Q1017)</f>
        <v>186398302</v>
      </c>
    </row>
    <row r="1018" spans="1:19" x14ac:dyDescent="0.25">
      <c r="A1018" s="1">
        <v>1013</v>
      </c>
      <c r="B1018" s="1" t="s">
        <v>2</v>
      </c>
      <c r="C1018" s="1" t="str">
        <f>IF($B1018 = "Production Item", _xlfn.XLOOKUP($A1018, 'Instrument Table'!$J:$J, 'Instrument Table'!$B:$B, $C1017), IF($B1018 = "Service Item", _xlfn.XLOOKUP($A1018, 'Instrument Table'!$I:$I, 'Instrument Table'!$B:$B, $C1017), _xlfn.XLOOKUP($A1018, 'Instrument Table'!$H:$H, 'Instrument Table'!$B:$B, $C1017)))</f>
        <v>Violin</v>
      </c>
      <c r="D1018" s="1" t="str">
        <f>VLOOKUP($C1018, 'Instrument Table'!$B:$C, 2, FALSE)</f>
        <v>Strings</v>
      </c>
      <c r="E1018" s="1">
        <f t="shared" si="90"/>
        <v>1</v>
      </c>
      <c r="F1018" s="1">
        <f>_xlfn.XLOOKUP($C1018, 'Instrument Table'!$B:$B, 'Instrument Table'!$A:$A, "")</f>
        <v>20</v>
      </c>
      <c r="G1018" s="1" t="str">
        <f>TEXT(IF($B1018 = "Retail Item", IF((ROW($A1018) - 4504 - _xlfn.XMATCH($C1018, $C$4506:$C$5005, 0, 1)) &lt;= VLOOKUP($C1018, 'Instrument Table'!$B:$D, 3, FALSE), ROW($A1018) - 4504 - _xlfn.XMATCH($C1018, $C$4506:$C$5005, 0, 1), 0), 0), "00")</f>
        <v>00</v>
      </c>
      <c r="H1018" s="1" t="str">
        <f t="shared" si="91"/>
        <v>062</v>
      </c>
      <c r="I1018" s="1" t="str">
        <f t="shared" si="92"/>
        <v>12000-062</v>
      </c>
      <c r="J1018" s="1" t="str">
        <f t="shared" si="93"/>
        <v>Violin production item #062</v>
      </c>
      <c r="K1018" s="1" t="str">
        <f>IF(SUM(COUNTIFS(I:I, I1018)) &gt; 1, "DUPLICATE", "UNIQUE")</f>
        <v>UNIQUE</v>
      </c>
      <c r="L1018" s="18">
        <v>0</v>
      </c>
      <c r="M1018" s="28">
        <v>85</v>
      </c>
      <c r="N1018" s="6">
        <v>169</v>
      </c>
      <c r="O1018" s="30">
        <f t="shared" si="94"/>
        <v>0</v>
      </c>
      <c r="P1018" s="30">
        <f t="shared" si="95"/>
        <v>14365</v>
      </c>
      <c r="Q1018" s="1">
        <f>COUNTIFS($P:$P, "&gt;" &amp; $P1018) + 1</f>
        <v>1396</v>
      </c>
      <c r="R1018" s="63">
        <f>(COUNTIFS($P:$P, "&gt;" &amp; $P1018) + 1) / (COUNTA($I:$I) - 1)</f>
        <v>0.2792</v>
      </c>
      <c r="S1018" s="23">
        <f>SUMIFS($P:$P, $Q:$Q, "&lt;" &amp; $Q1018)</f>
        <v>173418358</v>
      </c>
    </row>
    <row r="1019" spans="1:19" x14ac:dyDescent="0.25">
      <c r="A1019" s="1">
        <v>1014</v>
      </c>
      <c r="B1019" s="1" t="s">
        <v>2</v>
      </c>
      <c r="C1019" s="1" t="str">
        <f>IF($B1019 = "Production Item", _xlfn.XLOOKUP($A1019, 'Instrument Table'!$J:$J, 'Instrument Table'!$B:$B, $C1018), IF($B1019 = "Service Item", _xlfn.XLOOKUP($A1019, 'Instrument Table'!$I:$I, 'Instrument Table'!$B:$B, $C1018), _xlfn.XLOOKUP($A1019, 'Instrument Table'!$H:$H, 'Instrument Table'!$B:$B, $C1018)))</f>
        <v>Violin</v>
      </c>
      <c r="D1019" s="1" t="str">
        <f>VLOOKUP($C1019, 'Instrument Table'!$B:$C, 2, FALSE)</f>
        <v>Strings</v>
      </c>
      <c r="E1019" s="1">
        <f t="shared" si="90"/>
        <v>1</v>
      </c>
      <c r="F1019" s="1">
        <f>_xlfn.XLOOKUP($C1019, 'Instrument Table'!$B:$B, 'Instrument Table'!$A:$A, "")</f>
        <v>20</v>
      </c>
      <c r="G1019" s="1" t="str">
        <f>TEXT(IF($B1019 = "Retail Item", IF((ROW($A1019) - 4504 - _xlfn.XMATCH($C1019, $C$4506:$C$5005, 0, 1)) &lt;= VLOOKUP($C1019, 'Instrument Table'!$B:$D, 3, FALSE), ROW($A1019) - 4504 - _xlfn.XMATCH($C1019, $C$4506:$C$5005, 0, 1), 0), 0), "00")</f>
        <v>00</v>
      </c>
      <c r="H1019" s="1" t="str">
        <f t="shared" si="91"/>
        <v>063</v>
      </c>
      <c r="I1019" s="1" t="str">
        <f t="shared" si="92"/>
        <v>12000-063</v>
      </c>
      <c r="J1019" s="1" t="str">
        <f t="shared" si="93"/>
        <v>Violin production item #063</v>
      </c>
      <c r="K1019" s="1" t="str">
        <f>IF(SUM(COUNTIFS(I:I, I1019)) &gt; 1, "DUPLICATE", "UNIQUE")</f>
        <v>UNIQUE</v>
      </c>
      <c r="L1019" s="18">
        <v>16</v>
      </c>
      <c r="M1019" s="28">
        <v>61</v>
      </c>
      <c r="N1019" s="6">
        <v>144</v>
      </c>
      <c r="O1019" s="30">
        <f t="shared" si="94"/>
        <v>976</v>
      </c>
      <c r="P1019" s="30">
        <f t="shared" si="95"/>
        <v>8784</v>
      </c>
      <c r="Q1019" s="1">
        <f>COUNTIFS($P:$P, "&gt;" &amp; $P1019) + 1</f>
        <v>1900</v>
      </c>
      <c r="R1019" s="63">
        <f>(COUNTIFS($P:$P, "&gt;" &amp; $P1019) + 1) / (COUNTA($I:$I) - 1)</f>
        <v>0.38</v>
      </c>
      <c r="S1019" s="23">
        <f>SUMIFS($P:$P, $Q:$Q, "&lt;" &amp; $Q1019)</f>
        <v>179163527</v>
      </c>
    </row>
    <row r="1020" spans="1:19" x14ac:dyDescent="0.25">
      <c r="A1020" s="1">
        <v>1015</v>
      </c>
      <c r="B1020" s="1" t="s">
        <v>2</v>
      </c>
      <c r="C1020" s="1" t="str">
        <f>IF($B1020 = "Production Item", _xlfn.XLOOKUP($A1020, 'Instrument Table'!$J:$J, 'Instrument Table'!$B:$B, $C1019), IF($B1020 = "Service Item", _xlfn.XLOOKUP($A1020, 'Instrument Table'!$I:$I, 'Instrument Table'!$B:$B, $C1019), _xlfn.XLOOKUP($A1020, 'Instrument Table'!$H:$H, 'Instrument Table'!$B:$B, $C1019)))</f>
        <v>Violin</v>
      </c>
      <c r="D1020" s="1" t="str">
        <f>VLOOKUP($C1020, 'Instrument Table'!$B:$C, 2, FALSE)</f>
        <v>Strings</v>
      </c>
      <c r="E1020" s="1">
        <f t="shared" si="90"/>
        <v>1</v>
      </c>
      <c r="F1020" s="1">
        <f>_xlfn.XLOOKUP($C1020, 'Instrument Table'!$B:$B, 'Instrument Table'!$A:$A, "")</f>
        <v>20</v>
      </c>
      <c r="G1020" s="1" t="str">
        <f>TEXT(IF($B1020 = "Retail Item", IF((ROW($A1020) - 4504 - _xlfn.XMATCH($C1020, $C$4506:$C$5005, 0, 1)) &lt;= VLOOKUP($C1020, 'Instrument Table'!$B:$D, 3, FALSE), ROW($A1020) - 4504 - _xlfn.XMATCH($C1020, $C$4506:$C$5005, 0, 1), 0), 0), "00")</f>
        <v>00</v>
      </c>
      <c r="H1020" s="1" t="str">
        <f t="shared" si="91"/>
        <v>064</v>
      </c>
      <c r="I1020" s="1" t="str">
        <f t="shared" si="92"/>
        <v>12000-064</v>
      </c>
      <c r="J1020" s="1" t="str">
        <f t="shared" si="93"/>
        <v>Violin production item #064</v>
      </c>
      <c r="K1020" s="1" t="str">
        <f>IF(SUM(COUNTIFS(I:I, I1020)) &gt; 1, "DUPLICATE", "UNIQUE")</f>
        <v>UNIQUE</v>
      </c>
      <c r="L1020" s="18">
        <v>1</v>
      </c>
      <c r="M1020" s="28">
        <v>25</v>
      </c>
      <c r="N1020" s="6">
        <v>16</v>
      </c>
      <c r="O1020" s="30">
        <f t="shared" si="94"/>
        <v>25</v>
      </c>
      <c r="P1020" s="30">
        <f t="shared" si="95"/>
        <v>400</v>
      </c>
      <c r="Q1020" s="1">
        <f>COUNTIFS($P:$P, "&gt;" &amp; $P1020) + 1</f>
        <v>4090</v>
      </c>
      <c r="R1020" s="63">
        <f>(COUNTIFS($P:$P, "&gt;" &amp; $P1020) + 1) / (COUNTA($I:$I) - 1)</f>
        <v>0.81799999999999995</v>
      </c>
      <c r="S1020" s="23">
        <f>SUMIFS($P:$P, $Q:$Q, "&lt;" &amp; $Q1020)</f>
        <v>186440882</v>
      </c>
    </row>
    <row r="1021" spans="1:19" x14ac:dyDescent="0.25">
      <c r="A1021" s="1">
        <v>1016</v>
      </c>
      <c r="B1021" s="1" t="s">
        <v>2</v>
      </c>
      <c r="C1021" s="1" t="str">
        <f>IF($B1021 = "Production Item", _xlfn.XLOOKUP($A1021, 'Instrument Table'!$J:$J, 'Instrument Table'!$B:$B, $C1020), IF($B1021 = "Service Item", _xlfn.XLOOKUP($A1021, 'Instrument Table'!$I:$I, 'Instrument Table'!$B:$B, $C1020), _xlfn.XLOOKUP($A1021, 'Instrument Table'!$H:$H, 'Instrument Table'!$B:$B, $C1020)))</f>
        <v>Violin</v>
      </c>
      <c r="D1021" s="1" t="str">
        <f>VLOOKUP($C1021, 'Instrument Table'!$B:$C, 2, FALSE)</f>
        <v>Strings</v>
      </c>
      <c r="E1021" s="1">
        <f t="shared" si="90"/>
        <v>1</v>
      </c>
      <c r="F1021" s="1">
        <f>_xlfn.XLOOKUP($C1021, 'Instrument Table'!$B:$B, 'Instrument Table'!$A:$A, "")</f>
        <v>20</v>
      </c>
      <c r="G1021" s="1" t="str">
        <f>TEXT(IF($B1021 = "Retail Item", IF((ROW($A1021) - 4504 - _xlfn.XMATCH($C1021, $C$4506:$C$5005, 0, 1)) &lt;= VLOOKUP($C1021, 'Instrument Table'!$B:$D, 3, FALSE), ROW($A1021) - 4504 - _xlfn.XMATCH($C1021, $C$4506:$C$5005, 0, 1), 0), 0), "00")</f>
        <v>00</v>
      </c>
      <c r="H1021" s="1" t="str">
        <f t="shared" si="91"/>
        <v>065</v>
      </c>
      <c r="I1021" s="1" t="str">
        <f t="shared" si="92"/>
        <v>12000-065</v>
      </c>
      <c r="J1021" s="1" t="str">
        <f t="shared" si="93"/>
        <v>Violin production item #065</v>
      </c>
      <c r="K1021" s="1" t="str">
        <f>IF(SUM(COUNTIFS(I:I, I1021)) &gt; 1, "DUPLICATE", "UNIQUE")</f>
        <v>UNIQUE</v>
      </c>
      <c r="L1021" s="18">
        <v>1</v>
      </c>
      <c r="M1021" s="28">
        <v>44</v>
      </c>
      <c r="N1021" s="6">
        <v>100</v>
      </c>
      <c r="O1021" s="30">
        <f t="shared" si="94"/>
        <v>44</v>
      </c>
      <c r="P1021" s="30">
        <f t="shared" si="95"/>
        <v>4400</v>
      </c>
      <c r="Q1021" s="1">
        <f>COUNTIFS($P:$P, "&gt;" &amp; $P1021) + 1</f>
        <v>2565</v>
      </c>
      <c r="R1021" s="63">
        <f>(COUNTIFS($P:$P, "&gt;" &amp; $P1021) + 1) / (COUNTA($I:$I) - 1)</f>
        <v>0.51300000000000001</v>
      </c>
      <c r="S1021" s="23">
        <f>SUMIFS($P:$P, $Q:$Q, "&lt;" &amp; $Q1021)</f>
        <v>183411854</v>
      </c>
    </row>
    <row r="1022" spans="1:19" x14ac:dyDescent="0.25">
      <c r="A1022" s="1">
        <v>1017</v>
      </c>
      <c r="B1022" s="1" t="s">
        <v>2</v>
      </c>
      <c r="C1022" s="1" t="str">
        <f>IF($B1022 = "Production Item", _xlfn.XLOOKUP($A1022, 'Instrument Table'!$J:$J, 'Instrument Table'!$B:$B, $C1021), IF($B1022 = "Service Item", _xlfn.XLOOKUP($A1022, 'Instrument Table'!$I:$I, 'Instrument Table'!$B:$B, $C1021), _xlfn.XLOOKUP($A1022, 'Instrument Table'!$H:$H, 'Instrument Table'!$B:$B, $C1021)))</f>
        <v>Violin</v>
      </c>
      <c r="D1022" s="1" t="str">
        <f>VLOOKUP($C1022, 'Instrument Table'!$B:$C, 2, FALSE)</f>
        <v>Strings</v>
      </c>
      <c r="E1022" s="1">
        <f t="shared" si="90"/>
        <v>1</v>
      </c>
      <c r="F1022" s="1">
        <f>_xlfn.XLOOKUP($C1022, 'Instrument Table'!$B:$B, 'Instrument Table'!$A:$A, "")</f>
        <v>20</v>
      </c>
      <c r="G1022" s="1" t="str">
        <f>TEXT(IF($B1022 = "Retail Item", IF((ROW($A1022) - 4504 - _xlfn.XMATCH($C1022, $C$4506:$C$5005, 0, 1)) &lt;= VLOOKUP($C1022, 'Instrument Table'!$B:$D, 3, FALSE), ROW($A1022) - 4504 - _xlfn.XMATCH($C1022, $C$4506:$C$5005, 0, 1), 0), 0), "00")</f>
        <v>00</v>
      </c>
      <c r="H1022" s="1" t="str">
        <f t="shared" si="91"/>
        <v>066</v>
      </c>
      <c r="I1022" s="1" t="str">
        <f t="shared" si="92"/>
        <v>12000-066</v>
      </c>
      <c r="J1022" s="1" t="str">
        <f t="shared" si="93"/>
        <v>Violin production item #066</v>
      </c>
      <c r="K1022" s="1" t="str">
        <f>IF(SUM(COUNTIFS(I:I, I1022)) &gt; 1, "DUPLICATE", "UNIQUE")</f>
        <v>UNIQUE</v>
      </c>
      <c r="L1022" s="18">
        <v>1</v>
      </c>
      <c r="M1022" s="28">
        <v>8</v>
      </c>
      <c r="N1022" s="6">
        <v>196</v>
      </c>
      <c r="O1022" s="30">
        <f t="shared" si="94"/>
        <v>8</v>
      </c>
      <c r="P1022" s="30">
        <f t="shared" si="95"/>
        <v>1568</v>
      </c>
      <c r="Q1022" s="1">
        <f>COUNTIFS($P:$P, "&gt;" &amp; $P1022) + 1</f>
        <v>3434</v>
      </c>
      <c r="R1022" s="63">
        <f>(COUNTIFS($P:$P, "&gt;" &amp; $P1022) + 1) / (COUNTA($I:$I) - 1)</f>
        <v>0.68679999999999997</v>
      </c>
      <c r="S1022" s="23">
        <f>SUMIFS($P:$P, $Q:$Q, "&lt;" &amp; $Q1022)</f>
        <v>185839021</v>
      </c>
    </row>
    <row r="1023" spans="1:19" x14ac:dyDescent="0.25">
      <c r="A1023" s="1">
        <v>1018</v>
      </c>
      <c r="B1023" s="1" t="s">
        <v>2</v>
      </c>
      <c r="C1023" s="1" t="str">
        <f>IF($B1023 = "Production Item", _xlfn.XLOOKUP($A1023, 'Instrument Table'!$J:$J, 'Instrument Table'!$B:$B, $C1022), IF($B1023 = "Service Item", _xlfn.XLOOKUP($A1023, 'Instrument Table'!$I:$I, 'Instrument Table'!$B:$B, $C1022), _xlfn.XLOOKUP($A1023, 'Instrument Table'!$H:$H, 'Instrument Table'!$B:$B, $C1022)))</f>
        <v>Violin</v>
      </c>
      <c r="D1023" s="1" t="str">
        <f>VLOOKUP($C1023, 'Instrument Table'!$B:$C, 2, FALSE)</f>
        <v>Strings</v>
      </c>
      <c r="E1023" s="1">
        <f t="shared" si="90"/>
        <v>1</v>
      </c>
      <c r="F1023" s="1">
        <f>_xlfn.XLOOKUP($C1023, 'Instrument Table'!$B:$B, 'Instrument Table'!$A:$A, "")</f>
        <v>20</v>
      </c>
      <c r="G1023" s="1" t="str">
        <f>TEXT(IF($B1023 = "Retail Item", IF((ROW($A1023) - 4504 - _xlfn.XMATCH($C1023, $C$4506:$C$5005, 0, 1)) &lt;= VLOOKUP($C1023, 'Instrument Table'!$B:$D, 3, FALSE), ROW($A1023) - 4504 - _xlfn.XMATCH($C1023, $C$4506:$C$5005, 0, 1), 0), 0), "00")</f>
        <v>00</v>
      </c>
      <c r="H1023" s="1" t="str">
        <f t="shared" si="91"/>
        <v>067</v>
      </c>
      <c r="I1023" s="1" t="str">
        <f t="shared" si="92"/>
        <v>12000-067</v>
      </c>
      <c r="J1023" s="1" t="str">
        <f t="shared" si="93"/>
        <v>Violin production item #067</v>
      </c>
      <c r="K1023" s="1" t="str">
        <f>IF(SUM(COUNTIFS(I:I, I1023)) &gt; 1, "DUPLICATE", "UNIQUE")</f>
        <v>UNIQUE</v>
      </c>
      <c r="L1023" s="18">
        <v>0</v>
      </c>
      <c r="M1023" s="28">
        <v>34</v>
      </c>
      <c r="N1023" s="6">
        <v>225</v>
      </c>
      <c r="O1023" s="30">
        <f t="shared" si="94"/>
        <v>0</v>
      </c>
      <c r="P1023" s="30">
        <f t="shared" si="95"/>
        <v>7650</v>
      </c>
      <c r="Q1023" s="1">
        <f>COUNTIFS($P:$P, "&gt;" &amp; $P1023) + 1</f>
        <v>2046</v>
      </c>
      <c r="R1023" s="63">
        <f>(COUNTIFS($P:$P, "&gt;" &amp; $P1023) + 1) / (COUNTA($I:$I) - 1)</f>
        <v>0.40920000000000001</v>
      </c>
      <c r="S1023" s="23">
        <f>SUMIFS($P:$P, $Q:$Q, "&lt;" &amp; $Q1023)</f>
        <v>180354450</v>
      </c>
    </row>
    <row r="1024" spans="1:19" x14ac:dyDescent="0.25">
      <c r="A1024" s="1">
        <v>1019</v>
      </c>
      <c r="B1024" s="1" t="s">
        <v>2</v>
      </c>
      <c r="C1024" s="1" t="str">
        <f>IF($B1024 = "Production Item", _xlfn.XLOOKUP($A1024, 'Instrument Table'!$J:$J, 'Instrument Table'!$B:$B, $C1023), IF($B1024 = "Service Item", _xlfn.XLOOKUP($A1024, 'Instrument Table'!$I:$I, 'Instrument Table'!$B:$B, $C1023), _xlfn.XLOOKUP($A1024, 'Instrument Table'!$H:$H, 'Instrument Table'!$B:$B, $C1023)))</f>
        <v>Violin</v>
      </c>
      <c r="D1024" s="1" t="str">
        <f>VLOOKUP($C1024, 'Instrument Table'!$B:$C, 2, FALSE)</f>
        <v>Strings</v>
      </c>
      <c r="E1024" s="1">
        <f t="shared" si="90"/>
        <v>1</v>
      </c>
      <c r="F1024" s="1">
        <f>_xlfn.XLOOKUP($C1024, 'Instrument Table'!$B:$B, 'Instrument Table'!$A:$A, "")</f>
        <v>20</v>
      </c>
      <c r="G1024" s="1" t="str">
        <f>TEXT(IF($B1024 = "Retail Item", IF((ROW($A1024) - 4504 - _xlfn.XMATCH($C1024, $C$4506:$C$5005, 0, 1)) &lt;= VLOOKUP($C1024, 'Instrument Table'!$B:$D, 3, FALSE), ROW($A1024) - 4504 - _xlfn.XMATCH($C1024, $C$4506:$C$5005, 0, 1), 0), 0), "00")</f>
        <v>00</v>
      </c>
      <c r="H1024" s="1" t="str">
        <f t="shared" si="91"/>
        <v>068</v>
      </c>
      <c r="I1024" s="1" t="str">
        <f t="shared" si="92"/>
        <v>12000-068</v>
      </c>
      <c r="J1024" s="1" t="str">
        <f t="shared" si="93"/>
        <v>Violin production item #068</v>
      </c>
      <c r="K1024" s="1" t="str">
        <f>IF(SUM(COUNTIFS(I:I, I1024)) &gt; 1, "DUPLICATE", "UNIQUE")</f>
        <v>UNIQUE</v>
      </c>
      <c r="L1024" s="18">
        <v>2</v>
      </c>
      <c r="M1024" s="28">
        <v>9</v>
      </c>
      <c r="N1024" s="6">
        <v>9</v>
      </c>
      <c r="O1024" s="30">
        <f t="shared" si="94"/>
        <v>18</v>
      </c>
      <c r="P1024" s="30">
        <f t="shared" si="95"/>
        <v>81</v>
      </c>
      <c r="Q1024" s="1">
        <f>COUNTIFS($P:$P, "&gt;" &amp; $P1024) + 1</f>
        <v>4505</v>
      </c>
      <c r="R1024" s="63">
        <f>(COUNTIFS($P:$P, "&gt;" &amp; $P1024) + 1) / (COUNTA($I:$I) - 1)</f>
        <v>0.90100000000000002</v>
      </c>
      <c r="S1024" s="23">
        <f>SUMIFS($P:$P, $Q:$Q, "&lt;" &amp; $Q1024)</f>
        <v>186537273</v>
      </c>
    </row>
    <row r="1025" spans="1:19" x14ac:dyDescent="0.25">
      <c r="A1025" s="1">
        <v>1020</v>
      </c>
      <c r="B1025" s="1" t="s">
        <v>2</v>
      </c>
      <c r="C1025" s="1" t="str">
        <f>IF($B1025 = "Production Item", _xlfn.XLOOKUP($A1025, 'Instrument Table'!$J:$J, 'Instrument Table'!$B:$B, $C1024), IF($B1025 = "Service Item", _xlfn.XLOOKUP($A1025, 'Instrument Table'!$I:$I, 'Instrument Table'!$B:$B, $C1024), _xlfn.XLOOKUP($A1025, 'Instrument Table'!$H:$H, 'Instrument Table'!$B:$B, $C1024)))</f>
        <v>Violin</v>
      </c>
      <c r="D1025" s="1" t="str">
        <f>VLOOKUP($C1025, 'Instrument Table'!$B:$C, 2, FALSE)</f>
        <v>Strings</v>
      </c>
      <c r="E1025" s="1">
        <f t="shared" si="90"/>
        <v>1</v>
      </c>
      <c r="F1025" s="1">
        <f>_xlfn.XLOOKUP($C1025, 'Instrument Table'!$B:$B, 'Instrument Table'!$A:$A, "")</f>
        <v>20</v>
      </c>
      <c r="G1025" s="1" t="str">
        <f>TEXT(IF($B1025 = "Retail Item", IF((ROW($A1025) - 4504 - _xlfn.XMATCH($C1025, $C$4506:$C$5005, 0, 1)) &lt;= VLOOKUP($C1025, 'Instrument Table'!$B:$D, 3, FALSE), ROW($A1025) - 4504 - _xlfn.XMATCH($C1025, $C$4506:$C$5005, 0, 1), 0), 0), "00")</f>
        <v>00</v>
      </c>
      <c r="H1025" s="1" t="str">
        <f t="shared" si="91"/>
        <v>069</v>
      </c>
      <c r="I1025" s="1" t="str">
        <f t="shared" si="92"/>
        <v>12000-069</v>
      </c>
      <c r="J1025" s="1" t="str">
        <f t="shared" si="93"/>
        <v>Violin production item #069</v>
      </c>
      <c r="K1025" s="1" t="str">
        <f>IF(SUM(COUNTIFS(I:I, I1025)) &gt; 1, "DUPLICATE", "UNIQUE")</f>
        <v>UNIQUE</v>
      </c>
      <c r="L1025" s="18">
        <v>1</v>
      </c>
      <c r="M1025" s="28">
        <v>23</v>
      </c>
      <c r="N1025" s="6">
        <v>49</v>
      </c>
      <c r="O1025" s="30">
        <f t="shared" si="94"/>
        <v>23</v>
      </c>
      <c r="P1025" s="30">
        <f t="shared" si="95"/>
        <v>1127</v>
      </c>
      <c r="Q1025" s="1">
        <f>COUNTIFS($P:$P, "&gt;" &amp; $P1025) + 1</f>
        <v>3637</v>
      </c>
      <c r="R1025" s="63">
        <f>(COUNTIFS($P:$P, "&gt;" &amp; $P1025) + 1) / (COUNTA($I:$I) - 1)</f>
        <v>0.72740000000000005</v>
      </c>
      <c r="S1025" s="23">
        <f>SUMIFS($P:$P, $Q:$Q, "&lt;" &amp; $Q1025)</f>
        <v>186113260</v>
      </c>
    </row>
    <row r="1026" spans="1:19" x14ac:dyDescent="0.25">
      <c r="A1026" s="1">
        <v>1021</v>
      </c>
      <c r="B1026" s="1" t="s">
        <v>2</v>
      </c>
      <c r="C1026" s="1" t="str">
        <f>IF($B1026 = "Production Item", _xlfn.XLOOKUP($A1026, 'Instrument Table'!$J:$J, 'Instrument Table'!$B:$B, $C1025), IF($B1026 = "Service Item", _xlfn.XLOOKUP($A1026, 'Instrument Table'!$I:$I, 'Instrument Table'!$B:$B, $C1025), _xlfn.XLOOKUP($A1026, 'Instrument Table'!$H:$H, 'Instrument Table'!$B:$B, $C1025)))</f>
        <v>Violin</v>
      </c>
      <c r="D1026" s="1" t="str">
        <f>VLOOKUP($C1026, 'Instrument Table'!$B:$C, 2, FALSE)</f>
        <v>Strings</v>
      </c>
      <c r="E1026" s="1">
        <f t="shared" si="90"/>
        <v>1</v>
      </c>
      <c r="F1026" s="1">
        <f>_xlfn.XLOOKUP($C1026, 'Instrument Table'!$B:$B, 'Instrument Table'!$A:$A, "")</f>
        <v>20</v>
      </c>
      <c r="G1026" s="1" t="str">
        <f>TEXT(IF($B1026 = "Retail Item", IF((ROW($A1026) - 4504 - _xlfn.XMATCH($C1026, $C$4506:$C$5005, 0, 1)) &lt;= VLOOKUP($C1026, 'Instrument Table'!$B:$D, 3, FALSE), ROW($A1026) - 4504 - _xlfn.XMATCH($C1026, $C$4506:$C$5005, 0, 1), 0), 0), "00")</f>
        <v>00</v>
      </c>
      <c r="H1026" s="1" t="str">
        <f t="shared" si="91"/>
        <v>070</v>
      </c>
      <c r="I1026" s="1" t="str">
        <f t="shared" si="92"/>
        <v>12000-070</v>
      </c>
      <c r="J1026" s="1" t="str">
        <f t="shared" si="93"/>
        <v>Violin production item #070</v>
      </c>
      <c r="K1026" s="1" t="str">
        <f>IF(SUM(COUNTIFS(I:I, I1026)) &gt; 1, "DUPLICATE", "UNIQUE")</f>
        <v>UNIQUE</v>
      </c>
      <c r="L1026" s="18">
        <v>1</v>
      </c>
      <c r="M1026" s="28">
        <v>26</v>
      </c>
      <c r="N1026" s="6">
        <v>16</v>
      </c>
      <c r="O1026" s="30">
        <f t="shared" si="94"/>
        <v>26</v>
      </c>
      <c r="P1026" s="30">
        <f t="shared" si="95"/>
        <v>416</v>
      </c>
      <c r="Q1026" s="1">
        <f>COUNTIFS($P:$P, "&gt;" &amp; $P1026) + 1</f>
        <v>4084</v>
      </c>
      <c r="R1026" s="63">
        <f>(COUNTIFS($P:$P, "&gt;" &amp; $P1026) + 1) / (COUNTA($I:$I) - 1)</f>
        <v>0.81679999999999997</v>
      </c>
      <c r="S1026" s="23">
        <f>SUMIFS($P:$P, $Q:$Q, "&lt;" &amp; $Q1026)</f>
        <v>186438441</v>
      </c>
    </row>
    <row r="1027" spans="1:19" x14ac:dyDescent="0.25">
      <c r="A1027" s="1">
        <v>1022</v>
      </c>
      <c r="B1027" s="1" t="s">
        <v>2</v>
      </c>
      <c r="C1027" s="1" t="str">
        <f>IF($B1027 = "Production Item", _xlfn.XLOOKUP($A1027, 'Instrument Table'!$J:$J, 'Instrument Table'!$B:$B, $C1026), IF($B1027 = "Service Item", _xlfn.XLOOKUP($A1027, 'Instrument Table'!$I:$I, 'Instrument Table'!$B:$B, $C1026), _xlfn.XLOOKUP($A1027, 'Instrument Table'!$H:$H, 'Instrument Table'!$B:$B, $C1026)))</f>
        <v>Violin</v>
      </c>
      <c r="D1027" s="1" t="str">
        <f>VLOOKUP($C1027, 'Instrument Table'!$B:$C, 2, FALSE)</f>
        <v>Strings</v>
      </c>
      <c r="E1027" s="1">
        <f t="shared" si="90"/>
        <v>1</v>
      </c>
      <c r="F1027" s="1">
        <f>_xlfn.XLOOKUP($C1027, 'Instrument Table'!$B:$B, 'Instrument Table'!$A:$A, "")</f>
        <v>20</v>
      </c>
      <c r="G1027" s="1" t="str">
        <f>TEXT(IF($B1027 = "Retail Item", IF((ROW($A1027) - 4504 - _xlfn.XMATCH($C1027, $C$4506:$C$5005, 0, 1)) &lt;= VLOOKUP($C1027, 'Instrument Table'!$B:$D, 3, FALSE), ROW($A1027) - 4504 - _xlfn.XMATCH($C1027, $C$4506:$C$5005, 0, 1), 0), 0), "00")</f>
        <v>00</v>
      </c>
      <c r="H1027" s="1" t="str">
        <f t="shared" si="91"/>
        <v>071</v>
      </c>
      <c r="I1027" s="1" t="str">
        <f t="shared" si="92"/>
        <v>12000-071</v>
      </c>
      <c r="J1027" s="1" t="str">
        <f t="shared" si="93"/>
        <v>Violin production item #071</v>
      </c>
      <c r="K1027" s="1" t="str">
        <f>IF(SUM(COUNTIFS(I:I, I1027)) &gt; 1, "DUPLICATE", "UNIQUE")</f>
        <v>UNIQUE</v>
      </c>
      <c r="L1027" s="18">
        <v>8</v>
      </c>
      <c r="M1027" s="28">
        <v>54</v>
      </c>
      <c r="N1027" s="6">
        <v>1</v>
      </c>
      <c r="O1027" s="30">
        <f t="shared" si="94"/>
        <v>432</v>
      </c>
      <c r="P1027" s="30">
        <f t="shared" si="95"/>
        <v>54</v>
      </c>
      <c r="Q1027" s="1">
        <f>COUNTIFS($P:$P, "&gt;" &amp; $P1027) + 1</f>
        <v>4596</v>
      </c>
      <c r="R1027" s="63">
        <f>(COUNTIFS($P:$P, "&gt;" &amp; $P1027) + 1) / (COUNTA($I:$I) - 1)</f>
        <v>0.91920000000000002</v>
      </c>
      <c r="S1027" s="23">
        <f>SUMIFS($P:$P, $Q:$Q, "&lt;" &amp; $Q1027)</f>
        <v>186543478</v>
      </c>
    </row>
    <row r="1028" spans="1:19" x14ac:dyDescent="0.25">
      <c r="A1028" s="1">
        <v>1023</v>
      </c>
      <c r="B1028" s="1" t="s">
        <v>2</v>
      </c>
      <c r="C1028" s="1" t="str">
        <f>IF($B1028 = "Production Item", _xlfn.XLOOKUP($A1028, 'Instrument Table'!$J:$J, 'Instrument Table'!$B:$B, $C1027), IF($B1028 = "Service Item", _xlfn.XLOOKUP($A1028, 'Instrument Table'!$I:$I, 'Instrument Table'!$B:$B, $C1027), _xlfn.XLOOKUP($A1028, 'Instrument Table'!$H:$H, 'Instrument Table'!$B:$B, $C1027)))</f>
        <v>Violin</v>
      </c>
      <c r="D1028" s="1" t="str">
        <f>VLOOKUP($C1028, 'Instrument Table'!$B:$C, 2, FALSE)</f>
        <v>Strings</v>
      </c>
      <c r="E1028" s="1">
        <f t="shared" si="90"/>
        <v>1</v>
      </c>
      <c r="F1028" s="1">
        <f>_xlfn.XLOOKUP($C1028, 'Instrument Table'!$B:$B, 'Instrument Table'!$A:$A, "")</f>
        <v>20</v>
      </c>
      <c r="G1028" s="1" t="str">
        <f>TEXT(IF($B1028 = "Retail Item", IF((ROW($A1028) - 4504 - _xlfn.XMATCH($C1028, $C$4506:$C$5005, 0, 1)) &lt;= VLOOKUP($C1028, 'Instrument Table'!$B:$D, 3, FALSE), ROW($A1028) - 4504 - _xlfn.XMATCH($C1028, $C$4506:$C$5005, 0, 1), 0), 0), "00")</f>
        <v>00</v>
      </c>
      <c r="H1028" s="1" t="str">
        <f t="shared" si="91"/>
        <v>072</v>
      </c>
      <c r="I1028" s="1" t="str">
        <f t="shared" si="92"/>
        <v>12000-072</v>
      </c>
      <c r="J1028" s="1" t="str">
        <f t="shared" si="93"/>
        <v>Violin production item #072</v>
      </c>
      <c r="K1028" s="1" t="str">
        <f>IF(SUM(COUNTIFS(I:I, I1028)) &gt; 1, "DUPLICATE", "UNIQUE")</f>
        <v>UNIQUE</v>
      </c>
      <c r="L1028" s="18">
        <v>1</v>
      </c>
      <c r="M1028" s="28">
        <v>95</v>
      </c>
      <c r="N1028" s="6">
        <v>121</v>
      </c>
      <c r="O1028" s="30">
        <f t="shared" si="94"/>
        <v>95</v>
      </c>
      <c r="P1028" s="30">
        <f t="shared" si="95"/>
        <v>11495</v>
      </c>
      <c r="Q1028" s="1">
        <f>COUNTIFS($P:$P, "&gt;" &amp; $P1028) + 1</f>
        <v>1641</v>
      </c>
      <c r="R1028" s="63">
        <f>(COUNTIFS($P:$P, "&gt;" &amp; $P1028) + 1) / (COUNTA($I:$I) - 1)</f>
        <v>0.32819999999999999</v>
      </c>
      <c r="S1028" s="23">
        <f>SUMIFS($P:$P, $Q:$Q, "&lt;" &amp; $Q1028)</f>
        <v>176555095</v>
      </c>
    </row>
    <row r="1029" spans="1:19" x14ac:dyDescent="0.25">
      <c r="A1029" s="1">
        <v>1024</v>
      </c>
      <c r="B1029" s="1" t="s">
        <v>2</v>
      </c>
      <c r="C1029" s="1" t="str">
        <f>IF($B1029 = "Production Item", _xlfn.XLOOKUP($A1029, 'Instrument Table'!$J:$J, 'Instrument Table'!$B:$B, $C1028), IF($B1029 = "Service Item", _xlfn.XLOOKUP($A1029, 'Instrument Table'!$I:$I, 'Instrument Table'!$B:$B, $C1028), _xlfn.XLOOKUP($A1029, 'Instrument Table'!$H:$H, 'Instrument Table'!$B:$B, $C1028)))</f>
        <v>Violin</v>
      </c>
      <c r="D1029" s="1" t="str">
        <f>VLOOKUP($C1029, 'Instrument Table'!$B:$C, 2, FALSE)</f>
        <v>Strings</v>
      </c>
      <c r="E1029" s="1">
        <f t="shared" si="90"/>
        <v>1</v>
      </c>
      <c r="F1029" s="1">
        <f>_xlfn.XLOOKUP($C1029, 'Instrument Table'!$B:$B, 'Instrument Table'!$A:$A, "")</f>
        <v>20</v>
      </c>
      <c r="G1029" s="1" t="str">
        <f>TEXT(IF($B1029 = "Retail Item", IF((ROW($A1029) - 4504 - _xlfn.XMATCH($C1029, $C$4506:$C$5005, 0, 1)) &lt;= VLOOKUP($C1029, 'Instrument Table'!$B:$D, 3, FALSE), ROW($A1029) - 4504 - _xlfn.XMATCH($C1029, $C$4506:$C$5005, 0, 1), 0), 0), "00")</f>
        <v>00</v>
      </c>
      <c r="H1029" s="1" t="str">
        <f t="shared" si="91"/>
        <v>073</v>
      </c>
      <c r="I1029" s="1" t="str">
        <f t="shared" si="92"/>
        <v>12000-073</v>
      </c>
      <c r="J1029" s="1" t="str">
        <f t="shared" si="93"/>
        <v>Violin production item #073</v>
      </c>
      <c r="K1029" s="1" t="str">
        <f>IF(SUM(COUNTIFS(I:I, I1029)) &gt; 1, "DUPLICATE", "UNIQUE")</f>
        <v>UNIQUE</v>
      </c>
      <c r="L1029" s="18">
        <v>1</v>
      </c>
      <c r="M1029" s="28">
        <v>83</v>
      </c>
      <c r="N1029" s="6">
        <v>25</v>
      </c>
      <c r="O1029" s="30">
        <f t="shared" si="94"/>
        <v>83</v>
      </c>
      <c r="P1029" s="30">
        <f t="shared" si="95"/>
        <v>2075</v>
      </c>
      <c r="Q1029" s="1">
        <f>COUNTIFS($P:$P, "&gt;" &amp; $P1029) + 1</f>
        <v>3217</v>
      </c>
      <c r="R1029" s="63">
        <f>(COUNTIFS($P:$P, "&gt;" &amp; $P1029) + 1) / (COUNTA($I:$I) - 1)</f>
        <v>0.64339999999999997</v>
      </c>
      <c r="S1029" s="23">
        <f>SUMIFS($P:$P, $Q:$Q, "&lt;" &amp; $Q1029)</f>
        <v>185443402</v>
      </c>
    </row>
    <row r="1030" spans="1:19" x14ac:dyDescent="0.25">
      <c r="A1030" s="1">
        <v>1025</v>
      </c>
      <c r="B1030" s="1" t="s">
        <v>2</v>
      </c>
      <c r="C1030" s="1" t="str">
        <f>IF($B1030 = "Production Item", _xlfn.XLOOKUP($A1030, 'Instrument Table'!$J:$J, 'Instrument Table'!$B:$B, $C1029), IF($B1030 = "Service Item", _xlfn.XLOOKUP($A1030, 'Instrument Table'!$I:$I, 'Instrument Table'!$B:$B, $C1029), _xlfn.XLOOKUP($A1030, 'Instrument Table'!$H:$H, 'Instrument Table'!$B:$B, $C1029)))</f>
        <v>Violin</v>
      </c>
      <c r="D1030" s="1" t="str">
        <f>VLOOKUP($C1030, 'Instrument Table'!$B:$C, 2, FALSE)</f>
        <v>Strings</v>
      </c>
      <c r="E1030" s="1">
        <f t="shared" si="90"/>
        <v>1</v>
      </c>
      <c r="F1030" s="1">
        <f>_xlfn.XLOOKUP($C1030, 'Instrument Table'!$B:$B, 'Instrument Table'!$A:$A, "")</f>
        <v>20</v>
      </c>
      <c r="G1030" s="1" t="str">
        <f>TEXT(IF($B1030 = "Retail Item", IF((ROW($A1030) - 4504 - _xlfn.XMATCH($C1030, $C$4506:$C$5005, 0, 1)) &lt;= VLOOKUP($C1030, 'Instrument Table'!$B:$D, 3, FALSE), ROW($A1030) - 4504 - _xlfn.XMATCH($C1030, $C$4506:$C$5005, 0, 1), 0), 0), "00")</f>
        <v>00</v>
      </c>
      <c r="H1030" s="1" t="str">
        <f t="shared" si="91"/>
        <v>074</v>
      </c>
      <c r="I1030" s="1" t="str">
        <f t="shared" si="92"/>
        <v>12000-074</v>
      </c>
      <c r="J1030" s="1" t="str">
        <f t="shared" si="93"/>
        <v>Violin production item #074</v>
      </c>
      <c r="K1030" s="1" t="str">
        <f>IF(SUM(COUNTIFS(I:I, I1030)) &gt; 1, "DUPLICATE", "UNIQUE")</f>
        <v>UNIQUE</v>
      </c>
      <c r="L1030" s="18">
        <v>32</v>
      </c>
      <c r="M1030" s="28">
        <v>31</v>
      </c>
      <c r="N1030" s="6">
        <v>4</v>
      </c>
      <c r="O1030" s="30">
        <f t="shared" si="94"/>
        <v>992</v>
      </c>
      <c r="P1030" s="30">
        <f t="shared" si="95"/>
        <v>124</v>
      </c>
      <c r="Q1030" s="1">
        <f>COUNTIFS($P:$P, "&gt;" &amp; $P1030) + 1</f>
        <v>4422</v>
      </c>
      <c r="R1030" s="63">
        <f>(COUNTIFS($P:$P, "&gt;" &amp; $P1030) + 1) / (COUNTA($I:$I) - 1)</f>
        <v>0.88439999999999996</v>
      </c>
      <c r="S1030" s="23">
        <f>SUMIFS($P:$P, $Q:$Q, "&lt;" &amp; $Q1030)</f>
        <v>186529025</v>
      </c>
    </row>
    <row r="1031" spans="1:19" x14ac:dyDescent="0.25">
      <c r="A1031" s="1">
        <v>1026</v>
      </c>
      <c r="B1031" s="1" t="s">
        <v>2</v>
      </c>
      <c r="C1031" s="1" t="str">
        <f>IF($B1031 = "Production Item", _xlfn.XLOOKUP($A1031, 'Instrument Table'!$J:$J, 'Instrument Table'!$B:$B, $C1030), IF($B1031 = "Service Item", _xlfn.XLOOKUP($A1031, 'Instrument Table'!$I:$I, 'Instrument Table'!$B:$B, $C1030), _xlfn.XLOOKUP($A1031, 'Instrument Table'!$H:$H, 'Instrument Table'!$B:$B, $C1030)))</f>
        <v>Violin</v>
      </c>
      <c r="D1031" s="1" t="str">
        <f>VLOOKUP($C1031, 'Instrument Table'!$B:$C, 2, FALSE)</f>
        <v>Strings</v>
      </c>
      <c r="E1031" s="1">
        <f t="shared" ref="E1031:E1094" si="96">IF($B1031 = "Production Item", 1, IF($B1031 = "Service Item", 2, IF($B1031 = "Retail Item", 3, "")))</f>
        <v>1</v>
      </c>
      <c r="F1031" s="1">
        <f>_xlfn.XLOOKUP($C1031, 'Instrument Table'!$B:$B, 'Instrument Table'!$A:$A, "")</f>
        <v>20</v>
      </c>
      <c r="G1031" s="1" t="str">
        <f>TEXT(IF($B1031 = "Retail Item", IF((ROW($A1031) - 4504 - _xlfn.XMATCH($C1031, $C$4506:$C$5005, 0, 1)) &lt;= VLOOKUP($C1031, 'Instrument Table'!$B:$D, 3, FALSE), ROW($A1031) - 4504 - _xlfn.XMATCH($C1031, $C$4506:$C$5005, 0, 1), 0), 0), "00")</f>
        <v>00</v>
      </c>
      <c r="H1031" s="1" t="str">
        <f t="shared" ref="H1031:H1094" si="97">TEXT(IF($E1031 &amp; $F1031 &amp; $G1031 = $E1030 &amp; $F1030 &amp; $G1030, 1 + H1030, 0), "000")</f>
        <v>075</v>
      </c>
      <c r="I1031" s="1" t="str">
        <f t="shared" ref="I1031:I1094" si="98" xml:space="preserve"> _xlfn.CONCAT($E1031, $F1031, $G1031, "-", H1031)</f>
        <v>12000-075</v>
      </c>
      <c r="J1031" s="1" t="str">
        <f t="shared" ref="J1031:J1094" si="99">LEFT($C1031, 1) &amp; LOWER(RIGHT($C1031, LEN($C1031) - 1)) &amp; IF(AND($G1031 &lt;&gt; "00", $B1031 = "Retail Item"), " model #" &amp; $G1031, " " &amp; LOWER($B1031) &amp; " #" &amp; $H1031)</f>
        <v>Violin production item #075</v>
      </c>
      <c r="K1031" s="1" t="str">
        <f>IF(SUM(COUNTIFS(I:I, I1031)) &gt; 1, "DUPLICATE", "UNIQUE")</f>
        <v>UNIQUE</v>
      </c>
      <c r="L1031" s="18">
        <v>4</v>
      </c>
      <c r="M1031" s="28">
        <v>1</v>
      </c>
      <c r="N1031" s="6">
        <v>64</v>
      </c>
      <c r="O1031" s="30">
        <f t="shared" ref="O1031:O1094" si="100">$L1031 * $M1031</f>
        <v>4</v>
      </c>
      <c r="P1031" s="30">
        <f t="shared" ref="P1031:P1094" si="101">$N1031 * $M1031</f>
        <v>64</v>
      </c>
      <c r="Q1031" s="1">
        <f>COUNTIFS($P:$P, "&gt;" &amp; $P1031) + 1</f>
        <v>4553</v>
      </c>
      <c r="R1031" s="63">
        <f>(COUNTIFS($P:$P, "&gt;" &amp; $P1031) + 1) / (COUNTA($I:$I) - 1)</f>
        <v>0.91059999999999997</v>
      </c>
      <c r="S1031" s="23">
        <f>SUMIFS($P:$P, $Q:$Q, "&lt;" &amp; $Q1031)</f>
        <v>186540850</v>
      </c>
    </row>
    <row r="1032" spans="1:19" x14ac:dyDescent="0.25">
      <c r="A1032" s="1">
        <v>1027</v>
      </c>
      <c r="B1032" s="1" t="s">
        <v>2</v>
      </c>
      <c r="C1032" s="1" t="str">
        <f>IF($B1032 = "Production Item", _xlfn.XLOOKUP($A1032, 'Instrument Table'!$J:$J, 'Instrument Table'!$B:$B, $C1031), IF($B1032 = "Service Item", _xlfn.XLOOKUP($A1032, 'Instrument Table'!$I:$I, 'Instrument Table'!$B:$B, $C1031), _xlfn.XLOOKUP($A1032, 'Instrument Table'!$H:$H, 'Instrument Table'!$B:$B, $C1031)))</f>
        <v>Violin</v>
      </c>
      <c r="D1032" s="1" t="str">
        <f>VLOOKUP($C1032, 'Instrument Table'!$B:$C, 2, FALSE)</f>
        <v>Strings</v>
      </c>
      <c r="E1032" s="1">
        <f t="shared" si="96"/>
        <v>1</v>
      </c>
      <c r="F1032" s="1">
        <f>_xlfn.XLOOKUP($C1032, 'Instrument Table'!$B:$B, 'Instrument Table'!$A:$A, "")</f>
        <v>20</v>
      </c>
      <c r="G1032" s="1" t="str">
        <f>TEXT(IF($B1032 = "Retail Item", IF((ROW($A1032) - 4504 - _xlfn.XMATCH($C1032, $C$4506:$C$5005, 0, 1)) &lt;= VLOOKUP($C1032, 'Instrument Table'!$B:$D, 3, FALSE), ROW($A1032) - 4504 - _xlfn.XMATCH($C1032, $C$4506:$C$5005, 0, 1), 0), 0), "00")</f>
        <v>00</v>
      </c>
      <c r="H1032" s="1" t="str">
        <f t="shared" si="97"/>
        <v>076</v>
      </c>
      <c r="I1032" s="1" t="str">
        <f t="shared" si="98"/>
        <v>12000-076</v>
      </c>
      <c r="J1032" s="1" t="str">
        <f t="shared" si="99"/>
        <v>Violin production item #076</v>
      </c>
      <c r="K1032" s="1" t="str">
        <f>IF(SUM(COUNTIFS(I:I, I1032)) &gt; 1, "DUPLICATE", "UNIQUE")</f>
        <v>UNIQUE</v>
      </c>
      <c r="L1032" s="18">
        <v>16</v>
      </c>
      <c r="M1032" s="28">
        <v>73</v>
      </c>
      <c r="N1032" s="6">
        <v>289</v>
      </c>
      <c r="O1032" s="30">
        <f t="shared" si="100"/>
        <v>1168</v>
      </c>
      <c r="P1032" s="30">
        <f t="shared" si="101"/>
        <v>21097</v>
      </c>
      <c r="Q1032" s="1">
        <f>COUNTIFS($P:$P, "&gt;" &amp; $P1032) + 1</f>
        <v>999</v>
      </c>
      <c r="R1032" s="63">
        <f>(COUNTIFS($P:$P, "&gt;" &amp; $P1032) + 1) / (COUNTA($I:$I) - 1)</f>
        <v>0.19980000000000001</v>
      </c>
      <c r="S1032" s="23">
        <f>SUMIFS($P:$P, $Q:$Q, "&lt;" &amp; $Q1032)</f>
        <v>166469848</v>
      </c>
    </row>
    <row r="1033" spans="1:19" x14ac:dyDescent="0.25">
      <c r="A1033" s="1">
        <v>1028</v>
      </c>
      <c r="B1033" s="1" t="s">
        <v>2</v>
      </c>
      <c r="C1033" s="1" t="str">
        <f>IF($B1033 = "Production Item", _xlfn.XLOOKUP($A1033, 'Instrument Table'!$J:$J, 'Instrument Table'!$B:$B, $C1032), IF($B1033 = "Service Item", _xlfn.XLOOKUP($A1033, 'Instrument Table'!$I:$I, 'Instrument Table'!$B:$B, $C1032), _xlfn.XLOOKUP($A1033, 'Instrument Table'!$H:$H, 'Instrument Table'!$B:$B, $C1032)))</f>
        <v>Violin</v>
      </c>
      <c r="D1033" s="1" t="str">
        <f>VLOOKUP($C1033, 'Instrument Table'!$B:$C, 2, FALSE)</f>
        <v>Strings</v>
      </c>
      <c r="E1033" s="1">
        <f t="shared" si="96"/>
        <v>1</v>
      </c>
      <c r="F1033" s="1">
        <f>_xlfn.XLOOKUP($C1033, 'Instrument Table'!$B:$B, 'Instrument Table'!$A:$A, "")</f>
        <v>20</v>
      </c>
      <c r="G1033" s="1" t="str">
        <f>TEXT(IF($B1033 = "Retail Item", IF((ROW($A1033) - 4504 - _xlfn.XMATCH($C1033, $C$4506:$C$5005, 0, 1)) &lt;= VLOOKUP($C1033, 'Instrument Table'!$B:$D, 3, FALSE), ROW($A1033) - 4504 - _xlfn.XMATCH($C1033, $C$4506:$C$5005, 0, 1), 0), 0), "00")</f>
        <v>00</v>
      </c>
      <c r="H1033" s="1" t="str">
        <f t="shared" si="97"/>
        <v>077</v>
      </c>
      <c r="I1033" s="1" t="str">
        <f t="shared" si="98"/>
        <v>12000-077</v>
      </c>
      <c r="J1033" s="1" t="str">
        <f t="shared" si="99"/>
        <v>Violin production item #077</v>
      </c>
      <c r="K1033" s="1" t="str">
        <f>IF(SUM(COUNTIFS(I:I, I1033)) &gt; 1, "DUPLICATE", "UNIQUE")</f>
        <v>UNIQUE</v>
      </c>
      <c r="L1033" s="18">
        <v>8</v>
      </c>
      <c r="M1033" s="28">
        <v>80</v>
      </c>
      <c r="N1033" s="6">
        <v>361</v>
      </c>
      <c r="O1033" s="30">
        <f t="shared" si="100"/>
        <v>640</v>
      </c>
      <c r="P1033" s="30">
        <f t="shared" si="101"/>
        <v>28880</v>
      </c>
      <c r="Q1033" s="1">
        <f>COUNTIFS($P:$P, "&gt;" &amp; $P1033) + 1</f>
        <v>717</v>
      </c>
      <c r="R1033" s="63">
        <f>(COUNTIFS($P:$P, "&gt;" &amp; $P1033) + 1) / (COUNTA($I:$I) - 1)</f>
        <v>0.1434</v>
      </c>
      <c r="S1033" s="23">
        <f>SUMIFS($P:$P, $Q:$Q, "&lt;" &amp; $Q1033)</f>
        <v>159584951</v>
      </c>
    </row>
    <row r="1034" spans="1:19" x14ac:dyDescent="0.25">
      <c r="A1034" s="1">
        <v>1029</v>
      </c>
      <c r="B1034" s="1" t="s">
        <v>2</v>
      </c>
      <c r="C1034" s="1" t="str">
        <f>IF($B1034 = "Production Item", _xlfn.XLOOKUP($A1034, 'Instrument Table'!$J:$J, 'Instrument Table'!$B:$B, $C1033), IF($B1034 = "Service Item", _xlfn.XLOOKUP($A1034, 'Instrument Table'!$I:$I, 'Instrument Table'!$B:$B, $C1033), _xlfn.XLOOKUP($A1034, 'Instrument Table'!$H:$H, 'Instrument Table'!$B:$B, $C1033)))</f>
        <v>Violin</v>
      </c>
      <c r="D1034" s="1" t="str">
        <f>VLOOKUP($C1034, 'Instrument Table'!$B:$C, 2, FALSE)</f>
        <v>Strings</v>
      </c>
      <c r="E1034" s="1">
        <f t="shared" si="96"/>
        <v>1</v>
      </c>
      <c r="F1034" s="1">
        <f>_xlfn.XLOOKUP($C1034, 'Instrument Table'!$B:$B, 'Instrument Table'!$A:$A, "")</f>
        <v>20</v>
      </c>
      <c r="G1034" s="1" t="str">
        <f>TEXT(IF($B1034 = "Retail Item", IF((ROW($A1034) - 4504 - _xlfn.XMATCH($C1034, $C$4506:$C$5005, 0, 1)) &lt;= VLOOKUP($C1034, 'Instrument Table'!$B:$D, 3, FALSE), ROW($A1034) - 4504 - _xlfn.XMATCH($C1034, $C$4506:$C$5005, 0, 1), 0), 0), "00")</f>
        <v>00</v>
      </c>
      <c r="H1034" s="1" t="str">
        <f t="shared" si="97"/>
        <v>078</v>
      </c>
      <c r="I1034" s="1" t="str">
        <f t="shared" si="98"/>
        <v>12000-078</v>
      </c>
      <c r="J1034" s="1" t="str">
        <f t="shared" si="99"/>
        <v>Violin production item #078</v>
      </c>
      <c r="K1034" s="1" t="str">
        <f>IF(SUM(COUNTIFS(I:I, I1034)) &gt; 1, "DUPLICATE", "UNIQUE")</f>
        <v>UNIQUE</v>
      </c>
      <c r="L1034" s="18">
        <v>8</v>
      </c>
      <c r="M1034" s="28">
        <v>93</v>
      </c>
      <c r="N1034" s="6">
        <v>1</v>
      </c>
      <c r="O1034" s="30">
        <f t="shared" si="100"/>
        <v>744</v>
      </c>
      <c r="P1034" s="30">
        <f t="shared" si="101"/>
        <v>93</v>
      </c>
      <c r="Q1034" s="1">
        <f>COUNTIFS($P:$P, "&gt;" &amp; $P1034) + 1</f>
        <v>4474</v>
      </c>
      <c r="R1034" s="63">
        <f>(COUNTIFS($P:$P, "&gt;" &amp; $P1034) + 1) / (COUNTA($I:$I) - 1)</f>
        <v>0.89480000000000004</v>
      </c>
      <c r="S1034" s="23">
        <f>SUMIFS($P:$P, $Q:$Q, "&lt;" &amp; $Q1034)</f>
        <v>186534566</v>
      </c>
    </row>
    <row r="1035" spans="1:19" x14ac:dyDescent="0.25">
      <c r="A1035" s="1">
        <v>1030</v>
      </c>
      <c r="B1035" s="1" t="s">
        <v>2</v>
      </c>
      <c r="C1035" s="1" t="str">
        <f>IF($B1035 = "Production Item", _xlfn.XLOOKUP($A1035, 'Instrument Table'!$J:$J, 'Instrument Table'!$B:$B, $C1034), IF($B1035 = "Service Item", _xlfn.XLOOKUP($A1035, 'Instrument Table'!$I:$I, 'Instrument Table'!$B:$B, $C1034), _xlfn.XLOOKUP($A1035, 'Instrument Table'!$H:$H, 'Instrument Table'!$B:$B, $C1034)))</f>
        <v>Violin</v>
      </c>
      <c r="D1035" s="1" t="str">
        <f>VLOOKUP($C1035, 'Instrument Table'!$B:$C, 2, FALSE)</f>
        <v>Strings</v>
      </c>
      <c r="E1035" s="1">
        <f t="shared" si="96"/>
        <v>1</v>
      </c>
      <c r="F1035" s="1">
        <f>_xlfn.XLOOKUP($C1035, 'Instrument Table'!$B:$B, 'Instrument Table'!$A:$A, "")</f>
        <v>20</v>
      </c>
      <c r="G1035" s="1" t="str">
        <f>TEXT(IF($B1035 = "Retail Item", IF((ROW($A1035) - 4504 - _xlfn.XMATCH($C1035, $C$4506:$C$5005, 0, 1)) &lt;= VLOOKUP($C1035, 'Instrument Table'!$B:$D, 3, FALSE), ROW($A1035) - 4504 - _xlfn.XMATCH($C1035, $C$4506:$C$5005, 0, 1), 0), 0), "00")</f>
        <v>00</v>
      </c>
      <c r="H1035" s="1" t="str">
        <f t="shared" si="97"/>
        <v>079</v>
      </c>
      <c r="I1035" s="1" t="str">
        <f t="shared" si="98"/>
        <v>12000-079</v>
      </c>
      <c r="J1035" s="1" t="str">
        <f t="shared" si="99"/>
        <v>Violin production item #079</v>
      </c>
      <c r="K1035" s="1" t="str">
        <f>IF(SUM(COUNTIFS(I:I, I1035)) &gt; 1, "DUPLICATE", "UNIQUE")</f>
        <v>UNIQUE</v>
      </c>
      <c r="L1035" s="18">
        <v>0</v>
      </c>
      <c r="M1035" s="28">
        <v>89</v>
      </c>
      <c r="N1035" s="6">
        <v>100</v>
      </c>
      <c r="O1035" s="30">
        <f t="shared" si="100"/>
        <v>0</v>
      </c>
      <c r="P1035" s="30">
        <f t="shared" si="101"/>
        <v>8900</v>
      </c>
      <c r="Q1035" s="1">
        <f>COUNTIFS($P:$P, "&gt;" &amp; $P1035) + 1</f>
        <v>1886</v>
      </c>
      <c r="R1035" s="63">
        <f>(COUNTIFS($P:$P, "&gt;" &amp; $P1035) + 1) / (COUNTA($I:$I) - 1)</f>
        <v>0.37719999999999998</v>
      </c>
      <c r="S1035" s="23">
        <f>SUMIFS($P:$P, $Q:$Q, "&lt;" &amp; $Q1035)</f>
        <v>179039555</v>
      </c>
    </row>
    <row r="1036" spans="1:19" x14ac:dyDescent="0.25">
      <c r="A1036" s="1">
        <v>1031</v>
      </c>
      <c r="B1036" s="1" t="s">
        <v>2</v>
      </c>
      <c r="C1036" s="1" t="str">
        <f>IF($B1036 = "Production Item", _xlfn.XLOOKUP($A1036, 'Instrument Table'!$J:$J, 'Instrument Table'!$B:$B, $C1035), IF($B1036 = "Service Item", _xlfn.XLOOKUP($A1036, 'Instrument Table'!$I:$I, 'Instrument Table'!$B:$B, $C1035), _xlfn.XLOOKUP($A1036, 'Instrument Table'!$H:$H, 'Instrument Table'!$B:$B, $C1035)))</f>
        <v>Violin</v>
      </c>
      <c r="D1036" s="1" t="str">
        <f>VLOOKUP($C1036, 'Instrument Table'!$B:$C, 2, FALSE)</f>
        <v>Strings</v>
      </c>
      <c r="E1036" s="1">
        <f t="shared" si="96"/>
        <v>1</v>
      </c>
      <c r="F1036" s="1">
        <f>_xlfn.XLOOKUP($C1036, 'Instrument Table'!$B:$B, 'Instrument Table'!$A:$A, "")</f>
        <v>20</v>
      </c>
      <c r="G1036" s="1" t="str">
        <f>TEXT(IF($B1036 = "Retail Item", IF((ROW($A1036) - 4504 - _xlfn.XMATCH($C1036, $C$4506:$C$5005, 0, 1)) &lt;= VLOOKUP($C1036, 'Instrument Table'!$B:$D, 3, FALSE), ROW($A1036) - 4504 - _xlfn.XMATCH($C1036, $C$4506:$C$5005, 0, 1), 0), 0), "00")</f>
        <v>00</v>
      </c>
      <c r="H1036" s="1" t="str">
        <f t="shared" si="97"/>
        <v>080</v>
      </c>
      <c r="I1036" s="1" t="str">
        <f t="shared" si="98"/>
        <v>12000-080</v>
      </c>
      <c r="J1036" s="1" t="str">
        <f t="shared" si="99"/>
        <v>Violin production item #080</v>
      </c>
      <c r="K1036" s="1" t="str">
        <f>IF(SUM(COUNTIFS(I:I, I1036)) &gt; 1, "DUPLICATE", "UNIQUE")</f>
        <v>UNIQUE</v>
      </c>
      <c r="L1036" s="18">
        <v>1</v>
      </c>
      <c r="M1036" s="28">
        <v>60</v>
      </c>
      <c r="N1036" s="6">
        <v>49</v>
      </c>
      <c r="O1036" s="30">
        <f t="shared" si="100"/>
        <v>60</v>
      </c>
      <c r="P1036" s="30">
        <f t="shared" si="101"/>
        <v>2940</v>
      </c>
      <c r="Q1036" s="1">
        <f>COUNTIFS($P:$P, "&gt;" &amp; $P1036) + 1</f>
        <v>2917</v>
      </c>
      <c r="R1036" s="63">
        <f>(COUNTIFS($P:$P, "&gt;" &amp; $P1036) + 1) / (COUNTA($I:$I) - 1)</f>
        <v>0.58340000000000003</v>
      </c>
      <c r="S1036" s="23">
        <f>SUMIFS($P:$P, $Q:$Q, "&lt;" &amp; $Q1036)</f>
        <v>184699259</v>
      </c>
    </row>
    <row r="1037" spans="1:19" x14ac:dyDescent="0.25">
      <c r="A1037" s="1">
        <v>1032</v>
      </c>
      <c r="B1037" s="1" t="s">
        <v>2</v>
      </c>
      <c r="C1037" s="1" t="str">
        <f>IF($B1037 = "Production Item", _xlfn.XLOOKUP($A1037, 'Instrument Table'!$J:$J, 'Instrument Table'!$B:$B, $C1036), IF($B1037 = "Service Item", _xlfn.XLOOKUP($A1037, 'Instrument Table'!$I:$I, 'Instrument Table'!$B:$B, $C1036), _xlfn.XLOOKUP($A1037, 'Instrument Table'!$H:$H, 'Instrument Table'!$B:$B, $C1036)))</f>
        <v>Violin</v>
      </c>
      <c r="D1037" s="1" t="str">
        <f>VLOOKUP($C1037, 'Instrument Table'!$B:$C, 2, FALSE)</f>
        <v>Strings</v>
      </c>
      <c r="E1037" s="1">
        <f t="shared" si="96"/>
        <v>1</v>
      </c>
      <c r="F1037" s="1">
        <f>_xlfn.XLOOKUP($C1037, 'Instrument Table'!$B:$B, 'Instrument Table'!$A:$A, "")</f>
        <v>20</v>
      </c>
      <c r="G1037" s="1" t="str">
        <f>TEXT(IF($B1037 = "Retail Item", IF((ROW($A1037) - 4504 - _xlfn.XMATCH($C1037, $C$4506:$C$5005, 0, 1)) &lt;= VLOOKUP($C1037, 'Instrument Table'!$B:$D, 3, FALSE), ROW($A1037) - 4504 - _xlfn.XMATCH($C1037, $C$4506:$C$5005, 0, 1), 0), 0), "00")</f>
        <v>00</v>
      </c>
      <c r="H1037" s="1" t="str">
        <f t="shared" si="97"/>
        <v>081</v>
      </c>
      <c r="I1037" s="1" t="str">
        <f t="shared" si="98"/>
        <v>12000-081</v>
      </c>
      <c r="J1037" s="1" t="str">
        <f t="shared" si="99"/>
        <v>Violin production item #081</v>
      </c>
      <c r="K1037" s="1" t="str">
        <f>IF(SUM(COUNTIFS(I:I, I1037)) &gt; 1, "DUPLICATE", "UNIQUE")</f>
        <v>UNIQUE</v>
      </c>
      <c r="L1037" s="18">
        <v>32</v>
      </c>
      <c r="M1037" s="28">
        <v>36</v>
      </c>
      <c r="N1037" s="6">
        <v>169</v>
      </c>
      <c r="O1037" s="30">
        <f t="shared" si="100"/>
        <v>1152</v>
      </c>
      <c r="P1037" s="30">
        <f t="shared" si="101"/>
        <v>6084</v>
      </c>
      <c r="Q1037" s="1">
        <f>COUNTIFS($P:$P, "&gt;" &amp; $P1037) + 1</f>
        <v>2245</v>
      </c>
      <c r="R1037" s="63">
        <f>(COUNTIFS($P:$P, "&gt;" &amp; $P1037) + 1) / (COUNTA($I:$I) - 1)</f>
        <v>0.44900000000000001</v>
      </c>
      <c r="S1037" s="23">
        <f>SUMIFS($P:$P, $Q:$Q, "&lt;" &amp; $Q1037)</f>
        <v>181736722</v>
      </c>
    </row>
    <row r="1038" spans="1:19" x14ac:dyDescent="0.25">
      <c r="A1038" s="1">
        <v>1033</v>
      </c>
      <c r="B1038" s="1" t="s">
        <v>2</v>
      </c>
      <c r="C1038" s="1" t="str">
        <f>IF($B1038 = "Production Item", _xlfn.XLOOKUP($A1038, 'Instrument Table'!$J:$J, 'Instrument Table'!$B:$B, $C1037), IF($B1038 = "Service Item", _xlfn.XLOOKUP($A1038, 'Instrument Table'!$I:$I, 'Instrument Table'!$B:$B, $C1037), _xlfn.XLOOKUP($A1038, 'Instrument Table'!$H:$H, 'Instrument Table'!$B:$B, $C1037)))</f>
        <v>Violin</v>
      </c>
      <c r="D1038" s="1" t="str">
        <f>VLOOKUP($C1038, 'Instrument Table'!$B:$C, 2, FALSE)</f>
        <v>Strings</v>
      </c>
      <c r="E1038" s="1">
        <f t="shared" si="96"/>
        <v>1</v>
      </c>
      <c r="F1038" s="1">
        <f>_xlfn.XLOOKUP($C1038, 'Instrument Table'!$B:$B, 'Instrument Table'!$A:$A, "")</f>
        <v>20</v>
      </c>
      <c r="G1038" s="1" t="str">
        <f>TEXT(IF($B1038 = "Retail Item", IF((ROW($A1038) - 4504 - _xlfn.XMATCH($C1038, $C$4506:$C$5005, 0, 1)) &lt;= VLOOKUP($C1038, 'Instrument Table'!$B:$D, 3, FALSE), ROW($A1038) - 4504 - _xlfn.XMATCH($C1038, $C$4506:$C$5005, 0, 1), 0), 0), "00")</f>
        <v>00</v>
      </c>
      <c r="H1038" s="1" t="str">
        <f t="shared" si="97"/>
        <v>082</v>
      </c>
      <c r="I1038" s="1" t="str">
        <f t="shared" si="98"/>
        <v>12000-082</v>
      </c>
      <c r="J1038" s="1" t="str">
        <f t="shared" si="99"/>
        <v>Violin production item #082</v>
      </c>
      <c r="K1038" s="1" t="str">
        <f>IF(SUM(COUNTIFS(I:I, I1038)) &gt; 1, "DUPLICATE", "UNIQUE")</f>
        <v>UNIQUE</v>
      </c>
      <c r="L1038" s="18">
        <v>1</v>
      </c>
      <c r="M1038" s="28">
        <v>66</v>
      </c>
      <c r="N1038" s="6">
        <v>9</v>
      </c>
      <c r="O1038" s="30">
        <f t="shared" si="100"/>
        <v>66</v>
      </c>
      <c r="P1038" s="30">
        <f t="shared" si="101"/>
        <v>594</v>
      </c>
      <c r="Q1038" s="1">
        <f>COUNTIFS($P:$P, "&gt;" &amp; $P1038) + 1</f>
        <v>3943</v>
      </c>
      <c r="R1038" s="63">
        <f>(COUNTIFS($P:$P, "&gt;" &amp; $P1038) + 1) / (COUNTA($I:$I) - 1)</f>
        <v>0.78859999999999997</v>
      </c>
      <c r="S1038" s="23">
        <f>SUMIFS($P:$P, $Q:$Q, "&lt;" &amp; $Q1038)</f>
        <v>186366101</v>
      </c>
    </row>
    <row r="1039" spans="1:19" x14ac:dyDescent="0.25">
      <c r="A1039" s="1">
        <v>1034</v>
      </c>
      <c r="B1039" s="1" t="s">
        <v>2</v>
      </c>
      <c r="C1039" s="1" t="str">
        <f>IF($B1039 = "Production Item", _xlfn.XLOOKUP($A1039, 'Instrument Table'!$J:$J, 'Instrument Table'!$B:$B, $C1038), IF($B1039 = "Service Item", _xlfn.XLOOKUP($A1039, 'Instrument Table'!$I:$I, 'Instrument Table'!$B:$B, $C1038), _xlfn.XLOOKUP($A1039, 'Instrument Table'!$H:$H, 'Instrument Table'!$B:$B, $C1038)))</f>
        <v>Violin</v>
      </c>
      <c r="D1039" s="1" t="str">
        <f>VLOOKUP($C1039, 'Instrument Table'!$B:$C, 2, FALSE)</f>
        <v>Strings</v>
      </c>
      <c r="E1039" s="1">
        <f t="shared" si="96"/>
        <v>1</v>
      </c>
      <c r="F1039" s="1">
        <f>_xlfn.XLOOKUP($C1039, 'Instrument Table'!$B:$B, 'Instrument Table'!$A:$A, "")</f>
        <v>20</v>
      </c>
      <c r="G1039" s="1" t="str">
        <f>TEXT(IF($B1039 = "Retail Item", IF((ROW($A1039) - 4504 - _xlfn.XMATCH($C1039, $C$4506:$C$5005, 0, 1)) &lt;= VLOOKUP($C1039, 'Instrument Table'!$B:$D, 3, FALSE), ROW($A1039) - 4504 - _xlfn.XMATCH($C1039, $C$4506:$C$5005, 0, 1), 0), 0), "00")</f>
        <v>00</v>
      </c>
      <c r="H1039" s="1" t="str">
        <f t="shared" si="97"/>
        <v>083</v>
      </c>
      <c r="I1039" s="1" t="str">
        <f t="shared" si="98"/>
        <v>12000-083</v>
      </c>
      <c r="J1039" s="1" t="str">
        <f t="shared" si="99"/>
        <v>Violin production item #083</v>
      </c>
      <c r="K1039" s="1" t="str">
        <f>IF(SUM(COUNTIFS(I:I, I1039)) &gt; 1, "DUPLICATE", "UNIQUE")</f>
        <v>UNIQUE</v>
      </c>
      <c r="L1039" s="18">
        <v>1</v>
      </c>
      <c r="M1039" s="28">
        <v>67</v>
      </c>
      <c r="N1039" s="6">
        <v>169</v>
      </c>
      <c r="O1039" s="30">
        <f t="shared" si="100"/>
        <v>67</v>
      </c>
      <c r="P1039" s="30">
        <f t="shared" si="101"/>
        <v>11323</v>
      </c>
      <c r="Q1039" s="1">
        <f>COUNTIFS($P:$P, "&gt;" &amp; $P1039) + 1</f>
        <v>1654</v>
      </c>
      <c r="R1039" s="63">
        <f>(COUNTIFS($P:$P, "&gt;" &amp; $P1039) + 1) / (COUNTA($I:$I) - 1)</f>
        <v>0.33079999999999998</v>
      </c>
      <c r="S1039" s="23">
        <f>SUMIFS($P:$P, $Q:$Q, "&lt;" &amp; $Q1039)</f>
        <v>176703541</v>
      </c>
    </row>
    <row r="1040" spans="1:19" x14ac:dyDescent="0.25">
      <c r="A1040" s="1">
        <v>1035</v>
      </c>
      <c r="B1040" s="1" t="s">
        <v>2</v>
      </c>
      <c r="C1040" s="1" t="str">
        <f>IF($B1040 = "Production Item", _xlfn.XLOOKUP($A1040, 'Instrument Table'!$J:$J, 'Instrument Table'!$B:$B, $C1039), IF($B1040 = "Service Item", _xlfn.XLOOKUP($A1040, 'Instrument Table'!$I:$I, 'Instrument Table'!$B:$B, $C1039), _xlfn.XLOOKUP($A1040, 'Instrument Table'!$H:$H, 'Instrument Table'!$B:$B, $C1039)))</f>
        <v>Violin</v>
      </c>
      <c r="D1040" s="1" t="str">
        <f>VLOOKUP($C1040, 'Instrument Table'!$B:$C, 2, FALSE)</f>
        <v>Strings</v>
      </c>
      <c r="E1040" s="1">
        <f t="shared" si="96"/>
        <v>1</v>
      </c>
      <c r="F1040" s="1">
        <f>_xlfn.XLOOKUP($C1040, 'Instrument Table'!$B:$B, 'Instrument Table'!$A:$A, "")</f>
        <v>20</v>
      </c>
      <c r="G1040" s="1" t="str">
        <f>TEXT(IF($B1040 = "Retail Item", IF((ROW($A1040) - 4504 - _xlfn.XMATCH($C1040, $C$4506:$C$5005, 0, 1)) &lt;= VLOOKUP($C1040, 'Instrument Table'!$B:$D, 3, FALSE), ROW($A1040) - 4504 - _xlfn.XMATCH($C1040, $C$4506:$C$5005, 0, 1), 0), 0), "00")</f>
        <v>00</v>
      </c>
      <c r="H1040" s="1" t="str">
        <f t="shared" si="97"/>
        <v>084</v>
      </c>
      <c r="I1040" s="1" t="str">
        <f t="shared" si="98"/>
        <v>12000-084</v>
      </c>
      <c r="J1040" s="1" t="str">
        <f t="shared" si="99"/>
        <v>Violin production item #084</v>
      </c>
      <c r="K1040" s="1" t="str">
        <f>IF(SUM(COUNTIFS(I:I, I1040)) &gt; 1, "DUPLICATE", "UNIQUE")</f>
        <v>UNIQUE</v>
      </c>
      <c r="L1040" s="18">
        <v>32</v>
      </c>
      <c r="M1040" s="28">
        <v>11</v>
      </c>
      <c r="N1040" s="6">
        <v>256</v>
      </c>
      <c r="O1040" s="30">
        <f t="shared" si="100"/>
        <v>352</v>
      </c>
      <c r="P1040" s="30">
        <f t="shared" si="101"/>
        <v>2816</v>
      </c>
      <c r="Q1040" s="1">
        <f>COUNTIFS($P:$P, "&gt;" &amp; $P1040) + 1</f>
        <v>2954</v>
      </c>
      <c r="R1040" s="63">
        <f>(COUNTIFS($P:$P, "&gt;" &amp; $P1040) + 1) / (COUNTA($I:$I) - 1)</f>
        <v>0.59079999999999999</v>
      </c>
      <c r="S1040" s="23">
        <f>SUMIFS($P:$P, $Q:$Q, "&lt;" &amp; $Q1040)</f>
        <v>184806461</v>
      </c>
    </row>
    <row r="1041" spans="1:19" x14ac:dyDescent="0.25">
      <c r="A1041" s="1">
        <v>1036</v>
      </c>
      <c r="B1041" s="1" t="s">
        <v>2</v>
      </c>
      <c r="C1041" s="1" t="str">
        <f>IF($B1041 = "Production Item", _xlfn.XLOOKUP($A1041, 'Instrument Table'!$J:$J, 'Instrument Table'!$B:$B, $C1040), IF($B1041 = "Service Item", _xlfn.XLOOKUP($A1041, 'Instrument Table'!$I:$I, 'Instrument Table'!$B:$B, $C1040), _xlfn.XLOOKUP($A1041, 'Instrument Table'!$H:$H, 'Instrument Table'!$B:$B, $C1040)))</f>
        <v>Violin</v>
      </c>
      <c r="D1041" s="1" t="str">
        <f>VLOOKUP($C1041, 'Instrument Table'!$B:$C, 2, FALSE)</f>
        <v>Strings</v>
      </c>
      <c r="E1041" s="1">
        <f t="shared" si="96"/>
        <v>1</v>
      </c>
      <c r="F1041" s="1">
        <f>_xlfn.XLOOKUP($C1041, 'Instrument Table'!$B:$B, 'Instrument Table'!$A:$A, "")</f>
        <v>20</v>
      </c>
      <c r="G1041" s="1" t="str">
        <f>TEXT(IF($B1041 = "Retail Item", IF((ROW($A1041) - 4504 - _xlfn.XMATCH($C1041, $C$4506:$C$5005, 0, 1)) &lt;= VLOOKUP($C1041, 'Instrument Table'!$B:$D, 3, FALSE), ROW($A1041) - 4504 - _xlfn.XMATCH($C1041, $C$4506:$C$5005, 0, 1), 0), 0), "00")</f>
        <v>00</v>
      </c>
      <c r="H1041" s="1" t="str">
        <f t="shared" si="97"/>
        <v>085</v>
      </c>
      <c r="I1041" s="1" t="str">
        <f t="shared" si="98"/>
        <v>12000-085</v>
      </c>
      <c r="J1041" s="1" t="str">
        <f t="shared" si="99"/>
        <v>Violin production item #085</v>
      </c>
      <c r="K1041" s="1" t="str">
        <f>IF(SUM(COUNTIFS(I:I, I1041)) &gt; 1, "DUPLICATE", "UNIQUE")</f>
        <v>UNIQUE</v>
      </c>
      <c r="L1041" s="18">
        <v>1</v>
      </c>
      <c r="M1041" s="28">
        <v>55</v>
      </c>
      <c r="N1041" s="6">
        <v>225</v>
      </c>
      <c r="O1041" s="30">
        <f t="shared" si="100"/>
        <v>55</v>
      </c>
      <c r="P1041" s="30">
        <f t="shared" si="101"/>
        <v>12375</v>
      </c>
      <c r="Q1041" s="1">
        <f>COUNTIFS($P:$P, "&gt;" &amp; $P1041) + 1</f>
        <v>1549</v>
      </c>
      <c r="R1041" s="63">
        <f>(COUNTIFS($P:$P, "&gt;" &amp; $P1041) + 1) / (COUNTA($I:$I) - 1)</f>
        <v>0.30980000000000002</v>
      </c>
      <c r="S1041" s="23">
        <f>SUMIFS($P:$P, $Q:$Q, "&lt;" &amp; $Q1041)</f>
        <v>175462616</v>
      </c>
    </row>
    <row r="1042" spans="1:19" x14ac:dyDescent="0.25">
      <c r="A1042" s="1">
        <v>1037</v>
      </c>
      <c r="B1042" s="1" t="s">
        <v>2</v>
      </c>
      <c r="C1042" s="1" t="str">
        <f>IF($B1042 = "Production Item", _xlfn.XLOOKUP($A1042, 'Instrument Table'!$J:$J, 'Instrument Table'!$B:$B, $C1041), IF($B1042 = "Service Item", _xlfn.XLOOKUP($A1042, 'Instrument Table'!$I:$I, 'Instrument Table'!$B:$B, $C1041), _xlfn.XLOOKUP($A1042, 'Instrument Table'!$H:$H, 'Instrument Table'!$B:$B, $C1041)))</f>
        <v>Violin</v>
      </c>
      <c r="D1042" s="1" t="str">
        <f>VLOOKUP($C1042, 'Instrument Table'!$B:$C, 2, FALSE)</f>
        <v>Strings</v>
      </c>
      <c r="E1042" s="1">
        <f t="shared" si="96"/>
        <v>1</v>
      </c>
      <c r="F1042" s="1">
        <f>_xlfn.XLOOKUP($C1042, 'Instrument Table'!$B:$B, 'Instrument Table'!$A:$A, "")</f>
        <v>20</v>
      </c>
      <c r="G1042" s="1" t="str">
        <f>TEXT(IF($B1042 = "Retail Item", IF((ROW($A1042) - 4504 - _xlfn.XMATCH($C1042, $C$4506:$C$5005, 0, 1)) &lt;= VLOOKUP($C1042, 'Instrument Table'!$B:$D, 3, FALSE), ROW($A1042) - 4504 - _xlfn.XMATCH($C1042, $C$4506:$C$5005, 0, 1), 0), 0), "00")</f>
        <v>00</v>
      </c>
      <c r="H1042" s="1" t="str">
        <f t="shared" si="97"/>
        <v>086</v>
      </c>
      <c r="I1042" s="1" t="str">
        <f t="shared" si="98"/>
        <v>12000-086</v>
      </c>
      <c r="J1042" s="1" t="str">
        <f t="shared" si="99"/>
        <v>Violin production item #086</v>
      </c>
      <c r="K1042" s="1" t="str">
        <f>IF(SUM(COUNTIFS(I:I, I1042)) &gt; 1, "DUPLICATE", "UNIQUE")</f>
        <v>UNIQUE</v>
      </c>
      <c r="L1042" s="18">
        <v>0</v>
      </c>
      <c r="M1042" s="28">
        <v>56</v>
      </c>
      <c r="N1042" s="6">
        <v>256</v>
      </c>
      <c r="O1042" s="30">
        <f t="shared" si="100"/>
        <v>0</v>
      </c>
      <c r="P1042" s="30">
        <f t="shared" si="101"/>
        <v>14336</v>
      </c>
      <c r="Q1042" s="1">
        <f>COUNTIFS($P:$P, "&gt;" &amp; $P1042) + 1</f>
        <v>1399</v>
      </c>
      <c r="R1042" s="63">
        <f>(COUNTIFS($P:$P, "&gt;" &amp; $P1042) + 1) / (COUNTA($I:$I) - 1)</f>
        <v>0.27979999999999999</v>
      </c>
      <c r="S1042" s="23">
        <f>SUMIFS($P:$P, $Q:$Q, "&lt;" &amp; $Q1042)</f>
        <v>173461453</v>
      </c>
    </row>
    <row r="1043" spans="1:19" x14ac:dyDescent="0.25">
      <c r="A1043" s="1">
        <v>1038</v>
      </c>
      <c r="B1043" s="1" t="s">
        <v>2</v>
      </c>
      <c r="C1043" s="1" t="str">
        <f>IF($B1043 = "Production Item", _xlfn.XLOOKUP($A1043, 'Instrument Table'!$J:$J, 'Instrument Table'!$B:$B, $C1042), IF($B1043 = "Service Item", _xlfn.XLOOKUP($A1043, 'Instrument Table'!$I:$I, 'Instrument Table'!$B:$B, $C1042), _xlfn.XLOOKUP($A1043, 'Instrument Table'!$H:$H, 'Instrument Table'!$B:$B, $C1042)))</f>
        <v>Violin</v>
      </c>
      <c r="D1043" s="1" t="str">
        <f>VLOOKUP($C1043, 'Instrument Table'!$B:$C, 2, FALSE)</f>
        <v>Strings</v>
      </c>
      <c r="E1043" s="1">
        <f t="shared" si="96"/>
        <v>1</v>
      </c>
      <c r="F1043" s="1">
        <f>_xlfn.XLOOKUP($C1043, 'Instrument Table'!$B:$B, 'Instrument Table'!$A:$A, "")</f>
        <v>20</v>
      </c>
      <c r="G1043" s="1" t="str">
        <f>TEXT(IF($B1043 = "Retail Item", IF((ROW($A1043) - 4504 - _xlfn.XMATCH($C1043, $C$4506:$C$5005, 0, 1)) &lt;= VLOOKUP($C1043, 'Instrument Table'!$B:$D, 3, FALSE), ROW($A1043) - 4504 - _xlfn.XMATCH($C1043, $C$4506:$C$5005, 0, 1), 0), 0), "00")</f>
        <v>00</v>
      </c>
      <c r="H1043" s="1" t="str">
        <f t="shared" si="97"/>
        <v>087</v>
      </c>
      <c r="I1043" s="1" t="str">
        <f t="shared" si="98"/>
        <v>12000-087</v>
      </c>
      <c r="J1043" s="1" t="str">
        <f t="shared" si="99"/>
        <v>Violin production item #087</v>
      </c>
      <c r="K1043" s="1" t="str">
        <f>IF(SUM(COUNTIFS(I:I, I1043)) &gt; 1, "DUPLICATE", "UNIQUE")</f>
        <v>UNIQUE</v>
      </c>
      <c r="L1043" s="18">
        <v>16</v>
      </c>
      <c r="M1043" s="28">
        <v>15</v>
      </c>
      <c r="N1043" s="6">
        <v>121</v>
      </c>
      <c r="O1043" s="30">
        <f t="shared" si="100"/>
        <v>240</v>
      </c>
      <c r="P1043" s="30">
        <f t="shared" si="101"/>
        <v>1815</v>
      </c>
      <c r="Q1043" s="1">
        <f>COUNTIFS($P:$P, "&gt;" &amp; $P1043) + 1</f>
        <v>3321</v>
      </c>
      <c r="R1043" s="63">
        <f>(COUNTIFS($P:$P, "&gt;" &amp; $P1043) + 1) / (COUNTA($I:$I) - 1)</f>
        <v>0.66420000000000001</v>
      </c>
      <c r="S1043" s="23">
        <f>SUMIFS($P:$P, $Q:$Q, "&lt;" &amp; $Q1043)</f>
        <v>185648257</v>
      </c>
    </row>
    <row r="1044" spans="1:19" x14ac:dyDescent="0.25">
      <c r="A1044" s="1">
        <v>1039</v>
      </c>
      <c r="B1044" s="1" t="s">
        <v>2</v>
      </c>
      <c r="C1044" s="1" t="str">
        <f>IF($B1044 = "Production Item", _xlfn.XLOOKUP($A1044, 'Instrument Table'!$J:$J, 'Instrument Table'!$B:$B, $C1043), IF($B1044 = "Service Item", _xlfn.XLOOKUP($A1044, 'Instrument Table'!$I:$I, 'Instrument Table'!$B:$B, $C1043), _xlfn.XLOOKUP($A1044, 'Instrument Table'!$H:$H, 'Instrument Table'!$B:$B, $C1043)))</f>
        <v>Violin</v>
      </c>
      <c r="D1044" s="1" t="str">
        <f>VLOOKUP($C1044, 'Instrument Table'!$B:$C, 2, FALSE)</f>
        <v>Strings</v>
      </c>
      <c r="E1044" s="1">
        <f t="shared" si="96"/>
        <v>1</v>
      </c>
      <c r="F1044" s="1">
        <f>_xlfn.XLOOKUP($C1044, 'Instrument Table'!$B:$B, 'Instrument Table'!$A:$A, "")</f>
        <v>20</v>
      </c>
      <c r="G1044" s="1" t="str">
        <f>TEXT(IF($B1044 = "Retail Item", IF((ROW($A1044) - 4504 - _xlfn.XMATCH($C1044, $C$4506:$C$5005, 0, 1)) &lt;= VLOOKUP($C1044, 'Instrument Table'!$B:$D, 3, FALSE), ROW($A1044) - 4504 - _xlfn.XMATCH($C1044, $C$4506:$C$5005, 0, 1), 0), 0), "00")</f>
        <v>00</v>
      </c>
      <c r="H1044" s="1" t="str">
        <f t="shared" si="97"/>
        <v>088</v>
      </c>
      <c r="I1044" s="1" t="str">
        <f t="shared" si="98"/>
        <v>12000-088</v>
      </c>
      <c r="J1044" s="1" t="str">
        <f t="shared" si="99"/>
        <v>Violin production item #088</v>
      </c>
      <c r="K1044" s="1" t="str">
        <f>IF(SUM(COUNTIFS(I:I, I1044)) &gt; 1, "DUPLICATE", "UNIQUE")</f>
        <v>UNIQUE</v>
      </c>
      <c r="L1044" s="18">
        <v>0</v>
      </c>
      <c r="M1044" s="28">
        <v>78</v>
      </c>
      <c r="N1044" s="6">
        <v>9</v>
      </c>
      <c r="O1044" s="30">
        <f t="shared" si="100"/>
        <v>0</v>
      </c>
      <c r="P1044" s="30">
        <f t="shared" si="101"/>
        <v>702</v>
      </c>
      <c r="Q1044" s="1">
        <f>COUNTIFS($P:$P, "&gt;" &amp; $P1044) + 1</f>
        <v>3880</v>
      </c>
      <c r="R1044" s="63">
        <f>(COUNTIFS($P:$P, "&gt;" &amp; $P1044) + 1) / (COUNTA($I:$I) - 1)</f>
        <v>0.77600000000000002</v>
      </c>
      <c r="S1044" s="23">
        <f>SUMIFS($P:$P, $Q:$Q, "&lt;" &amp; $Q1044)</f>
        <v>186325089</v>
      </c>
    </row>
    <row r="1045" spans="1:19" x14ac:dyDescent="0.25">
      <c r="A1045" s="1">
        <v>1040</v>
      </c>
      <c r="B1045" s="1" t="s">
        <v>2</v>
      </c>
      <c r="C1045" s="1" t="str">
        <f>IF($B1045 = "Production Item", _xlfn.XLOOKUP($A1045, 'Instrument Table'!$J:$J, 'Instrument Table'!$B:$B, $C1044), IF($B1045 = "Service Item", _xlfn.XLOOKUP($A1045, 'Instrument Table'!$I:$I, 'Instrument Table'!$B:$B, $C1044), _xlfn.XLOOKUP($A1045, 'Instrument Table'!$H:$H, 'Instrument Table'!$B:$B, $C1044)))</f>
        <v>Violin</v>
      </c>
      <c r="D1045" s="1" t="str">
        <f>VLOOKUP($C1045, 'Instrument Table'!$B:$C, 2, FALSE)</f>
        <v>Strings</v>
      </c>
      <c r="E1045" s="1">
        <f t="shared" si="96"/>
        <v>1</v>
      </c>
      <c r="F1045" s="1">
        <f>_xlfn.XLOOKUP($C1045, 'Instrument Table'!$B:$B, 'Instrument Table'!$A:$A, "")</f>
        <v>20</v>
      </c>
      <c r="G1045" s="1" t="str">
        <f>TEXT(IF($B1045 = "Retail Item", IF((ROW($A1045) - 4504 - _xlfn.XMATCH($C1045, $C$4506:$C$5005, 0, 1)) &lt;= VLOOKUP($C1045, 'Instrument Table'!$B:$D, 3, FALSE), ROW($A1045) - 4504 - _xlfn.XMATCH($C1045, $C$4506:$C$5005, 0, 1), 0), 0), "00")</f>
        <v>00</v>
      </c>
      <c r="H1045" s="1" t="str">
        <f t="shared" si="97"/>
        <v>089</v>
      </c>
      <c r="I1045" s="1" t="str">
        <f t="shared" si="98"/>
        <v>12000-089</v>
      </c>
      <c r="J1045" s="1" t="str">
        <f t="shared" si="99"/>
        <v>Violin production item #089</v>
      </c>
      <c r="K1045" s="1" t="str">
        <f>IF(SUM(COUNTIFS(I:I, I1045)) &gt; 1, "DUPLICATE", "UNIQUE")</f>
        <v>UNIQUE</v>
      </c>
      <c r="L1045" s="18">
        <v>4</v>
      </c>
      <c r="M1045" s="28">
        <v>67</v>
      </c>
      <c r="N1045" s="6">
        <v>121</v>
      </c>
      <c r="O1045" s="30">
        <f t="shared" si="100"/>
        <v>268</v>
      </c>
      <c r="P1045" s="30">
        <f t="shared" si="101"/>
        <v>8107</v>
      </c>
      <c r="Q1045" s="1">
        <f>COUNTIFS($P:$P, "&gt;" &amp; $P1045) + 1</f>
        <v>1971</v>
      </c>
      <c r="R1045" s="63">
        <f>(COUNTIFS($P:$P, "&gt;" &amp; $P1045) + 1) / (COUNTA($I:$I) - 1)</f>
        <v>0.39419999999999999</v>
      </c>
      <c r="S1045" s="23">
        <f>SUMIFS($P:$P, $Q:$Q, "&lt;" &amp; $Q1045)</f>
        <v>179763781</v>
      </c>
    </row>
    <row r="1046" spans="1:19" x14ac:dyDescent="0.25">
      <c r="A1046" s="1">
        <v>1041</v>
      </c>
      <c r="B1046" s="1" t="s">
        <v>2</v>
      </c>
      <c r="C1046" s="1" t="str">
        <f>IF($B1046 = "Production Item", _xlfn.XLOOKUP($A1046, 'Instrument Table'!$J:$J, 'Instrument Table'!$B:$B, $C1045), IF($B1046 = "Service Item", _xlfn.XLOOKUP($A1046, 'Instrument Table'!$I:$I, 'Instrument Table'!$B:$B, $C1045), _xlfn.XLOOKUP($A1046, 'Instrument Table'!$H:$H, 'Instrument Table'!$B:$B, $C1045)))</f>
        <v>Violin</v>
      </c>
      <c r="D1046" s="1" t="str">
        <f>VLOOKUP($C1046, 'Instrument Table'!$B:$C, 2, FALSE)</f>
        <v>Strings</v>
      </c>
      <c r="E1046" s="1">
        <f t="shared" si="96"/>
        <v>1</v>
      </c>
      <c r="F1046" s="1">
        <f>_xlfn.XLOOKUP($C1046, 'Instrument Table'!$B:$B, 'Instrument Table'!$A:$A, "")</f>
        <v>20</v>
      </c>
      <c r="G1046" s="1" t="str">
        <f>TEXT(IF($B1046 = "Retail Item", IF((ROW($A1046) - 4504 - _xlfn.XMATCH($C1046, $C$4506:$C$5005, 0, 1)) &lt;= VLOOKUP($C1046, 'Instrument Table'!$B:$D, 3, FALSE), ROW($A1046) - 4504 - _xlfn.XMATCH($C1046, $C$4506:$C$5005, 0, 1), 0), 0), "00")</f>
        <v>00</v>
      </c>
      <c r="H1046" s="1" t="str">
        <f t="shared" si="97"/>
        <v>090</v>
      </c>
      <c r="I1046" s="1" t="str">
        <f t="shared" si="98"/>
        <v>12000-090</v>
      </c>
      <c r="J1046" s="1" t="str">
        <f t="shared" si="99"/>
        <v>Violin production item #090</v>
      </c>
      <c r="K1046" s="1" t="str">
        <f>IF(SUM(COUNTIFS(I:I, I1046)) &gt; 1, "DUPLICATE", "UNIQUE")</f>
        <v>UNIQUE</v>
      </c>
      <c r="L1046" s="18">
        <v>8</v>
      </c>
      <c r="M1046" s="28">
        <v>65</v>
      </c>
      <c r="N1046" s="6">
        <v>100</v>
      </c>
      <c r="O1046" s="30">
        <f t="shared" si="100"/>
        <v>520</v>
      </c>
      <c r="P1046" s="30">
        <f t="shared" si="101"/>
        <v>6500</v>
      </c>
      <c r="Q1046" s="1">
        <f>COUNTIFS($P:$P, "&gt;" &amp; $P1046) + 1</f>
        <v>2204</v>
      </c>
      <c r="R1046" s="63">
        <f>(COUNTIFS($P:$P, "&gt;" &amp; $P1046) + 1) / (COUNTA($I:$I) - 1)</f>
        <v>0.44080000000000003</v>
      </c>
      <c r="S1046" s="23">
        <f>SUMIFS($P:$P, $Q:$Q, "&lt;" &amp; $Q1046)</f>
        <v>181477594</v>
      </c>
    </row>
    <row r="1047" spans="1:19" x14ac:dyDescent="0.25">
      <c r="A1047" s="1">
        <v>1042</v>
      </c>
      <c r="B1047" s="1" t="s">
        <v>2</v>
      </c>
      <c r="C1047" s="1" t="str">
        <f>IF($B1047 = "Production Item", _xlfn.XLOOKUP($A1047, 'Instrument Table'!$J:$J, 'Instrument Table'!$B:$B, $C1046), IF($B1047 = "Service Item", _xlfn.XLOOKUP($A1047, 'Instrument Table'!$I:$I, 'Instrument Table'!$B:$B, $C1046), _xlfn.XLOOKUP($A1047, 'Instrument Table'!$H:$H, 'Instrument Table'!$B:$B, $C1046)))</f>
        <v>Violin</v>
      </c>
      <c r="D1047" s="1" t="str">
        <f>VLOOKUP($C1047, 'Instrument Table'!$B:$C, 2, FALSE)</f>
        <v>Strings</v>
      </c>
      <c r="E1047" s="1">
        <f t="shared" si="96"/>
        <v>1</v>
      </c>
      <c r="F1047" s="1">
        <f>_xlfn.XLOOKUP($C1047, 'Instrument Table'!$B:$B, 'Instrument Table'!$A:$A, "")</f>
        <v>20</v>
      </c>
      <c r="G1047" s="1" t="str">
        <f>TEXT(IF($B1047 = "Retail Item", IF((ROW($A1047) - 4504 - _xlfn.XMATCH($C1047, $C$4506:$C$5005, 0, 1)) &lt;= VLOOKUP($C1047, 'Instrument Table'!$B:$D, 3, FALSE), ROW($A1047) - 4504 - _xlfn.XMATCH($C1047, $C$4506:$C$5005, 0, 1), 0), 0), "00")</f>
        <v>00</v>
      </c>
      <c r="H1047" s="1" t="str">
        <f t="shared" si="97"/>
        <v>091</v>
      </c>
      <c r="I1047" s="1" t="str">
        <f t="shared" si="98"/>
        <v>12000-091</v>
      </c>
      <c r="J1047" s="1" t="str">
        <f t="shared" si="99"/>
        <v>Violin production item #091</v>
      </c>
      <c r="K1047" s="1" t="str">
        <f>IF(SUM(COUNTIFS(I:I, I1047)) &gt; 1, "DUPLICATE", "UNIQUE")</f>
        <v>UNIQUE</v>
      </c>
      <c r="L1047" s="18">
        <v>8</v>
      </c>
      <c r="M1047" s="28">
        <v>24</v>
      </c>
      <c r="N1047" s="6">
        <v>100</v>
      </c>
      <c r="O1047" s="30">
        <f t="shared" si="100"/>
        <v>192</v>
      </c>
      <c r="P1047" s="30">
        <f t="shared" si="101"/>
        <v>2400</v>
      </c>
      <c r="Q1047" s="1">
        <f>COUNTIFS($P:$P, "&gt;" &amp; $P1047) + 1</f>
        <v>3090</v>
      </c>
      <c r="R1047" s="63">
        <f>(COUNTIFS($P:$P, "&gt;" &amp; $P1047) + 1) / (COUNTA($I:$I) - 1)</f>
        <v>0.61799999999999999</v>
      </c>
      <c r="S1047" s="23">
        <f>SUMIFS($P:$P, $Q:$Q, "&lt;" &amp; $Q1047)</f>
        <v>185158622</v>
      </c>
    </row>
    <row r="1048" spans="1:19" x14ac:dyDescent="0.25">
      <c r="A1048" s="1">
        <v>1043</v>
      </c>
      <c r="B1048" s="1" t="s">
        <v>2</v>
      </c>
      <c r="C1048" s="1" t="str">
        <f>IF($B1048 = "Production Item", _xlfn.XLOOKUP($A1048, 'Instrument Table'!$J:$J, 'Instrument Table'!$B:$B, $C1047), IF($B1048 = "Service Item", _xlfn.XLOOKUP($A1048, 'Instrument Table'!$I:$I, 'Instrument Table'!$B:$B, $C1047), _xlfn.XLOOKUP($A1048, 'Instrument Table'!$H:$H, 'Instrument Table'!$B:$B, $C1047)))</f>
        <v>Violin</v>
      </c>
      <c r="D1048" s="1" t="str">
        <f>VLOOKUP($C1048, 'Instrument Table'!$B:$C, 2, FALSE)</f>
        <v>Strings</v>
      </c>
      <c r="E1048" s="1">
        <f t="shared" si="96"/>
        <v>1</v>
      </c>
      <c r="F1048" s="1">
        <f>_xlfn.XLOOKUP($C1048, 'Instrument Table'!$B:$B, 'Instrument Table'!$A:$A, "")</f>
        <v>20</v>
      </c>
      <c r="G1048" s="1" t="str">
        <f>TEXT(IF($B1048 = "Retail Item", IF((ROW($A1048) - 4504 - _xlfn.XMATCH($C1048, $C$4506:$C$5005, 0, 1)) &lt;= VLOOKUP($C1048, 'Instrument Table'!$B:$D, 3, FALSE), ROW($A1048) - 4504 - _xlfn.XMATCH($C1048, $C$4506:$C$5005, 0, 1), 0), 0), "00")</f>
        <v>00</v>
      </c>
      <c r="H1048" s="1" t="str">
        <f t="shared" si="97"/>
        <v>092</v>
      </c>
      <c r="I1048" s="1" t="str">
        <f t="shared" si="98"/>
        <v>12000-092</v>
      </c>
      <c r="J1048" s="1" t="str">
        <f t="shared" si="99"/>
        <v>Violin production item #092</v>
      </c>
      <c r="K1048" s="1" t="str">
        <f>IF(SUM(COUNTIFS(I:I, I1048)) &gt; 1, "DUPLICATE", "UNIQUE")</f>
        <v>UNIQUE</v>
      </c>
      <c r="L1048" s="18">
        <v>1</v>
      </c>
      <c r="M1048" s="28">
        <v>27</v>
      </c>
      <c r="N1048" s="6">
        <v>0</v>
      </c>
      <c r="O1048" s="30">
        <f t="shared" si="100"/>
        <v>27</v>
      </c>
      <c r="P1048" s="30">
        <f t="shared" si="101"/>
        <v>0</v>
      </c>
      <c r="Q1048" s="1">
        <f>COUNTIFS($P:$P, "&gt;" &amp; $P1048) + 1</f>
        <v>4746</v>
      </c>
      <c r="R1048" s="63">
        <f>(COUNTIFS($P:$P, "&gt;" &amp; $P1048) + 1) / (COUNTA($I:$I) - 1)</f>
        <v>0.94920000000000004</v>
      </c>
      <c r="S1048" s="23">
        <f>SUMIFS($P:$P, $Q:$Q, "&lt;" &amp; $Q1048)</f>
        <v>186547861</v>
      </c>
    </row>
    <row r="1049" spans="1:19" x14ac:dyDescent="0.25">
      <c r="A1049" s="1">
        <v>1044</v>
      </c>
      <c r="B1049" s="1" t="s">
        <v>2</v>
      </c>
      <c r="C1049" s="1" t="str">
        <f>IF($B1049 = "Production Item", _xlfn.XLOOKUP($A1049, 'Instrument Table'!$J:$J, 'Instrument Table'!$B:$B, $C1048), IF($B1049 = "Service Item", _xlfn.XLOOKUP($A1049, 'Instrument Table'!$I:$I, 'Instrument Table'!$B:$B, $C1048), _xlfn.XLOOKUP($A1049, 'Instrument Table'!$H:$H, 'Instrument Table'!$B:$B, $C1048)))</f>
        <v>Violin</v>
      </c>
      <c r="D1049" s="1" t="str">
        <f>VLOOKUP($C1049, 'Instrument Table'!$B:$C, 2, FALSE)</f>
        <v>Strings</v>
      </c>
      <c r="E1049" s="1">
        <f t="shared" si="96"/>
        <v>1</v>
      </c>
      <c r="F1049" s="1">
        <f>_xlfn.XLOOKUP($C1049, 'Instrument Table'!$B:$B, 'Instrument Table'!$A:$A, "")</f>
        <v>20</v>
      </c>
      <c r="G1049" s="1" t="str">
        <f>TEXT(IF($B1049 = "Retail Item", IF((ROW($A1049) - 4504 - _xlfn.XMATCH($C1049, $C$4506:$C$5005, 0, 1)) &lt;= VLOOKUP($C1049, 'Instrument Table'!$B:$D, 3, FALSE), ROW($A1049) - 4504 - _xlfn.XMATCH($C1049, $C$4506:$C$5005, 0, 1), 0), 0), "00")</f>
        <v>00</v>
      </c>
      <c r="H1049" s="1" t="str">
        <f t="shared" si="97"/>
        <v>093</v>
      </c>
      <c r="I1049" s="1" t="str">
        <f t="shared" si="98"/>
        <v>12000-093</v>
      </c>
      <c r="J1049" s="1" t="str">
        <f t="shared" si="99"/>
        <v>Violin production item #093</v>
      </c>
      <c r="K1049" s="1" t="str">
        <f>IF(SUM(COUNTIFS(I:I, I1049)) &gt; 1, "DUPLICATE", "UNIQUE")</f>
        <v>UNIQUE</v>
      </c>
      <c r="L1049" s="18">
        <v>32</v>
      </c>
      <c r="M1049" s="28">
        <v>11</v>
      </c>
      <c r="N1049" s="6">
        <v>196</v>
      </c>
      <c r="O1049" s="30">
        <f t="shared" si="100"/>
        <v>352</v>
      </c>
      <c r="P1049" s="30">
        <f t="shared" si="101"/>
        <v>2156</v>
      </c>
      <c r="Q1049" s="1">
        <f>COUNTIFS($P:$P, "&gt;" &amp; $P1049) + 1</f>
        <v>3184</v>
      </c>
      <c r="R1049" s="63">
        <f>(COUNTIFS($P:$P, "&gt;" &amp; $P1049) + 1) / (COUNTA($I:$I) - 1)</f>
        <v>0.63680000000000003</v>
      </c>
      <c r="S1049" s="23">
        <f>SUMIFS($P:$P, $Q:$Q, "&lt;" &amp; $Q1049)</f>
        <v>185373532</v>
      </c>
    </row>
    <row r="1050" spans="1:19" x14ac:dyDescent="0.25">
      <c r="A1050" s="1">
        <v>1045</v>
      </c>
      <c r="B1050" s="1" t="s">
        <v>2</v>
      </c>
      <c r="C1050" s="1" t="str">
        <f>IF($B1050 = "Production Item", _xlfn.XLOOKUP($A1050, 'Instrument Table'!$J:$J, 'Instrument Table'!$B:$B, $C1049), IF($B1050 = "Service Item", _xlfn.XLOOKUP($A1050, 'Instrument Table'!$I:$I, 'Instrument Table'!$B:$B, $C1049), _xlfn.XLOOKUP($A1050, 'Instrument Table'!$H:$H, 'Instrument Table'!$B:$B, $C1049)))</f>
        <v>Violin</v>
      </c>
      <c r="D1050" s="1" t="str">
        <f>VLOOKUP($C1050, 'Instrument Table'!$B:$C, 2, FALSE)</f>
        <v>Strings</v>
      </c>
      <c r="E1050" s="1">
        <f t="shared" si="96"/>
        <v>1</v>
      </c>
      <c r="F1050" s="1">
        <f>_xlfn.XLOOKUP($C1050, 'Instrument Table'!$B:$B, 'Instrument Table'!$A:$A, "")</f>
        <v>20</v>
      </c>
      <c r="G1050" s="1" t="str">
        <f>TEXT(IF($B1050 = "Retail Item", IF((ROW($A1050) - 4504 - _xlfn.XMATCH($C1050, $C$4506:$C$5005, 0, 1)) &lt;= VLOOKUP($C1050, 'Instrument Table'!$B:$D, 3, FALSE), ROW($A1050) - 4504 - _xlfn.XMATCH($C1050, $C$4506:$C$5005, 0, 1), 0), 0), "00")</f>
        <v>00</v>
      </c>
      <c r="H1050" s="1" t="str">
        <f t="shared" si="97"/>
        <v>094</v>
      </c>
      <c r="I1050" s="1" t="str">
        <f t="shared" si="98"/>
        <v>12000-094</v>
      </c>
      <c r="J1050" s="1" t="str">
        <f t="shared" si="99"/>
        <v>Violin production item #094</v>
      </c>
      <c r="K1050" s="1" t="str">
        <f>IF(SUM(COUNTIFS(I:I, I1050)) &gt; 1, "DUPLICATE", "UNIQUE")</f>
        <v>UNIQUE</v>
      </c>
      <c r="L1050" s="18">
        <v>1</v>
      </c>
      <c r="M1050" s="28">
        <v>59</v>
      </c>
      <c r="N1050" s="6">
        <v>36</v>
      </c>
      <c r="O1050" s="30">
        <f t="shared" si="100"/>
        <v>59</v>
      </c>
      <c r="P1050" s="30">
        <f t="shared" si="101"/>
        <v>2124</v>
      </c>
      <c r="Q1050" s="1">
        <f>COUNTIFS($P:$P, "&gt;" &amp; $P1050) + 1</f>
        <v>3194</v>
      </c>
      <c r="R1050" s="63">
        <f>(COUNTIFS($P:$P, "&gt;" &amp; $P1050) + 1) / (COUNTA($I:$I) - 1)</f>
        <v>0.63880000000000003</v>
      </c>
      <c r="S1050" s="23">
        <f>SUMIFS($P:$P, $Q:$Q, "&lt;" &amp; $Q1050)</f>
        <v>185394931</v>
      </c>
    </row>
    <row r="1051" spans="1:19" x14ac:dyDescent="0.25">
      <c r="A1051" s="1">
        <v>1046</v>
      </c>
      <c r="B1051" s="1" t="s">
        <v>2</v>
      </c>
      <c r="C1051" s="1" t="str">
        <f>IF($B1051 = "Production Item", _xlfn.XLOOKUP($A1051, 'Instrument Table'!$J:$J, 'Instrument Table'!$B:$B, $C1050), IF($B1051 = "Service Item", _xlfn.XLOOKUP($A1051, 'Instrument Table'!$I:$I, 'Instrument Table'!$B:$B, $C1050), _xlfn.XLOOKUP($A1051, 'Instrument Table'!$H:$H, 'Instrument Table'!$B:$B, $C1050)))</f>
        <v>Violin</v>
      </c>
      <c r="D1051" s="1" t="str">
        <f>VLOOKUP($C1051, 'Instrument Table'!$B:$C, 2, FALSE)</f>
        <v>Strings</v>
      </c>
      <c r="E1051" s="1">
        <f t="shared" si="96"/>
        <v>1</v>
      </c>
      <c r="F1051" s="1">
        <f>_xlfn.XLOOKUP($C1051, 'Instrument Table'!$B:$B, 'Instrument Table'!$A:$A, "")</f>
        <v>20</v>
      </c>
      <c r="G1051" s="1" t="str">
        <f>TEXT(IF($B1051 = "Retail Item", IF((ROW($A1051) - 4504 - _xlfn.XMATCH($C1051, $C$4506:$C$5005, 0, 1)) &lt;= VLOOKUP($C1051, 'Instrument Table'!$B:$D, 3, FALSE), ROW($A1051) - 4504 - _xlfn.XMATCH($C1051, $C$4506:$C$5005, 0, 1), 0), 0), "00")</f>
        <v>00</v>
      </c>
      <c r="H1051" s="1" t="str">
        <f t="shared" si="97"/>
        <v>095</v>
      </c>
      <c r="I1051" s="1" t="str">
        <f t="shared" si="98"/>
        <v>12000-095</v>
      </c>
      <c r="J1051" s="1" t="str">
        <f t="shared" si="99"/>
        <v>Violin production item #095</v>
      </c>
      <c r="K1051" s="1" t="str">
        <f>IF(SUM(COUNTIFS(I:I, I1051)) &gt; 1, "DUPLICATE", "UNIQUE")</f>
        <v>UNIQUE</v>
      </c>
      <c r="L1051" s="18">
        <v>8</v>
      </c>
      <c r="M1051" s="28">
        <v>63</v>
      </c>
      <c r="N1051" s="6">
        <v>1</v>
      </c>
      <c r="O1051" s="30">
        <f t="shared" si="100"/>
        <v>504</v>
      </c>
      <c r="P1051" s="30">
        <f t="shared" si="101"/>
        <v>63</v>
      </c>
      <c r="Q1051" s="1">
        <f>COUNTIFS($P:$P, "&gt;" &amp; $P1051) + 1</f>
        <v>4568</v>
      </c>
      <c r="R1051" s="63">
        <f>(COUNTIFS($P:$P, "&gt;" &amp; $P1051) + 1) / (COUNTA($I:$I) - 1)</f>
        <v>0.91359999999999997</v>
      </c>
      <c r="S1051" s="23">
        <f>SUMIFS($P:$P, $Q:$Q, "&lt;" &amp; $Q1051)</f>
        <v>186541810</v>
      </c>
    </row>
    <row r="1052" spans="1:19" x14ac:dyDescent="0.25">
      <c r="A1052" s="1">
        <v>1047</v>
      </c>
      <c r="B1052" s="1" t="s">
        <v>2</v>
      </c>
      <c r="C1052" s="1" t="str">
        <f>IF($B1052 = "Production Item", _xlfn.XLOOKUP($A1052, 'Instrument Table'!$J:$J, 'Instrument Table'!$B:$B, $C1051), IF($B1052 = "Service Item", _xlfn.XLOOKUP($A1052, 'Instrument Table'!$I:$I, 'Instrument Table'!$B:$B, $C1051), _xlfn.XLOOKUP($A1052, 'Instrument Table'!$H:$H, 'Instrument Table'!$B:$B, $C1051)))</f>
        <v>Violin</v>
      </c>
      <c r="D1052" s="1" t="str">
        <f>VLOOKUP($C1052, 'Instrument Table'!$B:$C, 2, FALSE)</f>
        <v>Strings</v>
      </c>
      <c r="E1052" s="1">
        <f t="shared" si="96"/>
        <v>1</v>
      </c>
      <c r="F1052" s="1">
        <f>_xlfn.XLOOKUP($C1052, 'Instrument Table'!$B:$B, 'Instrument Table'!$A:$A, "")</f>
        <v>20</v>
      </c>
      <c r="G1052" s="1" t="str">
        <f>TEXT(IF($B1052 = "Retail Item", IF((ROW($A1052) - 4504 - _xlfn.XMATCH($C1052, $C$4506:$C$5005, 0, 1)) &lt;= VLOOKUP($C1052, 'Instrument Table'!$B:$D, 3, FALSE), ROW($A1052) - 4504 - _xlfn.XMATCH($C1052, $C$4506:$C$5005, 0, 1), 0), 0), "00")</f>
        <v>00</v>
      </c>
      <c r="H1052" s="1" t="str">
        <f t="shared" si="97"/>
        <v>096</v>
      </c>
      <c r="I1052" s="1" t="str">
        <f t="shared" si="98"/>
        <v>12000-096</v>
      </c>
      <c r="J1052" s="1" t="str">
        <f t="shared" si="99"/>
        <v>Violin production item #096</v>
      </c>
      <c r="K1052" s="1" t="str">
        <f>IF(SUM(COUNTIFS(I:I, I1052)) &gt; 1, "DUPLICATE", "UNIQUE")</f>
        <v>UNIQUE</v>
      </c>
      <c r="L1052" s="18">
        <v>0</v>
      </c>
      <c r="M1052" s="28">
        <v>83</v>
      </c>
      <c r="N1052" s="6">
        <v>400</v>
      </c>
      <c r="O1052" s="30">
        <f t="shared" si="100"/>
        <v>0</v>
      </c>
      <c r="P1052" s="30">
        <f t="shared" si="101"/>
        <v>33200</v>
      </c>
      <c r="Q1052" s="1">
        <f>COUNTIFS($P:$P, "&gt;" &amp; $P1052) + 1</f>
        <v>628</v>
      </c>
      <c r="R1052" s="63">
        <f>(COUNTIFS($P:$P, "&gt;" &amp; $P1052) + 1) / (COUNTA($I:$I) - 1)</f>
        <v>0.12559999999999999</v>
      </c>
      <c r="S1052" s="23">
        <f>SUMIFS($P:$P, $Q:$Q, "&lt;" &amp; $Q1052)</f>
        <v>156831389</v>
      </c>
    </row>
    <row r="1053" spans="1:19" x14ac:dyDescent="0.25">
      <c r="A1053" s="1">
        <v>1048</v>
      </c>
      <c r="B1053" s="1" t="s">
        <v>2</v>
      </c>
      <c r="C1053" s="1" t="str">
        <f>IF($B1053 = "Production Item", _xlfn.XLOOKUP($A1053, 'Instrument Table'!$J:$J, 'Instrument Table'!$B:$B, $C1052), IF($B1053 = "Service Item", _xlfn.XLOOKUP($A1053, 'Instrument Table'!$I:$I, 'Instrument Table'!$B:$B, $C1052), _xlfn.XLOOKUP($A1053, 'Instrument Table'!$H:$H, 'Instrument Table'!$B:$B, $C1052)))</f>
        <v>Violin</v>
      </c>
      <c r="D1053" s="1" t="str">
        <f>VLOOKUP($C1053, 'Instrument Table'!$B:$C, 2, FALSE)</f>
        <v>Strings</v>
      </c>
      <c r="E1053" s="1">
        <f t="shared" si="96"/>
        <v>1</v>
      </c>
      <c r="F1053" s="1">
        <f>_xlfn.XLOOKUP($C1053, 'Instrument Table'!$B:$B, 'Instrument Table'!$A:$A, "")</f>
        <v>20</v>
      </c>
      <c r="G1053" s="1" t="str">
        <f>TEXT(IF($B1053 = "Retail Item", IF((ROW($A1053) - 4504 - _xlfn.XMATCH($C1053, $C$4506:$C$5005, 0, 1)) &lt;= VLOOKUP($C1053, 'Instrument Table'!$B:$D, 3, FALSE), ROW($A1053) - 4504 - _xlfn.XMATCH($C1053, $C$4506:$C$5005, 0, 1), 0), 0), "00")</f>
        <v>00</v>
      </c>
      <c r="H1053" s="1" t="str">
        <f t="shared" si="97"/>
        <v>097</v>
      </c>
      <c r="I1053" s="1" t="str">
        <f t="shared" si="98"/>
        <v>12000-097</v>
      </c>
      <c r="J1053" s="1" t="str">
        <f t="shared" si="99"/>
        <v>Violin production item #097</v>
      </c>
      <c r="K1053" s="1" t="str">
        <f>IF(SUM(COUNTIFS(I:I, I1053)) &gt; 1, "DUPLICATE", "UNIQUE")</f>
        <v>UNIQUE</v>
      </c>
      <c r="L1053" s="18">
        <v>16</v>
      </c>
      <c r="M1053" s="28">
        <v>67</v>
      </c>
      <c r="N1053" s="6">
        <v>49</v>
      </c>
      <c r="O1053" s="30">
        <f t="shared" si="100"/>
        <v>1072</v>
      </c>
      <c r="P1053" s="30">
        <f t="shared" si="101"/>
        <v>3283</v>
      </c>
      <c r="Q1053" s="1">
        <f>COUNTIFS($P:$P, "&gt;" &amp; $P1053) + 1</f>
        <v>2834</v>
      </c>
      <c r="R1053" s="63">
        <f>(COUNTIFS($P:$P, "&gt;" &amp; $P1053) + 1) / (COUNTA($I:$I) - 1)</f>
        <v>0.56679999999999997</v>
      </c>
      <c r="S1053" s="23">
        <f>SUMIFS($P:$P, $Q:$Q, "&lt;" &amp; $Q1053)</f>
        <v>184439833</v>
      </c>
    </row>
    <row r="1054" spans="1:19" x14ac:dyDescent="0.25">
      <c r="A1054" s="1">
        <v>1049</v>
      </c>
      <c r="B1054" s="1" t="s">
        <v>2</v>
      </c>
      <c r="C1054" s="1" t="str">
        <f>IF($B1054 = "Production Item", _xlfn.XLOOKUP($A1054, 'Instrument Table'!$J:$J, 'Instrument Table'!$B:$B, $C1053), IF($B1054 = "Service Item", _xlfn.XLOOKUP($A1054, 'Instrument Table'!$I:$I, 'Instrument Table'!$B:$B, $C1053), _xlfn.XLOOKUP($A1054, 'Instrument Table'!$H:$H, 'Instrument Table'!$B:$B, $C1053)))</f>
        <v>Violin</v>
      </c>
      <c r="D1054" s="1" t="str">
        <f>VLOOKUP($C1054, 'Instrument Table'!$B:$C, 2, FALSE)</f>
        <v>Strings</v>
      </c>
      <c r="E1054" s="1">
        <f t="shared" si="96"/>
        <v>1</v>
      </c>
      <c r="F1054" s="1">
        <f>_xlfn.XLOOKUP($C1054, 'Instrument Table'!$B:$B, 'Instrument Table'!$A:$A, "")</f>
        <v>20</v>
      </c>
      <c r="G1054" s="1" t="str">
        <f>TEXT(IF($B1054 = "Retail Item", IF((ROW($A1054) - 4504 - _xlfn.XMATCH($C1054, $C$4506:$C$5005, 0, 1)) &lt;= VLOOKUP($C1054, 'Instrument Table'!$B:$D, 3, FALSE), ROW($A1054) - 4504 - _xlfn.XMATCH($C1054, $C$4506:$C$5005, 0, 1), 0), 0), "00")</f>
        <v>00</v>
      </c>
      <c r="H1054" s="1" t="str">
        <f t="shared" si="97"/>
        <v>098</v>
      </c>
      <c r="I1054" s="1" t="str">
        <f t="shared" si="98"/>
        <v>12000-098</v>
      </c>
      <c r="J1054" s="1" t="str">
        <f t="shared" si="99"/>
        <v>Violin production item #098</v>
      </c>
      <c r="K1054" s="1" t="str">
        <f>IF(SUM(COUNTIFS(I:I, I1054)) &gt; 1, "DUPLICATE", "UNIQUE")</f>
        <v>UNIQUE</v>
      </c>
      <c r="L1054" s="18">
        <v>1</v>
      </c>
      <c r="M1054" s="28">
        <v>74</v>
      </c>
      <c r="N1054" s="6">
        <v>361</v>
      </c>
      <c r="O1054" s="30">
        <f t="shared" si="100"/>
        <v>74</v>
      </c>
      <c r="P1054" s="30">
        <f t="shared" si="101"/>
        <v>26714</v>
      </c>
      <c r="Q1054" s="1">
        <f>COUNTIFS($P:$P, "&gt;" &amp; $P1054) + 1</f>
        <v>766</v>
      </c>
      <c r="R1054" s="63">
        <f>(COUNTIFS($P:$P, "&gt;" &amp; $P1054) + 1) / (COUNTA($I:$I) - 1)</f>
        <v>0.1532</v>
      </c>
      <c r="S1054" s="23">
        <f>SUMIFS($P:$P, $Q:$Q, "&lt;" &amp; $Q1054)</f>
        <v>160936432</v>
      </c>
    </row>
    <row r="1055" spans="1:19" x14ac:dyDescent="0.25">
      <c r="A1055" s="1">
        <v>1050</v>
      </c>
      <c r="B1055" s="1" t="s">
        <v>2</v>
      </c>
      <c r="C1055" s="1" t="str">
        <f>IF($B1055 = "Production Item", _xlfn.XLOOKUP($A1055, 'Instrument Table'!$J:$J, 'Instrument Table'!$B:$B, $C1054), IF($B1055 = "Service Item", _xlfn.XLOOKUP($A1055, 'Instrument Table'!$I:$I, 'Instrument Table'!$B:$B, $C1054), _xlfn.XLOOKUP($A1055, 'Instrument Table'!$H:$H, 'Instrument Table'!$B:$B, $C1054)))</f>
        <v>Violin</v>
      </c>
      <c r="D1055" s="1" t="str">
        <f>VLOOKUP($C1055, 'Instrument Table'!$B:$C, 2, FALSE)</f>
        <v>Strings</v>
      </c>
      <c r="E1055" s="1">
        <f t="shared" si="96"/>
        <v>1</v>
      </c>
      <c r="F1055" s="1">
        <f>_xlfn.XLOOKUP($C1055, 'Instrument Table'!$B:$B, 'Instrument Table'!$A:$A, "")</f>
        <v>20</v>
      </c>
      <c r="G1055" s="1" t="str">
        <f>TEXT(IF($B1055 = "Retail Item", IF((ROW($A1055) - 4504 - _xlfn.XMATCH($C1055, $C$4506:$C$5005, 0, 1)) &lt;= VLOOKUP($C1055, 'Instrument Table'!$B:$D, 3, FALSE), ROW($A1055) - 4504 - _xlfn.XMATCH($C1055, $C$4506:$C$5005, 0, 1), 0), 0), "00")</f>
        <v>00</v>
      </c>
      <c r="H1055" s="1" t="str">
        <f t="shared" si="97"/>
        <v>099</v>
      </c>
      <c r="I1055" s="1" t="str">
        <f t="shared" si="98"/>
        <v>12000-099</v>
      </c>
      <c r="J1055" s="1" t="str">
        <f t="shared" si="99"/>
        <v>Violin production item #099</v>
      </c>
      <c r="K1055" s="1" t="str">
        <f>IF(SUM(COUNTIFS(I:I, I1055)) &gt; 1, "DUPLICATE", "UNIQUE")</f>
        <v>UNIQUE</v>
      </c>
      <c r="L1055" s="18">
        <v>0</v>
      </c>
      <c r="M1055" s="28">
        <v>51</v>
      </c>
      <c r="N1055" s="6">
        <v>100</v>
      </c>
      <c r="O1055" s="30">
        <f t="shared" si="100"/>
        <v>0</v>
      </c>
      <c r="P1055" s="30">
        <f t="shared" si="101"/>
        <v>5100</v>
      </c>
      <c r="Q1055" s="1">
        <f>COUNTIFS($P:$P, "&gt;" &amp; $P1055) + 1</f>
        <v>2427</v>
      </c>
      <c r="R1055" s="63">
        <f>(COUNTIFS($P:$P, "&gt;" &amp; $P1055) + 1) / (COUNTA($I:$I) - 1)</f>
        <v>0.4854</v>
      </c>
      <c r="S1055" s="23">
        <f>SUMIFS($P:$P, $Q:$Q, "&lt;" &amp; $Q1055)</f>
        <v>182756237</v>
      </c>
    </row>
    <row r="1056" spans="1:19" x14ac:dyDescent="0.25">
      <c r="A1056" s="1">
        <v>1051</v>
      </c>
      <c r="B1056" s="1" t="s">
        <v>2</v>
      </c>
      <c r="C1056" s="1" t="str">
        <f>IF($B1056 = "Production Item", _xlfn.XLOOKUP($A1056, 'Instrument Table'!$J:$J, 'Instrument Table'!$B:$B, $C1055), IF($B1056 = "Service Item", _xlfn.XLOOKUP($A1056, 'Instrument Table'!$I:$I, 'Instrument Table'!$B:$B, $C1055), _xlfn.XLOOKUP($A1056, 'Instrument Table'!$H:$H, 'Instrument Table'!$B:$B, $C1055)))</f>
        <v>Violin</v>
      </c>
      <c r="D1056" s="1" t="str">
        <f>VLOOKUP($C1056, 'Instrument Table'!$B:$C, 2, FALSE)</f>
        <v>Strings</v>
      </c>
      <c r="E1056" s="1">
        <f t="shared" si="96"/>
        <v>1</v>
      </c>
      <c r="F1056" s="1">
        <f>_xlfn.XLOOKUP($C1056, 'Instrument Table'!$B:$B, 'Instrument Table'!$A:$A, "")</f>
        <v>20</v>
      </c>
      <c r="G1056" s="1" t="str">
        <f>TEXT(IF($B1056 = "Retail Item", IF((ROW($A1056) - 4504 - _xlfn.XMATCH($C1056, $C$4506:$C$5005, 0, 1)) &lt;= VLOOKUP($C1056, 'Instrument Table'!$B:$D, 3, FALSE), ROW($A1056) - 4504 - _xlfn.XMATCH($C1056, $C$4506:$C$5005, 0, 1), 0), 0), "00")</f>
        <v>00</v>
      </c>
      <c r="H1056" s="1" t="str">
        <f t="shared" si="97"/>
        <v>100</v>
      </c>
      <c r="I1056" s="1" t="str">
        <f t="shared" si="98"/>
        <v>12000-100</v>
      </c>
      <c r="J1056" s="1" t="str">
        <f t="shared" si="99"/>
        <v>Violin production item #100</v>
      </c>
      <c r="K1056" s="1" t="str">
        <f>IF(SUM(COUNTIFS(I:I, I1056)) &gt; 1, "DUPLICATE", "UNIQUE")</f>
        <v>UNIQUE</v>
      </c>
      <c r="L1056" s="18">
        <v>1</v>
      </c>
      <c r="M1056" s="28">
        <v>46</v>
      </c>
      <c r="N1056" s="6">
        <v>400</v>
      </c>
      <c r="O1056" s="30">
        <f t="shared" si="100"/>
        <v>46</v>
      </c>
      <c r="P1056" s="30">
        <f t="shared" si="101"/>
        <v>18400</v>
      </c>
      <c r="Q1056" s="1">
        <f>COUNTIFS($P:$P, "&gt;" &amp; $P1056) + 1</f>
        <v>1145</v>
      </c>
      <c r="R1056" s="63">
        <f>(COUNTIFS($P:$P, "&gt;" &amp; $P1056) + 1) / (COUNTA($I:$I) - 1)</f>
        <v>0.22900000000000001</v>
      </c>
      <c r="S1056" s="23">
        <f>SUMIFS($P:$P, $Q:$Q, "&lt;" &amp; $Q1056)</f>
        <v>169344813</v>
      </c>
    </row>
    <row r="1057" spans="1:19" x14ac:dyDescent="0.25">
      <c r="A1057" s="1">
        <v>1052</v>
      </c>
      <c r="B1057" s="1" t="s">
        <v>2</v>
      </c>
      <c r="C1057" s="1" t="str">
        <f>IF($B1057 = "Production Item", _xlfn.XLOOKUP($A1057, 'Instrument Table'!$J:$J, 'Instrument Table'!$B:$B, $C1056), IF($B1057 = "Service Item", _xlfn.XLOOKUP($A1057, 'Instrument Table'!$I:$I, 'Instrument Table'!$B:$B, $C1056), _xlfn.XLOOKUP($A1057, 'Instrument Table'!$H:$H, 'Instrument Table'!$B:$B, $C1056)))</f>
        <v>Violin</v>
      </c>
      <c r="D1057" s="1" t="str">
        <f>VLOOKUP($C1057, 'Instrument Table'!$B:$C, 2, FALSE)</f>
        <v>Strings</v>
      </c>
      <c r="E1057" s="1">
        <f t="shared" si="96"/>
        <v>1</v>
      </c>
      <c r="F1057" s="1">
        <f>_xlfn.XLOOKUP($C1057, 'Instrument Table'!$B:$B, 'Instrument Table'!$A:$A, "")</f>
        <v>20</v>
      </c>
      <c r="G1057" s="1" t="str">
        <f>TEXT(IF($B1057 = "Retail Item", IF((ROW($A1057) - 4504 - _xlfn.XMATCH($C1057, $C$4506:$C$5005, 0, 1)) &lt;= VLOOKUP($C1057, 'Instrument Table'!$B:$D, 3, FALSE), ROW($A1057) - 4504 - _xlfn.XMATCH($C1057, $C$4506:$C$5005, 0, 1), 0), 0), "00")</f>
        <v>00</v>
      </c>
      <c r="H1057" s="1" t="str">
        <f t="shared" si="97"/>
        <v>101</v>
      </c>
      <c r="I1057" s="1" t="str">
        <f t="shared" si="98"/>
        <v>12000-101</v>
      </c>
      <c r="J1057" s="1" t="str">
        <f t="shared" si="99"/>
        <v>Violin production item #101</v>
      </c>
      <c r="K1057" s="1" t="str">
        <f>IF(SUM(COUNTIFS(I:I, I1057)) &gt; 1, "DUPLICATE", "UNIQUE")</f>
        <v>UNIQUE</v>
      </c>
      <c r="L1057" s="18">
        <v>1</v>
      </c>
      <c r="M1057" s="28">
        <v>37</v>
      </c>
      <c r="N1057" s="6">
        <v>289</v>
      </c>
      <c r="O1057" s="30">
        <f t="shared" si="100"/>
        <v>37</v>
      </c>
      <c r="P1057" s="30">
        <f t="shared" si="101"/>
        <v>10693</v>
      </c>
      <c r="Q1057" s="1">
        <f>COUNTIFS($P:$P, "&gt;" &amp; $P1057) + 1</f>
        <v>1712</v>
      </c>
      <c r="R1057" s="63">
        <f>(COUNTIFS($P:$P, "&gt;" &amp; $P1057) + 1) / (COUNTA($I:$I) - 1)</f>
        <v>0.34239999999999998</v>
      </c>
      <c r="S1057" s="23">
        <f>SUMIFS($P:$P, $Q:$Q, "&lt;" &amp; $Q1057)</f>
        <v>177343061</v>
      </c>
    </row>
    <row r="1058" spans="1:19" x14ac:dyDescent="0.25">
      <c r="A1058" s="1">
        <v>1053</v>
      </c>
      <c r="B1058" s="1" t="s">
        <v>2</v>
      </c>
      <c r="C1058" s="1" t="str">
        <f>IF($B1058 = "Production Item", _xlfn.XLOOKUP($A1058, 'Instrument Table'!$J:$J, 'Instrument Table'!$B:$B, $C1057), IF($B1058 = "Service Item", _xlfn.XLOOKUP($A1058, 'Instrument Table'!$I:$I, 'Instrument Table'!$B:$B, $C1057), _xlfn.XLOOKUP($A1058, 'Instrument Table'!$H:$H, 'Instrument Table'!$B:$B, $C1057)))</f>
        <v>Violin</v>
      </c>
      <c r="D1058" s="1" t="str">
        <f>VLOOKUP($C1058, 'Instrument Table'!$B:$C, 2, FALSE)</f>
        <v>Strings</v>
      </c>
      <c r="E1058" s="1">
        <f t="shared" si="96"/>
        <v>1</v>
      </c>
      <c r="F1058" s="1">
        <f>_xlfn.XLOOKUP($C1058, 'Instrument Table'!$B:$B, 'Instrument Table'!$A:$A, "")</f>
        <v>20</v>
      </c>
      <c r="G1058" s="1" t="str">
        <f>TEXT(IF($B1058 = "Retail Item", IF((ROW($A1058) - 4504 - _xlfn.XMATCH($C1058, $C$4506:$C$5005, 0, 1)) &lt;= VLOOKUP($C1058, 'Instrument Table'!$B:$D, 3, FALSE), ROW($A1058) - 4504 - _xlfn.XMATCH($C1058, $C$4506:$C$5005, 0, 1), 0), 0), "00")</f>
        <v>00</v>
      </c>
      <c r="H1058" s="1" t="str">
        <f t="shared" si="97"/>
        <v>102</v>
      </c>
      <c r="I1058" s="1" t="str">
        <f t="shared" si="98"/>
        <v>12000-102</v>
      </c>
      <c r="J1058" s="1" t="str">
        <f t="shared" si="99"/>
        <v>Violin production item #102</v>
      </c>
      <c r="K1058" s="1" t="str">
        <f>IF(SUM(COUNTIFS(I:I, I1058)) &gt; 1, "DUPLICATE", "UNIQUE")</f>
        <v>UNIQUE</v>
      </c>
      <c r="L1058" s="18">
        <v>8</v>
      </c>
      <c r="M1058" s="28">
        <v>54</v>
      </c>
      <c r="N1058" s="6">
        <v>256</v>
      </c>
      <c r="O1058" s="30">
        <f t="shared" si="100"/>
        <v>432</v>
      </c>
      <c r="P1058" s="30">
        <f t="shared" si="101"/>
        <v>13824</v>
      </c>
      <c r="Q1058" s="1">
        <f>COUNTIFS($P:$P, "&gt;" &amp; $P1058) + 1</f>
        <v>1432</v>
      </c>
      <c r="R1058" s="63">
        <f>(COUNTIFS($P:$P, "&gt;" &amp; $P1058) + 1) / (COUNTA($I:$I) - 1)</f>
        <v>0.28639999999999999</v>
      </c>
      <c r="S1058" s="23">
        <f>SUMIFS($P:$P, $Q:$Q, "&lt;" &amp; $Q1058)</f>
        <v>173925940</v>
      </c>
    </row>
    <row r="1059" spans="1:19" x14ac:dyDescent="0.25">
      <c r="A1059" s="1">
        <v>1054</v>
      </c>
      <c r="B1059" s="1" t="s">
        <v>2</v>
      </c>
      <c r="C1059" s="1" t="str">
        <f>IF($B1059 = "Production Item", _xlfn.XLOOKUP($A1059, 'Instrument Table'!$J:$J, 'Instrument Table'!$B:$B, $C1058), IF($B1059 = "Service Item", _xlfn.XLOOKUP($A1059, 'Instrument Table'!$I:$I, 'Instrument Table'!$B:$B, $C1058), _xlfn.XLOOKUP($A1059, 'Instrument Table'!$H:$H, 'Instrument Table'!$B:$B, $C1058)))</f>
        <v>Violin</v>
      </c>
      <c r="D1059" s="1" t="str">
        <f>VLOOKUP($C1059, 'Instrument Table'!$B:$C, 2, FALSE)</f>
        <v>Strings</v>
      </c>
      <c r="E1059" s="1">
        <f t="shared" si="96"/>
        <v>1</v>
      </c>
      <c r="F1059" s="1">
        <f>_xlfn.XLOOKUP($C1059, 'Instrument Table'!$B:$B, 'Instrument Table'!$A:$A, "")</f>
        <v>20</v>
      </c>
      <c r="G1059" s="1" t="str">
        <f>TEXT(IF($B1059 = "Retail Item", IF((ROW($A1059) - 4504 - _xlfn.XMATCH($C1059, $C$4506:$C$5005, 0, 1)) &lt;= VLOOKUP($C1059, 'Instrument Table'!$B:$D, 3, FALSE), ROW($A1059) - 4504 - _xlfn.XMATCH($C1059, $C$4506:$C$5005, 0, 1), 0), 0), "00")</f>
        <v>00</v>
      </c>
      <c r="H1059" s="1" t="str">
        <f t="shared" si="97"/>
        <v>103</v>
      </c>
      <c r="I1059" s="1" t="str">
        <f t="shared" si="98"/>
        <v>12000-103</v>
      </c>
      <c r="J1059" s="1" t="str">
        <f t="shared" si="99"/>
        <v>Violin production item #103</v>
      </c>
      <c r="K1059" s="1" t="str">
        <f>IF(SUM(COUNTIFS(I:I, I1059)) &gt; 1, "DUPLICATE", "UNIQUE")</f>
        <v>UNIQUE</v>
      </c>
      <c r="L1059" s="18">
        <v>2</v>
      </c>
      <c r="M1059" s="28">
        <v>2</v>
      </c>
      <c r="N1059" s="6">
        <v>25</v>
      </c>
      <c r="O1059" s="30">
        <f t="shared" si="100"/>
        <v>4</v>
      </c>
      <c r="P1059" s="30">
        <f t="shared" si="101"/>
        <v>50</v>
      </c>
      <c r="Q1059" s="1">
        <f>COUNTIFS($P:$P, "&gt;" &amp; $P1059) + 1</f>
        <v>4614</v>
      </c>
      <c r="R1059" s="63">
        <f>(COUNTIFS($P:$P, "&gt;" &amp; $P1059) + 1) / (COUNTA($I:$I) - 1)</f>
        <v>0.92279999999999995</v>
      </c>
      <c r="S1059" s="23">
        <f>SUMIFS($P:$P, $Q:$Q, "&lt;" &amp; $Q1059)</f>
        <v>186544435</v>
      </c>
    </row>
    <row r="1060" spans="1:19" x14ac:dyDescent="0.25">
      <c r="A1060" s="1">
        <v>1055</v>
      </c>
      <c r="B1060" s="1" t="s">
        <v>2</v>
      </c>
      <c r="C1060" s="1" t="str">
        <f>IF($B1060 = "Production Item", _xlfn.XLOOKUP($A1060, 'Instrument Table'!$J:$J, 'Instrument Table'!$B:$B, $C1059), IF($B1060 = "Service Item", _xlfn.XLOOKUP($A1060, 'Instrument Table'!$I:$I, 'Instrument Table'!$B:$B, $C1059), _xlfn.XLOOKUP($A1060, 'Instrument Table'!$H:$H, 'Instrument Table'!$B:$B, $C1059)))</f>
        <v>Violin</v>
      </c>
      <c r="D1060" s="1" t="str">
        <f>VLOOKUP($C1060, 'Instrument Table'!$B:$C, 2, FALSE)</f>
        <v>Strings</v>
      </c>
      <c r="E1060" s="1">
        <f t="shared" si="96"/>
        <v>1</v>
      </c>
      <c r="F1060" s="1">
        <f>_xlfn.XLOOKUP($C1060, 'Instrument Table'!$B:$B, 'Instrument Table'!$A:$A, "")</f>
        <v>20</v>
      </c>
      <c r="G1060" s="1" t="str">
        <f>TEXT(IF($B1060 = "Retail Item", IF((ROW($A1060) - 4504 - _xlfn.XMATCH($C1060, $C$4506:$C$5005, 0, 1)) &lt;= VLOOKUP($C1060, 'Instrument Table'!$B:$D, 3, FALSE), ROW($A1060) - 4504 - _xlfn.XMATCH($C1060, $C$4506:$C$5005, 0, 1), 0), 0), "00")</f>
        <v>00</v>
      </c>
      <c r="H1060" s="1" t="str">
        <f t="shared" si="97"/>
        <v>104</v>
      </c>
      <c r="I1060" s="1" t="str">
        <f t="shared" si="98"/>
        <v>12000-104</v>
      </c>
      <c r="J1060" s="1" t="str">
        <f t="shared" si="99"/>
        <v>Violin production item #104</v>
      </c>
      <c r="K1060" s="1" t="str">
        <f>IF(SUM(COUNTIFS(I:I, I1060)) &gt; 1, "DUPLICATE", "UNIQUE")</f>
        <v>UNIQUE</v>
      </c>
      <c r="L1060" s="18">
        <v>0</v>
      </c>
      <c r="M1060" s="28">
        <v>22</v>
      </c>
      <c r="N1060" s="6">
        <v>289</v>
      </c>
      <c r="O1060" s="30">
        <f t="shared" si="100"/>
        <v>0</v>
      </c>
      <c r="P1060" s="30">
        <f t="shared" si="101"/>
        <v>6358</v>
      </c>
      <c r="Q1060" s="1">
        <f>COUNTIFS($P:$P, "&gt;" &amp; $P1060) + 1</f>
        <v>2223</v>
      </c>
      <c r="R1060" s="63">
        <f>(COUNTIFS($P:$P, "&gt;" &amp; $P1060) + 1) / (COUNTA($I:$I) - 1)</f>
        <v>0.4446</v>
      </c>
      <c r="S1060" s="23">
        <f>SUMIFS($P:$P, $Q:$Q, "&lt;" &amp; $Q1060)</f>
        <v>181600040</v>
      </c>
    </row>
    <row r="1061" spans="1:19" x14ac:dyDescent="0.25">
      <c r="A1061" s="1">
        <v>1056</v>
      </c>
      <c r="B1061" s="1" t="s">
        <v>2</v>
      </c>
      <c r="C1061" s="1" t="str">
        <f>IF($B1061 = "Production Item", _xlfn.XLOOKUP($A1061, 'Instrument Table'!$J:$J, 'Instrument Table'!$B:$B, $C1060), IF($B1061 = "Service Item", _xlfn.XLOOKUP($A1061, 'Instrument Table'!$I:$I, 'Instrument Table'!$B:$B, $C1060), _xlfn.XLOOKUP($A1061, 'Instrument Table'!$H:$H, 'Instrument Table'!$B:$B, $C1060)))</f>
        <v>Violin</v>
      </c>
      <c r="D1061" s="1" t="str">
        <f>VLOOKUP($C1061, 'Instrument Table'!$B:$C, 2, FALSE)</f>
        <v>Strings</v>
      </c>
      <c r="E1061" s="1">
        <f t="shared" si="96"/>
        <v>1</v>
      </c>
      <c r="F1061" s="1">
        <f>_xlfn.XLOOKUP($C1061, 'Instrument Table'!$B:$B, 'Instrument Table'!$A:$A, "")</f>
        <v>20</v>
      </c>
      <c r="G1061" s="1" t="str">
        <f>TEXT(IF($B1061 = "Retail Item", IF((ROW($A1061) - 4504 - _xlfn.XMATCH($C1061, $C$4506:$C$5005, 0, 1)) &lt;= VLOOKUP($C1061, 'Instrument Table'!$B:$D, 3, FALSE), ROW($A1061) - 4504 - _xlfn.XMATCH($C1061, $C$4506:$C$5005, 0, 1), 0), 0), "00")</f>
        <v>00</v>
      </c>
      <c r="H1061" s="1" t="str">
        <f t="shared" si="97"/>
        <v>105</v>
      </c>
      <c r="I1061" s="1" t="str">
        <f t="shared" si="98"/>
        <v>12000-105</v>
      </c>
      <c r="J1061" s="1" t="str">
        <f t="shared" si="99"/>
        <v>Violin production item #105</v>
      </c>
      <c r="K1061" s="1" t="str">
        <f>IF(SUM(COUNTIFS(I:I, I1061)) &gt; 1, "DUPLICATE", "UNIQUE")</f>
        <v>UNIQUE</v>
      </c>
      <c r="L1061" s="18">
        <v>0</v>
      </c>
      <c r="M1061" s="28">
        <v>98</v>
      </c>
      <c r="N1061" s="6">
        <v>4</v>
      </c>
      <c r="O1061" s="30">
        <f t="shared" si="100"/>
        <v>0</v>
      </c>
      <c r="P1061" s="30">
        <f t="shared" si="101"/>
        <v>392</v>
      </c>
      <c r="Q1061" s="1">
        <f>COUNTIFS($P:$P, "&gt;" &amp; $P1061) + 1</f>
        <v>4108</v>
      </c>
      <c r="R1061" s="63">
        <f>(COUNTIFS($P:$P, "&gt;" &amp; $P1061) + 1) / (COUNTA($I:$I) - 1)</f>
        <v>0.8216</v>
      </c>
      <c r="S1061" s="23">
        <f>SUMIFS($P:$P, $Q:$Q, "&lt;" &amp; $Q1061)</f>
        <v>186448050</v>
      </c>
    </row>
    <row r="1062" spans="1:19" x14ac:dyDescent="0.25">
      <c r="A1062" s="1">
        <v>1057</v>
      </c>
      <c r="B1062" s="1" t="s">
        <v>2</v>
      </c>
      <c r="C1062" s="1" t="str">
        <f>IF($B1062 = "Production Item", _xlfn.XLOOKUP($A1062, 'Instrument Table'!$J:$J, 'Instrument Table'!$B:$B, $C1061), IF($B1062 = "Service Item", _xlfn.XLOOKUP($A1062, 'Instrument Table'!$I:$I, 'Instrument Table'!$B:$B, $C1061), _xlfn.XLOOKUP($A1062, 'Instrument Table'!$H:$H, 'Instrument Table'!$B:$B, $C1061)))</f>
        <v>Violin</v>
      </c>
      <c r="D1062" s="1" t="str">
        <f>VLOOKUP($C1062, 'Instrument Table'!$B:$C, 2, FALSE)</f>
        <v>Strings</v>
      </c>
      <c r="E1062" s="1">
        <f t="shared" si="96"/>
        <v>1</v>
      </c>
      <c r="F1062" s="1">
        <f>_xlfn.XLOOKUP($C1062, 'Instrument Table'!$B:$B, 'Instrument Table'!$A:$A, "")</f>
        <v>20</v>
      </c>
      <c r="G1062" s="1" t="str">
        <f>TEXT(IF($B1062 = "Retail Item", IF((ROW($A1062) - 4504 - _xlfn.XMATCH($C1062, $C$4506:$C$5005, 0, 1)) &lt;= VLOOKUP($C1062, 'Instrument Table'!$B:$D, 3, FALSE), ROW($A1062) - 4504 - _xlfn.XMATCH($C1062, $C$4506:$C$5005, 0, 1), 0), 0), "00")</f>
        <v>00</v>
      </c>
      <c r="H1062" s="1" t="str">
        <f t="shared" si="97"/>
        <v>106</v>
      </c>
      <c r="I1062" s="1" t="str">
        <f t="shared" si="98"/>
        <v>12000-106</v>
      </c>
      <c r="J1062" s="1" t="str">
        <f t="shared" si="99"/>
        <v>Violin production item #106</v>
      </c>
      <c r="K1062" s="1" t="str">
        <f>IF(SUM(COUNTIFS(I:I, I1062)) &gt; 1, "DUPLICATE", "UNIQUE")</f>
        <v>UNIQUE</v>
      </c>
      <c r="L1062" s="18">
        <v>4</v>
      </c>
      <c r="M1062" s="28">
        <v>96</v>
      </c>
      <c r="N1062" s="6">
        <v>81</v>
      </c>
      <c r="O1062" s="30">
        <f t="shared" si="100"/>
        <v>384</v>
      </c>
      <c r="P1062" s="30">
        <f t="shared" si="101"/>
        <v>7776</v>
      </c>
      <c r="Q1062" s="1">
        <f>COUNTIFS($P:$P, "&gt;" &amp; $P1062) + 1</f>
        <v>2019</v>
      </c>
      <c r="R1062" s="63">
        <f>(COUNTIFS($P:$P, "&gt;" &amp; $P1062) + 1) / (COUNTA($I:$I) - 1)</f>
        <v>0.40379999999999999</v>
      </c>
      <c r="S1062" s="23">
        <f>SUMIFS($P:$P, $Q:$Q, "&lt;" &amp; $Q1062)</f>
        <v>180145621</v>
      </c>
    </row>
    <row r="1063" spans="1:19" x14ac:dyDescent="0.25">
      <c r="A1063" s="1">
        <v>1058</v>
      </c>
      <c r="B1063" s="1" t="s">
        <v>2</v>
      </c>
      <c r="C1063" s="1" t="str">
        <f>IF($B1063 = "Production Item", _xlfn.XLOOKUP($A1063, 'Instrument Table'!$J:$J, 'Instrument Table'!$B:$B, $C1062), IF($B1063 = "Service Item", _xlfn.XLOOKUP($A1063, 'Instrument Table'!$I:$I, 'Instrument Table'!$B:$B, $C1062), _xlfn.XLOOKUP($A1063, 'Instrument Table'!$H:$H, 'Instrument Table'!$B:$B, $C1062)))</f>
        <v>Violin</v>
      </c>
      <c r="D1063" s="1" t="str">
        <f>VLOOKUP($C1063, 'Instrument Table'!$B:$C, 2, FALSE)</f>
        <v>Strings</v>
      </c>
      <c r="E1063" s="1">
        <f t="shared" si="96"/>
        <v>1</v>
      </c>
      <c r="F1063" s="1">
        <f>_xlfn.XLOOKUP($C1063, 'Instrument Table'!$B:$B, 'Instrument Table'!$A:$A, "")</f>
        <v>20</v>
      </c>
      <c r="G1063" s="1" t="str">
        <f>TEXT(IF($B1063 = "Retail Item", IF((ROW($A1063) - 4504 - _xlfn.XMATCH($C1063, $C$4506:$C$5005, 0, 1)) &lt;= VLOOKUP($C1063, 'Instrument Table'!$B:$D, 3, FALSE), ROW($A1063) - 4504 - _xlfn.XMATCH($C1063, $C$4506:$C$5005, 0, 1), 0), 0), "00")</f>
        <v>00</v>
      </c>
      <c r="H1063" s="1" t="str">
        <f t="shared" si="97"/>
        <v>107</v>
      </c>
      <c r="I1063" s="1" t="str">
        <f t="shared" si="98"/>
        <v>12000-107</v>
      </c>
      <c r="J1063" s="1" t="str">
        <f t="shared" si="99"/>
        <v>Violin production item #107</v>
      </c>
      <c r="K1063" s="1" t="str">
        <f>IF(SUM(COUNTIFS(I:I, I1063)) &gt; 1, "DUPLICATE", "UNIQUE")</f>
        <v>UNIQUE</v>
      </c>
      <c r="L1063" s="18">
        <v>0</v>
      </c>
      <c r="M1063" s="28">
        <v>15</v>
      </c>
      <c r="N1063" s="6">
        <v>36</v>
      </c>
      <c r="O1063" s="30">
        <f t="shared" si="100"/>
        <v>0</v>
      </c>
      <c r="P1063" s="30">
        <f t="shared" si="101"/>
        <v>540</v>
      </c>
      <c r="Q1063" s="1">
        <f>COUNTIFS($P:$P, "&gt;" &amp; $P1063) + 1</f>
        <v>3988</v>
      </c>
      <c r="R1063" s="63">
        <f>(COUNTIFS($P:$P, "&gt;" &amp; $P1063) + 1) / (COUNTA($I:$I) - 1)</f>
        <v>0.79759999999999998</v>
      </c>
      <c r="S1063" s="23">
        <f>SUMIFS($P:$P, $Q:$Q, "&lt;" &amp; $Q1063)</f>
        <v>186391860</v>
      </c>
    </row>
    <row r="1064" spans="1:19" x14ac:dyDescent="0.25">
      <c r="A1064" s="1">
        <v>1059</v>
      </c>
      <c r="B1064" s="1" t="s">
        <v>2</v>
      </c>
      <c r="C1064" s="1" t="str">
        <f>IF($B1064 = "Production Item", _xlfn.XLOOKUP($A1064, 'Instrument Table'!$J:$J, 'Instrument Table'!$B:$B, $C1063), IF($B1064 = "Service Item", _xlfn.XLOOKUP($A1064, 'Instrument Table'!$I:$I, 'Instrument Table'!$B:$B, $C1063), _xlfn.XLOOKUP($A1064, 'Instrument Table'!$H:$H, 'Instrument Table'!$B:$B, $C1063)))</f>
        <v>Violin</v>
      </c>
      <c r="D1064" s="1" t="str">
        <f>VLOOKUP($C1064, 'Instrument Table'!$B:$C, 2, FALSE)</f>
        <v>Strings</v>
      </c>
      <c r="E1064" s="1">
        <f t="shared" si="96"/>
        <v>1</v>
      </c>
      <c r="F1064" s="1">
        <f>_xlfn.XLOOKUP($C1064, 'Instrument Table'!$B:$B, 'Instrument Table'!$A:$A, "")</f>
        <v>20</v>
      </c>
      <c r="G1064" s="1" t="str">
        <f>TEXT(IF($B1064 = "Retail Item", IF((ROW($A1064) - 4504 - _xlfn.XMATCH($C1064, $C$4506:$C$5005, 0, 1)) &lt;= VLOOKUP($C1064, 'Instrument Table'!$B:$D, 3, FALSE), ROW($A1064) - 4504 - _xlfn.XMATCH($C1064, $C$4506:$C$5005, 0, 1), 0), 0), "00")</f>
        <v>00</v>
      </c>
      <c r="H1064" s="1" t="str">
        <f t="shared" si="97"/>
        <v>108</v>
      </c>
      <c r="I1064" s="1" t="str">
        <f t="shared" si="98"/>
        <v>12000-108</v>
      </c>
      <c r="J1064" s="1" t="str">
        <f t="shared" si="99"/>
        <v>Violin production item #108</v>
      </c>
      <c r="K1064" s="1" t="str">
        <f>IF(SUM(COUNTIFS(I:I, I1064)) &gt; 1, "DUPLICATE", "UNIQUE")</f>
        <v>UNIQUE</v>
      </c>
      <c r="L1064" s="18">
        <v>1</v>
      </c>
      <c r="M1064" s="28">
        <v>83</v>
      </c>
      <c r="N1064" s="6">
        <v>361</v>
      </c>
      <c r="O1064" s="30">
        <f t="shared" si="100"/>
        <v>83</v>
      </c>
      <c r="P1064" s="30">
        <f t="shared" si="101"/>
        <v>29963</v>
      </c>
      <c r="Q1064" s="1">
        <f>COUNTIFS($P:$P, "&gt;" &amp; $P1064) + 1</f>
        <v>693</v>
      </c>
      <c r="R1064" s="63">
        <f>(COUNTIFS($P:$P, "&gt;" &amp; $P1064) + 1) / (COUNTA($I:$I) - 1)</f>
        <v>0.1386</v>
      </c>
      <c r="S1064" s="23">
        <f>SUMIFS($P:$P, $Q:$Q, "&lt;" &amp; $Q1064)</f>
        <v>158878505</v>
      </c>
    </row>
    <row r="1065" spans="1:19" x14ac:dyDescent="0.25">
      <c r="A1065" s="1">
        <v>1060</v>
      </c>
      <c r="B1065" s="1" t="s">
        <v>2</v>
      </c>
      <c r="C1065" s="1" t="str">
        <f>IF($B1065 = "Production Item", _xlfn.XLOOKUP($A1065, 'Instrument Table'!$J:$J, 'Instrument Table'!$B:$B, $C1064), IF($B1065 = "Service Item", _xlfn.XLOOKUP($A1065, 'Instrument Table'!$I:$I, 'Instrument Table'!$B:$B, $C1064), _xlfn.XLOOKUP($A1065, 'Instrument Table'!$H:$H, 'Instrument Table'!$B:$B, $C1064)))</f>
        <v>Violin</v>
      </c>
      <c r="D1065" s="1" t="str">
        <f>VLOOKUP($C1065, 'Instrument Table'!$B:$C, 2, FALSE)</f>
        <v>Strings</v>
      </c>
      <c r="E1065" s="1">
        <f t="shared" si="96"/>
        <v>1</v>
      </c>
      <c r="F1065" s="1">
        <f>_xlfn.XLOOKUP($C1065, 'Instrument Table'!$B:$B, 'Instrument Table'!$A:$A, "")</f>
        <v>20</v>
      </c>
      <c r="G1065" s="1" t="str">
        <f>TEXT(IF($B1065 = "Retail Item", IF((ROW($A1065) - 4504 - _xlfn.XMATCH($C1065, $C$4506:$C$5005, 0, 1)) &lt;= VLOOKUP($C1065, 'Instrument Table'!$B:$D, 3, FALSE), ROW($A1065) - 4504 - _xlfn.XMATCH($C1065, $C$4506:$C$5005, 0, 1), 0), 0), "00")</f>
        <v>00</v>
      </c>
      <c r="H1065" s="1" t="str">
        <f t="shared" si="97"/>
        <v>109</v>
      </c>
      <c r="I1065" s="1" t="str">
        <f t="shared" si="98"/>
        <v>12000-109</v>
      </c>
      <c r="J1065" s="1" t="str">
        <f t="shared" si="99"/>
        <v>Violin production item #109</v>
      </c>
      <c r="K1065" s="1" t="str">
        <f>IF(SUM(COUNTIFS(I:I, I1065)) &gt; 1, "DUPLICATE", "UNIQUE")</f>
        <v>UNIQUE</v>
      </c>
      <c r="L1065" s="18">
        <v>0</v>
      </c>
      <c r="M1065" s="28">
        <v>19</v>
      </c>
      <c r="N1065" s="6">
        <v>361</v>
      </c>
      <c r="O1065" s="30">
        <f t="shared" si="100"/>
        <v>0</v>
      </c>
      <c r="P1065" s="30">
        <f t="shared" si="101"/>
        <v>6859</v>
      </c>
      <c r="Q1065" s="1">
        <f>COUNTIFS($P:$P, "&gt;" &amp; $P1065) + 1</f>
        <v>2160</v>
      </c>
      <c r="R1065" s="63">
        <f>(COUNTIFS($P:$P, "&gt;" &amp; $P1065) + 1) / (COUNTA($I:$I) - 1)</f>
        <v>0.432</v>
      </c>
      <c r="S1065" s="23">
        <f>SUMIFS($P:$P, $Q:$Q, "&lt;" &amp; $Q1065)</f>
        <v>181182448</v>
      </c>
    </row>
    <row r="1066" spans="1:19" x14ac:dyDescent="0.25">
      <c r="A1066" s="1">
        <v>1061</v>
      </c>
      <c r="B1066" s="1" t="s">
        <v>2</v>
      </c>
      <c r="C1066" s="1" t="str">
        <f>IF($B1066 = "Production Item", _xlfn.XLOOKUP($A1066, 'Instrument Table'!$J:$J, 'Instrument Table'!$B:$B, $C1065), IF($B1066 = "Service Item", _xlfn.XLOOKUP($A1066, 'Instrument Table'!$I:$I, 'Instrument Table'!$B:$B, $C1065), _xlfn.XLOOKUP($A1066, 'Instrument Table'!$H:$H, 'Instrument Table'!$B:$B, $C1065)))</f>
        <v>Violin</v>
      </c>
      <c r="D1066" s="1" t="str">
        <f>VLOOKUP($C1066, 'Instrument Table'!$B:$C, 2, FALSE)</f>
        <v>Strings</v>
      </c>
      <c r="E1066" s="1">
        <f t="shared" si="96"/>
        <v>1</v>
      </c>
      <c r="F1066" s="1">
        <f>_xlfn.XLOOKUP($C1066, 'Instrument Table'!$B:$B, 'Instrument Table'!$A:$A, "")</f>
        <v>20</v>
      </c>
      <c r="G1066" s="1" t="str">
        <f>TEXT(IF($B1066 = "Retail Item", IF((ROW($A1066) - 4504 - _xlfn.XMATCH($C1066, $C$4506:$C$5005, 0, 1)) &lt;= VLOOKUP($C1066, 'Instrument Table'!$B:$D, 3, FALSE), ROW($A1066) - 4504 - _xlfn.XMATCH($C1066, $C$4506:$C$5005, 0, 1), 0), 0), "00")</f>
        <v>00</v>
      </c>
      <c r="H1066" s="1" t="str">
        <f t="shared" si="97"/>
        <v>110</v>
      </c>
      <c r="I1066" s="1" t="str">
        <f t="shared" si="98"/>
        <v>12000-110</v>
      </c>
      <c r="J1066" s="1" t="str">
        <f t="shared" si="99"/>
        <v>Violin production item #110</v>
      </c>
      <c r="K1066" s="1" t="str">
        <f>IF(SUM(COUNTIFS(I:I, I1066)) &gt; 1, "DUPLICATE", "UNIQUE")</f>
        <v>UNIQUE</v>
      </c>
      <c r="L1066" s="18">
        <v>1</v>
      </c>
      <c r="M1066" s="28">
        <v>62</v>
      </c>
      <c r="N1066" s="6">
        <v>169</v>
      </c>
      <c r="O1066" s="30">
        <f t="shared" si="100"/>
        <v>62</v>
      </c>
      <c r="P1066" s="30">
        <f t="shared" si="101"/>
        <v>10478</v>
      </c>
      <c r="Q1066" s="1">
        <f>COUNTIFS($P:$P, "&gt;" &amp; $P1066) + 1</f>
        <v>1730</v>
      </c>
      <c r="R1066" s="63">
        <f>(COUNTIFS($P:$P, "&gt;" &amp; $P1066) + 1) / (COUNTA($I:$I) - 1)</f>
        <v>0.34599999999999997</v>
      </c>
      <c r="S1066" s="23">
        <f>SUMIFS($P:$P, $Q:$Q, "&lt;" &amp; $Q1066)</f>
        <v>177534117</v>
      </c>
    </row>
    <row r="1067" spans="1:19" x14ac:dyDescent="0.25">
      <c r="A1067" s="1">
        <v>1062</v>
      </c>
      <c r="B1067" s="1" t="s">
        <v>2</v>
      </c>
      <c r="C1067" s="1" t="str">
        <f>IF($B1067 = "Production Item", _xlfn.XLOOKUP($A1067, 'Instrument Table'!$J:$J, 'Instrument Table'!$B:$B, $C1066), IF($B1067 = "Service Item", _xlfn.XLOOKUP($A1067, 'Instrument Table'!$I:$I, 'Instrument Table'!$B:$B, $C1066), _xlfn.XLOOKUP($A1067, 'Instrument Table'!$H:$H, 'Instrument Table'!$B:$B, $C1066)))</f>
        <v>Violin</v>
      </c>
      <c r="D1067" s="1" t="str">
        <f>VLOOKUP($C1067, 'Instrument Table'!$B:$C, 2, FALSE)</f>
        <v>Strings</v>
      </c>
      <c r="E1067" s="1">
        <f t="shared" si="96"/>
        <v>1</v>
      </c>
      <c r="F1067" s="1">
        <f>_xlfn.XLOOKUP($C1067, 'Instrument Table'!$B:$B, 'Instrument Table'!$A:$A, "")</f>
        <v>20</v>
      </c>
      <c r="G1067" s="1" t="str">
        <f>TEXT(IF($B1067 = "Retail Item", IF((ROW($A1067) - 4504 - _xlfn.XMATCH($C1067, $C$4506:$C$5005, 0, 1)) &lt;= VLOOKUP($C1067, 'Instrument Table'!$B:$D, 3, FALSE), ROW($A1067) - 4504 - _xlfn.XMATCH($C1067, $C$4506:$C$5005, 0, 1), 0), 0), "00")</f>
        <v>00</v>
      </c>
      <c r="H1067" s="1" t="str">
        <f t="shared" si="97"/>
        <v>111</v>
      </c>
      <c r="I1067" s="1" t="str">
        <f t="shared" si="98"/>
        <v>12000-111</v>
      </c>
      <c r="J1067" s="1" t="str">
        <f t="shared" si="99"/>
        <v>Violin production item #111</v>
      </c>
      <c r="K1067" s="1" t="str">
        <f>IF(SUM(COUNTIFS(I:I, I1067)) &gt; 1, "DUPLICATE", "UNIQUE")</f>
        <v>UNIQUE</v>
      </c>
      <c r="L1067" s="18">
        <v>32</v>
      </c>
      <c r="M1067" s="28">
        <v>91</v>
      </c>
      <c r="N1067" s="6">
        <v>121</v>
      </c>
      <c r="O1067" s="30">
        <f t="shared" si="100"/>
        <v>2912</v>
      </c>
      <c r="P1067" s="30">
        <f t="shared" si="101"/>
        <v>11011</v>
      </c>
      <c r="Q1067" s="1">
        <f>COUNTIFS($P:$P, "&gt;" &amp; $P1067) + 1</f>
        <v>1680</v>
      </c>
      <c r="R1067" s="63">
        <f>(COUNTIFS($P:$P, "&gt;" &amp; $P1067) + 1) / (COUNTA($I:$I) - 1)</f>
        <v>0.33600000000000002</v>
      </c>
      <c r="S1067" s="23">
        <f>SUMIFS($P:$P, $Q:$Q, "&lt;" &amp; $Q1067)</f>
        <v>176994582</v>
      </c>
    </row>
    <row r="1068" spans="1:19" x14ac:dyDescent="0.25">
      <c r="A1068" s="1">
        <v>1063</v>
      </c>
      <c r="B1068" s="1" t="s">
        <v>2</v>
      </c>
      <c r="C1068" s="1" t="str">
        <f>IF($B1068 = "Production Item", _xlfn.XLOOKUP($A1068, 'Instrument Table'!$J:$J, 'Instrument Table'!$B:$B, $C1067), IF($B1068 = "Service Item", _xlfn.XLOOKUP($A1068, 'Instrument Table'!$I:$I, 'Instrument Table'!$B:$B, $C1067), _xlfn.XLOOKUP($A1068, 'Instrument Table'!$H:$H, 'Instrument Table'!$B:$B, $C1067)))</f>
        <v>Violin</v>
      </c>
      <c r="D1068" s="1" t="str">
        <f>VLOOKUP($C1068, 'Instrument Table'!$B:$C, 2, FALSE)</f>
        <v>Strings</v>
      </c>
      <c r="E1068" s="1">
        <f t="shared" si="96"/>
        <v>1</v>
      </c>
      <c r="F1068" s="1">
        <f>_xlfn.XLOOKUP($C1068, 'Instrument Table'!$B:$B, 'Instrument Table'!$A:$A, "")</f>
        <v>20</v>
      </c>
      <c r="G1068" s="1" t="str">
        <f>TEXT(IF($B1068 = "Retail Item", IF((ROW($A1068) - 4504 - _xlfn.XMATCH($C1068, $C$4506:$C$5005, 0, 1)) &lt;= VLOOKUP($C1068, 'Instrument Table'!$B:$D, 3, FALSE), ROW($A1068) - 4504 - _xlfn.XMATCH($C1068, $C$4506:$C$5005, 0, 1), 0), 0), "00")</f>
        <v>00</v>
      </c>
      <c r="H1068" s="1" t="str">
        <f t="shared" si="97"/>
        <v>112</v>
      </c>
      <c r="I1068" s="1" t="str">
        <f t="shared" si="98"/>
        <v>12000-112</v>
      </c>
      <c r="J1068" s="1" t="str">
        <f t="shared" si="99"/>
        <v>Violin production item #112</v>
      </c>
      <c r="K1068" s="1" t="str">
        <f>IF(SUM(COUNTIFS(I:I, I1068)) &gt; 1, "DUPLICATE", "UNIQUE")</f>
        <v>UNIQUE</v>
      </c>
      <c r="L1068" s="18">
        <v>2</v>
      </c>
      <c r="M1068" s="28">
        <v>58</v>
      </c>
      <c r="N1068" s="6">
        <v>169</v>
      </c>
      <c r="O1068" s="30">
        <f t="shared" si="100"/>
        <v>116</v>
      </c>
      <c r="P1068" s="30">
        <f t="shared" si="101"/>
        <v>9802</v>
      </c>
      <c r="Q1068" s="1">
        <f>COUNTIFS($P:$P, "&gt;" &amp; $P1068) + 1</f>
        <v>1786</v>
      </c>
      <c r="R1068" s="63">
        <f>(COUNTIFS($P:$P, "&gt;" &amp; $P1068) + 1) / (COUNTA($I:$I) - 1)</f>
        <v>0.35720000000000002</v>
      </c>
      <c r="S1068" s="23">
        <f>SUMIFS($P:$P, $Q:$Q, "&lt;" &amp; $Q1068)</f>
        <v>178104728</v>
      </c>
    </row>
    <row r="1069" spans="1:19" x14ac:dyDescent="0.25">
      <c r="A1069" s="1">
        <v>1064</v>
      </c>
      <c r="B1069" s="1" t="s">
        <v>2</v>
      </c>
      <c r="C1069" s="1" t="str">
        <f>IF($B1069 = "Production Item", _xlfn.XLOOKUP($A1069, 'Instrument Table'!$J:$J, 'Instrument Table'!$B:$B, $C1068), IF($B1069 = "Service Item", _xlfn.XLOOKUP($A1069, 'Instrument Table'!$I:$I, 'Instrument Table'!$B:$B, $C1068), _xlfn.XLOOKUP($A1069, 'Instrument Table'!$H:$H, 'Instrument Table'!$B:$B, $C1068)))</f>
        <v>Violin</v>
      </c>
      <c r="D1069" s="1" t="str">
        <f>VLOOKUP($C1069, 'Instrument Table'!$B:$C, 2, FALSE)</f>
        <v>Strings</v>
      </c>
      <c r="E1069" s="1">
        <f t="shared" si="96"/>
        <v>1</v>
      </c>
      <c r="F1069" s="1">
        <f>_xlfn.XLOOKUP($C1069, 'Instrument Table'!$B:$B, 'Instrument Table'!$A:$A, "")</f>
        <v>20</v>
      </c>
      <c r="G1069" s="1" t="str">
        <f>TEXT(IF($B1069 = "Retail Item", IF((ROW($A1069) - 4504 - _xlfn.XMATCH($C1069, $C$4506:$C$5005, 0, 1)) &lt;= VLOOKUP($C1069, 'Instrument Table'!$B:$D, 3, FALSE), ROW($A1069) - 4504 - _xlfn.XMATCH($C1069, $C$4506:$C$5005, 0, 1), 0), 0), "00")</f>
        <v>00</v>
      </c>
      <c r="H1069" s="1" t="str">
        <f t="shared" si="97"/>
        <v>113</v>
      </c>
      <c r="I1069" s="1" t="str">
        <f t="shared" si="98"/>
        <v>12000-113</v>
      </c>
      <c r="J1069" s="1" t="str">
        <f t="shared" si="99"/>
        <v>Violin production item #113</v>
      </c>
      <c r="K1069" s="1" t="str">
        <f>IF(SUM(COUNTIFS(I:I, I1069)) &gt; 1, "DUPLICATE", "UNIQUE")</f>
        <v>UNIQUE</v>
      </c>
      <c r="L1069" s="18">
        <v>2</v>
      </c>
      <c r="M1069" s="28">
        <v>31</v>
      </c>
      <c r="N1069" s="6">
        <v>16</v>
      </c>
      <c r="O1069" s="30">
        <f t="shared" si="100"/>
        <v>62</v>
      </c>
      <c r="P1069" s="30">
        <f t="shared" si="101"/>
        <v>496</v>
      </c>
      <c r="Q1069" s="1">
        <f>COUNTIFS($P:$P, "&gt;" &amp; $P1069) + 1</f>
        <v>4029</v>
      </c>
      <c r="R1069" s="63">
        <f>(COUNTIFS($P:$P, "&gt;" &amp; $P1069) + 1) / (COUNTA($I:$I) - 1)</f>
        <v>0.80579999999999996</v>
      </c>
      <c r="S1069" s="23">
        <f>SUMIFS($P:$P, $Q:$Q, "&lt;" &amp; $Q1069)</f>
        <v>186413159</v>
      </c>
    </row>
    <row r="1070" spans="1:19" x14ac:dyDescent="0.25">
      <c r="A1070" s="1">
        <v>1065</v>
      </c>
      <c r="B1070" s="1" t="s">
        <v>2</v>
      </c>
      <c r="C1070" s="1" t="str">
        <f>IF($B1070 = "Production Item", _xlfn.XLOOKUP($A1070, 'Instrument Table'!$J:$J, 'Instrument Table'!$B:$B, $C1069), IF($B1070 = "Service Item", _xlfn.XLOOKUP($A1070, 'Instrument Table'!$I:$I, 'Instrument Table'!$B:$B, $C1069), _xlfn.XLOOKUP($A1070, 'Instrument Table'!$H:$H, 'Instrument Table'!$B:$B, $C1069)))</f>
        <v>Violin</v>
      </c>
      <c r="D1070" s="1" t="str">
        <f>VLOOKUP($C1070, 'Instrument Table'!$B:$C, 2, FALSE)</f>
        <v>Strings</v>
      </c>
      <c r="E1070" s="1">
        <f t="shared" si="96"/>
        <v>1</v>
      </c>
      <c r="F1070" s="1">
        <f>_xlfn.XLOOKUP($C1070, 'Instrument Table'!$B:$B, 'Instrument Table'!$A:$A, "")</f>
        <v>20</v>
      </c>
      <c r="G1070" s="1" t="str">
        <f>TEXT(IF($B1070 = "Retail Item", IF((ROW($A1070) - 4504 - _xlfn.XMATCH($C1070, $C$4506:$C$5005, 0, 1)) &lt;= VLOOKUP($C1070, 'Instrument Table'!$B:$D, 3, FALSE), ROW($A1070) - 4504 - _xlfn.XMATCH($C1070, $C$4506:$C$5005, 0, 1), 0), 0), "00")</f>
        <v>00</v>
      </c>
      <c r="H1070" s="1" t="str">
        <f t="shared" si="97"/>
        <v>114</v>
      </c>
      <c r="I1070" s="1" t="str">
        <f t="shared" si="98"/>
        <v>12000-114</v>
      </c>
      <c r="J1070" s="1" t="str">
        <f t="shared" si="99"/>
        <v>Violin production item #114</v>
      </c>
      <c r="K1070" s="1" t="str">
        <f>IF(SUM(COUNTIFS(I:I, I1070)) &gt; 1, "DUPLICATE", "UNIQUE")</f>
        <v>UNIQUE</v>
      </c>
      <c r="L1070" s="18">
        <v>0</v>
      </c>
      <c r="M1070" s="28">
        <v>27</v>
      </c>
      <c r="N1070" s="6">
        <v>121</v>
      </c>
      <c r="O1070" s="30">
        <f t="shared" si="100"/>
        <v>0</v>
      </c>
      <c r="P1070" s="30">
        <f t="shared" si="101"/>
        <v>3267</v>
      </c>
      <c r="Q1070" s="1">
        <f>COUNTIFS($P:$P, "&gt;" &amp; $P1070) + 1</f>
        <v>2836</v>
      </c>
      <c r="R1070" s="63">
        <f>(COUNTIFS($P:$P, "&gt;" &amp; $P1070) + 1) / (COUNTA($I:$I) - 1)</f>
        <v>0.56720000000000004</v>
      </c>
      <c r="S1070" s="23">
        <f>SUMIFS($P:$P, $Q:$Q, "&lt;" &amp; $Q1070)</f>
        <v>184446392</v>
      </c>
    </row>
    <row r="1071" spans="1:19" x14ac:dyDescent="0.25">
      <c r="A1071" s="1">
        <v>1066</v>
      </c>
      <c r="B1071" s="1" t="s">
        <v>2</v>
      </c>
      <c r="C1071" s="1" t="str">
        <f>IF($B1071 = "Production Item", _xlfn.XLOOKUP($A1071, 'Instrument Table'!$J:$J, 'Instrument Table'!$B:$B, $C1070), IF($B1071 = "Service Item", _xlfn.XLOOKUP($A1071, 'Instrument Table'!$I:$I, 'Instrument Table'!$B:$B, $C1070), _xlfn.XLOOKUP($A1071, 'Instrument Table'!$H:$H, 'Instrument Table'!$B:$B, $C1070)))</f>
        <v>Violin</v>
      </c>
      <c r="D1071" s="1" t="str">
        <f>VLOOKUP($C1071, 'Instrument Table'!$B:$C, 2, FALSE)</f>
        <v>Strings</v>
      </c>
      <c r="E1071" s="1">
        <f t="shared" si="96"/>
        <v>1</v>
      </c>
      <c r="F1071" s="1">
        <f>_xlfn.XLOOKUP($C1071, 'Instrument Table'!$B:$B, 'Instrument Table'!$A:$A, "")</f>
        <v>20</v>
      </c>
      <c r="G1071" s="1" t="str">
        <f>TEXT(IF($B1071 = "Retail Item", IF((ROW($A1071) - 4504 - _xlfn.XMATCH($C1071, $C$4506:$C$5005, 0, 1)) &lt;= VLOOKUP($C1071, 'Instrument Table'!$B:$D, 3, FALSE), ROW($A1071) - 4504 - _xlfn.XMATCH($C1071, $C$4506:$C$5005, 0, 1), 0), 0), "00")</f>
        <v>00</v>
      </c>
      <c r="H1071" s="1" t="str">
        <f t="shared" si="97"/>
        <v>115</v>
      </c>
      <c r="I1071" s="1" t="str">
        <f t="shared" si="98"/>
        <v>12000-115</v>
      </c>
      <c r="J1071" s="1" t="str">
        <f t="shared" si="99"/>
        <v>Violin production item #115</v>
      </c>
      <c r="K1071" s="1" t="str">
        <f>IF(SUM(COUNTIFS(I:I, I1071)) &gt; 1, "DUPLICATE", "UNIQUE")</f>
        <v>UNIQUE</v>
      </c>
      <c r="L1071" s="18">
        <v>1</v>
      </c>
      <c r="M1071" s="28">
        <v>94</v>
      </c>
      <c r="N1071" s="6">
        <v>36</v>
      </c>
      <c r="O1071" s="30">
        <f t="shared" si="100"/>
        <v>94</v>
      </c>
      <c r="P1071" s="30">
        <f t="shared" si="101"/>
        <v>3384</v>
      </c>
      <c r="Q1071" s="1">
        <f>COUNTIFS($P:$P, "&gt;" &amp; $P1071) + 1</f>
        <v>2809</v>
      </c>
      <c r="R1071" s="63">
        <f>(COUNTIFS($P:$P, "&gt;" &amp; $P1071) + 1) / (COUNTA($I:$I) - 1)</f>
        <v>0.56179999999999997</v>
      </c>
      <c r="S1071" s="23">
        <f>SUMIFS($P:$P, $Q:$Q, "&lt;" &amp; $Q1071)</f>
        <v>184356467</v>
      </c>
    </row>
    <row r="1072" spans="1:19" x14ac:dyDescent="0.25">
      <c r="A1072" s="1">
        <v>1067</v>
      </c>
      <c r="B1072" s="1" t="s">
        <v>2</v>
      </c>
      <c r="C1072" s="1" t="str">
        <f>IF($B1072 = "Production Item", _xlfn.XLOOKUP($A1072, 'Instrument Table'!$J:$J, 'Instrument Table'!$B:$B, $C1071), IF($B1072 = "Service Item", _xlfn.XLOOKUP($A1072, 'Instrument Table'!$I:$I, 'Instrument Table'!$B:$B, $C1071), _xlfn.XLOOKUP($A1072, 'Instrument Table'!$H:$H, 'Instrument Table'!$B:$B, $C1071)))</f>
        <v>Violin</v>
      </c>
      <c r="D1072" s="1" t="str">
        <f>VLOOKUP($C1072, 'Instrument Table'!$B:$C, 2, FALSE)</f>
        <v>Strings</v>
      </c>
      <c r="E1072" s="1">
        <f t="shared" si="96"/>
        <v>1</v>
      </c>
      <c r="F1072" s="1">
        <f>_xlfn.XLOOKUP($C1072, 'Instrument Table'!$B:$B, 'Instrument Table'!$A:$A, "")</f>
        <v>20</v>
      </c>
      <c r="G1072" s="1" t="str">
        <f>TEXT(IF($B1072 = "Retail Item", IF((ROW($A1072) - 4504 - _xlfn.XMATCH($C1072, $C$4506:$C$5005, 0, 1)) &lt;= VLOOKUP($C1072, 'Instrument Table'!$B:$D, 3, FALSE), ROW($A1072) - 4504 - _xlfn.XMATCH($C1072, $C$4506:$C$5005, 0, 1), 0), 0), "00")</f>
        <v>00</v>
      </c>
      <c r="H1072" s="1" t="str">
        <f t="shared" si="97"/>
        <v>116</v>
      </c>
      <c r="I1072" s="1" t="str">
        <f t="shared" si="98"/>
        <v>12000-116</v>
      </c>
      <c r="J1072" s="1" t="str">
        <f t="shared" si="99"/>
        <v>Violin production item #116</v>
      </c>
      <c r="K1072" s="1" t="str">
        <f>IF(SUM(COUNTIFS(I:I, I1072)) &gt; 1, "DUPLICATE", "UNIQUE")</f>
        <v>UNIQUE</v>
      </c>
      <c r="L1072" s="18">
        <v>32</v>
      </c>
      <c r="M1072" s="28">
        <v>19</v>
      </c>
      <c r="N1072" s="6">
        <v>49</v>
      </c>
      <c r="O1072" s="30">
        <f t="shared" si="100"/>
        <v>608</v>
      </c>
      <c r="P1072" s="30">
        <f t="shared" si="101"/>
        <v>931</v>
      </c>
      <c r="Q1072" s="1">
        <f>COUNTIFS($P:$P, "&gt;" &amp; $P1072) + 1</f>
        <v>3710</v>
      </c>
      <c r="R1072" s="63">
        <f>(COUNTIFS($P:$P, "&gt;" &amp; $P1072) + 1) / (COUNTA($I:$I) - 1)</f>
        <v>0.74199999999999999</v>
      </c>
      <c r="S1072" s="23">
        <f>SUMIFS($P:$P, $Q:$Q, "&lt;" &amp; $Q1072)</f>
        <v>186188329</v>
      </c>
    </row>
    <row r="1073" spans="1:19" x14ac:dyDescent="0.25">
      <c r="A1073" s="1">
        <v>1068</v>
      </c>
      <c r="B1073" s="1" t="s">
        <v>2</v>
      </c>
      <c r="C1073" s="1" t="str">
        <f>IF($B1073 = "Production Item", _xlfn.XLOOKUP($A1073, 'Instrument Table'!$J:$J, 'Instrument Table'!$B:$B, $C1072), IF($B1073 = "Service Item", _xlfn.XLOOKUP($A1073, 'Instrument Table'!$I:$I, 'Instrument Table'!$B:$B, $C1072), _xlfn.XLOOKUP($A1073, 'Instrument Table'!$H:$H, 'Instrument Table'!$B:$B, $C1072)))</f>
        <v>Violin</v>
      </c>
      <c r="D1073" s="1" t="str">
        <f>VLOOKUP($C1073, 'Instrument Table'!$B:$C, 2, FALSE)</f>
        <v>Strings</v>
      </c>
      <c r="E1073" s="1">
        <f t="shared" si="96"/>
        <v>1</v>
      </c>
      <c r="F1073" s="1">
        <f>_xlfn.XLOOKUP($C1073, 'Instrument Table'!$B:$B, 'Instrument Table'!$A:$A, "")</f>
        <v>20</v>
      </c>
      <c r="G1073" s="1" t="str">
        <f>TEXT(IF($B1073 = "Retail Item", IF((ROW($A1073) - 4504 - _xlfn.XMATCH($C1073, $C$4506:$C$5005, 0, 1)) &lt;= VLOOKUP($C1073, 'Instrument Table'!$B:$D, 3, FALSE), ROW($A1073) - 4504 - _xlfn.XMATCH($C1073, $C$4506:$C$5005, 0, 1), 0), 0), "00")</f>
        <v>00</v>
      </c>
      <c r="H1073" s="1" t="str">
        <f t="shared" si="97"/>
        <v>117</v>
      </c>
      <c r="I1073" s="1" t="str">
        <f t="shared" si="98"/>
        <v>12000-117</v>
      </c>
      <c r="J1073" s="1" t="str">
        <f t="shared" si="99"/>
        <v>Violin production item #117</v>
      </c>
      <c r="K1073" s="1" t="str">
        <f>IF(SUM(COUNTIFS(I:I, I1073)) &gt; 1, "DUPLICATE", "UNIQUE")</f>
        <v>UNIQUE</v>
      </c>
      <c r="L1073" s="18">
        <v>0</v>
      </c>
      <c r="M1073" s="28">
        <v>77</v>
      </c>
      <c r="N1073" s="6">
        <v>36</v>
      </c>
      <c r="O1073" s="30">
        <f t="shared" si="100"/>
        <v>0</v>
      </c>
      <c r="P1073" s="30">
        <f t="shared" si="101"/>
        <v>2772</v>
      </c>
      <c r="Q1073" s="1">
        <f>COUNTIFS($P:$P, "&gt;" &amp; $P1073) + 1</f>
        <v>2966</v>
      </c>
      <c r="R1073" s="63">
        <f>(COUNTIFS($P:$P, "&gt;" &amp; $P1073) + 1) / (COUNTA($I:$I) - 1)</f>
        <v>0.59319999999999995</v>
      </c>
      <c r="S1073" s="23">
        <f>SUMIFS($P:$P, $Q:$Q, "&lt;" &amp; $Q1073)</f>
        <v>184840084</v>
      </c>
    </row>
    <row r="1074" spans="1:19" x14ac:dyDescent="0.25">
      <c r="A1074" s="1">
        <v>1069</v>
      </c>
      <c r="B1074" s="1" t="s">
        <v>2</v>
      </c>
      <c r="C1074" s="1" t="str">
        <f>IF($B1074 = "Production Item", _xlfn.XLOOKUP($A1074, 'Instrument Table'!$J:$J, 'Instrument Table'!$B:$B, $C1073), IF($B1074 = "Service Item", _xlfn.XLOOKUP($A1074, 'Instrument Table'!$I:$I, 'Instrument Table'!$B:$B, $C1073), _xlfn.XLOOKUP($A1074, 'Instrument Table'!$H:$H, 'Instrument Table'!$B:$B, $C1073)))</f>
        <v>Violin</v>
      </c>
      <c r="D1074" s="1" t="str">
        <f>VLOOKUP($C1074, 'Instrument Table'!$B:$C, 2, FALSE)</f>
        <v>Strings</v>
      </c>
      <c r="E1074" s="1">
        <f t="shared" si="96"/>
        <v>1</v>
      </c>
      <c r="F1074" s="1">
        <f>_xlfn.XLOOKUP($C1074, 'Instrument Table'!$B:$B, 'Instrument Table'!$A:$A, "")</f>
        <v>20</v>
      </c>
      <c r="G1074" s="1" t="str">
        <f>TEXT(IF($B1074 = "Retail Item", IF((ROW($A1074) - 4504 - _xlfn.XMATCH($C1074, $C$4506:$C$5005, 0, 1)) &lt;= VLOOKUP($C1074, 'Instrument Table'!$B:$D, 3, FALSE), ROW($A1074) - 4504 - _xlfn.XMATCH($C1074, $C$4506:$C$5005, 0, 1), 0), 0), "00")</f>
        <v>00</v>
      </c>
      <c r="H1074" s="1" t="str">
        <f t="shared" si="97"/>
        <v>118</v>
      </c>
      <c r="I1074" s="1" t="str">
        <f t="shared" si="98"/>
        <v>12000-118</v>
      </c>
      <c r="J1074" s="1" t="str">
        <f t="shared" si="99"/>
        <v>Violin production item #118</v>
      </c>
      <c r="K1074" s="1" t="str">
        <f>IF(SUM(COUNTIFS(I:I, I1074)) &gt; 1, "DUPLICATE", "UNIQUE")</f>
        <v>UNIQUE</v>
      </c>
      <c r="L1074" s="18">
        <v>0</v>
      </c>
      <c r="M1074" s="28">
        <v>16</v>
      </c>
      <c r="N1074" s="6">
        <v>100</v>
      </c>
      <c r="O1074" s="30">
        <f t="shared" si="100"/>
        <v>0</v>
      </c>
      <c r="P1074" s="30">
        <f t="shared" si="101"/>
        <v>1600</v>
      </c>
      <c r="Q1074" s="1">
        <f>COUNTIFS($P:$P, "&gt;" &amp; $P1074) + 1</f>
        <v>3401</v>
      </c>
      <c r="R1074" s="63">
        <f>(COUNTIFS($P:$P, "&gt;" &amp; $P1074) + 1) / (COUNTA($I:$I) - 1)</f>
        <v>0.68020000000000003</v>
      </c>
      <c r="S1074" s="23">
        <f>SUMIFS($P:$P, $Q:$Q, "&lt;" &amp; $Q1074)</f>
        <v>185786623</v>
      </c>
    </row>
    <row r="1075" spans="1:19" x14ac:dyDescent="0.25">
      <c r="A1075" s="1">
        <v>1070</v>
      </c>
      <c r="B1075" s="1" t="s">
        <v>2</v>
      </c>
      <c r="C1075" s="1" t="str">
        <f>IF($B1075 = "Production Item", _xlfn.XLOOKUP($A1075, 'Instrument Table'!$J:$J, 'Instrument Table'!$B:$B, $C1074), IF($B1075 = "Service Item", _xlfn.XLOOKUP($A1075, 'Instrument Table'!$I:$I, 'Instrument Table'!$B:$B, $C1074), _xlfn.XLOOKUP($A1075, 'Instrument Table'!$H:$H, 'Instrument Table'!$B:$B, $C1074)))</f>
        <v>Violin</v>
      </c>
      <c r="D1075" s="1" t="str">
        <f>VLOOKUP($C1075, 'Instrument Table'!$B:$C, 2, FALSE)</f>
        <v>Strings</v>
      </c>
      <c r="E1075" s="1">
        <f t="shared" si="96"/>
        <v>1</v>
      </c>
      <c r="F1075" s="1">
        <f>_xlfn.XLOOKUP($C1075, 'Instrument Table'!$B:$B, 'Instrument Table'!$A:$A, "")</f>
        <v>20</v>
      </c>
      <c r="G1075" s="1" t="str">
        <f>TEXT(IF($B1075 = "Retail Item", IF((ROW($A1075) - 4504 - _xlfn.XMATCH($C1075, $C$4506:$C$5005, 0, 1)) &lt;= VLOOKUP($C1075, 'Instrument Table'!$B:$D, 3, FALSE), ROW($A1075) - 4504 - _xlfn.XMATCH($C1075, $C$4506:$C$5005, 0, 1), 0), 0), "00")</f>
        <v>00</v>
      </c>
      <c r="H1075" s="1" t="str">
        <f t="shared" si="97"/>
        <v>119</v>
      </c>
      <c r="I1075" s="1" t="str">
        <f t="shared" si="98"/>
        <v>12000-119</v>
      </c>
      <c r="J1075" s="1" t="str">
        <f t="shared" si="99"/>
        <v>Violin production item #119</v>
      </c>
      <c r="K1075" s="1" t="str">
        <f>IF(SUM(COUNTIFS(I:I, I1075)) &gt; 1, "DUPLICATE", "UNIQUE")</f>
        <v>UNIQUE</v>
      </c>
      <c r="L1075" s="18">
        <v>16</v>
      </c>
      <c r="M1075" s="28">
        <v>50</v>
      </c>
      <c r="N1075" s="6">
        <v>49</v>
      </c>
      <c r="O1075" s="30">
        <f t="shared" si="100"/>
        <v>800</v>
      </c>
      <c r="P1075" s="30">
        <f t="shared" si="101"/>
        <v>2450</v>
      </c>
      <c r="Q1075" s="1">
        <f>COUNTIFS($P:$P, "&gt;" &amp; $P1075) + 1</f>
        <v>3067</v>
      </c>
      <c r="R1075" s="63">
        <f>(COUNTIFS($P:$P, "&gt;" &amp; $P1075) + 1) / (COUNTA($I:$I) - 1)</f>
        <v>0.61339999999999995</v>
      </c>
      <c r="S1075" s="23">
        <f>SUMIFS($P:$P, $Q:$Q, "&lt;" &amp; $Q1075)</f>
        <v>185102873</v>
      </c>
    </row>
    <row r="1076" spans="1:19" x14ac:dyDescent="0.25">
      <c r="A1076" s="1">
        <v>1071</v>
      </c>
      <c r="B1076" s="1" t="s">
        <v>2</v>
      </c>
      <c r="C1076" s="1" t="str">
        <f>IF($B1076 = "Production Item", _xlfn.XLOOKUP($A1076, 'Instrument Table'!$J:$J, 'Instrument Table'!$B:$B, $C1075), IF($B1076 = "Service Item", _xlfn.XLOOKUP($A1076, 'Instrument Table'!$I:$I, 'Instrument Table'!$B:$B, $C1075), _xlfn.XLOOKUP($A1076, 'Instrument Table'!$H:$H, 'Instrument Table'!$B:$B, $C1075)))</f>
        <v>Violin</v>
      </c>
      <c r="D1076" s="1" t="str">
        <f>VLOOKUP($C1076, 'Instrument Table'!$B:$C, 2, FALSE)</f>
        <v>Strings</v>
      </c>
      <c r="E1076" s="1">
        <f t="shared" si="96"/>
        <v>1</v>
      </c>
      <c r="F1076" s="1">
        <f>_xlfn.XLOOKUP($C1076, 'Instrument Table'!$B:$B, 'Instrument Table'!$A:$A, "")</f>
        <v>20</v>
      </c>
      <c r="G1076" s="1" t="str">
        <f>TEXT(IF($B1076 = "Retail Item", IF((ROW($A1076) - 4504 - _xlfn.XMATCH($C1076, $C$4506:$C$5005, 0, 1)) &lt;= VLOOKUP($C1076, 'Instrument Table'!$B:$D, 3, FALSE), ROW($A1076) - 4504 - _xlfn.XMATCH($C1076, $C$4506:$C$5005, 0, 1), 0), 0), "00")</f>
        <v>00</v>
      </c>
      <c r="H1076" s="1" t="str">
        <f t="shared" si="97"/>
        <v>120</v>
      </c>
      <c r="I1076" s="1" t="str">
        <f t="shared" si="98"/>
        <v>12000-120</v>
      </c>
      <c r="J1076" s="1" t="str">
        <f t="shared" si="99"/>
        <v>Violin production item #120</v>
      </c>
      <c r="K1076" s="1" t="str">
        <f>IF(SUM(COUNTIFS(I:I, I1076)) &gt; 1, "DUPLICATE", "UNIQUE")</f>
        <v>UNIQUE</v>
      </c>
      <c r="L1076" s="18">
        <v>0</v>
      </c>
      <c r="M1076" s="28">
        <v>10</v>
      </c>
      <c r="N1076" s="6">
        <v>4</v>
      </c>
      <c r="O1076" s="30">
        <f t="shared" si="100"/>
        <v>0</v>
      </c>
      <c r="P1076" s="30">
        <f t="shared" si="101"/>
        <v>40</v>
      </c>
      <c r="Q1076" s="1">
        <f>COUNTIFS($P:$P, "&gt;" &amp; $P1076) + 1</f>
        <v>4640</v>
      </c>
      <c r="R1076" s="63">
        <f>(COUNTIFS($P:$P, "&gt;" &amp; $P1076) + 1) / (COUNTA($I:$I) - 1)</f>
        <v>0.92800000000000005</v>
      </c>
      <c r="S1076" s="23">
        <f>SUMIFS($P:$P, $Q:$Q, "&lt;" &amp; $Q1076)</f>
        <v>186545638</v>
      </c>
    </row>
    <row r="1077" spans="1:19" x14ac:dyDescent="0.25">
      <c r="A1077" s="1">
        <v>1072</v>
      </c>
      <c r="B1077" s="1" t="s">
        <v>2</v>
      </c>
      <c r="C1077" s="1" t="str">
        <f>IF($B1077 = "Production Item", _xlfn.XLOOKUP($A1077, 'Instrument Table'!$J:$J, 'Instrument Table'!$B:$B, $C1076), IF($B1077 = "Service Item", _xlfn.XLOOKUP($A1077, 'Instrument Table'!$I:$I, 'Instrument Table'!$B:$B, $C1076), _xlfn.XLOOKUP($A1077, 'Instrument Table'!$H:$H, 'Instrument Table'!$B:$B, $C1076)))</f>
        <v>Violin</v>
      </c>
      <c r="D1077" s="1" t="str">
        <f>VLOOKUP($C1077, 'Instrument Table'!$B:$C, 2, FALSE)</f>
        <v>Strings</v>
      </c>
      <c r="E1077" s="1">
        <f t="shared" si="96"/>
        <v>1</v>
      </c>
      <c r="F1077" s="1">
        <f>_xlfn.XLOOKUP($C1077, 'Instrument Table'!$B:$B, 'Instrument Table'!$A:$A, "")</f>
        <v>20</v>
      </c>
      <c r="G1077" s="1" t="str">
        <f>TEXT(IF($B1077 = "Retail Item", IF((ROW($A1077) - 4504 - _xlfn.XMATCH($C1077, $C$4506:$C$5005, 0, 1)) &lt;= VLOOKUP($C1077, 'Instrument Table'!$B:$D, 3, FALSE), ROW($A1077) - 4504 - _xlfn.XMATCH($C1077, $C$4506:$C$5005, 0, 1), 0), 0), "00")</f>
        <v>00</v>
      </c>
      <c r="H1077" s="1" t="str">
        <f t="shared" si="97"/>
        <v>121</v>
      </c>
      <c r="I1077" s="1" t="str">
        <f t="shared" si="98"/>
        <v>12000-121</v>
      </c>
      <c r="J1077" s="1" t="str">
        <f t="shared" si="99"/>
        <v>Violin production item #121</v>
      </c>
      <c r="K1077" s="1" t="str">
        <f>IF(SUM(COUNTIFS(I:I, I1077)) &gt; 1, "DUPLICATE", "UNIQUE")</f>
        <v>UNIQUE</v>
      </c>
      <c r="L1077" s="18">
        <v>8</v>
      </c>
      <c r="M1077" s="28">
        <v>77</v>
      </c>
      <c r="N1077" s="6">
        <v>81</v>
      </c>
      <c r="O1077" s="30">
        <f t="shared" si="100"/>
        <v>616</v>
      </c>
      <c r="P1077" s="30">
        <f t="shared" si="101"/>
        <v>6237</v>
      </c>
      <c r="Q1077" s="1">
        <f>COUNTIFS($P:$P, "&gt;" &amp; $P1077) + 1</f>
        <v>2230</v>
      </c>
      <c r="R1077" s="63">
        <f>(COUNTIFS($P:$P, "&gt;" &amp; $P1077) + 1) / (COUNTA($I:$I) - 1)</f>
        <v>0.44600000000000001</v>
      </c>
      <c r="S1077" s="23">
        <f>SUMIFS($P:$P, $Q:$Q, "&lt;" &amp; $Q1077)</f>
        <v>181644219</v>
      </c>
    </row>
    <row r="1078" spans="1:19" x14ac:dyDescent="0.25">
      <c r="A1078" s="1">
        <v>1073</v>
      </c>
      <c r="B1078" s="1" t="s">
        <v>2</v>
      </c>
      <c r="C1078" s="1" t="str">
        <f>IF($B1078 = "Production Item", _xlfn.XLOOKUP($A1078, 'Instrument Table'!$J:$J, 'Instrument Table'!$B:$B, $C1077), IF($B1078 = "Service Item", _xlfn.XLOOKUP($A1078, 'Instrument Table'!$I:$I, 'Instrument Table'!$B:$B, $C1077), _xlfn.XLOOKUP($A1078, 'Instrument Table'!$H:$H, 'Instrument Table'!$B:$B, $C1077)))</f>
        <v>Violin</v>
      </c>
      <c r="D1078" s="1" t="str">
        <f>VLOOKUP($C1078, 'Instrument Table'!$B:$C, 2, FALSE)</f>
        <v>Strings</v>
      </c>
      <c r="E1078" s="1">
        <f t="shared" si="96"/>
        <v>1</v>
      </c>
      <c r="F1078" s="1">
        <f>_xlfn.XLOOKUP($C1078, 'Instrument Table'!$B:$B, 'Instrument Table'!$A:$A, "")</f>
        <v>20</v>
      </c>
      <c r="G1078" s="1" t="str">
        <f>TEXT(IF($B1078 = "Retail Item", IF((ROW($A1078) - 4504 - _xlfn.XMATCH($C1078, $C$4506:$C$5005, 0, 1)) &lt;= VLOOKUP($C1078, 'Instrument Table'!$B:$D, 3, FALSE), ROW($A1078) - 4504 - _xlfn.XMATCH($C1078, $C$4506:$C$5005, 0, 1), 0), 0), "00")</f>
        <v>00</v>
      </c>
      <c r="H1078" s="1" t="str">
        <f t="shared" si="97"/>
        <v>122</v>
      </c>
      <c r="I1078" s="1" t="str">
        <f t="shared" si="98"/>
        <v>12000-122</v>
      </c>
      <c r="J1078" s="1" t="str">
        <f t="shared" si="99"/>
        <v>Violin production item #122</v>
      </c>
      <c r="K1078" s="1" t="str">
        <f>IF(SUM(COUNTIFS(I:I, I1078)) &gt; 1, "DUPLICATE", "UNIQUE")</f>
        <v>UNIQUE</v>
      </c>
      <c r="L1078" s="18">
        <v>0</v>
      </c>
      <c r="M1078" s="28">
        <v>85</v>
      </c>
      <c r="N1078" s="6">
        <v>144</v>
      </c>
      <c r="O1078" s="30">
        <f t="shared" si="100"/>
        <v>0</v>
      </c>
      <c r="P1078" s="30">
        <f t="shared" si="101"/>
        <v>12240</v>
      </c>
      <c r="Q1078" s="1">
        <f>COUNTIFS($P:$P, "&gt;" &amp; $P1078) + 1</f>
        <v>1558</v>
      </c>
      <c r="R1078" s="63">
        <f>(COUNTIFS($P:$P, "&gt;" &amp; $P1078) + 1) / (COUNTA($I:$I) - 1)</f>
        <v>0.31159999999999999</v>
      </c>
      <c r="S1078" s="23">
        <f>SUMIFS($P:$P, $Q:$Q, "&lt;" &amp; $Q1078)</f>
        <v>175573402</v>
      </c>
    </row>
    <row r="1079" spans="1:19" x14ac:dyDescent="0.25">
      <c r="A1079" s="1">
        <v>1074</v>
      </c>
      <c r="B1079" s="1" t="s">
        <v>2</v>
      </c>
      <c r="C1079" s="1" t="str">
        <f>IF($B1079 = "Production Item", _xlfn.XLOOKUP($A1079, 'Instrument Table'!$J:$J, 'Instrument Table'!$B:$B, $C1078), IF($B1079 = "Service Item", _xlfn.XLOOKUP($A1079, 'Instrument Table'!$I:$I, 'Instrument Table'!$B:$B, $C1078), _xlfn.XLOOKUP($A1079, 'Instrument Table'!$H:$H, 'Instrument Table'!$B:$B, $C1078)))</f>
        <v>Violin</v>
      </c>
      <c r="D1079" s="1" t="str">
        <f>VLOOKUP($C1079, 'Instrument Table'!$B:$C, 2, FALSE)</f>
        <v>Strings</v>
      </c>
      <c r="E1079" s="1">
        <f t="shared" si="96"/>
        <v>1</v>
      </c>
      <c r="F1079" s="1">
        <f>_xlfn.XLOOKUP($C1079, 'Instrument Table'!$B:$B, 'Instrument Table'!$A:$A, "")</f>
        <v>20</v>
      </c>
      <c r="G1079" s="1" t="str">
        <f>TEXT(IF($B1079 = "Retail Item", IF((ROW($A1079) - 4504 - _xlfn.XMATCH($C1079, $C$4506:$C$5005, 0, 1)) &lt;= VLOOKUP($C1079, 'Instrument Table'!$B:$D, 3, FALSE), ROW($A1079) - 4504 - _xlfn.XMATCH($C1079, $C$4506:$C$5005, 0, 1), 0), 0), "00")</f>
        <v>00</v>
      </c>
      <c r="H1079" s="1" t="str">
        <f t="shared" si="97"/>
        <v>123</v>
      </c>
      <c r="I1079" s="1" t="str">
        <f t="shared" si="98"/>
        <v>12000-123</v>
      </c>
      <c r="J1079" s="1" t="str">
        <f t="shared" si="99"/>
        <v>Violin production item #123</v>
      </c>
      <c r="K1079" s="1" t="str">
        <f>IF(SUM(COUNTIFS(I:I, I1079)) &gt; 1, "DUPLICATE", "UNIQUE")</f>
        <v>UNIQUE</v>
      </c>
      <c r="L1079" s="18">
        <v>0</v>
      </c>
      <c r="M1079" s="28">
        <v>13</v>
      </c>
      <c r="N1079" s="6">
        <v>9</v>
      </c>
      <c r="O1079" s="30">
        <f t="shared" si="100"/>
        <v>0</v>
      </c>
      <c r="P1079" s="30">
        <f t="shared" si="101"/>
        <v>117</v>
      </c>
      <c r="Q1079" s="1">
        <f>COUNTIFS($P:$P, "&gt;" &amp; $P1079) + 1</f>
        <v>4429</v>
      </c>
      <c r="R1079" s="63">
        <f>(COUNTIFS($P:$P, "&gt;" &amp; $P1079) + 1) / (COUNTA($I:$I) - 1)</f>
        <v>0.88580000000000003</v>
      </c>
      <c r="S1079" s="23">
        <f>SUMIFS($P:$P, $Q:$Q, "&lt;" &amp; $Q1079)</f>
        <v>186529879</v>
      </c>
    </row>
    <row r="1080" spans="1:19" x14ac:dyDescent="0.25">
      <c r="A1080" s="1">
        <v>1075</v>
      </c>
      <c r="B1080" s="1" t="s">
        <v>2</v>
      </c>
      <c r="C1080" s="1" t="str">
        <f>IF($B1080 = "Production Item", _xlfn.XLOOKUP($A1080, 'Instrument Table'!$J:$J, 'Instrument Table'!$B:$B, $C1079), IF($B1080 = "Service Item", _xlfn.XLOOKUP($A1080, 'Instrument Table'!$I:$I, 'Instrument Table'!$B:$B, $C1079), _xlfn.XLOOKUP($A1080, 'Instrument Table'!$H:$H, 'Instrument Table'!$B:$B, $C1079)))</f>
        <v>Violin</v>
      </c>
      <c r="D1080" s="1" t="str">
        <f>VLOOKUP($C1080, 'Instrument Table'!$B:$C, 2, FALSE)</f>
        <v>Strings</v>
      </c>
      <c r="E1080" s="1">
        <f t="shared" si="96"/>
        <v>1</v>
      </c>
      <c r="F1080" s="1">
        <f>_xlfn.XLOOKUP($C1080, 'Instrument Table'!$B:$B, 'Instrument Table'!$A:$A, "")</f>
        <v>20</v>
      </c>
      <c r="G1080" s="1" t="str">
        <f>TEXT(IF($B1080 = "Retail Item", IF((ROW($A1080) - 4504 - _xlfn.XMATCH($C1080, $C$4506:$C$5005, 0, 1)) &lt;= VLOOKUP($C1080, 'Instrument Table'!$B:$D, 3, FALSE), ROW($A1080) - 4504 - _xlfn.XMATCH($C1080, $C$4506:$C$5005, 0, 1), 0), 0), "00")</f>
        <v>00</v>
      </c>
      <c r="H1080" s="1" t="str">
        <f t="shared" si="97"/>
        <v>124</v>
      </c>
      <c r="I1080" s="1" t="str">
        <f t="shared" si="98"/>
        <v>12000-124</v>
      </c>
      <c r="J1080" s="1" t="str">
        <f t="shared" si="99"/>
        <v>Violin production item #124</v>
      </c>
      <c r="K1080" s="1" t="str">
        <f>IF(SUM(COUNTIFS(I:I, I1080)) &gt; 1, "DUPLICATE", "UNIQUE")</f>
        <v>UNIQUE</v>
      </c>
      <c r="L1080" s="18">
        <v>1</v>
      </c>
      <c r="M1080" s="28">
        <v>89</v>
      </c>
      <c r="N1080" s="6">
        <v>225</v>
      </c>
      <c r="O1080" s="30">
        <f t="shared" si="100"/>
        <v>89</v>
      </c>
      <c r="P1080" s="30">
        <f t="shared" si="101"/>
        <v>20025</v>
      </c>
      <c r="Q1080" s="1">
        <f>COUNTIFS($P:$P, "&gt;" &amp; $P1080) + 1</f>
        <v>1055</v>
      </c>
      <c r="R1080" s="63">
        <f>(COUNTIFS($P:$P, "&gt;" &amp; $P1080) + 1) / (COUNTA($I:$I) - 1)</f>
        <v>0.21099999999999999</v>
      </c>
      <c r="S1080" s="23">
        <f>SUMIFS($P:$P, $Q:$Q, "&lt;" &amp; $Q1080)</f>
        <v>167623196</v>
      </c>
    </row>
    <row r="1081" spans="1:19" x14ac:dyDescent="0.25">
      <c r="A1081" s="1">
        <v>1076</v>
      </c>
      <c r="B1081" s="1" t="s">
        <v>2</v>
      </c>
      <c r="C1081" s="1" t="str">
        <f>IF($B1081 = "Production Item", _xlfn.XLOOKUP($A1081, 'Instrument Table'!$J:$J, 'Instrument Table'!$B:$B, $C1080), IF($B1081 = "Service Item", _xlfn.XLOOKUP($A1081, 'Instrument Table'!$I:$I, 'Instrument Table'!$B:$B, $C1080), _xlfn.XLOOKUP($A1081, 'Instrument Table'!$H:$H, 'Instrument Table'!$B:$B, $C1080)))</f>
        <v>Violin</v>
      </c>
      <c r="D1081" s="1" t="str">
        <f>VLOOKUP($C1081, 'Instrument Table'!$B:$C, 2, FALSE)</f>
        <v>Strings</v>
      </c>
      <c r="E1081" s="1">
        <f t="shared" si="96"/>
        <v>1</v>
      </c>
      <c r="F1081" s="1">
        <f>_xlfn.XLOOKUP($C1081, 'Instrument Table'!$B:$B, 'Instrument Table'!$A:$A, "")</f>
        <v>20</v>
      </c>
      <c r="G1081" s="1" t="str">
        <f>TEXT(IF($B1081 = "Retail Item", IF((ROW($A1081) - 4504 - _xlfn.XMATCH($C1081, $C$4506:$C$5005, 0, 1)) &lt;= VLOOKUP($C1081, 'Instrument Table'!$B:$D, 3, FALSE), ROW($A1081) - 4504 - _xlfn.XMATCH($C1081, $C$4506:$C$5005, 0, 1), 0), 0), "00")</f>
        <v>00</v>
      </c>
      <c r="H1081" s="1" t="str">
        <f t="shared" si="97"/>
        <v>125</v>
      </c>
      <c r="I1081" s="1" t="str">
        <f t="shared" si="98"/>
        <v>12000-125</v>
      </c>
      <c r="J1081" s="1" t="str">
        <f t="shared" si="99"/>
        <v>Violin production item #125</v>
      </c>
      <c r="K1081" s="1" t="str">
        <f>IF(SUM(COUNTIFS(I:I, I1081)) &gt; 1, "DUPLICATE", "UNIQUE")</f>
        <v>UNIQUE</v>
      </c>
      <c r="L1081" s="18">
        <v>0</v>
      </c>
      <c r="M1081" s="28">
        <v>41</v>
      </c>
      <c r="N1081" s="6">
        <v>196</v>
      </c>
      <c r="O1081" s="30">
        <f t="shared" si="100"/>
        <v>0</v>
      </c>
      <c r="P1081" s="30">
        <f t="shared" si="101"/>
        <v>8036</v>
      </c>
      <c r="Q1081" s="1">
        <f>COUNTIFS($P:$P, "&gt;" &amp; $P1081) + 1</f>
        <v>1982</v>
      </c>
      <c r="R1081" s="63">
        <f>(COUNTIFS($P:$P, "&gt;" &amp; $P1081) + 1) / (COUNTA($I:$I) - 1)</f>
        <v>0.39639999999999997</v>
      </c>
      <c r="S1081" s="23">
        <f>SUMIFS($P:$P, $Q:$Q, "&lt;" &amp; $Q1081)</f>
        <v>179852830</v>
      </c>
    </row>
    <row r="1082" spans="1:19" x14ac:dyDescent="0.25">
      <c r="A1082" s="1">
        <v>1077</v>
      </c>
      <c r="B1082" s="1" t="s">
        <v>2</v>
      </c>
      <c r="C1082" s="1" t="str">
        <f>IF($B1082 = "Production Item", _xlfn.XLOOKUP($A1082, 'Instrument Table'!$J:$J, 'Instrument Table'!$B:$B, $C1081), IF($B1082 = "Service Item", _xlfn.XLOOKUP($A1082, 'Instrument Table'!$I:$I, 'Instrument Table'!$B:$B, $C1081), _xlfn.XLOOKUP($A1082, 'Instrument Table'!$H:$H, 'Instrument Table'!$B:$B, $C1081)))</f>
        <v>Violin</v>
      </c>
      <c r="D1082" s="1" t="str">
        <f>VLOOKUP($C1082, 'Instrument Table'!$B:$C, 2, FALSE)</f>
        <v>Strings</v>
      </c>
      <c r="E1082" s="1">
        <f t="shared" si="96"/>
        <v>1</v>
      </c>
      <c r="F1082" s="1">
        <f>_xlfn.XLOOKUP($C1082, 'Instrument Table'!$B:$B, 'Instrument Table'!$A:$A, "")</f>
        <v>20</v>
      </c>
      <c r="G1082" s="1" t="str">
        <f>TEXT(IF($B1082 = "Retail Item", IF((ROW($A1082) - 4504 - _xlfn.XMATCH($C1082, $C$4506:$C$5005, 0, 1)) &lt;= VLOOKUP($C1082, 'Instrument Table'!$B:$D, 3, FALSE), ROW($A1082) - 4504 - _xlfn.XMATCH($C1082, $C$4506:$C$5005, 0, 1), 0), 0), "00")</f>
        <v>00</v>
      </c>
      <c r="H1082" s="1" t="str">
        <f t="shared" si="97"/>
        <v>126</v>
      </c>
      <c r="I1082" s="1" t="str">
        <f t="shared" si="98"/>
        <v>12000-126</v>
      </c>
      <c r="J1082" s="1" t="str">
        <f t="shared" si="99"/>
        <v>Violin production item #126</v>
      </c>
      <c r="K1082" s="1" t="str">
        <f>IF(SUM(COUNTIFS(I:I, I1082)) &gt; 1, "DUPLICATE", "UNIQUE")</f>
        <v>UNIQUE</v>
      </c>
      <c r="L1082" s="18">
        <v>0</v>
      </c>
      <c r="M1082" s="28">
        <v>10</v>
      </c>
      <c r="N1082" s="6">
        <v>289</v>
      </c>
      <c r="O1082" s="30">
        <f t="shared" si="100"/>
        <v>0</v>
      </c>
      <c r="P1082" s="30">
        <f t="shared" si="101"/>
        <v>2890</v>
      </c>
      <c r="Q1082" s="1">
        <f>COUNTIFS($P:$P, "&gt;" &amp; $P1082) + 1</f>
        <v>2937</v>
      </c>
      <c r="R1082" s="63">
        <f>(COUNTIFS($P:$P, "&gt;" &amp; $P1082) + 1) / (COUNTA($I:$I) - 1)</f>
        <v>0.58740000000000003</v>
      </c>
      <c r="S1082" s="23">
        <f>SUMIFS($P:$P, $Q:$Q, "&lt;" &amp; $Q1082)</f>
        <v>184757647</v>
      </c>
    </row>
    <row r="1083" spans="1:19" x14ac:dyDescent="0.25">
      <c r="A1083" s="1">
        <v>1078</v>
      </c>
      <c r="B1083" s="1" t="s">
        <v>2</v>
      </c>
      <c r="C1083" s="1" t="str">
        <f>IF($B1083 = "Production Item", _xlfn.XLOOKUP($A1083, 'Instrument Table'!$J:$J, 'Instrument Table'!$B:$B, $C1082), IF($B1083 = "Service Item", _xlfn.XLOOKUP($A1083, 'Instrument Table'!$I:$I, 'Instrument Table'!$B:$B, $C1082), _xlfn.XLOOKUP($A1083, 'Instrument Table'!$H:$H, 'Instrument Table'!$B:$B, $C1082)))</f>
        <v>Violin</v>
      </c>
      <c r="D1083" s="1" t="str">
        <f>VLOOKUP($C1083, 'Instrument Table'!$B:$C, 2, FALSE)</f>
        <v>Strings</v>
      </c>
      <c r="E1083" s="1">
        <f t="shared" si="96"/>
        <v>1</v>
      </c>
      <c r="F1083" s="1">
        <f>_xlfn.XLOOKUP($C1083, 'Instrument Table'!$B:$B, 'Instrument Table'!$A:$A, "")</f>
        <v>20</v>
      </c>
      <c r="G1083" s="1" t="str">
        <f>TEXT(IF($B1083 = "Retail Item", IF((ROW($A1083) - 4504 - _xlfn.XMATCH($C1083, $C$4506:$C$5005, 0, 1)) &lt;= VLOOKUP($C1083, 'Instrument Table'!$B:$D, 3, FALSE), ROW($A1083) - 4504 - _xlfn.XMATCH($C1083, $C$4506:$C$5005, 0, 1), 0), 0), "00")</f>
        <v>00</v>
      </c>
      <c r="H1083" s="1" t="str">
        <f t="shared" si="97"/>
        <v>127</v>
      </c>
      <c r="I1083" s="1" t="str">
        <f t="shared" si="98"/>
        <v>12000-127</v>
      </c>
      <c r="J1083" s="1" t="str">
        <f t="shared" si="99"/>
        <v>Violin production item #127</v>
      </c>
      <c r="K1083" s="1" t="str">
        <f>IF(SUM(COUNTIFS(I:I, I1083)) &gt; 1, "DUPLICATE", "UNIQUE")</f>
        <v>UNIQUE</v>
      </c>
      <c r="L1083" s="18">
        <v>1</v>
      </c>
      <c r="M1083" s="28">
        <v>69</v>
      </c>
      <c r="N1083" s="6">
        <v>36</v>
      </c>
      <c r="O1083" s="30">
        <f t="shared" si="100"/>
        <v>69</v>
      </c>
      <c r="P1083" s="30">
        <f t="shared" si="101"/>
        <v>2484</v>
      </c>
      <c r="Q1083" s="1">
        <f>COUNTIFS($P:$P, "&gt;" &amp; $P1083) + 1</f>
        <v>3061</v>
      </c>
      <c r="R1083" s="63">
        <f>(COUNTIFS($P:$P, "&gt;" &amp; $P1083) + 1) / (COUNTA($I:$I) - 1)</f>
        <v>0.61219999999999997</v>
      </c>
      <c r="S1083" s="23">
        <f>SUMIFS($P:$P, $Q:$Q, "&lt;" &amp; $Q1083)</f>
        <v>185088014</v>
      </c>
    </row>
    <row r="1084" spans="1:19" x14ac:dyDescent="0.25">
      <c r="A1084" s="1">
        <v>1079</v>
      </c>
      <c r="B1084" s="1" t="s">
        <v>2</v>
      </c>
      <c r="C1084" s="1" t="str">
        <f>IF($B1084 = "Production Item", _xlfn.XLOOKUP($A1084, 'Instrument Table'!$J:$J, 'Instrument Table'!$B:$B, $C1083), IF($B1084 = "Service Item", _xlfn.XLOOKUP($A1084, 'Instrument Table'!$I:$I, 'Instrument Table'!$B:$B, $C1083), _xlfn.XLOOKUP($A1084, 'Instrument Table'!$H:$H, 'Instrument Table'!$B:$B, $C1083)))</f>
        <v>Violin</v>
      </c>
      <c r="D1084" s="1" t="str">
        <f>VLOOKUP($C1084, 'Instrument Table'!$B:$C, 2, FALSE)</f>
        <v>Strings</v>
      </c>
      <c r="E1084" s="1">
        <f t="shared" si="96"/>
        <v>1</v>
      </c>
      <c r="F1084" s="1">
        <f>_xlfn.XLOOKUP($C1084, 'Instrument Table'!$B:$B, 'Instrument Table'!$A:$A, "")</f>
        <v>20</v>
      </c>
      <c r="G1084" s="1" t="str">
        <f>TEXT(IF($B1084 = "Retail Item", IF((ROW($A1084) - 4504 - _xlfn.XMATCH($C1084, $C$4506:$C$5005, 0, 1)) &lt;= VLOOKUP($C1084, 'Instrument Table'!$B:$D, 3, FALSE), ROW($A1084) - 4504 - _xlfn.XMATCH($C1084, $C$4506:$C$5005, 0, 1), 0), 0), "00")</f>
        <v>00</v>
      </c>
      <c r="H1084" s="1" t="str">
        <f t="shared" si="97"/>
        <v>128</v>
      </c>
      <c r="I1084" s="1" t="str">
        <f t="shared" si="98"/>
        <v>12000-128</v>
      </c>
      <c r="J1084" s="1" t="str">
        <f t="shared" si="99"/>
        <v>Violin production item #128</v>
      </c>
      <c r="K1084" s="1" t="str">
        <f>IF(SUM(COUNTIFS(I:I, I1084)) &gt; 1, "DUPLICATE", "UNIQUE")</f>
        <v>UNIQUE</v>
      </c>
      <c r="L1084" s="18">
        <v>1</v>
      </c>
      <c r="M1084" s="28">
        <v>26</v>
      </c>
      <c r="N1084" s="6">
        <v>400</v>
      </c>
      <c r="O1084" s="30">
        <f t="shared" si="100"/>
        <v>26</v>
      </c>
      <c r="P1084" s="30">
        <f t="shared" si="101"/>
        <v>10400</v>
      </c>
      <c r="Q1084" s="1">
        <f>COUNTIFS($P:$P, "&gt;" &amp; $P1084) + 1</f>
        <v>1738</v>
      </c>
      <c r="R1084" s="63">
        <f>(COUNTIFS($P:$P, "&gt;" &amp; $P1084) + 1) / (COUNTA($I:$I) - 1)</f>
        <v>0.34760000000000002</v>
      </c>
      <c r="S1084" s="23">
        <f>SUMIFS($P:$P, $Q:$Q, "&lt;" &amp; $Q1084)</f>
        <v>177617792</v>
      </c>
    </row>
    <row r="1085" spans="1:19" x14ac:dyDescent="0.25">
      <c r="A1085" s="1">
        <v>1080</v>
      </c>
      <c r="B1085" s="1" t="s">
        <v>2</v>
      </c>
      <c r="C1085" s="1" t="str">
        <f>IF($B1085 = "Production Item", _xlfn.XLOOKUP($A1085, 'Instrument Table'!$J:$J, 'Instrument Table'!$B:$B, $C1084), IF($B1085 = "Service Item", _xlfn.XLOOKUP($A1085, 'Instrument Table'!$I:$I, 'Instrument Table'!$B:$B, $C1084), _xlfn.XLOOKUP($A1085, 'Instrument Table'!$H:$H, 'Instrument Table'!$B:$B, $C1084)))</f>
        <v>Violin</v>
      </c>
      <c r="D1085" s="1" t="str">
        <f>VLOOKUP($C1085, 'Instrument Table'!$B:$C, 2, FALSE)</f>
        <v>Strings</v>
      </c>
      <c r="E1085" s="1">
        <f t="shared" si="96"/>
        <v>1</v>
      </c>
      <c r="F1085" s="1">
        <f>_xlfn.XLOOKUP($C1085, 'Instrument Table'!$B:$B, 'Instrument Table'!$A:$A, "")</f>
        <v>20</v>
      </c>
      <c r="G1085" s="1" t="str">
        <f>TEXT(IF($B1085 = "Retail Item", IF((ROW($A1085) - 4504 - _xlfn.XMATCH($C1085, $C$4506:$C$5005, 0, 1)) &lt;= VLOOKUP($C1085, 'Instrument Table'!$B:$D, 3, FALSE), ROW($A1085) - 4504 - _xlfn.XMATCH($C1085, $C$4506:$C$5005, 0, 1), 0), 0), "00")</f>
        <v>00</v>
      </c>
      <c r="H1085" s="1" t="str">
        <f t="shared" si="97"/>
        <v>129</v>
      </c>
      <c r="I1085" s="1" t="str">
        <f t="shared" si="98"/>
        <v>12000-129</v>
      </c>
      <c r="J1085" s="1" t="str">
        <f t="shared" si="99"/>
        <v>Violin production item #129</v>
      </c>
      <c r="K1085" s="1" t="str">
        <f>IF(SUM(COUNTIFS(I:I, I1085)) &gt; 1, "DUPLICATE", "UNIQUE")</f>
        <v>UNIQUE</v>
      </c>
      <c r="L1085" s="18">
        <v>8</v>
      </c>
      <c r="M1085" s="28">
        <v>4</v>
      </c>
      <c r="N1085" s="6">
        <v>196</v>
      </c>
      <c r="O1085" s="30">
        <f t="shared" si="100"/>
        <v>32</v>
      </c>
      <c r="P1085" s="30">
        <f t="shared" si="101"/>
        <v>784</v>
      </c>
      <c r="Q1085" s="1">
        <f>COUNTIFS($P:$P, "&gt;" &amp; $P1085) + 1</f>
        <v>3800</v>
      </c>
      <c r="R1085" s="63">
        <f>(COUNTIFS($P:$P, "&gt;" &amp; $P1085) + 1) / (COUNTA($I:$I) - 1)</f>
        <v>0.76</v>
      </c>
      <c r="S1085" s="23">
        <f>SUMIFS($P:$P, $Q:$Q, "&lt;" &amp; $Q1085)</f>
        <v>186265643</v>
      </c>
    </row>
    <row r="1086" spans="1:19" x14ac:dyDescent="0.25">
      <c r="A1086" s="1">
        <v>1081</v>
      </c>
      <c r="B1086" s="1" t="s">
        <v>2</v>
      </c>
      <c r="C1086" s="1" t="str">
        <f>IF($B1086 = "Production Item", _xlfn.XLOOKUP($A1086, 'Instrument Table'!$J:$J, 'Instrument Table'!$B:$B, $C1085), IF($B1086 = "Service Item", _xlfn.XLOOKUP($A1086, 'Instrument Table'!$I:$I, 'Instrument Table'!$B:$B, $C1085), _xlfn.XLOOKUP($A1086, 'Instrument Table'!$H:$H, 'Instrument Table'!$B:$B, $C1085)))</f>
        <v>Violin</v>
      </c>
      <c r="D1086" s="1" t="str">
        <f>VLOOKUP($C1086, 'Instrument Table'!$B:$C, 2, FALSE)</f>
        <v>Strings</v>
      </c>
      <c r="E1086" s="1">
        <f t="shared" si="96"/>
        <v>1</v>
      </c>
      <c r="F1086" s="1">
        <f>_xlfn.XLOOKUP($C1086, 'Instrument Table'!$B:$B, 'Instrument Table'!$A:$A, "")</f>
        <v>20</v>
      </c>
      <c r="G1086" s="1" t="str">
        <f>TEXT(IF($B1086 = "Retail Item", IF((ROW($A1086) - 4504 - _xlfn.XMATCH($C1086, $C$4506:$C$5005, 0, 1)) &lt;= VLOOKUP($C1086, 'Instrument Table'!$B:$D, 3, FALSE), ROW($A1086) - 4504 - _xlfn.XMATCH($C1086, $C$4506:$C$5005, 0, 1), 0), 0), "00")</f>
        <v>00</v>
      </c>
      <c r="H1086" s="1" t="str">
        <f t="shared" si="97"/>
        <v>130</v>
      </c>
      <c r="I1086" s="1" t="str">
        <f t="shared" si="98"/>
        <v>12000-130</v>
      </c>
      <c r="J1086" s="1" t="str">
        <f t="shared" si="99"/>
        <v>Violin production item #130</v>
      </c>
      <c r="K1086" s="1" t="str">
        <f>IF(SUM(COUNTIFS(I:I, I1086)) &gt; 1, "DUPLICATE", "UNIQUE")</f>
        <v>UNIQUE</v>
      </c>
      <c r="L1086" s="18">
        <v>1</v>
      </c>
      <c r="M1086" s="28">
        <v>64</v>
      </c>
      <c r="N1086" s="6">
        <v>9</v>
      </c>
      <c r="O1086" s="30">
        <f t="shared" si="100"/>
        <v>64</v>
      </c>
      <c r="P1086" s="30">
        <f t="shared" si="101"/>
        <v>576</v>
      </c>
      <c r="Q1086" s="1">
        <f>COUNTIFS($P:$P, "&gt;" &amp; $P1086) + 1</f>
        <v>3957</v>
      </c>
      <c r="R1086" s="63">
        <f>(COUNTIFS($P:$P, "&gt;" &amp; $P1086) + 1) / (COUNTA($I:$I) - 1)</f>
        <v>0.79139999999999999</v>
      </c>
      <c r="S1086" s="23">
        <f>SUMIFS($P:$P, $Q:$Q, "&lt;" &amp; $Q1086)</f>
        <v>186374368</v>
      </c>
    </row>
    <row r="1087" spans="1:19" x14ac:dyDescent="0.25">
      <c r="A1087" s="1">
        <v>1082</v>
      </c>
      <c r="B1087" s="1" t="s">
        <v>2</v>
      </c>
      <c r="C1087" s="1" t="str">
        <f>IF($B1087 = "Production Item", _xlfn.XLOOKUP($A1087, 'Instrument Table'!$J:$J, 'Instrument Table'!$B:$B, $C1086), IF($B1087 = "Service Item", _xlfn.XLOOKUP($A1087, 'Instrument Table'!$I:$I, 'Instrument Table'!$B:$B, $C1086), _xlfn.XLOOKUP($A1087, 'Instrument Table'!$H:$H, 'Instrument Table'!$B:$B, $C1086)))</f>
        <v>Violin</v>
      </c>
      <c r="D1087" s="1" t="str">
        <f>VLOOKUP($C1087, 'Instrument Table'!$B:$C, 2, FALSE)</f>
        <v>Strings</v>
      </c>
      <c r="E1087" s="1">
        <f t="shared" si="96"/>
        <v>1</v>
      </c>
      <c r="F1087" s="1">
        <f>_xlfn.XLOOKUP($C1087, 'Instrument Table'!$B:$B, 'Instrument Table'!$A:$A, "")</f>
        <v>20</v>
      </c>
      <c r="G1087" s="1" t="str">
        <f>TEXT(IF($B1087 = "Retail Item", IF((ROW($A1087) - 4504 - _xlfn.XMATCH($C1087, $C$4506:$C$5005, 0, 1)) &lt;= VLOOKUP($C1087, 'Instrument Table'!$B:$D, 3, FALSE), ROW($A1087) - 4504 - _xlfn.XMATCH($C1087, $C$4506:$C$5005, 0, 1), 0), 0), "00")</f>
        <v>00</v>
      </c>
      <c r="H1087" s="1" t="str">
        <f t="shared" si="97"/>
        <v>131</v>
      </c>
      <c r="I1087" s="1" t="str">
        <f t="shared" si="98"/>
        <v>12000-131</v>
      </c>
      <c r="J1087" s="1" t="str">
        <f t="shared" si="99"/>
        <v>Violin production item #131</v>
      </c>
      <c r="K1087" s="1" t="str">
        <f>IF(SUM(COUNTIFS(I:I, I1087)) &gt; 1, "DUPLICATE", "UNIQUE")</f>
        <v>UNIQUE</v>
      </c>
      <c r="L1087" s="18">
        <v>32</v>
      </c>
      <c r="M1087" s="28">
        <v>90</v>
      </c>
      <c r="N1087" s="6">
        <v>81</v>
      </c>
      <c r="O1087" s="30">
        <f t="shared" si="100"/>
        <v>2880</v>
      </c>
      <c r="P1087" s="30">
        <f t="shared" si="101"/>
        <v>7290</v>
      </c>
      <c r="Q1087" s="1">
        <f>COUNTIFS($P:$P, "&gt;" &amp; $P1087) + 1</f>
        <v>2098</v>
      </c>
      <c r="R1087" s="63">
        <f>(COUNTIFS($P:$P, "&gt;" &amp; $P1087) + 1) / (COUNTA($I:$I) - 1)</f>
        <v>0.41959999999999997</v>
      </c>
      <c r="S1087" s="23">
        <f>SUMIFS($P:$P, $Q:$Q, "&lt;" &amp; $Q1087)</f>
        <v>180744113</v>
      </c>
    </row>
    <row r="1088" spans="1:19" x14ac:dyDescent="0.25">
      <c r="A1088" s="1">
        <v>1083</v>
      </c>
      <c r="B1088" s="1" t="s">
        <v>2</v>
      </c>
      <c r="C1088" s="1" t="str">
        <f>IF($B1088 = "Production Item", _xlfn.XLOOKUP($A1088, 'Instrument Table'!$J:$J, 'Instrument Table'!$B:$B, $C1087), IF($B1088 = "Service Item", _xlfn.XLOOKUP($A1088, 'Instrument Table'!$I:$I, 'Instrument Table'!$B:$B, $C1087), _xlfn.XLOOKUP($A1088, 'Instrument Table'!$H:$H, 'Instrument Table'!$B:$B, $C1087)))</f>
        <v>Violin</v>
      </c>
      <c r="D1088" s="1" t="str">
        <f>VLOOKUP($C1088, 'Instrument Table'!$B:$C, 2, FALSE)</f>
        <v>Strings</v>
      </c>
      <c r="E1088" s="1">
        <f t="shared" si="96"/>
        <v>1</v>
      </c>
      <c r="F1088" s="1">
        <f>_xlfn.XLOOKUP($C1088, 'Instrument Table'!$B:$B, 'Instrument Table'!$A:$A, "")</f>
        <v>20</v>
      </c>
      <c r="G1088" s="1" t="str">
        <f>TEXT(IF($B1088 = "Retail Item", IF((ROW($A1088) - 4504 - _xlfn.XMATCH($C1088, $C$4506:$C$5005, 0, 1)) &lt;= VLOOKUP($C1088, 'Instrument Table'!$B:$D, 3, FALSE), ROW($A1088) - 4504 - _xlfn.XMATCH($C1088, $C$4506:$C$5005, 0, 1), 0), 0), "00")</f>
        <v>00</v>
      </c>
      <c r="H1088" s="1" t="str">
        <f t="shared" si="97"/>
        <v>132</v>
      </c>
      <c r="I1088" s="1" t="str">
        <f t="shared" si="98"/>
        <v>12000-132</v>
      </c>
      <c r="J1088" s="1" t="str">
        <f t="shared" si="99"/>
        <v>Violin production item #132</v>
      </c>
      <c r="K1088" s="1" t="str">
        <f>IF(SUM(COUNTIFS(I:I, I1088)) &gt; 1, "DUPLICATE", "UNIQUE")</f>
        <v>UNIQUE</v>
      </c>
      <c r="L1088" s="18">
        <v>0</v>
      </c>
      <c r="M1088" s="28">
        <v>46</v>
      </c>
      <c r="N1088" s="6">
        <v>100</v>
      </c>
      <c r="O1088" s="30">
        <f t="shared" si="100"/>
        <v>0</v>
      </c>
      <c r="P1088" s="30">
        <f t="shared" si="101"/>
        <v>4600</v>
      </c>
      <c r="Q1088" s="1">
        <f>COUNTIFS($P:$P, "&gt;" &amp; $P1088) + 1</f>
        <v>2524</v>
      </c>
      <c r="R1088" s="63">
        <f>(COUNTIFS($P:$P, "&gt;" &amp; $P1088) + 1) / (COUNTA($I:$I) - 1)</f>
        <v>0.50480000000000003</v>
      </c>
      <c r="S1088" s="23">
        <f>SUMIFS($P:$P, $Q:$Q, "&lt;" &amp; $Q1088)</f>
        <v>183226841</v>
      </c>
    </row>
    <row r="1089" spans="1:19" x14ac:dyDescent="0.25">
      <c r="A1089" s="1">
        <v>1084</v>
      </c>
      <c r="B1089" s="1" t="s">
        <v>2</v>
      </c>
      <c r="C1089" s="1" t="str">
        <f>IF($B1089 = "Production Item", _xlfn.XLOOKUP($A1089, 'Instrument Table'!$J:$J, 'Instrument Table'!$B:$B, $C1088), IF($B1089 = "Service Item", _xlfn.XLOOKUP($A1089, 'Instrument Table'!$I:$I, 'Instrument Table'!$B:$B, $C1088), _xlfn.XLOOKUP($A1089, 'Instrument Table'!$H:$H, 'Instrument Table'!$B:$B, $C1088)))</f>
        <v>Violin</v>
      </c>
      <c r="D1089" s="1" t="str">
        <f>VLOOKUP($C1089, 'Instrument Table'!$B:$C, 2, FALSE)</f>
        <v>Strings</v>
      </c>
      <c r="E1089" s="1">
        <f t="shared" si="96"/>
        <v>1</v>
      </c>
      <c r="F1089" s="1">
        <f>_xlfn.XLOOKUP($C1089, 'Instrument Table'!$B:$B, 'Instrument Table'!$A:$A, "")</f>
        <v>20</v>
      </c>
      <c r="G1089" s="1" t="str">
        <f>TEXT(IF($B1089 = "Retail Item", IF((ROW($A1089) - 4504 - _xlfn.XMATCH($C1089, $C$4506:$C$5005, 0, 1)) &lt;= VLOOKUP($C1089, 'Instrument Table'!$B:$D, 3, FALSE), ROW($A1089) - 4504 - _xlfn.XMATCH($C1089, $C$4506:$C$5005, 0, 1), 0), 0), "00")</f>
        <v>00</v>
      </c>
      <c r="H1089" s="1" t="str">
        <f t="shared" si="97"/>
        <v>133</v>
      </c>
      <c r="I1089" s="1" t="str">
        <f t="shared" si="98"/>
        <v>12000-133</v>
      </c>
      <c r="J1089" s="1" t="str">
        <f t="shared" si="99"/>
        <v>Violin production item #133</v>
      </c>
      <c r="K1089" s="1" t="str">
        <f>IF(SUM(COUNTIFS(I:I, I1089)) &gt; 1, "DUPLICATE", "UNIQUE")</f>
        <v>UNIQUE</v>
      </c>
      <c r="L1089" s="18">
        <v>4</v>
      </c>
      <c r="M1089" s="28">
        <v>5</v>
      </c>
      <c r="N1089" s="6">
        <v>64</v>
      </c>
      <c r="O1089" s="30">
        <f t="shared" si="100"/>
        <v>20</v>
      </c>
      <c r="P1089" s="30">
        <f t="shared" si="101"/>
        <v>320</v>
      </c>
      <c r="Q1089" s="1">
        <f>COUNTIFS($P:$P, "&gt;" &amp; $P1089) + 1</f>
        <v>4192</v>
      </c>
      <c r="R1089" s="63">
        <f>(COUNTIFS($P:$P, "&gt;" &amp; $P1089) + 1) / (COUNTA($I:$I) - 1)</f>
        <v>0.83840000000000003</v>
      </c>
      <c r="S1089" s="23">
        <f>SUMIFS($P:$P, $Q:$Q, "&lt;" &amp; $Q1089)</f>
        <v>186477838</v>
      </c>
    </row>
    <row r="1090" spans="1:19" x14ac:dyDescent="0.25">
      <c r="A1090" s="1">
        <v>1085</v>
      </c>
      <c r="B1090" s="1" t="s">
        <v>2</v>
      </c>
      <c r="C1090" s="1" t="str">
        <f>IF($B1090 = "Production Item", _xlfn.XLOOKUP($A1090, 'Instrument Table'!$J:$J, 'Instrument Table'!$B:$B, $C1089), IF($B1090 = "Service Item", _xlfn.XLOOKUP($A1090, 'Instrument Table'!$I:$I, 'Instrument Table'!$B:$B, $C1089), _xlfn.XLOOKUP($A1090, 'Instrument Table'!$H:$H, 'Instrument Table'!$B:$B, $C1089)))</f>
        <v>Violin</v>
      </c>
      <c r="D1090" s="1" t="str">
        <f>VLOOKUP($C1090, 'Instrument Table'!$B:$C, 2, FALSE)</f>
        <v>Strings</v>
      </c>
      <c r="E1090" s="1">
        <f t="shared" si="96"/>
        <v>1</v>
      </c>
      <c r="F1090" s="1">
        <f>_xlfn.XLOOKUP($C1090, 'Instrument Table'!$B:$B, 'Instrument Table'!$A:$A, "")</f>
        <v>20</v>
      </c>
      <c r="G1090" s="1" t="str">
        <f>TEXT(IF($B1090 = "Retail Item", IF((ROW($A1090) - 4504 - _xlfn.XMATCH($C1090, $C$4506:$C$5005, 0, 1)) &lt;= VLOOKUP($C1090, 'Instrument Table'!$B:$D, 3, FALSE), ROW($A1090) - 4504 - _xlfn.XMATCH($C1090, $C$4506:$C$5005, 0, 1), 0), 0), "00")</f>
        <v>00</v>
      </c>
      <c r="H1090" s="1" t="str">
        <f t="shared" si="97"/>
        <v>134</v>
      </c>
      <c r="I1090" s="1" t="str">
        <f t="shared" si="98"/>
        <v>12000-134</v>
      </c>
      <c r="J1090" s="1" t="str">
        <f t="shared" si="99"/>
        <v>Violin production item #134</v>
      </c>
      <c r="K1090" s="1" t="str">
        <f>IF(SUM(COUNTIFS(I:I, I1090)) &gt; 1, "DUPLICATE", "UNIQUE")</f>
        <v>UNIQUE</v>
      </c>
      <c r="L1090" s="18">
        <v>32</v>
      </c>
      <c r="M1090" s="28">
        <v>46</v>
      </c>
      <c r="N1090" s="6">
        <v>289</v>
      </c>
      <c r="O1090" s="30">
        <f t="shared" si="100"/>
        <v>1472</v>
      </c>
      <c r="P1090" s="30">
        <f t="shared" si="101"/>
        <v>13294</v>
      </c>
      <c r="Q1090" s="1">
        <f>COUNTIFS($P:$P, "&gt;" &amp; $P1090) + 1</f>
        <v>1476</v>
      </c>
      <c r="R1090" s="63">
        <f>(COUNTIFS($P:$P, "&gt;" &amp; $P1090) + 1) / (COUNTA($I:$I) - 1)</f>
        <v>0.29520000000000002</v>
      </c>
      <c r="S1090" s="23">
        <f>SUMIFS($P:$P, $Q:$Q, "&lt;" &amp; $Q1090)</f>
        <v>174523294</v>
      </c>
    </row>
    <row r="1091" spans="1:19" x14ac:dyDescent="0.25">
      <c r="A1091" s="1">
        <v>1086</v>
      </c>
      <c r="B1091" s="1" t="s">
        <v>2</v>
      </c>
      <c r="C1091" s="1" t="str">
        <f>IF($B1091 = "Production Item", _xlfn.XLOOKUP($A1091, 'Instrument Table'!$J:$J, 'Instrument Table'!$B:$B, $C1090), IF($B1091 = "Service Item", _xlfn.XLOOKUP($A1091, 'Instrument Table'!$I:$I, 'Instrument Table'!$B:$B, $C1090), _xlfn.XLOOKUP($A1091, 'Instrument Table'!$H:$H, 'Instrument Table'!$B:$B, $C1090)))</f>
        <v>Violin</v>
      </c>
      <c r="D1091" s="1" t="str">
        <f>VLOOKUP($C1091, 'Instrument Table'!$B:$C, 2, FALSE)</f>
        <v>Strings</v>
      </c>
      <c r="E1091" s="1">
        <f t="shared" si="96"/>
        <v>1</v>
      </c>
      <c r="F1091" s="1">
        <f>_xlfn.XLOOKUP($C1091, 'Instrument Table'!$B:$B, 'Instrument Table'!$A:$A, "")</f>
        <v>20</v>
      </c>
      <c r="G1091" s="1" t="str">
        <f>TEXT(IF($B1091 = "Retail Item", IF((ROW($A1091) - 4504 - _xlfn.XMATCH($C1091, $C$4506:$C$5005, 0, 1)) &lt;= VLOOKUP($C1091, 'Instrument Table'!$B:$D, 3, FALSE), ROW($A1091) - 4504 - _xlfn.XMATCH($C1091, $C$4506:$C$5005, 0, 1), 0), 0), "00")</f>
        <v>00</v>
      </c>
      <c r="H1091" s="1" t="str">
        <f t="shared" si="97"/>
        <v>135</v>
      </c>
      <c r="I1091" s="1" t="str">
        <f t="shared" si="98"/>
        <v>12000-135</v>
      </c>
      <c r="J1091" s="1" t="str">
        <f t="shared" si="99"/>
        <v>Violin production item #135</v>
      </c>
      <c r="K1091" s="1" t="str">
        <f>IF(SUM(COUNTIFS(I:I, I1091)) &gt; 1, "DUPLICATE", "UNIQUE")</f>
        <v>UNIQUE</v>
      </c>
      <c r="L1091" s="18">
        <v>0</v>
      </c>
      <c r="M1091" s="28">
        <v>70</v>
      </c>
      <c r="N1091" s="6">
        <v>324</v>
      </c>
      <c r="O1091" s="30">
        <f t="shared" si="100"/>
        <v>0</v>
      </c>
      <c r="P1091" s="30">
        <f t="shared" si="101"/>
        <v>22680</v>
      </c>
      <c r="Q1091" s="1">
        <f>COUNTIFS($P:$P, "&gt;" &amp; $P1091) + 1</f>
        <v>919</v>
      </c>
      <c r="R1091" s="63">
        <f>(COUNTIFS($P:$P, "&gt;" &amp; $P1091) + 1) / (COUNTA($I:$I) - 1)</f>
        <v>0.18379999999999999</v>
      </c>
      <c r="S1091" s="23">
        <f>SUMIFS($P:$P, $Q:$Q, "&lt;" &amp; $Q1091)</f>
        <v>164716152</v>
      </c>
    </row>
    <row r="1092" spans="1:19" x14ac:dyDescent="0.25">
      <c r="A1092" s="1">
        <v>1087</v>
      </c>
      <c r="B1092" s="1" t="s">
        <v>2</v>
      </c>
      <c r="C1092" s="1" t="str">
        <f>IF($B1092 = "Production Item", _xlfn.XLOOKUP($A1092, 'Instrument Table'!$J:$J, 'Instrument Table'!$B:$B, $C1091), IF($B1092 = "Service Item", _xlfn.XLOOKUP($A1092, 'Instrument Table'!$I:$I, 'Instrument Table'!$B:$B, $C1091), _xlfn.XLOOKUP($A1092, 'Instrument Table'!$H:$H, 'Instrument Table'!$B:$B, $C1091)))</f>
        <v>Violin</v>
      </c>
      <c r="D1092" s="1" t="str">
        <f>VLOOKUP($C1092, 'Instrument Table'!$B:$C, 2, FALSE)</f>
        <v>Strings</v>
      </c>
      <c r="E1092" s="1">
        <f t="shared" si="96"/>
        <v>1</v>
      </c>
      <c r="F1092" s="1">
        <f>_xlfn.XLOOKUP($C1092, 'Instrument Table'!$B:$B, 'Instrument Table'!$A:$A, "")</f>
        <v>20</v>
      </c>
      <c r="G1092" s="1" t="str">
        <f>TEXT(IF($B1092 = "Retail Item", IF((ROW($A1092) - 4504 - _xlfn.XMATCH($C1092, $C$4506:$C$5005, 0, 1)) &lt;= VLOOKUP($C1092, 'Instrument Table'!$B:$D, 3, FALSE), ROW($A1092) - 4504 - _xlfn.XMATCH($C1092, $C$4506:$C$5005, 0, 1), 0), 0), "00")</f>
        <v>00</v>
      </c>
      <c r="H1092" s="1" t="str">
        <f t="shared" si="97"/>
        <v>136</v>
      </c>
      <c r="I1092" s="1" t="str">
        <f t="shared" si="98"/>
        <v>12000-136</v>
      </c>
      <c r="J1092" s="1" t="str">
        <f t="shared" si="99"/>
        <v>Violin production item #136</v>
      </c>
      <c r="K1092" s="1" t="str">
        <f>IF(SUM(COUNTIFS(I:I, I1092)) &gt; 1, "DUPLICATE", "UNIQUE")</f>
        <v>UNIQUE</v>
      </c>
      <c r="L1092" s="18">
        <v>0</v>
      </c>
      <c r="M1092" s="28">
        <v>16</v>
      </c>
      <c r="N1092" s="6">
        <v>169</v>
      </c>
      <c r="O1092" s="30">
        <f t="shared" si="100"/>
        <v>0</v>
      </c>
      <c r="P1092" s="30">
        <f t="shared" si="101"/>
        <v>2704</v>
      </c>
      <c r="Q1092" s="1">
        <f>COUNTIFS($P:$P, "&gt;" &amp; $P1092) + 1</f>
        <v>2978</v>
      </c>
      <c r="R1092" s="63">
        <f>(COUNTIFS($P:$P, "&gt;" &amp; $P1092) + 1) / (COUNTA($I:$I) - 1)</f>
        <v>0.59560000000000002</v>
      </c>
      <c r="S1092" s="23">
        <f>SUMIFS($P:$P, $Q:$Q, "&lt;" &amp; $Q1092)</f>
        <v>184873062</v>
      </c>
    </row>
    <row r="1093" spans="1:19" x14ac:dyDescent="0.25">
      <c r="A1093" s="1">
        <v>1088</v>
      </c>
      <c r="B1093" s="1" t="s">
        <v>2</v>
      </c>
      <c r="C1093" s="1" t="str">
        <f>IF($B1093 = "Production Item", _xlfn.XLOOKUP($A1093, 'Instrument Table'!$J:$J, 'Instrument Table'!$B:$B, $C1092), IF($B1093 = "Service Item", _xlfn.XLOOKUP($A1093, 'Instrument Table'!$I:$I, 'Instrument Table'!$B:$B, $C1092), _xlfn.XLOOKUP($A1093, 'Instrument Table'!$H:$H, 'Instrument Table'!$B:$B, $C1092)))</f>
        <v>Violin</v>
      </c>
      <c r="D1093" s="1" t="str">
        <f>VLOOKUP($C1093, 'Instrument Table'!$B:$C, 2, FALSE)</f>
        <v>Strings</v>
      </c>
      <c r="E1093" s="1">
        <f t="shared" si="96"/>
        <v>1</v>
      </c>
      <c r="F1093" s="1">
        <f>_xlfn.XLOOKUP($C1093, 'Instrument Table'!$B:$B, 'Instrument Table'!$A:$A, "")</f>
        <v>20</v>
      </c>
      <c r="G1093" s="1" t="str">
        <f>TEXT(IF($B1093 = "Retail Item", IF((ROW($A1093) - 4504 - _xlfn.XMATCH($C1093, $C$4506:$C$5005, 0, 1)) &lt;= VLOOKUP($C1093, 'Instrument Table'!$B:$D, 3, FALSE), ROW($A1093) - 4504 - _xlfn.XMATCH($C1093, $C$4506:$C$5005, 0, 1), 0), 0), "00")</f>
        <v>00</v>
      </c>
      <c r="H1093" s="1" t="str">
        <f t="shared" si="97"/>
        <v>137</v>
      </c>
      <c r="I1093" s="1" t="str">
        <f t="shared" si="98"/>
        <v>12000-137</v>
      </c>
      <c r="J1093" s="1" t="str">
        <f t="shared" si="99"/>
        <v>Violin production item #137</v>
      </c>
      <c r="K1093" s="1" t="str">
        <f>IF(SUM(COUNTIFS(I:I, I1093)) &gt; 1, "DUPLICATE", "UNIQUE")</f>
        <v>UNIQUE</v>
      </c>
      <c r="L1093" s="18">
        <v>16</v>
      </c>
      <c r="M1093" s="28">
        <v>18</v>
      </c>
      <c r="N1093" s="6">
        <v>400</v>
      </c>
      <c r="O1093" s="30">
        <f t="shared" si="100"/>
        <v>288</v>
      </c>
      <c r="P1093" s="30">
        <f t="shared" si="101"/>
        <v>7200</v>
      </c>
      <c r="Q1093" s="1">
        <f>COUNTIFS($P:$P, "&gt;" &amp; $P1093) + 1</f>
        <v>2115</v>
      </c>
      <c r="R1093" s="63">
        <f>(COUNTIFS($P:$P, "&gt;" &amp; $P1093) + 1) / (COUNTA($I:$I) - 1)</f>
        <v>0.42299999999999999</v>
      </c>
      <c r="S1093" s="23">
        <f>SUMIFS($P:$P, $Q:$Q, "&lt;" &amp; $Q1093)</f>
        <v>180867271</v>
      </c>
    </row>
    <row r="1094" spans="1:19" x14ac:dyDescent="0.25">
      <c r="A1094" s="1">
        <v>1089</v>
      </c>
      <c r="B1094" s="1" t="s">
        <v>2</v>
      </c>
      <c r="C1094" s="1" t="str">
        <f>IF($B1094 = "Production Item", _xlfn.XLOOKUP($A1094, 'Instrument Table'!$J:$J, 'Instrument Table'!$B:$B, $C1093), IF($B1094 = "Service Item", _xlfn.XLOOKUP($A1094, 'Instrument Table'!$I:$I, 'Instrument Table'!$B:$B, $C1093), _xlfn.XLOOKUP($A1094, 'Instrument Table'!$H:$H, 'Instrument Table'!$B:$B, $C1093)))</f>
        <v>Violin</v>
      </c>
      <c r="D1094" s="1" t="str">
        <f>VLOOKUP($C1094, 'Instrument Table'!$B:$C, 2, FALSE)</f>
        <v>Strings</v>
      </c>
      <c r="E1094" s="1">
        <f t="shared" si="96"/>
        <v>1</v>
      </c>
      <c r="F1094" s="1">
        <f>_xlfn.XLOOKUP($C1094, 'Instrument Table'!$B:$B, 'Instrument Table'!$A:$A, "")</f>
        <v>20</v>
      </c>
      <c r="G1094" s="1" t="str">
        <f>TEXT(IF($B1094 = "Retail Item", IF((ROW($A1094) - 4504 - _xlfn.XMATCH($C1094, $C$4506:$C$5005, 0, 1)) &lt;= VLOOKUP($C1094, 'Instrument Table'!$B:$D, 3, FALSE), ROW($A1094) - 4504 - _xlfn.XMATCH($C1094, $C$4506:$C$5005, 0, 1), 0), 0), "00")</f>
        <v>00</v>
      </c>
      <c r="H1094" s="1" t="str">
        <f t="shared" si="97"/>
        <v>138</v>
      </c>
      <c r="I1094" s="1" t="str">
        <f t="shared" si="98"/>
        <v>12000-138</v>
      </c>
      <c r="J1094" s="1" t="str">
        <f t="shared" si="99"/>
        <v>Violin production item #138</v>
      </c>
      <c r="K1094" s="1" t="str">
        <f>IF(SUM(COUNTIFS(I:I, I1094)) &gt; 1, "DUPLICATE", "UNIQUE")</f>
        <v>UNIQUE</v>
      </c>
      <c r="L1094" s="18">
        <v>0</v>
      </c>
      <c r="M1094" s="28">
        <v>37</v>
      </c>
      <c r="N1094" s="6">
        <v>121</v>
      </c>
      <c r="O1094" s="30">
        <f t="shared" si="100"/>
        <v>0</v>
      </c>
      <c r="P1094" s="30">
        <f t="shared" si="101"/>
        <v>4477</v>
      </c>
      <c r="Q1094" s="1">
        <f>COUNTIFS($P:$P, "&gt;" &amp; $P1094) + 1</f>
        <v>2550</v>
      </c>
      <c r="R1094" s="63">
        <f>(COUNTIFS($P:$P, "&gt;" &amp; $P1094) + 1) / (COUNTA($I:$I) - 1)</f>
        <v>0.51</v>
      </c>
      <c r="S1094" s="23">
        <f>SUMIFS($P:$P, $Q:$Q, "&lt;" &amp; $Q1094)</f>
        <v>183344963</v>
      </c>
    </row>
    <row r="1095" spans="1:19" x14ac:dyDescent="0.25">
      <c r="A1095" s="1">
        <v>1090</v>
      </c>
      <c r="B1095" s="1" t="s">
        <v>2</v>
      </c>
      <c r="C1095" s="1" t="str">
        <f>IF($B1095 = "Production Item", _xlfn.XLOOKUP($A1095, 'Instrument Table'!$J:$J, 'Instrument Table'!$B:$B, $C1094), IF($B1095 = "Service Item", _xlfn.XLOOKUP($A1095, 'Instrument Table'!$I:$I, 'Instrument Table'!$B:$B, $C1094), _xlfn.XLOOKUP($A1095, 'Instrument Table'!$H:$H, 'Instrument Table'!$B:$B, $C1094)))</f>
        <v>Violin</v>
      </c>
      <c r="D1095" s="1" t="str">
        <f>VLOOKUP($C1095, 'Instrument Table'!$B:$C, 2, FALSE)</f>
        <v>Strings</v>
      </c>
      <c r="E1095" s="1">
        <f t="shared" ref="E1095:E1158" si="102">IF($B1095 = "Production Item", 1, IF($B1095 = "Service Item", 2, IF($B1095 = "Retail Item", 3, "")))</f>
        <v>1</v>
      </c>
      <c r="F1095" s="1">
        <f>_xlfn.XLOOKUP($C1095, 'Instrument Table'!$B:$B, 'Instrument Table'!$A:$A, "")</f>
        <v>20</v>
      </c>
      <c r="G1095" s="1" t="str">
        <f>TEXT(IF($B1095 = "Retail Item", IF((ROW($A1095) - 4504 - _xlfn.XMATCH($C1095, $C$4506:$C$5005, 0, 1)) &lt;= VLOOKUP($C1095, 'Instrument Table'!$B:$D, 3, FALSE), ROW($A1095) - 4504 - _xlfn.XMATCH($C1095, $C$4506:$C$5005, 0, 1), 0), 0), "00")</f>
        <v>00</v>
      </c>
      <c r="H1095" s="1" t="str">
        <f t="shared" ref="H1095:H1158" si="103">TEXT(IF($E1095 &amp; $F1095 &amp; $G1095 = $E1094 &amp; $F1094 &amp; $G1094, 1 + H1094, 0), "000")</f>
        <v>139</v>
      </c>
      <c r="I1095" s="1" t="str">
        <f t="shared" ref="I1095:I1158" si="104" xml:space="preserve"> _xlfn.CONCAT($E1095, $F1095, $G1095, "-", H1095)</f>
        <v>12000-139</v>
      </c>
      <c r="J1095" s="1" t="str">
        <f t="shared" ref="J1095:J1158" si="105">LEFT($C1095, 1) &amp; LOWER(RIGHT($C1095, LEN($C1095) - 1)) &amp; IF(AND($G1095 &lt;&gt; "00", $B1095 = "Retail Item"), " model #" &amp; $G1095, " " &amp; LOWER($B1095) &amp; " #" &amp; $H1095)</f>
        <v>Violin production item #139</v>
      </c>
      <c r="K1095" s="1" t="str">
        <f>IF(SUM(COUNTIFS(I:I, I1095)) &gt; 1, "DUPLICATE", "UNIQUE")</f>
        <v>UNIQUE</v>
      </c>
      <c r="L1095" s="18">
        <v>1</v>
      </c>
      <c r="M1095" s="28">
        <v>81</v>
      </c>
      <c r="N1095" s="6">
        <v>361</v>
      </c>
      <c r="O1095" s="30">
        <f t="shared" ref="O1095:O1158" si="106">$L1095 * $M1095</f>
        <v>81</v>
      </c>
      <c r="P1095" s="30">
        <f t="shared" ref="P1095:P1158" si="107">$N1095 * $M1095</f>
        <v>29241</v>
      </c>
      <c r="Q1095" s="1">
        <f>COUNTIFS($P:$P, "&gt;" &amp; $P1095) + 1</f>
        <v>708</v>
      </c>
      <c r="R1095" s="63">
        <f>(COUNTIFS($P:$P, "&gt;" &amp; $P1095) + 1) / (COUNTA($I:$I) - 1)</f>
        <v>0.1416</v>
      </c>
      <c r="S1095" s="23">
        <f>SUMIFS($P:$P, $Q:$Q, "&lt;" &amp; $Q1095)</f>
        <v>159323089</v>
      </c>
    </row>
    <row r="1096" spans="1:19" x14ac:dyDescent="0.25">
      <c r="A1096" s="1">
        <v>1091</v>
      </c>
      <c r="B1096" s="1" t="s">
        <v>2</v>
      </c>
      <c r="C1096" s="1" t="str">
        <f>IF($B1096 = "Production Item", _xlfn.XLOOKUP($A1096, 'Instrument Table'!$J:$J, 'Instrument Table'!$B:$B, $C1095), IF($B1096 = "Service Item", _xlfn.XLOOKUP($A1096, 'Instrument Table'!$I:$I, 'Instrument Table'!$B:$B, $C1095), _xlfn.XLOOKUP($A1096, 'Instrument Table'!$H:$H, 'Instrument Table'!$B:$B, $C1095)))</f>
        <v>Violin</v>
      </c>
      <c r="D1096" s="1" t="str">
        <f>VLOOKUP($C1096, 'Instrument Table'!$B:$C, 2, FALSE)</f>
        <v>Strings</v>
      </c>
      <c r="E1096" s="1">
        <f t="shared" si="102"/>
        <v>1</v>
      </c>
      <c r="F1096" s="1">
        <f>_xlfn.XLOOKUP($C1096, 'Instrument Table'!$B:$B, 'Instrument Table'!$A:$A, "")</f>
        <v>20</v>
      </c>
      <c r="G1096" s="1" t="str">
        <f>TEXT(IF($B1096 = "Retail Item", IF((ROW($A1096) - 4504 - _xlfn.XMATCH($C1096, $C$4506:$C$5005, 0, 1)) &lt;= VLOOKUP($C1096, 'Instrument Table'!$B:$D, 3, FALSE), ROW($A1096) - 4504 - _xlfn.XMATCH($C1096, $C$4506:$C$5005, 0, 1), 0), 0), "00")</f>
        <v>00</v>
      </c>
      <c r="H1096" s="1" t="str">
        <f t="shared" si="103"/>
        <v>140</v>
      </c>
      <c r="I1096" s="1" t="str">
        <f t="shared" si="104"/>
        <v>12000-140</v>
      </c>
      <c r="J1096" s="1" t="str">
        <f t="shared" si="105"/>
        <v>Violin production item #140</v>
      </c>
      <c r="K1096" s="1" t="str">
        <f>IF(SUM(COUNTIFS(I:I, I1096)) &gt; 1, "DUPLICATE", "UNIQUE")</f>
        <v>UNIQUE</v>
      </c>
      <c r="L1096" s="18">
        <v>0</v>
      </c>
      <c r="M1096" s="28">
        <v>35</v>
      </c>
      <c r="N1096" s="6">
        <v>400</v>
      </c>
      <c r="O1096" s="30">
        <f t="shared" si="106"/>
        <v>0</v>
      </c>
      <c r="P1096" s="30">
        <f t="shared" si="107"/>
        <v>14000</v>
      </c>
      <c r="Q1096" s="1">
        <f>COUNTIFS($P:$P, "&gt;" &amp; $P1096) + 1</f>
        <v>1417</v>
      </c>
      <c r="R1096" s="63">
        <f>(COUNTIFS($P:$P, "&gt;" &amp; $P1096) + 1) / (COUNTA($I:$I) - 1)</f>
        <v>0.28339999999999999</v>
      </c>
      <c r="S1096" s="23">
        <f>SUMIFS($P:$P, $Q:$Q, "&lt;" &amp; $Q1096)</f>
        <v>173716659</v>
      </c>
    </row>
    <row r="1097" spans="1:19" x14ac:dyDescent="0.25">
      <c r="A1097" s="1">
        <v>1092</v>
      </c>
      <c r="B1097" s="1" t="s">
        <v>2</v>
      </c>
      <c r="C1097" s="1" t="str">
        <f>IF($B1097 = "Production Item", _xlfn.XLOOKUP($A1097, 'Instrument Table'!$J:$J, 'Instrument Table'!$B:$B, $C1096), IF($B1097 = "Service Item", _xlfn.XLOOKUP($A1097, 'Instrument Table'!$I:$I, 'Instrument Table'!$B:$B, $C1096), _xlfn.XLOOKUP($A1097, 'Instrument Table'!$H:$H, 'Instrument Table'!$B:$B, $C1096)))</f>
        <v>Violin</v>
      </c>
      <c r="D1097" s="1" t="str">
        <f>VLOOKUP($C1097, 'Instrument Table'!$B:$C, 2, FALSE)</f>
        <v>Strings</v>
      </c>
      <c r="E1097" s="1">
        <f t="shared" si="102"/>
        <v>1</v>
      </c>
      <c r="F1097" s="1">
        <f>_xlfn.XLOOKUP($C1097, 'Instrument Table'!$B:$B, 'Instrument Table'!$A:$A, "")</f>
        <v>20</v>
      </c>
      <c r="G1097" s="1" t="str">
        <f>TEXT(IF($B1097 = "Retail Item", IF((ROW($A1097) - 4504 - _xlfn.XMATCH($C1097, $C$4506:$C$5005, 0, 1)) &lt;= VLOOKUP($C1097, 'Instrument Table'!$B:$D, 3, FALSE), ROW($A1097) - 4504 - _xlfn.XMATCH($C1097, $C$4506:$C$5005, 0, 1), 0), 0), "00")</f>
        <v>00</v>
      </c>
      <c r="H1097" s="1" t="str">
        <f t="shared" si="103"/>
        <v>141</v>
      </c>
      <c r="I1097" s="1" t="str">
        <f t="shared" si="104"/>
        <v>12000-141</v>
      </c>
      <c r="J1097" s="1" t="str">
        <f t="shared" si="105"/>
        <v>Violin production item #141</v>
      </c>
      <c r="K1097" s="1" t="str">
        <f>IF(SUM(COUNTIFS(I:I, I1097)) &gt; 1, "DUPLICATE", "UNIQUE")</f>
        <v>UNIQUE</v>
      </c>
      <c r="L1097" s="18">
        <v>1</v>
      </c>
      <c r="M1097" s="28">
        <v>10</v>
      </c>
      <c r="N1097" s="6">
        <v>361</v>
      </c>
      <c r="O1097" s="30">
        <f t="shared" si="106"/>
        <v>10</v>
      </c>
      <c r="P1097" s="30">
        <f t="shared" si="107"/>
        <v>3610</v>
      </c>
      <c r="Q1097" s="1">
        <f>COUNTIFS($P:$P, "&gt;" &amp; $P1097) + 1</f>
        <v>2735</v>
      </c>
      <c r="R1097" s="63">
        <f>(COUNTIFS($P:$P, "&gt;" &amp; $P1097) + 1) / (COUNTA($I:$I) - 1)</f>
        <v>0.54700000000000004</v>
      </c>
      <c r="S1097" s="23">
        <f>SUMIFS($P:$P, $Q:$Q, "&lt;" &amp; $Q1097)</f>
        <v>184096821</v>
      </c>
    </row>
    <row r="1098" spans="1:19" x14ac:dyDescent="0.25">
      <c r="A1098" s="1">
        <v>1093</v>
      </c>
      <c r="B1098" s="1" t="s">
        <v>2</v>
      </c>
      <c r="C1098" s="1" t="str">
        <f>IF($B1098 = "Production Item", _xlfn.XLOOKUP($A1098, 'Instrument Table'!$J:$J, 'Instrument Table'!$B:$B, $C1097), IF($B1098 = "Service Item", _xlfn.XLOOKUP($A1098, 'Instrument Table'!$I:$I, 'Instrument Table'!$B:$B, $C1097), _xlfn.XLOOKUP($A1098, 'Instrument Table'!$H:$H, 'Instrument Table'!$B:$B, $C1097)))</f>
        <v>Violin</v>
      </c>
      <c r="D1098" s="1" t="str">
        <f>VLOOKUP($C1098, 'Instrument Table'!$B:$C, 2, FALSE)</f>
        <v>Strings</v>
      </c>
      <c r="E1098" s="1">
        <f t="shared" si="102"/>
        <v>1</v>
      </c>
      <c r="F1098" s="1">
        <f>_xlfn.XLOOKUP($C1098, 'Instrument Table'!$B:$B, 'Instrument Table'!$A:$A, "")</f>
        <v>20</v>
      </c>
      <c r="G1098" s="1" t="str">
        <f>TEXT(IF($B1098 = "Retail Item", IF((ROW($A1098) - 4504 - _xlfn.XMATCH($C1098, $C$4506:$C$5005, 0, 1)) &lt;= VLOOKUP($C1098, 'Instrument Table'!$B:$D, 3, FALSE), ROW($A1098) - 4504 - _xlfn.XMATCH($C1098, $C$4506:$C$5005, 0, 1), 0), 0), "00")</f>
        <v>00</v>
      </c>
      <c r="H1098" s="1" t="str">
        <f t="shared" si="103"/>
        <v>142</v>
      </c>
      <c r="I1098" s="1" t="str">
        <f t="shared" si="104"/>
        <v>12000-142</v>
      </c>
      <c r="J1098" s="1" t="str">
        <f t="shared" si="105"/>
        <v>Violin production item #142</v>
      </c>
      <c r="K1098" s="1" t="str">
        <f>IF(SUM(COUNTIFS(I:I, I1098)) &gt; 1, "DUPLICATE", "UNIQUE")</f>
        <v>UNIQUE</v>
      </c>
      <c r="L1098" s="18">
        <v>0</v>
      </c>
      <c r="M1098" s="28">
        <v>69</v>
      </c>
      <c r="N1098" s="6">
        <v>100</v>
      </c>
      <c r="O1098" s="30">
        <f t="shared" si="106"/>
        <v>0</v>
      </c>
      <c r="P1098" s="30">
        <f t="shared" si="107"/>
        <v>6900</v>
      </c>
      <c r="Q1098" s="1">
        <f>COUNTIFS($P:$P, "&gt;" &amp; $P1098) + 1</f>
        <v>2150</v>
      </c>
      <c r="R1098" s="63">
        <f>(COUNTIFS($P:$P, "&gt;" &amp; $P1098) + 1) / (COUNTA($I:$I) - 1)</f>
        <v>0.43</v>
      </c>
      <c r="S1098" s="23">
        <f>SUMIFS($P:$P, $Q:$Q, "&lt;" &amp; $Q1098)</f>
        <v>181113669</v>
      </c>
    </row>
    <row r="1099" spans="1:19" x14ac:dyDescent="0.25">
      <c r="A1099" s="1">
        <v>1094</v>
      </c>
      <c r="B1099" s="1" t="s">
        <v>2</v>
      </c>
      <c r="C1099" s="1" t="str">
        <f>IF($B1099 = "Production Item", _xlfn.XLOOKUP($A1099, 'Instrument Table'!$J:$J, 'Instrument Table'!$B:$B, $C1098), IF($B1099 = "Service Item", _xlfn.XLOOKUP($A1099, 'Instrument Table'!$I:$I, 'Instrument Table'!$B:$B, $C1098), _xlfn.XLOOKUP($A1099, 'Instrument Table'!$H:$H, 'Instrument Table'!$B:$B, $C1098)))</f>
        <v>Violin</v>
      </c>
      <c r="D1099" s="1" t="str">
        <f>VLOOKUP($C1099, 'Instrument Table'!$B:$C, 2, FALSE)</f>
        <v>Strings</v>
      </c>
      <c r="E1099" s="1">
        <f t="shared" si="102"/>
        <v>1</v>
      </c>
      <c r="F1099" s="1">
        <f>_xlfn.XLOOKUP($C1099, 'Instrument Table'!$B:$B, 'Instrument Table'!$A:$A, "")</f>
        <v>20</v>
      </c>
      <c r="G1099" s="1" t="str">
        <f>TEXT(IF($B1099 = "Retail Item", IF((ROW($A1099) - 4504 - _xlfn.XMATCH($C1099, $C$4506:$C$5005, 0, 1)) &lt;= VLOOKUP($C1099, 'Instrument Table'!$B:$D, 3, FALSE), ROW($A1099) - 4504 - _xlfn.XMATCH($C1099, $C$4506:$C$5005, 0, 1), 0), 0), "00")</f>
        <v>00</v>
      </c>
      <c r="H1099" s="1" t="str">
        <f t="shared" si="103"/>
        <v>143</v>
      </c>
      <c r="I1099" s="1" t="str">
        <f t="shared" si="104"/>
        <v>12000-143</v>
      </c>
      <c r="J1099" s="1" t="str">
        <f t="shared" si="105"/>
        <v>Violin production item #143</v>
      </c>
      <c r="K1099" s="1" t="str">
        <f>IF(SUM(COUNTIFS(I:I, I1099)) &gt; 1, "DUPLICATE", "UNIQUE")</f>
        <v>UNIQUE</v>
      </c>
      <c r="L1099" s="18">
        <v>16</v>
      </c>
      <c r="M1099" s="28">
        <v>67</v>
      </c>
      <c r="N1099" s="6">
        <v>225</v>
      </c>
      <c r="O1099" s="30">
        <f t="shared" si="106"/>
        <v>1072</v>
      </c>
      <c r="P1099" s="30">
        <f t="shared" si="107"/>
        <v>15075</v>
      </c>
      <c r="Q1099" s="1">
        <f>COUNTIFS($P:$P, "&gt;" &amp; $P1099) + 1</f>
        <v>1345</v>
      </c>
      <c r="R1099" s="63">
        <f>(COUNTIFS($P:$P, "&gt;" &amp; $P1099) + 1) / (COUNTA($I:$I) - 1)</f>
        <v>0.26900000000000002</v>
      </c>
      <c r="S1099" s="23">
        <f>SUMIFS($P:$P, $Q:$Q, "&lt;" &amp; $Q1099)</f>
        <v>172667626</v>
      </c>
    </row>
    <row r="1100" spans="1:19" x14ac:dyDescent="0.25">
      <c r="A1100" s="1">
        <v>1095</v>
      </c>
      <c r="B1100" s="1" t="s">
        <v>2</v>
      </c>
      <c r="C1100" s="1" t="str">
        <f>IF($B1100 = "Production Item", _xlfn.XLOOKUP($A1100, 'Instrument Table'!$J:$J, 'Instrument Table'!$B:$B, $C1099), IF($B1100 = "Service Item", _xlfn.XLOOKUP($A1100, 'Instrument Table'!$I:$I, 'Instrument Table'!$B:$B, $C1099), _xlfn.XLOOKUP($A1100, 'Instrument Table'!$H:$H, 'Instrument Table'!$B:$B, $C1099)))</f>
        <v>Violin</v>
      </c>
      <c r="D1100" s="1" t="str">
        <f>VLOOKUP($C1100, 'Instrument Table'!$B:$C, 2, FALSE)</f>
        <v>Strings</v>
      </c>
      <c r="E1100" s="1">
        <f t="shared" si="102"/>
        <v>1</v>
      </c>
      <c r="F1100" s="1">
        <f>_xlfn.XLOOKUP($C1100, 'Instrument Table'!$B:$B, 'Instrument Table'!$A:$A, "")</f>
        <v>20</v>
      </c>
      <c r="G1100" s="1" t="str">
        <f>TEXT(IF($B1100 = "Retail Item", IF((ROW($A1100) - 4504 - _xlfn.XMATCH($C1100, $C$4506:$C$5005, 0, 1)) &lt;= VLOOKUP($C1100, 'Instrument Table'!$B:$D, 3, FALSE), ROW($A1100) - 4504 - _xlfn.XMATCH($C1100, $C$4506:$C$5005, 0, 1), 0), 0), "00")</f>
        <v>00</v>
      </c>
      <c r="H1100" s="1" t="str">
        <f t="shared" si="103"/>
        <v>144</v>
      </c>
      <c r="I1100" s="1" t="str">
        <f t="shared" si="104"/>
        <v>12000-144</v>
      </c>
      <c r="J1100" s="1" t="str">
        <f t="shared" si="105"/>
        <v>Violin production item #144</v>
      </c>
      <c r="K1100" s="1" t="str">
        <f>IF(SUM(COUNTIFS(I:I, I1100)) &gt; 1, "DUPLICATE", "UNIQUE")</f>
        <v>UNIQUE</v>
      </c>
      <c r="L1100" s="18">
        <v>2</v>
      </c>
      <c r="M1100" s="28">
        <v>98</v>
      </c>
      <c r="N1100" s="6">
        <v>4</v>
      </c>
      <c r="O1100" s="30">
        <f t="shared" si="106"/>
        <v>196</v>
      </c>
      <c r="P1100" s="30">
        <f t="shared" si="107"/>
        <v>392</v>
      </c>
      <c r="Q1100" s="1">
        <f>COUNTIFS($P:$P, "&gt;" &amp; $P1100) + 1</f>
        <v>4108</v>
      </c>
      <c r="R1100" s="63">
        <f>(COUNTIFS($P:$P, "&gt;" &amp; $P1100) + 1) / (COUNTA($I:$I) - 1)</f>
        <v>0.8216</v>
      </c>
      <c r="S1100" s="23">
        <f>SUMIFS($P:$P, $Q:$Q, "&lt;" &amp; $Q1100)</f>
        <v>186448050</v>
      </c>
    </row>
    <row r="1101" spans="1:19" x14ac:dyDescent="0.25">
      <c r="A1101" s="1">
        <v>1096</v>
      </c>
      <c r="B1101" s="1" t="s">
        <v>2</v>
      </c>
      <c r="C1101" s="1" t="str">
        <f>IF($B1101 = "Production Item", _xlfn.XLOOKUP($A1101, 'Instrument Table'!$J:$J, 'Instrument Table'!$B:$B, $C1100), IF($B1101 = "Service Item", _xlfn.XLOOKUP($A1101, 'Instrument Table'!$I:$I, 'Instrument Table'!$B:$B, $C1100), _xlfn.XLOOKUP($A1101, 'Instrument Table'!$H:$H, 'Instrument Table'!$B:$B, $C1100)))</f>
        <v>Violin</v>
      </c>
      <c r="D1101" s="1" t="str">
        <f>VLOOKUP($C1101, 'Instrument Table'!$B:$C, 2, FALSE)</f>
        <v>Strings</v>
      </c>
      <c r="E1101" s="1">
        <f t="shared" si="102"/>
        <v>1</v>
      </c>
      <c r="F1101" s="1">
        <f>_xlfn.XLOOKUP($C1101, 'Instrument Table'!$B:$B, 'Instrument Table'!$A:$A, "")</f>
        <v>20</v>
      </c>
      <c r="G1101" s="1" t="str">
        <f>TEXT(IF($B1101 = "Retail Item", IF((ROW($A1101) - 4504 - _xlfn.XMATCH($C1101, $C$4506:$C$5005, 0, 1)) &lt;= VLOOKUP($C1101, 'Instrument Table'!$B:$D, 3, FALSE), ROW($A1101) - 4504 - _xlfn.XMATCH($C1101, $C$4506:$C$5005, 0, 1), 0), 0), "00")</f>
        <v>00</v>
      </c>
      <c r="H1101" s="1" t="str">
        <f t="shared" si="103"/>
        <v>145</v>
      </c>
      <c r="I1101" s="1" t="str">
        <f t="shared" si="104"/>
        <v>12000-145</v>
      </c>
      <c r="J1101" s="1" t="str">
        <f t="shared" si="105"/>
        <v>Violin production item #145</v>
      </c>
      <c r="K1101" s="1" t="str">
        <f>IF(SUM(COUNTIFS(I:I, I1101)) &gt; 1, "DUPLICATE", "UNIQUE")</f>
        <v>UNIQUE</v>
      </c>
      <c r="L1101" s="18">
        <v>1</v>
      </c>
      <c r="M1101" s="28">
        <v>43</v>
      </c>
      <c r="N1101" s="6">
        <v>4</v>
      </c>
      <c r="O1101" s="30">
        <f t="shared" si="106"/>
        <v>43</v>
      </c>
      <c r="P1101" s="30">
        <f t="shared" si="107"/>
        <v>172</v>
      </c>
      <c r="Q1101" s="1">
        <f>COUNTIFS($P:$P, "&gt;" &amp; $P1101) + 1</f>
        <v>4369</v>
      </c>
      <c r="R1101" s="63">
        <f>(COUNTIFS($P:$P, "&gt;" &amp; $P1101) + 1) / (COUNTA($I:$I) - 1)</f>
        <v>0.87380000000000002</v>
      </c>
      <c r="S1101" s="23">
        <f>SUMIFS($P:$P, $Q:$Q, "&lt;" &amp; $Q1101)</f>
        <v>186520996</v>
      </c>
    </row>
    <row r="1102" spans="1:19" x14ac:dyDescent="0.25">
      <c r="A1102" s="1">
        <v>1097</v>
      </c>
      <c r="B1102" s="1" t="s">
        <v>2</v>
      </c>
      <c r="C1102" s="1" t="str">
        <f>IF($B1102 = "Production Item", _xlfn.XLOOKUP($A1102, 'Instrument Table'!$J:$J, 'Instrument Table'!$B:$B, $C1101), IF($B1102 = "Service Item", _xlfn.XLOOKUP($A1102, 'Instrument Table'!$I:$I, 'Instrument Table'!$B:$B, $C1101), _xlfn.XLOOKUP($A1102, 'Instrument Table'!$H:$H, 'Instrument Table'!$B:$B, $C1101)))</f>
        <v>Violin</v>
      </c>
      <c r="D1102" s="1" t="str">
        <f>VLOOKUP($C1102, 'Instrument Table'!$B:$C, 2, FALSE)</f>
        <v>Strings</v>
      </c>
      <c r="E1102" s="1">
        <f t="shared" si="102"/>
        <v>1</v>
      </c>
      <c r="F1102" s="1">
        <f>_xlfn.XLOOKUP($C1102, 'Instrument Table'!$B:$B, 'Instrument Table'!$A:$A, "")</f>
        <v>20</v>
      </c>
      <c r="G1102" s="1" t="str">
        <f>TEXT(IF($B1102 = "Retail Item", IF((ROW($A1102) - 4504 - _xlfn.XMATCH($C1102, $C$4506:$C$5005, 0, 1)) &lt;= VLOOKUP($C1102, 'Instrument Table'!$B:$D, 3, FALSE), ROW($A1102) - 4504 - _xlfn.XMATCH($C1102, $C$4506:$C$5005, 0, 1), 0), 0), "00")</f>
        <v>00</v>
      </c>
      <c r="H1102" s="1" t="str">
        <f t="shared" si="103"/>
        <v>146</v>
      </c>
      <c r="I1102" s="1" t="str">
        <f t="shared" si="104"/>
        <v>12000-146</v>
      </c>
      <c r="J1102" s="1" t="str">
        <f t="shared" si="105"/>
        <v>Violin production item #146</v>
      </c>
      <c r="K1102" s="1" t="str">
        <f>IF(SUM(COUNTIFS(I:I, I1102)) &gt; 1, "DUPLICATE", "UNIQUE")</f>
        <v>UNIQUE</v>
      </c>
      <c r="L1102" s="18">
        <v>4</v>
      </c>
      <c r="M1102" s="28">
        <v>41</v>
      </c>
      <c r="N1102" s="6">
        <v>324</v>
      </c>
      <c r="O1102" s="30">
        <f t="shared" si="106"/>
        <v>164</v>
      </c>
      <c r="P1102" s="30">
        <f t="shared" si="107"/>
        <v>13284</v>
      </c>
      <c r="Q1102" s="1">
        <f>COUNTIFS($P:$P, "&gt;" &amp; $P1102) + 1</f>
        <v>1482</v>
      </c>
      <c r="R1102" s="63">
        <f>(COUNTIFS($P:$P, "&gt;" &amp; $P1102) + 1) / (COUNTA($I:$I) - 1)</f>
        <v>0.2964</v>
      </c>
      <c r="S1102" s="23">
        <f>SUMIFS($P:$P, $Q:$Q, "&lt;" &amp; $Q1102)</f>
        <v>174603058</v>
      </c>
    </row>
    <row r="1103" spans="1:19" x14ac:dyDescent="0.25">
      <c r="A1103" s="1">
        <v>1098</v>
      </c>
      <c r="B1103" s="1" t="s">
        <v>2</v>
      </c>
      <c r="C1103" s="1" t="str">
        <f>IF($B1103 = "Production Item", _xlfn.XLOOKUP($A1103, 'Instrument Table'!$J:$J, 'Instrument Table'!$B:$B, $C1102), IF($B1103 = "Service Item", _xlfn.XLOOKUP($A1103, 'Instrument Table'!$I:$I, 'Instrument Table'!$B:$B, $C1102), _xlfn.XLOOKUP($A1103, 'Instrument Table'!$H:$H, 'Instrument Table'!$B:$B, $C1102)))</f>
        <v>Violin</v>
      </c>
      <c r="D1103" s="1" t="str">
        <f>VLOOKUP($C1103, 'Instrument Table'!$B:$C, 2, FALSE)</f>
        <v>Strings</v>
      </c>
      <c r="E1103" s="1">
        <f t="shared" si="102"/>
        <v>1</v>
      </c>
      <c r="F1103" s="1">
        <f>_xlfn.XLOOKUP($C1103, 'Instrument Table'!$B:$B, 'Instrument Table'!$A:$A, "")</f>
        <v>20</v>
      </c>
      <c r="G1103" s="1" t="str">
        <f>TEXT(IF($B1103 = "Retail Item", IF((ROW($A1103) - 4504 - _xlfn.XMATCH($C1103, $C$4506:$C$5005, 0, 1)) &lt;= VLOOKUP($C1103, 'Instrument Table'!$B:$D, 3, FALSE), ROW($A1103) - 4504 - _xlfn.XMATCH($C1103, $C$4506:$C$5005, 0, 1), 0), 0), "00")</f>
        <v>00</v>
      </c>
      <c r="H1103" s="1" t="str">
        <f t="shared" si="103"/>
        <v>147</v>
      </c>
      <c r="I1103" s="1" t="str">
        <f t="shared" si="104"/>
        <v>12000-147</v>
      </c>
      <c r="J1103" s="1" t="str">
        <f t="shared" si="105"/>
        <v>Violin production item #147</v>
      </c>
      <c r="K1103" s="1" t="str">
        <f>IF(SUM(COUNTIFS(I:I, I1103)) &gt; 1, "DUPLICATE", "UNIQUE")</f>
        <v>UNIQUE</v>
      </c>
      <c r="L1103" s="18">
        <v>0</v>
      </c>
      <c r="M1103" s="28">
        <v>88</v>
      </c>
      <c r="N1103" s="6">
        <v>289</v>
      </c>
      <c r="O1103" s="30">
        <f t="shared" si="106"/>
        <v>0</v>
      </c>
      <c r="P1103" s="30">
        <f t="shared" si="107"/>
        <v>25432</v>
      </c>
      <c r="Q1103" s="1">
        <f>COUNTIFS($P:$P, "&gt;" &amp; $P1103) + 1</f>
        <v>813</v>
      </c>
      <c r="R1103" s="63">
        <f>(COUNTIFS($P:$P, "&gt;" &amp; $P1103) + 1) / (COUNTA($I:$I) - 1)</f>
        <v>0.16259999999999999</v>
      </c>
      <c r="S1103" s="23">
        <f>SUMIFS($P:$P, $Q:$Q, "&lt;" &amp; $Q1103)</f>
        <v>162161129</v>
      </c>
    </row>
    <row r="1104" spans="1:19" x14ac:dyDescent="0.25">
      <c r="A1104" s="1">
        <v>1099</v>
      </c>
      <c r="B1104" s="1" t="s">
        <v>2</v>
      </c>
      <c r="C1104" s="1" t="str">
        <f>IF($B1104 = "Production Item", _xlfn.XLOOKUP($A1104, 'Instrument Table'!$J:$J, 'Instrument Table'!$B:$B, $C1103), IF($B1104 = "Service Item", _xlfn.XLOOKUP($A1104, 'Instrument Table'!$I:$I, 'Instrument Table'!$B:$B, $C1103), _xlfn.XLOOKUP($A1104, 'Instrument Table'!$H:$H, 'Instrument Table'!$B:$B, $C1103)))</f>
        <v>Violin</v>
      </c>
      <c r="D1104" s="1" t="str">
        <f>VLOOKUP($C1104, 'Instrument Table'!$B:$C, 2, FALSE)</f>
        <v>Strings</v>
      </c>
      <c r="E1104" s="1">
        <f t="shared" si="102"/>
        <v>1</v>
      </c>
      <c r="F1104" s="1">
        <f>_xlfn.XLOOKUP($C1104, 'Instrument Table'!$B:$B, 'Instrument Table'!$A:$A, "")</f>
        <v>20</v>
      </c>
      <c r="G1104" s="1" t="str">
        <f>TEXT(IF($B1104 = "Retail Item", IF((ROW($A1104) - 4504 - _xlfn.XMATCH($C1104, $C$4506:$C$5005, 0, 1)) &lt;= VLOOKUP($C1104, 'Instrument Table'!$B:$D, 3, FALSE), ROW($A1104) - 4504 - _xlfn.XMATCH($C1104, $C$4506:$C$5005, 0, 1), 0), 0), "00")</f>
        <v>00</v>
      </c>
      <c r="H1104" s="1" t="str">
        <f t="shared" si="103"/>
        <v>148</v>
      </c>
      <c r="I1104" s="1" t="str">
        <f t="shared" si="104"/>
        <v>12000-148</v>
      </c>
      <c r="J1104" s="1" t="str">
        <f t="shared" si="105"/>
        <v>Violin production item #148</v>
      </c>
      <c r="K1104" s="1" t="str">
        <f>IF(SUM(COUNTIFS(I:I, I1104)) &gt; 1, "DUPLICATE", "UNIQUE")</f>
        <v>UNIQUE</v>
      </c>
      <c r="L1104" s="18">
        <v>0</v>
      </c>
      <c r="M1104" s="28">
        <v>67</v>
      </c>
      <c r="N1104" s="6">
        <v>81</v>
      </c>
      <c r="O1104" s="30">
        <f t="shared" si="106"/>
        <v>0</v>
      </c>
      <c r="P1104" s="30">
        <f t="shared" si="107"/>
        <v>5427</v>
      </c>
      <c r="Q1104" s="1">
        <f>COUNTIFS($P:$P, "&gt;" &amp; $P1104) + 1</f>
        <v>2369</v>
      </c>
      <c r="R1104" s="63">
        <f>(COUNTIFS($P:$P, "&gt;" &amp; $P1104) + 1) / (COUNTA($I:$I) - 1)</f>
        <v>0.4738</v>
      </c>
      <c r="S1104" s="23">
        <f>SUMIFS($P:$P, $Q:$Q, "&lt;" &amp; $Q1104)</f>
        <v>182451497</v>
      </c>
    </row>
    <row r="1105" spans="1:19" x14ac:dyDescent="0.25">
      <c r="A1105" s="1">
        <v>1100</v>
      </c>
      <c r="B1105" s="1" t="s">
        <v>2</v>
      </c>
      <c r="C1105" s="1" t="str">
        <f>IF($B1105 = "Production Item", _xlfn.XLOOKUP($A1105, 'Instrument Table'!$J:$J, 'Instrument Table'!$B:$B, $C1104), IF($B1105 = "Service Item", _xlfn.XLOOKUP($A1105, 'Instrument Table'!$I:$I, 'Instrument Table'!$B:$B, $C1104), _xlfn.XLOOKUP($A1105, 'Instrument Table'!$H:$H, 'Instrument Table'!$B:$B, $C1104)))</f>
        <v>Violin</v>
      </c>
      <c r="D1105" s="1" t="str">
        <f>VLOOKUP($C1105, 'Instrument Table'!$B:$C, 2, FALSE)</f>
        <v>Strings</v>
      </c>
      <c r="E1105" s="1">
        <f t="shared" si="102"/>
        <v>1</v>
      </c>
      <c r="F1105" s="1">
        <f>_xlfn.XLOOKUP($C1105, 'Instrument Table'!$B:$B, 'Instrument Table'!$A:$A, "")</f>
        <v>20</v>
      </c>
      <c r="G1105" s="1" t="str">
        <f>TEXT(IF($B1105 = "Retail Item", IF((ROW($A1105) - 4504 - _xlfn.XMATCH($C1105, $C$4506:$C$5005, 0, 1)) &lt;= VLOOKUP($C1105, 'Instrument Table'!$B:$D, 3, FALSE), ROW($A1105) - 4504 - _xlfn.XMATCH($C1105, $C$4506:$C$5005, 0, 1), 0), 0), "00")</f>
        <v>00</v>
      </c>
      <c r="H1105" s="1" t="str">
        <f t="shared" si="103"/>
        <v>149</v>
      </c>
      <c r="I1105" s="1" t="str">
        <f t="shared" si="104"/>
        <v>12000-149</v>
      </c>
      <c r="J1105" s="1" t="str">
        <f t="shared" si="105"/>
        <v>Violin production item #149</v>
      </c>
      <c r="K1105" s="1" t="str">
        <f>IF(SUM(COUNTIFS(I:I, I1105)) &gt; 1, "DUPLICATE", "UNIQUE")</f>
        <v>UNIQUE</v>
      </c>
      <c r="L1105" s="18">
        <v>0</v>
      </c>
      <c r="M1105" s="28">
        <v>20</v>
      </c>
      <c r="N1105" s="6">
        <v>225</v>
      </c>
      <c r="O1105" s="30">
        <f t="shared" si="106"/>
        <v>0</v>
      </c>
      <c r="P1105" s="30">
        <f t="shared" si="107"/>
        <v>4500</v>
      </c>
      <c r="Q1105" s="1">
        <f>COUNTIFS($P:$P, "&gt;" &amp; $P1105) + 1</f>
        <v>2544</v>
      </c>
      <c r="R1105" s="63">
        <f>(COUNTIFS($P:$P, "&gt;" &amp; $P1105) + 1) / (COUNTA($I:$I) - 1)</f>
        <v>0.50880000000000003</v>
      </c>
      <c r="S1105" s="23">
        <f>SUMIFS($P:$P, $Q:$Q, "&lt;" &amp; $Q1105)</f>
        <v>183318007</v>
      </c>
    </row>
    <row r="1106" spans="1:19" x14ac:dyDescent="0.25">
      <c r="A1106" s="1">
        <v>1101</v>
      </c>
      <c r="B1106" s="1" t="s">
        <v>2</v>
      </c>
      <c r="C1106" s="1" t="str">
        <f>IF($B1106 = "Production Item", _xlfn.XLOOKUP($A1106, 'Instrument Table'!$J:$J, 'Instrument Table'!$B:$B, $C1105), IF($B1106 = "Service Item", _xlfn.XLOOKUP($A1106, 'Instrument Table'!$I:$I, 'Instrument Table'!$B:$B, $C1105), _xlfn.XLOOKUP($A1106, 'Instrument Table'!$H:$H, 'Instrument Table'!$B:$B, $C1105)))</f>
        <v>Violin</v>
      </c>
      <c r="D1106" s="1" t="str">
        <f>VLOOKUP($C1106, 'Instrument Table'!$B:$C, 2, FALSE)</f>
        <v>Strings</v>
      </c>
      <c r="E1106" s="1">
        <f t="shared" si="102"/>
        <v>1</v>
      </c>
      <c r="F1106" s="1">
        <f>_xlfn.XLOOKUP($C1106, 'Instrument Table'!$B:$B, 'Instrument Table'!$A:$A, "")</f>
        <v>20</v>
      </c>
      <c r="G1106" s="1" t="str">
        <f>TEXT(IF($B1106 = "Retail Item", IF((ROW($A1106) - 4504 - _xlfn.XMATCH($C1106, $C$4506:$C$5005, 0, 1)) &lt;= VLOOKUP($C1106, 'Instrument Table'!$B:$D, 3, FALSE), ROW($A1106) - 4504 - _xlfn.XMATCH($C1106, $C$4506:$C$5005, 0, 1), 0), 0), "00")</f>
        <v>00</v>
      </c>
      <c r="H1106" s="1" t="str">
        <f t="shared" si="103"/>
        <v>150</v>
      </c>
      <c r="I1106" s="1" t="str">
        <f t="shared" si="104"/>
        <v>12000-150</v>
      </c>
      <c r="J1106" s="1" t="str">
        <f t="shared" si="105"/>
        <v>Violin production item #150</v>
      </c>
      <c r="K1106" s="1" t="str">
        <f>IF(SUM(COUNTIFS(I:I, I1106)) &gt; 1, "DUPLICATE", "UNIQUE")</f>
        <v>UNIQUE</v>
      </c>
      <c r="L1106" s="18">
        <v>0</v>
      </c>
      <c r="M1106" s="28">
        <v>98</v>
      </c>
      <c r="N1106" s="6">
        <v>16</v>
      </c>
      <c r="O1106" s="30">
        <f t="shared" si="106"/>
        <v>0</v>
      </c>
      <c r="P1106" s="30">
        <f t="shared" si="107"/>
        <v>1568</v>
      </c>
      <c r="Q1106" s="1">
        <f>COUNTIFS($P:$P, "&gt;" &amp; $P1106) + 1</f>
        <v>3434</v>
      </c>
      <c r="R1106" s="63">
        <f>(COUNTIFS($P:$P, "&gt;" &amp; $P1106) + 1) / (COUNTA($I:$I) - 1)</f>
        <v>0.68679999999999997</v>
      </c>
      <c r="S1106" s="23">
        <f>SUMIFS($P:$P, $Q:$Q, "&lt;" &amp; $Q1106)</f>
        <v>185839021</v>
      </c>
    </row>
    <row r="1107" spans="1:19" x14ac:dyDescent="0.25">
      <c r="A1107" s="1">
        <v>1102</v>
      </c>
      <c r="B1107" s="1" t="s">
        <v>2</v>
      </c>
      <c r="C1107" s="1" t="str">
        <f>IF($B1107 = "Production Item", _xlfn.XLOOKUP($A1107, 'Instrument Table'!$J:$J, 'Instrument Table'!$B:$B, $C1106), IF($B1107 = "Service Item", _xlfn.XLOOKUP($A1107, 'Instrument Table'!$I:$I, 'Instrument Table'!$B:$B, $C1106), _xlfn.XLOOKUP($A1107, 'Instrument Table'!$H:$H, 'Instrument Table'!$B:$B, $C1106)))</f>
        <v>Violin</v>
      </c>
      <c r="D1107" s="1" t="str">
        <f>VLOOKUP($C1107, 'Instrument Table'!$B:$C, 2, FALSE)</f>
        <v>Strings</v>
      </c>
      <c r="E1107" s="1">
        <f t="shared" si="102"/>
        <v>1</v>
      </c>
      <c r="F1107" s="1">
        <f>_xlfn.XLOOKUP($C1107, 'Instrument Table'!$B:$B, 'Instrument Table'!$A:$A, "")</f>
        <v>20</v>
      </c>
      <c r="G1107" s="1" t="str">
        <f>TEXT(IF($B1107 = "Retail Item", IF((ROW($A1107) - 4504 - _xlfn.XMATCH($C1107, $C$4506:$C$5005, 0, 1)) &lt;= VLOOKUP($C1107, 'Instrument Table'!$B:$D, 3, FALSE), ROW($A1107) - 4504 - _xlfn.XMATCH($C1107, $C$4506:$C$5005, 0, 1), 0), 0), "00")</f>
        <v>00</v>
      </c>
      <c r="H1107" s="1" t="str">
        <f t="shared" si="103"/>
        <v>151</v>
      </c>
      <c r="I1107" s="1" t="str">
        <f t="shared" si="104"/>
        <v>12000-151</v>
      </c>
      <c r="J1107" s="1" t="str">
        <f t="shared" si="105"/>
        <v>Violin production item #151</v>
      </c>
      <c r="K1107" s="1" t="str">
        <f>IF(SUM(COUNTIFS(I:I, I1107)) &gt; 1, "DUPLICATE", "UNIQUE")</f>
        <v>UNIQUE</v>
      </c>
      <c r="L1107" s="18">
        <v>16</v>
      </c>
      <c r="M1107" s="28">
        <v>94</v>
      </c>
      <c r="N1107" s="6">
        <v>256</v>
      </c>
      <c r="O1107" s="30">
        <f t="shared" si="106"/>
        <v>1504</v>
      </c>
      <c r="P1107" s="30">
        <f t="shared" si="107"/>
        <v>24064</v>
      </c>
      <c r="Q1107" s="1">
        <f>COUNTIFS($P:$P, "&gt;" &amp; $P1107) + 1</f>
        <v>868</v>
      </c>
      <c r="R1107" s="63">
        <f>(COUNTIFS($P:$P, "&gt;" &amp; $P1107) + 1) / (COUNTA($I:$I) - 1)</f>
        <v>0.1736</v>
      </c>
      <c r="S1107" s="23">
        <f>SUMIFS($P:$P, $Q:$Q, "&lt;" &amp; $Q1107)</f>
        <v>163523021</v>
      </c>
    </row>
    <row r="1108" spans="1:19" x14ac:dyDescent="0.25">
      <c r="A1108" s="1">
        <v>1103</v>
      </c>
      <c r="B1108" s="1" t="s">
        <v>2</v>
      </c>
      <c r="C1108" s="1" t="str">
        <f>IF($B1108 = "Production Item", _xlfn.XLOOKUP($A1108, 'Instrument Table'!$J:$J, 'Instrument Table'!$B:$B, $C1107), IF($B1108 = "Service Item", _xlfn.XLOOKUP($A1108, 'Instrument Table'!$I:$I, 'Instrument Table'!$B:$B, $C1107), _xlfn.XLOOKUP($A1108, 'Instrument Table'!$H:$H, 'Instrument Table'!$B:$B, $C1107)))</f>
        <v>Violin</v>
      </c>
      <c r="D1108" s="1" t="str">
        <f>VLOOKUP($C1108, 'Instrument Table'!$B:$C, 2, FALSE)</f>
        <v>Strings</v>
      </c>
      <c r="E1108" s="1">
        <f t="shared" si="102"/>
        <v>1</v>
      </c>
      <c r="F1108" s="1">
        <f>_xlfn.XLOOKUP($C1108, 'Instrument Table'!$B:$B, 'Instrument Table'!$A:$A, "")</f>
        <v>20</v>
      </c>
      <c r="G1108" s="1" t="str">
        <f>TEXT(IF($B1108 = "Retail Item", IF((ROW($A1108) - 4504 - _xlfn.XMATCH($C1108, $C$4506:$C$5005, 0, 1)) &lt;= VLOOKUP($C1108, 'Instrument Table'!$B:$D, 3, FALSE), ROW($A1108) - 4504 - _xlfn.XMATCH($C1108, $C$4506:$C$5005, 0, 1), 0), 0), "00")</f>
        <v>00</v>
      </c>
      <c r="H1108" s="1" t="str">
        <f t="shared" si="103"/>
        <v>152</v>
      </c>
      <c r="I1108" s="1" t="str">
        <f t="shared" si="104"/>
        <v>12000-152</v>
      </c>
      <c r="J1108" s="1" t="str">
        <f t="shared" si="105"/>
        <v>Violin production item #152</v>
      </c>
      <c r="K1108" s="1" t="str">
        <f>IF(SUM(COUNTIFS(I:I, I1108)) &gt; 1, "DUPLICATE", "UNIQUE")</f>
        <v>UNIQUE</v>
      </c>
      <c r="L1108" s="18">
        <v>0</v>
      </c>
      <c r="M1108" s="28">
        <v>77</v>
      </c>
      <c r="N1108" s="6">
        <v>64</v>
      </c>
      <c r="O1108" s="30">
        <f t="shared" si="106"/>
        <v>0</v>
      </c>
      <c r="P1108" s="30">
        <f t="shared" si="107"/>
        <v>4928</v>
      </c>
      <c r="Q1108" s="1">
        <f>COUNTIFS($P:$P, "&gt;" &amp; $P1108) + 1</f>
        <v>2458</v>
      </c>
      <c r="R1108" s="63">
        <f>(COUNTIFS($P:$P, "&gt;" &amp; $P1108) + 1) / (COUNTA($I:$I) - 1)</f>
        <v>0.49159999999999998</v>
      </c>
      <c r="S1108" s="23">
        <f>SUMIFS($P:$P, $Q:$Q, "&lt;" &amp; $Q1108)</f>
        <v>182912122</v>
      </c>
    </row>
    <row r="1109" spans="1:19" x14ac:dyDescent="0.25">
      <c r="A1109" s="1">
        <v>1104</v>
      </c>
      <c r="B1109" s="1" t="s">
        <v>2</v>
      </c>
      <c r="C1109" s="1" t="str">
        <f>IF($B1109 = "Production Item", _xlfn.XLOOKUP($A1109, 'Instrument Table'!$J:$J, 'Instrument Table'!$B:$B, $C1108), IF($B1109 = "Service Item", _xlfn.XLOOKUP($A1109, 'Instrument Table'!$I:$I, 'Instrument Table'!$B:$B, $C1108), _xlfn.XLOOKUP($A1109, 'Instrument Table'!$H:$H, 'Instrument Table'!$B:$B, $C1108)))</f>
        <v>Violin</v>
      </c>
      <c r="D1109" s="1" t="str">
        <f>VLOOKUP($C1109, 'Instrument Table'!$B:$C, 2, FALSE)</f>
        <v>Strings</v>
      </c>
      <c r="E1109" s="1">
        <f t="shared" si="102"/>
        <v>1</v>
      </c>
      <c r="F1109" s="1">
        <f>_xlfn.XLOOKUP($C1109, 'Instrument Table'!$B:$B, 'Instrument Table'!$A:$A, "")</f>
        <v>20</v>
      </c>
      <c r="G1109" s="1" t="str">
        <f>TEXT(IF($B1109 = "Retail Item", IF((ROW($A1109) - 4504 - _xlfn.XMATCH($C1109, $C$4506:$C$5005, 0, 1)) &lt;= VLOOKUP($C1109, 'Instrument Table'!$B:$D, 3, FALSE), ROW($A1109) - 4504 - _xlfn.XMATCH($C1109, $C$4506:$C$5005, 0, 1), 0), 0), "00")</f>
        <v>00</v>
      </c>
      <c r="H1109" s="1" t="str">
        <f t="shared" si="103"/>
        <v>153</v>
      </c>
      <c r="I1109" s="1" t="str">
        <f t="shared" si="104"/>
        <v>12000-153</v>
      </c>
      <c r="J1109" s="1" t="str">
        <f t="shared" si="105"/>
        <v>Violin production item #153</v>
      </c>
      <c r="K1109" s="1" t="str">
        <f>IF(SUM(COUNTIFS(I:I, I1109)) &gt; 1, "DUPLICATE", "UNIQUE")</f>
        <v>UNIQUE</v>
      </c>
      <c r="L1109" s="18">
        <v>0</v>
      </c>
      <c r="M1109" s="28">
        <v>72</v>
      </c>
      <c r="N1109" s="6">
        <v>49</v>
      </c>
      <c r="O1109" s="30">
        <f t="shared" si="106"/>
        <v>0</v>
      </c>
      <c r="P1109" s="30">
        <f t="shared" si="107"/>
        <v>3528</v>
      </c>
      <c r="Q1109" s="1">
        <f>COUNTIFS($P:$P, "&gt;" &amp; $P1109) + 1</f>
        <v>2761</v>
      </c>
      <c r="R1109" s="63">
        <f>(COUNTIFS($P:$P, "&gt;" &amp; $P1109) + 1) / (COUNTA($I:$I) - 1)</f>
        <v>0.55220000000000002</v>
      </c>
      <c r="S1109" s="23">
        <f>SUMIFS($P:$P, $Q:$Q, "&lt;" &amp; $Q1109)</f>
        <v>184189975</v>
      </c>
    </row>
    <row r="1110" spans="1:19" x14ac:dyDescent="0.25">
      <c r="A1110" s="1">
        <v>1105</v>
      </c>
      <c r="B1110" s="1" t="s">
        <v>2</v>
      </c>
      <c r="C1110" s="1" t="str">
        <f>IF($B1110 = "Production Item", _xlfn.XLOOKUP($A1110, 'Instrument Table'!$J:$J, 'Instrument Table'!$B:$B, $C1109), IF($B1110 = "Service Item", _xlfn.XLOOKUP($A1110, 'Instrument Table'!$I:$I, 'Instrument Table'!$B:$B, $C1109), _xlfn.XLOOKUP($A1110, 'Instrument Table'!$H:$H, 'Instrument Table'!$B:$B, $C1109)))</f>
        <v>Violin</v>
      </c>
      <c r="D1110" s="1" t="str">
        <f>VLOOKUP($C1110, 'Instrument Table'!$B:$C, 2, FALSE)</f>
        <v>Strings</v>
      </c>
      <c r="E1110" s="1">
        <f t="shared" si="102"/>
        <v>1</v>
      </c>
      <c r="F1110" s="1">
        <f>_xlfn.XLOOKUP($C1110, 'Instrument Table'!$B:$B, 'Instrument Table'!$A:$A, "")</f>
        <v>20</v>
      </c>
      <c r="G1110" s="1" t="str">
        <f>TEXT(IF($B1110 = "Retail Item", IF((ROW($A1110) - 4504 - _xlfn.XMATCH($C1110, $C$4506:$C$5005, 0, 1)) &lt;= VLOOKUP($C1110, 'Instrument Table'!$B:$D, 3, FALSE), ROW($A1110) - 4504 - _xlfn.XMATCH($C1110, $C$4506:$C$5005, 0, 1), 0), 0), "00")</f>
        <v>00</v>
      </c>
      <c r="H1110" s="1" t="str">
        <f t="shared" si="103"/>
        <v>154</v>
      </c>
      <c r="I1110" s="1" t="str">
        <f t="shared" si="104"/>
        <v>12000-154</v>
      </c>
      <c r="J1110" s="1" t="str">
        <f t="shared" si="105"/>
        <v>Violin production item #154</v>
      </c>
      <c r="K1110" s="1" t="str">
        <f>IF(SUM(COUNTIFS(I:I, I1110)) &gt; 1, "DUPLICATE", "UNIQUE")</f>
        <v>UNIQUE</v>
      </c>
      <c r="L1110" s="18">
        <v>8</v>
      </c>
      <c r="M1110" s="28">
        <v>28</v>
      </c>
      <c r="N1110" s="6">
        <v>81</v>
      </c>
      <c r="O1110" s="30">
        <f t="shared" si="106"/>
        <v>224</v>
      </c>
      <c r="P1110" s="30">
        <f t="shared" si="107"/>
        <v>2268</v>
      </c>
      <c r="Q1110" s="1">
        <f>COUNTIFS($P:$P, "&gt;" &amp; $P1110) + 1</f>
        <v>3145</v>
      </c>
      <c r="R1110" s="63">
        <f>(COUNTIFS($P:$P, "&gt;" &amp; $P1110) + 1) / (COUNTA($I:$I) - 1)</f>
        <v>0.629</v>
      </c>
      <c r="S1110" s="23">
        <f>SUMIFS($P:$P, $Q:$Q, "&lt;" &amp; $Q1110)</f>
        <v>185286773</v>
      </c>
    </row>
    <row r="1111" spans="1:19" x14ac:dyDescent="0.25">
      <c r="A1111" s="1">
        <v>1106</v>
      </c>
      <c r="B1111" s="1" t="s">
        <v>2</v>
      </c>
      <c r="C1111" s="1" t="str">
        <f>IF($B1111 = "Production Item", _xlfn.XLOOKUP($A1111, 'Instrument Table'!$J:$J, 'Instrument Table'!$B:$B, $C1110), IF($B1111 = "Service Item", _xlfn.XLOOKUP($A1111, 'Instrument Table'!$I:$I, 'Instrument Table'!$B:$B, $C1110), _xlfn.XLOOKUP($A1111, 'Instrument Table'!$H:$H, 'Instrument Table'!$B:$B, $C1110)))</f>
        <v>Violin</v>
      </c>
      <c r="D1111" s="1" t="str">
        <f>VLOOKUP($C1111, 'Instrument Table'!$B:$C, 2, FALSE)</f>
        <v>Strings</v>
      </c>
      <c r="E1111" s="1">
        <f t="shared" si="102"/>
        <v>1</v>
      </c>
      <c r="F1111" s="1">
        <f>_xlfn.XLOOKUP($C1111, 'Instrument Table'!$B:$B, 'Instrument Table'!$A:$A, "")</f>
        <v>20</v>
      </c>
      <c r="G1111" s="1" t="str">
        <f>TEXT(IF($B1111 = "Retail Item", IF((ROW($A1111) - 4504 - _xlfn.XMATCH($C1111, $C$4506:$C$5005, 0, 1)) &lt;= VLOOKUP($C1111, 'Instrument Table'!$B:$D, 3, FALSE), ROW($A1111) - 4504 - _xlfn.XMATCH($C1111, $C$4506:$C$5005, 0, 1), 0), 0), "00")</f>
        <v>00</v>
      </c>
      <c r="H1111" s="1" t="str">
        <f t="shared" si="103"/>
        <v>155</v>
      </c>
      <c r="I1111" s="1" t="str">
        <f t="shared" si="104"/>
        <v>12000-155</v>
      </c>
      <c r="J1111" s="1" t="str">
        <f t="shared" si="105"/>
        <v>Violin production item #155</v>
      </c>
      <c r="K1111" s="1" t="str">
        <f>IF(SUM(COUNTIFS(I:I, I1111)) &gt; 1, "DUPLICATE", "UNIQUE")</f>
        <v>UNIQUE</v>
      </c>
      <c r="L1111" s="18">
        <v>0</v>
      </c>
      <c r="M1111" s="28">
        <v>76</v>
      </c>
      <c r="N1111" s="6">
        <v>169</v>
      </c>
      <c r="O1111" s="30">
        <f t="shared" si="106"/>
        <v>0</v>
      </c>
      <c r="P1111" s="30">
        <f t="shared" si="107"/>
        <v>12844</v>
      </c>
      <c r="Q1111" s="1">
        <f>COUNTIFS($P:$P, "&gt;" &amp; $P1111) + 1</f>
        <v>1510</v>
      </c>
      <c r="R1111" s="63">
        <f>(COUNTIFS($P:$P, "&gt;" &amp; $P1111) + 1) / (COUNTA($I:$I) - 1)</f>
        <v>0.30199999999999999</v>
      </c>
      <c r="S1111" s="23">
        <f>SUMIFS($P:$P, $Q:$Q, "&lt;" &amp; $Q1111)</f>
        <v>174969283</v>
      </c>
    </row>
    <row r="1112" spans="1:19" x14ac:dyDescent="0.25">
      <c r="A1112" s="1">
        <v>1107</v>
      </c>
      <c r="B1112" s="1" t="s">
        <v>2</v>
      </c>
      <c r="C1112" s="1" t="str">
        <f>IF($B1112 = "Production Item", _xlfn.XLOOKUP($A1112, 'Instrument Table'!$J:$J, 'Instrument Table'!$B:$B, $C1111), IF($B1112 = "Service Item", _xlfn.XLOOKUP($A1112, 'Instrument Table'!$I:$I, 'Instrument Table'!$B:$B, $C1111), _xlfn.XLOOKUP($A1112, 'Instrument Table'!$H:$H, 'Instrument Table'!$B:$B, $C1111)))</f>
        <v>Violin</v>
      </c>
      <c r="D1112" s="1" t="str">
        <f>VLOOKUP($C1112, 'Instrument Table'!$B:$C, 2, FALSE)</f>
        <v>Strings</v>
      </c>
      <c r="E1112" s="1">
        <f t="shared" si="102"/>
        <v>1</v>
      </c>
      <c r="F1112" s="1">
        <f>_xlfn.XLOOKUP($C1112, 'Instrument Table'!$B:$B, 'Instrument Table'!$A:$A, "")</f>
        <v>20</v>
      </c>
      <c r="G1112" s="1" t="str">
        <f>TEXT(IF($B1112 = "Retail Item", IF((ROW($A1112) - 4504 - _xlfn.XMATCH($C1112, $C$4506:$C$5005, 0, 1)) &lt;= VLOOKUP($C1112, 'Instrument Table'!$B:$D, 3, FALSE), ROW($A1112) - 4504 - _xlfn.XMATCH($C1112, $C$4506:$C$5005, 0, 1), 0), 0), "00")</f>
        <v>00</v>
      </c>
      <c r="H1112" s="1" t="str">
        <f t="shared" si="103"/>
        <v>156</v>
      </c>
      <c r="I1112" s="1" t="str">
        <f t="shared" si="104"/>
        <v>12000-156</v>
      </c>
      <c r="J1112" s="1" t="str">
        <f t="shared" si="105"/>
        <v>Violin production item #156</v>
      </c>
      <c r="K1112" s="1" t="str">
        <f>IF(SUM(COUNTIFS(I:I, I1112)) &gt; 1, "DUPLICATE", "UNIQUE")</f>
        <v>UNIQUE</v>
      </c>
      <c r="L1112" s="18">
        <v>0</v>
      </c>
      <c r="M1112" s="28">
        <v>61</v>
      </c>
      <c r="N1112" s="6">
        <v>144</v>
      </c>
      <c r="O1112" s="30">
        <f t="shared" si="106"/>
        <v>0</v>
      </c>
      <c r="P1112" s="30">
        <f t="shared" si="107"/>
        <v>8784</v>
      </c>
      <c r="Q1112" s="1">
        <f>COUNTIFS($P:$P, "&gt;" &amp; $P1112) + 1</f>
        <v>1900</v>
      </c>
      <c r="R1112" s="63">
        <f>(COUNTIFS($P:$P, "&gt;" &amp; $P1112) + 1) / (COUNTA($I:$I) - 1)</f>
        <v>0.38</v>
      </c>
      <c r="S1112" s="23">
        <f>SUMIFS($P:$P, $Q:$Q, "&lt;" &amp; $Q1112)</f>
        <v>179163527</v>
      </c>
    </row>
    <row r="1113" spans="1:19" x14ac:dyDescent="0.25">
      <c r="A1113" s="1">
        <v>1108</v>
      </c>
      <c r="B1113" s="1" t="s">
        <v>2</v>
      </c>
      <c r="C1113" s="1" t="str">
        <f>IF($B1113 = "Production Item", _xlfn.XLOOKUP($A1113, 'Instrument Table'!$J:$J, 'Instrument Table'!$B:$B, $C1112), IF($B1113 = "Service Item", _xlfn.XLOOKUP($A1113, 'Instrument Table'!$I:$I, 'Instrument Table'!$B:$B, $C1112), _xlfn.XLOOKUP($A1113, 'Instrument Table'!$H:$H, 'Instrument Table'!$B:$B, $C1112)))</f>
        <v>Violin</v>
      </c>
      <c r="D1113" s="1" t="str">
        <f>VLOOKUP($C1113, 'Instrument Table'!$B:$C, 2, FALSE)</f>
        <v>Strings</v>
      </c>
      <c r="E1113" s="1">
        <f t="shared" si="102"/>
        <v>1</v>
      </c>
      <c r="F1113" s="1">
        <f>_xlfn.XLOOKUP($C1113, 'Instrument Table'!$B:$B, 'Instrument Table'!$A:$A, "")</f>
        <v>20</v>
      </c>
      <c r="G1113" s="1" t="str">
        <f>TEXT(IF($B1113 = "Retail Item", IF((ROW($A1113) - 4504 - _xlfn.XMATCH($C1113, $C$4506:$C$5005, 0, 1)) &lt;= VLOOKUP($C1113, 'Instrument Table'!$B:$D, 3, FALSE), ROW($A1113) - 4504 - _xlfn.XMATCH($C1113, $C$4506:$C$5005, 0, 1), 0), 0), "00")</f>
        <v>00</v>
      </c>
      <c r="H1113" s="1" t="str">
        <f t="shared" si="103"/>
        <v>157</v>
      </c>
      <c r="I1113" s="1" t="str">
        <f t="shared" si="104"/>
        <v>12000-157</v>
      </c>
      <c r="J1113" s="1" t="str">
        <f t="shared" si="105"/>
        <v>Violin production item #157</v>
      </c>
      <c r="K1113" s="1" t="str">
        <f>IF(SUM(COUNTIFS(I:I, I1113)) &gt; 1, "DUPLICATE", "UNIQUE")</f>
        <v>UNIQUE</v>
      </c>
      <c r="L1113" s="18">
        <v>0</v>
      </c>
      <c r="M1113" s="28">
        <v>86</v>
      </c>
      <c r="N1113" s="6">
        <v>144</v>
      </c>
      <c r="O1113" s="30">
        <f t="shared" si="106"/>
        <v>0</v>
      </c>
      <c r="P1113" s="30">
        <f t="shared" si="107"/>
        <v>12384</v>
      </c>
      <c r="Q1113" s="1">
        <f>COUNTIFS($P:$P, "&gt;" &amp; $P1113) + 1</f>
        <v>1547</v>
      </c>
      <c r="R1113" s="63">
        <f>(COUNTIFS($P:$P, "&gt;" &amp; $P1113) + 1) / (COUNTA($I:$I) - 1)</f>
        <v>0.30940000000000001</v>
      </c>
      <c r="S1113" s="23">
        <f>SUMIFS($P:$P, $Q:$Q, "&lt;" &amp; $Q1113)</f>
        <v>175437848</v>
      </c>
    </row>
    <row r="1114" spans="1:19" x14ac:dyDescent="0.25">
      <c r="A1114" s="1">
        <v>1109</v>
      </c>
      <c r="B1114" s="1" t="s">
        <v>2</v>
      </c>
      <c r="C1114" s="1" t="str">
        <f>IF($B1114 = "Production Item", _xlfn.XLOOKUP($A1114, 'Instrument Table'!$J:$J, 'Instrument Table'!$B:$B, $C1113), IF($B1114 = "Service Item", _xlfn.XLOOKUP($A1114, 'Instrument Table'!$I:$I, 'Instrument Table'!$B:$B, $C1113), _xlfn.XLOOKUP($A1114, 'Instrument Table'!$H:$H, 'Instrument Table'!$B:$B, $C1113)))</f>
        <v>Violin</v>
      </c>
      <c r="D1114" s="1" t="str">
        <f>VLOOKUP($C1114, 'Instrument Table'!$B:$C, 2, FALSE)</f>
        <v>Strings</v>
      </c>
      <c r="E1114" s="1">
        <f t="shared" si="102"/>
        <v>1</v>
      </c>
      <c r="F1114" s="1">
        <f>_xlfn.XLOOKUP($C1114, 'Instrument Table'!$B:$B, 'Instrument Table'!$A:$A, "")</f>
        <v>20</v>
      </c>
      <c r="G1114" s="1" t="str">
        <f>TEXT(IF($B1114 = "Retail Item", IF((ROW($A1114) - 4504 - _xlfn.XMATCH($C1114, $C$4506:$C$5005, 0, 1)) &lt;= VLOOKUP($C1114, 'Instrument Table'!$B:$D, 3, FALSE), ROW($A1114) - 4504 - _xlfn.XMATCH($C1114, $C$4506:$C$5005, 0, 1), 0), 0), "00")</f>
        <v>00</v>
      </c>
      <c r="H1114" s="1" t="str">
        <f t="shared" si="103"/>
        <v>158</v>
      </c>
      <c r="I1114" s="1" t="str">
        <f t="shared" si="104"/>
        <v>12000-158</v>
      </c>
      <c r="J1114" s="1" t="str">
        <f t="shared" si="105"/>
        <v>Violin production item #158</v>
      </c>
      <c r="K1114" s="1" t="str">
        <f>IF(SUM(COUNTIFS(I:I, I1114)) &gt; 1, "DUPLICATE", "UNIQUE")</f>
        <v>UNIQUE</v>
      </c>
      <c r="L1114" s="18">
        <v>16</v>
      </c>
      <c r="M1114" s="28">
        <v>89</v>
      </c>
      <c r="N1114" s="6">
        <v>49</v>
      </c>
      <c r="O1114" s="30">
        <f t="shared" si="106"/>
        <v>1424</v>
      </c>
      <c r="P1114" s="30">
        <f t="shared" si="107"/>
        <v>4361</v>
      </c>
      <c r="Q1114" s="1">
        <f>COUNTIFS($P:$P, "&gt;" &amp; $P1114) + 1</f>
        <v>2572</v>
      </c>
      <c r="R1114" s="63">
        <f>(COUNTIFS($P:$P, "&gt;" &amp; $P1114) + 1) / (COUNTA($I:$I) - 1)</f>
        <v>0.51439999999999997</v>
      </c>
      <c r="S1114" s="23">
        <f>SUMIFS($P:$P, $Q:$Q, "&lt;" &amp; $Q1114)</f>
        <v>183442642</v>
      </c>
    </row>
    <row r="1115" spans="1:19" x14ac:dyDescent="0.25">
      <c r="A1115" s="1">
        <v>1110</v>
      </c>
      <c r="B1115" s="1" t="s">
        <v>2</v>
      </c>
      <c r="C1115" s="1" t="str">
        <f>IF($B1115 = "Production Item", _xlfn.XLOOKUP($A1115, 'Instrument Table'!$J:$J, 'Instrument Table'!$B:$B, $C1114), IF($B1115 = "Service Item", _xlfn.XLOOKUP($A1115, 'Instrument Table'!$I:$I, 'Instrument Table'!$B:$B, $C1114), _xlfn.XLOOKUP($A1115, 'Instrument Table'!$H:$H, 'Instrument Table'!$B:$B, $C1114)))</f>
        <v>Violin</v>
      </c>
      <c r="D1115" s="1" t="str">
        <f>VLOOKUP($C1115, 'Instrument Table'!$B:$C, 2, FALSE)</f>
        <v>Strings</v>
      </c>
      <c r="E1115" s="1">
        <f t="shared" si="102"/>
        <v>1</v>
      </c>
      <c r="F1115" s="1">
        <f>_xlfn.XLOOKUP($C1115, 'Instrument Table'!$B:$B, 'Instrument Table'!$A:$A, "")</f>
        <v>20</v>
      </c>
      <c r="G1115" s="1" t="str">
        <f>TEXT(IF($B1115 = "Retail Item", IF((ROW($A1115) - 4504 - _xlfn.XMATCH($C1115, $C$4506:$C$5005, 0, 1)) &lt;= VLOOKUP($C1115, 'Instrument Table'!$B:$D, 3, FALSE), ROW($A1115) - 4504 - _xlfn.XMATCH($C1115, $C$4506:$C$5005, 0, 1), 0), 0), "00")</f>
        <v>00</v>
      </c>
      <c r="H1115" s="1" t="str">
        <f t="shared" si="103"/>
        <v>159</v>
      </c>
      <c r="I1115" s="1" t="str">
        <f t="shared" si="104"/>
        <v>12000-159</v>
      </c>
      <c r="J1115" s="1" t="str">
        <f t="shared" si="105"/>
        <v>Violin production item #159</v>
      </c>
      <c r="K1115" s="1" t="str">
        <f>IF(SUM(COUNTIFS(I:I, I1115)) &gt; 1, "DUPLICATE", "UNIQUE")</f>
        <v>UNIQUE</v>
      </c>
      <c r="L1115" s="18">
        <v>4</v>
      </c>
      <c r="M1115" s="28">
        <v>38</v>
      </c>
      <c r="N1115" s="6">
        <v>324</v>
      </c>
      <c r="O1115" s="30">
        <f t="shared" si="106"/>
        <v>152</v>
      </c>
      <c r="P1115" s="30">
        <f t="shared" si="107"/>
        <v>12312</v>
      </c>
      <c r="Q1115" s="1">
        <f>COUNTIFS($P:$P, "&gt;" &amp; $P1115) + 1</f>
        <v>1551</v>
      </c>
      <c r="R1115" s="63">
        <f>(COUNTIFS($P:$P, "&gt;" &amp; $P1115) + 1) / (COUNTA($I:$I) - 1)</f>
        <v>0.31019999999999998</v>
      </c>
      <c r="S1115" s="23">
        <f>SUMIFS($P:$P, $Q:$Q, "&lt;" &amp; $Q1115)</f>
        <v>175487366</v>
      </c>
    </row>
    <row r="1116" spans="1:19" x14ac:dyDescent="0.25">
      <c r="A1116" s="1">
        <v>1111</v>
      </c>
      <c r="B1116" s="1" t="s">
        <v>2</v>
      </c>
      <c r="C1116" s="1" t="str">
        <f>IF($B1116 = "Production Item", _xlfn.XLOOKUP($A1116, 'Instrument Table'!$J:$J, 'Instrument Table'!$B:$B, $C1115), IF($B1116 = "Service Item", _xlfn.XLOOKUP($A1116, 'Instrument Table'!$I:$I, 'Instrument Table'!$B:$B, $C1115), _xlfn.XLOOKUP($A1116, 'Instrument Table'!$H:$H, 'Instrument Table'!$B:$B, $C1115)))</f>
        <v>Violin</v>
      </c>
      <c r="D1116" s="1" t="str">
        <f>VLOOKUP($C1116, 'Instrument Table'!$B:$C, 2, FALSE)</f>
        <v>Strings</v>
      </c>
      <c r="E1116" s="1">
        <f t="shared" si="102"/>
        <v>1</v>
      </c>
      <c r="F1116" s="1">
        <f>_xlfn.XLOOKUP($C1116, 'Instrument Table'!$B:$B, 'Instrument Table'!$A:$A, "")</f>
        <v>20</v>
      </c>
      <c r="G1116" s="1" t="str">
        <f>TEXT(IF($B1116 = "Retail Item", IF((ROW($A1116) - 4504 - _xlfn.XMATCH($C1116, $C$4506:$C$5005, 0, 1)) &lt;= VLOOKUP($C1116, 'Instrument Table'!$B:$D, 3, FALSE), ROW($A1116) - 4504 - _xlfn.XMATCH($C1116, $C$4506:$C$5005, 0, 1), 0), 0), "00")</f>
        <v>00</v>
      </c>
      <c r="H1116" s="1" t="str">
        <f t="shared" si="103"/>
        <v>160</v>
      </c>
      <c r="I1116" s="1" t="str">
        <f t="shared" si="104"/>
        <v>12000-160</v>
      </c>
      <c r="J1116" s="1" t="str">
        <f t="shared" si="105"/>
        <v>Violin production item #160</v>
      </c>
      <c r="K1116" s="1" t="str">
        <f>IF(SUM(COUNTIFS(I:I, I1116)) &gt; 1, "DUPLICATE", "UNIQUE")</f>
        <v>UNIQUE</v>
      </c>
      <c r="L1116" s="18">
        <v>0</v>
      </c>
      <c r="M1116" s="28">
        <v>64</v>
      </c>
      <c r="N1116" s="6">
        <v>49</v>
      </c>
      <c r="O1116" s="30">
        <f t="shared" si="106"/>
        <v>0</v>
      </c>
      <c r="P1116" s="30">
        <f t="shared" si="107"/>
        <v>3136</v>
      </c>
      <c r="Q1116" s="1">
        <f>COUNTIFS($P:$P, "&gt;" &amp; $P1116) + 1</f>
        <v>2874</v>
      </c>
      <c r="R1116" s="63">
        <f>(COUNTIFS($P:$P, "&gt;" &amp; $P1116) + 1) / (COUNTA($I:$I) - 1)</f>
        <v>0.57479999999999998</v>
      </c>
      <c r="S1116" s="23">
        <f>SUMIFS($P:$P, $Q:$Q, "&lt;" &amp; $Q1116)</f>
        <v>184568226</v>
      </c>
    </row>
    <row r="1117" spans="1:19" x14ac:dyDescent="0.25">
      <c r="A1117" s="1">
        <v>1112</v>
      </c>
      <c r="B1117" s="1" t="s">
        <v>2</v>
      </c>
      <c r="C1117" s="1" t="str">
        <f>IF($B1117 = "Production Item", _xlfn.XLOOKUP($A1117, 'Instrument Table'!$J:$J, 'Instrument Table'!$B:$B, $C1116), IF($B1117 = "Service Item", _xlfn.XLOOKUP($A1117, 'Instrument Table'!$I:$I, 'Instrument Table'!$B:$B, $C1116), _xlfn.XLOOKUP($A1117, 'Instrument Table'!$H:$H, 'Instrument Table'!$B:$B, $C1116)))</f>
        <v>Violin</v>
      </c>
      <c r="D1117" s="1" t="str">
        <f>VLOOKUP($C1117, 'Instrument Table'!$B:$C, 2, FALSE)</f>
        <v>Strings</v>
      </c>
      <c r="E1117" s="1">
        <f t="shared" si="102"/>
        <v>1</v>
      </c>
      <c r="F1117" s="1">
        <f>_xlfn.XLOOKUP($C1117, 'Instrument Table'!$B:$B, 'Instrument Table'!$A:$A, "")</f>
        <v>20</v>
      </c>
      <c r="G1117" s="1" t="str">
        <f>TEXT(IF($B1117 = "Retail Item", IF((ROW($A1117) - 4504 - _xlfn.XMATCH($C1117, $C$4506:$C$5005, 0, 1)) &lt;= VLOOKUP($C1117, 'Instrument Table'!$B:$D, 3, FALSE), ROW($A1117) - 4504 - _xlfn.XMATCH($C1117, $C$4506:$C$5005, 0, 1), 0), 0), "00")</f>
        <v>00</v>
      </c>
      <c r="H1117" s="1" t="str">
        <f t="shared" si="103"/>
        <v>161</v>
      </c>
      <c r="I1117" s="1" t="str">
        <f t="shared" si="104"/>
        <v>12000-161</v>
      </c>
      <c r="J1117" s="1" t="str">
        <f t="shared" si="105"/>
        <v>Violin production item #161</v>
      </c>
      <c r="K1117" s="1" t="str">
        <f>IF(SUM(COUNTIFS(I:I, I1117)) &gt; 1, "DUPLICATE", "UNIQUE")</f>
        <v>UNIQUE</v>
      </c>
      <c r="L1117" s="18">
        <v>0</v>
      </c>
      <c r="M1117" s="28">
        <v>82</v>
      </c>
      <c r="N1117" s="6">
        <v>16</v>
      </c>
      <c r="O1117" s="30">
        <f t="shared" si="106"/>
        <v>0</v>
      </c>
      <c r="P1117" s="30">
        <f t="shared" si="107"/>
        <v>1312</v>
      </c>
      <c r="Q1117" s="1">
        <f>COUNTIFS($P:$P, "&gt;" &amp; $P1117) + 1</f>
        <v>3558</v>
      </c>
      <c r="R1117" s="63">
        <f>(COUNTIFS($P:$P, "&gt;" &amp; $P1117) + 1) / (COUNTA($I:$I) - 1)</f>
        <v>0.71160000000000001</v>
      </c>
      <c r="S1117" s="23">
        <f>SUMIFS($P:$P, $Q:$Q, "&lt;" &amp; $Q1117)</f>
        <v>186016704</v>
      </c>
    </row>
    <row r="1118" spans="1:19" x14ac:dyDescent="0.25">
      <c r="A1118" s="1">
        <v>1113</v>
      </c>
      <c r="B1118" s="1" t="s">
        <v>2</v>
      </c>
      <c r="C1118" s="1" t="str">
        <f>IF($B1118 = "Production Item", _xlfn.XLOOKUP($A1118, 'Instrument Table'!$J:$J, 'Instrument Table'!$B:$B, $C1117), IF($B1118 = "Service Item", _xlfn.XLOOKUP($A1118, 'Instrument Table'!$I:$I, 'Instrument Table'!$B:$B, $C1117), _xlfn.XLOOKUP($A1118, 'Instrument Table'!$H:$H, 'Instrument Table'!$B:$B, $C1117)))</f>
        <v>Violin</v>
      </c>
      <c r="D1118" s="1" t="str">
        <f>VLOOKUP($C1118, 'Instrument Table'!$B:$C, 2, FALSE)</f>
        <v>Strings</v>
      </c>
      <c r="E1118" s="1">
        <f t="shared" si="102"/>
        <v>1</v>
      </c>
      <c r="F1118" s="1">
        <f>_xlfn.XLOOKUP($C1118, 'Instrument Table'!$B:$B, 'Instrument Table'!$A:$A, "")</f>
        <v>20</v>
      </c>
      <c r="G1118" s="1" t="str">
        <f>TEXT(IF($B1118 = "Retail Item", IF((ROW($A1118) - 4504 - _xlfn.XMATCH($C1118, $C$4506:$C$5005, 0, 1)) &lt;= VLOOKUP($C1118, 'Instrument Table'!$B:$D, 3, FALSE), ROW($A1118) - 4504 - _xlfn.XMATCH($C1118, $C$4506:$C$5005, 0, 1), 0), 0), "00")</f>
        <v>00</v>
      </c>
      <c r="H1118" s="1" t="str">
        <f t="shared" si="103"/>
        <v>162</v>
      </c>
      <c r="I1118" s="1" t="str">
        <f t="shared" si="104"/>
        <v>12000-162</v>
      </c>
      <c r="J1118" s="1" t="str">
        <f t="shared" si="105"/>
        <v>Violin production item #162</v>
      </c>
      <c r="K1118" s="1" t="str">
        <f>IF(SUM(COUNTIFS(I:I, I1118)) &gt; 1, "DUPLICATE", "UNIQUE")</f>
        <v>UNIQUE</v>
      </c>
      <c r="L1118" s="18">
        <v>8</v>
      </c>
      <c r="M1118" s="28">
        <v>19</v>
      </c>
      <c r="N1118" s="6">
        <v>196</v>
      </c>
      <c r="O1118" s="30">
        <f t="shared" si="106"/>
        <v>152</v>
      </c>
      <c r="P1118" s="30">
        <f t="shared" si="107"/>
        <v>3724</v>
      </c>
      <c r="Q1118" s="1">
        <f>COUNTIFS($P:$P, "&gt;" &amp; $P1118) + 1</f>
        <v>2715</v>
      </c>
      <c r="R1118" s="63">
        <f>(COUNTIFS($P:$P, "&gt;" &amp; $P1118) + 1) / (COUNTA($I:$I) - 1)</f>
        <v>0.54300000000000004</v>
      </c>
      <c r="S1118" s="23">
        <f>SUMIFS($P:$P, $Q:$Q, "&lt;" &amp; $Q1118)</f>
        <v>184023078</v>
      </c>
    </row>
    <row r="1119" spans="1:19" x14ac:dyDescent="0.25">
      <c r="A1119" s="1">
        <v>1114</v>
      </c>
      <c r="B1119" s="1" t="s">
        <v>2</v>
      </c>
      <c r="C1119" s="1" t="str">
        <f>IF($B1119 = "Production Item", _xlfn.XLOOKUP($A1119, 'Instrument Table'!$J:$J, 'Instrument Table'!$B:$B, $C1118), IF($B1119 = "Service Item", _xlfn.XLOOKUP($A1119, 'Instrument Table'!$I:$I, 'Instrument Table'!$B:$B, $C1118), _xlfn.XLOOKUP($A1119, 'Instrument Table'!$H:$H, 'Instrument Table'!$B:$B, $C1118)))</f>
        <v>Violin</v>
      </c>
      <c r="D1119" s="1" t="str">
        <f>VLOOKUP($C1119, 'Instrument Table'!$B:$C, 2, FALSE)</f>
        <v>Strings</v>
      </c>
      <c r="E1119" s="1">
        <f t="shared" si="102"/>
        <v>1</v>
      </c>
      <c r="F1119" s="1">
        <f>_xlfn.XLOOKUP($C1119, 'Instrument Table'!$B:$B, 'Instrument Table'!$A:$A, "")</f>
        <v>20</v>
      </c>
      <c r="G1119" s="1" t="str">
        <f>TEXT(IF($B1119 = "Retail Item", IF((ROW($A1119) - 4504 - _xlfn.XMATCH($C1119, $C$4506:$C$5005, 0, 1)) &lt;= VLOOKUP($C1119, 'Instrument Table'!$B:$D, 3, FALSE), ROW($A1119) - 4504 - _xlfn.XMATCH($C1119, $C$4506:$C$5005, 0, 1), 0), 0), "00")</f>
        <v>00</v>
      </c>
      <c r="H1119" s="1" t="str">
        <f t="shared" si="103"/>
        <v>163</v>
      </c>
      <c r="I1119" s="1" t="str">
        <f t="shared" si="104"/>
        <v>12000-163</v>
      </c>
      <c r="J1119" s="1" t="str">
        <f t="shared" si="105"/>
        <v>Violin production item #163</v>
      </c>
      <c r="K1119" s="1" t="str">
        <f>IF(SUM(COUNTIFS(I:I, I1119)) &gt; 1, "DUPLICATE", "UNIQUE")</f>
        <v>UNIQUE</v>
      </c>
      <c r="L1119" s="18">
        <v>1</v>
      </c>
      <c r="M1119" s="28">
        <v>64</v>
      </c>
      <c r="N1119" s="6">
        <v>25</v>
      </c>
      <c r="O1119" s="30">
        <f t="shared" si="106"/>
        <v>64</v>
      </c>
      <c r="P1119" s="30">
        <f t="shared" si="107"/>
        <v>1600</v>
      </c>
      <c r="Q1119" s="1">
        <f>COUNTIFS($P:$P, "&gt;" &amp; $P1119) + 1</f>
        <v>3401</v>
      </c>
      <c r="R1119" s="63">
        <f>(COUNTIFS($P:$P, "&gt;" &amp; $P1119) + 1) / (COUNTA($I:$I) - 1)</f>
        <v>0.68020000000000003</v>
      </c>
      <c r="S1119" s="23">
        <f>SUMIFS($P:$P, $Q:$Q, "&lt;" &amp; $Q1119)</f>
        <v>185786623</v>
      </c>
    </row>
    <row r="1120" spans="1:19" x14ac:dyDescent="0.25">
      <c r="A1120" s="1">
        <v>1115</v>
      </c>
      <c r="B1120" s="1" t="s">
        <v>2</v>
      </c>
      <c r="C1120" s="1" t="str">
        <f>IF($B1120 = "Production Item", _xlfn.XLOOKUP($A1120, 'Instrument Table'!$J:$J, 'Instrument Table'!$B:$B, $C1119), IF($B1120 = "Service Item", _xlfn.XLOOKUP($A1120, 'Instrument Table'!$I:$I, 'Instrument Table'!$B:$B, $C1119), _xlfn.XLOOKUP($A1120, 'Instrument Table'!$H:$H, 'Instrument Table'!$B:$B, $C1119)))</f>
        <v>Violin</v>
      </c>
      <c r="D1120" s="1" t="str">
        <f>VLOOKUP($C1120, 'Instrument Table'!$B:$C, 2, FALSE)</f>
        <v>Strings</v>
      </c>
      <c r="E1120" s="1">
        <f t="shared" si="102"/>
        <v>1</v>
      </c>
      <c r="F1120" s="1">
        <f>_xlfn.XLOOKUP($C1120, 'Instrument Table'!$B:$B, 'Instrument Table'!$A:$A, "")</f>
        <v>20</v>
      </c>
      <c r="G1120" s="1" t="str">
        <f>TEXT(IF($B1120 = "Retail Item", IF((ROW($A1120) - 4504 - _xlfn.XMATCH($C1120, $C$4506:$C$5005, 0, 1)) &lt;= VLOOKUP($C1120, 'Instrument Table'!$B:$D, 3, FALSE), ROW($A1120) - 4504 - _xlfn.XMATCH($C1120, $C$4506:$C$5005, 0, 1), 0), 0), "00")</f>
        <v>00</v>
      </c>
      <c r="H1120" s="1" t="str">
        <f t="shared" si="103"/>
        <v>164</v>
      </c>
      <c r="I1120" s="1" t="str">
        <f t="shared" si="104"/>
        <v>12000-164</v>
      </c>
      <c r="J1120" s="1" t="str">
        <f t="shared" si="105"/>
        <v>Violin production item #164</v>
      </c>
      <c r="K1120" s="1" t="str">
        <f>IF(SUM(COUNTIFS(I:I, I1120)) &gt; 1, "DUPLICATE", "UNIQUE")</f>
        <v>UNIQUE</v>
      </c>
      <c r="L1120" s="18">
        <v>4</v>
      </c>
      <c r="M1120" s="28">
        <v>12</v>
      </c>
      <c r="N1120" s="6">
        <v>225</v>
      </c>
      <c r="O1120" s="30">
        <f t="shared" si="106"/>
        <v>48</v>
      </c>
      <c r="P1120" s="30">
        <f t="shared" si="107"/>
        <v>2700</v>
      </c>
      <c r="Q1120" s="1">
        <f>COUNTIFS($P:$P, "&gt;" &amp; $P1120) + 1</f>
        <v>2983</v>
      </c>
      <c r="R1120" s="63">
        <f>(COUNTIFS($P:$P, "&gt;" &amp; $P1120) + 1) / (COUNTA($I:$I) - 1)</f>
        <v>0.59660000000000002</v>
      </c>
      <c r="S1120" s="23">
        <f>SUMIFS($P:$P, $Q:$Q, "&lt;" &amp; $Q1120)</f>
        <v>184886582</v>
      </c>
    </row>
    <row r="1121" spans="1:19" x14ac:dyDescent="0.25">
      <c r="A1121" s="1">
        <v>1116</v>
      </c>
      <c r="B1121" s="1" t="s">
        <v>2</v>
      </c>
      <c r="C1121" s="1" t="str">
        <f>IF($B1121 = "Production Item", _xlfn.XLOOKUP($A1121, 'Instrument Table'!$J:$J, 'Instrument Table'!$B:$B, $C1120), IF($B1121 = "Service Item", _xlfn.XLOOKUP($A1121, 'Instrument Table'!$I:$I, 'Instrument Table'!$B:$B, $C1120), _xlfn.XLOOKUP($A1121, 'Instrument Table'!$H:$H, 'Instrument Table'!$B:$B, $C1120)))</f>
        <v>Violin</v>
      </c>
      <c r="D1121" s="1" t="str">
        <f>VLOOKUP($C1121, 'Instrument Table'!$B:$C, 2, FALSE)</f>
        <v>Strings</v>
      </c>
      <c r="E1121" s="1">
        <f t="shared" si="102"/>
        <v>1</v>
      </c>
      <c r="F1121" s="1">
        <f>_xlfn.XLOOKUP($C1121, 'Instrument Table'!$B:$B, 'Instrument Table'!$A:$A, "")</f>
        <v>20</v>
      </c>
      <c r="G1121" s="1" t="str">
        <f>TEXT(IF($B1121 = "Retail Item", IF((ROW($A1121) - 4504 - _xlfn.XMATCH($C1121, $C$4506:$C$5005, 0, 1)) &lt;= VLOOKUP($C1121, 'Instrument Table'!$B:$D, 3, FALSE), ROW($A1121) - 4504 - _xlfn.XMATCH($C1121, $C$4506:$C$5005, 0, 1), 0), 0), "00")</f>
        <v>00</v>
      </c>
      <c r="H1121" s="1" t="str">
        <f t="shared" si="103"/>
        <v>165</v>
      </c>
      <c r="I1121" s="1" t="str">
        <f t="shared" si="104"/>
        <v>12000-165</v>
      </c>
      <c r="J1121" s="1" t="str">
        <f t="shared" si="105"/>
        <v>Violin production item #165</v>
      </c>
      <c r="K1121" s="1" t="str">
        <f>IF(SUM(COUNTIFS(I:I, I1121)) &gt; 1, "DUPLICATE", "UNIQUE")</f>
        <v>UNIQUE</v>
      </c>
      <c r="L1121" s="18">
        <v>1</v>
      </c>
      <c r="M1121" s="28">
        <v>24</v>
      </c>
      <c r="N1121" s="6">
        <v>16</v>
      </c>
      <c r="O1121" s="30">
        <f t="shared" si="106"/>
        <v>24</v>
      </c>
      <c r="P1121" s="30">
        <f t="shared" si="107"/>
        <v>384</v>
      </c>
      <c r="Q1121" s="1">
        <f>COUNTIFS($P:$P, "&gt;" &amp; $P1121) + 1</f>
        <v>4118</v>
      </c>
      <c r="R1121" s="63">
        <f>(COUNTIFS($P:$P, "&gt;" &amp; $P1121) + 1) / (COUNTA($I:$I) - 1)</f>
        <v>0.8236</v>
      </c>
      <c r="S1121" s="23">
        <f>SUMIFS($P:$P, $Q:$Q, "&lt;" &amp; $Q1121)</f>
        <v>186451961</v>
      </c>
    </row>
    <row r="1122" spans="1:19" x14ac:dyDescent="0.25">
      <c r="A1122" s="1">
        <v>1117</v>
      </c>
      <c r="B1122" s="1" t="s">
        <v>2</v>
      </c>
      <c r="C1122" s="1" t="str">
        <f>IF($B1122 = "Production Item", _xlfn.XLOOKUP($A1122, 'Instrument Table'!$J:$J, 'Instrument Table'!$B:$B, $C1121), IF($B1122 = "Service Item", _xlfn.XLOOKUP($A1122, 'Instrument Table'!$I:$I, 'Instrument Table'!$B:$B, $C1121), _xlfn.XLOOKUP($A1122, 'Instrument Table'!$H:$H, 'Instrument Table'!$B:$B, $C1121)))</f>
        <v>Violin</v>
      </c>
      <c r="D1122" s="1" t="str">
        <f>VLOOKUP($C1122, 'Instrument Table'!$B:$C, 2, FALSE)</f>
        <v>Strings</v>
      </c>
      <c r="E1122" s="1">
        <f t="shared" si="102"/>
        <v>1</v>
      </c>
      <c r="F1122" s="1">
        <f>_xlfn.XLOOKUP($C1122, 'Instrument Table'!$B:$B, 'Instrument Table'!$A:$A, "")</f>
        <v>20</v>
      </c>
      <c r="G1122" s="1" t="str">
        <f>TEXT(IF($B1122 = "Retail Item", IF((ROW($A1122) - 4504 - _xlfn.XMATCH($C1122, $C$4506:$C$5005, 0, 1)) &lt;= VLOOKUP($C1122, 'Instrument Table'!$B:$D, 3, FALSE), ROW($A1122) - 4504 - _xlfn.XMATCH($C1122, $C$4506:$C$5005, 0, 1), 0), 0), "00")</f>
        <v>00</v>
      </c>
      <c r="H1122" s="1" t="str">
        <f t="shared" si="103"/>
        <v>166</v>
      </c>
      <c r="I1122" s="1" t="str">
        <f t="shared" si="104"/>
        <v>12000-166</v>
      </c>
      <c r="J1122" s="1" t="str">
        <f t="shared" si="105"/>
        <v>Violin production item #166</v>
      </c>
      <c r="K1122" s="1" t="str">
        <f>IF(SUM(COUNTIFS(I:I, I1122)) &gt; 1, "DUPLICATE", "UNIQUE")</f>
        <v>UNIQUE</v>
      </c>
      <c r="L1122" s="18">
        <v>0</v>
      </c>
      <c r="M1122" s="28">
        <v>34</v>
      </c>
      <c r="N1122" s="6">
        <v>0</v>
      </c>
      <c r="O1122" s="30">
        <f t="shared" si="106"/>
        <v>0</v>
      </c>
      <c r="P1122" s="30">
        <f t="shared" si="107"/>
        <v>0</v>
      </c>
      <c r="Q1122" s="1">
        <f>COUNTIFS($P:$P, "&gt;" &amp; $P1122) + 1</f>
        <v>4746</v>
      </c>
      <c r="R1122" s="63">
        <f>(COUNTIFS($P:$P, "&gt;" &amp; $P1122) + 1) / (COUNTA($I:$I) - 1)</f>
        <v>0.94920000000000004</v>
      </c>
      <c r="S1122" s="23">
        <f>SUMIFS($P:$P, $Q:$Q, "&lt;" &amp; $Q1122)</f>
        <v>186547861</v>
      </c>
    </row>
    <row r="1123" spans="1:19" x14ac:dyDescent="0.25">
      <c r="A1123" s="1">
        <v>1118</v>
      </c>
      <c r="B1123" s="1" t="s">
        <v>2</v>
      </c>
      <c r="C1123" s="1" t="str">
        <f>IF($B1123 = "Production Item", _xlfn.XLOOKUP($A1123, 'Instrument Table'!$J:$J, 'Instrument Table'!$B:$B, $C1122), IF($B1123 = "Service Item", _xlfn.XLOOKUP($A1123, 'Instrument Table'!$I:$I, 'Instrument Table'!$B:$B, $C1122), _xlfn.XLOOKUP($A1123, 'Instrument Table'!$H:$H, 'Instrument Table'!$B:$B, $C1122)))</f>
        <v>Violin</v>
      </c>
      <c r="D1123" s="1" t="str">
        <f>VLOOKUP($C1123, 'Instrument Table'!$B:$C, 2, FALSE)</f>
        <v>Strings</v>
      </c>
      <c r="E1123" s="1">
        <f t="shared" si="102"/>
        <v>1</v>
      </c>
      <c r="F1123" s="1">
        <f>_xlfn.XLOOKUP($C1123, 'Instrument Table'!$B:$B, 'Instrument Table'!$A:$A, "")</f>
        <v>20</v>
      </c>
      <c r="G1123" s="1" t="str">
        <f>TEXT(IF($B1123 = "Retail Item", IF((ROW($A1123) - 4504 - _xlfn.XMATCH($C1123, $C$4506:$C$5005, 0, 1)) &lt;= VLOOKUP($C1123, 'Instrument Table'!$B:$D, 3, FALSE), ROW($A1123) - 4504 - _xlfn.XMATCH($C1123, $C$4506:$C$5005, 0, 1), 0), 0), "00")</f>
        <v>00</v>
      </c>
      <c r="H1123" s="1" t="str">
        <f t="shared" si="103"/>
        <v>167</v>
      </c>
      <c r="I1123" s="1" t="str">
        <f t="shared" si="104"/>
        <v>12000-167</v>
      </c>
      <c r="J1123" s="1" t="str">
        <f t="shared" si="105"/>
        <v>Violin production item #167</v>
      </c>
      <c r="K1123" s="1" t="str">
        <f>IF(SUM(COUNTIFS(I:I, I1123)) &gt; 1, "DUPLICATE", "UNIQUE")</f>
        <v>UNIQUE</v>
      </c>
      <c r="L1123" s="18">
        <v>4</v>
      </c>
      <c r="M1123" s="28">
        <v>88</v>
      </c>
      <c r="N1123" s="6">
        <v>4</v>
      </c>
      <c r="O1123" s="30">
        <f t="shared" si="106"/>
        <v>352</v>
      </c>
      <c r="P1123" s="30">
        <f t="shared" si="107"/>
        <v>352</v>
      </c>
      <c r="Q1123" s="1">
        <f>COUNTIFS($P:$P, "&gt;" &amp; $P1123) + 1</f>
        <v>4147</v>
      </c>
      <c r="R1123" s="63">
        <f>(COUNTIFS($P:$P, "&gt;" &amp; $P1123) + 1) / (COUNTA($I:$I) - 1)</f>
        <v>0.82940000000000003</v>
      </c>
      <c r="S1123" s="23">
        <f>SUMIFS($P:$P, $Q:$Q, "&lt;" &amp; $Q1123)</f>
        <v>186462669</v>
      </c>
    </row>
    <row r="1124" spans="1:19" x14ac:dyDescent="0.25">
      <c r="A1124" s="1">
        <v>1119</v>
      </c>
      <c r="B1124" s="1" t="s">
        <v>2</v>
      </c>
      <c r="C1124" s="1" t="str">
        <f>IF($B1124 = "Production Item", _xlfn.XLOOKUP($A1124, 'Instrument Table'!$J:$J, 'Instrument Table'!$B:$B, $C1123), IF($B1124 = "Service Item", _xlfn.XLOOKUP($A1124, 'Instrument Table'!$I:$I, 'Instrument Table'!$B:$B, $C1123), _xlfn.XLOOKUP($A1124, 'Instrument Table'!$H:$H, 'Instrument Table'!$B:$B, $C1123)))</f>
        <v>Violin</v>
      </c>
      <c r="D1124" s="1" t="str">
        <f>VLOOKUP($C1124, 'Instrument Table'!$B:$C, 2, FALSE)</f>
        <v>Strings</v>
      </c>
      <c r="E1124" s="1">
        <f t="shared" si="102"/>
        <v>1</v>
      </c>
      <c r="F1124" s="1">
        <f>_xlfn.XLOOKUP($C1124, 'Instrument Table'!$B:$B, 'Instrument Table'!$A:$A, "")</f>
        <v>20</v>
      </c>
      <c r="G1124" s="1" t="str">
        <f>TEXT(IF($B1124 = "Retail Item", IF((ROW($A1124) - 4504 - _xlfn.XMATCH($C1124, $C$4506:$C$5005, 0, 1)) &lt;= VLOOKUP($C1124, 'Instrument Table'!$B:$D, 3, FALSE), ROW($A1124) - 4504 - _xlfn.XMATCH($C1124, $C$4506:$C$5005, 0, 1), 0), 0), "00")</f>
        <v>00</v>
      </c>
      <c r="H1124" s="1" t="str">
        <f t="shared" si="103"/>
        <v>168</v>
      </c>
      <c r="I1124" s="1" t="str">
        <f t="shared" si="104"/>
        <v>12000-168</v>
      </c>
      <c r="J1124" s="1" t="str">
        <f t="shared" si="105"/>
        <v>Violin production item #168</v>
      </c>
      <c r="K1124" s="1" t="str">
        <f>IF(SUM(COUNTIFS(I:I, I1124)) &gt; 1, "DUPLICATE", "UNIQUE")</f>
        <v>UNIQUE</v>
      </c>
      <c r="L1124" s="18">
        <v>2</v>
      </c>
      <c r="M1124" s="28">
        <v>30</v>
      </c>
      <c r="N1124" s="6">
        <v>0</v>
      </c>
      <c r="O1124" s="30">
        <f t="shared" si="106"/>
        <v>60</v>
      </c>
      <c r="P1124" s="30">
        <f t="shared" si="107"/>
        <v>0</v>
      </c>
      <c r="Q1124" s="1">
        <f>COUNTIFS($P:$P, "&gt;" &amp; $P1124) + 1</f>
        <v>4746</v>
      </c>
      <c r="R1124" s="63">
        <f>(COUNTIFS($P:$P, "&gt;" &amp; $P1124) + 1) / (COUNTA($I:$I) - 1)</f>
        <v>0.94920000000000004</v>
      </c>
      <c r="S1124" s="23">
        <f>SUMIFS($P:$P, $Q:$Q, "&lt;" &amp; $Q1124)</f>
        <v>186547861</v>
      </c>
    </row>
    <row r="1125" spans="1:19" x14ac:dyDescent="0.25">
      <c r="A1125" s="1">
        <v>1120</v>
      </c>
      <c r="B1125" s="1" t="s">
        <v>2</v>
      </c>
      <c r="C1125" s="1" t="str">
        <f>IF($B1125 = "Production Item", _xlfn.XLOOKUP($A1125, 'Instrument Table'!$J:$J, 'Instrument Table'!$B:$B, $C1124), IF($B1125 = "Service Item", _xlfn.XLOOKUP($A1125, 'Instrument Table'!$I:$I, 'Instrument Table'!$B:$B, $C1124), _xlfn.XLOOKUP($A1125, 'Instrument Table'!$H:$H, 'Instrument Table'!$B:$B, $C1124)))</f>
        <v>Violin</v>
      </c>
      <c r="D1125" s="1" t="str">
        <f>VLOOKUP($C1125, 'Instrument Table'!$B:$C, 2, FALSE)</f>
        <v>Strings</v>
      </c>
      <c r="E1125" s="1">
        <f t="shared" si="102"/>
        <v>1</v>
      </c>
      <c r="F1125" s="1">
        <f>_xlfn.XLOOKUP($C1125, 'Instrument Table'!$B:$B, 'Instrument Table'!$A:$A, "")</f>
        <v>20</v>
      </c>
      <c r="G1125" s="1" t="str">
        <f>TEXT(IF($B1125 = "Retail Item", IF((ROW($A1125) - 4504 - _xlfn.XMATCH($C1125, $C$4506:$C$5005, 0, 1)) &lt;= VLOOKUP($C1125, 'Instrument Table'!$B:$D, 3, FALSE), ROW($A1125) - 4504 - _xlfn.XMATCH($C1125, $C$4506:$C$5005, 0, 1), 0), 0), "00")</f>
        <v>00</v>
      </c>
      <c r="H1125" s="1" t="str">
        <f t="shared" si="103"/>
        <v>169</v>
      </c>
      <c r="I1125" s="1" t="str">
        <f t="shared" si="104"/>
        <v>12000-169</v>
      </c>
      <c r="J1125" s="1" t="str">
        <f t="shared" si="105"/>
        <v>Violin production item #169</v>
      </c>
      <c r="K1125" s="1" t="str">
        <f>IF(SUM(COUNTIFS(I:I, I1125)) &gt; 1, "DUPLICATE", "UNIQUE")</f>
        <v>UNIQUE</v>
      </c>
      <c r="L1125" s="18">
        <v>0</v>
      </c>
      <c r="M1125" s="28">
        <v>27</v>
      </c>
      <c r="N1125" s="6">
        <v>25</v>
      </c>
      <c r="O1125" s="30">
        <f t="shared" si="106"/>
        <v>0</v>
      </c>
      <c r="P1125" s="30">
        <f t="shared" si="107"/>
        <v>675</v>
      </c>
      <c r="Q1125" s="1">
        <f>COUNTIFS($P:$P, "&gt;" &amp; $P1125) + 1</f>
        <v>3894</v>
      </c>
      <c r="R1125" s="63">
        <f>(COUNTIFS($P:$P, "&gt;" &amp; $P1125) + 1) / (COUNTA($I:$I) - 1)</f>
        <v>0.77880000000000005</v>
      </c>
      <c r="S1125" s="23">
        <f>SUMIFS($P:$P, $Q:$Q, "&lt;" &amp; $Q1125)</f>
        <v>186334804</v>
      </c>
    </row>
    <row r="1126" spans="1:19" x14ac:dyDescent="0.25">
      <c r="A1126" s="1">
        <v>1121</v>
      </c>
      <c r="B1126" s="1" t="s">
        <v>2</v>
      </c>
      <c r="C1126" s="1" t="str">
        <f>IF($B1126 = "Production Item", _xlfn.XLOOKUP($A1126, 'Instrument Table'!$J:$J, 'Instrument Table'!$B:$B, $C1125), IF($B1126 = "Service Item", _xlfn.XLOOKUP($A1126, 'Instrument Table'!$I:$I, 'Instrument Table'!$B:$B, $C1125), _xlfn.XLOOKUP($A1126, 'Instrument Table'!$H:$H, 'Instrument Table'!$B:$B, $C1125)))</f>
        <v>Violin</v>
      </c>
      <c r="D1126" s="1" t="str">
        <f>VLOOKUP($C1126, 'Instrument Table'!$B:$C, 2, FALSE)</f>
        <v>Strings</v>
      </c>
      <c r="E1126" s="1">
        <f t="shared" si="102"/>
        <v>1</v>
      </c>
      <c r="F1126" s="1">
        <f>_xlfn.XLOOKUP($C1126, 'Instrument Table'!$B:$B, 'Instrument Table'!$A:$A, "")</f>
        <v>20</v>
      </c>
      <c r="G1126" s="1" t="str">
        <f>TEXT(IF($B1126 = "Retail Item", IF((ROW($A1126) - 4504 - _xlfn.XMATCH($C1126, $C$4506:$C$5005, 0, 1)) &lt;= VLOOKUP($C1126, 'Instrument Table'!$B:$D, 3, FALSE), ROW($A1126) - 4504 - _xlfn.XMATCH($C1126, $C$4506:$C$5005, 0, 1), 0), 0), "00")</f>
        <v>00</v>
      </c>
      <c r="H1126" s="1" t="str">
        <f t="shared" si="103"/>
        <v>170</v>
      </c>
      <c r="I1126" s="1" t="str">
        <f t="shared" si="104"/>
        <v>12000-170</v>
      </c>
      <c r="J1126" s="1" t="str">
        <f t="shared" si="105"/>
        <v>Violin production item #170</v>
      </c>
      <c r="K1126" s="1" t="str">
        <f>IF(SUM(COUNTIFS(I:I, I1126)) &gt; 1, "DUPLICATE", "UNIQUE")</f>
        <v>UNIQUE</v>
      </c>
      <c r="L1126" s="18">
        <v>0</v>
      </c>
      <c r="M1126" s="28">
        <v>19</v>
      </c>
      <c r="N1126" s="6">
        <v>64</v>
      </c>
      <c r="O1126" s="30">
        <f t="shared" si="106"/>
        <v>0</v>
      </c>
      <c r="P1126" s="30">
        <f t="shared" si="107"/>
        <v>1216</v>
      </c>
      <c r="Q1126" s="1">
        <f>COUNTIFS($P:$P, "&gt;" &amp; $P1126) + 1</f>
        <v>3593</v>
      </c>
      <c r="R1126" s="63">
        <f>(COUNTIFS($P:$P, "&gt;" &amp; $P1126) + 1) / (COUNTA($I:$I) - 1)</f>
        <v>0.71860000000000002</v>
      </c>
      <c r="S1126" s="23">
        <f>SUMIFS($P:$P, $Q:$Q, "&lt;" &amp; $Q1126)</f>
        <v>186061231</v>
      </c>
    </row>
    <row r="1127" spans="1:19" x14ac:dyDescent="0.25">
      <c r="A1127" s="1">
        <v>1122</v>
      </c>
      <c r="B1127" s="1" t="s">
        <v>2</v>
      </c>
      <c r="C1127" s="1" t="str">
        <f>IF($B1127 = "Production Item", _xlfn.XLOOKUP($A1127, 'Instrument Table'!$J:$J, 'Instrument Table'!$B:$B, $C1126), IF($B1127 = "Service Item", _xlfn.XLOOKUP($A1127, 'Instrument Table'!$I:$I, 'Instrument Table'!$B:$B, $C1126), _xlfn.XLOOKUP($A1127, 'Instrument Table'!$H:$H, 'Instrument Table'!$B:$B, $C1126)))</f>
        <v>Violin</v>
      </c>
      <c r="D1127" s="1" t="str">
        <f>VLOOKUP($C1127, 'Instrument Table'!$B:$C, 2, FALSE)</f>
        <v>Strings</v>
      </c>
      <c r="E1127" s="1">
        <f t="shared" si="102"/>
        <v>1</v>
      </c>
      <c r="F1127" s="1">
        <f>_xlfn.XLOOKUP($C1127, 'Instrument Table'!$B:$B, 'Instrument Table'!$A:$A, "")</f>
        <v>20</v>
      </c>
      <c r="G1127" s="1" t="str">
        <f>TEXT(IF($B1127 = "Retail Item", IF((ROW($A1127) - 4504 - _xlfn.XMATCH($C1127, $C$4506:$C$5005, 0, 1)) &lt;= VLOOKUP($C1127, 'Instrument Table'!$B:$D, 3, FALSE), ROW($A1127) - 4504 - _xlfn.XMATCH($C1127, $C$4506:$C$5005, 0, 1), 0), 0), "00")</f>
        <v>00</v>
      </c>
      <c r="H1127" s="1" t="str">
        <f t="shared" si="103"/>
        <v>171</v>
      </c>
      <c r="I1127" s="1" t="str">
        <f t="shared" si="104"/>
        <v>12000-171</v>
      </c>
      <c r="J1127" s="1" t="str">
        <f t="shared" si="105"/>
        <v>Violin production item #171</v>
      </c>
      <c r="K1127" s="1" t="str">
        <f>IF(SUM(COUNTIFS(I:I, I1127)) &gt; 1, "DUPLICATE", "UNIQUE")</f>
        <v>UNIQUE</v>
      </c>
      <c r="L1127" s="18">
        <v>4</v>
      </c>
      <c r="M1127" s="28">
        <v>22</v>
      </c>
      <c r="N1127" s="6">
        <v>25</v>
      </c>
      <c r="O1127" s="30">
        <f t="shared" si="106"/>
        <v>88</v>
      </c>
      <c r="P1127" s="30">
        <f t="shared" si="107"/>
        <v>550</v>
      </c>
      <c r="Q1127" s="1">
        <f>COUNTIFS($P:$P, "&gt;" &amp; $P1127) + 1</f>
        <v>3978</v>
      </c>
      <c r="R1127" s="63">
        <f>(COUNTIFS($P:$P, "&gt;" &amp; $P1127) + 1) / (COUNTA($I:$I) - 1)</f>
        <v>0.79559999999999997</v>
      </c>
      <c r="S1127" s="23">
        <f>SUMIFS($P:$P, $Q:$Q, "&lt;" &amp; $Q1127)</f>
        <v>186386371</v>
      </c>
    </row>
    <row r="1128" spans="1:19" x14ac:dyDescent="0.25">
      <c r="A1128" s="1">
        <v>1123</v>
      </c>
      <c r="B1128" s="1" t="s">
        <v>2</v>
      </c>
      <c r="C1128" s="1" t="str">
        <f>IF($B1128 = "Production Item", _xlfn.XLOOKUP($A1128, 'Instrument Table'!$J:$J, 'Instrument Table'!$B:$B, $C1127), IF($B1128 = "Service Item", _xlfn.XLOOKUP($A1128, 'Instrument Table'!$I:$I, 'Instrument Table'!$B:$B, $C1127), _xlfn.XLOOKUP($A1128, 'Instrument Table'!$H:$H, 'Instrument Table'!$B:$B, $C1127)))</f>
        <v>Violin</v>
      </c>
      <c r="D1128" s="1" t="str">
        <f>VLOOKUP($C1128, 'Instrument Table'!$B:$C, 2, FALSE)</f>
        <v>Strings</v>
      </c>
      <c r="E1128" s="1">
        <f t="shared" si="102"/>
        <v>1</v>
      </c>
      <c r="F1128" s="1">
        <f>_xlfn.XLOOKUP($C1128, 'Instrument Table'!$B:$B, 'Instrument Table'!$A:$A, "")</f>
        <v>20</v>
      </c>
      <c r="G1128" s="1" t="str">
        <f>TEXT(IF($B1128 = "Retail Item", IF((ROW($A1128) - 4504 - _xlfn.XMATCH($C1128, $C$4506:$C$5005, 0, 1)) &lt;= VLOOKUP($C1128, 'Instrument Table'!$B:$D, 3, FALSE), ROW($A1128) - 4504 - _xlfn.XMATCH($C1128, $C$4506:$C$5005, 0, 1), 0), 0), "00")</f>
        <v>00</v>
      </c>
      <c r="H1128" s="1" t="str">
        <f t="shared" si="103"/>
        <v>172</v>
      </c>
      <c r="I1128" s="1" t="str">
        <f t="shared" si="104"/>
        <v>12000-172</v>
      </c>
      <c r="J1128" s="1" t="str">
        <f t="shared" si="105"/>
        <v>Violin production item #172</v>
      </c>
      <c r="K1128" s="1" t="str">
        <f>IF(SUM(COUNTIFS(I:I, I1128)) &gt; 1, "DUPLICATE", "UNIQUE")</f>
        <v>UNIQUE</v>
      </c>
      <c r="L1128" s="18">
        <v>0</v>
      </c>
      <c r="M1128" s="28">
        <v>36</v>
      </c>
      <c r="N1128" s="6">
        <v>169</v>
      </c>
      <c r="O1128" s="30">
        <f t="shared" si="106"/>
        <v>0</v>
      </c>
      <c r="P1128" s="30">
        <f t="shared" si="107"/>
        <v>6084</v>
      </c>
      <c r="Q1128" s="1">
        <f>COUNTIFS($P:$P, "&gt;" &amp; $P1128) + 1</f>
        <v>2245</v>
      </c>
      <c r="R1128" s="63">
        <f>(COUNTIFS($P:$P, "&gt;" &amp; $P1128) + 1) / (COUNTA($I:$I) - 1)</f>
        <v>0.44900000000000001</v>
      </c>
      <c r="S1128" s="23">
        <f>SUMIFS($P:$P, $Q:$Q, "&lt;" &amp; $Q1128)</f>
        <v>181736722</v>
      </c>
    </row>
    <row r="1129" spans="1:19" x14ac:dyDescent="0.25">
      <c r="A1129" s="1">
        <v>1124</v>
      </c>
      <c r="B1129" s="1" t="s">
        <v>2</v>
      </c>
      <c r="C1129" s="1" t="str">
        <f>IF($B1129 = "Production Item", _xlfn.XLOOKUP($A1129, 'Instrument Table'!$J:$J, 'Instrument Table'!$B:$B, $C1128), IF($B1129 = "Service Item", _xlfn.XLOOKUP($A1129, 'Instrument Table'!$I:$I, 'Instrument Table'!$B:$B, $C1128), _xlfn.XLOOKUP($A1129, 'Instrument Table'!$H:$H, 'Instrument Table'!$B:$B, $C1128)))</f>
        <v>Violin</v>
      </c>
      <c r="D1129" s="1" t="str">
        <f>VLOOKUP($C1129, 'Instrument Table'!$B:$C, 2, FALSE)</f>
        <v>Strings</v>
      </c>
      <c r="E1129" s="1">
        <f t="shared" si="102"/>
        <v>1</v>
      </c>
      <c r="F1129" s="1">
        <f>_xlfn.XLOOKUP($C1129, 'Instrument Table'!$B:$B, 'Instrument Table'!$A:$A, "")</f>
        <v>20</v>
      </c>
      <c r="G1129" s="1" t="str">
        <f>TEXT(IF($B1129 = "Retail Item", IF((ROW($A1129) - 4504 - _xlfn.XMATCH($C1129, $C$4506:$C$5005, 0, 1)) &lt;= VLOOKUP($C1129, 'Instrument Table'!$B:$D, 3, FALSE), ROW($A1129) - 4504 - _xlfn.XMATCH($C1129, $C$4506:$C$5005, 0, 1), 0), 0), "00")</f>
        <v>00</v>
      </c>
      <c r="H1129" s="1" t="str">
        <f t="shared" si="103"/>
        <v>173</v>
      </c>
      <c r="I1129" s="1" t="str">
        <f t="shared" si="104"/>
        <v>12000-173</v>
      </c>
      <c r="J1129" s="1" t="str">
        <f t="shared" si="105"/>
        <v>Violin production item #173</v>
      </c>
      <c r="K1129" s="1" t="str">
        <f>IF(SUM(COUNTIFS(I:I, I1129)) &gt; 1, "DUPLICATE", "UNIQUE")</f>
        <v>UNIQUE</v>
      </c>
      <c r="L1129" s="18">
        <v>0</v>
      </c>
      <c r="M1129" s="28">
        <v>43</v>
      </c>
      <c r="N1129" s="6">
        <v>121</v>
      </c>
      <c r="O1129" s="30">
        <f t="shared" si="106"/>
        <v>0</v>
      </c>
      <c r="P1129" s="30">
        <f t="shared" si="107"/>
        <v>5203</v>
      </c>
      <c r="Q1129" s="1">
        <f>COUNTIFS($P:$P, "&gt;" &amp; $P1129) + 1</f>
        <v>2400</v>
      </c>
      <c r="R1129" s="63">
        <f>(COUNTIFS($P:$P, "&gt;" &amp; $P1129) + 1) / (COUNTA($I:$I) - 1)</f>
        <v>0.48</v>
      </c>
      <c r="S1129" s="23">
        <f>SUMIFS($P:$P, $Q:$Q, "&lt;" &amp; $Q1129)</f>
        <v>182616520</v>
      </c>
    </row>
    <row r="1130" spans="1:19" x14ac:dyDescent="0.25">
      <c r="A1130" s="1">
        <v>1125</v>
      </c>
      <c r="B1130" s="1" t="s">
        <v>2</v>
      </c>
      <c r="C1130" s="1" t="str">
        <f>IF($B1130 = "Production Item", _xlfn.XLOOKUP($A1130, 'Instrument Table'!$J:$J, 'Instrument Table'!$B:$B, $C1129), IF($B1130 = "Service Item", _xlfn.XLOOKUP($A1130, 'Instrument Table'!$I:$I, 'Instrument Table'!$B:$B, $C1129), _xlfn.XLOOKUP($A1130, 'Instrument Table'!$H:$H, 'Instrument Table'!$B:$B, $C1129)))</f>
        <v>Violin</v>
      </c>
      <c r="D1130" s="1" t="str">
        <f>VLOOKUP($C1130, 'Instrument Table'!$B:$C, 2, FALSE)</f>
        <v>Strings</v>
      </c>
      <c r="E1130" s="1">
        <f t="shared" si="102"/>
        <v>1</v>
      </c>
      <c r="F1130" s="1">
        <f>_xlfn.XLOOKUP($C1130, 'Instrument Table'!$B:$B, 'Instrument Table'!$A:$A, "")</f>
        <v>20</v>
      </c>
      <c r="G1130" s="1" t="str">
        <f>TEXT(IF($B1130 = "Retail Item", IF((ROW($A1130) - 4504 - _xlfn.XMATCH($C1130, $C$4506:$C$5005, 0, 1)) &lt;= VLOOKUP($C1130, 'Instrument Table'!$B:$D, 3, FALSE), ROW($A1130) - 4504 - _xlfn.XMATCH($C1130, $C$4506:$C$5005, 0, 1), 0), 0), "00")</f>
        <v>00</v>
      </c>
      <c r="H1130" s="1" t="str">
        <f t="shared" si="103"/>
        <v>174</v>
      </c>
      <c r="I1130" s="1" t="str">
        <f t="shared" si="104"/>
        <v>12000-174</v>
      </c>
      <c r="J1130" s="1" t="str">
        <f t="shared" si="105"/>
        <v>Violin production item #174</v>
      </c>
      <c r="K1130" s="1" t="str">
        <f>IF(SUM(COUNTIFS(I:I, I1130)) &gt; 1, "DUPLICATE", "UNIQUE")</f>
        <v>UNIQUE</v>
      </c>
      <c r="L1130" s="18">
        <v>16</v>
      </c>
      <c r="M1130" s="28">
        <v>96</v>
      </c>
      <c r="N1130" s="6">
        <v>256</v>
      </c>
      <c r="O1130" s="30">
        <f t="shared" si="106"/>
        <v>1536</v>
      </c>
      <c r="P1130" s="30">
        <f t="shared" si="107"/>
        <v>24576</v>
      </c>
      <c r="Q1130" s="1">
        <f>COUNTIFS($P:$P, "&gt;" &amp; $P1130) + 1</f>
        <v>842</v>
      </c>
      <c r="R1130" s="63">
        <f>(COUNTIFS($P:$P, "&gt;" &amp; $P1130) + 1) / (COUNTA($I:$I) - 1)</f>
        <v>0.16839999999999999</v>
      </c>
      <c r="S1130" s="23">
        <f>SUMIFS($P:$P, $Q:$Q, "&lt;" &amp; $Q1130)</f>
        <v>162887012</v>
      </c>
    </row>
    <row r="1131" spans="1:19" x14ac:dyDescent="0.25">
      <c r="A1131" s="1">
        <v>1126</v>
      </c>
      <c r="B1131" s="1" t="s">
        <v>2</v>
      </c>
      <c r="C1131" s="1" t="str">
        <f>IF($B1131 = "Production Item", _xlfn.XLOOKUP($A1131, 'Instrument Table'!$J:$J, 'Instrument Table'!$B:$B, $C1130), IF($B1131 = "Service Item", _xlfn.XLOOKUP($A1131, 'Instrument Table'!$I:$I, 'Instrument Table'!$B:$B, $C1130), _xlfn.XLOOKUP($A1131, 'Instrument Table'!$H:$H, 'Instrument Table'!$B:$B, $C1130)))</f>
        <v>Violin</v>
      </c>
      <c r="D1131" s="1" t="str">
        <f>VLOOKUP($C1131, 'Instrument Table'!$B:$C, 2, FALSE)</f>
        <v>Strings</v>
      </c>
      <c r="E1131" s="1">
        <f t="shared" si="102"/>
        <v>1</v>
      </c>
      <c r="F1131" s="1">
        <f>_xlfn.XLOOKUP($C1131, 'Instrument Table'!$B:$B, 'Instrument Table'!$A:$A, "")</f>
        <v>20</v>
      </c>
      <c r="G1131" s="1" t="str">
        <f>TEXT(IF($B1131 = "Retail Item", IF((ROW($A1131) - 4504 - _xlfn.XMATCH($C1131, $C$4506:$C$5005, 0, 1)) &lt;= VLOOKUP($C1131, 'Instrument Table'!$B:$D, 3, FALSE), ROW($A1131) - 4504 - _xlfn.XMATCH($C1131, $C$4506:$C$5005, 0, 1), 0), 0), "00")</f>
        <v>00</v>
      </c>
      <c r="H1131" s="1" t="str">
        <f t="shared" si="103"/>
        <v>175</v>
      </c>
      <c r="I1131" s="1" t="str">
        <f t="shared" si="104"/>
        <v>12000-175</v>
      </c>
      <c r="J1131" s="1" t="str">
        <f t="shared" si="105"/>
        <v>Violin production item #175</v>
      </c>
      <c r="K1131" s="1" t="str">
        <f>IF(SUM(COUNTIFS(I:I, I1131)) &gt; 1, "DUPLICATE", "UNIQUE")</f>
        <v>UNIQUE</v>
      </c>
      <c r="L1131" s="18">
        <v>16</v>
      </c>
      <c r="M1131" s="28">
        <v>80</v>
      </c>
      <c r="N1131" s="6">
        <v>49</v>
      </c>
      <c r="O1131" s="30">
        <f t="shared" si="106"/>
        <v>1280</v>
      </c>
      <c r="P1131" s="30">
        <f t="shared" si="107"/>
        <v>3920</v>
      </c>
      <c r="Q1131" s="1">
        <f>COUNTIFS($P:$P, "&gt;" &amp; $P1131) + 1</f>
        <v>2667</v>
      </c>
      <c r="R1131" s="63">
        <f>(COUNTIFS($P:$P, "&gt;" &amp; $P1131) + 1) / (COUNTA($I:$I) - 1)</f>
        <v>0.53339999999999999</v>
      </c>
      <c r="S1131" s="23">
        <f>SUMIFS($P:$P, $Q:$Q, "&lt;" &amp; $Q1131)</f>
        <v>183838824</v>
      </c>
    </row>
    <row r="1132" spans="1:19" x14ac:dyDescent="0.25">
      <c r="A1132" s="1">
        <v>1127</v>
      </c>
      <c r="B1132" s="1" t="s">
        <v>2</v>
      </c>
      <c r="C1132" s="1" t="str">
        <f>IF($B1132 = "Production Item", _xlfn.XLOOKUP($A1132, 'Instrument Table'!$J:$J, 'Instrument Table'!$B:$B, $C1131), IF($B1132 = "Service Item", _xlfn.XLOOKUP($A1132, 'Instrument Table'!$I:$I, 'Instrument Table'!$B:$B, $C1131), _xlfn.XLOOKUP($A1132, 'Instrument Table'!$H:$H, 'Instrument Table'!$B:$B, $C1131)))</f>
        <v>Violin</v>
      </c>
      <c r="D1132" s="1" t="str">
        <f>VLOOKUP($C1132, 'Instrument Table'!$B:$C, 2, FALSE)</f>
        <v>Strings</v>
      </c>
      <c r="E1132" s="1">
        <f t="shared" si="102"/>
        <v>1</v>
      </c>
      <c r="F1132" s="1">
        <f>_xlfn.XLOOKUP($C1132, 'Instrument Table'!$B:$B, 'Instrument Table'!$A:$A, "")</f>
        <v>20</v>
      </c>
      <c r="G1132" s="1" t="str">
        <f>TEXT(IF($B1132 = "Retail Item", IF((ROW($A1132) - 4504 - _xlfn.XMATCH($C1132, $C$4506:$C$5005, 0, 1)) &lt;= VLOOKUP($C1132, 'Instrument Table'!$B:$D, 3, FALSE), ROW($A1132) - 4504 - _xlfn.XMATCH($C1132, $C$4506:$C$5005, 0, 1), 0), 0), "00")</f>
        <v>00</v>
      </c>
      <c r="H1132" s="1" t="str">
        <f t="shared" si="103"/>
        <v>176</v>
      </c>
      <c r="I1132" s="1" t="str">
        <f t="shared" si="104"/>
        <v>12000-176</v>
      </c>
      <c r="J1132" s="1" t="str">
        <f t="shared" si="105"/>
        <v>Violin production item #176</v>
      </c>
      <c r="K1132" s="1" t="str">
        <f>IF(SUM(COUNTIFS(I:I, I1132)) &gt; 1, "DUPLICATE", "UNIQUE")</f>
        <v>UNIQUE</v>
      </c>
      <c r="L1132" s="18">
        <v>1</v>
      </c>
      <c r="M1132" s="28">
        <v>76</v>
      </c>
      <c r="N1132" s="6">
        <v>25</v>
      </c>
      <c r="O1132" s="30">
        <f t="shared" si="106"/>
        <v>76</v>
      </c>
      <c r="P1132" s="30">
        <f t="shared" si="107"/>
        <v>1900</v>
      </c>
      <c r="Q1132" s="1">
        <f>COUNTIFS($P:$P, "&gt;" &amp; $P1132) + 1</f>
        <v>3297</v>
      </c>
      <c r="R1132" s="63">
        <f>(COUNTIFS($P:$P, "&gt;" &amp; $P1132) + 1) / (COUNTA($I:$I) - 1)</f>
        <v>0.65939999999999999</v>
      </c>
      <c r="S1132" s="23">
        <f>SUMIFS($P:$P, $Q:$Q, "&lt;" &amp; $Q1132)</f>
        <v>185603355</v>
      </c>
    </row>
    <row r="1133" spans="1:19" x14ac:dyDescent="0.25">
      <c r="A1133" s="1">
        <v>1128</v>
      </c>
      <c r="B1133" s="1" t="s">
        <v>2</v>
      </c>
      <c r="C1133" s="1" t="str">
        <f>IF($B1133 = "Production Item", _xlfn.XLOOKUP($A1133, 'Instrument Table'!$J:$J, 'Instrument Table'!$B:$B, $C1132), IF($B1133 = "Service Item", _xlfn.XLOOKUP($A1133, 'Instrument Table'!$I:$I, 'Instrument Table'!$B:$B, $C1132), _xlfn.XLOOKUP($A1133, 'Instrument Table'!$H:$H, 'Instrument Table'!$B:$B, $C1132)))</f>
        <v>Violin</v>
      </c>
      <c r="D1133" s="1" t="str">
        <f>VLOOKUP($C1133, 'Instrument Table'!$B:$C, 2, FALSE)</f>
        <v>Strings</v>
      </c>
      <c r="E1133" s="1">
        <f t="shared" si="102"/>
        <v>1</v>
      </c>
      <c r="F1133" s="1">
        <f>_xlfn.XLOOKUP($C1133, 'Instrument Table'!$B:$B, 'Instrument Table'!$A:$A, "")</f>
        <v>20</v>
      </c>
      <c r="G1133" s="1" t="str">
        <f>TEXT(IF($B1133 = "Retail Item", IF((ROW($A1133) - 4504 - _xlfn.XMATCH($C1133, $C$4506:$C$5005, 0, 1)) &lt;= VLOOKUP($C1133, 'Instrument Table'!$B:$D, 3, FALSE), ROW($A1133) - 4504 - _xlfn.XMATCH($C1133, $C$4506:$C$5005, 0, 1), 0), 0), "00")</f>
        <v>00</v>
      </c>
      <c r="H1133" s="1" t="str">
        <f t="shared" si="103"/>
        <v>177</v>
      </c>
      <c r="I1133" s="1" t="str">
        <f t="shared" si="104"/>
        <v>12000-177</v>
      </c>
      <c r="J1133" s="1" t="str">
        <f t="shared" si="105"/>
        <v>Violin production item #177</v>
      </c>
      <c r="K1133" s="1" t="str">
        <f>IF(SUM(COUNTIFS(I:I, I1133)) &gt; 1, "DUPLICATE", "UNIQUE")</f>
        <v>UNIQUE</v>
      </c>
      <c r="L1133" s="18">
        <v>0</v>
      </c>
      <c r="M1133" s="28">
        <v>98</v>
      </c>
      <c r="N1133" s="6">
        <v>144</v>
      </c>
      <c r="O1133" s="30">
        <f t="shared" si="106"/>
        <v>0</v>
      </c>
      <c r="P1133" s="30">
        <f t="shared" si="107"/>
        <v>14112</v>
      </c>
      <c r="Q1133" s="1">
        <f>COUNTIFS($P:$P, "&gt;" &amp; $P1133) + 1</f>
        <v>1411</v>
      </c>
      <c r="R1133" s="63">
        <f>(COUNTIFS($P:$P, "&gt;" &amp; $P1133) + 1) / (COUNTA($I:$I) - 1)</f>
        <v>0.28220000000000001</v>
      </c>
      <c r="S1133" s="23">
        <f>SUMIFS($P:$P, $Q:$Q, "&lt;" &amp; $Q1133)</f>
        <v>173632138</v>
      </c>
    </row>
    <row r="1134" spans="1:19" x14ac:dyDescent="0.25">
      <c r="A1134" s="1">
        <v>1129</v>
      </c>
      <c r="B1134" s="1" t="s">
        <v>2</v>
      </c>
      <c r="C1134" s="1" t="str">
        <f>IF($B1134 = "Production Item", _xlfn.XLOOKUP($A1134, 'Instrument Table'!$J:$J, 'Instrument Table'!$B:$B, $C1133), IF($B1134 = "Service Item", _xlfn.XLOOKUP($A1134, 'Instrument Table'!$I:$I, 'Instrument Table'!$B:$B, $C1133), _xlfn.XLOOKUP($A1134, 'Instrument Table'!$H:$H, 'Instrument Table'!$B:$B, $C1133)))</f>
        <v>Violin</v>
      </c>
      <c r="D1134" s="1" t="str">
        <f>VLOOKUP($C1134, 'Instrument Table'!$B:$C, 2, FALSE)</f>
        <v>Strings</v>
      </c>
      <c r="E1134" s="1">
        <f t="shared" si="102"/>
        <v>1</v>
      </c>
      <c r="F1134" s="1">
        <f>_xlfn.XLOOKUP($C1134, 'Instrument Table'!$B:$B, 'Instrument Table'!$A:$A, "")</f>
        <v>20</v>
      </c>
      <c r="G1134" s="1" t="str">
        <f>TEXT(IF($B1134 = "Retail Item", IF((ROW($A1134) - 4504 - _xlfn.XMATCH($C1134, $C$4506:$C$5005, 0, 1)) &lt;= VLOOKUP($C1134, 'Instrument Table'!$B:$D, 3, FALSE), ROW($A1134) - 4504 - _xlfn.XMATCH($C1134, $C$4506:$C$5005, 0, 1), 0), 0), "00")</f>
        <v>00</v>
      </c>
      <c r="H1134" s="1" t="str">
        <f t="shared" si="103"/>
        <v>178</v>
      </c>
      <c r="I1134" s="1" t="str">
        <f t="shared" si="104"/>
        <v>12000-178</v>
      </c>
      <c r="J1134" s="1" t="str">
        <f t="shared" si="105"/>
        <v>Violin production item #178</v>
      </c>
      <c r="K1134" s="1" t="str">
        <f>IF(SUM(COUNTIFS(I:I, I1134)) &gt; 1, "DUPLICATE", "UNIQUE")</f>
        <v>UNIQUE</v>
      </c>
      <c r="L1134" s="18">
        <v>4</v>
      </c>
      <c r="M1134" s="28">
        <v>52</v>
      </c>
      <c r="N1134" s="6">
        <v>16</v>
      </c>
      <c r="O1134" s="30">
        <f t="shared" si="106"/>
        <v>208</v>
      </c>
      <c r="P1134" s="30">
        <f t="shared" si="107"/>
        <v>832</v>
      </c>
      <c r="Q1134" s="1">
        <f>COUNTIFS($P:$P, "&gt;" &amp; $P1134) + 1</f>
        <v>3775</v>
      </c>
      <c r="R1134" s="63">
        <f>(COUNTIFS($P:$P, "&gt;" &amp; $P1134) + 1) / (COUNTA($I:$I) - 1)</f>
        <v>0.755</v>
      </c>
      <c r="S1134" s="23">
        <f>SUMIFS($P:$P, $Q:$Q, "&lt;" &amp; $Q1134)</f>
        <v>186245417</v>
      </c>
    </row>
    <row r="1135" spans="1:19" x14ac:dyDescent="0.25">
      <c r="A1135" s="1">
        <v>1130</v>
      </c>
      <c r="B1135" s="1" t="s">
        <v>2</v>
      </c>
      <c r="C1135" s="1" t="str">
        <f>IF($B1135 = "Production Item", _xlfn.XLOOKUP($A1135, 'Instrument Table'!$J:$J, 'Instrument Table'!$B:$B, $C1134), IF($B1135 = "Service Item", _xlfn.XLOOKUP($A1135, 'Instrument Table'!$I:$I, 'Instrument Table'!$B:$B, $C1134), _xlfn.XLOOKUP($A1135, 'Instrument Table'!$H:$H, 'Instrument Table'!$B:$B, $C1134)))</f>
        <v>Violin</v>
      </c>
      <c r="D1135" s="1" t="str">
        <f>VLOOKUP($C1135, 'Instrument Table'!$B:$C, 2, FALSE)</f>
        <v>Strings</v>
      </c>
      <c r="E1135" s="1">
        <f t="shared" si="102"/>
        <v>1</v>
      </c>
      <c r="F1135" s="1">
        <f>_xlfn.XLOOKUP($C1135, 'Instrument Table'!$B:$B, 'Instrument Table'!$A:$A, "")</f>
        <v>20</v>
      </c>
      <c r="G1135" s="1" t="str">
        <f>TEXT(IF($B1135 = "Retail Item", IF((ROW($A1135) - 4504 - _xlfn.XMATCH($C1135, $C$4506:$C$5005, 0, 1)) &lt;= VLOOKUP($C1135, 'Instrument Table'!$B:$D, 3, FALSE), ROW($A1135) - 4504 - _xlfn.XMATCH($C1135, $C$4506:$C$5005, 0, 1), 0), 0), "00")</f>
        <v>00</v>
      </c>
      <c r="H1135" s="1" t="str">
        <f t="shared" si="103"/>
        <v>179</v>
      </c>
      <c r="I1135" s="1" t="str">
        <f t="shared" si="104"/>
        <v>12000-179</v>
      </c>
      <c r="J1135" s="1" t="str">
        <f t="shared" si="105"/>
        <v>Violin production item #179</v>
      </c>
      <c r="K1135" s="1" t="str">
        <f>IF(SUM(COUNTIFS(I:I, I1135)) &gt; 1, "DUPLICATE", "UNIQUE")</f>
        <v>UNIQUE</v>
      </c>
      <c r="L1135" s="18">
        <v>0</v>
      </c>
      <c r="M1135" s="28">
        <v>55</v>
      </c>
      <c r="N1135" s="6">
        <v>64</v>
      </c>
      <c r="O1135" s="30">
        <f t="shared" si="106"/>
        <v>0</v>
      </c>
      <c r="P1135" s="30">
        <f t="shared" si="107"/>
        <v>3520</v>
      </c>
      <c r="Q1135" s="1">
        <f>COUNTIFS($P:$P, "&gt;" &amp; $P1135) + 1</f>
        <v>2772</v>
      </c>
      <c r="R1135" s="63">
        <f>(COUNTIFS($P:$P, "&gt;" &amp; $P1135) + 1) / (COUNTA($I:$I) - 1)</f>
        <v>0.5544</v>
      </c>
      <c r="S1135" s="23">
        <f>SUMIFS($P:$P, $Q:$Q, "&lt;" &amp; $Q1135)</f>
        <v>184228783</v>
      </c>
    </row>
    <row r="1136" spans="1:19" x14ac:dyDescent="0.25">
      <c r="A1136" s="1">
        <v>1131</v>
      </c>
      <c r="B1136" s="1" t="s">
        <v>2</v>
      </c>
      <c r="C1136" s="1" t="str">
        <f>IF($B1136 = "Production Item", _xlfn.XLOOKUP($A1136, 'Instrument Table'!$J:$J, 'Instrument Table'!$B:$B, $C1135), IF($B1136 = "Service Item", _xlfn.XLOOKUP($A1136, 'Instrument Table'!$I:$I, 'Instrument Table'!$B:$B, $C1135), _xlfn.XLOOKUP($A1136, 'Instrument Table'!$H:$H, 'Instrument Table'!$B:$B, $C1135)))</f>
        <v>Violin</v>
      </c>
      <c r="D1136" s="1" t="str">
        <f>VLOOKUP($C1136, 'Instrument Table'!$B:$C, 2, FALSE)</f>
        <v>Strings</v>
      </c>
      <c r="E1136" s="1">
        <f t="shared" si="102"/>
        <v>1</v>
      </c>
      <c r="F1136" s="1">
        <f>_xlfn.XLOOKUP($C1136, 'Instrument Table'!$B:$B, 'Instrument Table'!$A:$A, "")</f>
        <v>20</v>
      </c>
      <c r="G1136" s="1" t="str">
        <f>TEXT(IF($B1136 = "Retail Item", IF((ROW($A1136) - 4504 - _xlfn.XMATCH($C1136, $C$4506:$C$5005, 0, 1)) &lt;= VLOOKUP($C1136, 'Instrument Table'!$B:$D, 3, FALSE), ROW($A1136) - 4504 - _xlfn.XMATCH($C1136, $C$4506:$C$5005, 0, 1), 0), 0), "00")</f>
        <v>00</v>
      </c>
      <c r="H1136" s="1" t="str">
        <f t="shared" si="103"/>
        <v>180</v>
      </c>
      <c r="I1136" s="1" t="str">
        <f t="shared" si="104"/>
        <v>12000-180</v>
      </c>
      <c r="J1136" s="1" t="str">
        <f t="shared" si="105"/>
        <v>Violin production item #180</v>
      </c>
      <c r="K1136" s="1" t="str">
        <f>IF(SUM(COUNTIFS(I:I, I1136)) &gt; 1, "DUPLICATE", "UNIQUE")</f>
        <v>UNIQUE</v>
      </c>
      <c r="L1136" s="18">
        <v>4</v>
      </c>
      <c r="M1136" s="28">
        <v>8</v>
      </c>
      <c r="N1136" s="6">
        <v>121</v>
      </c>
      <c r="O1136" s="30">
        <f t="shared" si="106"/>
        <v>32</v>
      </c>
      <c r="P1136" s="30">
        <f t="shared" si="107"/>
        <v>968</v>
      </c>
      <c r="Q1136" s="1">
        <f>COUNTIFS($P:$P, "&gt;" &amp; $P1136) + 1</f>
        <v>3698</v>
      </c>
      <c r="R1136" s="63">
        <f>(COUNTIFS($P:$P, "&gt;" &amp; $P1136) + 1) / (COUNTA($I:$I) - 1)</f>
        <v>0.73960000000000004</v>
      </c>
      <c r="S1136" s="23">
        <f>SUMIFS($P:$P, $Q:$Q, "&lt;" &amp; $Q1136)</f>
        <v>186176894</v>
      </c>
    </row>
    <row r="1137" spans="1:19" x14ac:dyDescent="0.25">
      <c r="A1137" s="1">
        <v>1132</v>
      </c>
      <c r="B1137" s="1" t="s">
        <v>2</v>
      </c>
      <c r="C1137" s="1" t="str">
        <f>IF($B1137 = "Production Item", _xlfn.XLOOKUP($A1137, 'Instrument Table'!$J:$J, 'Instrument Table'!$B:$B, $C1136), IF($B1137 = "Service Item", _xlfn.XLOOKUP($A1137, 'Instrument Table'!$I:$I, 'Instrument Table'!$B:$B, $C1136), _xlfn.XLOOKUP($A1137, 'Instrument Table'!$H:$H, 'Instrument Table'!$B:$B, $C1136)))</f>
        <v>Violin</v>
      </c>
      <c r="D1137" s="1" t="str">
        <f>VLOOKUP($C1137, 'Instrument Table'!$B:$C, 2, FALSE)</f>
        <v>Strings</v>
      </c>
      <c r="E1137" s="1">
        <f t="shared" si="102"/>
        <v>1</v>
      </c>
      <c r="F1137" s="1">
        <f>_xlfn.XLOOKUP($C1137, 'Instrument Table'!$B:$B, 'Instrument Table'!$A:$A, "")</f>
        <v>20</v>
      </c>
      <c r="G1137" s="1" t="str">
        <f>TEXT(IF($B1137 = "Retail Item", IF((ROW($A1137) - 4504 - _xlfn.XMATCH($C1137, $C$4506:$C$5005, 0, 1)) &lt;= VLOOKUP($C1137, 'Instrument Table'!$B:$D, 3, FALSE), ROW($A1137) - 4504 - _xlfn.XMATCH($C1137, $C$4506:$C$5005, 0, 1), 0), 0), "00")</f>
        <v>00</v>
      </c>
      <c r="H1137" s="1" t="str">
        <f t="shared" si="103"/>
        <v>181</v>
      </c>
      <c r="I1137" s="1" t="str">
        <f t="shared" si="104"/>
        <v>12000-181</v>
      </c>
      <c r="J1137" s="1" t="str">
        <f t="shared" si="105"/>
        <v>Violin production item #181</v>
      </c>
      <c r="K1137" s="1" t="str">
        <f>IF(SUM(COUNTIFS(I:I, I1137)) &gt; 1, "DUPLICATE", "UNIQUE")</f>
        <v>UNIQUE</v>
      </c>
      <c r="L1137" s="18">
        <v>0</v>
      </c>
      <c r="M1137" s="28">
        <v>22</v>
      </c>
      <c r="N1137" s="6">
        <v>49</v>
      </c>
      <c r="O1137" s="30">
        <f t="shared" si="106"/>
        <v>0</v>
      </c>
      <c r="P1137" s="30">
        <f t="shared" si="107"/>
        <v>1078</v>
      </c>
      <c r="Q1137" s="1">
        <f>COUNTIFS($P:$P, "&gt;" &amp; $P1137) + 1</f>
        <v>3655</v>
      </c>
      <c r="R1137" s="63">
        <f>(COUNTIFS($P:$P, "&gt;" &amp; $P1137) + 1) / (COUNTA($I:$I) - 1)</f>
        <v>0.73099999999999998</v>
      </c>
      <c r="S1137" s="23">
        <f>SUMIFS($P:$P, $Q:$Q, "&lt;" &amp; $Q1137)</f>
        <v>186133241</v>
      </c>
    </row>
    <row r="1138" spans="1:19" x14ac:dyDescent="0.25">
      <c r="A1138" s="1">
        <v>1133</v>
      </c>
      <c r="B1138" s="1" t="s">
        <v>2</v>
      </c>
      <c r="C1138" s="1" t="str">
        <f>IF($B1138 = "Production Item", _xlfn.XLOOKUP($A1138, 'Instrument Table'!$J:$J, 'Instrument Table'!$B:$B, $C1137), IF($B1138 = "Service Item", _xlfn.XLOOKUP($A1138, 'Instrument Table'!$I:$I, 'Instrument Table'!$B:$B, $C1137), _xlfn.XLOOKUP($A1138, 'Instrument Table'!$H:$H, 'Instrument Table'!$B:$B, $C1137)))</f>
        <v>Violin</v>
      </c>
      <c r="D1138" s="1" t="str">
        <f>VLOOKUP($C1138, 'Instrument Table'!$B:$C, 2, FALSE)</f>
        <v>Strings</v>
      </c>
      <c r="E1138" s="1">
        <f t="shared" si="102"/>
        <v>1</v>
      </c>
      <c r="F1138" s="1">
        <f>_xlfn.XLOOKUP($C1138, 'Instrument Table'!$B:$B, 'Instrument Table'!$A:$A, "")</f>
        <v>20</v>
      </c>
      <c r="G1138" s="1" t="str">
        <f>TEXT(IF($B1138 = "Retail Item", IF((ROW($A1138) - 4504 - _xlfn.XMATCH($C1138, $C$4506:$C$5005, 0, 1)) &lt;= VLOOKUP($C1138, 'Instrument Table'!$B:$D, 3, FALSE), ROW($A1138) - 4504 - _xlfn.XMATCH($C1138, $C$4506:$C$5005, 0, 1), 0), 0), "00")</f>
        <v>00</v>
      </c>
      <c r="H1138" s="1" t="str">
        <f t="shared" si="103"/>
        <v>182</v>
      </c>
      <c r="I1138" s="1" t="str">
        <f t="shared" si="104"/>
        <v>12000-182</v>
      </c>
      <c r="J1138" s="1" t="str">
        <f t="shared" si="105"/>
        <v>Violin production item #182</v>
      </c>
      <c r="K1138" s="1" t="str">
        <f>IF(SUM(COUNTIFS(I:I, I1138)) &gt; 1, "DUPLICATE", "UNIQUE")</f>
        <v>UNIQUE</v>
      </c>
      <c r="L1138" s="18">
        <v>0</v>
      </c>
      <c r="M1138" s="28">
        <v>12</v>
      </c>
      <c r="N1138" s="6">
        <v>225</v>
      </c>
      <c r="O1138" s="30">
        <f t="shared" si="106"/>
        <v>0</v>
      </c>
      <c r="P1138" s="30">
        <f t="shared" si="107"/>
        <v>2700</v>
      </c>
      <c r="Q1138" s="1">
        <f>COUNTIFS($P:$P, "&gt;" &amp; $P1138) + 1</f>
        <v>2983</v>
      </c>
      <c r="R1138" s="63">
        <f>(COUNTIFS($P:$P, "&gt;" &amp; $P1138) + 1) / (COUNTA($I:$I) - 1)</f>
        <v>0.59660000000000002</v>
      </c>
      <c r="S1138" s="23">
        <f>SUMIFS($P:$P, $Q:$Q, "&lt;" &amp; $Q1138)</f>
        <v>184886582</v>
      </c>
    </row>
    <row r="1139" spans="1:19" x14ac:dyDescent="0.25">
      <c r="A1139" s="1">
        <v>1134</v>
      </c>
      <c r="B1139" s="1" t="s">
        <v>2</v>
      </c>
      <c r="C1139" s="1" t="str">
        <f>IF($B1139 = "Production Item", _xlfn.XLOOKUP($A1139, 'Instrument Table'!$J:$J, 'Instrument Table'!$B:$B, $C1138), IF($B1139 = "Service Item", _xlfn.XLOOKUP($A1139, 'Instrument Table'!$I:$I, 'Instrument Table'!$B:$B, $C1138), _xlfn.XLOOKUP($A1139, 'Instrument Table'!$H:$H, 'Instrument Table'!$B:$B, $C1138)))</f>
        <v>Violin</v>
      </c>
      <c r="D1139" s="1" t="str">
        <f>VLOOKUP($C1139, 'Instrument Table'!$B:$C, 2, FALSE)</f>
        <v>Strings</v>
      </c>
      <c r="E1139" s="1">
        <f t="shared" si="102"/>
        <v>1</v>
      </c>
      <c r="F1139" s="1">
        <f>_xlfn.XLOOKUP($C1139, 'Instrument Table'!$B:$B, 'Instrument Table'!$A:$A, "")</f>
        <v>20</v>
      </c>
      <c r="G1139" s="1" t="str">
        <f>TEXT(IF($B1139 = "Retail Item", IF((ROW($A1139) - 4504 - _xlfn.XMATCH($C1139, $C$4506:$C$5005, 0, 1)) &lt;= VLOOKUP($C1139, 'Instrument Table'!$B:$D, 3, FALSE), ROW($A1139) - 4504 - _xlfn.XMATCH($C1139, $C$4506:$C$5005, 0, 1), 0), 0), "00")</f>
        <v>00</v>
      </c>
      <c r="H1139" s="1" t="str">
        <f t="shared" si="103"/>
        <v>183</v>
      </c>
      <c r="I1139" s="1" t="str">
        <f t="shared" si="104"/>
        <v>12000-183</v>
      </c>
      <c r="J1139" s="1" t="str">
        <f t="shared" si="105"/>
        <v>Violin production item #183</v>
      </c>
      <c r="K1139" s="1" t="str">
        <f>IF(SUM(COUNTIFS(I:I, I1139)) &gt; 1, "DUPLICATE", "UNIQUE")</f>
        <v>UNIQUE</v>
      </c>
      <c r="L1139" s="18">
        <v>1</v>
      </c>
      <c r="M1139" s="28">
        <v>24</v>
      </c>
      <c r="N1139" s="6">
        <v>169</v>
      </c>
      <c r="O1139" s="30">
        <f t="shared" si="106"/>
        <v>24</v>
      </c>
      <c r="P1139" s="30">
        <f t="shared" si="107"/>
        <v>4056</v>
      </c>
      <c r="Q1139" s="1">
        <f>COUNTIFS($P:$P, "&gt;" &amp; $P1139) + 1</f>
        <v>2643</v>
      </c>
      <c r="R1139" s="63">
        <f>(COUNTIFS($P:$P, "&gt;" &amp; $P1139) + 1) / (COUNTA($I:$I) - 1)</f>
        <v>0.52859999999999996</v>
      </c>
      <c r="S1139" s="23">
        <f>SUMIFS($P:$P, $Q:$Q, "&lt;" &amp; $Q1139)</f>
        <v>183742682</v>
      </c>
    </row>
    <row r="1140" spans="1:19" x14ac:dyDescent="0.25">
      <c r="A1140" s="1">
        <v>1135</v>
      </c>
      <c r="B1140" s="1" t="s">
        <v>2</v>
      </c>
      <c r="C1140" s="1" t="str">
        <f>IF($B1140 = "Production Item", _xlfn.XLOOKUP($A1140, 'Instrument Table'!$J:$J, 'Instrument Table'!$B:$B, $C1139), IF($B1140 = "Service Item", _xlfn.XLOOKUP($A1140, 'Instrument Table'!$I:$I, 'Instrument Table'!$B:$B, $C1139), _xlfn.XLOOKUP($A1140, 'Instrument Table'!$H:$H, 'Instrument Table'!$B:$B, $C1139)))</f>
        <v>Violin</v>
      </c>
      <c r="D1140" s="1" t="str">
        <f>VLOOKUP($C1140, 'Instrument Table'!$B:$C, 2, FALSE)</f>
        <v>Strings</v>
      </c>
      <c r="E1140" s="1">
        <f t="shared" si="102"/>
        <v>1</v>
      </c>
      <c r="F1140" s="1">
        <f>_xlfn.XLOOKUP($C1140, 'Instrument Table'!$B:$B, 'Instrument Table'!$A:$A, "")</f>
        <v>20</v>
      </c>
      <c r="G1140" s="1" t="str">
        <f>TEXT(IF($B1140 = "Retail Item", IF((ROW($A1140) - 4504 - _xlfn.XMATCH($C1140, $C$4506:$C$5005, 0, 1)) &lt;= VLOOKUP($C1140, 'Instrument Table'!$B:$D, 3, FALSE), ROW($A1140) - 4504 - _xlfn.XMATCH($C1140, $C$4506:$C$5005, 0, 1), 0), 0), "00")</f>
        <v>00</v>
      </c>
      <c r="H1140" s="1" t="str">
        <f t="shared" si="103"/>
        <v>184</v>
      </c>
      <c r="I1140" s="1" t="str">
        <f t="shared" si="104"/>
        <v>12000-184</v>
      </c>
      <c r="J1140" s="1" t="str">
        <f t="shared" si="105"/>
        <v>Violin production item #184</v>
      </c>
      <c r="K1140" s="1" t="str">
        <f>IF(SUM(COUNTIFS(I:I, I1140)) &gt; 1, "DUPLICATE", "UNIQUE")</f>
        <v>UNIQUE</v>
      </c>
      <c r="L1140" s="18">
        <v>2</v>
      </c>
      <c r="M1140" s="28">
        <v>60</v>
      </c>
      <c r="N1140" s="6">
        <v>9</v>
      </c>
      <c r="O1140" s="30">
        <f t="shared" si="106"/>
        <v>120</v>
      </c>
      <c r="P1140" s="30">
        <f t="shared" si="107"/>
        <v>540</v>
      </c>
      <c r="Q1140" s="1">
        <f>COUNTIFS($P:$P, "&gt;" &amp; $P1140) + 1</f>
        <v>3988</v>
      </c>
      <c r="R1140" s="63">
        <f>(COUNTIFS($P:$P, "&gt;" &amp; $P1140) + 1) / (COUNTA($I:$I) - 1)</f>
        <v>0.79759999999999998</v>
      </c>
      <c r="S1140" s="23">
        <f>SUMIFS($P:$P, $Q:$Q, "&lt;" &amp; $Q1140)</f>
        <v>186391860</v>
      </c>
    </row>
    <row r="1141" spans="1:19" x14ac:dyDescent="0.25">
      <c r="A1141" s="1">
        <v>1136</v>
      </c>
      <c r="B1141" s="1" t="s">
        <v>2</v>
      </c>
      <c r="C1141" s="1" t="str">
        <f>IF($B1141 = "Production Item", _xlfn.XLOOKUP($A1141, 'Instrument Table'!$J:$J, 'Instrument Table'!$B:$B, $C1140), IF($B1141 = "Service Item", _xlfn.XLOOKUP($A1141, 'Instrument Table'!$I:$I, 'Instrument Table'!$B:$B, $C1140), _xlfn.XLOOKUP($A1141, 'Instrument Table'!$H:$H, 'Instrument Table'!$B:$B, $C1140)))</f>
        <v>Violin</v>
      </c>
      <c r="D1141" s="1" t="str">
        <f>VLOOKUP($C1141, 'Instrument Table'!$B:$C, 2, FALSE)</f>
        <v>Strings</v>
      </c>
      <c r="E1141" s="1">
        <f t="shared" si="102"/>
        <v>1</v>
      </c>
      <c r="F1141" s="1">
        <f>_xlfn.XLOOKUP($C1141, 'Instrument Table'!$B:$B, 'Instrument Table'!$A:$A, "")</f>
        <v>20</v>
      </c>
      <c r="G1141" s="1" t="str">
        <f>TEXT(IF($B1141 = "Retail Item", IF((ROW($A1141) - 4504 - _xlfn.XMATCH($C1141, $C$4506:$C$5005, 0, 1)) &lt;= VLOOKUP($C1141, 'Instrument Table'!$B:$D, 3, FALSE), ROW($A1141) - 4504 - _xlfn.XMATCH($C1141, $C$4506:$C$5005, 0, 1), 0), 0), "00")</f>
        <v>00</v>
      </c>
      <c r="H1141" s="1" t="str">
        <f t="shared" si="103"/>
        <v>185</v>
      </c>
      <c r="I1141" s="1" t="str">
        <f t="shared" si="104"/>
        <v>12000-185</v>
      </c>
      <c r="J1141" s="1" t="str">
        <f t="shared" si="105"/>
        <v>Violin production item #185</v>
      </c>
      <c r="K1141" s="1" t="str">
        <f>IF(SUM(COUNTIFS(I:I, I1141)) &gt; 1, "DUPLICATE", "UNIQUE")</f>
        <v>UNIQUE</v>
      </c>
      <c r="L1141" s="18">
        <v>0</v>
      </c>
      <c r="M1141" s="28">
        <v>25</v>
      </c>
      <c r="N1141" s="6">
        <v>49</v>
      </c>
      <c r="O1141" s="30">
        <f t="shared" si="106"/>
        <v>0</v>
      </c>
      <c r="P1141" s="30">
        <f t="shared" si="107"/>
        <v>1225</v>
      </c>
      <c r="Q1141" s="1">
        <f>COUNTIFS($P:$P, "&gt;" &amp; $P1141) + 1</f>
        <v>3588</v>
      </c>
      <c r="R1141" s="63">
        <f>(COUNTIFS($P:$P, "&gt;" &amp; $P1141) + 1) / (COUNTA($I:$I) - 1)</f>
        <v>0.71760000000000002</v>
      </c>
      <c r="S1141" s="23">
        <f>SUMIFS($P:$P, $Q:$Q, "&lt;" &amp; $Q1141)</f>
        <v>186055108</v>
      </c>
    </row>
    <row r="1142" spans="1:19" x14ac:dyDescent="0.25">
      <c r="A1142" s="1">
        <v>1137</v>
      </c>
      <c r="B1142" s="1" t="s">
        <v>2</v>
      </c>
      <c r="C1142" s="1" t="str">
        <f>IF($B1142 = "Production Item", _xlfn.XLOOKUP($A1142, 'Instrument Table'!$J:$J, 'Instrument Table'!$B:$B, $C1141), IF($B1142 = "Service Item", _xlfn.XLOOKUP($A1142, 'Instrument Table'!$I:$I, 'Instrument Table'!$B:$B, $C1141), _xlfn.XLOOKUP($A1142, 'Instrument Table'!$H:$H, 'Instrument Table'!$B:$B, $C1141)))</f>
        <v>Violin</v>
      </c>
      <c r="D1142" s="1" t="str">
        <f>VLOOKUP($C1142, 'Instrument Table'!$B:$C, 2, FALSE)</f>
        <v>Strings</v>
      </c>
      <c r="E1142" s="1">
        <f t="shared" si="102"/>
        <v>1</v>
      </c>
      <c r="F1142" s="1">
        <f>_xlfn.XLOOKUP($C1142, 'Instrument Table'!$B:$B, 'Instrument Table'!$A:$A, "")</f>
        <v>20</v>
      </c>
      <c r="G1142" s="1" t="str">
        <f>TEXT(IF($B1142 = "Retail Item", IF((ROW($A1142) - 4504 - _xlfn.XMATCH($C1142, $C$4506:$C$5005, 0, 1)) &lt;= VLOOKUP($C1142, 'Instrument Table'!$B:$D, 3, FALSE), ROW($A1142) - 4504 - _xlfn.XMATCH($C1142, $C$4506:$C$5005, 0, 1), 0), 0), "00")</f>
        <v>00</v>
      </c>
      <c r="H1142" s="1" t="str">
        <f t="shared" si="103"/>
        <v>186</v>
      </c>
      <c r="I1142" s="1" t="str">
        <f t="shared" si="104"/>
        <v>12000-186</v>
      </c>
      <c r="J1142" s="1" t="str">
        <f t="shared" si="105"/>
        <v>Violin production item #186</v>
      </c>
      <c r="K1142" s="1" t="str">
        <f>IF(SUM(COUNTIFS(I:I, I1142)) &gt; 1, "DUPLICATE", "UNIQUE")</f>
        <v>UNIQUE</v>
      </c>
      <c r="L1142" s="18">
        <v>1</v>
      </c>
      <c r="M1142" s="28">
        <v>20</v>
      </c>
      <c r="N1142" s="6">
        <v>361</v>
      </c>
      <c r="O1142" s="30">
        <f t="shared" si="106"/>
        <v>20</v>
      </c>
      <c r="P1142" s="30">
        <f t="shared" si="107"/>
        <v>7220</v>
      </c>
      <c r="Q1142" s="1">
        <f>COUNTIFS($P:$P, "&gt;" &amp; $P1142) + 1</f>
        <v>2110</v>
      </c>
      <c r="R1142" s="63">
        <f>(COUNTIFS($P:$P, "&gt;" &amp; $P1142) + 1) / (COUNTA($I:$I) - 1)</f>
        <v>0.42199999999999999</v>
      </c>
      <c r="S1142" s="23">
        <f>SUMIFS($P:$P, $Q:$Q, "&lt;" &amp; $Q1142)</f>
        <v>180831182</v>
      </c>
    </row>
    <row r="1143" spans="1:19" x14ac:dyDescent="0.25">
      <c r="A1143" s="1">
        <v>1138</v>
      </c>
      <c r="B1143" s="1" t="s">
        <v>2</v>
      </c>
      <c r="C1143" s="1" t="str">
        <f>IF($B1143 = "Production Item", _xlfn.XLOOKUP($A1143, 'Instrument Table'!$J:$J, 'Instrument Table'!$B:$B, $C1142), IF($B1143 = "Service Item", _xlfn.XLOOKUP($A1143, 'Instrument Table'!$I:$I, 'Instrument Table'!$B:$B, $C1142), _xlfn.XLOOKUP($A1143, 'Instrument Table'!$H:$H, 'Instrument Table'!$B:$B, $C1142)))</f>
        <v>Violin</v>
      </c>
      <c r="D1143" s="1" t="str">
        <f>VLOOKUP($C1143, 'Instrument Table'!$B:$C, 2, FALSE)</f>
        <v>Strings</v>
      </c>
      <c r="E1143" s="1">
        <f t="shared" si="102"/>
        <v>1</v>
      </c>
      <c r="F1143" s="1">
        <f>_xlfn.XLOOKUP($C1143, 'Instrument Table'!$B:$B, 'Instrument Table'!$A:$A, "")</f>
        <v>20</v>
      </c>
      <c r="G1143" s="1" t="str">
        <f>TEXT(IF($B1143 = "Retail Item", IF((ROW($A1143) - 4504 - _xlfn.XMATCH($C1143, $C$4506:$C$5005, 0, 1)) &lt;= VLOOKUP($C1143, 'Instrument Table'!$B:$D, 3, FALSE), ROW($A1143) - 4504 - _xlfn.XMATCH($C1143, $C$4506:$C$5005, 0, 1), 0), 0), "00")</f>
        <v>00</v>
      </c>
      <c r="H1143" s="1" t="str">
        <f t="shared" si="103"/>
        <v>187</v>
      </c>
      <c r="I1143" s="1" t="str">
        <f t="shared" si="104"/>
        <v>12000-187</v>
      </c>
      <c r="J1143" s="1" t="str">
        <f t="shared" si="105"/>
        <v>Violin production item #187</v>
      </c>
      <c r="K1143" s="1" t="str">
        <f>IF(SUM(COUNTIFS(I:I, I1143)) &gt; 1, "DUPLICATE", "UNIQUE")</f>
        <v>UNIQUE</v>
      </c>
      <c r="L1143" s="18">
        <v>0</v>
      </c>
      <c r="M1143" s="28">
        <v>57</v>
      </c>
      <c r="N1143" s="6">
        <v>361</v>
      </c>
      <c r="O1143" s="30">
        <f t="shared" si="106"/>
        <v>0</v>
      </c>
      <c r="P1143" s="30">
        <f t="shared" si="107"/>
        <v>20577</v>
      </c>
      <c r="Q1143" s="1">
        <f>COUNTIFS($P:$P, "&gt;" &amp; $P1143) + 1</f>
        <v>1022</v>
      </c>
      <c r="R1143" s="63">
        <f>(COUNTIFS($P:$P, "&gt;" &amp; $P1143) + 1) / (COUNTA($I:$I) - 1)</f>
        <v>0.2044</v>
      </c>
      <c r="S1143" s="23">
        <f>SUMIFS($P:$P, $Q:$Q, "&lt;" &amp; $Q1143)</f>
        <v>166950697</v>
      </c>
    </row>
    <row r="1144" spans="1:19" x14ac:dyDescent="0.25">
      <c r="A1144" s="1">
        <v>1139</v>
      </c>
      <c r="B1144" s="1" t="s">
        <v>2</v>
      </c>
      <c r="C1144" s="1" t="str">
        <f>IF($B1144 = "Production Item", _xlfn.XLOOKUP($A1144, 'Instrument Table'!$J:$J, 'Instrument Table'!$B:$B, $C1143), IF($B1144 = "Service Item", _xlfn.XLOOKUP($A1144, 'Instrument Table'!$I:$I, 'Instrument Table'!$B:$B, $C1143), _xlfn.XLOOKUP($A1144, 'Instrument Table'!$H:$H, 'Instrument Table'!$B:$B, $C1143)))</f>
        <v>Violin</v>
      </c>
      <c r="D1144" s="1" t="str">
        <f>VLOOKUP($C1144, 'Instrument Table'!$B:$C, 2, FALSE)</f>
        <v>Strings</v>
      </c>
      <c r="E1144" s="1">
        <f t="shared" si="102"/>
        <v>1</v>
      </c>
      <c r="F1144" s="1">
        <f>_xlfn.XLOOKUP($C1144, 'Instrument Table'!$B:$B, 'Instrument Table'!$A:$A, "")</f>
        <v>20</v>
      </c>
      <c r="G1144" s="1" t="str">
        <f>TEXT(IF($B1144 = "Retail Item", IF((ROW($A1144) - 4504 - _xlfn.XMATCH($C1144, $C$4506:$C$5005, 0, 1)) &lt;= VLOOKUP($C1144, 'Instrument Table'!$B:$D, 3, FALSE), ROW($A1144) - 4504 - _xlfn.XMATCH($C1144, $C$4506:$C$5005, 0, 1), 0), 0), "00")</f>
        <v>00</v>
      </c>
      <c r="H1144" s="1" t="str">
        <f t="shared" si="103"/>
        <v>188</v>
      </c>
      <c r="I1144" s="1" t="str">
        <f t="shared" si="104"/>
        <v>12000-188</v>
      </c>
      <c r="J1144" s="1" t="str">
        <f t="shared" si="105"/>
        <v>Violin production item #188</v>
      </c>
      <c r="K1144" s="1" t="str">
        <f>IF(SUM(COUNTIFS(I:I, I1144)) &gt; 1, "DUPLICATE", "UNIQUE")</f>
        <v>UNIQUE</v>
      </c>
      <c r="L1144" s="18">
        <v>0</v>
      </c>
      <c r="M1144" s="28">
        <v>77</v>
      </c>
      <c r="N1144" s="6">
        <v>256</v>
      </c>
      <c r="O1144" s="30">
        <f t="shared" si="106"/>
        <v>0</v>
      </c>
      <c r="P1144" s="30">
        <f t="shared" si="107"/>
        <v>19712</v>
      </c>
      <c r="Q1144" s="1">
        <f>COUNTIFS($P:$P, "&gt;" &amp; $P1144) + 1</f>
        <v>1070</v>
      </c>
      <c r="R1144" s="63">
        <f>(COUNTIFS($P:$P, "&gt;" &amp; $P1144) + 1) / (COUNTA($I:$I) - 1)</f>
        <v>0.214</v>
      </c>
      <c r="S1144" s="23">
        <f>SUMIFS($P:$P, $Q:$Q, "&lt;" &amp; $Q1144)</f>
        <v>167921769</v>
      </c>
    </row>
    <row r="1145" spans="1:19" x14ac:dyDescent="0.25">
      <c r="A1145" s="1">
        <v>1140</v>
      </c>
      <c r="B1145" s="1" t="s">
        <v>2</v>
      </c>
      <c r="C1145" s="1" t="str">
        <f>IF($B1145 = "Production Item", _xlfn.XLOOKUP($A1145, 'Instrument Table'!$J:$J, 'Instrument Table'!$B:$B, $C1144), IF($B1145 = "Service Item", _xlfn.XLOOKUP($A1145, 'Instrument Table'!$I:$I, 'Instrument Table'!$B:$B, $C1144), _xlfn.XLOOKUP($A1145, 'Instrument Table'!$H:$H, 'Instrument Table'!$B:$B, $C1144)))</f>
        <v>Violin</v>
      </c>
      <c r="D1145" s="1" t="str">
        <f>VLOOKUP($C1145, 'Instrument Table'!$B:$C, 2, FALSE)</f>
        <v>Strings</v>
      </c>
      <c r="E1145" s="1">
        <f t="shared" si="102"/>
        <v>1</v>
      </c>
      <c r="F1145" s="1">
        <f>_xlfn.XLOOKUP($C1145, 'Instrument Table'!$B:$B, 'Instrument Table'!$A:$A, "")</f>
        <v>20</v>
      </c>
      <c r="G1145" s="1" t="str">
        <f>TEXT(IF($B1145 = "Retail Item", IF((ROW($A1145) - 4504 - _xlfn.XMATCH($C1145, $C$4506:$C$5005, 0, 1)) &lt;= VLOOKUP($C1145, 'Instrument Table'!$B:$D, 3, FALSE), ROW($A1145) - 4504 - _xlfn.XMATCH($C1145, $C$4506:$C$5005, 0, 1), 0), 0), "00")</f>
        <v>00</v>
      </c>
      <c r="H1145" s="1" t="str">
        <f t="shared" si="103"/>
        <v>189</v>
      </c>
      <c r="I1145" s="1" t="str">
        <f t="shared" si="104"/>
        <v>12000-189</v>
      </c>
      <c r="J1145" s="1" t="str">
        <f t="shared" si="105"/>
        <v>Violin production item #189</v>
      </c>
      <c r="K1145" s="1" t="str">
        <f>IF(SUM(COUNTIFS(I:I, I1145)) &gt; 1, "DUPLICATE", "UNIQUE")</f>
        <v>UNIQUE</v>
      </c>
      <c r="L1145" s="18">
        <v>0</v>
      </c>
      <c r="M1145" s="28">
        <v>11</v>
      </c>
      <c r="N1145" s="6">
        <v>49</v>
      </c>
      <c r="O1145" s="30">
        <f t="shared" si="106"/>
        <v>0</v>
      </c>
      <c r="P1145" s="30">
        <f t="shared" si="107"/>
        <v>539</v>
      </c>
      <c r="Q1145" s="1">
        <f>COUNTIFS($P:$P, "&gt;" &amp; $P1145) + 1</f>
        <v>3994</v>
      </c>
      <c r="R1145" s="63">
        <f>(COUNTIFS($P:$P, "&gt;" &amp; $P1145) + 1) / (COUNTA($I:$I) - 1)</f>
        <v>0.79879999999999995</v>
      </c>
      <c r="S1145" s="23">
        <f>SUMIFS($P:$P, $Q:$Q, "&lt;" &amp; $Q1145)</f>
        <v>186395100</v>
      </c>
    </row>
    <row r="1146" spans="1:19" x14ac:dyDescent="0.25">
      <c r="A1146" s="1">
        <v>1141</v>
      </c>
      <c r="B1146" s="1" t="s">
        <v>2</v>
      </c>
      <c r="C1146" s="1" t="str">
        <f>IF($B1146 = "Production Item", _xlfn.XLOOKUP($A1146, 'Instrument Table'!$J:$J, 'Instrument Table'!$B:$B, $C1145), IF($B1146 = "Service Item", _xlfn.XLOOKUP($A1146, 'Instrument Table'!$I:$I, 'Instrument Table'!$B:$B, $C1145), _xlfn.XLOOKUP($A1146, 'Instrument Table'!$H:$H, 'Instrument Table'!$B:$B, $C1145)))</f>
        <v>Violin</v>
      </c>
      <c r="D1146" s="1" t="str">
        <f>VLOOKUP($C1146, 'Instrument Table'!$B:$C, 2, FALSE)</f>
        <v>Strings</v>
      </c>
      <c r="E1146" s="1">
        <f t="shared" si="102"/>
        <v>1</v>
      </c>
      <c r="F1146" s="1">
        <f>_xlfn.XLOOKUP($C1146, 'Instrument Table'!$B:$B, 'Instrument Table'!$A:$A, "")</f>
        <v>20</v>
      </c>
      <c r="G1146" s="1" t="str">
        <f>TEXT(IF($B1146 = "Retail Item", IF((ROW($A1146) - 4504 - _xlfn.XMATCH($C1146, $C$4506:$C$5005, 0, 1)) &lt;= VLOOKUP($C1146, 'Instrument Table'!$B:$D, 3, FALSE), ROW($A1146) - 4504 - _xlfn.XMATCH($C1146, $C$4506:$C$5005, 0, 1), 0), 0), "00")</f>
        <v>00</v>
      </c>
      <c r="H1146" s="1" t="str">
        <f t="shared" si="103"/>
        <v>190</v>
      </c>
      <c r="I1146" s="1" t="str">
        <f t="shared" si="104"/>
        <v>12000-190</v>
      </c>
      <c r="J1146" s="1" t="str">
        <f t="shared" si="105"/>
        <v>Violin production item #190</v>
      </c>
      <c r="K1146" s="1" t="str">
        <f>IF(SUM(COUNTIFS(I:I, I1146)) &gt; 1, "DUPLICATE", "UNIQUE")</f>
        <v>UNIQUE</v>
      </c>
      <c r="L1146" s="18">
        <v>32</v>
      </c>
      <c r="M1146" s="28">
        <v>35</v>
      </c>
      <c r="N1146" s="6">
        <v>196</v>
      </c>
      <c r="O1146" s="30">
        <f t="shared" si="106"/>
        <v>1120</v>
      </c>
      <c r="P1146" s="30">
        <f t="shared" si="107"/>
        <v>6860</v>
      </c>
      <c r="Q1146" s="1">
        <f>COUNTIFS($P:$P, "&gt;" &amp; $P1146) + 1</f>
        <v>2157</v>
      </c>
      <c r="R1146" s="63">
        <f>(COUNTIFS($P:$P, "&gt;" &amp; $P1146) + 1) / (COUNTA($I:$I) - 1)</f>
        <v>0.43140000000000001</v>
      </c>
      <c r="S1146" s="23">
        <f>SUMIFS($P:$P, $Q:$Q, "&lt;" &amp; $Q1146)</f>
        <v>181161868</v>
      </c>
    </row>
    <row r="1147" spans="1:19" x14ac:dyDescent="0.25">
      <c r="A1147" s="1">
        <v>1142</v>
      </c>
      <c r="B1147" s="1" t="s">
        <v>2</v>
      </c>
      <c r="C1147" s="1" t="str">
        <f>IF($B1147 = "Production Item", _xlfn.XLOOKUP($A1147, 'Instrument Table'!$J:$J, 'Instrument Table'!$B:$B, $C1146), IF($B1147 = "Service Item", _xlfn.XLOOKUP($A1147, 'Instrument Table'!$I:$I, 'Instrument Table'!$B:$B, $C1146), _xlfn.XLOOKUP($A1147, 'Instrument Table'!$H:$H, 'Instrument Table'!$B:$B, $C1146)))</f>
        <v>Violin</v>
      </c>
      <c r="D1147" s="1" t="str">
        <f>VLOOKUP($C1147, 'Instrument Table'!$B:$C, 2, FALSE)</f>
        <v>Strings</v>
      </c>
      <c r="E1147" s="1">
        <f t="shared" si="102"/>
        <v>1</v>
      </c>
      <c r="F1147" s="1">
        <f>_xlfn.XLOOKUP($C1147, 'Instrument Table'!$B:$B, 'Instrument Table'!$A:$A, "")</f>
        <v>20</v>
      </c>
      <c r="G1147" s="1" t="str">
        <f>TEXT(IF($B1147 = "Retail Item", IF((ROW($A1147) - 4504 - _xlfn.XMATCH($C1147, $C$4506:$C$5005, 0, 1)) &lt;= VLOOKUP($C1147, 'Instrument Table'!$B:$D, 3, FALSE), ROW($A1147) - 4504 - _xlfn.XMATCH($C1147, $C$4506:$C$5005, 0, 1), 0), 0), "00")</f>
        <v>00</v>
      </c>
      <c r="H1147" s="1" t="str">
        <f t="shared" si="103"/>
        <v>191</v>
      </c>
      <c r="I1147" s="1" t="str">
        <f t="shared" si="104"/>
        <v>12000-191</v>
      </c>
      <c r="J1147" s="1" t="str">
        <f t="shared" si="105"/>
        <v>Violin production item #191</v>
      </c>
      <c r="K1147" s="1" t="str">
        <f>IF(SUM(COUNTIFS(I:I, I1147)) &gt; 1, "DUPLICATE", "UNIQUE")</f>
        <v>UNIQUE</v>
      </c>
      <c r="L1147" s="18">
        <v>16</v>
      </c>
      <c r="M1147" s="28">
        <v>64</v>
      </c>
      <c r="N1147" s="6">
        <v>196</v>
      </c>
      <c r="O1147" s="30">
        <f t="shared" si="106"/>
        <v>1024</v>
      </c>
      <c r="P1147" s="30">
        <f t="shared" si="107"/>
        <v>12544</v>
      </c>
      <c r="Q1147" s="1">
        <f>COUNTIFS($P:$P, "&gt;" &amp; $P1147) + 1</f>
        <v>1537</v>
      </c>
      <c r="R1147" s="63">
        <f>(COUNTIFS($P:$P, "&gt;" &amp; $P1147) + 1) / (COUNTA($I:$I) - 1)</f>
        <v>0.30740000000000001</v>
      </c>
      <c r="S1147" s="23">
        <f>SUMIFS($P:$P, $Q:$Q, "&lt;" &amp; $Q1147)</f>
        <v>175313085</v>
      </c>
    </row>
    <row r="1148" spans="1:19" x14ac:dyDescent="0.25">
      <c r="A1148" s="1">
        <v>1143</v>
      </c>
      <c r="B1148" s="1" t="s">
        <v>2</v>
      </c>
      <c r="C1148" s="1" t="str">
        <f>IF($B1148 = "Production Item", _xlfn.XLOOKUP($A1148, 'Instrument Table'!$J:$J, 'Instrument Table'!$B:$B, $C1147), IF($B1148 = "Service Item", _xlfn.XLOOKUP($A1148, 'Instrument Table'!$I:$I, 'Instrument Table'!$B:$B, $C1147), _xlfn.XLOOKUP($A1148, 'Instrument Table'!$H:$H, 'Instrument Table'!$B:$B, $C1147)))</f>
        <v>Violin</v>
      </c>
      <c r="D1148" s="1" t="str">
        <f>VLOOKUP($C1148, 'Instrument Table'!$B:$C, 2, FALSE)</f>
        <v>Strings</v>
      </c>
      <c r="E1148" s="1">
        <f t="shared" si="102"/>
        <v>1</v>
      </c>
      <c r="F1148" s="1">
        <f>_xlfn.XLOOKUP($C1148, 'Instrument Table'!$B:$B, 'Instrument Table'!$A:$A, "")</f>
        <v>20</v>
      </c>
      <c r="G1148" s="1" t="str">
        <f>TEXT(IF($B1148 = "Retail Item", IF((ROW($A1148) - 4504 - _xlfn.XMATCH($C1148, $C$4506:$C$5005, 0, 1)) &lt;= VLOOKUP($C1148, 'Instrument Table'!$B:$D, 3, FALSE), ROW($A1148) - 4504 - _xlfn.XMATCH($C1148, $C$4506:$C$5005, 0, 1), 0), 0), "00")</f>
        <v>00</v>
      </c>
      <c r="H1148" s="1" t="str">
        <f t="shared" si="103"/>
        <v>192</v>
      </c>
      <c r="I1148" s="1" t="str">
        <f t="shared" si="104"/>
        <v>12000-192</v>
      </c>
      <c r="J1148" s="1" t="str">
        <f t="shared" si="105"/>
        <v>Violin production item #192</v>
      </c>
      <c r="K1148" s="1" t="str">
        <f>IF(SUM(COUNTIFS(I:I, I1148)) &gt; 1, "DUPLICATE", "UNIQUE")</f>
        <v>UNIQUE</v>
      </c>
      <c r="L1148" s="18">
        <v>1</v>
      </c>
      <c r="M1148" s="28">
        <v>80</v>
      </c>
      <c r="N1148" s="6">
        <v>100</v>
      </c>
      <c r="O1148" s="30">
        <f t="shared" si="106"/>
        <v>80</v>
      </c>
      <c r="P1148" s="30">
        <f t="shared" si="107"/>
        <v>8000</v>
      </c>
      <c r="Q1148" s="1">
        <f>COUNTIFS($P:$P, "&gt;" &amp; $P1148) + 1</f>
        <v>1985</v>
      </c>
      <c r="R1148" s="63">
        <f>(COUNTIFS($P:$P, "&gt;" &amp; $P1148) + 1) / (COUNTA($I:$I) - 1)</f>
        <v>0.39700000000000002</v>
      </c>
      <c r="S1148" s="23">
        <f>SUMIFS($P:$P, $Q:$Q, "&lt;" &amp; $Q1148)</f>
        <v>179876921</v>
      </c>
    </row>
    <row r="1149" spans="1:19" x14ac:dyDescent="0.25">
      <c r="A1149" s="1">
        <v>1144</v>
      </c>
      <c r="B1149" s="1" t="s">
        <v>2</v>
      </c>
      <c r="C1149" s="1" t="str">
        <f>IF($B1149 = "Production Item", _xlfn.XLOOKUP($A1149, 'Instrument Table'!$J:$J, 'Instrument Table'!$B:$B, $C1148), IF($B1149 = "Service Item", _xlfn.XLOOKUP($A1149, 'Instrument Table'!$I:$I, 'Instrument Table'!$B:$B, $C1148), _xlfn.XLOOKUP($A1149, 'Instrument Table'!$H:$H, 'Instrument Table'!$B:$B, $C1148)))</f>
        <v>Violin</v>
      </c>
      <c r="D1149" s="1" t="str">
        <f>VLOOKUP($C1149, 'Instrument Table'!$B:$C, 2, FALSE)</f>
        <v>Strings</v>
      </c>
      <c r="E1149" s="1">
        <f t="shared" si="102"/>
        <v>1</v>
      </c>
      <c r="F1149" s="1">
        <f>_xlfn.XLOOKUP($C1149, 'Instrument Table'!$B:$B, 'Instrument Table'!$A:$A, "")</f>
        <v>20</v>
      </c>
      <c r="G1149" s="1" t="str">
        <f>TEXT(IF($B1149 = "Retail Item", IF((ROW($A1149) - 4504 - _xlfn.XMATCH($C1149, $C$4506:$C$5005, 0, 1)) &lt;= VLOOKUP($C1149, 'Instrument Table'!$B:$D, 3, FALSE), ROW($A1149) - 4504 - _xlfn.XMATCH($C1149, $C$4506:$C$5005, 0, 1), 0), 0), "00")</f>
        <v>00</v>
      </c>
      <c r="H1149" s="1" t="str">
        <f t="shared" si="103"/>
        <v>193</v>
      </c>
      <c r="I1149" s="1" t="str">
        <f t="shared" si="104"/>
        <v>12000-193</v>
      </c>
      <c r="J1149" s="1" t="str">
        <f t="shared" si="105"/>
        <v>Violin production item #193</v>
      </c>
      <c r="K1149" s="1" t="str">
        <f>IF(SUM(COUNTIFS(I:I, I1149)) &gt; 1, "DUPLICATE", "UNIQUE")</f>
        <v>UNIQUE</v>
      </c>
      <c r="L1149" s="18">
        <v>0</v>
      </c>
      <c r="M1149" s="28">
        <v>79</v>
      </c>
      <c r="N1149" s="6">
        <v>324</v>
      </c>
      <c r="O1149" s="30">
        <f t="shared" si="106"/>
        <v>0</v>
      </c>
      <c r="P1149" s="30">
        <f t="shared" si="107"/>
        <v>25596</v>
      </c>
      <c r="Q1149" s="1">
        <f>COUNTIFS($P:$P, "&gt;" &amp; $P1149) + 1</f>
        <v>810</v>
      </c>
      <c r="R1149" s="63">
        <f>(COUNTIFS($P:$P, "&gt;" &amp; $P1149) + 1) / (COUNTA($I:$I) - 1)</f>
        <v>0.16200000000000001</v>
      </c>
      <c r="S1149" s="23">
        <f>SUMIFS($P:$P, $Q:$Q, "&lt;" &amp; $Q1149)</f>
        <v>162084341</v>
      </c>
    </row>
    <row r="1150" spans="1:19" x14ac:dyDescent="0.25">
      <c r="A1150" s="1">
        <v>1145</v>
      </c>
      <c r="B1150" s="1" t="s">
        <v>2</v>
      </c>
      <c r="C1150" s="1" t="str">
        <f>IF($B1150 = "Production Item", _xlfn.XLOOKUP($A1150, 'Instrument Table'!$J:$J, 'Instrument Table'!$B:$B, $C1149), IF($B1150 = "Service Item", _xlfn.XLOOKUP($A1150, 'Instrument Table'!$I:$I, 'Instrument Table'!$B:$B, $C1149), _xlfn.XLOOKUP($A1150, 'Instrument Table'!$H:$H, 'Instrument Table'!$B:$B, $C1149)))</f>
        <v>Violin</v>
      </c>
      <c r="D1150" s="1" t="str">
        <f>VLOOKUP($C1150, 'Instrument Table'!$B:$C, 2, FALSE)</f>
        <v>Strings</v>
      </c>
      <c r="E1150" s="1">
        <f t="shared" si="102"/>
        <v>1</v>
      </c>
      <c r="F1150" s="1">
        <f>_xlfn.XLOOKUP($C1150, 'Instrument Table'!$B:$B, 'Instrument Table'!$A:$A, "")</f>
        <v>20</v>
      </c>
      <c r="G1150" s="1" t="str">
        <f>TEXT(IF($B1150 = "Retail Item", IF((ROW($A1150) - 4504 - _xlfn.XMATCH($C1150, $C$4506:$C$5005, 0, 1)) &lt;= VLOOKUP($C1150, 'Instrument Table'!$B:$D, 3, FALSE), ROW($A1150) - 4504 - _xlfn.XMATCH($C1150, $C$4506:$C$5005, 0, 1), 0), 0), "00")</f>
        <v>00</v>
      </c>
      <c r="H1150" s="1" t="str">
        <f t="shared" si="103"/>
        <v>194</v>
      </c>
      <c r="I1150" s="1" t="str">
        <f t="shared" si="104"/>
        <v>12000-194</v>
      </c>
      <c r="J1150" s="1" t="str">
        <f t="shared" si="105"/>
        <v>Violin production item #194</v>
      </c>
      <c r="K1150" s="1" t="str">
        <f>IF(SUM(COUNTIFS(I:I, I1150)) &gt; 1, "DUPLICATE", "UNIQUE")</f>
        <v>UNIQUE</v>
      </c>
      <c r="L1150" s="18">
        <v>0</v>
      </c>
      <c r="M1150" s="28">
        <v>33</v>
      </c>
      <c r="N1150" s="6">
        <v>81</v>
      </c>
      <c r="O1150" s="30">
        <f t="shared" si="106"/>
        <v>0</v>
      </c>
      <c r="P1150" s="30">
        <f t="shared" si="107"/>
        <v>2673</v>
      </c>
      <c r="Q1150" s="1">
        <f>COUNTIFS($P:$P, "&gt;" &amp; $P1150) + 1</f>
        <v>2990</v>
      </c>
      <c r="R1150" s="63">
        <f>(COUNTIFS($P:$P, "&gt;" &amp; $P1150) + 1) / (COUNTA($I:$I) - 1)</f>
        <v>0.59799999999999998</v>
      </c>
      <c r="S1150" s="23">
        <f>SUMIFS($P:$P, $Q:$Q, "&lt;" &amp; $Q1150)</f>
        <v>184905466</v>
      </c>
    </row>
    <row r="1151" spans="1:19" x14ac:dyDescent="0.25">
      <c r="A1151" s="1">
        <v>1146</v>
      </c>
      <c r="B1151" s="1" t="s">
        <v>2</v>
      </c>
      <c r="C1151" s="1" t="str">
        <f>IF($B1151 = "Production Item", _xlfn.XLOOKUP($A1151, 'Instrument Table'!$J:$J, 'Instrument Table'!$B:$B, $C1150), IF($B1151 = "Service Item", _xlfn.XLOOKUP($A1151, 'Instrument Table'!$I:$I, 'Instrument Table'!$B:$B, $C1150), _xlfn.XLOOKUP($A1151, 'Instrument Table'!$H:$H, 'Instrument Table'!$B:$B, $C1150)))</f>
        <v>Violin</v>
      </c>
      <c r="D1151" s="1" t="str">
        <f>VLOOKUP($C1151, 'Instrument Table'!$B:$C, 2, FALSE)</f>
        <v>Strings</v>
      </c>
      <c r="E1151" s="1">
        <f t="shared" si="102"/>
        <v>1</v>
      </c>
      <c r="F1151" s="1">
        <f>_xlfn.XLOOKUP($C1151, 'Instrument Table'!$B:$B, 'Instrument Table'!$A:$A, "")</f>
        <v>20</v>
      </c>
      <c r="G1151" s="1" t="str">
        <f>TEXT(IF($B1151 = "Retail Item", IF((ROW($A1151) - 4504 - _xlfn.XMATCH($C1151, $C$4506:$C$5005, 0, 1)) &lt;= VLOOKUP($C1151, 'Instrument Table'!$B:$D, 3, FALSE), ROW($A1151) - 4504 - _xlfn.XMATCH($C1151, $C$4506:$C$5005, 0, 1), 0), 0), "00")</f>
        <v>00</v>
      </c>
      <c r="H1151" s="1" t="str">
        <f t="shared" si="103"/>
        <v>195</v>
      </c>
      <c r="I1151" s="1" t="str">
        <f t="shared" si="104"/>
        <v>12000-195</v>
      </c>
      <c r="J1151" s="1" t="str">
        <f t="shared" si="105"/>
        <v>Violin production item #195</v>
      </c>
      <c r="K1151" s="1" t="str">
        <f>IF(SUM(COUNTIFS(I:I, I1151)) &gt; 1, "DUPLICATE", "UNIQUE")</f>
        <v>UNIQUE</v>
      </c>
      <c r="L1151" s="18">
        <v>0</v>
      </c>
      <c r="M1151" s="28">
        <v>47</v>
      </c>
      <c r="N1151" s="6">
        <v>9</v>
      </c>
      <c r="O1151" s="30">
        <f t="shared" si="106"/>
        <v>0</v>
      </c>
      <c r="P1151" s="30">
        <f t="shared" si="107"/>
        <v>423</v>
      </c>
      <c r="Q1151" s="1">
        <f>COUNTIFS($P:$P, "&gt;" &amp; $P1151) + 1</f>
        <v>4082</v>
      </c>
      <c r="R1151" s="63">
        <f>(COUNTIFS($P:$P, "&gt;" &amp; $P1151) + 1) / (COUNTA($I:$I) - 1)</f>
        <v>0.81640000000000001</v>
      </c>
      <c r="S1151" s="23">
        <f>SUMIFS($P:$P, $Q:$Q, "&lt;" &amp; $Q1151)</f>
        <v>186437595</v>
      </c>
    </row>
    <row r="1152" spans="1:19" x14ac:dyDescent="0.25">
      <c r="A1152" s="1">
        <v>1147</v>
      </c>
      <c r="B1152" s="1" t="s">
        <v>2</v>
      </c>
      <c r="C1152" s="1" t="str">
        <f>IF($B1152 = "Production Item", _xlfn.XLOOKUP($A1152, 'Instrument Table'!$J:$J, 'Instrument Table'!$B:$B, $C1151), IF($B1152 = "Service Item", _xlfn.XLOOKUP($A1152, 'Instrument Table'!$I:$I, 'Instrument Table'!$B:$B, $C1151), _xlfn.XLOOKUP($A1152, 'Instrument Table'!$H:$H, 'Instrument Table'!$B:$B, $C1151)))</f>
        <v>Violin</v>
      </c>
      <c r="D1152" s="1" t="str">
        <f>VLOOKUP($C1152, 'Instrument Table'!$B:$C, 2, FALSE)</f>
        <v>Strings</v>
      </c>
      <c r="E1152" s="1">
        <f t="shared" si="102"/>
        <v>1</v>
      </c>
      <c r="F1152" s="1">
        <f>_xlfn.XLOOKUP($C1152, 'Instrument Table'!$B:$B, 'Instrument Table'!$A:$A, "")</f>
        <v>20</v>
      </c>
      <c r="G1152" s="1" t="str">
        <f>TEXT(IF($B1152 = "Retail Item", IF((ROW($A1152) - 4504 - _xlfn.XMATCH($C1152, $C$4506:$C$5005, 0, 1)) &lt;= VLOOKUP($C1152, 'Instrument Table'!$B:$D, 3, FALSE), ROW($A1152) - 4504 - _xlfn.XMATCH($C1152, $C$4506:$C$5005, 0, 1), 0), 0), "00")</f>
        <v>00</v>
      </c>
      <c r="H1152" s="1" t="str">
        <f t="shared" si="103"/>
        <v>196</v>
      </c>
      <c r="I1152" s="1" t="str">
        <f t="shared" si="104"/>
        <v>12000-196</v>
      </c>
      <c r="J1152" s="1" t="str">
        <f t="shared" si="105"/>
        <v>Violin production item #196</v>
      </c>
      <c r="K1152" s="1" t="str">
        <f>IF(SUM(COUNTIFS(I:I, I1152)) &gt; 1, "DUPLICATE", "UNIQUE")</f>
        <v>UNIQUE</v>
      </c>
      <c r="L1152" s="18">
        <v>0</v>
      </c>
      <c r="M1152" s="28">
        <v>31</v>
      </c>
      <c r="N1152" s="6">
        <v>36</v>
      </c>
      <c r="O1152" s="30">
        <f t="shared" si="106"/>
        <v>0</v>
      </c>
      <c r="P1152" s="30">
        <f t="shared" si="107"/>
        <v>1116</v>
      </c>
      <c r="Q1152" s="1">
        <f>COUNTIFS($P:$P, "&gt;" &amp; $P1152) + 1</f>
        <v>3646</v>
      </c>
      <c r="R1152" s="63">
        <f>(COUNTIFS($P:$P, "&gt;" &amp; $P1152) + 1) / (COUNTA($I:$I) - 1)</f>
        <v>0.72919999999999996</v>
      </c>
      <c r="S1152" s="23">
        <f>SUMIFS($P:$P, $Q:$Q, "&lt;" &amp; $Q1152)</f>
        <v>186123383</v>
      </c>
    </row>
    <row r="1153" spans="1:19" x14ac:dyDescent="0.25">
      <c r="A1153" s="1">
        <v>1148</v>
      </c>
      <c r="B1153" s="1" t="s">
        <v>2</v>
      </c>
      <c r="C1153" s="1" t="str">
        <f>IF($B1153 = "Production Item", _xlfn.XLOOKUP($A1153, 'Instrument Table'!$J:$J, 'Instrument Table'!$B:$B, $C1152), IF($B1153 = "Service Item", _xlfn.XLOOKUP($A1153, 'Instrument Table'!$I:$I, 'Instrument Table'!$B:$B, $C1152), _xlfn.XLOOKUP($A1153, 'Instrument Table'!$H:$H, 'Instrument Table'!$B:$B, $C1152)))</f>
        <v>Violin</v>
      </c>
      <c r="D1153" s="1" t="str">
        <f>VLOOKUP($C1153, 'Instrument Table'!$B:$C, 2, FALSE)</f>
        <v>Strings</v>
      </c>
      <c r="E1153" s="1">
        <f t="shared" si="102"/>
        <v>1</v>
      </c>
      <c r="F1153" s="1">
        <f>_xlfn.XLOOKUP($C1153, 'Instrument Table'!$B:$B, 'Instrument Table'!$A:$A, "")</f>
        <v>20</v>
      </c>
      <c r="G1153" s="1" t="str">
        <f>TEXT(IF($B1153 = "Retail Item", IF((ROW($A1153) - 4504 - _xlfn.XMATCH($C1153, $C$4506:$C$5005, 0, 1)) &lt;= VLOOKUP($C1153, 'Instrument Table'!$B:$D, 3, FALSE), ROW($A1153) - 4504 - _xlfn.XMATCH($C1153, $C$4506:$C$5005, 0, 1), 0), 0), "00")</f>
        <v>00</v>
      </c>
      <c r="H1153" s="1" t="str">
        <f t="shared" si="103"/>
        <v>197</v>
      </c>
      <c r="I1153" s="1" t="str">
        <f t="shared" si="104"/>
        <v>12000-197</v>
      </c>
      <c r="J1153" s="1" t="str">
        <f t="shared" si="105"/>
        <v>Violin production item #197</v>
      </c>
      <c r="K1153" s="1" t="str">
        <f>IF(SUM(COUNTIFS(I:I, I1153)) &gt; 1, "DUPLICATE", "UNIQUE")</f>
        <v>UNIQUE</v>
      </c>
      <c r="L1153" s="18">
        <v>2</v>
      </c>
      <c r="M1153" s="28">
        <v>37</v>
      </c>
      <c r="N1153" s="6">
        <v>1</v>
      </c>
      <c r="O1153" s="30">
        <f t="shared" si="106"/>
        <v>74</v>
      </c>
      <c r="P1153" s="30">
        <f t="shared" si="107"/>
        <v>37</v>
      </c>
      <c r="Q1153" s="1">
        <f>COUNTIFS($P:$P, "&gt;" &amp; $P1153) + 1</f>
        <v>4648</v>
      </c>
      <c r="R1153" s="63">
        <f>(COUNTIFS($P:$P, "&gt;" &amp; $P1153) + 1) / (COUNTA($I:$I) - 1)</f>
        <v>0.92959999999999998</v>
      </c>
      <c r="S1153" s="23">
        <f>SUMIFS($P:$P, $Q:$Q, "&lt;" &amp; $Q1153)</f>
        <v>186545950</v>
      </c>
    </row>
    <row r="1154" spans="1:19" x14ac:dyDescent="0.25">
      <c r="A1154" s="1">
        <v>1149</v>
      </c>
      <c r="B1154" s="1" t="s">
        <v>2</v>
      </c>
      <c r="C1154" s="1" t="str">
        <f>IF($B1154 = "Production Item", _xlfn.XLOOKUP($A1154, 'Instrument Table'!$J:$J, 'Instrument Table'!$B:$B, $C1153), IF($B1154 = "Service Item", _xlfn.XLOOKUP($A1154, 'Instrument Table'!$I:$I, 'Instrument Table'!$B:$B, $C1153), _xlfn.XLOOKUP($A1154, 'Instrument Table'!$H:$H, 'Instrument Table'!$B:$B, $C1153)))</f>
        <v>Violin</v>
      </c>
      <c r="D1154" s="1" t="str">
        <f>VLOOKUP($C1154, 'Instrument Table'!$B:$C, 2, FALSE)</f>
        <v>Strings</v>
      </c>
      <c r="E1154" s="1">
        <f t="shared" si="102"/>
        <v>1</v>
      </c>
      <c r="F1154" s="1">
        <f>_xlfn.XLOOKUP($C1154, 'Instrument Table'!$B:$B, 'Instrument Table'!$A:$A, "")</f>
        <v>20</v>
      </c>
      <c r="G1154" s="1" t="str">
        <f>TEXT(IF($B1154 = "Retail Item", IF((ROW($A1154) - 4504 - _xlfn.XMATCH($C1154, $C$4506:$C$5005, 0, 1)) &lt;= VLOOKUP($C1154, 'Instrument Table'!$B:$D, 3, FALSE), ROW($A1154) - 4504 - _xlfn.XMATCH($C1154, $C$4506:$C$5005, 0, 1), 0), 0), "00")</f>
        <v>00</v>
      </c>
      <c r="H1154" s="1" t="str">
        <f t="shared" si="103"/>
        <v>198</v>
      </c>
      <c r="I1154" s="1" t="str">
        <f t="shared" si="104"/>
        <v>12000-198</v>
      </c>
      <c r="J1154" s="1" t="str">
        <f t="shared" si="105"/>
        <v>Violin production item #198</v>
      </c>
      <c r="K1154" s="1" t="str">
        <f>IF(SUM(COUNTIFS(I:I, I1154)) &gt; 1, "DUPLICATE", "UNIQUE")</f>
        <v>UNIQUE</v>
      </c>
      <c r="L1154" s="18">
        <v>2</v>
      </c>
      <c r="M1154" s="28">
        <v>89</v>
      </c>
      <c r="N1154" s="6">
        <v>25</v>
      </c>
      <c r="O1154" s="30">
        <f t="shared" si="106"/>
        <v>178</v>
      </c>
      <c r="P1154" s="30">
        <f t="shared" si="107"/>
        <v>2225</v>
      </c>
      <c r="Q1154" s="1">
        <f>COUNTIFS($P:$P, "&gt;" &amp; $P1154) + 1</f>
        <v>3166</v>
      </c>
      <c r="R1154" s="63">
        <f>(COUNTIFS($P:$P, "&gt;" &amp; $P1154) + 1) / (COUNTA($I:$I) - 1)</f>
        <v>0.63319999999999999</v>
      </c>
      <c r="S1154" s="23">
        <f>SUMIFS($P:$P, $Q:$Q, "&lt;" &amp; $Q1154)</f>
        <v>185334165</v>
      </c>
    </row>
    <row r="1155" spans="1:19" x14ac:dyDescent="0.25">
      <c r="A1155" s="1">
        <v>1150</v>
      </c>
      <c r="B1155" s="1" t="s">
        <v>2</v>
      </c>
      <c r="C1155" s="1" t="str">
        <f>IF($B1155 = "Production Item", _xlfn.XLOOKUP($A1155, 'Instrument Table'!$J:$J, 'Instrument Table'!$B:$B, $C1154), IF($B1155 = "Service Item", _xlfn.XLOOKUP($A1155, 'Instrument Table'!$I:$I, 'Instrument Table'!$B:$B, $C1154), _xlfn.XLOOKUP($A1155, 'Instrument Table'!$H:$H, 'Instrument Table'!$B:$B, $C1154)))</f>
        <v>Violin</v>
      </c>
      <c r="D1155" s="1" t="str">
        <f>VLOOKUP($C1155, 'Instrument Table'!$B:$C, 2, FALSE)</f>
        <v>Strings</v>
      </c>
      <c r="E1155" s="1">
        <f t="shared" si="102"/>
        <v>1</v>
      </c>
      <c r="F1155" s="1">
        <f>_xlfn.XLOOKUP($C1155, 'Instrument Table'!$B:$B, 'Instrument Table'!$A:$A, "")</f>
        <v>20</v>
      </c>
      <c r="G1155" s="1" t="str">
        <f>TEXT(IF($B1155 = "Retail Item", IF((ROW($A1155) - 4504 - _xlfn.XMATCH($C1155, $C$4506:$C$5005, 0, 1)) &lt;= VLOOKUP($C1155, 'Instrument Table'!$B:$D, 3, FALSE), ROW($A1155) - 4504 - _xlfn.XMATCH($C1155, $C$4506:$C$5005, 0, 1), 0), 0), "00")</f>
        <v>00</v>
      </c>
      <c r="H1155" s="1" t="str">
        <f t="shared" si="103"/>
        <v>199</v>
      </c>
      <c r="I1155" s="1" t="str">
        <f t="shared" si="104"/>
        <v>12000-199</v>
      </c>
      <c r="J1155" s="1" t="str">
        <f t="shared" si="105"/>
        <v>Violin production item #199</v>
      </c>
      <c r="K1155" s="1" t="str">
        <f>IF(SUM(COUNTIFS(I:I, I1155)) &gt; 1, "DUPLICATE", "UNIQUE")</f>
        <v>UNIQUE</v>
      </c>
      <c r="L1155" s="18">
        <v>4</v>
      </c>
      <c r="M1155" s="28">
        <v>65</v>
      </c>
      <c r="N1155" s="6">
        <v>121</v>
      </c>
      <c r="O1155" s="30">
        <f t="shared" si="106"/>
        <v>260</v>
      </c>
      <c r="P1155" s="30">
        <f t="shared" si="107"/>
        <v>7865</v>
      </c>
      <c r="Q1155" s="1">
        <f>COUNTIFS($P:$P, "&gt;" &amp; $P1155) + 1</f>
        <v>2005</v>
      </c>
      <c r="R1155" s="63">
        <f>(COUNTIFS($P:$P, "&gt;" &amp; $P1155) + 1) / (COUNTA($I:$I) - 1)</f>
        <v>0.40100000000000002</v>
      </c>
      <c r="S1155" s="23">
        <f>SUMIFS($P:$P, $Q:$Q, "&lt;" &amp; $Q1155)</f>
        <v>180035995</v>
      </c>
    </row>
    <row r="1156" spans="1:19" x14ac:dyDescent="0.25">
      <c r="A1156" s="1">
        <v>1151</v>
      </c>
      <c r="B1156" s="1" t="s">
        <v>2</v>
      </c>
      <c r="C1156" s="1" t="str">
        <f>IF($B1156 = "Production Item", _xlfn.XLOOKUP($A1156, 'Instrument Table'!$J:$J, 'Instrument Table'!$B:$B, $C1155), IF($B1156 = "Service Item", _xlfn.XLOOKUP($A1156, 'Instrument Table'!$I:$I, 'Instrument Table'!$B:$B, $C1155), _xlfn.XLOOKUP($A1156, 'Instrument Table'!$H:$H, 'Instrument Table'!$B:$B, $C1155)))</f>
        <v>Violin</v>
      </c>
      <c r="D1156" s="1" t="str">
        <f>VLOOKUP($C1156, 'Instrument Table'!$B:$C, 2, FALSE)</f>
        <v>Strings</v>
      </c>
      <c r="E1156" s="1">
        <f t="shared" si="102"/>
        <v>1</v>
      </c>
      <c r="F1156" s="1">
        <f>_xlfn.XLOOKUP($C1156, 'Instrument Table'!$B:$B, 'Instrument Table'!$A:$A, "")</f>
        <v>20</v>
      </c>
      <c r="G1156" s="1" t="str">
        <f>TEXT(IF($B1156 = "Retail Item", IF((ROW($A1156) - 4504 - _xlfn.XMATCH($C1156, $C$4506:$C$5005, 0, 1)) &lt;= VLOOKUP($C1156, 'Instrument Table'!$B:$D, 3, FALSE), ROW($A1156) - 4504 - _xlfn.XMATCH($C1156, $C$4506:$C$5005, 0, 1), 0), 0), "00")</f>
        <v>00</v>
      </c>
      <c r="H1156" s="1" t="str">
        <f t="shared" si="103"/>
        <v>200</v>
      </c>
      <c r="I1156" s="1" t="str">
        <f t="shared" si="104"/>
        <v>12000-200</v>
      </c>
      <c r="J1156" s="1" t="str">
        <f t="shared" si="105"/>
        <v>Violin production item #200</v>
      </c>
      <c r="K1156" s="1" t="str">
        <f>IF(SUM(COUNTIFS(I:I, I1156)) &gt; 1, "DUPLICATE", "UNIQUE")</f>
        <v>UNIQUE</v>
      </c>
      <c r="L1156" s="18">
        <v>0</v>
      </c>
      <c r="M1156" s="28">
        <v>29</v>
      </c>
      <c r="N1156" s="6">
        <v>100</v>
      </c>
      <c r="O1156" s="30">
        <f t="shared" si="106"/>
        <v>0</v>
      </c>
      <c r="P1156" s="30">
        <f t="shared" si="107"/>
        <v>2900</v>
      </c>
      <c r="Q1156" s="1">
        <f>COUNTIFS($P:$P, "&gt;" &amp; $P1156) + 1</f>
        <v>2933</v>
      </c>
      <c r="R1156" s="63">
        <f>(COUNTIFS($P:$P, "&gt;" &amp; $P1156) + 1) / (COUNTA($I:$I) - 1)</f>
        <v>0.58660000000000001</v>
      </c>
      <c r="S1156" s="23">
        <f>SUMIFS($P:$P, $Q:$Q, "&lt;" &amp; $Q1156)</f>
        <v>184746065</v>
      </c>
    </row>
    <row r="1157" spans="1:19" x14ac:dyDescent="0.25">
      <c r="A1157" s="1">
        <v>1152</v>
      </c>
      <c r="B1157" s="1" t="s">
        <v>2</v>
      </c>
      <c r="C1157" s="1" t="str">
        <f>IF($B1157 = "Production Item", _xlfn.XLOOKUP($A1157, 'Instrument Table'!$J:$J, 'Instrument Table'!$B:$B, $C1156), IF($B1157 = "Service Item", _xlfn.XLOOKUP($A1157, 'Instrument Table'!$I:$I, 'Instrument Table'!$B:$B, $C1156), _xlfn.XLOOKUP($A1157, 'Instrument Table'!$H:$H, 'Instrument Table'!$B:$B, $C1156)))</f>
        <v>Violin</v>
      </c>
      <c r="D1157" s="1" t="str">
        <f>VLOOKUP($C1157, 'Instrument Table'!$B:$C, 2, FALSE)</f>
        <v>Strings</v>
      </c>
      <c r="E1157" s="1">
        <f t="shared" si="102"/>
        <v>1</v>
      </c>
      <c r="F1157" s="1">
        <f>_xlfn.XLOOKUP($C1157, 'Instrument Table'!$B:$B, 'Instrument Table'!$A:$A, "")</f>
        <v>20</v>
      </c>
      <c r="G1157" s="1" t="str">
        <f>TEXT(IF($B1157 = "Retail Item", IF((ROW($A1157) - 4504 - _xlfn.XMATCH($C1157, $C$4506:$C$5005, 0, 1)) &lt;= VLOOKUP($C1157, 'Instrument Table'!$B:$D, 3, FALSE), ROW($A1157) - 4504 - _xlfn.XMATCH($C1157, $C$4506:$C$5005, 0, 1), 0), 0), "00")</f>
        <v>00</v>
      </c>
      <c r="H1157" s="1" t="str">
        <f t="shared" si="103"/>
        <v>201</v>
      </c>
      <c r="I1157" s="1" t="str">
        <f t="shared" si="104"/>
        <v>12000-201</v>
      </c>
      <c r="J1157" s="1" t="str">
        <f t="shared" si="105"/>
        <v>Violin production item #201</v>
      </c>
      <c r="K1157" s="1" t="str">
        <f>IF(SUM(COUNTIFS(I:I, I1157)) &gt; 1, "DUPLICATE", "UNIQUE")</f>
        <v>UNIQUE</v>
      </c>
      <c r="L1157" s="18">
        <v>8</v>
      </c>
      <c r="M1157" s="28">
        <v>22</v>
      </c>
      <c r="N1157" s="6">
        <v>289</v>
      </c>
      <c r="O1157" s="30">
        <f t="shared" si="106"/>
        <v>176</v>
      </c>
      <c r="P1157" s="30">
        <f t="shared" si="107"/>
        <v>6358</v>
      </c>
      <c r="Q1157" s="1">
        <f>COUNTIFS($P:$P, "&gt;" &amp; $P1157) + 1</f>
        <v>2223</v>
      </c>
      <c r="R1157" s="63">
        <f>(COUNTIFS($P:$P, "&gt;" &amp; $P1157) + 1) / (COUNTA($I:$I) - 1)</f>
        <v>0.4446</v>
      </c>
      <c r="S1157" s="23">
        <f>SUMIFS($P:$P, $Q:$Q, "&lt;" &amp; $Q1157)</f>
        <v>181600040</v>
      </c>
    </row>
    <row r="1158" spans="1:19" x14ac:dyDescent="0.25">
      <c r="A1158" s="1">
        <v>1153</v>
      </c>
      <c r="B1158" s="1" t="s">
        <v>2</v>
      </c>
      <c r="C1158" s="1" t="str">
        <f>IF($B1158 = "Production Item", _xlfn.XLOOKUP($A1158, 'Instrument Table'!$J:$J, 'Instrument Table'!$B:$B, $C1157), IF($B1158 = "Service Item", _xlfn.XLOOKUP($A1158, 'Instrument Table'!$I:$I, 'Instrument Table'!$B:$B, $C1157), _xlfn.XLOOKUP($A1158, 'Instrument Table'!$H:$H, 'Instrument Table'!$B:$B, $C1157)))</f>
        <v>Violin</v>
      </c>
      <c r="D1158" s="1" t="str">
        <f>VLOOKUP($C1158, 'Instrument Table'!$B:$C, 2, FALSE)</f>
        <v>Strings</v>
      </c>
      <c r="E1158" s="1">
        <f t="shared" si="102"/>
        <v>1</v>
      </c>
      <c r="F1158" s="1">
        <f>_xlfn.XLOOKUP($C1158, 'Instrument Table'!$B:$B, 'Instrument Table'!$A:$A, "")</f>
        <v>20</v>
      </c>
      <c r="G1158" s="1" t="str">
        <f>TEXT(IF($B1158 = "Retail Item", IF((ROW($A1158) - 4504 - _xlfn.XMATCH($C1158, $C$4506:$C$5005, 0, 1)) &lt;= VLOOKUP($C1158, 'Instrument Table'!$B:$D, 3, FALSE), ROW($A1158) - 4504 - _xlfn.XMATCH($C1158, $C$4506:$C$5005, 0, 1), 0), 0), "00")</f>
        <v>00</v>
      </c>
      <c r="H1158" s="1" t="str">
        <f t="shared" si="103"/>
        <v>202</v>
      </c>
      <c r="I1158" s="1" t="str">
        <f t="shared" si="104"/>
        <v>12000-202</v>
      </c>
      <c r="J1158" s="1" t="str">
        <f t="shared" si="105"/>
        <v>Violin production item #202</v>
      </c>
      <c r="K1158" s="1" t="str">
        <f>IF(SUM(COUNTIFS(I:I, I1158)) &gt; 1, "DUPLICATE", "UNIQUE")</f>
        <v>UNIQUE</v>
      </c>
      <c r="L1158" s="18">
        <v>1</v>
      </c>
      <c r="M1158" s="28">
        <v>74</v>
      </c>
      <c r="N1158" s="6">
        <v>81</v>
      </c>
      <c r="O1158" s="30">
        <f t="shared" si="106"/>
        <v>74</v>
      </c>
      <c r="P1158" s="30">
        <f t="shared" si="107"/>
        <v>5994</v>
      </c>
      <c r="Q1158" s="1">
        <f>COUNTIFS($P:$P, "&gt;" &amp; $P1158) + 1</f>
        <v>2270</v>
      </c>
      <c r="R1158" s="63">
        <f>(COUNTIFS($P:$P, "&gt;" &amp; $P1158) + 1) / (COUNTA($I:$I) - 1)</f>
        <v>0.45400000000000001</v>
      </c>
      <c r="S1158" s="23">
        <f>SUMIFS($P:$P, $Q:$Q, "&lt;" &amp; $Q1158)</f>
        <v>181887858</v>
      </c>
    </row>
    <row r="1159" spans="1:19" x14ac:dyDescent="0.25">
      <c r="A1159" s="1">
        <v>1154</v>
      </c>
      <c r="B1159" s="1" t="s">
        <v>2</v>
      </c>
      <c r="C1159" s="1" t="str">
        <f>IF($B1159 = "Production Item", _xlfn.XLOOKUP($A1159, 'Instrument Table'!$J:$J, 'Instrument Table'!$B:$B, $C1158), IF($B1159 = "Service Item", _xlfn.XLOOKUP($A1159, 'Instrument Table'!$I:$I, 'Instrument Table'!$B:$B, $C1158), _xlfn.XLOOKUP($A1159, 'Instrument Table'!$H:$H, 'Instrument Table'!$B:$B, $C1158)))</f>
        <v>Violin</v>
      </c>
      <c r="D1159" s="1" t="str">
        <f>VLOOKUP($C1159, 'Instrument Table'!$B:$C, 2, FALSE)</f>
        <v>Strings</v>
      </c>
      <c r="E1159" s="1">
        <f t="shared" ref="E1159:E1222" si="108">IF($B1159 = "Production Item", 1, IF($B1159 = "Service Item", 2, IF($B1159 = "Retail Item", 3, "")))</f>
        <v>1</v>
      </c>
      <c r="F1159" s="1">
        <f>_xlfn.XLOOKUP($C1159, 'Instrument Table'!$B:$B, 'Instrument Table'!$A:$A, "")</f>
        <v>20</v>
      </c>
      <c r="G1159" s="1" t="str">
        <f>TEXT(IF($B1159 = "Retail Item", IF((ROW($A1159) - 4504 - _xlfn.XMATCH($C1159, $C$4506:$C$5005, 0, 1)) &lt;= VLOOKUP($C1159, 'Instrument Table'!$B:$D, 3, FALSE), ROW($A1159) - 4504 - _xlfn.XMATCH($C1159, $C$4506:$C$5005, 0, 1), 0), 0), "00")</f>
        <v>00</v>
      </c>
      <c r="H1159" s="1" t="str">
        <f t="shared" ref="H1159:H1222" si="109">TEXT(IF($E1159 &amp; $F1159 &amp; $G1159 = $E1158 &amp; $F1158 &amp; $G1158, 1 + H1158, 0), "000")</f>
        <v>203</v>
      </c>
      <c r="I1159" s="1" t="str">
        <f t="shared" ref="I1159:I1222" si="110" xml:space="preserve"> _xlfn.CONCAT($E1159, $F1159, $G1159, "-", H1159)</f>
        <v>12000-203</v>
      </c>
      <c r="J1159" s="1" t="str">
        <f t="shared" ref="J1159:J1222" si="111">LEFT($C1159, 1) &amp; LOWER(RIGHT($C1159, LEN($C1159) - 1)) &amp; IF(AND($G1159 &lt;&gt; "00", $B1159 = "Retail Item"), " model #" &amp; $G1159, " " &amp; LOWER($B1159) &amp; " #" &amp; $H1159)</f>
        <v>Violin production item #203</v>
      </c>
      <c r="K1159" s="1" t="str">
        <f>IF(SUM(COUNTIFS(I:I, I1159)) &gt; 1, "DUPLICATE", "UNIQUE")</f>
        <v>UNIQUE</v>
      </c>
      <c r="L1159" s="18">
        <v>16</v>
      </c>
      <c r="M1159" s="28">
        <v>7</v>
      </c>
      <c r="N1159" s="6">
        <v>36</v>
      </c>
      <c r="O1159" s="30">
        <f t="shared" ref="O1159:O1222" si="112">$L1159 * $M1159</f>
        <v>112</v>
      </c>
      <c r="P1159" s="30">
        <f t="shared" ref="P1159:P1222" si="113">$N1159 * $M1159</f>
        <v>252</v>
      </c>
      <c r="Q1159" s="1">
        <f>COUNTIFS($P:$P, "&gt;" &amp; $P1159) + 1</f>
        <v>4269</v>
      </c>
      <c r="R1159" s="63">
        <f>(COUNTIFS($P:$P, "&gt;" &amp; $P1159) + 1) / (COUNTA($I:$I) - 1)</f>
        <v>0.8538</v>
      </c>
      <c r="S1159" s="23">
        <f>SUMIFS($P:$P, $Q:$Q, "&lt;" &amp; $Q1159)</f>
        <v>186500011</v>
      </c>
    </row>
    <row r="1160" spans="1:19" x14ac:dyDescent="0.25">
      <c r="A1160" s="1">
        <v>1155</v>
      </c>
      <c r="B1160" s="1" t="s">
        <v>2</v>
      </c>
      <c r="C1160" s="1" t="str">
        <f>IF($B1160 = "Production Item", _xlfn.XLOOKUP($A1160, 'Instrument Table'!$J:$J, 'Instrument Table'!$B:$B, $C1159), IF($B1160 = "Service Item", _xlfn.XLOOKUP($A1160, 'Instrument Table'!$I:$I, 'Instrument Table'!$B:$B, $C1159), _xlfn.XLOOKUP($A1160, 'Instrument Table'!$H:$H, 'Instrument Table'!$B:$B, $C1159)))</f>
        <v>Violin</v>
      </c>
      <c r="D1160" s="1" t="str">
        <f>VLOOKUP($C1160, 'Instrument Table'!$B:$C, 2, FALSE)</f>
        <v>Strings</v>
      </c>
      <c r="E1160" s="1">
        <f t="shared" si="108"/>
        <v>1</v>
      </c>
      <c r="F1160" s="1">
        <f>_xlfn.XLOOKUP($C1160, 'Instrument Table'!$B:$B, 'Instrument Table'!$A:$A, "")</f>
        <v>20</v>
      </c>
      <c r="G1160" s="1" t="str">
        <f>TEXT(IF($B1160 = "Retail Item", IF((ROW($A1160) - 4504 - _xlfn.XMATCH($C1160, $C$4506:$C$5005, 0, 1)) &lt;= VLOOKUP($C1160, 'Instrument Table'!$B:$D, 3, FALSE), ROW($A1160) - 4504 - _xlfn.XMATCH($C1160, $C$4506:$C$5005, 0, 1), 0), 0), "00")</f>
        <v>00</v>
      </c>
      <c r="H1160" s="1" t="str">
        <f t="shared" si="109"/>
        <v>204</v>
      </c>
      <c r="I1160" s="1" t="str">
        <f t="shared" si="110"/>
        <v>12000-204</v>
      </c>
      <c r="J1160" s="1" t="str">
        <f t="shared" si="111"/>
        <v>Violin production item #204</v>
      </c>
      <c r="K1160" s="1" t="str">
        <f>IF(SUM(COUNTIFS(I:I, I1160)) &gt; 1, "DUPLICATE", "UNIQUE")</f>
        <v>UNIQUE</v>
      </c>
      <c r="L1160" s="18">
        <v>0</v>
      </c>
      <c r="M1160" s="28">
        <v>59</v>
      </c>
      <c r="N1160" s="6">
        <v>64</v>
      </c>
      <c r="O1160" s="30">
        <f t="shared" si="112"/>
        <v>0</v>
      </c>
      <c r="P1160" s="30">
        <f t="shared" si="113"/>
        <v>3776</v>
      </c>
      <c r="Q1160" s="1">
        <f>COUNTIFS($P:$P, "&gt;" &amp; $P1160) + 1</f>
        <v>2701</v>
      </c>
      <c r="R1160" s="63">
        <f>(COUNTIFS($P:$P, "&gt;" &amp; $P1160) + 1) / (COUNTA($I:$I) - 1)</f>
        <v>0.54020000000000001</v>
      </c>
      <c r="S1160" s="23">
        <f>SUMIFS($P:$P, $Q:$Q, "&lt;" &amp; $Q1160)</f>
        <v>183970533</v>
      </c>
    </row>
    <row r="1161" spans="1:19" x14ac:dyDescent="0.25">
      <c r="A1161" s="1">
        <v>1156</v>
      </c>
      <c r="B1161" s="1" t="s">
        <v>2</v>
      </c>
      <c r="C1161" s="1" t="str">
        <f>IF($B1161 = "Production Item", _xlfn.XLOOKUP($A1161, 'Instrument Table'!$J:$J, 'Instrument Table'!$B:$B, $C1160), IF($B1161 = "Service Item", _xlfn.XLOOKUP($A1161, 'Instrument Table'!$I:$I, 'Instrument Table'!$B:$B, $C1160), _xlfn.XLOOKUP($A1161, 'Instrument Table'!$H:$H, 'Instrument Table'!$B:$B, $C1160)))</f>
        <v>Violin</v>
      </c>
      <c r="D1161" s="1" t="str">
        <f>VLOOKUP($C1161, 'Instrument Table'!$B:$C, 2, FALSE)</f>
        <v>Strings</v>
      </c>
      <c r="E1161" s="1">
        <f t="shared" si="108"/>
        <v>1</v>
      </c>
      <c r="F1161" s="1">
        <f>_xlfn.XLOOKUP($C1161, 'Instrument Table'!$B:$B, 'Instrument Table'!$A:$A, "")</f>
        <v>20</v>
      </c>
      <c r="G1161" s="1" t="str">
        <f>TEXT(IF($B1161 = "Retail Item", IF((ROW($A1161) - 4504 - _xlfn.XMATCH($C1161, $C$4506:$C$5005, 0, 1)) &lt;= VLOOKUP($C1161, 'Instrument Table'!$B:$D, 3, FALSE), ROW($A1161) - 4504 - _xlfn.XMATCH($C1161, $C$4506:$C$5005, 0, 1), 0), 0), "00")</f>
        <v>00</v>
      </c>
      <c r="H1161" s="1" t="str">
        <f t="shared" si="109"/>
        <v>205</v>
      </c>
      <c r="I1161" s="1" t="str">
        <f t="shared" si="110"/>
        <v>12000-205</v>
      </c>
      <c r="J1161" s="1" t="str">
        <f t="shared" si="111"/>
        <v>Violin production item #205</v>
      </c>
      <c r="K1161" s="1" t="str">
        <f>IF(SUM(COUNTIFS(I:I, I1161)) &gt; 1, "DUPLICATE", "UNIQUE")</f>
        <v>UNIQUE</v>
      </c>
      <c r="L1161" s="18">
        <v>0</v>
      </c>
      <c r="M1161" s="28">
        <v>28</v>
      </c>
      <c r="N1161" s="6">
        <v>81</v>
      </c>
      <c r="O1161" s="30">
        <f t="shared" si="112"/>
        <v>0</v>
      </c>
      <c r="P1161" s="30">
        <f t="shared" si="113"/>
        <v>2268</v>
      </c>
      <c r="Q1161" s="1">
        <f>COUNTIFS($P:$P, "&gt;" &amp; $P1161) + 1</f>
        <v>3145</v>
      </c>
      <c r="R1161" s="63">
        <f>(COUNTIFS($P:$P, "&gt;" &amp; $P1161) + 1) / (COUNTA($I:$I) - 1)</f>
        <v>0.629</v>
      </c>
      <c r="S1161" s="23">
        <f>SUMIFS($P:$P, $Q:$Q, "&lt;" &amp; $Q1161)</f>
        <v>185286773</v>
      </c>
    </row>
    <row r="1162" spans="1:19" x14ac:dyDescent="0.25">
      <c r="A1162" s="1">
        <v>1157</v>
      </c>
      <c r="B1162" s="1" t="s">
        <v>2</v>
      </c>
      <c r="C1162" s="1" t="str">
        <f>IF($B1162 = "Production Item", _xlfn.XLOOKUP($A1162, 'Instrument Table'!$J:$J, 'Instrument Table'!$B:$B, $C1161), IF($B1162 = "Service Item", _xlfn.XLOOKUP($A1162, 'Instrument Table'!$I:$I, 'Instrument Table'!$B:$B, $C1161), _xlfn.XLOOKUP($A1162, 'Instrument Table'!$H:$H, 'Instrument Table'!$B:$B, $C1161)))</f>
        <v>Violin</v>
      </c>
      <c r="D1162" s="1" t="str">
        <f>VLOOKUP($C1162, 'Instrument Table'!$B:$C, 2, FALSE)</f>
        <v>Strings</v>
      </c>
      <c r="E1162" s="1">
        <f t="shared" si="108"/>
        <v>1</v>
      </c>
      <c r="F1162" s="1">
        <f>_xlfn.XLOOKUP($C1162, 'Instrument Table'!$B:$B, 'Instrument Table'!$A:$A, "")</f>
        <v>20</v>
      </c>
      <c r="G1162" s="1" t="str">
        <f>TEXT(IF($B1162 = "Retail Item", IF((ROW($A1162) - 4504 - _xlfn.XMATCH($C1162, $C$4506:$C$5005, 0, 1)) &lt;= VLOOKUP($C1162, 'Instrument Table'!$B:$D, 3, FALSE), ROW($A1162) - 4504 - _xlfn.XMATCH($C1162, $C$4506:$C$5005, 0, 1), 0), 0), "00")</f>
        <v>00</v>
      </c>
      <c r="H1162" s="1" t="str">
        <f t="shared" si="109"/>
        <v>206</v>
      </c>
      <c r="I1162" s="1" t="str">
        <f t="shared" si="110"/>
        <v>12000-206</v>
      </c>
      <c r="J1162" s="1" t="str">
        <f t="shared" si="111"/>
        <v>Violin production item #206</v>
      </c>
      <c r="K1162" s="1" t="str">
        <f>IF(SUM(COUNTIFS(I:I, I1162)) &gt; 1, "DUPLICATE", "UNIQUE")</f>
        <v>UNIQUE</v>
      </c>
      <c r="L1162" s="18">
        <v>1</v>
      </c>
      <c r="M1162" s="28">
        <v>54</v>
      </c>
      <c r="N1162" s="6">
        <v>361</v>
      </c>
      <c r="O1162" s="30">
        <f t="shared" si="112"/>
        <v>54</v>
      </c>
      <c r="P1162" s="30">
        <f t="shared" si="113"/>
        <v>19494</v>
      </c>
      <c r="Q1162" s="1">
        <f>COUNTIFS($P:$P, "&gt;" &amp; $P1162) + 1</f>
        <v>1079</v>
      </c>
      <c r="R1162" s="63">
        <f>(COUNTIFS($P:$P, "&gt;" &amp; $P1162) + 1) / (COUNTA($I:$I) - 1)</f>
        <v>0.21579999999999999</v>
      </c>
      <c r="S1162" s="23">
        <f>SUMIFS($P:$P, $Q:$Q, "&lt;" &amp; $Q1162)</f>
        <v>168098945</v>
      </c>
    </row>
    <row r="1163" spans="1:19" x14ac:dyDescent="0.25">
      <c r="A1163" s="1">
        <v>1158</v>
      </c>
      <c r="B1163" s="1" t="s">
        <v>2</v>
      </c>
      <c r="C1163" s="1" t="str">
        <f>IF($B1163 = "Production Item", _xlfn.XLOOKUP($A1163, 'Instrument Table'!$J:$J, 'Instrument Table'!$B:$B, $C1162), IF($B1163 = "Service Item", _xlfn.XLOOKUP($A1163, 'Instrument Table'!$I:$I, 'Instrument Table'!$B:$B, $C1162), _xlfn.XLOOKUP($A1163, 'Instrument Table'!$H:$H, 'Instrument Table'!$B:$B, $C1162)))</f>
        <v>Violin</v>
      </c>
      <c r="D1163" s="1" t="str">
        <f>VLOOKUP($C1163, 'Instrument Table'!$B:$C, 2, FALSE)</f>
        <v>Strings</v>
      </c>
      <c r="E1163" s="1">
        <f t="shared" si="108"/>
        <v>1</v>
      </c>
      <c r="F1163" s="1">
        <f>_xlfn.XLOOKUP($C1163, 'Instrument Table'!$B:$B, 'Instrument Table'!$A:$A, "")</f>
        <v>20</v>
      </c>
      <c r="G1163" s="1" t="str">
        <f>TEXT(IF($B1163 = "Retail Item", IF((ROW($A1163) - 4504 - _xlfn.XMATCH($C1163, $C$4506:$C$5005, 0, 1)) &lt;= VLOOKUP($C1163, 'Instrument Table'!$B:$D, 3, FALSE), ROW($A1163) - 4504 - _xlfn.XMATCH($C1163, $C$4506:$C$5005, 0, 1), 0), 0), "00")</f>
        <v>00</v>
      </c>
      <c r="H1163" s="1" t="str">
        <f t="shared" si="109"/>
        <v>207</v>
      </c>
      <c r="I1163" s="1" t="str">
        <f t="shared" si="110"/>
        <v>12000-207</v>
      </c>
      <c r="J1163" s="1" t="str">
        <f t="shared" si="111"/>
        <v>Violin production item #207</v>
      </c>
      <c r="K1163" s="1" t="str">
        <f>IF(SUM(COUNTIFS(I:I, I1163)) &gt; 1, "DUPLICATE", "UNIQUE")</f>
        <v>UNIQUE</v>
      </c>
      <c r="L1163" s="18">
        <v>0</v>
      </c>
      <c r="M1163" s="28">
        <v>5</v>
      </c>
      <c r="N1163" s="6">
        <v>225</v>
      </c>
      <c r="O1163" s="30">
        <f t="shared" si="112"/>
        <v>0</v>
      </c>
      <c r="P1163" s="30">
        <f t="shared" si="113"/>
        <v>1125</v>
      </c>
      <c r="Q1163" s="1">
        <f>COUNTIFS($P:$P, "&gt;" &amp; $P1163) + 1</f>
        <v>3641</v>
      </c>
      <c r="R1163" s="63">
        <f>(COUNTIFS($P:$P, "&gt;" &amp; $P1163) + 1) / (COUNTA($I:$I) - 1)</f>
        <v>0.72819999999999996</v>
      </c>
      <c r="S1163" s="23">
        <f>SUMIFS($P:$P, $Q:$Q, "&lt;" &amp; $Q1163)</f>
        <v>186117768</v>
      </c>
    </row>
    <row r="1164" spans="1:19" x14ac:dyDescent="0.25">
      <c r="A1164" s="1">
        <v>1159</v>
      </c>
      <c r="B1164" s="1" t="s">
        <v>2</v>
      </c>
      <c r="C1164" s="1" t="str">
        <f>IF($B1164 = "Production Item", _xlfn.XLOOKUP($A1164, 'Instrument Table'!$J:$J, 'Instrument Table'!$B:$B, $C1163), IF($B1164 = "Service Item", _xlfn.XLOOKUP($A1164, 'Instrument Table'!$I:$I, 'Instrument Table'!$B:$B, $C1163), _xlfn.XLOOKUP($A1164, 'Instrument Table'!$H:$H, 'Instrument Table'!$B:$B, $C1163)))</f>
        <v>Violin</v>
      </c>
      <c r="D1164" s="1" t="str">
        <f>VLOOKUP($C1164, 'Instrument Table'!$B:$C, 2, FALSE)</f>
        <v>Strings</v>
      </c>
      <c r="E1164" s="1">
        <f t="shared" si="108"/>
        <v>1</v>
      </c>
      <c r="F1164" s="1">
        <f>_xlfn.XLOOKUP($C1164, 'Instrument Table'!$B:$B, 'Instrument Table'!$A:$A, "")</f>
        <v>20</v>
      </c>
      <c r="G1164" s="1" t="str">
        <f>TEXT(IF($B1164 = "Retail Item", IF((ROW($A1164) - 4504 - _xlfn.XMATCH($C1164, $C$4506:$C$5005, 0, 1)) &lt;= VLOOKUP($C1164, 'Instrument Table'!$B:$D, 3, FALSE), ROW($A1164) - 4504 - _xlfn.XMATCH($C1164, $C$4506:$C$5005, 0, 1), 0), 0), "00")</f>
        <v>00</v>
      </c>
      <c r="H1164" s="1" t="str">
        <f t="shared" si="109"/>
        <v>208</v>
      </c>
      <c r="I1164" s="1" t="str">
        <f t="shared" si="110"/>
        <v>12000-208</v>
      </c>
      <c r="J1164" s="1" t="str">
        <f t="shared" si="111"/>
        <v>Violin production item #208</v>
      </c>
      <c r="K1164" s="1" t="str">
        <f>IF(SUM(COUNTIFS(I:I, I1164)) &gt; 1, "DUPLICATE", "UNIQUE")</f>
        <v>UNIQUE</v>
      </c>
      <c r="L1164" s="18">
        <v>1</v>
      </c>
      <c r="M1164" s="28">
        <v>57</v>
      </c>
      <c r="N1164" s="6">
        <v>361</v>
      </c>
      <c r="O1164" s="30">
        <f t="shared" si="112"/>
        <v>57</v>
      </c>
      <c r="P1164" s="30">
        <f t="shared" si="113"/>
        <v>20577</v>
      </c>
      <c r="Q1164" s="1">
        <f>COUNTIFS($P:$P, "&gt;" &amp; $P1164) + 1</f>
        <v>1022</v>
      </c>
      <c r="R1164" s="63">
        <f>(COUNTIFS($P:$P, "&gt;" &amp; $P1164) + 1) / (COUNTA($I:$I) - 1)</f>
        <v>0.2044</v>
      </c>
      <c r="S1164" s="23">
        <f>SUMIFS($P:$P, $Q:$Q, "&lt;" &amp; $Q1164)</f>
        <v>166950697</v>
      </c>
    </row>
    <row r="1165" spans="1:19" x14ac:dyDescent="0.25">
      <c r="A1165" s="1">
        <v>1160</v>
      </c>
      <c r="B1165" s="1" t="s">
        <v>2</v>
      </c>
      <c r="C1165" s="1" t="str">
        <f>IF($B1165 = "Production Item", _xlfn.XLOOKUP($A1165, 'Instrument Table'!$J:$J, 'Instrument Table'!$B:$B, $C1164), IF($B1165 = "Service Item", _xlfn.XLOOKUP($A1165, 'Instrument Table'!$I:$I, 'Instrument Table'!$B:$B, $C1164), _xlfn.XLOOKUP($A1165, 'Instrument Table'!$H:$H, 'Instrument Table'!$B:$B, $C1164)))</f>
        <v>Violin</v>
      </c>
      <c r="D1165" s="1" t="str">
        <f>VLOOKUP($C1165, 'Instrument Table'!$B:$C, 2, FALSE)</f>
        <v>Strings</v>
      </c>
      <c r="E1165" s="1">
        <f t="shared" si="108"/>
        <v>1</v>
      </c>
      <c r="F1165" s="1">
        <f>_xlfn.XLOOKUP($C1165, 'Instrument Table'!$B:$B, 'Instrument Table'!$A:$A, "")</f>
        <v>20</v>
      </c>
      <c r="G1165" s="1" t="str">
        <f>TEXT(IF($B1165 = "Retail Item", IF((ROW($A1165) - 4504 - _xlfn.XMATCH($C1165, $C$4506:$C$5005, 0, 1)) &lt;= VLOOKUP($C1165, 'Instrument Table'!$B:$D, 3, FALSE), ROW($A1165) - 4504 - _xlfn.XMATCH($C1165, $C$4506:$C$5005, 0, 1), 0), 0), "00")</f>
        <v>00</v>
      </c>
      <c r="H1165" s="1" t="str">
        <f t="shared" si="109"/>
        <v>209</v>
      </c>
      <c r="I1165" s="1" t="str">
        <f t="shared" si="110"/>
        <v>12000-209</v>
      </c>
      <c r="J1165" s="1" t="str">
        <f t="shared" si="111"/>
        <v>Violin production item #209</v>
      </c>
      <c r="K1165" s="1" t="str">
        <f>IF(SUM(COUNTIFS(I:I, I1165)) &gt; 1, "DUPLICATE", "UNIQUE")</f>
        <v>UNIQUE</v>
      </c>
      <c r="L1165" s="18">
        <v>0</v>
      </c>
      <c r="M1165" s="28">
        <v>52</v>
      </c>
      <c r="N1165" s="6">
        <v>400</v>
      </c>
      <c r="O1165" s="30">
        <f t="shared" si="112"/>
        <v>0</v>
      </c>
      <c r="P1165" s="30">
        <f t="shared" si="113"/>
        <v>20800</v>
      </c>
      <c r="Q1165" s="1">
        <f>COUNTIFS($P:$P, "&gt;" &amp; $P1165) + 1</f>
        <v>1013</v>
      </c>
      <c r="R1165" s="63">
        <f>(COUNTIFS($P:$P, "&gt;" &amp; $P1165) + 1) / (COUNTA($I:$I) - 1)</f>
        <v>0.2026</v>
      </c>
      <c r="S1165" s="23">
        <f>SUMIFS($P:$P, $Q:$Q, "&lt;" &amp; $Q1165)</f>
        <v>166764025</v>
      </c>
    </row>
    <row r="1166" spans="1:19" x14ac:dyDescent="0.25">
      <c r="A1166" s="1">
        <v>1161</v>
      </c>
      <c r="B1166" s="1" t="s">
        <v>2</v>
      </c>
      <c r="C1166" s="1" t="str">
        <f>IF($B1166 = "Production Item", _xlfn.XLOOKUP($A1166, 'Instrument Table'!$J:$J, 'Instrument Table'!$B:$B, $C1165), IF($B1166 = "Service Item", _xlfn.XLOOKUP($A1166, 'Instrument Table'!$I:$I, 'Instrument Table'!$B:$B, $C1165), _xlfn.XLOOKUP($A1166, 'Instrument Table'!$H:$H, 'Instrument Table'!$B:$B, $C1165)))</f>
        <v>Violin</v>
      </c>
      <c r="D1166" s="1" t="str">
        <f>VLOOKUP($C1166, 'Instrument Table'!$B:$C, 2, FALSE)</f>
        <v>Strings</v>
      </c>
      <c r="E1166" s="1">
        <f t="shared" si="108"/>
        <v>1</v>
      </c>
      <c r="F1166" s="1">
        <f>_xlfn.XLOOKUP($C1166, 'Instrument Table'!$B:$B, 'Instrument Table'!$A:$A, "")</f>
        <v>20</v>
      </c>
      <c r="G1166" s="1" t="str">
        <f>TEXT(IF($B1166 = "Retail Item", IF((ROW($A1166) - 4504 - _xlfn.XMATCH($C1166, $C$4506:$C$5005, 0, 1)) &lt;= VLOOKUP($C1166, 'Instrument Table'!$B:$D, 3, FALSE), ROW($A1166) - 4504 - _xlfn.XMATCH($C1166, $C$4506:$C$5005, 0, 1), 0), 0), "00")</f>
        <v>00</v>
      </c>
      <c r="H1166" s="1" t="str">
        <f t="shared" si="109"/>
        <v>210</v>
      </c>
      <c r="I1166" s="1" t="str">
        <f t="shared" si="110"/>
        <v>12000-210</v>
      </c>
      <c r="J1166" s="1" t="str">
        <f t="shared" si="111"/>
        <v>Violin production item #210</v>
      </c>
      <c r="K1166" s="1" t="str">
        <f>IF(SUM(COUNTIFS(I:I, I1166)) &gt; 1, "DUPLICATE", "UNIQUE")</f>
        <v>UNIQUE</v>
      </c>
      <c r="L1166" s="18">
        <v>32</v>
      </c>
      <c r="M1166" s="28">
        <v>28</v>
      </c>
      <c r="N1166" s="6">
        <v>64</v>
      </c>
      <c r="O1166" s="30">
        <f t="shared" si="112"/>
        <v>896</v>
      </c>
      <c r="P1166" s="30">
        <f t="shared" si="113"/>
        <v>1792</v>
      </c>
      <c r="Q1166" s="1">
        <f>COUNTIFS($P:$P, "&gt;" &amp; $P1166) + 1</f>
        <v>3339</v>
      </c>
      <c r="R1166" s="63">
        <f>(COUNTIFS($P:$P, "&gt;" &amp; $P1166) + 1) / (COUNTA($I:$I) - 1)</f>
        <v>0.66779999999999995</v>
      </c>
      <c r="S1166" s="23">
        <f>SUMIFS($P:$P, $Q:$Q, "&lt;" &amp; $Q1166)</f>
        <v>185680781</v>
      </c>
    </row>
    <row r="1167" spans="1:19" x14ac:dyDescent="0.25">
      <c r="A1167" s="1">
        <v>1162</v>
      </c>
      <c r="B1167" s="1" t="s">
        <v>2</v>
      </c>
      <c r="C1167" s="1" t="str">
        <f>IF($B1167 = "Production Item", _xlfn.XLOOKUP($A1167, 'Instrument Table'!$J:$J, 'Instrument Table'!$B:$B, $C1166), IF($B1167 = "Service Item", _xlfn.XLOOKUP($A1167, 'Instrument Table'!$I:$I, 'Instrument Table'!$B:$B, $C1166), _xlfn.XLOOKUP($A1167, 'Instrument Table'!$H:$H, 'Instrument Table'!$B:$B, $C1166)))</f>
        <v>Violin</v>
      </c>
      <c r="D1167" s="1" t="str">
        <f>VLOOKUP($C1167, 'Instrument Table'!$B:$C, 2, FALSE)</f>
        <v>Strings</v>
      </c>
      <c r="E1167" s="1">
        <f t="shared" si="108"/>
        <v>1</v>
      </c>
      <c r="F1167" s="1">
        <f>_xlfn.XLOOKUP($C1167, 'Instrument Table'!$B:$B, 'Instrument Table'!$A:$A, "")</f>
        <v>20</v>
      </c>
      <c r="G1167" s="1" t="str">
        <f>TEXT(IF($B1167 = "Retail Item", IF((ROW($A1167) - 4504 - _xlfn.XMATCH($C1167, $C$4506:$C$5005, 0, 1)) &lt;= VLOOKUP($C1167, 'Instrument Table'!$B:$D, 3, FALSE), ROW($A1167) - 4504 - _xlfn.XMATCH($C1167, $C$4506:$C$5005, 0, 1), 0), 0), "00")</f>
        <v>00</v>
      </c>
      <c r="H1167" s="1" t="str">
        <f t="shared" si="109"/>
        <v>211</v>
      </c>
      <c r="I1167" s="1" t="str">
        <f t="shared" si="110"/>
        <v>12000-211</v>
      </c>
      <c r="J1167" s="1" t="str">
        <f t="shared" si="111"/>
        <v>Violin production item #211</v>
      </c>
      <c r="K1167" s="1" t="str">
        <f>IF(SUM(COUNTIFS(I:I, I1167)) &gt; 1, "DUPLICATE", "UNIQUE")</f>
        <v>UNIQUE</v>
      </c>
      <c r="L1167" s="18">
        <v>4</v>
      </c>
      <c r="M1167" s="28">
        <v>38</v>
      </c>
      <c r="N1167" s="6">
        <v>64</v>
      </c>
      <c r="O1167" s="30">
        <f t="shared" si="112"/>
        <v>152</v>
      </c>
      <c r="P1167" s="30">
        <f t="shared" si="113"/>
        <v>2432</v>
      </c>
      <c r="Q1167" s="1">
        <f>COUNTIFS($P:$P, "&gt;" &amp; $P1167) + 1</f>
        <v>3071</v>
      </c>
      <c r="R1167" s="63">
        <f>(COUNTIFS($P:$P, "&gt;" &amp; $P1167) + 1) / (COUNTA($I:$I) - 1)</f>
        <v>0.61419999999999997</v>
      </c>
      <c r="S1167" s="23">
        <f>SUMIFS($P:$P, $Q:$Q, "&lt;" &amp; $Q1167)</f>
        <v>185112669</v>
      </c>
    </row>
    <row r="1168" spans="1:19" x14ac:dyDescent="0.25">
      <c r="A1168" s="1">
        <v>1163</v>
      </c>
      <c r="B1168" s="1" t="s">
        <v>2</v>
      </c>
      <c r="C1168" s="1" t="str">
        <f>IF($B1168 = "Production Item", _xlfn.XLOOKUP($A1168, 'Instrument Table'!$J:$J, 'Instrument Table'!$B:$B, $C1167), IF($B1168 = "Service Item", _xlfn.XLOOKUP($A1168, 'Instrument Table'!$I:$I, 'Instrument Table'!$B:$B, $C1167), _xlfn.XLOOKUP($A1168, 'Instrument Table'!$H:$H, 'Instrument Table'!$B:$B, $C1167)))</f>
        <v>Violin</v>
      </c>
      <c r="D1168" s="1" t="str">
        <f>VLOOKUP($C1168, 'Instrument Table'!$B:$C, 2, FALSE)</f>
        <v>Strings</v>
      </c>
      <c r="E1168" s="1">
        <f t="shared" si="108"/>
        <v>1</v>
      </c>
      <c r="F1168" s="1">
        <f>_xlfn.XLOOKUP($C1168, 'Instrument Table'!$B:$B, 'Instrument Table'!$A:$A, "")</f>
        <v>20</v>
      </c>
      <c r="G1168" s="1" t="str">
        <f>TEXT(IF($B1168 = "Retail Item", IF((ROW($A1168) - 4504 - _xlfn.XMATCH($C1168, $C$4506:$C$5005, 0, 1)) &lt;= VLOOKUP($C1168, 'Instrument Table'!$B:$D, 3, FALSE), ROW($A1168) - 4504 - _xlfn.XMATCH($C1168, $C$4506:$C$5005, 0, 1), 0), 0), "00")</f>
        <v>00</v>
      </c>
      <c r="H1168" s="1" t="str">
        <f t="shared" si="109"/>
        <v>212</v>
      </c>
      <c r="I1168" s="1" t="str">
        <f t="shared" si="110"/>
        <v>12000-212</v>
      </c>
      <c r="J1168" s="1" t="str">
        <f t="shared" si="111"/>
        <v>Violin production item #212</v>
      </c>
      <c r="K1168" s="1" t="str">
        <f>IF(SUM(COUNTIFS(I:I, I1168)) &gt; 1, "DUPLICATE", "UNIQUE")</f>
        <v>UNIQUE</v>
      </c>
      <c r="L1168" s="18">
        <v>32</v>
      </c>
      <c r="M1168" s="28">
        <v>19</v>
      </c>
      <c r="N1168" s="6">
        <v>256</v>
      </c>
      <c r="O1168" s="30">
        <f t="shared" si="112"/>
        <v>608</v>
      </c>
      <c r="P1168" s="30">
        <f t="shared" si="113"/>
        <v>4864</v>
      </c>
      <c r="Q1168" s="1">
        <f>COUNTIFS($P:$P, "&gt;" &amp; $P1168) + 1</f>
        <v>2471</v>
      </c>
      <c r="R1168" s="63">
        <f>(COUNTIFS($P:$P, "&gt;" &amp; $P1168) + 1) / (COUNTA($I:$I) - 1)</f>
        <v>0.49419999999999997</v>
      </c>
      <c r="S1168" s="23">
        <f>SUMIFS($P:$P, $Q:$Q, "&lt;" &amp; $Q1168)</f>
        <v>182975918</v>
      </c>
    </row>
    <row r="1169" spans="1:19" x14ac:dyDescent="0.25">
      <c r="A1169" s="1">
        <v>1164</v>
      </c>
      <c r="B1169" s="1" t="s">
        <v>2</v>
      </c>
      <c r="C1169" s="1" t="str">
        <f>IF($B1169 = "Production Item", _xlfn.XLOOKUP($A1169, 'Instrument Table'!$J:$J, 'Instrument Table'!$B:$B, $C1168), IF($B1169 = "Service Item", _xlfn.XLOOKUP($A1169, 'Instrument Table'!$I:$I, 'Instrument Table'!$B:$B, $C1168), _xlfn.XLOOKUP($A1169, 'Instrument Table'!$H:$H, 'Instrument Table'!$B:$B, $C1168)))</f>
        <v>Violin</v>
      </c>
      <c r="D1169" s="1" t="str">
        <f>VLOOKUP($C1169, 'Instrument Table'!$B:$C, 2, FALSE)</f>
        <v>Strings</v>
      </c>
      <c r="E1169" s="1">
        <f t="shared" si="108"/>
        <v>1</v>
      </c>
      <c r="F1169" s="1">
        <f>_xlfn.XLOOKUP($C1169, 'Instrument Table'!$B:$B, 'Instrument Table'!$A:$A, "")</f>
        <v>20</v>
      </c>
      <c r="G1169" s="1" t="str">
        <f>TEXT(IF($B1169 = "Retail Item", IF((ROW($A1169) - 4504 - _xlfn.XMATCH($C1169, $C$4506:$C$5005, 0, 1)) &lt;= VLOOKUP($C1169, 'Instrument Table'!$B:$D, 3, FALSE), ROW($A1169) - 4504 - _xlfn.XMATCH($C1169, $C$4506:$C$5005, 0, 1), 0), 0), "00")</f>
        <v>00</v>
      </c>
      <c r="H1169" s="1" t="str">
        <f t="shared" si="109"/>
        <v>213</v>
      </c>
      <c r="I1169" s="1" t="str">
        <f t="shared" si="110"/>
        <v>12000-213</v>
      </c>
      <c r="J1169" s="1" t="str">
        <f t="shared" si="111"/>
        <v>Violin production item #213</v>
      </c>
      <c r="K1169" s="1" t="str">
        <f>IF(SUM(COUNTIFS(I:I, I1169)) &gt; 1, "DUPLICATE", "UNIQUE")</f>
        <v>UNIQUE</v>
      </c>
      <c r="L1169" s="18">
        <v>1</v>
      </c>
      <c r="M1169" s="28">
        <v>51</v>
      </c>
      <c r="N1169" s="6">
        <v>36</v>
      </c>
      <c r="O1169" s="30">
        <f t="shared" si="112"/>
        <v>51</v>
      </c>
      <c r="P1169" s="30">
        <f t="shared" si="113"/>
        <v>1836</v>
      </c>
      <c r="Q1169" s="1">
        <f>COUNTIFS($P:$P, "&gt;" &amp; $P1169) + 1</f>
        <v>3319</v>
      </c>
      <c r="R1169" s="63">
        <f>(COUNTIFS($P:$P, "&gt;" &amp; $P1169) + 1) / (COUNTA($I:$I) - 1)</f>
        <v>0.66379999999999995</v>
      </c>
      <c r="S1169" s="23">
        <f>SUMIFS($P:$P, $Q:$Q, "&lt;" &amp; $Q1169)</f>
        <v>185644597</v>
      </c>
    </row>
    <row r="1170" spans="1:19" x14ac:dyDescent="0.25">
      <c r="A1170" s="1">
        <v>1165</v>
      </c>
      <c r="B1170" s="1" t="s">
        <v>2</v>
      </c>
      <c r="C1170" s="1" t="str">
        <f>IF($B1170 = "Production Item", _xlfn.XLOOKUP($A1170, 'Instrument Table'!$J:$J, 'Instrument Table'!$B:$B, $C1169), IF($B1170 = "Service Item", _xlfn.XLOOKUP($A1170, 'Instrument Table'!$I:$I, 'Instrument Table'!$B:$B, $C1169), _xlfn.XLOOKUP($A1170, 'Instrument Table'!$H:$H, 'Instrument Table'!$B:$B, $C1169)))</f>
        <v>Violin</v>
      </c>
      <c r="D1170" s="1" t="str">
        <f>VLOOKUP($C1170, 'Instrument Table'!$B:$C, 2, FALSE)</f>
        <v>Strings</v>
      </c>
      <c r="E1170" s="1">
        <f t="shared" si="108"/>
        <v>1</v>
      </c>
      <c r="F1170" s="1">
        <f>_xlfn.XLOOKUP($C1170, 'Instrument Table'!$B:$B, 'Instrument Table'!$A:$A, "")</f>
        <v>20</v>
      </c>
      <c r="G1170" s="1" t="str">
        <f>TEXT(IF($B1170 = "Retail Item", IF((ROW($A1170) - 4504 - _xlfn.XMATCH($C1170, $C$4506:$C$5005, 0, 1)) &lt;= VLOOKUP($C1170, 'Instrument Table'!$B:$D, 3, FALSE), ROW($A1170) - 4504 - _xlfn.XMATCH($C1170, $C$4506:$C$5005, 0, 1), 0), 0), "00")</f>
        <v>00</v>
      </c>
      <c r="H1170" s="1" t="str">
        <f t="shared" si="109"/>
        <v>214</v>
      </c>
      <c r="I1170" s="1" t="str">
        <f t="shared" si="110"/>
        <v>12000-214</v>
      </c>
      <c r="J1170" s="1" t="str">
        <f t="shared" si="111"/>
        <v>Violin production item #214</v>
      </c>
      <c r="K1170" s="1" t="str">
        <f>IF(SUM(COUNTIFS(I:I, I1170)) &gt; 1, "DUPLICATE", "UNIQUE")</f>
        <v>UNIQUE</v>
      </c>
      <c r="L1170" s="18">
        <v>16</v>
      </c>
      <c r="M1170" s="28">
        <v>25</v>
      </c>
      <c r="N1170" s="6">
        <v>169</v>
      </c>
      <c r="O1170" s="30">
        <f t="shared" si="112"/>
        <v>400</v>
      </c>
      <c r="P1170" s="30">
        <f t="shared" si="113"/>
        <v>4225</v>
      </c>
      <c r="Q1170" s="1">
        <f>COUNTIFS($P:$P, "&gt;" &amp; $P1170) + 1</f>
        <v>2602</v>
      </c>
      <c r="R1170" s="63">
        <f>(COUNTIFS($P:$P, "&gt;" &amp; $P1170) + 1) / (COUNTA($I:$I) - 1)</f>
        <v>0.52039999999999997</v>
      </c>
      <c r="S1170" s="23">
        <f>SUMIFS($P:$P, $Q:$Q, "&lt;" &amp; $Q1170)</f>
        <v>183571868</v>
      </c>
    </row>
    <row r="1171" spans="1:19" x14ac:dyDescent="0.25">
      <c r="A1171" s="1">
        <v>1166</v>
      </c>
      <c r="B1171" s="1" t="s">
        <v>2</v>
      </c>
      <c r="C1171" s="1" t="str">
        <f>IF($B1171 = "Production Item", _xlfn.XLOOKUP($A1171, 'Instrument Table'!$J:$J, 'Instrument Table'!$B:$B, $C1170), IF($B1171 = "Service Item", _xlfn.XLOOKUP($A1171, 'Instrument Table'!$I:$I, 'Instrument Table'!$B:$B, $C1170), _xlfn.XLOOKUP($A1171, 'Instrument Table'!$H:$H, 'Instrument Table'!$B:$B, $C1170)))</f>
        <v>Violin</v>
      </c>
      <c r="D1171" s="1" t="str">
        <f>VLOOKUP($C1171, 'Instrument Table'!$B:$C, 2, FALSE)</f>
        <v>Strings</v>
      </c>
      <c r="E1171" s="1">
        <f t="shared" si="108"/>
        <v>1</v>
      </c>
      <c r="F1171" s="1">
        <f>_xlfn.XLOOKUP($C1171, 'Instrument Table'!$B:$B, 'Instrument Table'!$A:$A, "")</f>
        <v>20</v>
      </c>
      <c r="G1171" s="1" t="str">
        <f>TEXT(IF($B1171 = "Retail Item", IF((ROW($A1171) - 4504 - _xlfn.XMATCH($C1171, $C$4506:$C$5005, 0, 1)) &lt;= VLOOKUP($C1171, 'Instrument Table'!$B:$D, 3, FALSE), ROW($A1171) - 4504 - _xlfn.XMATCH($C1171, $C$4506:$C$5005, 0, 1), 0), 0), "00")</f>
        <v>00</v>
      </c>
      <c r="H1171" s="1" t="str">
        <f t="shared" si="109"/>
        <v>215</v>
      </c>
      <c r="I1171" s="1" t="str">
        <f t="shared" si="110"/>
        <v>12000-215</v>
      </c>
      <c r="J1171" s="1" t="str">
        <f t="shared" si="111"/>
        <v>Violin production item #215</v>
      </c>
      <c r="K1171" s="1" t="str">
        <f>IF(SUM(COUNTIFS(I:I, I1171)) &gt; 1, "DUPLICATE", "UNIQUE")</f>
        <v>UNIQUE</v>
      </c>
      <c r="L1171" s="18">
        <v>1</v>
      </c>
      <c r="M1171" s="28">
        <v>7</v>
      </c>
      <c r="N1171" s="6">
        <v>361</v>
      </c>
      <c r="O1171" s="30">
        <f t="shared" si="112"/>
        <v>7</v>
      </c>
      <c r="P1171" s="30">
        <f t="shared" si="113"/>
        <v>2527</v>
      </c>
      <c r="Q1171" s="1">
        <f>COUNTIFS($P:$P, "&gt;" &amp; $P1171) + 1</f>
        <v>3043</v>
      </c>
      <c r="R1171" s="63">
        <f>(COUNTIFS($P:$P, "&gt;" &amp; $P1171) + 1) / (COUNTA($I:$I) - 1)</f>
        <v>0.60860000000000003</v>
      </c>
      <c r="S1171" s="23">
        <f>SUMIFS($P:$P, $Q:$Q, "&lt;" &amp; $Q1171)</f>
        <v>185043022</v>
      </c>
    </row>
    <row r="1172" spans="1:19" x14ac:dyDescent="0.25">
      <c r="A1172" s="1">
        <v>1167</v>
      </c>
      <c r="B1172" s="1" t="s">
        <v>2</v>
      </c>
      <c r="C1172" s="1" t="str">
        <f>IF($B1172 = "Production Item", _xlfn.XLOOKUP($A1172, 'Instrument Table'!$J:$J, 'Instrument Table'!$B:$B, $C1171), IF($B1172 = "Service Item", _xlfn.XLOOKUP($A1172, 'Instrument Table'!$I:$I, 'Instrument Table'!$B:$B, $C1171), _xlfn.XLOOKUP($A1172, 'Instrument Table'!$H:$H, 'Instrument Table'!$B:$B, $C1171)))</f>
        <v>Violin</v>
      </c>
      <c r="D1172" s="1" t="str">
        <f>VLOOKUP($C1172, 'Instrument Table'!$B:$C, 2, FALSE)</f>
        <v>Strings</v>
      </c>
      <c r="E1172" s="1">
        <f t="shared" si="108"/>
        <v>1</v>
      </c>
      <c r="F1172" s="1">
        <f>_xlfn.XLOOKUP($C1172, 'Instrument Table'!$B:$B, 'Instrument Table'!$A:$A, "")</f>
        <v>20</v>
      </c>
      <c r="G1172" s="1" t="str">
        <f>TEXT(IF($B1172 = "Retail Item", IF((ROW($A1172) - 4504 - _xlfn.XMATCH($C1172, $C$4506:$C$5005, 0, 1)) &lt;= VLOOKUP($C1172, 'Instrument Table'!$B:$D, 3, FALSE), ROW($A1172) - 4504 - _xlfn.XMATCH($C1172, $C$4506:$C$5005, 0, 1), 0), 0), "00")</f>
        <v>00</v>
      </c>
      <c r="H1172" s="1" t="str">
        <f t="shared" si="109"/>
        <v>216</v>
      </c>
      <c r="I1172" s="1" t="str">
        <f t="shared" si="110"/>
        <v>12000-216</v>
      </c>
      <c r="J1172" s="1" t="str">
        <f t="shared" si="111"/>
        <v>Violin production item #216</v>
      </c>
      <c r="K1172" s="1" t="str">
        <f>IF(SUM(COUNTIFS(I:I, I1172)) &gt; 1, "DUPLICATE", "UNIQUE")</f>
        <v>UNIQUE</v>
      </c>
      <c r="L1172" s="18">
        <v>1</v>
      </c>
      <c r="M1172" s="28">
        <v>72</v>
      </c>
      <c r="N1172" s="6">
        <v>256</v>
      </c>
      <c r="O1172" s="30">
        <f t="shared" si="112"/>
        <v>72</v>
      </c>
      <c r="P1172" s="30">
        <f t="shared" si="113"/>
        <v>18432</v>
      </c>
      <c r="Q1172" s="1">
        <f>COUNTIFS($P:$P, "&gt;" &amp; $P1172) + 1</f>
        <v>1137</v>
      </c>
      <c r="R1172" s="63">
        <f>(COUNTIFS($P:$P, "&gt;" &amp; $P1172) + 1) / (COUNTA($I:$I) - 1)</f>
        <v>0.22739999999999999</v>
      </c>
      <c r="S1172" s="23">
        <f>SUMIFS($P:$P, $Q:$Q, "&lt;" &amp; $Q1172)</f>
        <v>169197389</v>
      </c>
    </row>
    <row r="1173" spans="1:19" x14ac:dyDescent="0.25">
      <c r="A1173" s="1">
        <v>1168</v>
      </c>
      <c r="B1173" s="1" t="s">
        <v>2</v>
      </c>
      <c r="C1173" s="1" t="str">
        <f>IF($B1173 = "Production Item", _xlfn.XLOOKUP($A1173, 'Instrument Table'!$J:$J, 'Instrument Table'!$B:$B, $C1172), IF($B1173 = "Service Item", _xlfn.XLOOKUP($A1173, 'Instrument Table'!$I:$I, 'Instrument Table'!$B:$B, $C1172), _xlfn.XLOOKUP($A1173, 'Instrument Table'!$H:$H, 'Instrument Table'!$B:$B, $C1172)))</f>
        <v>Violin</v>
      </c>
      <c r="D1173" s="1" t="str">
        <f>VLOOKUP($C1173, 'Instrument Table'!$B:$C, 2, FALSE)</f>
        <v>Strings</v>
      </c>
      <c r="E1173" s="1">
        <f t="shared" si="108"/>
        <v>1</v>
      </c>
      <c r="F1173" s="1">
        <f>_xlfn.XLOOKUP($C1173, 'Instrument Table'!$B:$B, 'Instrument Table'!$A:$A, "")</f>
        <v>20</v>
      </c>
      <c r="G1173" s="1" t="str">
        <f>TEXT(IF($B1173 = "Retail Item", IF((ROW($A1173) - 4504 - _xlfn.XMATCH($C1173, $C$4506:$C$5005, 0, 1)) &lt;= VLOOKUP($C1173, 'Instrument Table'!$B:$D, 3, FALSE), ROW($A1173) - 4504 - _xlfn.XMATCH($C1173, $C$4506:$C$5005, 0, 1), 0), 0), "00")</f>
        <v>00</v>
      </c>
      <c r="H1173" s="1" t="str">
        <f t="shared" si="109"/>
        <v>217</v>
      </c>
      <c r="I1173" s="1" t="str">
        <f t="shared" si="110"/>
        <v>12000-217</v>
      </c>
      <c r="J1173" s="1" t="str">
        <f t="shared" si="111"/>
        <v>Violin production item #217</v>
      </c>
      <c r="K1173" s="1" t="str">
        <f>IF(SUM(COUNTIFS(I:I, I1173)) &gt; 1, "DUPLICATE", "UNIQUE")</f>
        <v>UNIQUE</v>
      </c>
      <c r="L1173" s="18">
        <v>0</v>
      </c>
      <c r="M1173" s="28">
        <v>37</v>
      </c>
      <c r="N1173" s="6">
        <v>9</v>
      </c>
      <c r="O1173" s="30">
        <f t="shared" si="112"/>
        <v>0</v>
      </c>
      <c r="P1173" s="30">
        <f t="shared" si="113"/>
        <v>333</v>
      </c>
      <c r="Q1173" s="1">
        <f>COUNTIFS($P:$P, "&gt;" &amp; $P1173) + 1</f>
        <v>4173</v>
      </c>
      <c r="R1173" s="63">
        <f>(COUNTIFS($P:$P, "&gt;" &amp; $P1173) + 1) / (COUNTA($I:$I) - 1)</f>
        <v>0.83460000000000001</v>
      </c>
      <c r="S1173" s="23">
        <f>SUMIFS($P:$P, $Q:$Q, "&lt;" &amp; $Q1173)</f>
        <v>186471647</v>
      </c>
    </row>
    <row r="1174" spans="1:19" x14ac:dyDescent="0.25">
      <c r="A1174" s="1">
        <v>1169</v>
      </c>
      <c r="B1174" s="1" t="s">
        <v>2</v>
      </c>
      <c r="C1174" s="1" t="str">
        <f>IF($B1174 = "Production Item", _xlfn.XLOOKUP($A1174, 'Instrument Table'!$J:$J, 'Instrument Table'!$B:$B, $C1173), IF($B1174 = "Service Item", _xlfn.XLOOKUP($A1174, 'Instrument Table'!$I:$I, 'Instrument Table'!$B:$B, $C1173), _xlfn.XLOOKUP($A1174, 'Instrument Table'!$H:$H, 'Instrument Table'!$B:$B, $C1173)))</f>
        <v>Violin</v>
      </c>
      <c r="D1174" s="1" t="str">
        <f>VLOOKUP($C1174, 'Instrument Table'!$B:$C, 2, FALSE)</f>
        <v>Strings</v>
      </c>
      <c r="E1174" s="1">
        <f t="shared" si="108"/>
        <v>1</v>
      </c>
      <c r="F1174" s="1">
        <f>_xlfn.XLOOKUP($C1174, 'Instrument Table'!$B:$B, 'Instrument Table'!$A:$A, "")</f>
        <v>20</v>
      </c>
      <c r="G1174" s="1" t="str">
        <f>TEXT(IF($B1174 = "Retail Item", IF((ROW($A1174) - 4504 - _xlfn.XMATCH($C1174, $C$4506:$C$5005, 0, 1)) &lt;= VLOOKUP($C1174, 'Instrument Table'!$B:$D, 3, FALSE), ROW($A1174) - 4504 - _xlfn.XMATCH($C1174, $C$4506:$C$5005, 0, 1), 0), 0), "00")</f>
        <v>00</v>
      </c>
      <c r="H1174" s="1" t="str">
        <f t="shared" si="109"/>
        <v>218</v>
      </c>
      <c r="I1174" s="1" t="str">
        <f t="shared" si="110"/>
        <v>12000-218</v>
      </c>
      <c r="J1174" s="1" t="str">
        <f t="shared" si="111"/>
        <v>Violin production item #218</v>
      </c>
      <c r="K1174" s="1" t="str">
        <f>IF(SUM(COUNTIFS(I:I, I1174)) &gt; 1, "DUPLICATE", "UNIQUE")</f>
        <v>UNIQUE</v>
      </c>
      <c r="L1174" s="18">
        <v>0</v>
      </c>
      <c r="M1174" s="28">
        <v>7</v>
      </c>
      <c r="N1174" s="6">
        <v>100</v>
      </c>
      <c r="O1174" s="30">
        <f t="shared" si="112"/>
        <v>0</v>
      </c>
      <c r="P1174" s="30">
        <f t="shared" si="113"/>
        <v>700</v>
      </c>
      <c r="Q1174" s="1">
        <f>COUNTIFS($P:$P, "&gt;" &amp; $P1174) + 1</f>
        <v>3882</v>
      </c>
      <c r="R1174" s="63">
        <f>(COUNTIFS($P:$P, "&gt;" &amp; $P1174) + 1) / (COUNTA($I:$I) - 1)</f>
        <v>0.77639999999999998</v>
      </c>
      <c r="S1174" s="23">
        <f>SUMIFS($P:$P, $Q:$Q, "&lt;" &amp; $Q1174)</f>
        <v>186326493</v>
      </c>
    </row>
    <row r="1175" spans="1:19" x14ac:dyDescent="0.25">
      <c r="A1175" s="1">
        <v>1170</v>
      </c>
      <c r="B1175" s="1" t="s">
        <v>2</v>
      </c>
      <c r="C1175" s="1" t="str">
        <f>IF($B1175 = "Production Item", _xlfn.XLOOKUP($A1175, 'Instrument Table'!$J:$J, 'Instrument Table'!$B:$B, $C1174), IF($B1175 = "Service Item", _xlfn.XLOOKUP($A1175, 'Instrument Table'!$I:$I, 'Instrument Table'!$B:$B, $C1174), _xlfn.XLOOKUP($A1175, 'Instrument Table'!$H:$H, 'Instrument Table'!$B:$B, $C1174)))</f>
        <v>Violin</v>
      </c>
      <c r="D1175" s="1" t="str">
        <f>VLOOKUP($C1175, 'Instrument Table'!$B:$C, 2, FALSE)</f>
        <v>Strings</v>
      </c>
      <c r="E1175" s="1">
        <f t="shared" si="108"/>
        <v>1</v>
      </c>
      <c r="F1175" s="1">
        <f>_xlfn.XLOOKUP($C1175, 'Instrument Table'!$B:$B, 'Instrument Table'!$A:$A, "")</f>
        <v>20</v>
      </c>
      <c r="G1175" s="1" t="str">
        <f>TEXT(IF($B1175 = "Retail Item", IF((ROW($A1175) - 4504 - _xlfn.XMATCH($C1175, $C$4506:$C$5005, 0, 1)) &lt;= VLOOKUP($C1175, 'Instrument Table'!$B:$D, 3, FALSE), ROW($A1175) - 4504 - _xlfn.XMATCH($C1175, $C$4506:$C$5005, 0, 1), 0), 0), "00")</f>
        <v>00</v>
      </c>
      <c r="H1175" s="1" t="str">
        <f t="shared" si="109"/>
        <v>219</v>
      </c>
      <c r="I1175" s="1" t="str">
        <f t="shared" si="110"/>
        <v>12000-219</v>
      </c>
      <c r="J1175" s="1" t="str">
        <f t="shared" si="111"/>
        <v>Violin production item #219</v>
      </c>
      <c r="K1175" s="1" t="str">
        <f>IF(SUM(COUNTIFS(I:I, I1175)) &gt; 1, "DUPLICATE", "UNIQUE")</f>
        <v>UNIQUE</v>
      </c>
      <c r="L1175" s="18">
        <v>1</v>
      </c>
      <c r="M1175" s="28">
        <v>67</v>
      </c>
      <c r="N1175" s="6">
        <v>289</v>
      </c>
      <c r="O1175" s="30">
        <f t="shared" si="112"/>
        <v>67</v>
      </c>
      <c r="P1175" s="30">
        <f t="shared" si="113"/>
        <v>19363</v>
      </c>
      <c r="Q1175" s="1">
        <f>COUNTIFS($P:$P, "&gt;" &amp; $P1175) + 1</f>
        <v>1086</v>
      </c>
      <c r="R1175" s="63">
        <f>(COUNTIFS($P:$P, "&gt;" &amp; $P1175) + 1) / (COUNTA($I:$I) - 1)</f>
        <v>0.2172</v>
      </c>
      <c r="S1175" s="23">
        <f>SUMIFS($P:$P, $Q:$Q, "&lt;" &amp; $Q1175)</f>
        <v>168235057</v>
      </c>
    </row>
    <row r="1176" spans="1:19" x14ac:dyDescent="0.25">
      <c r="A1176" s="1">
        <v>1171</v>
      </c>
      <c r="B1176" s="1" t="s">
        <v>2</v>
      </c>
      <c r="C1176" s="1" t="str">
        <f>IF($B1176 = "Production Item", _xlfn.XLOOKUP($A1176, 'Instrument Table'!$J:$J, 'Instrument Table'!$B:$B, $C1175), IF($B1176 = "Service Item", _xlfn.XLOOKUP($A1176, 'Instrument Table'!$I:$I, 'Instrument Table'!$B:$B, $C1175), _xlfn.XLOOKUP($A1176, 'Instrument Table'!$H:$H, 'Instrument Table'!$B:$B, $C1175)))</f>
        <v>Violin</v>
      </c>
      <c r="D1176" s="1" t="str">
        <f>VLOOKUP($C1176, 'Instrument Table'!$B:$C, 2, FALSE)</f>
        <v>Strings</v>
      </c>
      <c r="E1176" s="1">
        <f t="shared" si="108"/>
        <v>1</v>
      </c>
      <c r="F1176" s="1">
        <f>_xlfn.XLOOKUP($C1176, 'Instrument Table'!$B:$B, 'Instrument Table'!$A:$A, "")</f>
        <v>20</v>
      </c>
      <c r="G1176" s="1" t="str">
        <f>TEXT(IF($B1176 = "Retail Item", IF((ROW($A1176) - 4504 - _xlfn.XMATCH($C1176, $C$4506:$C$5005, 0, 1)) &lt;= VLOOKUP($C1176, 'Instrument Table'!$B:$D, 3, FALSE), ROW($A1176) - 4504 - _xlfn.XMATCH($C1176, $C$4506:$C$5005, 0, 1), 0), 0), "00")</f>
        <v>00</v>
      </c>
      <c r="H1176" s="1" t="str">
        <f t="shared" si="109"/>
        <v>220</v>
      </c>
      <c r="I1176" s="1" t="str">
        <f t="shared" si="110"/>
        <v>12000-220</v>
      </c>
      <c r="J1176" s="1" t="str">
        <f t="shared" si="111"/>
        <v>Violin production item #220</v>
      </c>
      <c r="K1176" s="1" t="str">
        <f>IF(SUM(COUNTIFS(I:I, I1176)) &gt; 1, "DUPLICATE", "UNIQUE")</f>
        <v>UNIQUE</v>
      </c>
      <c r="L1176" s="18">
        <v>1</v>
      </c>
      <c r="M1176" s="28">
        <v>96</v>
      </c>
      <c r="N1176" s="6">
        <v>256</v>
      </c>
      <c r="O1176" s="30">
        <f t="shared" si="112"/>
        <v>96</v>
      </c>
      <c r="P1176" s="30">
        <f t="shared" si="113"/>
        <v>24576</v>
      </c>
      <c r="Q1176" s="1">
        <f>COUNTIFS($P:$P, "&gt;" &amp; $P1176) + 1</f>
        <v>842</v>
      </c>
      <c r="R1176" s="63">
        <f>(COUNTIFS($P:$P, "&gt;" &amp; $P1176) + 1) / (COUNTA($I:$I) - 1)</f>
        <v>0.16839999999999999</v>
      </c>
      <c r="S1176" s="23">
        <f>SUMIFS($P:$P, $Q:$Q, "&lt;" &amp; $Q1176)</f>
        <v>162887012</v>
      </c>
    </row>
    <row r="1177" spans="1:19" x14ac:dyDescent="0.25">
      <c r="A1177" s="1">
        <v>1172</v>
      </c>
      <c r="B1177" s="1" t="s">
        <v>2</v>
      </c>
      <c r="C1177" s="1" t="str">
        <f>IF($B1177 = "Production Item", _xlfn.XLOOKUP($A1177, 'Instrument Table'!$J:$J, 'Instrument Table'!$B:$B, $C1176), IF($B1177 = "Service Item", _xlfn.XLOOKUP($A1177, 'Instrument Table'!$I:$I, 'Instrument Table'!$B:$B, $C1176), _xlfn.XLOOKUP($A1177, 'Instrument Table'!$H:$H, 'Instrument Table'!$B:$B, $C1176)))</f>
        <v>Violin</v>
      </c>
      <c r="D1177" s="1" t="str">
        <f>VLOOKUP($C1177, 'Instrument Table'!$B:$C, 2, FALSE)</f>
        <v>Strings</v>
      </c>
      <c r="E1177" s="1">
        <f t="shared" si="108"/>
        <v>1</v>
      </c>
      <c r="F1177" s="1">
        <f>_xlfn.XLOOKUP($C1177, 'Instrument Table'!$B:$B, 'Instrument Table'!$A:$A, "")</f>
        <v>20</v>
      </c>
      <c r="G1177" s="1" t="str">
        <f>TEXT(IF($B1177 = "Retail Item", IF((ROW($A1177) - 4504 - _xlfn.XMATCH($C1177, $C$4506:$C$5005, 0, 1)) &lt;= VLOOKUP($C1177, 'Instrument Table'!$B:$D, 3, FALSE), ROW($A1177) - 4504 - _xlfn.XMATCH($C1177, $C$4506:$C$5005, 0, 1), 0), 0), "00")</f>
        <v>00</v>
      </c>
      <c r="H1177" s="1" t="str">
        <f t="shared" si="109"/>
        <v>221</v>
      </c>
      <c r="I1177" s="1" t="str">
        <f t="shared" si="110"/>
        <v>12000-221</v>
      </c>
      <c r="J1177" s="1" t="str">
        <f t="shared" si="111"/>
        <v>Violin production item #221</v>
      </c>
      <c r="K1177" s="1" t="str">
        <f>IF(SUM(COUNTIFS(I:I, I1177)) &gt; 1, "DUPLICATE", "UNIQUE")</f>
        <v>UNIQUE</v>
      </c>
      <c r="L1177" s="18">
        <v>1</v>
      </c>
      <c r="M1177" s="28">
        <v>16</v>
      </c>
      <c r="N1177" s="6">
        <v>64</v>
      </c>
      <c r="O1177" s="30">
        <f t="shared" si="112"/>
        <v>16</v>
      </c>
      <c r="P1177" s="30">
        <f t="shared" si="113"/>
        <v>1024</v>
      </c>
      <c r="Q1177" s="1">
        <f>COUNTIFS($P:$P, "&gt;" &amp; $P1177) + 1</f>
        <v>3667</v>
      </c>
      <c r="R1177" s="63">
        <f>(COUNTIFS($P:$P, "&gt;" &amp; $P1177) + 1) / (COUNTA($I:$I) - 1)</f>
        <v>0.73340000000000005</v>
      </c>
      <c r="S1177" s="23">
        <f>SUMIFS($P:$P, $Q:$Q, "&lt;" &amp; $Q1177)</f>
        <v>186145961</v>
      </c>
    </row>
    <row r="1178" spans="1:19" x14ac:dyDescent="0.25">
      <c r="A1178" s="1">
        <v>1173</v>
      </c>
      <c r="B1178" s="1" t="s">
        <v>2</v>
      </c>
      <c r="C1178" s="1" t="str">
        <f>IF($B1178 = "Production Item", _xlfn.XLOOKUP($A1178, 'Instrument Table'!$J:$J, 'Instrument Table'!$B:$B, $C1177), IF($B1178 = "Service Item", _xlfn.XLOOKUP($A1178, 'Instrument Table'!$I:$I, 'Instrument Table'!$B:$B, $C1177), _xlfn.XLOOKUP($A1178, 'Instrument Table'!$H:$H, 'Instrument Table'!$B:$B, $C1177)))</f>
        <v>Violin</v>
      </c>
      <c r="D1178" s="1" t="str">
        <f>VLOOKUP($C1178, 'Instrument Table'!$B:$C, 2, FALSE)</f>
        <v>Strings</v>
      </c>
      <c r="E1178" s="1">
        <f t="shared" si="108"/>
        <v>1</v>
      </c>
      <c r="F1178" s="1">
        <f>_xlfn.XLOOKUP($C1178, 'Instrument Table'!$B:$B, 'Instrument Table'!$A:$A, "")</f>
        <v>20</v>
      </c>
      <c r="G1178" s="1" t="str">
        <f>TEXT(IF($B1178 = "Retail Item", IF((ROW($A1178) - 4504 - _xlfn.XMATCH($C1178, $C$4506:$C$5005, 0, 1)) &lt;= VLOOKUP($C1178, 'Instrument Table'!$B:$D, 3, FALSE), ROW($A1178) - 4504 - _xlfn.XMATCH($C1178, $C$4506:$C$5005, 0, 1), 0), 0), "00")</f>
        <v>00</v>
      </c>
      <c r="H1178" s="1" t="str">
        <f t="shared" si="109"/>
        <v>222</v>
      </c>
      <c r="I1178" s="1" t="str">
        <f t="shared" si="110"/>
        <v>12000-222</v>
      </c>
      <c r="J1178" s="1" t="str">
        <f t="shared" si="111"/>
        <v>Violin production item #222</v>
      </c>
      <c r="K1178" s="1" t="str">
        <f>IF(SUM(COUNTIFS(I:I, I1178)) &gt; 1, "DUPLICATE", "UNIQUE")</f>
        <v>UNIQUE</v>
      </c>
      <c r="L1178" s="18">
        <v>1</v>
      </c>
      <c r="M1178" s="28">
        <v>21</v>
      </c>
      <c r="N1178" s="6">
        <v>121</v>
      </c>
      <c r="O1178" s="30">
        <f t="shared" si="112"/>
        <v>21</v>
      </c>
      <c r="P1178" s="30">
        <f t="shared" si="113"/>
        <v>2541</v>
      </c>
      <c r="Q1178" s="1">
        <f>COUNTIFS($P:$P, "&gt;" &amp; $P1178) + 1</f>
        <v>3037</v>
      </c>
      <c r="R1178" s="63">
        <f>(COUNTIFS($P:$P, "&gt;" &amp; $P1178) + 1) / (COUNTA($I:$I) - 1)</f>
        <v>0.60740000000000005</v>
      </c>
      <c r="S1178" s="23">
        <f>SUMIFS($P:$P, $Q:$Q, "&lt;" &amp; $Q1178)</f>
        <v>185027794</v>
      </c>
    </row>
    <row r="1179" spans="1:19" x14ac:dyDescent="0.25">
      <c r="A1179" s="1">
        <v>1174</v>
      </c>
      <c r="B1179" s="1" t="s">
        <v>2</v>
      </c>
      <c r="C1179" s="1" t="str">
        <f>IF($B1179 = "Production Item", _xlfn.XLOOKUP($A1179, 'Instrument Table'!$J:$J, 'Instrument Table'!$B:$B, $C1178), IF($B1179 = "Service Item", _xlfn.XLOOKUP($A1179, 'Instrument Table'!$I:$I, 'Instrument Table'!$B:$B, $C1178), _xlfn.XLOOKUP($A1179, 'Instrument Table'!$H:$H, 'Instrument Table'!$B:$B, $C1178)))</f>
        <v>Violin</v>
      </c>
      <c r="D1179" s="1" t="str">
        <f>VLOOKUP($C1179, 'Instrument Table'!$B:$C, 2, FALSE)</f>
        <v>Strings</v>
      </c>
      <c r="E1179" s="1">
        <f t="shared" si="108"/>
        <v>1</v>
      </c>
      <c r="F1179" s="1">
        <f>_xlfn.XLOOKUP($C1179, 'Instrument Table'!$B:$B, 'Instrument Table'!$A:$A, "")</f>
        <v>20</v>
      </c>
      <c r="G1179" s="1" t="str">
        <f>TEXT(IF($B1179 = "Retail Item", IF((ROW($A1179) - 4504 - _xlfn.XMATCH($C1179, $C$4506:$C$5005, 0, 1)) &lt;= VLOOKUP($C1179, 'Instrument Table'!$B:$D, 3, FALSE), ROW($A1179) - 4504 - _xlfn.XMATCH($C1179, $C$4506:$C$5005, 0, 1), 0), 0), "00")</f>
        <v>00</v>
      </c>
      <c r="H1179" s="1" t="str">
        <f t="shared" si="109"/>
        <v>223</v>
      </c>
      <c r="I1179" s="1" t="str">
        <f t="shared" si="110"/>
        <v>12000-223</v>
      </c>
      <c r="J1179" s="1" t="str">
        <f t="shared" si="111"/>
        <v>Violin production item #223</v>
      </c>
      <c r="K1179" s="1" t="str">
        <f>IF(SUM(COUNTIFS(I:I, I1179)) &gt; 1, "DUPLICATE", "UNIQUE")</f>
        <v>UNIQUE</v>
      </c>
      <c r="L1179" s="18">
        <v>1</v>
      </c>
      <c r="M1179" s="28">
        <v>46</v>
      </c>
      <c r="N1179" s="6">
        <v>49</v>
      </c>
      <c r="O1179" s="30">
        <f t="shared" si="112"/>
        <v>46</v>
      </c>
      <c r="P1179" s="30">
        <f t="shared" si="113"/>
        <v>2254</v>
      </c>
      <c r="Q1179" s="1">
        <f>COUNTIFS($P:$P, "&gt;" &amp; $P1179) + 1</f>
        <v>3155</v>
      </c>
      <c r="R1179" s="63">
        <f>(COUNTIFS($P:$P, "&gt;" &amp; $P1179) + 1) / (COUNTA($I:$I) - 1)</f>
        <v>0.63100000000000001</v>
      </c>
      <c r="S1179" s="23">
        <f>SUMIFS($P:$P, $Q:$Q, "&lt;" &amp; $Q1179)</f>
        <v>185309453</v>
      </c>
    </row>
    <row r="1180" spans="1:19" x14ac:dyDescent="0.25">
      <c r="A1180" s="1">
        <v>1175</v>
      </c>
      <c r="B1180" s="1" t="s">
        <v>2</v>
      </c>
      <c r="C1180" s="1" t="str">
        <f>IF($B1180 = "Production Item", _xlfn.XLOOKUP($A1180, 'Instrument Table'!$J:$J, 'Instrument Table'!$B:$B, $C1179), IF($B1180 = "Service Item", _xlfn.XLOOKUP($A1180, 'Instrument Table'!$I:$I, 'Instrument Table'!$B:$B, $C1179), _xlfn.XLOOKUP($A1180, 'Instrument Table'!$H:$H, 'Instrument Table'!$B:$B, $C1179)))</f>
        <v>Violin</v>
      </c>
      <c r="D1180" s="1" t="str">
        <f>VLOOKUP($C1180, 'Instrument Table'!$B:$C, 2, FALSE)</f>
        <v>Strings</v>
      </c>
      <c r="E1180" s="1">
        <f t="shared" si="108"/>
        <v>1</v>
      </c>
      <c r="F1180" s="1">
        <f>_xlfn.XLOOKUP($C1180, 'Instrument Table'!$B:$B, 'Instrument Table'!$A:$A, "")</f>
        <v>20</v>
      </c>
      <c r="G1180" s="1" t="str">
        <f>TEXT(IF($B1180 = "Retail Item", IF((ROW($A1180) - 4504 - _xlfn.XMATCH($C1180, $C$4506:$C$5005, 0, 1)) &lt;= VLOOKUP($C1180, 'Instrument Table'!$B:$D, 3, FALSE), ROW($A1180) - 4504 - _xlfn.XMATCH($C1180, $C$4506:$C$5005, 0, 1), 0), 0), "00")</f>
        <v>00</v>
      </c>
      <c r="H1180" s="1" t="str">
        <f t="shared" si="109"/>
        <v>224</v>
      </c>
      <c r="I1180" s="1" t="str">
        <f t="shared" si="110"/>
        <v>12000-224</v>
      </c>
      <c r="J1180" s="1" t="str">
        <f t="shared" si="111"/>
        <v>Violin production item #224</v>
      </c>
      <c r="K1180" s="1" t="str">
        <f>IF(SUM(COUNTIFS(I:I, I1180)) &gt; 1, "DUPLICATE", "UNIQUE")</f>
        <v>UNIQUE</v>
      </c>
      <c r="L1180" s="18">
        <v>0</v>
      </c>
      <c r="M1180" s="28">
        <v>58</v>
      </c>
      <c r="N1180" s="6">
        <v>64</v>
      </c>
      <c r="O1180" s="30">
        <f t="shared" si="112"/>
        <v>0</v>
      </c>
      <c r="P1180" s="30">
        <f t="shared" si="113"/>
        <v>3712</v>
      </c>
      <c r="Q1180" s="1">
        <f>COUNTIFS($P:$P, "&gt;" &amp; $P1180) + 1</f>
        <v>2720</v>
      </c>
      <c r="R1180" s="63">
        <f>(COUNTIFS($P:$P, "&gt;" &amp; $P1180) + 1) / (COUNTA($I:$I) - 1)</f>
        <v>0.54400000000000004</v>
      </c>
      <c r="S1180" s="23">
        <f>SUMIFS($P:$P, $Q:$Q, "&lt;" &amp; $Q1180)</f>
        <v>184041686</v>
      </c>
    </row>
    <row r="1181" spans="1:19" x14ac:dyDescent="0.25">
      <c r="A1181" s="1">
        <v>1176</v>
      </c>
      <c r="B1181" s="1" t="s">
        <v>2</v>
      </c>
      <c r="C1181" s="1" t="str">
        <f>IF($B1181 = "Production Item", _xlfn.XLOOKUP($A1181, 'Instrument Table'!$J:$J, 'Instrument Table'!$B:$B, $C1180), IF($B1181 = "Service Item", _xlfn.XLOOKUP($A1181, 'Instrument Table'!$I:$I, 'Instrument Table'!$B:$B, $C1180), _xlfn.XLOOKUP($A1181, 'Instrument Table'!$H:$H, 'Instrument Table'!$B:$B, $C1180)))</f>
        <v>Violin</v>
      </c>
      <c r="D1181" s="1" t="str">
        <f>VLOOKUP($C1181, 'Instrument Table'!$B:$C, 2, FALSE)</f>
        <v>Strings</v>
      </c>
      <c r="E1181" s="1">
        <f t="shared" si="108"/>
        <v>1</v>
      </c>
      <c r="F1181" s="1">
        <f>_xlfn.XLOOKUP($C1181, 'Instrument Table'!$B:$B, 'Instrument Table'!$A:$A, "")</f>
        <v>20</v>
      </c>
      <c r="G1181" s="1" t="str">
        <f>TEXT(IF($B1181 = "Retail Item", IF((ROW($A1181) - 4504 - _xlfn.XMATCH($C1181, $C$4506:$C$5005, 0, 1)) &lt;= VLOOKUP($C1181, 'Instrument Table'!$B:$D, 3, FALSE), ROW($A1181) - 4504 - _xlfn.XMATCH($C1181, $C$4506:$C$5005, 0, 1), 0), 0), "00")</f>
        <v>00</v>
      </c>
      <c r="H1181" s="1" t="str">
        <f t="shared" si="109"/>
        <v>225</v>
      </c>
      <c r="I1181" s="1" t="str">
        <f t="shared" si="110"/>
        <v>12000-225</v>
      </c>
      <c r="J1181" s="1" t="str">
        <f t="shared" si="111"/>
        <v>Violin production item #225</v>
      </c>
      <c r="K1181" s="1" t="str">
        <f>IF(SUM(COUNTIFS(I:I, I1181)) &gt; 1, "DUPLICATE", "UNIQUE")</f>
        <v>UNIQUE</v>
      </c>
      <c r="L1181" s="18">
        <v>2</v>
      </c>
      <c r="M1181" s="28">
        <v>52</v>
      </c>
      <c r="N1181" s="6">
        <v>289</v>
      </c>
      <c r="O1181" s="30">
        <f t="shared" si="112"/>
        <v>104</v>
      </c>
      <c r="P1181" s="30">
        <f t="shared" si="113"/>
        <v>15028</v>
      </c>
      <c r="Q1181" s="1">
        <f>COUNTIFS($P:$P, "&gt;" &amp; $P1181) + 1</f>
        <v>1350</v>
      </c>
      <c r="R1181" s="63">
        <f>(COUNTIFS($P:$P, "&gt;" &amp; $P1181) + 1) / (COUNTA($I:$I) - 1)</f>
        <v>0.27</v>
      </c>
      <c r="S1181" s="23">
        <f>SUMIFS($P:$P, $Q:$Q, "&lt;" &amp; $Q1181)</f>
        <v>172742932</v>
      </c>
    </row>
    <row r="1182" spans="1:19" x14ac:dyDescent="0.25">
      <c r="A1182" s="1">
        <v>1177</v>
      </c>
      <c r="B1182" s="1" t="s">
        <v>2</v>
      </c>
      <c r="C1182" s="1" t="str">
        <f>IF($B1182 = "Production Item", _xlfn.XLOOKUP($A1182, 'Instrument Table'!$J:$J, 'Instrument Table'!$B:$B, $C1181), IF($B1182 = "Service Item", _xlfn.XLOOKUP($A1182, 'Instrument Table'!$I:$I, 'Instrument Table'!$B:$B, $C1181), _xlfn.XLOOKUP($A1182, 'Instrument Table'!$H:$H, 'Instrument Table'!$B:$B, $C1181)))</f>
        <v>Violin</v>
      </c>
      <c r="D1182" s="1" t="str">
        <f>VLOOKUP($C1182, 'Instrument Table'!$B:$C, 2, FALSE)</f>
        <v>Strings</v>
      </c>
      <c r="E1182" s="1">
        <f t="shared" si="108"/>
        <v>1</v>
      </c>
      <c r="F1182" s="1">
        <f>_xlfn.XLOOKUP($C1182, 'Instrument Table'!$B:$B, 'Instrument Table'!$A:$A, "")</f>
        <v>20</v>
      </c>
      <c r="G1182" s="1" t="str">
        <f>TEXT(IF($B1182 = "Retail Item", IF((ROW($A1182) - 4504 - _xlfn.XMATCH($C1182, $C$4506:$C$5005, 0, 1)) &lt;= VLOOKUP($C1182, 'Instrument Table'!$B:$D, 3, FALSE), ROW($A1182) - 4504 - _xlfn.XMATCH($C1182, $C$4506:$C$5005, 0, 1), 0), 0), "00")</f>
        <v>00</v>
      </c>
      <c r="H1182" s="1" t="str">
        <f t="shared" si="109"/>
        <v>226</v>
      </c>
      <c r="I1182" s="1" t="str">
        <f t="shared" si="110"/>
        <v>12000-226</v>
      </c>
      <c r="J1182" s="1" t="str">
        <f t="shared" si="111"/>
        <v>Violin production item #226</v>
      </c>
      <c r="K1182" s="1" t="str">
        <f>IF(SUM(COUNTIFS(I:I, I1182)) &gt; 1, "DUPLICATE", "UNIQUE")</f>
        <v>UNIQUE</v>
      </c>
      <c r="L1182" s="18">
        <v>1</v>
      </c>
      <c r="M1182" s="28">
        <v>23</v>
      </c>
      <c r="N1182" s="6">
        <v>64</v>
      </c>
      <c r="O1182" s="30">
        <f t="shared" si="112"/>
        <v>23</v>
      </c>
      <c r="P1182" s="30">
        <f t="shared" si="113"/>
        <v>1472</v>
      </c>
      <c r="Q1182" s="1">
        <f>COUNTIFS($P:$P, "&gt;" &amp; $P1182) + 1</f>
        <v>3470</v>
      </c>
      <c r="R1182" s="63">
        <f>(COUNTIFS($P:$P, "&gt;" &amp; $P1182) + 1) / (COUNTA($I:$I) - 1)</f>
        <v>0.69399999999999995</v>
      </c>
      <c r="S1182" s="23">
        <f>SUMIFS($P:$P, $Q:$Q, "&lt;" &amp; $Q1182)</f>
        <v>185893854</v>
      </c>
    </row>
    <row r="1183" spans="1:19" x14ac:dyDescent="0.25">
      <c r="A1183" s="1">
        <v>1178</v>
      </c>
      <c r="B1183" s="1" t="s">
        <v>2</v>
      </c>
      <c r="C1183" s="1" t="str">
        <f>IF($B1183 = "Production Item", _xlfn.XLOOKUP($A1183, 'Instrument Table'!$J:$J, 'Instrument Table'!$B:$B, $C1182), IF($B1183 = "Service Item", _xlfn.XLOOKUP($A1183, 'Instrument Table'!$I:$I, 'Instrument Table'!$B:$B, $C1182), _xlfn.XLOOKUP($A1183, 'Instrument Table'!$H:$H, 'Instrument Table'!$B:$B, $C1182)))</f>
        <v>Violin</v>
      </c>
      <c r="D1183" s="1" t="str">
        <f>VLOOKUP($C1183, 'Instrument Table'!$B:$C, 2, FALSE)</f>
        <v>Strings</v>
      </c>
      <c r="E1183" s="1">
        <f t="shared" si="108"/>
        <v>1</v>
      </c>
      <c r="F1183" s="1">
        <f>_xlfn.XLOOKUP($C1183, 'Instrument Table'!$B:$B, 'Instrument Table'!$A:$A, "")</f>
        <v>20</v>
      </c>
      <c r="G1183" s="1" t="str">
        <f>TEXT(IF($B1183 = "Retail Item", IF((ROW($A1183) - 4504 - _xlfn.XMATCH($C1183, $C$4506:$C$5005, 0, 1)) &lt;= VLOOKUP($C1183, 'Instrument Table'!$B:$D, 3, FALSE), ROW($A1183) - 4504 - _xlfn.XMATCH($C1183, $C$4506:$C$5005, 0, 1), 0), 0), "00")</f>
        <v>00</v>
      </c>
      <c r="H1183" s="1" t="str">
        <f t="shared" si="109"/>
        <v>227</v>
      </c>
      <c r="I1183" s="1" t="str">
        <f t="shared" si="110"/>
        <v>12000-227</v>
      </c>
      <c r="J1183" s="1" t="str">
        <f t="shared" si="111"/>
        <v>Violin production item #227</v>
      </c>
      <c r="K1183" s="1" t="str">
        <f>IF(SUM(COUNTIFS(I:I, I1183)) &gt; 1, "DUPLICATE", "UNIQUE")</f>
        <v>UNIQUE</v>
      </c>
      <c r="L1183" s="18">
        <v>0</v>
      </c>
      <c r="M1183" s="28">
        <v>48</v>
      </c>
      <c r="N1183" s="6">
        <v>144</v>
      </c>
      <c r="O1183" s="30">
        <f t="shared" si="112"/>
        <v>0</v>
      </c>
      <c r="P1183" s="30">
        <f t="shared" si="113"/>
        <v>6912</v>
      </c>
      <c r="Q1183" s="1">
        <f>COUNTIFS($P:$P, "&gt;" &amp; $P1183) + 1</f>
        <v>2145</v>
      </c>
      <c r="R1183" s="63">
        <f>(COUNTIFS($P:$P, "&gt;" &amp; $P1183) + 1) / (COUNTA($I:$I) - 1)</f>
        <v>0.42899999999999999</v>
      </c>
      <c r="S1183" s="23">
        <f>SUMIFS($P:$P, $Q:$Q, "&lt;" &amp; $Q1183)</f>
        <v>181079109</v>
      </c>
    </row>
    <row r="1184" spans="1:19" x14ac:dyDescent="0.25">
      <c r="A1184" s="1">
        <v>1179</v>
      </c>
      <c r="B1184" s="1" t="s">
        <v>2</v>
      </c>
      <c r="C1184" s="1" t="str">
        <f>IF($B1184 = "Production Item", _xlfn.XLOOKUP($A1184, 'Instrument Table'!$J:$J, 'Instrument Table'!$B:$B, $C1183), IF($B1184 = "Service Item", _xlfn.XLOOKUP($A1184, 'Instrument Table'!$I:$I, 'Instrument Table'!$B:$B, $C1183), _xlfn.XLOOKUP($A1184, 'Instrument Table'!$H:$H, 'Instrument Table'!$B:$B, $C1183)))</f>
        <v>Violin</v>
      </c>
      <c r="D1184" s="1" t="str">
        <f>VLOOKUP($C1184, 'Instrument Table'!$B:$C, 2, FALSE)</f>
        <v>Strings</v>
      </c>
      <c r="E1184" s="1">
        <f t="shared" si="108"/>
        <v>1</v>
      </c>
      <c r="F1184" s="1">
        <f>_xlfn.XLOOKUP($C1184, 'Instrument Table'!$B:$B, 'Instrument Table'!$A:$A, "")</f>
        <v>20</v>
      </c>
      <c r="G1184" s="1" t="str">
        <f>TEXT(IF($B1184 = "Retail Item", IF((ROW($A1184) - 4504 - _xlfn.XMATCH($C1184, $C$4506:$C$5005, 0, 1)) &lt;= VLOOKUP($C1184, 'Instrument Table'!$B:$D, 3, FALSE), ROW($A1184) - 4504 - _xlfn.XMATCH($C1184, $C$4506:$C$5005, 0, 1), 0), 0), "00")</f>
        <v>00</v>
      </c>
      <c r="H1184" s="1" t="str">
        <f t="shared" si="109"/>
        <v>228</v>
      </c>
      <c r="I1184" s="1" t="str">
        <f t="shared" si="110"/>
        <v>12000-228</v>
      </c>
      <c r="J1184" s="1" t="str">
        <f t="shared" si="111"/>
        <v>Violin production item #228</v>
      </c>
      <c r="K1184" s="1" t="str">
        <f>IF(SUM(COUNTIFS(I:I, I1184)) &gt; 1, "DUPLICATE", "UNIQUE")</f>
        <v>UNIQUE</v>
      </c>
      <c r="L1184" s="18">
        <v>4</v>
      </c>
      <c r="M1184" s="28">
        <v>79</v>
      </c>
      <c r="N1184" s="6">
        <v>289</v>
      </c>
      <c r="O1184" s="30">
        <f t="shared" si="112"/>
        <v>316</v>
      </c>
      <c r="P1184" s="30">
        <f t="shared" si="113"/>
        <v>22831</v>
      </c>
      <c r="Q1184" s="1">
        <f>COUNTIFS($P:$P, "&gt;" &amp; $P1184) + 1</f>
        <v>909</v>
      </c>
      <c r="R1184" s="63">
        <f>(COUNTIFS($P:$P, "&gt;" &amp; $P1184) + 1) / (COUNTA($I:$I) - 1)</f>
        <v>0.18179999999999999</v>
      </c>
      <c r="S1184" s="23">
        <f>SUMIFS($P:$P, $Q:$Q, "&lt;" &amp; $Q1184)</f>
        <v>164488143</v>
      </c>
    </row>
    <row r="1185" spans="1:19" x14ac:dyDescent="0.25">
      <c r="A1185" s="1">
        <v>1180</v>
      </c>
      <c r="B1185" s="1" t="s">
        <v>2</v>
      </c>
      <c r="C1185" s="1" t="str">
        <f>IF($B1185 = "Production Item", _xlfn.XLOOKUP($A1185, 'Instrument Table'!$J:$J, 'Instrument Table'!$B:$B, $C1184), IF($B1185 = "Service Item", _xlfn.XLOOKUP($A1185, 'Instrument Table'!$I:$I, 'Instrument Table'!$B:$B, $C1184), _xlfn.XLOOKUP($A1185, 'Instrument Table'!$H:$H, 'Instrument Table'!$B:$B, $C1184)))</f>
        <v>Violin</v>
      </c>
      <c r="D1185" s="1" t="str">
        <f>VLOOKUP($C1185, 'Instrument Table'!$B:$C, 2, FALSE)</f>
        <v>Strings</v>
      </c>
      <c r="E1185" s="1">
        <f t="shared" si="108"/>
        <v>1</v>
      </c>
      <c r="F1185" s="1">
        <f>_xlfn.XLOOKUP($C1185, 'Instrument Table'!$B:$B, 'Instrument Table'!$A:$A, "")</f>
        <v>20</v>
      </c>
      <c r="G1185" s="1" t="str">
        <f>TEXT(IF($B1185 = "Retail Item", IF((ROW($A1185) - 4504 - _xlfn.XMATCH($C1185, $C$4506:$C$5005, 0, 1)) &lt;= VLOOKUP($C1185, 'Instrument Table'!$B:$D, 3, FALSE), ROW($A1185) - 4504 - _xlfn.XMATCH($C1185, $C$4506:$C$5005, 0, 1), 0), 0), "00")</f>
        <v>00</v>
      </c>
      <c r="H1185" s="1" t="str">
        <f t="shared" si="109"/>
        <v>229</v>
      </c>
      <c r="I1185" s="1" t="str">
        <f t="shared" si="110"/>
        <v>12000-229</v>
      </c>
      <c r="J1185" s="1" t="str">
        <f t="shared" si="111"/>
        <v>Violin production item #229</v>
      </c>
      <c r="K1185" s="1" t="str">
        <f>IF(SUM(COUNTIFS(I:I, I1185)) &gt; 1, "DUPLICATE", "UNIQUE")</f>
        <v>UNIQUE</v>
      </c>
      <c r="L1185" s="18">
        <v>0</v>
      </c>
      <c r="M1185" s="28">
        <v>52</v>
      </c>
      <c r="N1185" s="6">
        <v>324</v>
      </c>
      <c r="O1185" s="30">
        <f t="shared" si="112"/>
        <v>0</v>
      </c>
      <c r="P1185" s="30">
        <f t="shared" si="113"/>
        <v>16848</v>
      </c>
      <c r="Q1185" s="1">
        <f>COUNTIFS($P:$P, "&gt;" &amp; $P1185) + 1</f>
        <v>1227</v>
      </c>
      <c r="R1185" s="63">
        <f>(COUNTIFS($P:$P, "&gt;" &amp; $P1185) + 1) / (COUNTA($I:$I) - 1)</f>
        <v>0.24540000000000001</v>
      </c>
      <c r="S1185" s="23">
        <f>SUMIFS($P:$P, $Q:$Q, "&lt;" &amp; $Q1185)</f>
        <v>170786371</v>
      </c>
    </row>
    <row r="1186" spans="1:19" x14ac:dyDescent="0.25">
      <c r="A1186" s="1">
        <v>1181</v>
      </c>
      <c r="B1186" s="1" t="s">
        <v>2</v>
      </c>
      <c r="C1186" s="1" t="str">
        <f>IF($B1186 = "Production Item", _xlfn.XLOOKUP($A1186, 'Instrument Table'!$J:$J, 'Instrument Table'!$B:$B, $C1185), IF($B1186 = "Service Item", _xlfn.XLOOKUP($A1186, 'Instrument Table'!$I:$I, 'Instrument Table'!$B:$B, $C1185), _xlfn.XLOOKUP($A1186, 'Instrument Table'!$H:$H, 'Instrument Table'!$B:$B, $C1185)))</f>
        <v>Violin</v>
      </c>
      <c r="D1186" s="1" t="str">
        <f>VLOOKUP($C1186, 'Instrument Table'!$B:$C, 2, FALSE)</f>
        <v>Strings</v>
      </c>
      <c r="E1186" s="1">
        <f t="shared" si="108"/>
        <v>1</v>
      </c>
      <c r="F1186" s="1">
        <f>_xlfn.XLOOKUP($C1186, 'Instrument Table'!$B:$B, 'Instrument Table'!$A:$A, "")</f>
        <v>20</v>
      </c>
      <c r="G1186" s="1" t="str">
        <f>TEXT(IF($B1186 = "Retail Item", IF((ROW($A1186) - 4504 - _xlfn.XMATCH($C1186, $C$4506:$C$5005, 0, 1)) &lt;= VLOOKUP($C1186, 'Instrument Table'!$B:$D, 3, FALSE), ROW($A1186) - 4504 - _xlfn.XMATCH($C1186, $C$4506:$C$5005, 0, 1), 0), 0), "00")</f>
        <v>00</v>
      </c>
      <c r="H1186" s="1" t="str">
        <f t="shared" si="109"/>
        <v>230</v>
      </c>
      <c r="I1186" s="1" t="str">
        <f t="shared" si="110"/>
        <v>12000-230</v>
      </c>
      <c r="J1186" s="1" t="str">
        <f t="shared" si="111"/>
        <v>Violin production item #230</v>
      </c>
      <c r="K1186" s="1" t="str">
        <f>IF(SUM(COUNTIFS(I:I, I1186)) &gt; 1, "DUPLICATE", "UNIQUE")</f>
        <v>UNIQUE</v>
      </c>
      <c r="L1186" s="18">
        <v>1</v>
      </c>
      <c r="M1186" s="28">
        <v>84</v>
      </c>
      <c r="N1186" s="6">
        <v>25</v>
      </c>
      <c r="O1186" s="30">
        <f t="shared" si="112"/>
        <v>84</v>
      </c>
      <c r="P1186" s="30">
        <f t="shared" si="113"/>
        <v>2100</v>
      </c>
      <c r="Q1186" s="1">
        <f>COUNTIFS($P:$P, "&gt;" &amp; $P1186) + 1</f>
        <v>3207</v>
      </c>
      <c r="R1186" s="63">
        <f>(COUNTIFS($P:$P, "&gt;" &amp; $P1186) + 1) / (COUNTA($I:$I) - 1)</f>
        <v>0.64139999999999997</v>
      </c>
      <c r="S1186" s="23">
        <f>SUMIFS($P:$P, $Q:$Q, "&lt;" &amp; $Q1186)</f>
        <v>185422450</v>
      </c>
    </row>
    <row r="1187" spans="1:19" x14ac:dyDescent="0.25">
      <c r="A1187" s="1">
        <v>1182</v>
      </c>
      <c r="B1187" s="1" t="s">
        <v>2</v>
      </c>
      <c r="C1187" s="1" t="str">
        <f>IF($B1187 = "Production Item", _xlfn.XLOOKUP($A1187, 'Instrument Table'!$J:$J, 'Instrument Table'!$B:$B, $C1186), IF($B1187 = "Service Item", _xlfn.XLOOKUP($A1187, 'Instrument Table'!$I:$I, 'Instrument Table'!$B:$B, $C1186), _xlfn.XLOOKUP($A1187, 'Instrument Table'!$H:$H, 'Instrument Table'!$B:$B, $C1186)))</f>
        <v>Violin</v>
      </c>
      <c r="D1187" s="1" t="str">
        <f>VLOOKUP($C1187, 'Instrument Table'!$B:$C, 2, FALSE)</f>
        <v>Strings</v>
      </c>
      <c r="E1187" s="1">
        <f t="shared" si="108"/>
        <v>1</v>
      </c>
      <c r="F1187" s="1">
        <f>_xlfn.XLOOKUP($C1187, 'Instrument Table'!$B:$B, 'Instrument Table'!$A:$A, "")</f>
        <v>20</v>
      </c>
      <c r="G1187" s="1" t="str">
        <f>TEXT(IF($B1187 = "Retail Item", IF((ROW($A1187) - 4504 - _xlfn.XMATCH($C1187, $C$4506:$C$5005, 0, 1)) &lt;= VLOOKUP($C1187, 'Instrument Table'!$B:$D, 3, FALSE), ROW($A1187) - 4504 - _xlfn.XMATCH($C1187, $C$4506:$C$5005, 0, 1), 0), 0), "00")</f>
        <v>00</v>
      </c>
      <c r="H1187" s="1" t="str">
        <f t="shared" si="109"/>
        <v>231</v>
      </c>
      <c r="I1187" s="1" t="str">
        <f t="shared" si="110"/>
        <v>12000-231</v>
      </c>
      <c r="J1187" s="1" t="str">
        <f t="shared" si="111"/>
        <v>Violin production item #231</v>
      </c>
      <c r="K1187" s="1" t="str">
        <f>IF(SUM(COUNTIFS(I:I, I1187)) &gt; 1, "DUPLICATE", "UNIQUE")</f>
        <v>UNIQUE</v>
      </c>
      <c r="L1187" s="18">
        <v>1</v>
      </c>
      <c r="M1187" s="28">
        <v>16</v>
      </c>
      <c r="N1187" s="6">
        <v>81</v>
      </c>
      <c r="O1187" s="30">
        <f t="shared" si="112"/>
        <v>16</v>
      </c>
      <c r="P1187" s="30">
        <f t="shared" si="113"/>
        <v>1296</v>
      </c>
      <c r="Q1187" s="1">
        <f>COUNTIFS($P:$P, "&gt;" &amp; $P1187) + 1</f>
        <v>3564</v>
      </c>
      <c r="R1187" s="63">
        <f>(COUNTIFS($P:$P, "&gt;" &amp; $P1187) + 1) / (COUNTA($I:$I) - 1)</f>
        <v>0.71279999999999999</v>
      </c>
      <c r="S1187" s="23">
        <f>SUMIFS($P:$P, $Q:$Q, "&lt;" &amp; $Q1187)</f>
        <v>186024528</v>
      </c>
    </row>
    <row r="1188" spans="1:19" x14ac:dyDescent="0.25">
      <c r="A1188" s="1">
        <v>1183</v>
      </c>
      <c r="B1188" s="1" t="s">
        <v>2</v>
      </c>
      <c r="C1188" s="1" t="str">
        <f>IF($B1188 = "Production Item", _xlfn.XLOOKUP($A1188, 'Instrument Table'!$J:$J, 'Instrument Table'!$B:$B, $C1187), IF($B1188 = "Service Item", _xlfn.XLOOKUP($A1188, 'Instrument Table'!$I:$I, 'Instrument Table'!$B:$B, $C1187), _xlfn.XLOOKUP($A1188, 'Instrument Table'!$H:$H, 'Instrument Table'!$B:$B, $C1187)))</f>
        <v>Violin</v>
      </c>
      <c r="D1188" s="1" t="str">
        <f>VLOOKUP($C1188, 'Instrument Table'!$B:$C, 2, FALSE)</f>
        <v>Strings</v>
      </c>
      <c r="E1188" s="1">
        <f t="shared" si="108"/>
        <v>1</v>
      </c>
      <c r="F1188" s="1">
        <f>_xlfn.XLOOKUP($C1188, 'Instrument Table'!$B:$B, 'Instrument Table'!$A:$A, "")</f>
        <v>20</v>
      </c>
      <c r="G1188" s="1" t="str">
        <f>TEXT(IF($B1188 = "Retail Item", IF((ROW($A1188) - 4504 - _xlfn.XMATCH($C1188, $C$4506:$C$5005, 0, 1)) &lt;= VLOOKUP($C1188, 'Instrument Table'!$B:$D, 3, FALSE), ROW($A1188) - 4504 - _xlfn.XMATCH($C1188, $C$4506:$C$5005, 0, 1), 0), 0), "00")</f>
        <v>00</v>
      </c>
      <c r="H1188" s="1" t="str">
        <f t="shared" si="109"/>
        <v>232</v>
      </c>
      <c r="I1188" s="1" t="str">
        <f t="shared" si="110"/>
        <v>12000-232</v>
      </c>
      <c r="J1188" s="1" t="str">
        <f t="shared" si="111"/>
        <v>Violin production item #232</v>
      </c>
      <c r="K1188" s="1" t="str">
        <f>IF(SUM(COUNTIFS(I:I, I1188)) &gt; 1, "DUPLICATE", "UNIQUE")</f>
        <v>UNIQUE</v>
      </c>
      <c r="L1188" s="18">
        <v>0</v>
      </c>
      <c r="M1188" s="28">
        <v>43</v>
      </c>
      <c r="N1188" s="6">
        <v>256</v>
      </c>
      <c r="O1188" s="30">
        <f t="shared" si="112"/>
        <v>0</v>
      </c>
      <c r="P1188" s="30">
        <f t="shared" si="113"/>
        <v>11008</v>
      </c>
      <c r="Q1188" s="1">
        <f>COUNTIFS($P:$P, "&gt;" &amp; $P1188) + 1</f>
        <v>1682</v>
      </c>
      <c r="R1188" s="63">
        <f>(COUNTIFS($P:$P, "&gt;" &amp; $P1188) + 1) / (COUNTA($I:$I) - 1)</f>
        <v>0.33639999999999998</v>
      </c>
      <c r="S1188" s="23">
        <f>SUMIFS($P:$P, $Q:$Q, "&lt;" &amp; $Q1188)</f>
        <v>177016604</v>
      </c>
    </row>
    <row r="1189" spans="1:19" x14ac:dyDescent="0.25">
      <c r="A1189" s="1">
        <v>1184</v>
      </c>
      <c r="B1189" s="1" t="s">
        <v>2</v>
      </c>
      <c r="C1189" s="1" t="str">
        <f>IF($B1189 = "Production Item", _xlfn.XLOOKUP($A1189, 'Instrument Table'!$J:$J, 'Instrument Table'!$B:$B, $C1188), IF($B1189 = "Service Item", _xlfn.XLOOKUP($A1189, 'Instrument Table'!$I:$I, 'Instrument Table'!$B:$B, $C1188), _xlfn.XLOOKUP($A1189, 'Instrument Table'!$H:$H, 'Instrument Table'!$B:$B, $C1188)))</f>
        <v>Violin</v>
      </c>
      <c r="D1189" s="1" t="str">
        <f>VLOOKUP($C1189, 'Instrument Table'!$B:$C, 2, FALSE)</f>
        <v>Strings</v>
      </c>
      <c r="E1189" s="1">
        <f t="shared" si="108"/>
        <v>1</v>
      </c>
      <c r="F1189" s="1">
        <f>_xlfn.XLOOKUP($C1189, 'Instrument Table'!$B:$B, 'Instrument Table'!$A:$A, "")</f>
        <v>20</v>
      </c>
      <c r="G1189" s="1" t="str">
        <f>TEXT(IF($B1189 = "Retail Item", IF((ROW($A1189) - 4504 - _xlfn.XMATCH($C1189, $C$4506:$C$5005, 0, 1)) &lt;= VLOOKUP($C1189, 'Instrument Table'!$B:$D, 3, FALSE), ROW($A1189) - 4504 - _xlfn.XMATCH($C1189, $C$4506:$C$5005, 0, 1), 0), 0), "00")</f>
        <v>00</v>
      </c>
      <c r="H1189" s="1" t="str">
        <f t="shared" si="109"/>
        <v>233</v>
      </c>
      <c r="I1189" s="1" t="str">
        <f t="shared" si="110"/>
        <v>12000-233</v>
      </c>
      <c r="J1189" s="1" t="str">
        <f t="shared" si="111"/>
        <v>Violin production item #233</v>
      </c>
      <c r="K1189" s="1" t="str">
        <f>IF(SUM(COUNTIFS(I:I, I1189)) &gt; 1, "DUPLICATE", "UNIQUE")</f>
        <v>UNIQUE</v>
      </c>
      <c r="L1189" s="18">
        <v>0</v>
      </c>
      <c r="M1189" s="28">
        <v>8</v>
      </c>
      <c r="N1189" s="6">
        <v>169</v>
      </c>
      <c r="O1189" s="30">
        <f t="shared" si="112"/>
        <v>0</v>
      </c>
      <c r="P1189" s="30">
        <f t="shared" si="113"/>
        <v>1352</v>
      </c>
      <c r="Q1189" s="1">
        <f>COUNTIFS($P:$P, "&gt;" &amp; $P1189) + 1</f>
        <v>3533</v>
      </c>
      <c r="R1189" s="63">
        <f>(COUNTIFS($P:$P, "&gt;" &amp; $P1189) + 1) / (COUNTA($I:$I) - 1)</f>
        <v>0.70660000000000001</v>
      </c>
      <c r="S1189" s="23">
        <f>SUMIFS($P:$P, $Q:$Q, "&lt;" &amp; $Q1189)</f>
        <v>185983257</v>
      </c>
    </row>
    <row r="1190" spans="1:19" x14ac:dyDescent="0.25">
      <c r="A1190" s="1">
        <v>1185</v>
      </c>
      <c r="B1190" s="1" t="s">
        <v>2</v>
      </c>
      <c r="C1190" s="1" t="str">
        <f>IF($B1190 = "Production Item", _xlfn.XLOOKUP($A1190, 'Instrument Table'!$J:$J, 'Instrument Table'!$B:$B, $C1189), IF($B1190 = "Service Item", _xlfn.XLOOKUP($A1190, 'Instrument Table'!$I:$I, 'Instrument Table'!$B:$B, $C1189), _xlfn.XLOOKUP($A1190, 'Instrument Table'!$H:$H, 'Instrument Table'!$B:$B, $C1189)))</f>
        <v>Violin</v>
      </c>
      <c r="D1190" s="1" t="str">
        <f>VLOOKUP($C1190, 'Instrument Table'!$B:$C, 2, FALSE)</f>
        <v>Strings</v>
      </c>
      <c r="E1190" s="1">
        <f t="shared" si="108"/>
        <v>1</v>
      </c>
      <c r="F1190" s="1">
        <f>_xlfn.XLOOKUP($C1190, 'Instrument Table'!$B:$B, 'Instrument Table'!$A:$A, "")</f>
        <v>20</v>
      </c>
      <c r="G1190" s="1" t="str">
        <f>TEXT(IF($B1190 = "Retail Item", IF((ROW($A1190) - 4504 - _xlfn.XMATCH($C1190, $C$4506:$C$5005, 0, 1)) &lt;= VLOOKUP($C1190, 'Instrument Table'!$B:$D, 3, FALSE), ROW($A1190) - 4504 - _xlfn.XMATCH($C1190, $C$4506:$C$5005, 0, 1), 0), 0), "00")</f>
        <v>00</v>
      </c>
      <c r="H1190" s="1" t="str">
        <f t="shared" si="109"/>
        <v>234</v>
      </c>
      <c r="I1190" s="1" t="str">
        <f t="shared" si="110"/>
        <v>12000-234</v>
      </c>
      <c r="J1190" s="1" t="str">
        <f t="shared" si="111"/>
        <v>Violin production item #234</v>
      </c>
      <c r="K1190" s="1" t="str">
        <f>IF(SUM(COUNTIFS(I:I, I1190)) &gt; 1, "DUPLICATE", "UNIQUE")</f>
        <v>UNIQUE</v>
      </c>
      <c r="L1190" s="18">
        <v>1</v>
      </c>
      <c r="M1190" s="28">
        <v>14</v>
      </c>
      <c r="N1190" s="6">
        <v>1</v>
      </c>
      <c r="O1190" s="30">
        <f t="shared" si="112"/>
        <v>14</v>
      </c>
      <c r="P1190" s="30">
        <f t="shared" si="113"/>
        <v>14</v>
      </c>
      <c r="Q1190" s="1">
        <f>COUNTIFS($P:$P, "&gt;" &amp; $P1190) + 1</f>
        <v>4712</v>
      </c>
      <c r="R1190" s="63">
        <f>(COUNTIFS($P:$P, "&gt;" &amp; $P1190) + 1) / (COUNTA($I:$I) - 1)</f>
        <v>0.94240000000000002</v>
      </c>
      <c r="S1190" s="23">
        <f>SUMIFS($P:$P, $Q:$Q, "&lt;" &amp; $Q1190)</f>
        <v>186547594</v>
      </c>
    </row>
    <row r="1191" spans="1:19" x14ac:dyDescent="0.25">
      <c r="A1191" s="1">
        <v>1186</v>
      </c>
      <c r="B1191" s="1" t="s">
        <v>2</v>
      </c>
      <c r="C1191" s="1" t="str">
        <f>IF($B1191 = "Production Item", _xlfn.XLOOKUP($A1191, 'Instrument Table'!$J:$J, 'Instrument Table'!$B:$B, $C1190), IF($B1191 = "Service Item", _xlfn.XLOOKUP($A1191, 'Instrument Table'!$I:$I, 'Instrument Table'!$B:$B, $C1190), _xlfn.XLOOKUP($A1191, 'Instrument Table'!$H:$H, 'Instrument Table'!$B:$B, $C1190)))</f>
        <v>Violin</v>
      </c>
      <c r="D1191" s="1" t="str">
        <f>VLOOKUP($C1191, 'Instrument Table'!$B:$C, 2, FALSE)</f>
        <v>Strings</v>
      </c>
      <c r="E1191" s="1">
        <f t="shared" si="108"/>
        <v>1</v>
      </c>
      <c r="F1191" s="1">
        <f>_xlfn.XLOOKUP($C1191, 'Instrument Table'!$B:$B, 'Instrument Table'!$A:$A, "")</f>
        <v>20</v>
      </c>
      <c r="G1191" s="1" t="str">
        <f>TEXT(IF($B1191 = "Retail Item", IF((ROW($A1191) - 4504 - _xlfn.XMATCH($C1191, $C$4506:$C$5005, 0, 1)) &lt;= VLOOKUP($C1191, 'Instrument Table'!$B:$D, 3, FALSE), ROW($A1191) - 4504 - _xlfn.XMATCH($C1191, $C$4506:$C$5005, 0, 1), 0), 0), "00")</f>
        <v>00</v>
      </c>
      <c r="H1191" s="1" t="str">
        <f t="shared" si="109"/>
        <v>235</v>
      </c>
      <c r="I1191" s="1" t="str">
        <f t="shared" si="110"/>
        <v>12000-235</v>
      </c>
      <c r="J1191" s="1" t="str">
        <f t="shared" si="111"/>
        <v>Violin production item #235</v>
      </c>
      <c r="K1191" s="1" t="str">
        <f>IF(SUM(COUNTIFS(I:I, I1191)) &gt; 1, "DUPLICATE", "UNIQUE")</f>
        <v>UNIQUE</v>
      </c>
      <c r="L1191" s="18">
        <v>1</v>
      </c>
      <c r="M1191" s="28">
        <v>31</v>
      </c>
      <c r="N1191" s="6">
        <v>324</v>
      </c>
      <c r="O1191" s="30">
        <f t="shared" si="112"/>
        <v>31</v>
      </c>
      <c r="P1191" s="30">
        <f t="shared" si="113"/>
        <v>10044</v>
      </c>
      <c r="Q1191" s="1">
        <f>COUNTIFS($P:$P, "&gt;" &amp; $P1191) + 1</f>
        <v>1766</v>
      </c>
      <c r="R1191" s="63">
        <f>(COUNTIFS($P:$P, "&gt;" &amp; $P1191) + 1) / (COUNTA($I:$I) - 1)</f>
        <v>0.35320000000000001</v>
      </c>
      <c r="S1191" s="23">
        <f>SUMIFS($P:$P, $Q:$Q, "&lt;" &amp; $Q1191)</f>
        <v>177905477</v>
      </c>
    </row>
    <row r="1192" spans="1:19" x14ac:dyDescent="0.25">
      <c r="A1192" s="1">
        <v>1187</v>
      </c>
      <c r="B1192" s="1" t="s">
        <v>2</v>
      </c>
      <c r="C1192" s="1" t="str">
        <f>IF($B1192 = "Production Item", _xlfn.XLOOKUP($A1192, 'Instrument Table'!$J:$J, 'Instrument Table'!$B:$B, $C1191), IF($B1192 = "Service Item", _xlfn.XLOOKUP($A1192, 'Instrument Table'!$I:$I, 'Instrument Table'!$B:$B, $C1191), _xlfn.XLOOKUP($A1192, 'Instrument Table'!$H:$H, 'Instrument Table'!$B:$B, $C1191)))</f>
        <v>Violin</v>
      </c>
      <c r="D1192" s="1" t="str">
        <f>VLOOKUP($C1192, 'Instrument Table'!$B:$C, 2, FALSE)</f>
        <v>Strings</v>
      </c>
      <c r="E1192" s="1">
        <f t="shared" si="108"/>
        <v>1</v>
      </c>
      <c r="F1192" s="1">
        <f>_xlfn.XLOOKUP($C1192, 'Instrument Table'!$B:$B, 'Instrument Table'!$A:$A, "")</f>
        <v>20</v>
      </c>
      <c r="G1192" s="1" t="str">
        <f>TEXT(IF($B1192 = "Retail Item", IF((ROW($A1192) - 4504 - _xlfn.XMATCH($C1192, $C$4506:$C$5005, 0, 1)) &lt;= VLOOKUP($C1192, 'Instrument Table'!$B:$D, 3, FALSE), ROW($A1192) - 4504 - _xlfn.XMATCH($C1192, $C$4506:$C$5005, 0, 1), 0), 0), "00")</f>
        <v>00</v>
      </c>
      <c r="H1192" s="1" t="str">
        <f t="shared" si="109"/>
        <v>236</v>
      </c>
      <c r="I1192" s="1" t="str">
        <f t="shared" si="110"/>
        <v>12000-236</v>
      </c>
      <c r="J1192" s="1" t="str">
        <f t="shared" si="111"/>
        <v>Violin production item #236</v>
      </c>
      <c r="K1192" s="1" t="str">
        <f>IF(SUM(COUNTIFS(I:I, I1192)) &gt; 1, "DUPLICATE", "UNIQUE")</f>
        <v>UNIQUE</v>
      </c>
      <c r="L1192" s="18">
        <v>0</v>
      </c>
      <c r="M1192" s="28">
        <v>46</v>
      </c>
      <c r="N1192" s="6">
        <v>100</v>
      </c>
      <c r="O1192" s="30">
        <f t="shared" si="112"/>
        <v>0</v>
      </c>
      <c r="P1192" s="30">
        <f t="shared" si="113"/>
        <v>4600</v>
      </c>
      <c r="Q1192" s="1">
        <f>COUNTIFS($P:$P, "&gt;" &amp; $P1192) + 1</f>
        <v>2524</v>
      </c>
      <c r="R1192" s="63">
        <f>(COUNTIFS($P:$P, "&gt;" &amp; $P1192) + 1) / (COUNTA($I:$I) - 1)</f>
        <v>0.50480000000000003</v>
      </c>
      <c r="S1192" s="23">
        <f>SUMIFS($P:$P, $Q:$Q, "&lt;" &amp; $Q1192)</f>
        <v>183226841</v>
      </c>
    </row>
    <row r="1193" spans="1:19" x14ac:dyDescent="0.25">
      <c r="A1193" s="1">
        <v>1188</v>
      </c>
      <c r="B1193" s="1" t="s">
        <v>2</v>
      </c>
      <c r="C1193" s="1" t="str">
        <f>IF($B1193 = "Production Item", _xlfn.XLOOKUP($A1193, 'Instrument Table'!$J:$J, 'Instrument Table'!$B:$B, $C1192), IF($B1193 = "Service Item", _xlfn.XLOOKUP($A1193, 'Instrument Table'!$I:$I, 'Instrument Table'!$B:$B, $C1192), _xlfn.XLOOKUP($A1193, 'Instrument Table'!$H:$H, 'Instrument Table'!$B:$B, $C1192)))</f>
        <v>Violin</v>
      </c>
      <c r="D1193" s="1" t="str">
        <f>VLOOKUP($C1193, 'Instrument Table'!$B:$C, 2, FALSE)</f>
        <v>Strings</v>
      </c>
      <c r="E1193" s="1">
        <f t="shared" si="108"/>
        <v>1</v>
      </c>
      <c r="F1193" s="1">
        <f>_xlfn.XLOOKUP($C1193, 'Instrument Table'!$B:$B, 'Instrument Table'!$A:$A, "")</f>
        <v>20</v>
      </c>
      <c r="G1193" s="1" t="str">
        <f>TEXT(IF($B1193 = "Retail Item", IF((ROW($A1193) - 4504 - _xlfn.XMATCH($C1193, $C$4506:$C$5005, 0, 1)) &lt;= VLOOKUP($C1193, 'Instrument Table'!$B:$D, 3, FALSE), ROW($A1193) - 4504 - _xlfn.XMATCH($C1193, $C$4506:$C$5005, 0, 1), 0), 0), "00")</f>
        <v>00</v>
      </c>
      <c r="H1193" s="1" t="str">
        <f t="shared" si="109"/>
        <v>237</v>
      </c>
      <c r="I1193" s="1" t="str">
        <f t="shared" si="110"/>
        <v>12000-237</v>
      </c>
      <c r="J1193" s="1" t="str">
        <f t="shared" si="111"/>
        <v>Violin production item #237</v>
      </c>
      <c r="K1193" s="1" t="str">
        <f>IF(SUM(COUNTIFS(I:I, I1193)) &gt; 1, "DUPLICATE", "UNIQUE")</f>
        <v>UNIQUE</v>
      </c>
      <c r="L1193" s="18">
        <v>1</v>
      </c>
      <c r="M1193" s="28">
        <v>10</v>
      </c>
      <c r="N1193" s="6">
        <v>121</v>
      </c>
      <c r="O1193" s="30">
        <f t="shared" si="112"/>
        <v>10</v>
      </c>
      <c r="P1193" s="30">
        <f t="shared" si="113"/>
        <v>1210</v>
      </c>
      <c r="Q1193" s="1">
        <f>COUNTIFS($P:$P, "&gt;" &amp; $P1193) + 1</f>
        <v>3603</v>
      </c>
      <c r="R1193" s="63">
        <f>(COUNTIFS($P:$P, "&gt;" &amp; $P1193) + 1) / (COUNTA($I:$I) - 1)</f>
        <v>0.72060000000000002</v>
      </c>
      <c r="S1193" s="23">
        <f>SUMIFS($P:$P, $Q:$Q, "&lt;" &amp; $Q1193)</f>
        <v>186073388</v>
      </c>
    </row>
    <row r="1194" spans="1:19" x14ac:dyDescent="0.25">
      <c r="A1194" s="1">
        <v>1189</v>
      </c>
      <c r="B1194" s="1" t="s">
        <v>2</v>
      </c>
      <c r="C1194" s="1" t="str">
        <f>IF($B1194 = "Production Item", _xlfn.XLOOKUP($A1194, 'Instrument Table'!$J:$J, 'Instrument Table'!$B:$B, $C1193), IF($B1194 = "Service Item", _xlfn.XLOOKUP($A1194, 'Instrument Table'!$I:$I, 'Instrument Table'!$B:$B, $C1193), _xlfn.XLOOKUP($A1194, 'Instrument Table'!$H:$H, 'Instrument Table'!$B:$B, $C1193)))</f>
        <v>Violin</v>
      </c>
      <c r="D1194" s="1" t="str">
        <f>VLOOKUP($C1194, 'Instrument Table'!$B:$C, 2, FALSE)</f>
        <v>Strings</v>
      </c>
      <c r="E1194" s="1">
        <f t="shared" si="108"/>
        <v>1</v>
      </c>
      <c r="F1194" s="1">
        <f>_xlfn.XLOOKUP($C1194, 'Instrument Table'!$B:$B, 'Instrument Table'!$A:$A, "")</f>
        <v>20</v>
      </c>
      <c r="G1194" s="1" t="str">
        <f>TEXT(IF($B1194 = "Retail Item", IF((ROW($A1194) - 4504 - _xlfn.XMATCH($C1194, $C$4506:$C$5005, 0, 1)) &lt;= VLOOKUP($C1194, 'Instrument Table'!$B:$D, 3, FALSE), ROW($A1194) - 4504 - _xlfn.XMATCH($C1194, $C$4506:$C$5005, 0, 1), 0), 0), "00")</f>
        <v>00</v>
      </c>
      <c r="H1194" s="1" t="str">
        <f t="shared" si="109"/>
        <v>238</v>
      </c>
      <c r="I1194" s="1" t="str">
        <f t="shared" si="110"/>
        <v>12000-238</v>
      </c>
      <c r="J1194" s="1" t="str">
        <f t="shared" si="111"/>
        <v>Violin production item #238</v>
      </c>
      <c r="K1194" s="1" t="str">
        <f>IF(SUM(COUNTIFS(I:I, I1194)) &gt; 1, "DUPLICATE", "UNIQUE")</f>
        <v>UNIQUE</v>
      </c>
      <c r="L1194" s="18">
        <v>4</v>
      </c>
      <c r="M1194" s="28">
        <v>66</v>
      </c>
      <c r="N1194" s="6">
        <v>289</v>
      </c>
      <c r="O1194" s="30">
        <f t="shared" si="112"/>
        <v>264</v>
      </c>
      <c r="P1194" s="30">
        <f t="shared" si="113"/>
        <v>19074</v>
      </c>
      <c r="Q1194" s="1">
        <f>COUNTIFS($P:$P, "&gt;" &amp; $P1194) + 1</f>
        <v>1103</v>
      </c>
      <c r="R1194" s="63">
        <f>(COUNTIFS($P:$P, "&gt;" &amp; $P1194) + 1) / (COUNTA($I:$I) - 1)</f>
        <v>0.22059999999999999</v>
      </c>
      <c r="S1194" s="23">
        <f>SUMIFS($P:$P, $Q:$Q, "&lt;" &amp; $Q1194)</f>
        <v>168561254</v>
      </c>
    </row>
    <row r="1195" spans="1:19" x14ac:dyDescent="0.25">
      <c r="A1195" s="1">
        <v>1190</v>
      </c>
      <c r="B1195" s="1" t="s">
        <v>2</v>
      </c>
      <c r="C1195" s="1" t="str">
        <f>IF($B1195 = "Production Item", _xlfn.XLOOKUP($A1195, 'Instrument Table'!$J:$J, 'Instrument Table'!$B:$B, $C1194), IF($B1195 = "Service Item", _xlfn.XLOOKUP($A1195, 'Instrument Table'!$I:$I, 'Instrument Table'!$B:$B, $C1194), _xlfn.XLOOKUP($A1195, 'Instrument Table'!$H:$H, 'Instrument Table'!$B:$B, $C1194)))</f>
        <v>Violin</v>
      </c>
      <c r="D1195" s="1" t="str">
        <f>VLOOKUP($C1195, 'Instrument Table'!$B:$C, 2, FALSE)</f>
        <v>Strings</v>
      </c>
      <c r="E1195" s="1">
        <f t="shared" si="108"/>
        <v>1</v>
      </c>
      <c r="F1195" s="1">
        <f>_xlfn.XLOOKUP($C1195, 'Instrument Table'!$B:$B, 'Instrument Table'!$A:$A, "")</f>
        <v>20</v>
      </c>
      <c r="G1195" s="1" t="str">
        <f>TEXT(IF($B1195 = "Retail Item", IF((ROW($A1195) - 4504 - _xlfn.XMATCH($C1195, $C$4506:$C$5005, 0, 1)) &lt;= VLOOKUP($C1195, 'Instrument Table'!$B:$D, 3, FALSE), ROW($A1195) - 4504 - _xlfn.XMATCH($C1195, $C$4506:$C$5005, 0, 1), 0), 0), "00")</f>
        <v>00</v>
      </c>
      <c r="H1195" s="1" t="str">
        <f t="shared" si="109"/>
        <v>239</v>
      </c>
      <c r="I1195" s="1" t="str">
        <f t="shared" si="110"/>
        <v>12000-239</v>
      </c>
      <c r="J1195" s="1" t="str">
        <f t="shared" si="111"/>
        <v>Violin production item #239</v>
      </c>
      <c r="K1195" s="1" t="str">
        <f>IF(SUM(COUNTIFS(I:I, I1195)) &gt; 1, "DUPLICATE", "UNIQUE")</f>
        <v>UNIQUE</v>
      </c>
      <c r="L1195" s="18">
        <v>1</v>
      </c>
      <c r="M1195" s="28">
        <v>88</v>
      </c>
      <c r="N1195" s="6">
        <v>196</v>
      </c>
      <c r="O1195" s="30">
        <f t="shared" si="112"/>
        <v>88</v>
      </c>
      <c r="P1195" s="30">
        <f t="shared" si="113"/>
        <v>17248</v>
      </c>
      <c r="Q1195" s="1">
        <f>COUNTIFS($P:$P, "&gt;" &amp; $P1195) + 1</f>
        <v>1202</v>
      </c>
      <c r="R1195" s="63">
        <f>(COUNTIFS($P:$P, "&gt;" &amp; $P1195) + 1) / (COUNTA($I:$I) - 1)</f>
        <v>0.2404</v>
      </c>
      <c r="S1195" s="23">
        <f>SUMIFS($P:$P, $Q:$Q, "&lt;" &amp; $Q1195)</f>
        <v>170360861</v>
      </c>
    </row>
    <row r="1196" spans="1:19" x14ac:dyDescent="0.25">
      <c r="A1196" s="1">
        <v>1191</v>
      </c>
      <c r="B1196" s="1" t="s">
        <v>2</v>
      </c>
      <c r="C1196" s="1" t="str">
        <f>IF($B1196 = "Production Item", _xlfn.XLOOKUP($A1196, 'Instrument Table'!$J:$J, 'Instrument Table'!$B:$B, $C1195), IF($B1196 = "Service Item", _xlfn.XLOOKUP($A1196, 'Instrument Table'!$I:$I, 'Instrument Table'!$B:$B, $C1195), _xlfn.XLOOKUP($A1196, 'Instrument Table'!$H:$H, 'Instrument Table'!$B:$B, $C1195)))</f>
        <v>Violin</v>
      </c>
      <c r="D1196" s="1" t="str">
        <f>VLOOKUP($C1196, 'Instrument Table'!$B:$C, 2, FALSE)</f>
        <v>Strings</v>
      </c>
      <c r="E1196" s="1">
        <f t="shared" si="108"/>
        <v>1</v>
      </c>
      <c r="F1196" s="1">
        <f>_xlfn.XLOOKUP($C1196, 'Instrument Table'!$B:$B, 'Instrument Table'!$A:$A, "")</f>
        <v>20</v>
      </c>
      <c r="G1196" s="1" t="str">
        <f>TEXT(IF($B1196 = "Retail Item", IF((ROW($A1196) - 4504 - _xlfn.XMATCH($C1196, $C$4506:$C$5005, 0, 1)) &lt;= VLOOKUP($C1196, 'Instrument Table'!$B:$D, 3, FALSE), ROW($A1196) - 4504 - _xlfn.XMATCH($C1196, $C$4506:$C$5005, 0, 1), 0), 0), "00")</f>
        <v>00</v>
      </c>
      <c r="H1196" s="1" t="str">
        <f t="shared" si="109"/>
        <v>240</v>
      </c>
      <c r="I1196" s="1" t="str">
        <f t="shared" si="110"/>
        <v>12000-240</v>
      </c>
      <c r="J1196" s="1" t="str">
        <f t="shared" si="111"/>
        <v>Violin production item #240</v>
      </c>
      <c r="K1196" s="1" t="str">
        <f>IF(SUM(COUNTIFS(I:I, I1196)) &gt; 1, "DUPLICATE", "UNIQUE")</f>
        <v>UNIQUE</v>
      </c>
      <c r="L1196" s="18">
        <v>0</v>
      </c>
      <c r="M1196" s="28">
        <v>57</v>
      </c>
      <c r="N1196" s="6">
        <v>0</v>
      </c>
      <c r="O1196" s="30">
        <f t="shared" si="112"/>
        <v>0</v>
      </c>
      <c r="P1196" s="30">
        <f t="shared" si="113"/>
        <v>0</v>
      </c>
      <c r="Q1196" s="1">
        <f>COUNTIFS($P:$P, "&gt;" &amp; $P1196) + 1</f>
        <v>4746</v>
      </c>
      <c r="R1196" s="63">
        <f>(COUNTIFS($P:$P, "&gt;" &amp; $P1196) + 1) / (COUNTA($I:$I) - 1)</f>
        <v>0.94920000000000004</v>
      </c>
      <c r="S1196" s="23">
        <f>SUMIFS($P:$P, $Q:$Q, "&lt;" &amp; $Q1196)</f>
        <v>186547861</v>
      </c>
    </row>
    <row r="1197" spans="1:19" x14ac:dyDescent="0.25">
      <c r="A1197" s="1">
        <v>1192</v>
      </c>
      <c r="B1197" s="1" t="s">
        <v>2</v>
      </c>
      <c r="C1197" s="1" t="str">
        <f>IF($B1197 = "Production Item", _xlfn.XLOOKUP($A1197, 'Instrument Table'!$J:$J, 'Instrument Table'!$B:$B, $C1196), IF($B1197 = "Service Item", _xlfn.XLOOKUP($A1197, 'Instrument Table'!$I:$I, 'Instrument Table'!$B:$B, $C1196), _xlfn.XLOOKUP($A1197, 'Instrument Table'!$H:$H, 'Instrument Table'!$B:$B, $C1196)))</f>
        <v>Violin</v>
      </c>
      <c r="D1197" s="1" t="str">
        <f>VLOOKUP($C1197, 'Instrument Table'!$B:$C, 2, FALSE)</f>
        <v>Strings</v>
      </c>
      <c r="E1197" s="1">
        <f t="shared" si="108"/>
        <v>1</v>
      </c>
      <c r="F1197" s="1">
        <f>_xlfn.XLOOKUP($C1197, 'Instrument Table'!$B:$B, 'Instrument Table'!$A:$A, "")</f>
        <v>20</v>
      </c>
      <c r="G1197" s="1" t="str">
        <f>TEXT(IF($B1197 = "Retail Item", IF((ROW($A1197) - 4504 - _xlfn.XMATCH($C1197, $C$4506:$C$5005, 0, 1)) &lt;= VLOOKUP($C1197, 'Instrument Table'!$B:$D, 3, FALSE), ROW($A1197) - 4504 - _xlfn.XMATCH($C1197, $C$4506:$C$5005, 0, 1), 0), 0), "00")</f>
        <v>00</v>
      </c>
      <c r="H1197" s="1" t="str">
        <f t="shared" si="109"/>
        <v>241</v>
      </c>
      <c r="I1197" s="1" t="str">
        <f t="shared" si="110"/>
        <v>12000-241</v>
      </c>
      <c r="J1197" s="1" t="str">
        <f t="shared" si="111"/>
        <v>Violin production item #241</v>
      </c>
      <c r="K1197" s="1" t="str">
        <f>IF(SUM(COUNTIFS(I:I, I1197)) &gt; 1, "DUPLICATE", "UNIQUE")</f>
        <v>UNIQUE</v>
      </c>
      <c r="L1197" s="18">
        <v>16</v>
      </c>
      <c r="M1197" s="28">
        <v>32</v>
      </c>
      <c r="N1197" s="6">
        <v>25</v>
      </c>
      <c r="O1197" s="30">
        <f t="shared" si="112"/>
        <v>512</v>
      </c>
      <c r="P1197" s="30">
        <f t="shared" si="113"/>
        <v>800</v>
      </c>
      <c r="Q1197" s="1">
        <f>COUNTIFS($P:$P, "&gt;" &amp; $P1197) + 1</f>
        <v>3790</v>
      </c>
      <c r="R1197" s="63">
        <f>(COUNTIFS($P:$P, "&gt;" &amp; $P1197) + 1) / (COUNTA($I:$I) - 1)</f>
        <v>0.75800000000000001</v>
      </c>
      <c r="S1197" s="23">
        <f>SUMIFS($P:$P, $Q:$Q, "&lt;" &amp; $Q1197)</f>
        <v>186257682</v>
      </c>
    </row>
    <row r="1198" spans="1:19" x14ac:dyDescent="0.25">
      <c r="A1198" s="1">
        <v>1193</v>
      </c>
      <c r="B1198" s="1" t="s">
        <v>2</v>
      </c>
      <c r="C1198" s="1" t="str">
        <f>IF($B1198 = "Production Item", _xlfn.XLOOKUP($A1198, 'Instrument Table'!$J:$J, 'Instrument Table'!$B:$B, $C1197), IF($B1198 = "Service Item", _xlfn.XLOOKUP($A1198, 'Instrument Table'!$I:$I, 'Instrument Table'!$B:$B, $C1197), _xlfn.XLOOKUP($A1198, 'Instrument Table'!$H:$H, 'Instrument Table'!$B:$B, $C1197)))</f>
        <v>Violin</v>
      </c>
      <c r="D1198" s="1" t="str">
        <f>VLOOKUP($C1198, 'Instrument Table'!$B:$C, 2, FALSE)</f>
        <v>Strings</v>
      </c>
      <c r="E1198" s="1">
        <f t="shared" si="108"/>
        <v>1</v>
      </c>
      <c r="F1198" s="1">
        <f>_xlfn.XLOOKUP($C1198, 'Instrument Table'!$B:$B, 'Instrument Table'!$A:$A, "")</f>
        <v>20</v>
      </c>
      <c r="G1198" s="1" t="str">
        <f>TEXT(IF($B1198 = "Retail Item", IF((ROW($A1198) - 4504 - _xlfn.XMATCH($C1198, $C$4506:$C$5005, 0, 1)) &lt;= VLOOKUP($C1198, 'Instrument Table'!$B:$D, 3, FALSE), ROW($A1198) - 4504 - _xlfn.XMATCH($C1198, $C$4506:$C$5005, 0, 1), 0), 0), "00")</f>
        <v>00</v>
      </c>
      <c r="H1198" s="1" t="str">
        <f t="shared" si="109"/>
        <v>242</v>
      </c>
      <c r="I1198" s="1" t="str">
        <f t="shared" si="110"/>
        <v>12000-242</v>
      </c>
      <c r="J1198" s="1" t="str">
        <f t="shared" si="111"/>
        <v>Violin production item #242</v>
      </c>
      <c r="K1198" s="1" t="str">
        <f>IF(SUM(COUNTIFS(I:I, I1198)) &gt; 1, "DUPLICATE", "UNIQUE")</f>
        <v>UNIQUE</v>
      </c>
      <c r="L1198" s="18">
        <v>0</v>
      </c>
      <c r="M1198" s="28">
        <v>28</v>
      </c>
      <c r="N1198" s="6">
        <v>196</v>
      </c>
      <c r="O1198" s="30">
        <f t="shared" si="112"/>
        <v>0</v>
      </c>
      <c r="P1198" s="30">
        <f t="shared" si="113"/>
        <v>5488</v>
      </c>
      <c r="Q1198" s="1">
        <f>COUNTIFS($P:$P, "&gt;" &amp; $P1198) + 1</f>
        <v>2357</v>
      </c>
      <c r="R1198" s="63">
        <f>(COUNTIFS($P:$P, "&gt;" &amp; $P1198) + 1) / (COUNTA($I:$I) - 1)</f>
        <v>0.47139999999999999</v>
      </c>
      <c r="S1198" s="23">
        <f>SUMIFS($P:$P, $Q:$Q, "&lt;" &amp; $Q1198)</f>
        <v>182386031</v>
      </c>
    </row>
    <row r="1199" spans="1:19" x14ac:dyDescent="0.25">
      <c r="A1199" s="1">
        <v>1194</v>
      </c>
      <c r="B1199" s="1" t="s">
        <v>2</v>
      </c>
      <c r="C1199" s="1" t="str">
        <f>IF($B1199 = "Production Item", _xlfn.XLOOKUP($A1199, 'Instrument Table'!$J:$J, 'Instrument Table'!$B:$B, $C1198), IF($B1199 = "Service Item", _xlfn.XLOOKUP($A1199, 'Instrument Table'!$I:$I, 'Instrument Table'!$B:$B, $C1198), _xlfn.XLOOKUP($A1199, 'Instrument Table'!$H:$H, 'Instrument Table'!$B:$B, $C1198)))</f>
        <v>Violin</v>
      </c>
      <c r="D1199" s="1" t="str">
        <f>VLOOKUP($C1199, 'Instrument Table'!$B:$C, 2, FALSE)</f>
        <v>Strings</v>
      </c>
      <c r="E1199" s="1">
        <f t="shared" si="108"/>
        <v>1</v>
      </c>
      <c r="F1199" s="1">
        <f>_xlfn.XLOOKUP($C1199, 'Instrument Table'!$B:$B, 'Instrument Table'!$A:$A, "")</f>
        <v>20</v>
      </c>
      <c r="G1199" s="1" t="str">
        <f>TEXT(IF($B1199 = "Retail Item", IF((ROW($A1199) - 4504 - _xlfn.XMATCH($C1199, $C$4506:$C$5005, 0, 1)) &lt;= VLOOKUP($C1199, 'Instrument Table'!$B:$D, 3, FALSE), ROW($A1199) - 4504 - _xlfn.XMATCH($C1199, $C$4506:$C$5005, 0, 1), 0), 0), "00")</f>
        <v>00</v>
      </c>
      <c r="H1199" s="1" t="str">
        <f t="shared" si="109"/>
        <v>243</v>
      </c>
      <c r="I1199" s="1" t="str">
        <f t="shared" si="110"/>
        <v>12000-243</v>
      </c>
      <c r="J1199" s="1" t="str">
        <f t="shared" si="111"/>
        <v>Violin production item #243</v>
      </c>
      <c r="K1199" s="1" t="str">
        <f>IF(SUM(COUNTIFS(I:I, I1199)) &gt; 1, "DUPLICATE", "UNIQUE")</f>
        <v>UNIQUE</v>
      </c>
      <c r="L1199" s="18">
        <v>16</v>
      </c>
      <c r="M1199" s="28">
        <v>46</v>
      </c>
      <c r="N1199" s="6">
        <v>225</v>
      </c>
      <c r="O1199" s="30">
        <f t="shared" si="112"/>
        <v>736</v>
      </c>
      <c r="P1199" s="30">
        <f t="shared" si="113"/>
        <v>10350</v>
      </c>
      <c r="Q1199" s="1">
        <f>COUNTIFS($P:$P, "&gt;" &amp; $P1199) + 1</f>
        <v>1745</v>
      </c>
      <c r="R1199" s="63">
        <f>(COUNTIFS($P:$P, "&gt;" &amp; $P1199) + 1) / (COUNTA($I:$I) - 1)</f>
        <v>0.34899999999999998</v>
      </c>
      <c r="S1199" s="23">
        <f>SUMIFS($P:$P, $Q:$Q, "&lt;" &amp; $Q1199)</f>
        <v>177690452</v>
      </c>
    </row>
    <row r="1200" spans="1:19" x14ac:dyDescent="0.25">
      <c r="A1200" s="1">
        <v>1195</v>
      </c>
      <c r="B1200" s="1" t="s">
        <v>2</v>
      </c>
      <c r="C1200" s="1" t="str">
        <f>IF($B1200 = "Production Item", _xlfn.XLOOKUP($A1200, 'Instrument Table'!$J:$J, 'Instrument Table'!$B:$B, $C1199), IF($B1200 = "Service Item", _xlfn.XLOOKUP($A1200, 'Instrument Table'!$I:$I, 'Instrument Table'!$B:$B, $C1199), _xlfn.XLOOKUP($A1200, 'Instrument Table'!$H:$H, 'Instrument Table'!$B:$B, $C1199)))</f>
        <v>Violin</v>
      </c>
      <c r="D1200" s="1" t="str">
        <f>VLOOKUP($C1200, 'Instrument Table'!$B:$C, 2, FALSE)</f>
        <v>Strings</v>
      </c>
      <c r="E1200" s="1">
        <f t="shared" si="108"/>
        <v>1</v>
      </c>
      <c r="F1200" s="1">
        <f>_xlfn.XLOOKUP($C1200, 'Instrument Table'!$B:$B, 'Instrument Table'!$A:$A, "")</f>
        <v>20</v>
      </c>
      <c r="G1200" s="1" t="str">
        <f>TEXT(IF($B1200 = "Retail Item", IF((ROW($A1200) - 4504 - _xlfn.XMATCH($C1200, $C$4506:$C$5005, 0, 1)) &lt;= VLOOKUP($C1200, 'Instrument Table'!$B:$D, 3, FALSE), ROW($A1200) - 4504 - _xlfn.XMATCH($C1200, $C$4506:$C$5005, 0, 1), 0), 0), "00")</f>
        <v>00</v>
      </c>
      <c r="H1200" s="1" t="str">
        <f t="shared" si="109"/>
        <v>244</v>
      </c>
      <c r="I1200" s="1" t="str">
        <f t="shared" si="110"/>
        <v>12000-244</v>
      </c>
      <c r="J1200" s="1" t="str">
        <f t="shared" si="111"/>
        <v>Violin production item #244</v>
      </c>
      <c r="K1200" s="1" t="str">
        <f>IF(SUM(COUNTIFS(I:I, I1200)) &gt; 1, "DUPLICATE", "UNIQUE")</f>
        <v>UNIQUE</v>
      </c>
      <c r="L1200" s="18">
        <v>4</v>
      </c>
      <c r="M1200" s="28">
        <v>80</v>
      </c>
      <c r="N1200" s="6">
        <v>36</v>
      </c>
      <c r="O1200" s="30">
        <f t="shared" si="112"/>
        <v>320</v>
      </c>
      <c r="P1200" s="30">
        <f t="shared" si="113"/>
        <v>2880</v>
      </c>
      <c r="Q1200" s="1">
        <f>COUNTIFS($P:$P, "&gt;" &amp; $P1200) + 1</f>
        <v>2942</v>
      </c>
      <c r="R1200" s="63">
        <f>(COUNTIFS($P:$P, "&gt;" &amp; $P1200) + 1) / (COUNTA($I:$I) - 1)</f>
        <v>0.58840000000000003</v>
      </c>
      <c r="S1200" s="23">
        <f>SUMIFS($P:$P, $Q:$Q, "&lt;" &amp; $Q1200)</f>
        <v>184772089</v>
      </c>
    </row>
    <row r="1201" spans="1:19" x14ac:dyDescent="0.25">
      <c r="A1201" s="1">
        <v>1196</v>
      </c>
      <c r="B1201" s="1" t="s">
        <v>2</v>
      </c>
      <c r="C1201" s="1" t="str">
        <f>IF($B1201 = "Production Item", _xlfn.XLOOKUP($A1201, 'Instrument Table'!$J:$J, 'Instrument Table'!$B:$B, $C1200), IF($B1201 = "Service Item", _xlfn.XLOOKUP($A1201, 'Instrument Table'!$I:$I, 'Instrument Table'!$B:$B, $C1200), _xlfn.XLOOKUP($A1201, 'Instrument Table'!$H:$H, 'Instrument Table'!$B:$B, $C1200)))</f>
        <v>Violin</v>
      </c>
      <c r="D1201" s="1" t="str">
        <f>VLOOKUP($C1201, 'Instrument Table'!$B:$C, 2, FALSE)</f>
        <v>Strings</v>
      </c>
      <c r="E1201" s="1">
        <f t="shared" si="108"/>
        <v>1</v>
      </c>
      <c r="F1201" s="1">
        <f>_xlfn.XLOOKUP($C1201, 'Instrument Table'!$B:$B, 'Instrument Table'!$A:$A, "")</f>
        <v>20</v>
      </c>
      <c r="G1201" s="1" t="str">
        <f>TEXT(IF($B1201 = "Retail Item", IF((ROW($A1201) - 4504 - _xlfn.XMATCH($C1201, $C$4506:$C$5005, 0, 1)) &lt;= VLOOKUP($C1201, 'Instrument Table'!$B:$D, 3, FALSE), ROW($A1201) - 4504 - _xlfn.XMATCH($C1201, $C$4506:$C$5005, 0, 1), 0), 0), "00")</f>
        <v>00</v>
      </c>
      <c r="H1201" s="1" t="str">
        <f t="shared" si="109"/>
        <v>245</v>
      </c>
      <c r="I1201" s="1" t="str">
        <f t="shared" si="110"/>
        <v>12000-245</v>
      </c>
      <c r="J1201" s="1" t="str">
        <f t="shared" si="111"/>
        <v>Violin production item #245</v>
      </c>
      <c r="K1201" s="1" t="str">
        <f>IF(SUM(COUNTIFS(I:I, I1201)) &gt; 1, "DUPLICATE", "UNIQUE")</f>
        <v>UNIQUE</v>
      </c>
      <c r="L1201" s="18">
        <v>0</v>
      </c>
      <c r="M1201" s="28">
        <v>80</v>
      </c>
      <c r="N1201" s="6">
        <v>400</v>
      </c>
      <c r="O1201" s="30">
        <f t="shared" si="112"/>
        <v>0</v>
      </c>
      <c r="P1201" s="30">
        <f t="shared" si="113"/>
        <v>32000</v>
      </c>
      <c r="Q1201" s="1">
        <f>COUNTIFS($P:$P, "&gt;" &amp; $P1201) + 1</f>
        <v>649</v>
      </c>
      <c r="R1201" s="63">
        <f>(COUNTIFS($P:$P, "&gt;" &amp; $P1201) + 1) / (COUNTA($I:$I) - 1)</f>
        <v>0.1298</v>
      </c>
      <c r="S1201" s="23">
        <f>SUMIFS($P:$P, $Q:$Q, "&lt;" &amp; $Q1201)</f>
        <v>157513685</v>
      </c>
    </row>
    <row r="1202" spans="1:19" x14ac:dyDescent="0.25">
      <c r="A1202" s="1">
        <v>1197</v>
      </c>
      <c r="B1202" s="1" t="s">
        <v>2</v>
      </c>
      <c r="C1202" s="1" t="str">
        <f>IF($B1202 = "Production Item", _xlfn.XLOOKUP($A1202, 'Instrument Table'!$J:$J, 'Instrument Table'!$B:$B, $C1201), IF($B1202 = "Service Item", _xlfn.XLOOKUP($A1202, 'Instrument Table'!$I:$I, 'Instrument Table'!$B:$B, $C1201), _xlfn.XLOOKUP($A1202, 'Instrument Table'!$H:$H, 'Instrument Table'!$B:$B, $C1201)))</f>
        <v>Violin</v>
      </c>
      <c r="D1202" s="1" t="str">
        <f>VLOOKUP($C1202, 'Instrument Table'!$B:$C, 2, FALSE)</f>
        <v>Strings</v>
      </c>
      <c r="E1202" s="1">
        <f t="shared" si="108"/>
        <v>1</v>
      </c>
      <c r="F1202" s="1">
        <f>_xlfn.XLOOKUP($C1202, 'Instrument Table'!$B:$B, 'Instrument Table'!$A:$A, "")</f>
        <v>20</v>
      </c>
      <c r="G1202" s="1" t="str">
        <f>TEXT(IF($B1202 = "Retail Item", IF((ROW($A1202) - 4504 - _xlfn.XMATCH($C1202, $C$4506:$C$5005, 0, 1)) &lt;= VLOOKUP($C1202, 'Instrument Table'!$B:$D, 3, FALSE), ROW($A1202) - 4504 - _xlfn.XMATCH($C1202, $C$4506:$C$5005, 0, 1), 0), 0), "00")</f>
        <v>00</v>
      </c>
      <c r="H1202" s="1" t="str">
        <f t="shared" si="109"/>
        <v>246</v>
      </c>
      <c r="I1202" s="1" t="str">
        <f t="shared" si="110"/>
        <v>12000-246</v>
      </c>
      <c r="J1202" s="1" t="str">
        <f t="shared" si="111"/>
        <v>Violin production item #246</v>
      </c>
      <c r="K1202" s="1" t="str">
        <f>IF(SUM(COUNTIFS(I:I, I1202)) &gt; 1, "DUPLICATE", "UNIQUE")</f>
        <v>UNIQUE</v>
      </c>
      <c r="L1202" s="18">
        <v>0</v>
      </c>
      <c r="M1202" s="28">
        <v>36</v>
      </c>
      <c r="N1202" s="6">
        <v>64</v>
      </c>
      <c r="O1202" s="30">
        <f t="shared" si="112"/>
        <v>0</v>
      </c>
      <c r="P1202" s="30">
        <f t="shared" si="113"/>
        <v>2304</v>
      </c>
      <c r="Q1202" s="1">
        <f>COUNTIFS($P:$P, "&gt;" &amp; $P1202) + 1</f>
        <v>3118</v>
      </c>
      <c r="R1202" s="63">
        <f>(COUNTIFS($P:$P, "&gt;" &amp; $P1202) + 1) / (COUNTA($I:$I) - 1)</f>
        <v>0.62360000000000004</v>
      </c>
      <c r="S1202" s="23">
        <f>SUMIFS($P:$P, $Q:$Q, "&lt;" &amp; $Q1202)</f>
        <v>185224654</v>
      </c>
    </row>
    <row r="1203" spans="1:19" x14ac:dyDescent="0.25">
      <c r="A1203" s="1">
        <v>1198</v>
      </c>
      <c r="B1203" s="1" t="s">
        <v>2</v>
      </c>
      <c r="C1203" s="1" t="str">
        <f>IF($B1203 = "Production Item", _xlfn.XLOOKUP($A1203, 'Instrument Table'!$J:$J, 'Instrument Table'!$B:$B, $C1202), IF($B1203 = "Service Item", _xlfn.XLOOKUP($A1203, 'Instrument Table'!$I:$I, 'Instrument Table'!$B:$B, $C1202), _xlfn.XLOOKUP($A1203, 'Instrument Table'!$H:$H, 'Instrument Table'!$B:$B, $C1202)))</f>
        <v>Violin</v>
      </c>
      <c r="D1203" s="1" t="str">
        <f>VLOOKUP($C1203, 'Instrument Table'!$B:$C, 2, FALSE)</f>
        <v>Strings</v>
      </c>
      <c r="E1203" s="1">
        <f t="shared" si="108"/>
        <v>1</v>
      </c>
      <c r="F1203" s="1">
        <f>_xlfn.XLOOKUP($C1203, 'Instrument Table'!$B:$B, 'Instrument Table'!$A:$A, "")</f>
        <v>20</v>
      </c>
      <c r="G1203" s="1" t="str">
        <f>TEXT(IF($B1203 = "Retail Item", IF((ROW($A1203) - 4504 - _xlfn.XMATCH($C1203, $C$4506:$C$5005, 0, 1)) &lt;= VLOOKUP($C1203, 'Instrument Table'!$B:$D, 3, FALSE), ROW($A1203) - 4504 - _xlfn.XMATCH($C1203, $C$4506:$C$5005, 0, 1), 0), 0), "00")</f>
        <v>00</v>
      </c>
      <c r="H1203" s="1" t="str">
        <f t="shared" si="109"/>
        <v>247</v>
      </c>
      <c r="I1203" s="1" t="str">
        <f t="shared" si="110"/>
        <v>12000-247</v>
      </c>
      <c r="J1203" s="1" t="str">
        <f t="shared" si="111"/>
        <v>Violin production item #247</v>
      </c>
      <c r="K1203" s="1" t="str">
        <f>IF(SUM(COUNTIFS(I:I, I1203)) &gt; 1, "DUPLICATE", "UNIQUE")</f>
        <v>UNIQUE</v>
      </c>
      <c r="L1203" s="18">
        <v>0</v>
      </c>
      <c r="M1203" s="28">
        <v>96</v>
      </c>
      <c r="N1203" s="6">
        <v>324</v>
      </c>
      <c r="O1203" s="30">
        <f t="shared" si="112"/>
        <v>0</v>
      </c>
      <c r="P1203" s="30">
        <f t="shared" si="113"/>
        <v>31104</v>
      </c>
      <c r="Q1203" s="1">
        <f>COUNTIFS($P:$P, "&gt;" &amp; $P1203) + 1</f>
        <v>668</v>
      </c>
      <c r="R1203" s="63">
        <f>(COUNTIFS($P:$P, "&gt;" &amp; $P1203) + 1) / (COUNTA($I:$I) - 1)</f>
        <v>0.1336</v>
      </c>
      <c r="S1203" s="23">
        <f>SUMIFS($P:$P, $Q:$Q, "&lt;" &amp; $Q1203)</f>
        <v>158114027</v>
      </c>
    </row>
    <row r="1204" spans="1:19" x14ac:dyDescent="0.25">
      <c r="A1204" s="1">
        <v>1199</v>
      </c>
      <c r="B1204" s="1" t="s">
        <v>2</v>
      </c>
      <c r="C1204" s="1" t="str">
        <f>IF($B1204 = "Production Item", _xlfn.XLOOKUP($A1204, 'Instrument Table'!$J:$J, 'Instrument Table'!$B:$B, $C1203), IF($B1204 = "Service Item", _xlfn.XLOOKUP($A1204, 'Instrument Table'!$I:$I, 'Instrument Table'!$B:$B, $C1203), _xlfn.XLOOKUP($A1204, 'Instrument Table'!$H:$H, 'Instrument Table'!$B:$B, $C1203)))</f>
        <v>Violin</v>
      </c>
      <c r="D1204" s="1" t="str">
        <f>VLOOKUP($C1204, 'Instrument Table'!$B:$C, 2, FALSE)</f>
        <v>Strings</v>
      </c>
      <c r="E1204" s="1">
        <f t="shared" si="108"/>
        <v>1</v>
      </c>
      <c r="F1204" s="1">
        <f>_xlfn.XLOOKUP($C1204, 'Instrument Table'!$B:$B, 'Instrument Table'!$A:$A, "")</f>
        <v>20</v>
      </c>
      <c r="G1204" s="1" t="str">
        <f>TEXT(IF($B1204 = "Retail Item", IF((ROW($A1204) - 4504 - _xlfn.XMATCH($C1204, $C$4506:$C$5005, 0, 1)) &lt;= VLOOKUP($C1204, 'Instrument Table'!$B:$D, 3, FALSE), ROW($A1204) - 4504 - _xlfn.XMATCH($C1204, $C$4506:$C$5005, 0, 1), 0), 0), "00")</f>
        <v>00</v>
      </c>
      <c r="H1204" s="1" t="str">
        <f t="shared" si="109"/>
        <v>248</v>
      </c>
      <c r="I1204" s="1" t="str">
        <f t="shared" si="110"/>
        <v>12000-248</v>
      </c>
      <c r="J1204" s="1" t="str">
        <f t="shared" si="111"/>
        <v>Violin production item #248</v>
      </c>
      <c r="K1204" s="1" t="str">
        <f>IF(SUM(COUNTIFS(I:I, I1204)) &gt; 1, "DUPLICATE", "UNIQUE")</f>
        <v>UNIQUE</v>
      </c>
      <c r="L1204" s="18">
        <v>0</v>
      </c>
      <c r="M1204" s="28">
        <v>59</v>
      </c>
      <c r="N1204" s="6">
        <v>400</v>
      </c>
      <c r="O1204" s="30">
        <f t="shared" si="112"/>
        <v>0</v>
      </c>
      <c r="P1204" s="30">
        <f t="shared" si="113"/>
        <v>23600</v>
      </c>
      <c r="Q1204" s="1">
        <f>COUNTIFS($P:$P, "&gt;" &amp; $P1204) + 1</f>
        <v>886</v>
      </c>
      <c r="R1204" s="63">
        <f>(COUNTIFS($P:$P, "&gt;" &amp; $P1204) + 1) / (COUNTA($I:$I) - 1)</f>
        <v>0.1772</v>
      </c>
      <c r="S1204" s="23">
        <f>SUMIFS($P:$P, $Q:$Q, "&lt;" &amp; $Q1204)</f>
        <v>163953654</v>
      </c>
    </row>
    <row r="1205" spans="1:19" x14ac:dyDescent="0.25">
      <c r="A1205" s="1">
        <v>1200</v>
      </c>
      <c r="B1205" s="1" t="s">
        <v>2</v>
      </c>
      <c r="C1205" s="1" t="str">
        <f>IF($B1205 = "Production Item", _xlfn.XLOOKUP($A1205, 'Instrument Table'!$J:$J, 'Instrument Table'!$B:$B, $C1204), IF($B1205 = "Service Item", _xlfn.XLOOKUP($A1205, 'Instrument Table'!$I:$I, 'Instrument Table'!$B:$B, $C1204), _xlfn.XLOOKUP($A1205, 'Instrument Table'!$H:$H, 'Instrument Table'!$B:$B, $C1204)))</f>
        <v>Violin</v>
      </c>
      <c r="D1205" s="1" t="str">
        <f>VLOOKUP($C1205, 'Instrument Table'!$B:$C, 2, FALSE)</f>
        <v>Strings</v>
      </c>
      <c r="E1205" s="1">
        <f t="shared" si="108"/>
        <v>1</v>
      </c>
      <c r="F1205" s="1">
        <f>_xlfn.XLOOKUP($C1205, 'Instrument Table'!$B:$B, 'Instrument Table'!$A:$A, "")</f>
        <v>20</v>
      </c>
      <c r="G1205" s="1" t="str">
        <f>TEXT(IF($B1205 = "Retail Item", IF((ROW($A1205) - 4504 - _xlfn.XMATCH($C1205, $C$4506:$C$5005, 0, 1)) &lt;= VLOOKUP($C1205, 'Instrument Table'!$B:$D, 3, FALSE), ROW($A1205) - 4504 - _xlfn.XMATCH($C1205, $C$4506:$C$5005, 0, 1), 0), 0), "00")</f>
        <v>00</v>
      </c>
      <c r="H1205" s="1" t="str">
        <f t="shared" si="109"/>
        <v>249</v>
      </c>
      <c r="I1205" s="1" t="str">
        <f t="shared" si="110"/>
        <v>12000-249</v>
      </c>
      <c r="J1205" s="1" t="str">
        <f t="shared" si="111"/>
        <v>Violin production item #249</v>
      </c>
      <c r="K1205" s="1" t="str">
        <f>IF(SUM(COUNTIFS(I:I, I1205)) &gt; 1, "DUPLICATE", "UNIQUE")</f>
        <v>UNIQUE</v>
      </c>
      <c r="L1205" s="18">
        <v>16</v>
      </c>
      <c r="M1205" s="28">
        <v>81</v>
      </c>
      <c r="N1205" s="6">
        <v>64</v>
      </c>
      <c r="O1205" s="30">
        <f t="shared" si="112"/>
        <v>1296</v>
      </c>
      <c r="P1205" s="30">
        <f t="shared" si="113"/>
        <v>5184</v>
      </c>
      <c r="Q1205" s="1">
        <f>COUNTIFS($P:$P, "&gt;" &amp; $P1205) + 1</f>
        <v>2412</v>
      </c>
      <c r="R1205" s="63">
        <f>(COUNTIFS($P:$P, "&gt;" &amp; $P1205) + 1) / (COUNTA($I:$I) - 1)</f>
        <v>0.4824</v>
      </c>
      <c r="S1205" s="23">
        <f>SUMIFS($P:$P, $Q:$Q, "&lt;" &amp; $Q1205)</f>
        <v>182678928</v>
      </c>
    </row>
    <row r="1206" spans="1:19" x14ac:dyDescent="0.25">
      <c r="A1206" s="1">
        <v>1201</v>
      </c>
      <c r="B1206" s="1" t="s">
        <v>2</v>
      </c>
      <c r="C1206" s="1" t="str">
        <f>IF($B1206 = "Production Item", _xlfn.XLOOKUP($A1206, 'Instrument Table'!$J:$J, 'Instrument Table'!$B:$B, $C1205), IF($B1206 = "Service Item", _xlfn.XLOOKUP($A1206, 'Instrument Table'!$I:$I, 'Instrument Table'!$B:$B, $C1205), _xlfn.XLOOKUP($A1206, 'Instrument Table'!$H:$H, 'Instrument Table'!$B:$B, $C1205)))</f>
        <v>Viola</v>
      </c>
      <c r="D1206" s="1" t="str">
        <f>VLOOKUP($C1206, 'Instrument Table'!$B:$C, 2, FALSE)</f>
        <v>Strings</v>
      </c>
      <c r="E1206" s="1">
        <f t="shared" si="108"/>
        <v>1</v>
      </c>
      <c r="F1206" s="1">
        <f>_xlfn.XLOOKUP($C1206, 'Instrument Table'!$B:$B, 'Instrument Table'!$A:$A, "")</f>
        <v>21</v>
      </c>
      <c r="G1206" s="1" t="str">
        <f>TEXT(IF($B1206 = "Retail Item", IF((ROW($A1206) - 4504 - _xlfn.XMATCH($C1206, $C$4506:$C$5005, 0, 1)) &lt;= VLOOKUP($C1206, 'Instrument Table'!$B:$D, 3, FALSE), ROW($A1206) - 4504 - _xlfn.XMATCH($C1206, $C$4506:$C$5005, 0, 1), 0), 0), "00")</f>
        <v>00</v>
      </c>
      <c r="H1206" s="1" t="str">
        <f t="shared" si="109"/>
        <v>000</v>
      </c>
      <c r="I1206" s="1" t="str">
        <f t="shared" si="110"/>
        <v>12100-000</v>
      </c>
      <c r="J1206" s="1" t="str">
        <f t="shared" si="111"/>
        <v>Viola production item #000</v>
      </c>
      <c r="K1206" s="1" t="str">
        <f>IF(SUM(COUNTIFS(I:I, I1206)) &gt; 1, "DUPLICATE", "UNIQUE")</f>
        <v>UNIQUE</v>
      </c>
      <c r="L1206" s="18">
        <v>4</v>
      </c>
      <c r="M1206" s="28">
        <v>65</v>
      </c>
      <c r="N1206" s="6">
        <v>121</v>
      </c>
      <c r="O1206" s="30">
        <f t="shared" si="112"/>
        <v>260</v>
      </c>
      <c r="P1206" s="30">
        <f t="shared" si="113"/>
        <v>7865</v>
      </c>
      <c r="Q1206" s="1">
        <f>COUNTIFS($P:$P, "&gt;" &amp; $P1206) + 1</f>
        <v>2005</v>
      </c>
      <c r="R1206" s="63">
        <f>(COUNTIFS($P:$P, "&gt;" &amp; $P1206) + 1) / (COUNTA($I:$I) - 1)</f>
        <v>0.40100000000000002</v>
      </c>
      <c r="S1206" s="23">
        <f>SUMIFS($P:$P, $Q:$Q, "&lt;" &amp; $Q1206)</f>
        <v>180035995</v>
      </c>
    </row>
    <row r="1207" spans="1:19" x14ac:dyDescent="0.25">
      <c r="A1207" s="1">
        <v>1202</v>
      </c>
      <c r="B1207" s="1" t="s">
        <v>2</v>
      </c>
      <c r="C1207" s="1" t="str">
        <f>IF($B1207 = "Production Item", _xlfn.XLOOKUP($A1207, 'Instrument Table'!$J:$J, 'Instrument Table'!$B:$B, $C1206), IF($B1207 = "Service Item", _xlfn.XLOOKUP($A1207, 'Instrument Table'!$I:$I, 'Instrument Table'!$B:$B, $C1206), _xlfn.XLOOKUP($A1207, 'Instrument Table'!$H:$H, 'Instrument Table'!$B:$B, $C1206)))</f>
        <v>Viola</v>
      </c>
      <c r="D1207" s="1" t="str">
        <f>VLOOKUP($C1207, 'Instrument Table'!$B:$C, 2, FALSE)</f>
        <v>Strings</v>
      </c>
      <c r="E1207" s="1">
        <f t="shared" si="108"/>
        <v>1</v>
      </c>
      <c r="F1207" s="1">
        <f>_xlfn.XLOOKUP($C1207, 'Instrument Table'!$B:$B, 'Instrument Table'!$A:$A, "")</f>
        <v>21</v>
      </c>
      <c r="G1207" s="1" t="str">
        <f>TEXT(IF($B1207 = "Retail Item", IF((ROW($A1207) - 4504 - _xlfn.XMATCH($C1207, $C$4506:$C$5005, 0, 1)) &lt;= VLOOKUP($C1207, 'Instrument Table'!$B:$D, 3, FALSE), ROW($A1207) - 4504 - _xlfn.XMATCH($C1207, $C$4506:$C$5005, 0, 1), 0), 0), "00")</f>
        <v>00</v>
      </c>
      <c r="H1207" s="1" t="str">
        <f t="shared" si="109"/>
        <v>001</v>
      </c>
      <c r="I1207" s="1" t="str">
        <f t="shared" si="110"/>
        <v>12100-001</v>
      </c>
      <c r="J1207" s="1" t="str">
        <f t="shared" si="111"/>
        <v>Viola production item #001</v>
      </c>
      <c r="K1207" s="1" t="str">
        <f>IF(SUM(COUNTIFS(I:I, I1207)) &gt; 1, "DUPLICATE", "UNIQUE")</f>
        <v>UNIQUE</v>
      </c>
      <c r="L1207" s="18">
        <v>0</v>
      </c>
      <c r="M1207" s="28">
        <v>4</v>
      </c>
      <c r="N1207" s="6">
        <v>49</v>
      </c>
      <c r="O1207" s="30">
        <f t="shared" si="112"/>
        <v>0</v>
      </c>
      <c r="P1207" s="30">
        <f t="shared" si="113"/>
        <v>196</v>
      </c>
      <c r="Q1207" s="1">
        <f>COUNTIFS($P:$P, "&gt;" &amp; $P1207) + 1</f>
        <v>4334</v>
      </c>
      <c r="R1207" s="63">
        <f>(COUNTIFS($P:$P, "&gt;" &amp; $P1207) + 1) / (COUNTA($I:$I) - 1)</f>
        <v>0.86680000000000001</v>
      </c>
      <c r="S1207" s="23">
        <f>SUMIFS($P:$P, $Q:$Q, "&lt;" &amp; $Q1207)</f>
        <v>186514493</v>
      </c>
    </row>
    <row r="1208" spans="1:19" x14ac:dyDescent="0.25">
      <c r="A1208" s="1">
        <v>1203</v>
      </c>
      <c r="B1208" s="1" t="s">
        <v>2</v>
      </c>
      <c r="C1208" s="1" t="str">
        <f>IF($B1208 = "Production Item", _xlfn.XLOOKUP($A1208, 'Instrument Table'!$J:$J, 'Instrument Table'!$B:$B, $C1207), IF($B1208 = "Service Item", _xlfn.XLOOKUP($A1208, 'Instrument Table'!$I:$I, 'Instrument Table'!$B:$B, $C1207), _xlfn.XLOOKUP($A1208, 'Instrument Table'!$H:$H, 'Instrument Table'!$B:$B, $C1207)))</f>
        <v>Viola</v>
      </c>
      <c r="D1208" s="1" t="str">
        <f>VLOOKUP($C1208, 'Instrument Table'!$B:$C, 2, FALSE)</f>
        <v>Strings</v>
      </c>
      <c r="E1208" s="1">
        <f t="shared" si="108"/>
        <v>1</v>
      </c>
      <c r="F1208" s="1">
        <f>_xlfn.XLOOKUP($C1208, 'Instrument Table'!$B:$B, 'Instrument Table'!$A:$A, "")</f>
        <v>21</v>
      </c>
      <c r="G1208" s="1" t="str">
        <f>TEXT(IF($B1208 = "Retail Item", IF((ROW($A1208) - 4504 - _xlfn.XMATCH($C1208, $C$4506:$C$5005, 0, 1)) &lt;= VLOOKUP($C1208, 'Instrument Table'!$B:$D, 3, FALSE), ROW($A1208) - 4504 - _xlfn.XMATCH($C1208, $C$4506:$C$5005, 0, 1), 0), 0), "00")</f>
        <v>00</v>
      </c>
      <c r="H1208" s="1" t="str">
        <f t="shared" si="109"/>
        <v>002</v>
      </c>
      <c r="I1208" s="1" t="str">
        <f t="shared" si="110"/>
        <v>12100-002</v>
      </c>
      <c r="J1208" s="1" t="str">
        <f t="shared" si="111"/>
        <v>Viola production item #002</v>
      </c>
      <c r="K1208" s="1" t="str">
        <f>IF(SUM(COUNTIFS(I:I, I1208)) &gt; 1, "DUPLICATE", "UNIQUE")</f>
        <v>UNIQUE</v>
      </c>
      <c r="L1208" s="18">
        <v>1</v>
      </c>
      <c r="M1208" s="28">
        <v>27</v>
      </c>
      <c r="N1208" s="6">
        <v>64</v>
      </c>
      <c r="O1208" s="30">
        <f t="shared" si="112"/>
        <v>27</v>
      </c>
      <c r="P1208" s="30">
        <f t="shared" si="113"/>
        <v>1728</v>
      </c>
      <c r="Q1208" s="1">
        <f>COUNTIFS($P:$P, "&gt;" &amp; $P1208) + 1</f>
        <v>3360</v>
      </c>
      <c r="R1208" s="63">
        <f>(COUNTIFS($P:$P, "&gt;" &amp; $P1208) + 1) / (COUNTA($I:$I) - 1)</f>
        <v>0.67200000000000004</v>
      </c>
      <c r="S1208" s="23">
        <f>SUMIFS($P:$P, $Q:$Q, "&lt;" &amp; $Q1208)</f>
        <v>185718037</v>
      </c>
    </row>
    <row r="1209" spans="1:19" x14ac:dyDescent="0.25">
      <c r="A1209" s="1">
        <v>1204</v>
      </c>
      <c r="B1209" s="1" t="s">
        <v>2</v>
      </c>
      <c r="C1209" s="1" t="str">
        <f>IF($B1209 = "Production Item", _xlfn.XLOOKUP($A1209, 'Instrument Table'!$J:$J, 'Instrument Table'!$B:$B, $C1208), IF($B1209 = "Service Item", _xlfn.XLOOKUP($A1209, 'Instrument Table'!$I:$I, 'Instrument Table'!$B:$B, $C1208), _xlfn.XLOOKUP($A1209, 'Instrument Table'!$H:$H, 'Instrument Table'!$B:$B, $C1208)))</f>
        <v>Viola</v>
      </c>
      <c r="D1209" s="1" t="str">
        <f>VLOOKUP($C1209, 'Instrument Table'!$B:$C, 2, FALSE)</f>
        <v>Strings</v>
      </c>
      <c r="E1209" s="1">
        <f t="shared" si="108"/>
        <v>1</v>
      </c>
      <c r="F1209" s="1">
        <f>_xlfn.XLOOKUP($C1209, 'Instrument Table'!$B:$B, 'Instrument Table'!$A:$A, "")</f>
        <v>21</v>
      </c>
      <c r="G1209" s="1" t="str">
        <f>TEXT(IF($B1209 = "Retail Item", IF((ROW($A1209) - 4504 - _xlfn.XMATCH($C1209, $C$4506:$C$5005, 0, 1)) &lt;= VLOOKUP($C1209, 'Instrument Table'!$B:$D, 3, FALSE), ROW($A1209) - 4504 - _xlfn.XMATCH($C1209, $C$4506:$C$5005, 0, 1), 0), 0), "00")</f>
        <v>00</v>
      </c>
      <c r="H1209" s="1" t="str">
        <f t="shared" si="109"/>
        <v>003</v>
      </c>
      <c r="I1209" s="1" t="str">
        <f t="shared" si="110"/>
        <v>12100-003</v>
      </c>
      <c r="J1209" s="1" t="str">
        <f t="shared" si="111"/>
        <v>Viola production item #003</v>
      </c>
      <c r="K1209" s="1" t="str">
        <f>IF(SUM(COUNTIFS(I:I, I1209)) &gt; 1, "DUPLICATE", "UNIQUE")</f>
        <v>UNIQUE</v>
      </c>
      <c r="L1209" s="18">
        <v>0</v>
      </c>
      <c r="M1209" s="28">
        <v>46</v>
      </c>
      <c r="N1209" s="6">
        <v>100</v>
      </c>
      <c r="O1209" s="30">
        <f t="shared" si="112"/>
        <v>0</v>
      </c>
      <c r="P1209" s="30">
        <f t="shared" si="113"/>
        <v>4600</v>
      </c>
      <c r="Q1209" s="1">
        <f>COUNTIFS($P:$P, "&gt;" &amp; $P1209) + 1</f>
        <v>2524</v>
      </c>
      <c r="R1209" s="63">
        <f>(COUNTIFS($P:$P, "&gt;" &amp; $P1209) + 1) / (COUNTA($I:$I) - 1)</f>
        <v>0.50480000000000003</v>
      </c>
      <c r="S1209" s="23">
        <f>SUMIFS($P:$P, $Q:$Q, "&lt;" &amp; $Q1209)</f>
        <v>183226841</v>
      </c>
    </row>
    <row r="1210" spans="1:19" x14ac:dyDescent="0.25">
      <c r="A1210" s="1">
        <v>1205</v>
      </c>
      <c r="B1210" s="1" t="s">
        <v>2</v>
      </c>
      <c r="C1210" s="1" t="str">
        <f>IF($B1210 = "Production Item", _xlfn.XLOOKUP($A1210, 'Instrument Table'!$J:$J, 'Instrument Table'!$B:$B, $C1209), IF($B1210 = "Service Item", _xlfn.XLOOKUP($A1210, 'Instrument Table'!$I:$I, 'Instrument Table'!$B:$B, $C1209), _xlfn.XLOOKUP($A1210, 'Instrument Table'!$H:$H, 'Instrument Table'!$B:$B, $C1209)))</f>
        <v>Viola</v>
      </c>
      <c r="D1210" s="1" t="str">
        <f>VLOOKUP($C1210, 'Instrument Table'!$B:$C, 2, FALSE)</f>
        <v>Strings</v>
      </c>
      <c r="E1210" s="1">
        <f t="shared" si="108"/>
        <v>1</v>
      </c>
      <c r="F1210" s="1">
        <f>_xlfn.XLOOKUP($C1210, 'Instrument Table'!$B:$B, 'Instrument Table'!$A:$A, "")</f>
        <v>21</v>
      </c>
      <c r="G1210" s="1" t="str">
        <f>TEXT(IF($B1210 = "Retail Item", IF((ROW($A1210) - 4504 - _xlfn.XMATCH($C1210, $C$4506:$C$5005, 0, 1)) &lt;= VLOOKUP($C1210, 'Instrument Table'!$B:$D, 3, FALSE), ROW($A1210) - 4504 - _xlfn.XMATCH($C1210, $C$4506:$C$5005, 0, 1), 0), 0), "00")</f>
        <v>00</v>
      </c>
      <c r="H1210" s="1" t="str">
        <f t="shared" si="109"/>
        <v>004</v>
      </c>
      <c r="I1210" s="1" t="str">
        <f t="shared" si="110"/>
        <v>12100-004</v>
      </c>
      <c r="J1210" s="1" t="str">
        <f t="shared" si="111"/>
        <v>Viola production item #004</v>
      </c>
      <c r="K1210" s="1" t="str">
        <f>IF(SUM(COUNTIFS(I:I, I1210)) &gt; 1, "DUPLICATE", "UNIQUE")</f>
        <v>UNIQUE</v>
      </c>
      <c r="L1210" s="18">
        <v>8</v>
      </c>
      <c r="M1210" s="28">
        <v>58</v>
      </c>
      <c r="N1210" s="6">
        <v>16</v>
      </c>
      <c r="O1210" s="30">
        <f t="shared" si="112"/>
        <v>464</v>
      </c>
      <c r="P1210" s="30">
        <f t="shared" si="113"/>
        <v>928</v>
      </c>
      <c r="Q1210" s="1">
        <f>COUNTIFS($P:$P, "&gt;" &amp; $P1210) + 1</f>
        <v>3712</v>
      </c>
      <c r="R1210" s="63">
        <f>(COUNTIFS($P:$P, "&gt;" &amp; $P1210) + 1) / (COUNTA($I:$I) - 1)</f>
        <v>0.74239999999999995</v>
      </c>
      <c r="S1210" s="23">
        <f>SUMIFS($P:$P, $Q:$Q, "&lt;" &amp; $Q1210)</f>
        <v>186190191</v>
      </c>
    </row>
    <row r="1211" spans="1:19" x14ac:dyDescent="0.25">
      <c r="A1211" s="1">
        <v>1206</v>
      </c>
      <c r="B1211" s="1" t="s">
        <v>2</v>
      </c>
      <c r="C1211" s="1" t="str">
        <f>IF($B1211 = "Production Item", _xlfn.XLOOKUP($A1211, 'Instrument Table'!$J:$J, 'Instrument Table'!$B:$B, $C1210), IF($B1211 = "Service Item", _xlfn.XLOOKUP($A1211, 'Instrument Table'!$I:$I, 'Instrument Table'!$B:$B, $C1210), _xlfn.XLOOKUP($A1211, 'Instrument Table'!$H:$H, 'Instrument Table'!$B:$B, $C1210)))</f>
        <v>Viola</v>
      </c>
      <c r="D1211" s="1" t="str">
        <f>VLOOKUP($C1211, 'Instrument Table'!$B:$C, 2, FALSE)</f>
        <v>Strings</v>
      </c>
      <c r="E1211" s="1">
        <f t="shared" si="108"/>
        <v>1</v>
      </c>
      <c r="F1211" s="1">
        <f>_xlfn.XLOOKUP($C1211, 'Instrument Table'!$B:$B, 'Instrument Table'!$A:$A, "")</f>
        <v>21</v>
      </c>
      <c r="G1211" s="1" t="str">
        <f>TEXT(IF($B1211 = "Retail Item", IF((ROW($A1211) - 4504 - _xlfn.XMATCH($C1211, $C$4506:$C$5005, 0, 1)) &lt;= VLOOKUP($C1211, 'Instrument Table'!$B:$D, 3, FALSE), ROW($A1211) - 4504 - _xlfn.XMATCH($C1211, $C$4506:$C$5005, 0, 1), 0), 0), "00")</f>
        <v>00</v>
      </c>
      <c r="H1211" s="1" t="str">
        <f t="shared" si="109"/>
        <v>005</v>
      </c>
      <c r="I1211" s="1" t="str">
        <f t="shared" si="110"/>
        <v>12100-005</v>
      </c>
      <c r="J1211" s="1" t="str">
        <f t="shared" si="111"/>
        <v>Viola production item #005</v>
      </c>
      <c r="K1211" s="1" t="str">
        <f>IF(SUM(COUNTIFS(I:I, I1211)) &gt; 1, "DUPLICATE", "UNIQUE")</f>
        <v>UNIQUE</v>
      </c>
      <c r="L1211" s="18">
        <v>1</v>
      </c>
      <c r="M1211" s="28">
        <v>96</v>
      </c>
      <c r="N1211" s="6">
        <v>16</v>
      </c>
      <c r="O1211" s="30">
        <f t="shared" si="112"/>
        <v>96</v>
      </c>
      <c r="P1211" s="30">
        <f t="shared" si="113"/>
        <v>1536</v>
      </c>
      <c r="Q1211" s="1">
        <f>COUNTIFS($P:$P, "&gt;" &amp; $P1211) + 1</f>
        <v>3444</v>
      </c>
      <c r="R1211" s="63">
        <f>(COUNTIFS($P:$P, "&gt;" &amp; $P1211) + 1) / (COUNTA($I:$I) - 1)</f>
        <v>0.68879999999999997</v>
      </c>
      <c r="S1211" s="23">
        <f>SUMIFS($P:$P, $Q:$Q, "&lt;" &amp; $Q1211)</f>
        <v>185854606</v>
      </c>
    </row>
    <row r="1212" spans="1:19" x14ac:dyDescent="0.25">
      <c r="A1212" s="1">
        <v>1207</v>
      </c>
      <c r="B1212" s="1" t="s">
        <v>2</v>
      </c>
      <c r="C1212" s="1" t="str">
        <f>IF($B1212 = "Production Item", _xlfn.XLOOKUP($A1212, 'Instrument Table'!$J:$J, 'Instrument Table'!$B:$B, $C1211), IF($B1212 = "Service Item", _xlfn.XLOOKUP($A1212, 'Instrument Table'!$I:$I, 'Instrument Table'!$B:$B, $C1211), _xlfn.XLOOKUP($A1212, 'Instrument Table'!$H:$H, 'Instrument Table'!$B:$B, $C1211)))</f>
        <v>Viola</v>
      </c>
      <c r="D1212" s="1" t="str">
        <f>VLOOKUP($C1212, 'Instrument Table'!$B:$C, 2, FALSE)</f>
        <v>Strings</v>
      </c>
      <c r="E1212" s="1">
        <f t="shared" si="108"/>
        <v>1</v>
      </c>
      <c r="F1212" s="1">
        <f>_xlfn.XLOOKUP($C1212, 'Instrument Table'!$B:$B, 'Instrument Table'!$A:$A, "")</f>
        <v>21</v>
      </c>
      <c r="G1212" s="1" t="str">
        <f>TEXT(IF($B1212 = "Retail Item", IF((ROW($A1212) - 4504 - _xlfn.XMATCH($C1212, $C$4506:$C$5005, 0, 1)) &lt;= VLOOKUP($C1212, 'Instrument Table'!$B:$D, 3, FALSE), ROW($A1212) - 4504 - _xlfn.XMATCH($C1212, $C$4506:$C$5005, 0, 1), 0), 0), "00")</f>
        <v>00</v>
      </c>
      <c r="H1212" s="1" t="str">
        <f t="shared" si="109"/>
        <v>006</v>
      </c>
      <c r="I1212" s="1" t="str">
        <f t="shared" si="110"/>
        <v>12100-006</v>
      </c>
      <c r="J1212" s="1" t="str">
        <f t="shared" si="111"/>
        <v>Viola production item #006</v>
      </c>
      <c r="K1212" s="1" t="str">
        <f>IF(SUM(COUNTIFS(I:I, I1212)) &gt; 1, "DUPLICATE", "UNIQUE")</f>
        <v>UNIQUE</v>
      </c>
      <c r="L1212" s="18">
        <v>0</v>
      </c>
      <c r="M1212" s="28">
        <v>66</v>
      </c>
      <c r="N1212" s="6">
        <v>36</v>
      </c>
      <c r="O1212" s="30">
        <f t="shared" si="112"/>
        <v>0</v>
      </c>
      <c r="P1212" s="30">
        <f t="shared" si="113"/>
        <v>2376</v>
      </c>
      <c r="Q1212" s="1">
        <f>COUNTIFS($P:$P, "&gt;" &amp; $P1212) + 1</f>
        <v>3094</v>
      </c>
      <c r="R1212" s="63">
        <f>(COUNTIFS($P:$P, "&gt;" &amp; $P1212) + 1) / (COUNTA($I:$I) - 1)</f>
        <v>0.61880000000000002</v>
      </c>
      <c r="S1212" s="23">
        <f>SUMIFS($P:$P, $Q:$Q, "&lt;" &amp; $Q1212)</f>
        <v>185168222</v>
      </c>
    </row>
    <row r="1213" spans="1:19" x14ac:dyDescent="0.25">
      <c r="A1213" s="1">
        <v>1208</v>
      </c>
      <c r="B1213" s="1" t="s">
        <v>2</v>
      </c>
      <c r="C1213" s="1" t="str">
        <f>IF($B1213 = "Production Item", _xlfn.XLOOKUP($A1213, 'Instrument Table'!$J:$J, 'Instrument Table'!$B:$B, $C1212), IF($B1213 = "Service Item", _xlfn.XLOOKUP($A1213, 'Instrument Table'!$I:$I, 'Instrument Table'!$B:$B, $C1212), _xlfn.XLOOKUP($A1213, 'Instrument Table'!$H:$H, 'Instrument Table'!$B:$B, $C1212)))</f>
        <v>Viola</v>
      </c>
      <c r="D1213" s="1" t="str">
        <f>VLOOKUP($C1213, 'Instrument Table'!$B:$C, 2, FALSE)</f>
        <v>Strings</v>
      </c>
      <c r="E1213" s="1">
        <f t="shared" si="108"/>
        <v>1</v>
      </c>
      <c r="F1213" s="1">
        <f>_xlfn.XLOOKUP($C1213, 'Instrument Table'!$B:$B, 'Instrument Table'!$A:$A, "")</f>
        <v>21</v>
      </c>
      <c r="G1213" s="1" t="str">
        <f>TEXT(IF($B1213 = "Retail Item", IF((ROW($A1213) - 4504 - _xlfn.XMATCH($C1213, $C$4506:$C$5005, 0, 1)) &lt;= VLOOKUP($C1213, 'Instrument Table'!$B:$D, 3, FALSE), ROW($A1213) - 4504 - _xlfn.XMATCH($C1213, $C$4506:$C$5005, 0, 1), 0), 0), "00")</f>
        <v>00</v>
      </c>
      <c r="H1213" s="1" t="str">
        <f t="shared" si="109"/>
        <v>007</v>
      </c>
      <c r="I1213" s="1" t="str">
        <f t="shared" si="110"/>
        <v>12100-007</v>
      </c>
      <c r="J1213" s="1" t="str">
        <f t="shared" si="111"/>
        <v>Viola production item #007</v>
      </c>
      <c r="K1213" s="1" t="str">
        <f>IF(SUM(COUNTIFS(I:I, I1213)) &gt; 1, "DUPLICATE", "UNIQUE")</f>
        <v>UNIQUE</v>
      </c>
      <c r="L1213" s="18">
        <v>1</v>
      </c>
      <c r="M1213" s="28">
        <v>65</v>
      </c>
      <c r="N1213" s="6">
        <v>0</v>
      </c>
      <c r="O1213" s="30">
        <f t="shared" si="112"/>
        <v>65</v>
      </c>
      <c r="P1213" s="30">
        <f t="shared" si="113"/>
        <v>0</v>
      </c>
      <c r="Q1213" s="1">
        <f>COUNTIFS($P:$P, "&gt;" &amp; $P1213) + 1</f>
        <v>4746</v>
      </c>
      <c r="R1213" s="63">
        <f>(COUNTIFS($P:$P, "&gt;" &amp; $P1213) + 1) / (COUNTA($I:$I) - 1)</f>
        <v>0.94920000000000004</v>
      </c>
      <c r="S1213" s="23">
        <f>SUMIFS($P:$P, $Q:$Q, "&lt;" &amp; $Q1213)</f>
        <v>186547861</v>
      </c>
    </row>
    <row r="1214" spans="1:19" x14ac:dyDescent="0.25">
      <c r="A1214" s="1">
        <v>1209</v>
      </c>
      <c r="B1214" s="1" t="s">
        <v>2</v>
      </c>
      <c r="C1214" s="1" t="str">
        <f>IF($B1214 = "Production Item", _xlfn.XLOOKUP($A1214, 'Instrument Table'!$J:$J, 'Instrument Table'!$B:$B, $C1213), IF($B1214 = "Service Item", _xlfn.XLOOKUP($A1214, 'Instrument Table'!$I:$I, 'Instrument Table'!$B:$B, $C1213), _xlfn.XLOOKUP($A1214, 'Instrument Table'!$H:$H, 'Instrument Table'!$B:$B, $C1213)))</f>
        <v>Viola</v>
      </c>
      <c r="D1214" s="1" t="str">
        <f>VLOOKUP($C1214, 'Instrument Table'!$B:$C, 2, FALSE)</f>
        <v>Strings</v>
      </c>
      <c r="E1214" s="1">
        <f t="shared" si="108"/>
        <v>1</v>
      </c>
      <c r="F1214" s="1">
        <f>_xlfn.XLOOKUP($C1214, 'Instrument Table'!$B:$B, 'Instrument Table'!$A:$A, "")</f>
        <v>21</v>
      </c>
      <c r="G1214" s="1" t="str">
        <f>TEXT(IF($B1214 = "Retail Item", IF((ROW($A1214) - 4504 - _xlfn.XMATCH($C1214, $C$4506:$C$5005, 0, 1)) &lt;= VLOOKUP($C1214, 'Instrument Table'!$B:$D, 3, FALSE), ROW($A1214) - 4504 - _xlfn.XMATCH($C1214, $C$4506:$C$5005, 0, 1), 0), 0), "00")</f>
        <v>00</v>
      </c>
      <c r="H1214" s="1" t="str">
        <f t="shared" si="109"/>
        <v>008</v>
      </c>
      <c r="I1214" s="1" t="str">
        <f t="shared" si="110"/>
        <v>12100-008</v>
      </c>
      <c r="J1214" s="1" t="str">
        <f t="shared" si="111"/>
        <v>Viola production item #008</v>
      </c>
      <c r="K1214" s="1" t="str">
        <f>IF(SUM(COUNTIFS(I:I, I1214)) &gt; 1, "DUPLICATE", "UNIQUE")</f>
        <v>UNIQUE</v>
      </c>
      <c r="L1214" s="18">
        <v>0</v>
      </c>
      <c r="M1214" s="28">
        <v>74</v>
      </c>
      <c r="N1214" s="6">
        <v>324</v>
      </c>
      <c r="O1214" s="30">
        <f t="shared" si="112"/>
        <v>0</v>
      </c>
      <c r="P1214" s="30">
        <f t="shared" si="113"/>
        <v>23976</v>
      </c>
      <c r="Q1214" s="1">
        <f>COUNTIFS($P:$P, "&gt;" &amp; $P1214) + 1</f>
        <v>879</v>
      </c>
      <c r="R1214" s="63">
        <f>(COUNTIFS($P:$P, "&gt;" &amp; $P1214) + 1) / (COUNTA($I:$I) - 1)</f>
        <v>0.17580000000000001</v>
      </c>
      <c r="S1214" s="23">
        <f>SUMIFS($P:$P, $Q:$Q, "&lt;" &amp; $Q1214)</f>
        <v>163787020</v>
      </c>
    </row>
    <row r="1215" spans="1:19" x14ac:dyDescent="0.25">
      <c r="A1215" s="1">
        <v>1210</v>
      </c>
      <c r="B1215" s="1" t="s">
        <v>2</v>
      </c>
      <c r="C1215" s="1" t="str">
        <f>IF($B1215 = "Production Item", _xlfn.XLOOKUP($A1215, 'Instrument Table'!$J:$J, 'Instrument Table'!$B:$B, $C1214), IF($B1215 = "Service Item", _xlfn.XLOOKUP($A1215, 'Instrument Table'!$I:$I, 'Instrument Table'!$B:$B, $C1214), _xlfn.XLOOKUP($A1215, 'Instrument Table'!$H:$H, 'Instrument Table'!$B:$B, $C1214)))</f>
        <v>Viola</v>
      </c>
      <c r="D1215" s="1" t="str">
        <f>VLOOKUP($C1215, 'Instrument Table'!$B:$C, 2, FALSE)</f>
        <v>Strings</v>
      </c>
      <c r="E1215" s="1">
        <f t="shared" si="108"/>
        <v>1</v>
      </c>
      <c r="F1215" s="1">
        <f>_xlfn.XLOOKUP($C1215, 'Instrument Table'!$B:$B, 'Instrument Table'!$A:$A, "")</f>
        <v>21</v>
      </c>
      <c r="G1215" s="1" t="str">
        <f>TEXT(IF($B1215 = "Retail Item", IF((ROW($A1215) - 4504 - _xlfn.XMATCH($C1215, $C$4506:$C$5005, 0, 1)) &lt;= VLOOKUP($C1215, 'Instrument Table'!$B:$D, 3, FALSE), ROW($A1215) - 4504 - _xlfn.XMATCH($C1215, $C$4506:$C$5005, 0, 1), 0), 0), "00")</f>
        <v>00</v>
      </c>
      <c r="H1215" s="1" t="str">
        <f t="shared" si="109"/>
        <v>009</v>
      </c>
      <c r="I1215" s="1" t="str">
        <f t="shared" si="110"/>
        <v>12100-009</v>
      </c>
      <c r="J1215" s="1" t="str">
        <f t="shared" si="111"/>
        <v>Viola production item #009</v>
      </c>
      <c r="K1215" s="1" t="str">
        <f>IF(SUM(COUNTIFS(I:I, I1215)) &gt; 1, "DUPLICATE", "UNIQUE")</f>
        <v>UNIQUE</v>
      </c>
      <c r="L1215" s="18">
        <v>8</v>
      </c>
      <c r="M1215" s="28">
        <v>23</v>
      </c>
      <c r="N1215" s="6">
        <v>81</v>
      </c>
      <c r="O1215" s="30">
        <f t="shared" si="112"/>
        <v>184</v>
      </c>
      <c r="P1215" s="30">
        <f t="shared" si="113"/>
        <v>1863</v>
      </c>
      <c r="Q1215" s="1">
        <f>COUNTIFS($P:$P, "&gt;" &amp; $P1215) + 1</f>
        <v>3310</v>
      </c>
      <c r="R1215" s="63">
        <f>(COUNTIFS($P:$P, "&gt;" &amp; $P1215) + 1) / (COUNTA($I:$I) - 1)</f>
        <v>0.66200000000000003</v>
      </c>
      <c r="S1215" s="23">
        <f>SUMIFS($P:$P, $Q:$Q, "&lt;" &amp; $Q1215)</f>
        <v>185627871</v>
      </c>
    </row>
    <row r="1216" spans="1:19" x14ac:dyDescent="0.25">
      <c r="A1216" s="1">
        <v>1211</v>
      </c>
      <c r="B1216" s="1" t="s">
        <v>2</v>
      </c>
      <c r="C1216" s="1" t="str">
        <f>IF($B1216 = "Production Item", _xlfn.XLOOKUP($A1216, 'Instrument Table'!$J:$J, 'Instrument Table'!$B:$B, $C1215), IF($B1216 = "Service Item", _xlfn.XLOOKUP($A1216, 'Instrument Table'!$I:$I, 'Instrument Table'!$B:$B, $C1215), _xlfn.XLOOKUP($A1216, 'Instrument Table'!$H:$H, 'Instrument Table'!$B:$B, $C1215)))</f>
        <v>Viola</v>
      </c>
      <c r="D1216" s="1" t="str">
        <f>VLOOKUP($C1216, 'Instrument Table'!$B:$C, 2, FALSE)</f>
        <v>Strings</v>
      </c>
      <c r="E1216" s="1">
        <f t="shared" si="108"/>
        <v>1</v>
      </c>
      <c r="F1216" s="1">
        <f>_xlfn.XLOOKUP($C1216, 'Instrument Table'!$B:$B, 'Instrument Table'!$A:$A, "")</f>
        <v>21</v>
      </c>
      <c r="G1216" s="1" t="str">
        <f>TEXT(IF($B1216 = "Retail Item", IF((ROW($A1216) - 4504 - _xlfn.XMATCH($C1216, $C$4506:$C$5005, 0, 1)) &lt;= VLOOKUP($C1216, 'Instrument Table'!$B:$D, 3, FALSE), ROW($A1216) - 4504 - _xlfn.XMATCH($C1216, $C$4506:$C$5005, 0, 1), 0), 0), "00")</f>
        <v>00</v>
      </c>
      <c r="H1216" s="1" t="str">
        <f t="shared" si="109"/>
        <v>010</v>
      </c>
      <c r="I1216" s="1" t="str">
        <f t="shared" si="110"/>
        <v>12100-010</v>
      </c>
      <c r="J1216" s="1" t="str">
        <f t="shared" si="111"/>
        <v>Viola production item #010</v>
      </c>
      <c r="K1216" s="1" t="str">
        <f>IF(SUM(COUNTIFS(I:I, I1216)) &gt; 1, "DUPLICATE", "UNIQUE")</f>
        <v>UNIQUE</v>
      </c>
      <c r="L1216" s="18">
        <v>0</v>
      </c>
      <c r="M1216" s="28">
        <v>47</v>
      </c>
      <c r="N1216" s="6">
        <v>9</v>
      </c>
      <c r="O1216" s="30">
        <f t="shared" si="112"/>
        <v>0</v>
      </c>
      <c r="P1216" s="30">
        <f t="shared" si="113"/>
        <v>423</v>
      </c>
      <c r="Q1216" s="1">
        <f>COUNTIFS($P:$P, "&gt;" &amp; $P1216) + 1</f>
        <v>4082</v>
      </c>
      <c r="R1216" s="63">
        <f>(COUNTIFS($P:$P, "&gt;" &amp; $P1216) + 1) / (COUNTA($I:$I) - 1)</f>
        <v>0.81640000000000001</v>
      </c>
      <c r="S1216" s="23">
        <f>SUMIFS($P:$P, $Q:$Q, "&lt;" &amp; $Q1216)</f>
        <v>186437595</v>
      </c>
    </row>
    <row r="1217" spans="1:19" x14ac:dyDescent="0.25">
      <c r="A1217" s="1">
        <v>1212</v>
      </c>
      <c r="B1217" s="1" t="s">
        <v>2</v>
      </c>
      <c r="C1217" s="1" t="str">
        <f>IF($B1217 = "Production Item", _xlfn.XLOOKUP($A1217, 'Instrument Table'!$J:$J, 'Instrument Table'!$B:$B, $C1216), IF($B1217 = "Service Item", _xlfn.XLOOKUP($A1217, 'Instrument Table'!$I:$I, 'Instrument Table'!$B:$B, $C1216), _xlfn.XLOOKUP($A1217, 'Instrument Table'!$H:$H, 'Instrument Table'!$B:$B, $C1216)))</f>
        <v>Viola</v>
      </c>
      <c r="D1217" s="1" t="str">
        <f>VLOOKUP($C1217, 'Instrument Table'!$B:$C, 2, FALSE)</f>
        <v>Strings</v>
      </c>
      <c r="E1217" s="1">
        <f t="shared" si="108"/>
        <v>1</v>
      </c>
      <c r="F1217" s="1">
        <f>_xlfn.XLOOKUP($C1217, 'Instrument Table'!$B:$B, 'Instrument Table'!$A:$A, "")</f>
        <v>21</v>
      </c>
      <c r="G1217" s="1" t="str">
        <f>TEXT(IF($B1217 = "Retail Item", IF((ROW($A1217) - 4504 - _xlfn.XMATCH($C1217, $C$4506:$C$5005, 0, 1)) &lt;= VLOOKUP($C1217, 'Instrument Table'!$B:$D, 3, FALSE), ROW($A1217) - 4504 - _xlfn.XMATCH($C1217, $C$4506:$C$5005, 0, 1), 0), 0), "00")</f>
        <v>00</v>
      </c>
      <c r="H1217" s="1" t="str">
        <f t="shared" si="109"/>
        <v>011</v>
      </c>
      <c r="I1217" s="1" t="str">
        <f t="shared" si="110"/>
        <v>12100-011</v>
      </c>
      <c r="J1217" s="1" t="str">
        <f t="shared" si="111"/>
        <v>Viola production item #011</v>
      </c>
      <c r="K1217" s="1" t="str">
        <f>IF(SUM(COUNTIFS(I:I, I1217)) &gt; 1, "DUPLICATE", "UNIQUE")</f>
        <v>UNIQUE</v>
      </c>
      <c r="L1217" s="18">
        <v>1</v>
      </c>
      <c r="M1217" s="28">
        <v>60</v>
      </c>
      <c r="N1217" s="6">
        <v>1</v>
      </c>
      <c r="O1217" s="30">
        <f t="shared" si="112"/>
        <v>60</v>
      </c>
      <c r="P1217" s="30">
        <f t="shared" si="113"/>
        <v>60</v>
      </c>
      <c r="Q1217" s="1">
        <f>COUNTIFS($P:$P, "&gt;" &amp; $P1217) + 1</f>
        <v>4578</v>
      </c>
      <c r="R1217" s="63">
        <f>(COUNTIFS($P:$P, "&gt;" &amp; $P1217) + 1) / (COUNTA($I:$I) - 1)</f>
        <v>0.91559999999999997</v>
      </c>
      <c r="S1217" s="23">
        <f>SUMIFS($P:$P, $Q:$Q, "&lt;" &amp; $Q1217)</f>
        <v>186542436</v>
      </c>
    </row>
    <row r="1218" spans="1:19" x14ac:dyDescent="0.25">
      <c r="A1218" s="1">
        <v>1213</v>
      </c>
      <c r="B1218" s="1" t="s">
        <v>2</v>
      </c>
      <c r="C1218" s="1" t="str">
        <f>IF($B1218 = "Production Item", _xlfn.XLOOKUP($A1218, 'Instrument Table'!$J:$J, 'Instrument Table'!$B:$B, $C1217), IF($B1218 = "Service Item", _xlfn.XLOOKUP($A1218, 'Instrument Table'!$I:$I, 'Instrument Table'!$B:$B, $C1217), _xlfn.XLOOKUP($A1218, 'Instrument Table'!$H:$H, 'Instrument Table'!$B:$B, $C1217)))</f>
        <v>Viola</v>
      </c>
      <c r="D1218" s="1" t="str">
        <f>VLOOKUP($C1218, 'Instrument Table'!$B:$C, 2, FALSE)</f>
        <v>Strings</v>
      </c>
      <c r="E1218" s="1">
        <f t="shared" si="108"/>
        <v>1</v>
      </c>
      <c r="F1218" s="1">
        <f>_xlfn.XLOOKUP($C1218, 'Instrument Table'!$B:$B, 'Instrument Table'!$A:$A, "")</f>
        <v>21</v>
      </c>
      <c r="G1218" s="1" t="str">
        <f>TEXT(IF($B1218 = "Retail Item", IF((ROW($A1218) - 4504 - _xlfn.XMATCH($C1218, $C$4506:$C$5005, 0, 1)) &lt;= VLOOKUP($C1218, 'Instrument Table'!$B:$D, 3, FALSE), ROW($A1218) - 4504 - _xlfn.XMATCH($C1218, $C$4506:$C$5005, 0, 1), 0), 0), "00")</f>
        <v>00</v>
      </c>
      <c r="H1218" s="1" t="str">
        <f t="shared" si="109"/>
        <v>012</v>
      </c>
      <c r="I1218" s="1" t="str">
        <f t="shared" si="110"/>
        <v>12100-012</v>
      </c>
      <c r="J1218" s="1" t="str">
        <f t="shared" si="111"/>
        <v>Viola production item #012</v>
      </c>
      <c r="K1218" s="1" t="str">
        <f>IF(SUM(COUNTIFS(I:I, I1218)) &gt; 1, "DUPLICATE", "UNIQUE")</f>
        <v>UNIQUE</v>
      </c>
      <c r="L1218" s="18">
        <v>1</v>
      </c>
      <c r="M1218" s="28">
        <v>71</v>
      </c>
      <c r="N1218" s="6">
        <v>36</v>
      </c>
      <c r="O1218" s="30">
        <f t="shared" si="112"/>
        <v>71</v>
      </c>
      <c r="P1218" s="30">
        <f t="shared" si="113"/>
        <v>2556</v>
      </c>
      <c r="Q1218" s="1">
        <f>COUNTIFS($P:$P, "&gt;" &amp; $P1218) + 1</f>
        <v>3030</v>
      </c>
      <c r="R1218" s="63">
        <f>(COUNTIFS($P:$P, "&gt;" &amp; $P1218) + 1) / (COUNTA($I:$I) - 1)</f>
        <v>0.60599999999999998</v>
      </c>
      <c r="S1218" s="23">
        <f>SUMIFS($P:$P, $Q:$Q, "&lt;" &amp; $Q1218)</f>
        <v>185009938</v>
      </c>
    </row>
    <row r="1219" spans="1:19" x14ac:dyDescent="0.25">
      <c r="A1219" s="1">
        <v>1214</v>
      </c>
      <c r="B1219" s="1" t="s">
        <v>2</v>
      </c>
      <c r="C1219" s="1" t="str">
        <f>IF($B1219 = "Production Item", _xlfn.XLOOKUP($A1219, 'Instrument Table'!$J:$J, 'Instrument Table'!$B:$B, $C1218), IF($B1219 = "Service Item", _xlfn.XLOOKUP($A1219, 'Instrument Table'!$I:$I, 'Instrument Table'!$B:$B, $C1218), _xlfn.XLOOKUP($A1219, 'Instrument Table'!$H:$H, 'Instrument Table'!$B:$B, $C1218)))</f>
        <v>Viola</v>
      </c>
      <c r="D1219" s="1" t="str">
        <f>VLOOKUP($C1219, 'Instrument Table'!$B:$C, 2, FALSE)</f>
        <v>Strings</v>
      </c>
      <c r="E1219" s="1">
        <f t="shared" si="108"/>
        <v>1</v>
      </c>
      <c r="F1219" s="1">
        <f>_xlfn.XLOOKUP($C1219, 'Instrument Table'!$B:$B, 'Instrument Table'!$A:$A, "")</f>
        <v>21</v>
      </c>
      <c r="G1219" s="1" t="str">
        <f>TEXT(IF($B1219 = "Retail Item", IF((ROW($A1219) - 4504 - _xlfn.XMATCH($C1219, $C$4506:$C$5005, 0, 1)) &lt;= VLOOKUP($C1219, 'Instrument Table'!$B:$D, 3, FALSE), ROW($A1219) - 4504 - _xlfn.XMATCH($C1219, $C$4506:$C$5005, 0, 1), 0), 0), "00")</f>
        <v>00</v>
      </c>
      <c r="H1219" s="1" t="str">
        <f t="shared" si="109"/>
        <v>013</v>
      </c>
      <c r="I1219" s="1" t="str">
        <f t="shared" si="110"/>
        <v>12100-013</v>
      </c>
      <c r="J1219" s="1" t="str">
        <f t="shared" si="111"/>
        <v>Viola production item #013</v>
      </c>
      <c r="K1219" s="1" t="str">
        <f>IF(SUM(COUNTIFS(I:I, I1219)) &gt; 1, "DUPLICATE", "UNIQUE")</f>
        <v>UNIQUE</v>
      </c>
      <c r="L1219" s="18">
        <v>1</v>
      </c>
      <c r="M1219" s="28">
        <v>64</v>
      </c>
      <c r="N1219" s="6">
        <v>324</v>
      </c>
      <c r="O1219" s="30">
        <f t="shared" si="112"/>
        <v>64</v>
      </c>
      <c r="P1219" s="30">
        <f t="shared" si="113"/>
        <v>20736</v>
      </c>
      <c r="Q1219" s="1">
        <f>COUNTIFS($P:$P, "&gt;" &amp; $P1219) + 1</f>
        <v>1016</v>
      </c>
      <c r="R1219" s="63">
        <f>(COUNTIFS($P:$P, "&gt;" &amp; $P1219) + 1) / (COUNTA($I:$I) - 1)</f>
        <v>0.20319999999999999</v>
      </c>
      <c r="S1219" s="23">
        <f>SUMIFS($P:$P, $Q:$Q, "&lt;" &amp; $Q1219)</f>
        <v>166826425</v>
      </c>
    </row>
    <row r="1220" spans="1:19" x14ac:dyDescent="0.25">
      <c r="A1220" s="1">
        <v>1215</v>
      </c>
      <c r="B1220" s="1" t="s">
        <v>2</v>
      </c>
      <c r="C1220" s="1" t="str">
        <f>IF($B1220 = "Production Item", _xlfn.XLOOKUP($A1220, 'Instrument Table'!$J:$J, 'Instrument Table'!$B:$B, $C1219), IF($B1220 = "Service Item", _xlfn.XLOOKUP($A1220, 'Instrument Table'!$I:$I, 'Instrument Table'!$B:$B, $C1219), _xlfn.XLOOKUP($A1220, 'Instrument Table'!$H:$H, 'Instrument Table'!$B:$B, $C1219)))</f>
        <v>Viola</v>
      </c>
      <c r="D1220" s="1" t="str">
        <f>VLOOKUP($C1220, 'Instrument Table'!$B:$C, 2, FALSE)</f>
        <v>Strings</v>
      </c>
      <c r="E1220" s="1">
        <f t="shared" si="108"/>
        <v>1</v>
      </c>
      <c r="F1220" s="1">
        <f>_xlfn.XLOOKUP($C1220, 'Instrument Table'!$B:$B, 'Instrument Table'!$A:$A, "")</f>
        <v>21</v>
      </c>
      <c r="G1220" s="1" t="str">
        <f>TEXT(IF($B1220 = "Retail Item", IF((ROW($A1220) - 4504 - _xlfn.XMATCH($C1220, $C$4506:$C$5005, 0, 1)) &lt;= VLOOKUP($C1220, 'Instrument Table'!$B:$D, 3, FALSE), ROW($A1220) - 4504 - _xlfn.XMATCH($C1220, $C$4506:$C$5005, 0, 1), 0), 0), "00")</f>
        <v>00</v>
      </c>
      <c r="H1220" s="1" t="str">
        <f t="shared" si="109"/>
        <v>014</v>
      </c>
      <c r="I1220" s="1" t="str">
        <f t="shared" si="110"/>
        <v>12100-014</v>
      </c>
      <c r="J1220" s="1" t="str">
        <f t="shared" si="111"/>
        <v>Viola production item #014</v>
      </c>
      <c r="K1220" s="1" t="str">
        <f>IF(SUM(COUNTIFS(I:I, I1220)) &gt; 1, "DUPLICATE", "UNIQUE")</f>
        <v>UNIQUE</v>
      </c>
      <c r="L1220" s="18">
        <v>0</v>
      </c>
      <c r="M1220" s="28">
        <v>70</v>
      </c>
      <c r="N1220" s="6">
        <v>0</v>
      </c>
      <c r="O1220" s="30">
        <f t="shared" si="112"/>
        <v>0</v>
      </c>
      <c r="P1220" s="30">
        <f t="shared" si="113"/>
        <v>0</v>
      </c>
      <c r="Q1220" s="1">
        <f>COUNTIFS($P:$P, "&gt;" &amp; $P1220) + 1</f>
        <v>4746</v>
      </c>
      <c r="R1220" s="63">
        <f>(COUNTIFS($P:$P, "&gt;" &amp; $P1220) + 1) / (COUNTA($I:$I) - 1)</f>
        <v>0.94920000000000004</v>
      </c>
      <c r="S1220" s="23">
        <f>SUMIFS($P:$P, $Q:$Q, "&lt;" &amp; $Q1220)</f>
        <v>186547861</v>
      </c>
    </row>
    <row r="1221" spans="1:19" x14ac:dyDescent="0.25">
      <c r="A1221" s="1">
        <v>1216</v>
      </c>
      <c r="B1221" s="1" t="s">
        <v>2</v>
      </c>
      <c r="C1221" s="1" t="str">
        <f>IF($B1221 = "Production Item", _xlfn.XLOOKUP($A1221, 'Instrument Table'!$J:$J, 'Instrument Table'!$B:$B, $C1220), IF($B1221 = "Service Item", _xlfn.XLOOKUP($A1221, 'Instrument Table'!$I:$I, 'Instrument Table'!$B:$B, $C1220), _xlfn.XLOOKUP($A1221, 'Instrument Table'!$H:$H, 'Instrument Table'!$B:$B, $C1220)))</f>
        <v>Viola</v>
      </c>
      <c r="D1221" s="1" t="str">
        <f>VLOOKUP($C1221, 'Instrument Table'!$B:$C, 2, FALSE)</f>
        <v>Strings</v>
      </c>
      <c r="E1221" s="1">
        <f t="shared" si="108"/>
        <v>1</v>
      </c>
      <c r="F1221" s="1">
        <f>_xlfn.XLOOKUP($C1221, 'Instrument Table'!$B:$B, 'Instrument Table'!$A:$A, "")</f>
        <v>21</v>
      </c>
      <c r="G1221" s="1" t="str">
        <f>TEXT(IF($B1221 = "Retail Item", IF((ROW($A1221) - 4504 - _xlfn.XMATCH($C1221, $C$4506:$C$5005, 0, 1)) &lt;= VLOOKUP($C1221, 'Instrument Table'!$B:$D, 3, FALSE), ROW($A1221) - 4504 - _xlfn.XMATCH($C1221, $C$4506:$C$5005, 0, 1), 0), 0), "00")</f>
        <v>00</v>
      </c>
      <c r="H1221" s="1" t="str">
        <f t="shared" si="109"/>
        <v>015</v>
      </c>
      <c r="I1221" s="1" t="str">
        <f t="shared" si="110"/>
        <v>12100-015</v>
      </c>
      <c r="J1221" s="1" t="str">
        <f t="shared" si="111"/>
        <v>Viola production item #015</v>
      </c>
      <c r="K1221" s="1" t="str">
        <f>IF(SUM(COUNTIFS(I:I, I1221)) &gt; 1, "DUPLICATE", "UNIQUE")</f>
        <v>UNIQUE</v>
      </c>
      <c r="L1221" s="18">
        <v>0</v>
      </c>
      <c r="M1221" s="28">
        <v>7</v>
      </c>
      <c r="N1221" s="6">
        <v>256</v>
      </c>
      <c r="O1221" s="30">
        <f t="shared" si="112"/>
        <v>0</v>
      </c>
      <c r="P1221" s="30">
        <f t="shared" si="113"/>
        <v>1792</v>
      </c>
      <c r="Q1221" s="1">
        <f>COUNTIFS($P:$P, "&gt;" &amp; $P1221) + 1</f>
        <v>3339</v>
      </c>
      <c r="R1221" s="63">
        <f>(COUNTIFS($P:$P, "&gt;" &amp; $P1221) + 1) / (COUNTA($I:$I) - 1)</f>
        <v>0.66779999999999995</v>
      </c>
      <c r="S1221" s="23">
        <f>SUMIFS($P:$P, $Q:$Q, "&lt;" &amp; $Q1221)</f>
        <v>185680781</v>
      </c>
    </row>
    <row r="1222" spans="1:19" x14ac:dyDescent="0.25">
      <c r="A1222" s="1">
        <v>1217</v>
      </c>
      <c r="B1222" s="1" t="s">
        <v>2</v>
      </c>
      <c r="C1222" s="1" t="str">
        <f>IF($B1222 = "Production Item", _xlfn.XLOOKUP($A1222, 'Instrument Table'!$J:$J, 'Instrument Table'!$B:$B, $C1221), IF($B1222 = "Service Item", _xlfn.XLOOKUP($A1222, 'Instrument Table'!$I:$I, 'Instrument Table'!$B:$B, $C1221), _xlfn.XLOOKUP($A1222, 'Instrument Table'!$H:$H, 'Instrument Table'!$B:$B, $C1221)))</f>
        <v>Viola</v>
      </c>
      <c r="D1222" s="1" t="str">
        <f>VLOOKUP($C1222, 'Instrument Table'!$B:$C, 2, FALSE)</f>
        <v>Strings</v>
      </c>
      <c r="E1222" s="1">
        <f t="shared" si="108"/>
        <v>1</v>
      </c>
      <c r="F1222" s="1">
        <f>_xlfn.XLOOKUP($C1222, 'Instrument Table'!$B:$B, 'Instrument Table'!$A:$A, "")</f>
        <v>21</v>
      </c>
      <c r="G1222" s="1" t="str">
        <f>TEXT(IF($B1222 = "Retail Item", IF((ROW($A1222) - 4504 - _xlfn.XMATCH($C1222, $C$4506:$C$5005, 0, 1)) &lt;= VLOOKUP($C1222, 'Instrument Table'!$B:$D, 3, FALSE), ROW($A1222) - 4504 - _xlfn.XMATCH($C1222, $C$4506:$C$5005, 0, 1), 0), 0), "00")</f>
        <v>00</v>
      </c>
      <c r="H1222" s="1" t="str">
        <f t="shared" si="109"/>
        <v>016</v>
      </c>
      <c r="I1222" s="1" t="str">
        <f t="shared" si="110"/>
        <v>12100-016</v>
      </c>
      <c r="J1222" s="1" t="str">
        <f t="shared" si="111"/>
        <v>Viola production item #016</v>
      </c>
      <c r="K1222" s="1" t="str">
        <f>IF(SUM(COUNTIFS(I:I, I1222)) &gt; 1, "DUPLICATE", "UNIQUE")</f>
        <v>UNIQUE</v>
      </c>
      <c r="L1222" s="18">
        <v>0</v>
      </c>
      <c r="M1222" s="28">
        <v>23</v>
      </c>
      <c r="N1222" s="6">
        <v>49</v>
      </c>
      <c r="O1222" s="30">
        <f t="shared" si="112"/>
        <v>0</v>
      </c>
      <c r="P1222" s="30">
        <f t="shared" si="113"/>
        <v>1127</v>
      </c>
      <c r="Q1222" s="1">
        <f>COUNTIFS($P:$P, "&gt;" &amp; $P1222) + 1</f>
        <v>3637</v>
      </c>
      <c r="R1222" s="63">
        <f>(COUNTIFS($P:$P, "&gt;" &amp; $P1222) + 1) / (COUNTA($I:$I) - 1)</f>
        <v>0.72740000000000005</v>
      </c>
      <c r="S1222" s="23">
        <f>SUMIFS($P:$P, $Q:$Q, "&lt;" &amp; $Q1222)</f>
        <v>186113260</v>
      </c>
    </row>
    <row r="1223" spans="1:19" x14ac:dyDescent="0.25">
      <c r="A1223" s="1">
        <v>1218</v>
      </c>
      <c r="B1223" s="1" t="s">
        <v>2</v>
      </c>
      <c r="C1223" s="1" t="str">
        <f>IF($B1223 = "Production Item", _xlfn.XLOOKUP($A1223, 'Instrument Table'!$J:$J, 'Instrument Table'!$B:$B, $C1222), IF($B1223 = "Service Item", _xlfn.XLOOKUP($A1223, 'Instrument Table'!$I:$I, 'Instrument Table'!$B:$B, $C1222), _xlfn.XLOOKUP($A1223, 'Instrument Table'!$H:$H, 'Instrument Table'!$B:$B, $C1222)))</f>
        <v>Viola</v>
      </c>
      <c r="D1223" s="1" t="str">
        <f>VLOOKUP($C1223, 'Instrument Table'!$B:$C, 2, FALSE)</f>
        <v>Strings</v>
      </c>
      <c r="E1223" s="1">
        <f t="shared" ref="E1223:E1286" si="114">IF($B1223 = "Production Item", 1, IF($B1223 = "Service Item", 2, IF($B1223 = "Retail Item", 3, "")))</f>
        <v>1</v>
      </c>
      <c r="F1223" s="1">
        <f>_xlfn.XLOOKUP($C1223, 'Instrument Table'!$B:$B, 'Instrument Table'!$A:$A, "")</f>
        <v>21</v>
      </c>
      <c r="G1223" s="1" t="str">
        <f>TEXT(IF($B1223 = "Retail Item", IF((ROW($A1223) - 4504 - _xlfn.XMATCH($C1223, $C$4506:$C$5005, 0, 1)) &lt;= VLOOKUP($C1223, 'Instrument Table'!$B:$D, 3, FALSE), ROW($A1223) - 4504 - _xlfn.XMATCH($C1223, $C$4506:$C$5005, 0, 1), 0), 0), "00")</f>
        <v>00</v>
      </c>
      <c r="H1223" s="1" t="str">
        <f t="shared" ref="H1223:H1286" si="115">TEXT(IF($E1223 &amp; $F1223 &amp; $G1223 = $E1222 &amp; $F1222 &amp; $G1222, 1 + H1222, 0), "000")</f>
        <v>017</v>
      </c>
      <c r="I1223" s="1" t="str">
        <f t="shared" ref="I1223:I1286" si="116" xml:space="preserve"> _xlfn.CONCAT($E1223, $F1223, $G1223, "-", H1223)</f>
        <v>12100-017</v>
      </c>
      <c r="J1223" s="1" t="str">
        <f t="shared" ref="J1223:J1286" si="117">LEFT($C1223, 1) &amp; LOWER(RIGHT($C1223, LEN($C1223) - 1)) &amp; IF(AND($G1223 &lt;&gt; "00", $B1223 = "Retail Item"), " model #" &amp; $G1223, " " &amp; LOWER($B1223) &amp; " #" &amp; $H1223)</f>
        <v>Viola production item #017</v>
      </c>
      <c r="K1223" s="1" t="str">
        <f>IF(SUM(COUNTIFS(I:I, I1223)) &gt; 1, "DUPLICATE", "UNIQUE")</f>
        <v>UNIQUE</v>
      </c>
      <c r="L1223" s="18">
        <v>16</v>
      </c>
      <c r="M1223" s="28">
        <v>44</v>
      </c>
      <c r="N1223" s="6">
        <v>36</v>
      </c>
      <c r="O1223" s="30">
        <f t="shared" ref="O1223:O1286" si="118">$L1223 * $M1223</f>
        <v>704</v>
      </c>
      <c r="P1223" s="30">
        <f t="shared" ref="P1223:P1286" si="119">$N1223 * $M1223</f>
        <v>1584</v>
      </c>
      <c r="Q1223" s="1">
        <f>COUNTIFS($P:$P, "&gt;" &amp; $P1223) + 1</f>
        <v>3415</v>
      </c>
      <c r="R1223" s="63">
        <f>(COUNTIFS($P:$P, "&gt;" &amp; $P1223) + 1) / (COUNTA($I:$I) - 1)</f>
        <v>0.68300000000000005</v>
      </c>
      <c r="S1223" s="23">
        <f>SUMIFS($P:$P, $Q:$Q, "&lt;" &amp; $Q1223)</f>
        <v>185809023</v>
      </c>
    </row>
    <row r="1224" spans="1:19" x14ac:dyDescent="0.25">
      <c r="A1224" s="1">
        <v>1219</v>
      </c>
      <c r="B1224" s="1" t="s">
        <v>2</v>
      </c>
      <c r="C1224" s="1" t="str">
        <f>IF($B1224 = "Production Item", _xlfn.XLOOKUP($A1224, 'Instrument Table'!$J:$J, 'Instrument Table'!$B:$B, $C1223), IF($B1224 = "Service Item", _xlfn.XLOOKUP($A1224, 'Instrument Table'!$I:$I, 'Instrument Table'!$B:$B, $C1223), _xlfn.XLOOKUP($A1224, 'Instrument Table'!$H:$H, 'Instrument Table'!$B:$B, $C1223)))</f>
        <v>Viola</v>
      </c>
      <c r="D1224" s="1" t="str">
        <f>VLOOKUP($C1224, 'Instrument Table'!$B:$C, 2, FALSE)</f>
        <v>Strings</v>
      </c>
      <c r="E1224" s="1">
        <f t="shared" si="114"/>
        <v>1</v>
      </c>
      <c r="F1224" s="1">
        <f>_xlfn.XLOOKUP($C1224, 'Instrument Table'!$B:$B, 'Instrument Table'!$A:$A, "")</f>
        <v>21</v>
      </c>
      <c r="G1224" s="1" t="str">
        <f>TEXT(IF($B1224 = "Retail Item", IF((ROW($A1224) - 4504 - _xlfn.XMATCH($C1224, $C$4506:$C$5005, 0, 1)) &lt;= VLOOKUP($C1224, 'Instrument Table'!$B:$D, 3, FALSE), ROW($A1224) - 4504 - _xlfn.XMATCH($C1224, $C$4506:$C$5005, 0, 1), 0), 0), "00")</f>
        <v>00</v>
      </c>
      <c r="H1224" s="1" t="str">
        <f t="shared" si="115"/>
        <v>018</v>
      </c>
      <c r="I1224" s="1" t="str">
        <f t="shared" si="116"/>
        <v>12100-018</v>
      </c>
      <c r="J1224" s="1" t="str">
        <f t="shared" si="117"/>
        <v>Viola production item #018</v>
      </c>
      <c r="K1224" s="1" t="str">
        <f>IF(SUM(COUNTIFS(I:I, I1224)) &gt; 1, "DUPLICATE", "UNIQUE")</f>
        <v>UNIQUE</v>
      </c>
      <c r="L1224" s="18">
        <v>16</v>
      </c>
      <c r="M1224" s="28">
        <v>70</v>
      </c>
      <c r="N1224" s="6">
        <v>25</v>
      </c>
      <c r="O1224" s="30">
        <f t="shared" si="118"/>
        <v>1120</v>
      </c>
      <c r="P1224" s="30">
        <f t="shared" si="119"/>
        <v>1750</v>
      </c>
      <c r="Q1224" s="1">
        <f>COUNTIFS($P:$P, "&gt;" &amp; $P1224) + 1</f>
        <v>3356</v>
      </c>
      <c r="R1224" s="63">
        <f>(COUNTIFS($P:$P, "&gt;" &amp; $P1224) + 1) / (COUNTA($I:$I) - 1)</f>
        <v>0.67120000000000002</v>
      </c>
      <c r="S1224" s="23">
        <f>SUMIFS($P:$P, $Q:$Q, "&lt;" &amp; $Q1224)</f>
        <v>185711037</v>
      </c>
    </row>
    <row r="1225" spans="1:19" x14ac:dyDescent="0.25">
      <c r="A1225" s="1">
        <v>1220</v>
      </c>
      <c r="B1225" s="1" t="s">
        <v>2</v>
      </c>
      <c r="C1225" s="1" t="str">
        <f>IF($B1225 = "Production Item", _xlfn.XLOOKUP($A1225, 'Instrument Table'!$J:$J, 'Instrument Table'!$B:$B, $C1224), IF($B1225 = "Service Item", _xlfn.XLOOKUP($A1225, 'Instrument Table'!$I:$I, 'Instrument Table'!$B:$B, $C1224), _xlfn.XLOOKUP($A1225, 'Instrument Table'!$H:$H, 'Instrument Table'!$B:$B, $C1224)))</f>
        <v>Viola</v>
      </c>
      <c r="D1225" s="1" t="str">
        <f>VLOOKUP($C1225, 'Instrument Table'!$B:$C, 2, FALSE)</f>
        <v>Strings</v>
      </c>
      <c r="E1225" s="1">
        <f t="shared" si="114"/>
        <v>1</v>
      </c>
      <c r="F1225" s="1">
        <f>_xlfn.XLOOKUP($C1225, 'Instrument Table'!$B:$B, 'Instrument Table'!$A:$A, "")</f>
        <v>21</v>
      </c>
      <c r="G1225" s="1" t="str">
        <f>TEXT(IF($B1225 = "Retail Item", IF((ROW($A1225) - 4504 - _xlfn.XMATCH($C1225, $C$4506:$C$5005, 0, 1)) &lt;= VLOOKUP($C1225, 'Instrument Table'!$B:$D, 3, FALSE), ROW($A1225) - 4504 - _xlfn.XMATCH($C1225, $C$4506:$C$5005, 0, 1), 0), 0), "00")</f>
        <v>00</v>
      </c>
      <c r="H1225" s="1" t="str">
        <f t="shared" si="115"/>
        <v>019</v>
      </c>
      <c r="I1225" s="1" t="str">
        <f t="shared" si="116"/>
        <v>12100-019</v>
      </c>
      <c r="J1225" s="1" t="str">
        <f t="shared" si="117"/>
        <v>Viola production item #019</v>
      </c>
      <c r="K1225" s="1" t="str">
        <f>IF(SUM(COUNTIFS(I:I, I1225)) &gt; 1, "DUPLICATE", "UNIQUE")</f>
        <v>UNIQUE</v>
      </c>
      <c r="L1225" s="18">
        <v>0</v>
      </c>
      <c r="M1225" s="28">
        <v>2</v>
      </c>
      <c r="N1225" s="6">
        <v>1</v>
      </c>
      <c r="O1225" s="30">
        <f t="shared" si="118"/>
        <v>0</v>
      </c>
      <c r="P1225" s="30">
        <f t="shared" si="119"/>
        <v>2</v>
      </c>
      <c r="Q1225" s="1">
        <f>COUNTIFS($P:$P, "&gt;" &amp; $P1225) + 1</f>
        <v>4742</v>
      </c>
      <c r="R1225" s="63">
        <f>(COUNTIFS($P:$P, "&gt;" &amp; $P1225) + 1) / (COUNTA($I:$I) - 1)</f>
        <v>0.94840000000000002</v>
      </c>
      <c r="S1225" s="23">
        <f>SUMIFS($P:$P, $Q:$Q, "&lt;" &amp; $Q1225)</f>
        <v>186547856</v>
      </c>
    </row>
    <row r="1226" spans="1:19" x14ac:dyDescent="0.25">
      <c r="A1226" s="1">
        <v>1221</v>
      </c>
      <c r="B1226" s="1" t="s">
        <v>2</v>
      </c>
      <c r="C1226" s="1" t="str">
        <f>IF($B1226 = "Production Item", _xlfn.XLOOKUP($A1226, 'Instrument Table'!$J:$J, 'Instrument Table'!$B:$B, $C1225), IF($B1226 = "Service Item", _xlfn.XLOOKUP($A1226, 'Instrument Table'!$I:$I, 'Instrument Table'!$B:$B, $C1225), _xlfn.XLOOKUP($A1226, 'Instrument Table'!$H:$H, 'Instrument Table'!$B:$B, $C1225)))</f>
        <v>Viola</v>
      </c>
      <c r="D1226" s="1" t="str">
        <f>VLOOKUP($C1226, 'Instrument Table'!$B:$C, 2, FALSE)</f>
        <v>Strings</v>
      </c>
      <c r="E1226" s="1">
        <f t="shared" si="114"/>
        <v>1</v>
      </c>
      <c r="F1226" s="1">
        <f>_xlfn.XLOOKUP($C1226, 'Instrument Table'!$B:$B, 'Instrument Table'!$A:$A, "")</f>
        <v>21</v>
      </c>
      <c r="G1226" s="1" t="str">
        <f>TEXT(IF($B1226 = "Retail Item", IF((ROW($A1226) - 4504 - _xlfn.XMATCH($C1226, $C$4506:$C$5005, 0, 1)) &lt;= VLOOKUP($C1226, 'Instrument Table'!$B:$D, 3, FALSE), ROW($A1226) - 4504 - _xlfn.XMATCH($C1226, $C$4506:$C$5005, 0, 1), 0), 0), "00")</f>
        <v>00</v>
      </c>
      <c r="H1226" s="1" t="str">
        <f t="shared" si="115"/>
        <v>020</v>
      </c>
      <c r="I1226" s="1" t="str">
        <f t="shared" si="116"/>
        <v>12100-020</v>
      </c>
      <c r="J1226" s="1" t="str">
        <f t="shared" si="117"/>
        <v>Viola production item #020</v>
      </c>
      <c r="K1226" s="1" t="str">
        <f>IF(SUM(COUNTIFS(I:I, I1226)) &gt; 1, "DUPLICATE", "UNIQUE")</f>
        <v>UNIQUE</v>
      </c>
      <c r="L1226" s="18">
        <v>1</v>
      </c>
      <c r="M1226" s="28">
        <v>20</v>
      </c>
      <c r="N1226" s="6">
        <v>36</v>
      </c>
      <c r="O1226" s="30">
        <f t="shared" si="118"/>
        <v>20</v>
      </c>
      <c r="P1226" s="30">
        <f t="shared" si="119"/>
        <v>720</v>
      </c>
      <c r="Q1226" s="1">
        <f>COUNTIFS($P:$P, "&gt;" &amp; $P1226) + 1</f>
        <v>3863</v>
      </c>
      <c r="R1226" s="63">
        <f>(COUNTIFS($P:$P, "&gt;" &amp; $P1226) + 1) / (COUNTA($I:$I) - 1)</f>
        <v>0.77259999999999995</v>
      </c>
      <c r="S1226" s="23">
        <f>SUMIFS($P:$P, $Q:$Q, "&lt;" &amp; $Q1226)</f>
        <v>186312976</v>
      </c>
    </row>
    <row r="1227" spans="1:19" x14ac:dyDescent="0.25">
      <c r="A1227" s="1">
        <v>1222</v>
      </c>
      <c r="B1227" s="1" t="s">
        <v>2</v>
      </c>
      <c r="C1227" s="1" t="str">
        <f>IF($B1227 = "Production Item", _xlfn.XLOOKUP($A1227, 'Instrument Table'!$J:$J, 'Instrument Table'!$B:$B, $C1226), IF($B1227 = "Service Item", _xlfn.XLOOKUP($A1227, 'Instrument Table'!$I:$I, 'Instrument Table'!$B:$B, $C1226), _xlfn.XLOOKUP($A1227, 'Instrument Table'!$H:$H, 'Instrument Table'!$B:$B, $C1226)))</f>
        <v>Viola</v>
      </c>
      <c r="D1227" s="1" t="str">
        <f>VLOOKUP($C1227, 'Instrument Table'!$B:$C, 2, FALSE)</f>
        <v>Strings</v>
      </c>
      <c r="E1227" s="1">
        <f t="shared" si="114"/>
        <v>1</v>
      </c>
      <c r="F1227" s="1">
        <f>_xlfn.XLOOKUP($C1227, 'Instrument Table'!$B:$B, 'Instrument Table'!$A:$A, "")</f>
        <v>21</v>
      </c>
      <c r="G1227" s="1" t="str">
        <f>TEXT(IF($B1227 = "Retail Item", IF((ROW($A1227) - 4504 - _xlfn.XMATCH($C1227, $C$4506:$C$5005, 0, 1)) &lt;= VLOOKUP($C1227, 'Instrument Table'!$B:$D, 3, FALSE), ROW($A1227) - 4504 - _xlfn.XMATCH($C1227, $C$4506:$C$5005, 0, 1), 0), 0), "00")</f>
        <v>00</v>
      </c>
      <c r="H1227" s="1" t="str">
        <f t="shared" si="115"/>
        <v>021</v>
      </c>
      <c r="I1227" s="1" t="str">
        <f t="shared" si="116"/>
        <v>12100-021</v>
      </c>
      <c r="J1227" s="1" t="str">
        <f t="shared" si="117"/>
        <v>Viola production item #021</v>
      </c>
      <c r="K1227" s="1" t="str">
        <f>IF(SUM(COUNTIFS(I:I, I1227)) &gt; 1, "DUPLICATE", "UNIQUE")</f>
        <v>UNIQUE</v>
      </c>
      <c r="L1227" s="18">
        <v>1</v>
      </c>
      <c r="M1227" s="28">
        <v>24</v>
      </c>
      <c r="N1227" s="6">
        <v>1</v>
      </c>
      <c r="O1227" s="30">
        <f t="shared" si="118"/>
        <v>24</v>
      </c>
      <c r="P1227" s="30">
        <f t="shared" si="119"/>
        <v>24</v>
      </c>
      <c r="Q1227" s="1">
        <f>COUNTIFS($P:$P, "&gt;" &amp; $P1227) + 1</f>
        <v>4682</v>
      </c>
      <c r="R1227" s="63">
        <f>(COUNTIFS($P:$P, "&gt;" &amp; $P1227) + 1) / (COUNTA($I:$I) - 1)</f>
        <v>0.93640000000000001</v>
      </c>
      <c r="S1227" s="23">
        <f>SUMIFS($P:$P, $Q:$Q, "&lt;" &amp; $Q1227)</f>
        <v>186547022</v>
      </c>
    </row>
    <row r="1228" spans="1:19" x14ac:dyDescent="0.25">
      <c r="A1228" s="1">
        <v>1223</v>
      </c>
      <c r="B1228" s="1" t="s">
        <v>2</v>
      </c>
      <c r="C1228" s="1" t="str">
        <f>IF($B1228 = "Production Item", _xlfn.XLOOKUP($A1228, 'Instrument Table'!$J:$J, 'Instrument Table'!$B:$B, $C1227), IF($B1228 = "Service Item", _xlfn.XLOOKUP($A1228, 'Instrument Table'!$I:$I, 'Instrument Table'!$B:$B, $C1227), _xlfn.XLOOKUP($A1228, 'Instrument Table'!$H:$H, 'Instrument Table'!$B:$B, $C1227)))</f>
        <v>Viola</v>
      </c>
      <c r="D1228" s="1" t="str">
        <f>VLOOKUP($C1228, 'Instrument Table'!$B:$C, 2, FALSE)</f>
        <v>Strings</v>
      </c>
      <c r="E1228" s="1">
        <f t="shared" si="114"/>
        <v>1</v>
      </c>
      <c r="F1228" s="1">
        <f>_xlfn.XLOOKUP($C1228, 'Instrument Table'!$B:$B, 'Instrument Table'!$A:$A, "")</f>
        <v>21</v>
      </c>
      <c r="G1228" s="1" t="str">
        <f>TEXT(IF($B1228 = "Retail Item", IF((ROW($A1228) - 4504 - _xlfn.XMATCH($C1228, $C$4506:$C$5005, 0, 1)) &lt;= VLOOKUP($C1228, 'Instrument Table'!$B:$D, 3, FALSE), ROW($A1228) - 4504 - _xlfn.XMATCH($C1228, $C$4506:$C$5005, 0, 1), 0), 0), "00")</f>
        <v>00</v>
      </c>
      <c r="H1228" s="1" t="str">
        <f t="shared" si="115"/>
        <v>022</v>
      </c>
      <c r="I1228" s="1" t="str">
        <f t="shared" si="116"/>
        <v>12100-022</v>
      </c>
      <c r="J1228" s="1" t="str">
        <f t="shared" si="117"/>
        <v>Viola production item #022</v>
      </c>
      <c r="K1228" s="1" t="str">
        <f>IF(SUM(COUNTIFS(I:I, I1228)) &gt; 1, "DUPLICATE", "UNIQUE")</f>
        <v>UNIQUE</v>
      </c>
      <c r="L1228" s="18">
        <v>1</v>
      </c>
      <c r="M1228" s="28">
        <v>23</v>
      </c>
      <c r="N1228" s="6">
        <v>9</v>
      </c>
      <c r="O1228" s="30">
        <f t="shared" si="118"/>
        <v>23</v>
      </c>
      <c r="P1228" s="30">
        <f t="shared" si="119"/>
        <v>207</v>
      </c>
      <c r="Q1228" s="1">
        <f>COUNTIFS($P:$P, "&gt;" &amp; $P1228) + 1</f>
        <v>4315</v>
      </c>
      <c r="R1228" s="63">
        <f>(COUNTIFS($P:$P, "&gt;" &amp; $P1228) + 1) / (COUNTA($I:$I) - 1)</f>
        <v>0.86299999999999999</v>
      </c>
      <c r="S1228" s="23">
        <f>SUMIFS($P:$P, $Q:$Q, "&lt;" &amp; $Q1228)</f>
        <v>186510654</v>
      </c>
    </row>
    <row r="1229" spans="1:19" x14ac:dyDescent="0.25">
      <c r="A1229" s="1">
        <v>1224</v>
      </c>
      <c r="B1229" s="1" t="s">
        <v>2</v>
      </c>
      <c r="C1229" s="1" t="str">
        <f>IF($B1229 = "Production Item", _xlfn.XLOOKUP($A1229, 'Instrument Table'!$J:$J, 'Instrument Table'!$B:$B, $C1228), IF($B1229 = "Service Item", _xlfn.XLOOKUP($A1229, 'Instrument Table'!$I:$I, 'Instrument Table'!$B:$B, $C1228), _xlfn.XLOOKUP($A1229, 'Instrument Table'!$H:$H, 'Instrument Table'!$B:$B, $C1228)))</f>
        <v>Viola</v>
      </c>
      <c r="D1229" s="1" t="str">
        <f>VLOOKUP($C1229, 'Instrument Table'!$B:$C, 2, FALSE)</f>
        <v>Strings</v>
      </c>
      <c r="E1229" s="1">
        <f t="shared" si="114"/>
        <v>1</v>
      </c>
      <c r="F1229" s="1">
        <f>_xlfn.XLOOKUP($C1229, 'Instrument Table'!$B:$B, 'Instrument Table'!$A:$A, "")</f>
        <v>21</v>
      </c>
      <c r="G1229" s="1" t="str">
        <f>TEXT(IF($B1229 = "Retail Item", IF((ROW($A1229) - 4504 - _xlfn.XMATCH($C1229, $C$4506:$C$5005, 0, 1)) &lt;= VLOOKUP($C1229, 'Instrument Table'!$B:$D, 3, FALSE), ROW($A1229) - 4504 - _xlfn.XMATCH($C1229, $C$4506:$C$5005, 0, 1), 0), 0), "00")</f>
        <v>00</v>
      </c>
      <c r="H1229" s="1" t="str">
        <f t="shared" si="115"/>
        <v>023</v>
      </c>
      <c r="I1229" s="1" t="str">
        <f t="shared" si="116"/>
        <v>12100-023</v>
      </c>
      <c r="J1229" s="1" t="str">
        <f t="shared" si="117"/>
        <v>Viola production item #023</v>
      </c>
      <c r="K1229" s="1" t="str">
        <f>IF(SUM(COUNTIFS(I:I, I1229)) &gt; 1, "DUPLICATE", "UNIQUE")</f>
        <v>UNIQUE</v>
      </c>
      <c r="L1229" s="18">
        <v>2</v>
      </c>
      <c r="M1229" s="28">
        <v>52</v>
      </c>
      <c r="N1229" s="6">
        <v>400</v>
      </c>
      <c r="O1229" s="30">
        <f t="shared" si="118"/>
        <v>104</v>
      </c>
      <c r="P1229" s="30">
        <f t="shared" si="119"/>
        <v>20800</v>
      </c>
      <c r="Q1229" s="1">
        <f>COUNTIFS($P:$P, "&gt;" &amp; $P1229) + 1</f>
        <v>1013</v>
      </c>
      <c r="R1229" s="63">
        <f>(COUNTIFS($P:$P, "&gt;" &amp; $P1229) + 1) / (COUNTA($I:$I) - 1)</f>
        <v>0.2026</v>
      </c>
      <c r="S1229" s="23">
        <f>SUMIFS($P:$P, $Q:$Q, "&lt;" &amp; $Q1229)</f>
        <v>166764025</v>
      </c>
    </row>
    <row r="1230" spans="1:19" x14ac:dyDescent="0.25">
      <c r="A1230" s="1">
        <v>1225</v>
      </c>
      <c r="B1230" s="1" t="s">
        <v>2</v>
      </c>
      <c r="C1230" s="1" t="str">
        <f>IF($B1230 = "Production Item", _xlfn.XLOOKUP($A1230, 'Instrument Table'!$J:$J, 'Instrument Table'!$B:$B, $C1229), IF($B1230 = "Service Item", _xlfn.XLOOKUP($A1230, 'Instrument Table'!$I:$I, 'Instrument Table'!$B:$B, $C1229), _xlfn.XLOOKUP($A1230, 'Instrument Table'!$H:$H, 'Instrument Table'!$B:$B, $C1229)))</f>
        <v>Viola</v>
      </c>
      <c r="D1230" s="1" t="str">
        <f>VLOOKUP($C1230, 'Instrument Table'!$B:$C, 2, FALSE)</f>
        <v>Strings</v>
      </c>
      <c r="E1230" s="1">
        <f t="shared" si="114"/>
        <v>1</v>
      </c>
      <c r="F1230" s="1">
        <f>_xlfn.XLOOKUP($C1230, 'Instrument Table'!$B:$B, 'Instrument Table'!$A:$A, "")</f>
        <v>21</v>
      </c>
      <c r="G1230" s="1" t="str">
        <f>TEXT(IF($B1230 = "Retail Item", IF((ROW($A1230) - 4504 - _xlfn.XMATCH($C1230, $C$4506:$C$5005, 0, 1)) &lt;= VLOOKUP($C1230, 'Instrument Table'!$B:$D, 3, FALSE), ROW($A1230) - 4504 - _xlfn.XMATCH($C1230, $C$4506:$C$5005, 0, 1), 0), 0), "00")</f>
        <v>00</v>
      </c>
      <c r="H1230" s="1" t="str">
        <f t="shared" si="115"/>
        <v>024</v>
      </c>
      <c r="I1230" s="1" t="str">
        <f t="shared" si="116"/>
        <v>12100-024</v>
      </c>
      <c r="J1230" s="1" t="str">
        <f t="shared" si="117"/>
        <v>Viola production item #024</v>
      </c>
      <c r="K1230" s="1" t="str">
        <f>IF(SUM(COUNTIFS(I:I, I1230)) &gt; 1, "DUPLICATE", "UNIQUE")</f>
        <v>UNIQUE</v>
      </c>
      <c r="L1230" s="18">
        <v>1</v>
      </c>
      <c r="M1230" s="28">
        <v>83</v>
      </c>
      <c r="N1230" s="6">
        <v>324</v>
      </c>
      <c r="O1230" s="30">
        <f t="shared" si="118"/>
        <v>83</v>
      </c>
      <c r="P1230" s="30">
        <f t="shared" si="119"/>
        <v>26892</v>
      </c>
      <c r="Q1230" s="1">
        <f>COUNTIFS($P:$P, "&gt;" &amp; $P1230) + 1</f>
        <v>756</v>
      </c>
      <c r="R1230" s="63">
        <f>(COUNTIFS($P:$P, "&gt;" &amp; $P1230) + 1) / (COUNTA($I:$I) - 1)</f>
        <v>0.1512</v>
      </c>
      <c r="S1230" s="23">
        <f>SUMIFS($P:$P, $Q:$Q, "&lt;" &amp; $Q1230)</f>
        <v>160668094</v>
      </c>
    </row>
    <row r="1231" spans="1:19" x14ac:dyDescent="0.25">
      <c r="A1231" s="1">
        <v>1226</v>
      </c>
      <c r="B1231" s="1" t="s">
        <v>2</v>
      </c>
      <c r="C1231" s="1" t="str">
        <f>IF($B1231 = "Production Item", _xlfn.XLOOKUP($A1231, 'Instrument Table'!$J:$J, 'Instrument Table'!$B:$B, $C1230), IF($B1231 = "Service Item", _xlfn.XLOOKUP($A1231, 'Instrument Table'!$I:$I, 'Instrument Table'!$B:$B, $C1230), _xlfn.XLOOKUP($A1231, 'Instrument Table'!$H:$H, 'Instrument Table'!$B:$B, $C1230)))</f>
        <v>Viola</v>
      </c>
      <c r="D1231" s="1" t="str">
        <f>VLOOKUP($C1231, 'Instrument Table'!$B:$C, 2, FALSE)</f>
        <v>Strings</v>
      </c>
      <c r="E1231" s="1">
        <f t="shared" si="114"/>
        <v>1</v>
      </c>
      <c r="F1231" s="1">
        <f>_xlfn.XLOOKUP($C1231, 'Instrument Table'!$B:$B, 'Instrument Table'!$A:$A, "")</f>
        <v>21</v>
      </c>
      <c r="G1231" s="1" t="str">
        <f>TEXT(IF($B1231 = "Retail Item", IF((ROW($A1231) - 4504 - _xlfn.XMATCH($C1231, $C$4506:$C$5005, 0, 1)) &lt;= VLOOKUP($C1231, 'Instrument Table'!$B:$D, 3, FALSE), ROW($A1231) - 4504 - _xlfn.XMATCH($C1231, $C$4506:$C$5005, 0, 1), 0), 0), "00")</f>
        <v>00</v>
      </c>
      <c r="H1231" s="1" t="str">
        <f t="shared" si="115"/>
        <v>025</v>
      </c>
      <c r="I1231" s="1" t="str">
        <f t="shared" si="116"/>
        <v>12100-025</v>
      </c>
      <c r="J1231" s="1" t="str">
        <f t="shared" si="117"/>
        <v>Viola production item #025</v>
      </c>
      <c r="K1231" s="1" t="str">
        <f>IF(SUM(COUNTIFS(I:I, I1231)) &gt; 1, "DUPLICATE", "UNIQUE")</f>
        <v>UNIQUE</v>
      </c>
      <c r="L1231" s="18">
        <v>1</v>
      </c>
      <c r="M1231" s="28">
        <v>59</v>
      </c>
      <c r="N1231" s="6">
        <v>64</v>
      </c>
      <c r="O1231" s="30">
        <f t="shared" si="118"/>
        <v>59</v>
      </c>
      <c r="P1231" s="30">
        <f t="shared" si="119"/>
        <v>3776</v>
      </c>
      <c r="Q1231" s="1">
        <f>COUNTIFS($P:$P, "&gt;" &amp; $P1231) + 1</f>
        <v>2701</v>
      </c>
      <c r="R1231" s="63">
        <f>(COUNTIFS($P:$P, "&gt;" &amp; $P1231) + 1) / (COUNTA($I:$I) - 1)</f>
        <v>0.54020000000000001</v>
      </c>
      <c r="S1231" s="23">
        <f>SUMIFS($P:$P, $Q:$Q, "&lt;" &amp; $Q1231)</f>
        <v>183970533</v>
      </c>
    </row>
    <row r="1232" spans="1:19" x14ac:dyDescent="0.25">
      <c r="A1232" s="1">
        <v>1227</v>
      </c>
      <c r="B1232" s="1" t="s">
        <v>2</v>
      </c>
      <c r="C1232" s="1" t="str">
        <f>IF($B1232 = "Production Item", _xlfn.XLOOKUP($A1232, 'Instrument Table'!$J:$J, 'Instrument Table'!$B:$B, $C1231), IF($B1232 = "Service Item", _xlfn.XLOOKUP($A1232, 'Instrument Table'!$I:$I, 'Instrument Table'!$B:$B, $C1231), _xlfn.XLOOKUP($A1232, 'Instrument Table'!$H:$H, 'Instrument Table'!$B:$B, $C1231)))</f>
        <v>Viola</v>
      </c>
      <c r="D1232" s="1" t="str">
        <f>VLOOKUP($C1232, 'Instrument Table'!$B:$C, 2, FALSE)</f>
        <v>Strings</v>
      </c>
      <c r="E1232" s="1">
        <f t="shared" si="114"/>
        <v>1</v>
      </c>
      <c r="F1232" s="1">
        <f>_xlfn.XLOOKUP($C1232, 'Instrument Table'!$B:$B, 'Instrument Table'!$A:$A, "")</f>
        <v>21</v>
      </c>
      <c r="G1232" s="1" t="str">
        <f>TEXT(IF($B1232 = "Retail Item", IF((ROW($A1232) - 4504 - _xlfn.XMATCH($C1232, $C$4506:$C$5005, 0, 1)) &lt;= VLOOKUP($C1232, 'Instrument Table'!$B:$D, 3, FALSE), ROW($A1232) - 4504 - _xlfn.XMATCH($C1232, $C$4506:$C$5005, 0, 1), 0), 0), "00")</f>
        <v>00</v>
      </c>
      <c r="H1232" s="1" t="str">
        <f t="shared" si="115"/>
        <v>026</v>
      </c>
      <c r="I1232" s="1" t="str">
        <f t="shared" si="116"/>
        <v>12100-026</v>
      </c>
      <c r="J1232" s="1" t="str">
        <f t="shared" si="117"/>
        <v>Viola production item #026</v>
      </c>
      <c r="K1232" s="1" t="str">
        <f>IF(SUM(COUNTIFS(I:I, I1232)) &gt; 1, "DUPLICATE", "UNIQUE")</f>
        <v>UNIQUE</v>
      </c>
      <c r="L1232" s="18">
        <v>0</v>
      </c>
      <c r="M1232" s="28">
        <v>9</v>
      </c>
      <c r="N1232" s="6">
        <v>49</v>
      </c>
      <c r="O1232" s="30">
        <f t="shared" si="118"/>
        <v>0</v>
      </c>
      <c r="P1232" s="30">
        <f t="shared" si="119"/>
        <v>441</v>
      </c>
      <c r="Q1232" s="1">
        <f>COUNTIFS($P:$P, "&gt;" &amp; $P1232) + 1</f>
        <v>4066</v>
      </c>
      <c r="R1232" s="63">
        <f>(COUNTIFS($P:$P, "&gt;" &amp; $P1232) + 1) / (COUNTA($I:$I) - 1)</f>
        <v>0.81320000000000003</v>
      </c>
      <c r="S1232" s="23">
        <f>SUMIFS($P:$P, $Q:$Q, "&lt;" &amp; $Q1232)</f>
        <v>186430642</v>
      </c>
    </row>
    <row r="1233" spans="1:19" x14ac:dyDescent="0.25">
      <c r="A1233" s="1">
        <v>1228</v>
      </c>
      <c r="B1233" s="1" t="s">
        <v>2</v>
      </c>
      <c r="C1233" s="1" t="str">
        <f>IF($B1233 = "Production Item", _xlfn.XLOOKUP($A1233, 'Instrument Table'!$J:$J, 'Instrument Table'!$B:$B, $C1232), IF($B1233 = "Service Item", _xlfn.XLOOKUP($A1233, 'Instrument Table'!$I:$I, 'Instrument Table'!$B:$B, $C1232), _xlfn.XLOOKUP($A1233, 'Instrument Table'!$H:$H, 'Instrument Table'!$B:$B, $C1232)))</f>
        <v>Viola</v>
      </c>
      <c r="D1233" s="1" t="str">
        <f>VLOOKUP($C1233, 'Instrument Table'!$B:$C, 2, FALSE)</f>
        <v>Strings</v>
      </c>
      <c r="E1233" s="1">
        <f t="shared" si="114"/>
        <v>1</v>
      </c>
      <c r="F1233" s="1">
        <f>_xlfn.XLOOKUP($C1233, 'Instrument Table'!$B:$B, 'Instrument Table'!$A:$A, "")</f>
        <v>21</v>
      </c>
      <c r="G1233" s="1" t="str">
        <f>TEXT(IF($B1233 = "Retail Item", IF((ROW($A1233) - 4504 - _xlfn.XMATCH($C1233, $C$4506:$C$5005, 0, 1)) &lt;= VLOOKUP($C1233, 'Instrument Table'!$B:$D, 3, FALSE), ROW($A1233) - 4504 - _xlfn.XMATCH($C1233, $C$4506:$C$5005, 0, 1), 0), 0), "00")</f>
        <v>00</v>
      </c>
      <c r="H1233" s="1" t="str">
        <f t="shared" si="115"/>
        <v>027</v>
      </c>
      <c r="I1233" s="1" t="str">
        <f t="shared" si="116"/>
        <v>12100-027</v>
      </c>
      <c r="J1233" s="1" t="str">
        <f t="shared" si="117"/>
        <v>Viola production item #027</v>
      </c>
      <c r="K1233" s="1" t="str">
        <f>IF(SUM(COUNTIFS(I:I, I1233)) &gt; 1, "DUPLICATE", "UNIQUE")</f>
        <v>UNIQUE</v>
      </c>
      <c r="L1233" s="18">
        <v>4</v>
      </c>
      <c r="M1233" s="28">
        <v>1</v>
      </c>
      <c r="N1233" s="6">
        <v>49</v>
      </c>
      <c r="O1233" s="30">
        <f t="shared" si="118"/>
        <v>4</v>
      </c>
      <c r="P1233" s="30">
        <f t="shared" si="119"/>
        <v>49</v>
      </c>
      <c r="Q1233" s="1">
        <f>COUNTIFS($P:$P, "&gt;" &amp; $P1233) + 1</f>
        <v>4617</v>
      </c>
      <c r="R1233" s="63">
        <f>(COUNTIFS($P:$P, "&gt;" &amp; $P1233) + 1) / (COUNTA($I:$I) - 1)</f>
        <v>0.9234</v>
      </c>
      <c r="S1233" s="23">
        <f>SUMIFS($P:$P, $Q:$Q, "&lt;" &amp; $Q1233)</f>
        <v>186544585</v>
      </c>
    </row>
    <row r="1234" spans="1:19" x14ac:dyDescent="0.25">
      <c r="A1234" s="1">
        <v>1229</v>
      </c>
      <c r="B1234" s="1" t="s">
        <v>2</v>
      </c>
      <c r="C1234" s="1" t="str">
        <f>IF($B1234 = "Production Item", _xlfn.XLOOKUP($A1234, 'Instrument Table'!$J:$J, 'Instrument Table'!$B:$B, $C1233), IF($B1234 = "Service Item", _xlfn.XLOOKUP($A1234, 'Instrument Table'!$I:$I, 'Instrument Table'!$B:$B, $C1233), _xlfn.XLOOKUP($A1234, 'Instrument Table'!$H:$H, 'Instrument Table'!$B:$B, $C1233)))</f>
        <v>Viola</v>
      </c>
      <c r="D1234" s="1" t="str">
        <f>VLOOKUP($C1234, 'Instrument Table'!$B:$C, 2, FALSE)</f>
        <v>Strings</v>
      </c>
      <c r="E1234" s="1">
        <f t="shared" si="114"/>
        <v>1</v>
      </c>
      <c r="F1234" s="1">
        <f>_xlfn.XLOOKUP($C1234, 'Instrument Table'!$B:$B, 'Instrument Table'!$A:$A, "")</f>
        <v>21</v>
      </c>
      <c r="G1234" s="1" t="str">
        <f>TEXT(IF($B1234 = "Retail Item", IF((ROW($A1234) - 4504 - _xlfn.XMATCH($C1234, $C$4506:$C$5005, 0, 1)) &lt;= VLOOKUP($C1234, 'Instrument Table'!$B:$D, 3, FALSE), ROW($A1234) - 4504 - _xlfn.XMATCH($C1234, $C$4506:$C$5005, 0, 1), 0), 0), "00")</f>
        <v>00</v>
      </c>
      <c r="H1234" s="1" t="str">
        <f t="shared" si="115"/>
        <v>028</v>
      </c>
      <c r="I1234" s="1" t="str">
        <f t="shared" si="116"/>
        <v>12100-028</v>
      </c>
      <c r="J1234" s="1" t="str">
        <f t="shared" si="117"/>
        <v>Viola production item #028</v>
      </c>
      <c r="K1234" s="1" t="str">
        <f>IF(SUM(COUNTIFS(I:I, I1234)) &gt; 1, "DUPLICATE", "UNIQUE")</f>
        <v>UNIQUE</v>
      </c>
      <c r="L1234" s="18">
        <v>1</v>
      </c>
      <c r="M1234" s="28">
        <v>37</v>
      </c>
      <c r="N1234" s="6">
        <v>36</v>
      </c>
      <c r="O1234" s="30">
        <f t="shared" si="118"/>
        <v>37</v>
      </c>
      <c r="P1234" s="30">
        <f t="shared" si="119"/>
        <v>1332</v>
      </c>
      <c r="Q1234" s="1">
        <f>COUNTIFS($P:$P, "&gt;" &amp; $P1234) + 1</f>
        <v>3543</v>
      </c>
      <c r="R1234" s="63">
        <f>(COUNTIFS($P:$P, "&gt;" &amp; $P1234) + 1) / (COUNTA($I:$I) - 1)</f>
        <v>0.70860000000000001</v>
      </c>
      <c r="S1234" s="23">
        <f>SUMIFS($P:$P, $Q:$Q, "&lt;" &amp; $Q1234)</f>
        <v>185996757</v>
      </c>
    </row>
    <row r="1235" spans="1:19" x14ac:dyDescent="0.25">
      <c r="A1235" s="1">
        <v>1230</v>
      </c>
      <c r="B1235" s="1" t="s">
        <v>2</v>
      </c>
      <c r="C1235" s="1" t="str">
        <f>IF($B1235 = "Production Item", _xlfn.XLOOKUP($A1235, 'Instrument Table'!$J:$J, 'Instrument Table'!$B:$B, $C1234), IF($B1235 = "Service Item", _xlfn.XLOOKUP($A1235, 'Instrument Table'!$I:$I, 'Instrument Table'!$B:$B, $C1234), _xlfn.XLOOKUP($A1235, 'Instrument Table'!$H:$H, 'Instrument Table'!$B:$B, $C1234)))</f>
        <v>Viola</v>
      </c>
      <c r="D1235" s="1" t="str">
        <f>VLOOKUP($C1235, 'Instrument Table'!$B:$C, 2, FALSE)</f>
        <v>Strings</v>
      </c>
      <c r="E1235" s="1">
        <f t="shared" si="114"/>
        <v>1</v>
      </c>
      <c r="F1235" s="1">
        <f>_xlfn.XLOOKUP($C1235, 'Instrument Table'!$B:$B, 'Instrument Table'!$A:$A, "")</f>
        <v>21</v>
      </c>
      <c r="G1235" s="1" t="str">
        <f>TEXT(IF($B1235 = "Retail Item", IF((ROW($A1235) - 4504 - _xlfn.XMATCH($C1235, $C$4506:$C$5005, 0, 1)) &lt;= VLOOKUP($C1235, 'Instrument Table'!$B:$D, 3, FALSE), ROW($A1235) - 4504 - _xlfn.XMATCH($C1235, $C$4506:$C$5005, 0, 1), 0), 0), "00")</f>
        <v>00</v>
      </c>
      <c r="H1235" s="1" t="str">
        <f t="shared" si="115"/>
        <v>029</v>
      </c>
      <c r="I1235" s="1" t="str">
        <f t="shared" si="116"/>
        <v>12100-029</v>
      </c>
      <c r="J1235" s="1" t="str">
        <f t="shared" si="117"/>
        <v>Viola production item #029</v>
      </c>
      <c r="K1235" s="1" t="str">
        <f>IF(SUM(COUNTIFS(I:I, I1235)) &gt; 1, "DUPLICATE", "UNIQUE")</f>
        <v>UNIQUE</v>
      </c>
      <c r="L1235" s="18">
        <v>0</v>
      </c>
      <c r="M1235" s="28">
        <v>44</v>
      </c>
      <c r="N1235" s="6">
        <v>400</v>
      </c>
      <c r="O1235" s="30">
        <f t="shared" si="118"/>
        <v>0</v>
      </c>
      <c r="P1235" s="30">
        <f t="shared" si="119"/>
        <v>17600</v>
      </c>
      <c r="Q1235" s="1">
        <f>COUNTIFS($P:$P, "&gt;" &amp; $P1235) + 1</f>
        <v>1182</v>
      </c>
      <c r="R1235" s="63">
        <f>(COUNTIFS($P:$P, "&gt;" &amp; $P1235) + 1) / (COUNTA($I:$I) - 1)</f>
        <v>0.2364</v>
      </c>
      <c r="S1235" s="23">
        <f>SUMIFS($P:$P, $Q:$Q, "&lt;" &amp; $Q1235)</f>
        <v>170011245</v>
      </c>
    </row>
    <row r="1236" spans="1:19" x14ac:dyDescent="0.25">
      <c r="A1236" s="1">
        <v>1231</v>
      </c>
      <c r="B1236" s="1" t="s">
        <v>2</v>
      </c>
      <c r="C1236" s="1" t="str">
        <f>IF($B1236 = "Production Item", _xlfn.XLOOKUP($A1236, 'Instrument Table'!$J:$J, 'Instrument Table'!$B:$B, $C1235), IF($B1236 = "Service Item", _xlfn.XLOOKUP($A1236, 'Instrument Table'!$I:$I, 'Instrument Table'!$B:$B, $C1235), _xlfn.XLOOKUP($A1236, 'Instrument Table'!$H:$H, 'Instrument Table'!$B:$B, $C1235)))</f>
        <v>Viola</v>
      </c>
      <c r="D1236" s="1" t="str">
        <f>VLOOKUP($C1236, 'Instrument Table'!$B:$C, 2, FALSE)</f>
        <v>Strings</v>
      </c>
      <c r="E1236" s="1">
        <f t="shared" si="114"/>
        <v>1</v>
      </c>
      <c r="F1236" s="1">
        <f>_xlfn.XLOOKUP($C1236, 'Instrument Table'!$B:$B, 'Instrument Table'!$A:$A, "")</f>
        <v>21</v>
      </c>
      <c r="G1236" s="1" t="str">
        <f>TEXT(IF($B1236 = "Retail Item", IF((ROW($A1236) - 4504 - _xlfn.XMATCH($C1236, $C$4506:$C$5005, 0, 1)) &lt;= VLOOKUP($C1236, 'Instrument Table'!$B:$D, 3, FALSE), ROW($A1236) - 4504 - _xlfn.XMATCH($C1236, $C$4506:$C$5005, 0, 1), 0), 0), "00")</f>
        <v>00</v>
      </c>
      <c r="H1236" s="1" t="str">
        <f t="shared" si="115"/>
        <v>030</v>
      </c>
      <c r="I1236" s="1" t="str">
        <f t="shared" si="116"/>
        <v>12100-030</v>
      </c>
      <c r="J1236" s="1" t="str">
        <f t="shared" si="117"/>
        <v>Viola production item #030</v>
      </c>
      <c r="K1236" s="1" t="str">
        <f>IF(SUM(COUNTIFS(I:I, I1236)) &gt; 1, "DUPLICATE", "UNIQUE")</f>
        <v>UNIQUE</v>
      </c>
      <c r="L1236" s="18">
        <v>1</v>
      </c>
      <c r="M1236" s="28">
        <v>60</v>
      </c>
      <c r="N1236" s="6">
        <v>36</v>
      </c>
      <c r="O1236" s="30">
        <f t="shared" si="118"/>
        <v>60</v>
      </c>
      <c r="P1236" s="30">
        <f t="shared" si="119"/>
        <v>2160</v>
      </c>
      <c r="Q1236" s="1">
        <f>COUNTIFS($P:$P, "&gt;" &amp; $P1236) + 1</f>
        <v>3181</v>
      </c>
      <c r="R1236" s="63">
        <f>(COUNTIFS($P:$P, "&gt;" &amp; $P1236) + 1) / (COUNTA($I:$I) - 1)</f>
        <v>0.63619999999999999</v>
      </c>
      <c r="S1236" s="23">
        <f>SUMIFS($P:$P, $Q:$Q, "&lt;" &amp; $Q1236)</f>
        <v>185367052</v>
      </c>
    </row>
    <row r="1237" spans="1:19" x14ac:dyDescent="0.25">
      <c r="A1237" s="1">
        <v>1232</v>
      </c>
      <c r="B1237" s="1" t="s">
        <v>2</v>
      </c>
      <c r="C1237" s="1" t="str">
        <f>IF($B1237 = "Production Item", _xlfn.XLOOKUP($A1237, 'Instrument Table'!$J:$J, 'Instrument Table'!$B:$B, $C1236), IF($B1237 = "Service Item", _xlfn.XLOOKUP($A1237, 'Instrument Table'!$I:$I, 'Instrument Table'!$B:$B, $C1236), _xlfn.XLOOKUP($A1237, 'Instrument Table'!$H:$H, 'Instrument Table'!$B:$B, $C1236)))</f>
        <v>Viola</v>
      </c>
      <c r="D1237" s="1" t="str">
        <f>VLOOKUP($C1237, 'Instrument Table'!$B:$C, 2, FALSE)</f>
        <v>Strings</v>
      </c>
      <c r="E1237" s="1">
        <f t="shared" si="114"/>
        <v>1</v>
      </c>
      <c r="F1237" s="1">
        <f>_xlfn.XLOOKUP($C1237, 'Instrument Table'!$B:$B, 'Instrument Table'!$A:$A, "")</f>
        <v>21</v>
      </c>
      <c r="G1237" s="1" t="str">
        <f>TEXT(IF($B1237 = "Retail Item", IF((ROW($A1237) - 4504 - _xlfn.XMATCH($C1237, $C$4506:$C$5005, 0, 1)) &lt;= VLOOKUP($C1237, 'Instrument Table'!$B:$D, 3, FALSE), ROW($A1237) - 4504 - _xlfn.XMATCH($C1237, $C$4506:$C$5005, 0, 1), 0), 0), "00")</f>
        <v>00</v>
      </c>
      <c r="H1237" s="1" t="str">
        <f t="shared" si="115"/>
        <v>031</v>
      </c>
      <c r="I1237" s="1" t="str">
        <f t="shared" si="116"/>
        <v>12100-031</v>
      </c>
      <c r="J1237" s="1" t="str">
        <f t="shared" si="117"/>
        <v>Viola production item #031</v>
      </c>
      <c r="K1237" s="1" t="str">
        <f>IF(SUM(COUNTIFS(I:I, I1237)) &gt; 1, "DUPLICATE", "UNIQUE")</f>
        <v>UNIQUE</v>
      </c>
      <c r="L1237" s="18">
        <v>0</v>
      </c>
      <c r="M1237" s="28">
        <v>86</v>
      </c>
      <c r="N1237" s="6">
        <v>36</v>
      </c>
      <c r="O1237" s="30">
        <f t="shared" si="118"/>
        <v>0</v>
      </c>
      <c r="P1237" s="30">
        <f t="shared" si="119"/>
        <v>3096</v>
      </c>
      <c r="Q1237" s="1">
        <f>COUNTIFS($P:$P, "&gt;" &amp; $P1237) + 1</f>
        <v>2879</v>
      </c>
      <c r="R1237" s="63">
        <f>(COUNTIFS($P:$P, "&gt;" &amp; $P1237) + 1) / (COUNTA($I:$I) - 1)</f>
        <v>0.57579999999999998</v>
      </c>
      <c r="S1237" s="23">
        <f>SUMIFS($P:$P, $Q:$Q, "&lt;" &amp; $Q1237)</f>
        <v>184583902</v>
      </c>
    </row>
    <row r="1238" spans="1:19" x14ac:dyDescent="0.25">
      <c r="A1238" s="1">
        <v>1233</v>
      </c>
      <c r="B1238" s="1" t="s">
        <v>2</v>
      </c>
      <c r="C1238" s="1" t="str">
        <f>IF($B1238 = "Production Item", _xlfn.XLOOKUP($A1238, 'Instrument Table'!$J:$J, 'Instrument Table'!$B:$B, $C1237), IF($B1238 = "Service Item", _xlfn.XLOOKUP($A1238, 'Instrument Table'!$I:$I, 'Instrument Table'!$B:$B, $C1237), _xlfn.XLOOKUP($A1238, 'Instrument Table'!$H:$H, 'Instrument Table'!$B:$B, $C1237)))</f>
        <v>Viola</v>
      </c>
      <c r="D1238" s="1" t="str">
        <f>VLOOKUP($C1238, 'Instrument Table'!$B:$C, 2, FALSE)</f>
        <v>Strings</v>
      </c>
      <c r="E1238" s="1">
        <f t="shared" si="114"/>
        <v>1</v>
      </c>
      <c r="F1238" s="1">
        <f>_xlfn.XLOOKUP($C1238, 'Instrument Table'!$B:$B, 'Instrument Table'!$A:$A, "")</f>
        <v>21</v>
      </c>
      <c r="G1238" s="1" t="str">
        <f>TEXT(IF($B1238 = "Retail Item", IF((ROW($A1238) - 4504 - _xlfn.XMATCH($C1238, $C$4506:$C$5005, 0, 1)) &lt;= VLOOKUP($C1238, 'Instrument Table'!$B:$D, 3, FALSE), ROW($A1238) - 4504 - _xlfn.XMATCH($C1238, $C$4506:$C$5005, 0, 1), 0), 0), "00")</f>
        <v>00</v>
      </c>
      <c r="H1238" s="1" t="str">
        <f t="shared" si="115"/>
        <v>032</v>
      </c>
      <c r="I1238" s="1" t="str">
        <f t="shared" si="116"/>
        <v>12100-032</v>
      </c>
      <c r="J1238" s="1" t="str">
        <f t="shared" si="117"/>
        <v>Viola production item #032</v>
      </c>
      <c r="K1238" s="1" t="str">
        <f>IF(SUM(COUNTIFS(I:I, I1238)) &gt; 1, "DUPLICATE", "UNIQUE")</f>
        <v>UNIQUE</v>
      </c>
      <c r="L1238" s="18">
        <v>4</v>
      </c>
      <c r="M1238" s="28">
        <v>100</v>
      </c>
      <c r="N1238" s="6">
        <v>400</v>
      </c>
      <c r="O1238" s="30">
        <f t="shared" si="118"/>
        <v>400</v>
      </c>
      <c r="P1238" s="30">
        <f t="shared" si="119"/>
        <v>40000</v>
      </c>
      <c r="Q1238" s="1">
        <f>COUNTIFS($P:$P, "&gt;" &amp; $P1238) + 1</f>
        <v>551</v>
      </c>
      <c r="R1238" s="63">
        <f>(COUNTIFS($P:$P, "&gt;" &amp; $P1238) + 1) / (COUNTA($I:$I) - 1)</f>
        <v>0.11020000000000001</v>
      </c>
      <c r="S1238" s="23">
        <f>SUMIFS($P:$P, $Q:$Q, "&lt;" &amp; $Q1238)</f>
        <v>154017534</v>
      </c>
    </row>
    <row r="1239" spans="1:19" x14ac:dyDescent="0.25">
      <c r="A1239" s="1">
        <v>1234</v>
      </c>
      <c r="B1239" s="1" t="s">
        <v>2</v>
      </c>
      <c r="C1239" s="1" t="str">
        <f>IF($B1239 = "Production Item", _xlfn.XLOOKUP($A1239, 'Instrument Table'!$J:$J, 'Instrument Table'!$B:$B, $C1238), IF($B1239 = "Service Item", _xlfn.XLOOKUP($A1239, 'Instrument Table'!$I:$I, 'Instrument Table'!$B:$B, $C1238), _xlfn.XLOOKUP($A1239, 'Instrument Table'!$H:$H, 'Instrument Table'!$B:$B, $C1238)))</f>
        <v>Viola</v>
      </c>
      <c r="D1239" s="1" t="str">
        <f>VLOOKUP($C1239, 'Instrument Table'!$B:$C, 2, FALSE)</f>
        <v>Strings</v>
      </c>
      <c r="E1239" s="1">
        <f t="shared" si="114"/>
        <v>1</v>
      </c>
      <c r="F1239" s="1">
        <f>_xlfn.XLOOKUP($C1239, 'Instrument Table'!$B:$B, 'Instrument Table'!$A:$A, "")</f>
        <v>21</v>
      </c>
      <c r="G1239" s="1" t="str">
        <f>TEXT(IF($B1239 = "Retail Item", IF((ROW($A1239) - 4504 - _xlfn.XMATCH($C1239, $C$4506:$C$5005, 0, 1)) &lt;= VLOOKUP($C1239, 'Instrument Table'!$B:$D, 3, FALSE), ROW($A1239) - 4504 - _xlfn.XMATCH($C1239, $C$4506:$C$5005, 0, 1), 0), 0), "00")</f>
        <v>00</v>
      </c>
      <c r="H1239" s="1" t="str">
        <f t="shared" si="115"/>
        <v>033</v>
      </c>
      <c r="I1239" s="1" t="str">
        <f t="shared" si="116"/>
        <v>12100-033</v>
      </c>
      <c r="J1239" s="1" t="str">
        <f t="shared" si="117"/>
        <v>Viola production item #033</v>
      </c>
      <c r="K1239" s="1" t="str">
        <f>IF(SUM(COUNTIFS(I:I, I1239)) &gt; 1, "DUPLICATE", "UNIQUE")</f>
        <v>UNIQUE</v>
      </c>
      <c r="L1239" s="18">
        <v>0</v>
      </c>
      <c r="M1239" s="28">
        <v>71</v>
      </c>
      <c r="N1239" s="6">
        <v>324</v>
      </c>
      <c r="O1239" s="30">
        <f t="shared" si="118"/>
        <v>0</v>
      </c>
      <c r="P1239" s="30">
        <f t="shared" si="119"/>
        <v>23004</v>
      </c>
      <c r="Q1239" s="1">
        <f>COUNTIFS($P:$P, "&gt;" &amp; $P1239) + 1</f>
        <v>903</v>
      </c>
      <c r="R1239" s="63">
        <f>(COUNTIFS($P:$P, "&gt;" &amp; $P1239) + 1) / (COUNTA($I:$I) - 1)</f>
        <v>0.18060000000000001</v>
      </c>
      <c r="S1239" s="23">
        <f>SUMIFS($P:$P, $Q:$Q, "&lt;" &amp; $Q1239)</f>
        <v>164350227</v>
      </c>
    </row>
    <row r="1240" spans="1:19" x14ac:dyDescent="0.25">
      <c r="A1240" s="1">
        <v>1235</v>
      </c>
      <c r="B1240" s="1" t="s">
        <v>2</v>
      </c>
      <c r="C1240" s="1" t="str">
        <f>IF($B1240 = "Production Item", _xlfn.XLOOKUP($A1240, 'Instrument Table'!$J:$J, 'Instrument Table'!$B:$B, $C1239), IF($B1240 = "Service Item", _xlfn.XLOOKUP($A1240, 'Instrument Table'!$I:$I, 'Instrument Table'!$B:$B, $C1239), _xlfn.XLOOKUP($A1240, 'Instrument Table'!$H:$H, 'Instrument Table'!$B:$B, $C1239)))</f>
        <v>Viola</v>
      </c>
      <c r="D1240" s="1" t="str">
        <f>VLOOKUP($C1240, 'Instrument Table'!$B:$C, 2, FALSE)</f>
        <v>Strings</v>
      </c>
      <c r="E1240" s="1">
        <f t="shared" si="114"/>
        <v>1</v>
      </c>
      <c r="F1240" s="1">
        <f>_xlfn.XLOOKUP($C1240, 'Instrument Table'!$B:$B, 'Instrument Table'!$A:$A, "")</f>
        <v>21</v>
      </c>
      <c r="G1240" s="1" t="str">
        <f>TEXT(IF($B1240 = "Retail Item", IF((ROW($A1240) - 4504 - _xlfn.XMATCH($C1240, $C$4506:$C$5005, 0, 1)) &lt;= VLOOKUP($C1240, 'Instrument Table'!$B:$D, 3, FALSE), ROW($A1240) - 4504 - _xlfn.XMATCH($C1240, $C$4506:$C$5005, 0, 1), 0), 0), "00")</f>
        <v>00</v>
      </c>
      <c r="H1240" s="1" t="str">
        <f t="shared" si="115"/>
        <v>034</v>
      </c>
      <c r="I1240" s="1" t="str">
        <f t="shared" si="116"/>
        <v>12100-034</v>
      </c>
      <c r="J1240" s="1" t="str">
        <f t="shared" si="117"/>
        <v>Viola production item #034</v>
      </c>
      <c r="K1240" s="1" t="str">
        <f>IF(SUM(COUNTIFS(I:I, I1240)) &gt; 1, "DUPLICATE", "UNIQUE")</f>
        <v>UNIQUE</v>
      </c>
      <c r="L1240" s="18">
        <v>0</v>
      </c>
      <c r="M1240" s="28">
        <v>77</v>
      </c>
      <c r="N1240" s="6">
        <v>25</v>
      </c>
      <c r="O1240" s="30">
        <f t="shared" si="118"/>
        <v>0</v>
      </c>
      <c r="P1240" s="30">
        <f t="shared" si="119"/>
        <v>1925</v>
      </c>
      <c r="Q1240" s="1">
        <f>COUNTIFS($P:$P, "&gt;" &amp; $P1240) + 1</f>
        <v>3288</v>
      </c>
      <c r="R1240" s="63">
        <f>(COUNTIFS($P:$P, "&gt;" &amp; $P1240) + 1) / (COUNTA($I:$I) - 1)</f>
        <v>0.65759999999999996</v>
      </c>
      <c r="S1240" s="23">
        <f>SUMIFS($P:$P, $Q:$Q, "&lt;" &amp; $Q1240)</f>
        <v>185586128</v>
      </c>
    </row>
    <row r="1241" spans="1:19" x14ac:dyDescent="0.25">
      <c r="A1241" s="1">
        <v>1236</v>
      </c>
      <c r="B1241" s="1" t="s">
        <v>2</v>
      </c>
      <c r="C1241" s="1" t="str">
        <f>IF($B1241 = "Production Item", _xlfn.XLOOKUP($A1241, 'Instrument Table'!$J:$J, 'Instrument Table'!$B:$B, $C1240), IF($B1241 = "Service Item", _xlfn.XLOOKUP($A1241, 'Instrument Table'!$I:$I, 'Instrument Table'!$B:$B, $C1240), _xlfn.XLOOKUP($A1241, 'Instrument Table'!$H:$H, 'Instrument Table'!$B:$B, $C1240)))</f>
        <v>Viola</v>
      </c>
      <c r="D1241" s="1" t="str">
        <f>VLOOKUP($C1241, 'Instrument Table'!$B:$C, 2, FALSE)</f>
        <v>Strings</v>
      </c>
      <c r="E1241" s="1">
        <f t="shared" si="114"/>
        <v>1</v>
      </c>
      <c r="F1241" s="1">
        <f>_xlfn.XLOOKUP($C1241, 'Instrument Table'!$B:$B, 'Instrument Table'!$A:$A, "")</f>
        <v>21</v>
      </c>
      <c r="G1241" s="1" t="str">
        <f>TEXT(IF($B1241 = "Retail Item", IF((ROW($A1241) - 4504 - _xlfn.XMATCH($C1241, $C$4506:$C$5005, 0, 1)) &lt;= VLOOKUP($C1241, 'Instrument Table'!$B:$D, 3, FALSE), ROW($A1241) - 4504 - _xlfn.XMATCH($C1241, $C$4506:$C$5005, 0, 1), 0), 0), "00")</f>
        <v>00</v>
      </c>
      <c r="H1241" s="1" t="str">
        <f t="shared" si="115"/>
        <v>035</v>
      </c>
      <c r="I1241" s="1" t="str">
        <f t="shared" si="116"/>
        <v>12100-035</v>
      </c>
      <c r="J1241" s="1" t="str">
        <f t="shared" si="117"/>
        <v>Viola production item #035</v>
      </c>
      <c r="K1241" s="1" t="str">
        <f>IF(SUM(COUNTIFS(I:I, I1241)) &gt; 1, "DUPLICATE", "UNIQUE")</f>
        <v>UNIQUE</v>
      </c>
      <c r="L1241" s="18">
        <v>1</v>
      </c>
      <c r="M1241" s="28">
        <v>23</v>
      </c>
      <c r="N1241" s="6">
        <v>121</v>
      </c>
      <c r="O1241" s="30">
        <f t="shared" si="118"/>
        <v>23</v>
      </c>
      <c r="P1241" s="30">
        <f t="shared" si="119"/>
        <v>2783</v>
      </c>
      <c r="Q1241" s="1">
        <f>COUNTIFS($P:$P, "&gt;" &amp; $P1241) + 1</f>
        <v>2963</v>
      </c>
      <c r="R1241" s="63">
        <f>(COUNTIFS($P:$P, "&gt;" &amp; $P1241) + 1) / (COUNTA($I:$I) - 1)</f>
        <v>0.59260000000000002</v>
      </c>
      <c r="S1241" s="23">
        <f>SUMIFS($P:$P, $Q:$Q, "&lt;" &amp; $Q1241)</f>
        <v>184831742</v>
      </c>
    </row>
    <row r="1242" spans="1:19" x14ac:dyDescent="0.25">
      <c r="A1242" s="1">
        <v>1237</v>
      </c>
      <c r="B1242" s="1" t="s">
        <v>2</v>
      </c>
      <c r="C1242" s="1" t="str">
        <f>IF($B1242 = "Production Item", _xlfn.XLOOKUP($A1242, 'Instrument Table'!$J:$J, 'Instrument Table'!$B:$B, $C1241), IF($B1242 = "Service Item", _xlfn.XLOOKUP($A1242, 'Instrument Table'!$I:$I, 'Instrument Table'!$B:$B, $C1241), _xlfn.XLOOKUP($A1242, 'Instrument Table'!$H:$H, 'Instrument Table'!$B:$B, $C1241)))</f>
        <v>Viola</v>
      </c>
      <c r="D1242" s="1" t="str">
        <f>VLOOKUP($C1242, 'Instrument Table'!$B:$C, 2, FALSE)</f>
        <v>Strings</v>
      </c>
      <c r="E1242" s="1">
        <f t="shared" si="114"/>
        <v>1</v>
      </c>
      <c r="F1242" s="1">
        <f>_xlfn.XLOOKUP($C1242, 'Instrument Table'!$B:$B, 'Instrument Table'!$A:$A, "")</f>
        <v>21</v>
      </c>
      <c r="G1242" s="1" t="str">
        <f>TEXT(IF($B1242 = "Retail Item", IF((ROW($A1242) - 4504 - _xlfn.XMATCH($C1242, $C$4506:$C$5005, 0, 1)) &lt;= VLOOKUP($C1242, 'Instrument Table'!$B:$D, 3, FALSE), ROW($A1242) - 4504 - _xlfn.XMATCH($C1242, $C$4506:$C$5005, 0, 1), 0), 0), "00")</f>
        <v>00</v>
      </c>
      <c r="H1242" s="1" t="str">
        <f t="shared" si="115"/>
        <v>036</v>
      </c>
      <c r="I1242" s="1" t="str">
        <f t="shared" si="116"/>
        <v>12100-036</v>
      </c>
      <c r="J1242" s="1" t="str">
        <f t="shared" si="117"/>
        <v>Viola production item #036</v>
      </c>
      <c r="K1242" s="1" t="str">
        <f>IF(SUM(COUNTIFS(I:I, I1242)) &gt; 1, "DUPLICATE", "UNIQUE")</f>
        <v>UNIQUE</v>
      </c>
      <c r="L1242" s="18">
        <v>1</v>
      </c>
      <c r="M1242" s="28">
        <v>26</v>
      </c>
      <c r="N1242" s="6">
        <v>25</v>
      </c>
      <c r="O1242" s="30">
        <f t="shared" si="118"/>
        <v>26</v>
      </c>
      <c r="P1242" s="30">
        <f t="shared" si="119"/>
        <v>650</v>
      </c>
      <c r="Q1242" s="1">
        <f>COUNTIFS($P:$P, "&gt;" &amp; $P1242) + 1</f>
        <v>3910</v>
      </c>
      <c r="R1242" s="63">
        <f>(COUNTIFS($P:$P, "&gt;" &amp; $P1242) + 1) / (COUNTA($I:$I) - 1)</f>
        <v>0.78200000000000003</v>
      </c>
      <c r="S1242" s="23">
        <f>SUMIFS($P:$P, $Q:$Q, "&lt;" &amp; $Q1242)</f>
        <v>186345449</v>
      </c>
    </row>
    <row r="1243" spans="1:19" x14ac:dyDescent="0.25">
      <c r="A1243" s="1">
        <v>1238</v>
      </c>
      <c r="B1243" s="1" t="s">
        <v>2</v>
      </c>
      <c r="C1243" s="1" t="str">
        <f>IF($B1243 = "Production Item", _xlfn.XLOOKUP($A1243, 'Instrument Table'!$J:$J, 'Instrument Table'!$B:$B, $C1242), IF($B1243 = "Service Item", _xlfn.XLOOKUP($A1243, 'Instrument Table'!$I:$I, 'Instrument Table'!$B:$B, $C1242), _xlfn.XLOOKUP($A1243, 'Instrument Table'!$H:$H, 'Instrument Table'!$B:$B, $C1242)))</f>
        <v>Viola</v>
      </c>
      <c r="D1243" s="1" t="str">
        <f>VLOOKUP($C1243, 'Instrument Table'!$B:$C, 2, FALSE)</f>
        <v>Strings</v>
      </c>
      <c r="E1243" s="1">
        <f t="shared" si="114"/>
        <v>1</v>
      </c>
      <c r="F1243" s="1">
        <f>_xlfn.XLOOKUP($C1243, 'Instrument Table'!$B:$B, 'Instrument Table'!$A:$A, "")</f>
        <v>21</v>
      </c>
      <c r="G1243" s="1" t="str">
        <f>TEXT(IF($B1243 = "Retail Item", IF((ROW($A1243) - 4504 - _xlfn.XMATCH($C1243, $C$4506:$C$5005, 0, 1)) &lt;= VLOOKUP($C1243, 'Instrument Table'!$B:$D, 3, FALSE), ROW($A1243) - 4504 - _xlfn.XMATCH($C1243, $C$4506:$C$5005, 0, 1), 0), 0), "00")</f>
        <v>00</v>
      </c>
      <c r="H1243" s="1" t="str">
        <f t="shared" si="115"/>
        <v>037</v>
      </c>
      <c r="I1243" s="1" t="str">
        <f t="shared" si="116"/>
        <v>12100-037</v>
      </c>
      <c r="J1243" s="1" t="str">
        <f t="shared" si="117"/>
        <v>Viola production item #037</v>
      </c>
      <c r="K1243" s="1" t="str">
        <f>IF(SUM(COUNTIFS(I:I, I1243)) &gt; 1, "DUPLICATE", "UNIQUE")</f>
        <v>UNIQUE</v>
      </c>
      <c r="L1243" s="18">
        <v>0</v>
      </c>
      <c r="M1243" s="28">
        <v>7</v>
      </c>
      <c r="N1243" s="6">
        <v>196</v>
      </c>
      <c r="O1243" s="30">
        <f t="shared" si="118"/>
        <v>0</v>
      </c>
      <c r="P1243" s="30">
        <f t="shared" si="119"/>
        <v>1372</v>
      </c>
      <c r="Q1243" s="1">
        <f>COUNTIFS($P:$P, "&gt;" &amp; $P1243) + 1</f>
        <v>3523</v>
      </c>
      <c r="R1243" s="63">
        <f>(COUNTIFS($P:$P, "&gt;" &amp; $P1243) + 1) / (COUNTA($I:$I) - 1)</f>
        <v>0.7046</v>
      </c>
      <c r="S1243" s="23">
        <f>SUMIFS($P:$P, $Q:$Q, "&lt;" &amp; $Q1243)</f>
        <v>185969593</v>
      </c>
    </row>
    <row r="1244" spans="1:19" x14ac:dyDescent="0.25">
      <c r="A1244" s="1">
        <v>1239</v>
      </c>
      <c r="B1244" s="1" t="s">
        <v>2</v>
      </c>
      <c r="C1244" s="1" t="str">
        <f>IF($B1244 = "Production Item", _xlfn.XLOOKUP($A1244, 'Instrument Table'!$J:$J, 'Instrument Table'!$B:$B, $C1243), IF($B1244 = "Service Item", _xlfn.XLOOKUP($A1244, 'Instrument Table'!$I:$I, 'Instrument Table'!$B:$B, $C1243), _xlfn.XLOOKUP($A1244, 'Instrument Table'!$H:$H, 'Instrument Table'!$B:$B, $C1243)))</f>
        <v>Viola</v>
      </c>
      <c r="D1244" s="1" t="str">
        <f>VLOOKUP($C1244, 'Instrument Table'!$B:$C, 2, FALSE)</f>
        <v>Strings</v>
      </c>
      <c r="E1244" s="1">
        <f t="shared" si="114"/>
        <v>1</v>
      </c>
      <c r="F1244" s="1">
        <f>_xlfn.XLOOKUP($C1244, 'Instrument Table'!$B:$B, 'Instrument Table'!$A:$A, "")</f>
        <v>21</v>
      </c>
      <c r="G1244" s="1" t="str">
        <f>TEXT(IF($B1244 = "Retail Item", IF((ROW($A1244) - 4504 - _xlfn.XMATCH($C1244, $C$4506:$C$5005, 0, 1)) &lt;= VLOOKUP($C1244, 'Instrument Table'!$B:$D, 3, FALSE), ROW($A1244) - 4504 - _xlfn.XMATCH($C1244, $C$4506:$C$5005, 0, 1), 0), 0), "00")</f>
        <v>00</v>
      </c>
      <c r="H1244" s="1" t="str">
        <f t="shared" si="115"/>
        <v>038</v>
      </c>
      <c r="I1244" s="1" t="str">
        <f t="shared" si="116"/>
        <v>12100-038</v>
      </c>
      <c r="J1244" s="1" t="str">
        <f t="shared" si="117"/>
        <v>Viola production item #038</v>
      </c>
      <c r="K1244" s="1" t="str">
        <f>IF(SUM(COUNTIFS(I:I, I1244)) &gt; 1, "DUPLICATE", "UNIQUE")</f>
        <v>UNIQUE</v>
      </c>
      <c r="L1244" s="18">
        <v>1</v>
      </c>
      <c r="M1244" s="28">
        <v>31</v>
      </c>
      <c r="N1244" s="6">
        <v>324</v>
      </c>
      <c r="O1244" s="30">
        <f t="shared" si="118"/>
        <v>31</v>
      </c>
      <c r="P1244" s="30">
        <f t="shared" si="119"/>
        <v>10044</v>
      </c>
      <c r="Q1244" s="1">
        <f>COUNTIFS($P:$P, "&gt;" &amp; $P1244) + 1</f>
        <v>1766</v>
      </c>
      <c r="R1244" s="63">
        <f>(COUNTIFS($P:$P, "&gt;" &amp; $P1244) + 1) / (COUNTA($I:$I) - 1)</f>
        <v>0.35320000000000001</v>
      </c>
      <c r="S1244" s="23">
        <f>SUMIFS($P:$P, $Q:$Q, "&lt;" &amp; $Q1244)</f>
        <v>177905477</v>
      </c>
    </row>
    <row r="1245" spans="1:19" x14ac:dyDescent="0.25">
      <c r="A1245" s="1">
        <v>1240</v>
      </c>
      <c r="B1245" s="1" t="s">
        <v>2</v>
      </c>
      <c r="C1245" s="1" t="str">
        <f>IF($B1245 = "Production Item", _xlfn.XLOOKUP($A1245, 'Instrument Table'!$J:$J, 'Instrument Table'!$B:$B, $C1244), IF($B1245 = "Service Item", _xlfn.XLOOKUP($A1245, 'Instrument Table'!$I:$I, 'Instrument Table'!$B:$B, $C1244), _xlfn.XLOOKUP($A1245, 'Instrument Table'!$H:$H, 'Instrument Table'!$B:$B, $C1244)))</f>
        <v>Viola</v>
      </c>
      <c r="D1245" s="1" t="str">
        <f>VLOOKUP($C1245, 'Instrument Table'!$B:$C, 2, FALSE)</f>
        <v>Strings</v>
      </c>
      <c r="E1245" s="1">
        <f t="shared" si="114"/>
        <v>1</v>
      </c>
      <c r="F1245" s="1">
        <f>_xlfn.XLOOKUP($C1245, 'Instrument Table'!$B:$B, 'Instrument Table'!$A:$A, "")</f>
        <v>21</v>
      </c>
      <c r="G1245" s="1" t="str">
        <f>TEXT(IF($B1245 = "Retail Item", IF((ROW($A1245) - 4504 - _xlfn.XMATCH($C1245, $C$4506:$C$5005, 0, 1)) &lt;= VLOOKUP($C1245, 'Instrument Table'!$B:$D, 3, FALSE), ROW($A1245) - 4504 - _xlfn.XMATCH($C1245, $C$4506:$C$5005, 0, 1), 0), 0), "00")</f>
        <v>00</v>
      </c>
      <c r="H1245" s="1" t="str">
        <f t="shared" si="115"/>
        <v>039</v>
      </c>
      <c r="I1245" s="1" t="str">
        <f t="shared" si="116"/>
        <v>12100-039</v>
      </c>
      <c r="J1245" s="1" t="str">
        <f t="shared" si="117"/>
        <v>Viola production item #039</v>
      </c>
      <c r="K1245" s="1" t="str">
        <f>IF(SUM(COUNTIFS(I:I, I1245)) &gt; 1, "DUPLICATE", "UNIQUE")</f>
        <v>UNIQUE</v>
      </c>
      <c r="L1245" s="18">
        <v>0</v>
      </c>
      <c r="M1245" s="28">
        <v>88</v>
      </c>
      <c r="N1245" s="6">
        <v>4</v>
      </c>
      <c r="O1245" s="30">
        <f t="shared" si="118"/>
        <v>0</v>
      </c>
      <c r="P1245" s="30">
        <f t="shared" si="119"/>
        <v>352</v>
      </c>
      <c r="Q1245" s="1">
        <f>COUNTIFS($P:$P, "&gt;" &amp; $P1245) + 1</f>
        <v>4147</v>
      </c>
      <c r="R1245" s="63">
        <f>(COUNTIFS($P:$P, "&gt;" &amp; $P1245) + 1) / (COUNTA($I:$I) - 1)</f>
        <v>0.82940000000000003</v>
      </c>
      <c r="S1245" s="23">
        <f>SUMIFS($P:$P, $Q:$Q, "&lt;" &amp; $Q1245)</f>
        <v>186462669</v>
      </c>
    </row>
    <row r="1246" spans="1:19" x14ac:dyDescent="0.25">
      <c r="A1246" s="1">
        <v>1241</v>
      </c>
      <c r="B1246" s="1" t="s">
        <v>2</v>
      </c>
      <c r="C1246" s="1" t="str">
        <f>IF($B1246 = "Production Item", _xlfn.XLOOKUP($A1246, 'Instrument Table'!$J:$J, 'Instrument Table'!$B:$B, $C1245), IF($B1246 = "Service Item", _xlfn.XLOOKUP($A1246, 'Instrument Table'!$I:$I, 'Instrument Table'!$B:$B, $C1245), _xlfn.XLOOKUP($A1246, 'Instrument Table'!$H:$H, 'Instrument Table'!$B:$B, $C1245)))</f>
        <v>Viola</v>
      </c>
      <c r="D1246" s="1" t="str">
        <f>VLOOKUP($C1246, 'Instrument Table'!$B:$C, 2, FALSE)</f>
        <v>Strings</v>
      </c>
      <c r="E1246" s="1">
        <f t="shared" si="114"/>
        <v>1</v>
      </c>
      <c r="F1246" s="1">
        <f>_xlfn.XLOOKUP($C1246, 'Instrument Table'!$B:$B, 'Instrument Table'!$A:$A, "")</f>
        <v>21</v>
      </c>
      <c r="G1246" s="1" t="str">
        <f>TEXT(IF($B1246 = "Retail Item", IF((ROW($A1246) - 4504 - _xlfn.XMATCH($C1246, $C$4506:$C$5005, 0, 1)) &lt;= VLOOKUP($C1246, 'Instrument Table'!$B:$D, 3, FALSE), ROW($A1246) - 4504 - _xlfn.XMATCH($C1246, $C$4506:$C$5005, 0, 1), 0), 0), "00")</f>
        <v>00</v>
      </c>
      <c r="H1246" s="1" t="str">
        <f t="shared" si="115"/>
        <v>040</v>
      </c>
      <c r="I1246" s="1" t="str">
        <f t="shared" si="116"/>
        <v>12100-040</v>
      </c>
      <c r="J1246" s="1" t="str">
        <f t="shared" si="117"/>
        <v>Viola production item #040</v>
      </c>
      <c r="K1246" s="1" t="str">
        <f>IF(SUM(COUNTIFS(I:I, I1246)) &gt; 1, "DUPLICATE", "UNIQUE")</f>
        <v>UNIQUE</v>
      </c>
      <c r="L1246" s="18">
        <v>0</v>
      </c>
      <c r="M1246" s="28">
        <v>47</v>
      </c>
      <c r="N1246" s="6">
        <v>256</v>
      </c>
      <c r="O1246" s="30">
        <f t="shared" si="118"/>
        <v>0</v>
      </c>
      <c r="P1246" s="30">
        <f t="shared" si="119"/>
        <v>12032</v>
      </c>
      <c r="Q1246" s="1">
        <f>COUNTIFS($P:$P, "&gt;" &amp; $P1246) + 1</f>
        <v>1578</v>
      </c>
      <c r="R1246" s="63">
        <f>(COUNTIFS($P:$P, "&gt;" &amp; $P1246) + 1) / (COUNTA($I:$I) - 1)</f>
        <v>0.31559999999999999</v>
      </c>
      <c r="S1246" s="23">
        <f>SUMIFS($P:$P, $Q:$Q, "&lt;" &amp; $Q1246)</f>
        <v>175816313</v>
      </c>
    </row>
    <row r="1247" spans="1:19" x14ac:dyDescent="0.25">
      <c r="A1247" s="1">
        <v>1242</v>
      </c>
      <c r="B1247" s="1" t="s">
        <v>2</v>
      </c>
      <c r="C1247" s="1" t="str">
        <f>IF($B1247 = "Production Item", _xlfn.XLOOKUP($A1247, 'Instrument Table'!$J:$J, 'Instrument Table'!$B:$B, $C1246), IF($B1247 = "Service Item", _xlfn.XLOOKUP($A1247, 'Instrument Table'!$I:$I, 'Instrument Table'!$B:$B, $C1246), _xlfn.XLOOKUP($A1247, 'Instrument Table'!$H:$H, 'Instrument Table'!$B:$B, $C1246)))</f>
        <v>Viola</v>
      </c>
      <c r="D1247" s="1" t="str">
        <f>VLOOKUP($C1247, 'Instrument Table'!$B:$C, 2, FALSE)</f>
        <v>Strings</v>
      </c>
      <c r="E1247" s="1">
        <f t="shared" si="114"/>
        <v>1</v>
      </c>
      <c r="F1247" s="1">
        <f>_xlfn.XLOOKUP($C1247, 'Instrument Table'!$B:$B, 'Instrument Table'!$A:$A, "")</f>
        <v>21</v>
      </c>
      <c r="G1247" s="1" t="str">
        <f>TEXT(IF($B1247 = "Retail Item", IF((ROW($A1247) - 4504 - _xlfn.XMATCH($C1247, $C$4506:$C$5005, 0, 1)) &lt;= VLOOKUP($C1247, 'Instrument Table'!$B:$D, 3, FALSE), ROW($A1247) - 4504 - _xlfn.XMATCH($C1247, $C$4506:$C$5005, 0, 1), 0), 0), "00")</f>
        <v>00</v>
      </c>
      <c r="H1247" s="1" t="str">
        <f t="shared" si="115"/>
        <v>041</v>
      </c>
      <c r="I1247" s="1" t="str">
        <f t="shared" si="116"/>
        <v>12100-041</v>
      </c>
      <c r="J1247" s="1" t="str">
        <f t="shared" si="117"/>
        <v>Viola production item #041</v>
      </c>
      <c r="K1247" s="1" t="str">
        <f>IF(SUM(COUNTIFS(I:I, I1247)) &gt; 1, "DUPLICATE", "UNIQUE")</f>
        <v>UNIQUE</v>
      </c>
      <c r="L1247" s="18">
        <v>8</v>
      </c>
      <c r="M1247" s="28">
        <v>47</v>
      </c>
      <c r="N1247" s="6">
        <v>100</v>
      </c>
      <c r="O1247" s="30">
        <f t="shared" si="118"/>
        <v>376</v>
      </c>
      <c r="P1247" s="30">
        <f t="shared" si="119"/>
        <v>4700</v>
      </c>
      <c r="Q1247" s="1">
        <f>COUNTIFS($P:$P, "&gt;" &amp; $P1247) + 1</f>
        <v>2506</v>
      </c>
      <c r="R1247" s="63">
        <f>(COUNTIFS($P:$P, "&gt;" &amp; $P1247) + 1) / (COUNTA($I:$I) - 1)</f>
        <v>0.50119999999999998</v>
      </c>
      <c r="S1247" s="23">
        <f>SUMIFS($P:$P, $Q:$Q, "&lt;" &amp; $Q1247)</f>
        <v>183143468</v>
      </c>
    </row>
    <row r="1248" spans="1:19" x14ac:dyDescent="0.25">
      <c r="A1248" s="1">
        <v>1243</v>
      </c>
      <c r="B1248" s="1" t="s">
        <v>2</v>
      </c>
      <c r="C1248" s="1" t="str">
        <f>IF($B1248 = "Production Item", _xlfn.XLOOKUP($A1248, 'Instrument Table'!$J:$J, 'Instrument Table'!$B:$B, $C1247), IF($B1248 = "Service Item", _xlfn.XLOOKUP($A1248, 'Instrument Table'!$I:$I, 'Instrument Table'!$B:$B, $C1247), _xlfn.XLOOKUP($A1248, 'Instrument Table'!$H:$H, 'Instrument Table'!$B:$B, $C1247)))</f>
        <v>Viola</v>
      </c>
      <c r="D1248" s="1" t="str">
        <f>VLOOKUP($C1248, 'Instrument Table'!$B:$C, 2, FALSE)</f>
        <v>Strings</v>
      </c>
      <c r="E1248" s="1">
        <f t="shared" si="114"/>
        <v>1</v>
      </c>
      <c r="F1248" s="1">
        <f>_xlfn.XLOOKUP($C1248, 'Instrument Table'!$B:$B, 'Instrument Table'!$A:$A, "")</f>
        <v>21</v>
      </c>
      <c r="G1248" s="1" t="str">
        <f>TEXT(IF($B1248 = "Retail Item", IF((ROW($A1248) - 4504 - _xlfn.XMATCH($C1248, $C$4506:$C$5005, 0, 1)) &lt;= VLOOKUP($C1248, 'Instrument Table'!$B:$D, 3, FALSE), ROW($A1248) - 4504 - _xlfn.XMATCH($C1248, $C$4506:$C$5005, 0, 1), 0), 0), "00")</f>
        <v>00</v>
      </c>
      <c r="H1248" s="1" t="str">
        <f t="shared" si="115"/>
        <v>042</v>
      </c>
      <c r="I1248" s="1" t="str">
        <f t="shared" si="116"/>
        <v>12100-042</v>
      </c>
      <c r="J1248" s="1" t="str">
        <f t="shared" si="117"/>
        <v>Viola production item #042</v>
      </c>
      <c r="K1248" s="1" t="str">
        <f>IF(SUM(COUNTIFS(I:I, I1248)) &gt; 1, "DUPLICATE", "UNIQUE")</f>
        <v>UNIQUE</v>
      </c>
      <c r="L1248" s="18">
        <v>32</v>
      </c>
      <c r="M1248" s="28">
        <v>37</v>
      </c>
      <c r="N1248" s="6">
        <v>121</v>
      </c>
      <c r="O1248" s="30">
        <f t="shared" si="118"/>
        <v>1184</v>
      </c>
      <c r="P1248" s="30">
        <f t="shared" si="119"/>
        <v>4477</v>
      </c>
      <c r="Q1248" s="1">
        <f>COUNTIFS($P:$P, "&gt;" &amp; $P1248) + 1</f>
        <v>2550</v>
      </c>
      <c r="R1248" s="63">
        <f>(COUNTIFS($P:$P, "&gt;" &amp; $P1248) + 1) / (COUNTA($I:$I) - 1)</f>
        <v>0.51</v>
      </c>
      <c r="S1248" s="23">
        <f>SUMIFS($P:$P, $Q:$Q, "&lt;" &amp; $Q1248)</f>
        <v>183344963</v>
      </c>
    </row>
    <row r="1249" spans="1:19" x14ac:dyDescent="0.25">
      <c r="A1249" s="1">
        <v>1244</v>
      </c>
      <c r="B1249" s="1" t="s">
        <v>2</v>
      </c>
      <c r="C1249" s="1" t="str">
        <f>IF($B1249 = "Production Item", _xlfn.XLOOKUP($A1249, 'Instrument Table'!$J:$J, 'Instrument Table'!$B:$B, $C1248), IF($B1249 = "Service Item", _xlfn.XLOOKUP($A1249, 'Instrument Table'!$I:$I, 'Instrument Table'!$B:$B, $C1248), _xlfn.XLOOKUP($A1249, 'Instrument Table'!$H:$H, 'Instrument Table'!$B:$B, $C1248)))</f>
        <v>Viola</v>
      </c>
      <c r="D1249" s="1" t="str">
        <f>VLOOKUP($C1249, 'Instrument Table'!$B:$C, 2, FALSE)</f>
        <v>Strings</v>
      </c>
      <c r="E1249" s="1">
        <f t="shared" si="114"/>
        <v>1</v>
      </c>
      <c r="F1249" s="1">
        <f>_xlfn.XLOOKUP($C1249, 'Instrument Table'!$B:$B, 'Instrument Table'!$A:$A, "")</f>
        <v>21</v>
      </c>
      <c r="G1249" s="1" t="str">
        <f>TEXT(IF($B1249 = "Retail Item", IF((ROW($A1249) - 4504 - _xlfn.XMATCH($C1249, $C$4506:$C$5005, 0, 1)) &lt;= VLOOKUP($C1249, 'Instrument Table'!$B:$D, 3, FALSE), ROW($A1249) - 4504 - _xlfn.XMATCH($C1249, $C$4506:$C$5005, 0, 1), 0), 0), "00")</f>
        <v>00</v>
      </c>
      <c r="H1249" s="1" t="str">
        <f t="shared" si="115"/>
        <v>043</v>
      </c>
      <c r="I1249" s="1" t="str">
        <f t="shared" si="116"/>
        <v>12100-043</v>
      </c>
      <c r="J1249" s="1" t="str">
        <f t="shared" si="117"/>
        <v>Viola production item #043</v>
      </c>
      <c r="K1249" s="1" t="str">
        <f>IF(SUM(COUNTIFS(I:I, I1249)) &gt; 1, "DUPLICATE", "UNIQUE")</f>
        <v>UNIQUE</v>
      </c>
      <c r="L1249" s="18">
        <v>32</v>
      </c>
      <c r="M1249" s="28">
        <v>53</v>
      </c>
      <c r="N1249" s="6">
        <v>16</v>
      </c>
      <c r="O1249" s="30">
        <f t="shared" si="118"/>
        <v>1696</v>
      </c>
      <c r="P1249" s="30">
        <f t="shared" si="119"/>
        <v>848</v>
      </c>
      <c r="Q1249" s="1">
        <f>COUNTIFS($P:$P, "&gt;" &amp; $P1249) + 1</f>
        <v>3760</v>
      </c>
      <c r="R1249" s="63">
        <f>(COUNTIFS($P:$P, "&gt;" &amp; $P1249) + 1) / (COUNTA($I:$I) - 1)</f>
        <v>0.752</v>
      </c>
      <c r="S1249" s="23">
        <f>SUMIFS($P:$P, $Q:$Q, "&lt;" &amp; $Q1249)</f>
        <v>186232794</v>
      </c>
    </row>
    <row r="1250" spans="1:19" x14ac:dyDescent="0.25">
      <c r="A1250" s="1">
        <v>1245</v>
      </c>
      <c r="B1250" s="1" t="s">
        <v>2</v>
      </c>
      <c r="C1250" s="1" t="str">
        <f>IF($B1250 = "Production Item", _xlfn.XLOOKUP($A1250, 'Instrument Table'!$J:$J, 'Instrument Table'!$B:$B, $C1249), IF($B1250 = "Service Item", _xlfn.XLOOKUP($A1250, 'Instrument Table'!$I:$I, 'Instrument Table'!$B:$B, $C1249), _xlfn.XLOOKUP($A1250, 'Instrument Table'!$H:$H, 'Instrument Table'!$B:$B, $C1249)))</f>
        <v>Viola</v>
      </c>
      <c r="D1250" s="1" t="str">
        <f>VLOOKUP($C1250, 'Instrument Table'!$B:$C, 2, FALSE)</f>
        <v>Strings</v>
      </c>
      <c r="E1250" s="1">
        <f t="shared" si="114"/>
        <v>1</v>
      </c>
      <c r="F1250" s="1">
        <f>_xlfn.XLOOKUP($C1250, 'Instrument Table'!$B:$B, 'Instrument Table'!$A:$A, "")</f>
        <v>21</v>
      </c>
      <c r="G1250" s="1" t="str">
        <f>TEXT(IF($B1250 = "Retail Item", IF((ROW($A1250) - 4504 - _xlfn.XMATCH($C1250, $C$4506:$C$5005, 0, 1)) &lt;= VLOOKUP($C1250, 'Instrument Table'!$B:$D, 3, FALSE), ROW($A1250) - 4504 - _xlfn.XMATCH($C1250, $C$4506:$C$5005, 0, 1), 0), 0), "00")</f>
        <v>00</v>
      </c>
      <c r="H1250" s="1" t="str">
        <f t="shared" si="115"/>
        <v>044</v>
      </c>
      <c r="I1250" s="1" t="str">
        <f t="shared" si="116"/>
        <v>12100-044</v>
      </c>
      <c r="J1250" s="1" t="str">
        <f t="shared" si="117"/>
        <v>Viola production item #044</v>
      </c>
      <c r="K1250" s="1" t="str">
        <f>IF(SUM(COUNTIFS(I:I, I1250)) &gt; 1, "DUPLICATE", "UNIQUE")</f>
        <v>UNIQUE</v>
      </c>
      <c r="L1250" s="18">
        <v>1</v>
      </c>
      <c r="M1250" s="28">
        <v>56</v>
      </c>
      <c r="N1250" s="6">
        <v>81</v>
      </c>
      <c r="O1250" s="30">
        <f t="shared" si="118"/>
        <v>56</v>
      </c>
      <c r="P1250" s="30">
        <f t="shared" si="119"/>
        <v>4536</v>
      </c>
      <c r="Q1250" s="1">
        <f>COUNTIFS($P:$P, "&gt;" &amp; $P1250) + 1</f>
        <v>2534</v>
      </c>
      <c r="R1250" s="63">
        <f>(COUNTIFS($P:$P, "&gt;" &amp; $P1250) + 1) / (COUNTA($I:$I) - 1)</f>
        <v>0.50680000000000003</v>
      </c>
      <c r="S1250" s="23">
        <f>SUMIFS($P:$P, $Q:$Q, "&lt;" &amp; $Q1250)</f>
        <v>183272703</v>
      </c>
    </row>
    <row r="1251" spans="1:19" x14ac:dyDescent="0.25">
      <c r="A1251" s="1">
        <v>1246</v>
      </c>
      <c r="B1251" s="1" t="s">
        <v>2</v>
      </c>
      <c r="C1251" s="1" t="str">
        <f>IF($B1251 = "Production Item", _xlfn.XLOOKUP($A1251, 'Instrument Table'!$J:$J, 'Instrument Table'!$B:$B, $C1250), IF($B1251 = "Service Item", _xlfn.XLOOKUP($A1251, 'Instrument Table'!$I:$I, 'Instrument Table'!$B:$B, $C1250), _xlfn.XLOOKUP($A1251, 'Instrument Table'!$H:$H, 'Instrument Table'!$B:$B, $C1250)))</f>
        <v>Viola</v>
      </c>
      <c r="D1251" s="1" t="str">
        <f>VLOOKUP($C1251, 'Instrument Table'!$B:$C, 2, FALSE)</f>
        <v>Strings</v>
      </c>
      <c r="E1251" s="1">
        <f t="shared" si="114"/>
        <v>1</v>
      </c>
      <c r="F1251" s="1">
        <f>_xlfn.XLOOKUP($C1251, 'Instrument Table'!$B:$B, 'Instrument Table'!$A:$A, "")</f>
        <v>21</v>
      </c>
      <c r="G1251" s="1" t="str">
        <f>TEXT(IF($B1251 = "Retail Item", IF((ROW($A1251) - 4504 - _xlfn.XMATCH($C1251, $C$4506:$C$5005, 0, 1)) &lt;= VLOOKUP($C1251, 'Instrument Table'!$B:$D, 3, FALSE), ROW($A1251) - 4504 - _xlfn.XMATCH($C1251, $C$4506:$C$5005, 0, 1), 0), 0), "00")</f>
        <v>00</v>
      </c>
      <c r="H1251" s="1" t="str">
        <f t="shared" si="115"/>
        <v>045</v>
      </c>
      <c r="I1251" s="1" t="str">
        <f t="shared" si="116"/>
        <v>12100-045</v>
      </c>
      <c r="J1251" s="1" t="str">
        <f t="shared" si="117"/>
        <v>Viola production item #045</v>
      </c>
      <c r="K1251" s="1" t="str">
        <f>IF(SUM(COUNTIFS(I:I, I1251)) &gt; 1, "DUPLICATE", "UNIQUE")</f>
        <v>UNIQUE</v>
      </c>
      <c r="L1251" s="18">
        <v>0</v>
      </c>
      <c r="M1251" s="28">
        <v>92</v>
      </c>
      <c r="N1251" s="6">
        <v>25</v>
      </c>
      <c r="O1251" s="30">
        <f t="shared" si="118"/>
        <v>0</v>
      </c>
      <c r="P1251" s="30">
        <f t="shared" si="119"/>
        <v>2300</v>
      </c>
      <c r="Q1251" s="1">
        <f>COUNTIFS($P:$P, "&gt;" &amp; $P1251) + 1</f>
        <v>3131</v>
      </c>
      <c r="R1251" s="63">
        <f>(COUNTIFS($P:$P, "&gt;" &amp; $P1251) + 1) / (COUNTA($I:$I) - 1)</f>
        <v>0.62619999999999998</v>
      </c>
      <c r="S1251" s="23">
        <f>SUMIFS($P:$P, $Q:$Q, "&lt;" &amp; $Q1251)</f>
        <v>185254605</v>
      </c>
    </row>
    <row r="1252" spans="1:19" x14ac:dyDescent="0.25">
      <c r="A1252" s="1">
        <v>1247</v>
      </c>
      <c r="B1252" s="1" t="s">
        <v>2</v>
      </c>
      <c r="C1252" s="1" t="str">
        <f>IF($B1252 = "Production Item", _xlfn.XLOOKUP($A1252, 'Instrument Table'!$J:$J, 'Instrument Table'!$B:$B, $C1251), IF($B1252 = "Service Item", _xlfn.XLOOKUP($A1252, 'Instrument Table'!$I:$I, 'Instrument Table'!$B:$B, $C1251), _xlfn.XLOOKUP($A1252, 'Instrument Table'!$H:$H, 'Instrument Table'!$B:$B, $C1251)))</f>
        <v>Viola</v>
      </c>
      <c r="D1252" s="1" t="str">
        <f>VLOOKUP($C1252, 'Instrument Table'!$B:$C, 2, FALSE)</f>
        <v>Strings</v>
      </c>
      <c r="E1252" s="1">
        <f t="shared" si="114"/>
        <v>1</v>
      </c>
      <c r="F1252" s="1">
        <f>_xlfn.XLOOKUP($C1252, 'Instrument Table'!$B:$B, 'Instrument Table'!$A:$A, "")</f>
        <v>21</v>
      </c>
      <c r="G1252" s="1" t="str">
        <f>TEXT(IF($B1252 = "Retail Item", IF((ROW($A1252) - 4504 - _xlfn.XMATCH($C1252, $C$4506:$C$5005, 0, 1)) &lt;= VLOOKUP($C1252, 'Instrument Table'!$B:$D, 3, FALSE), ROW($A1252) - 4504 - _xlfn.XMATCH($C1252, $C$4506:$C$5005, 0, 1), 0), 0), "00")</f>
        <v>00</v>
      </c>
      <c r="H1252" s="1" t="str">
        <f t="shared" si="115"/>
        <v>046</v>
      </c>
      <c r="I1252" s="1" t="str">
        <f t="shared" si="116"/>
        <v>12100-046</v>
      </c>
      <c r="J1252" s="1" t="str">
        <f t="shared" si="117"/>
        <v>Viola production item #046</v>
      </c>
      <c r="K1252" s="1" t="str">
        <f>IF(SUM(COUNTIFS(I:I, I1252)) &gt; 1, "DUPLICATE", "UNIQUE")</f>
        <v>UNIQUE</v>
      </c>
      <c r="L1252" s="18">
        <v>0</v>
      </c>
      <c r="M1252" s="28">
        <v>67</v>
      </c>
      <c r="N1252" s="6">
        <v>196</v>
      </c>
      <c r="O1252" s="30">
        <f t="shared" si="118"/>
        <v>0</v>
      </c>
      <c r="P1252" s="30">
        <f t="shared" si="119"/>
        <v>13132</v>
      </c>
      <c r="Q1252" s="1">
        <f>COUNTIFS($P:$P, "&gt;" &amp; $P1252) + 1</f>
        <v>1490</v>
      </c>
      <c r="R1252" s="63">
        <f>(COUNTIFS($P:$P, "&gt;" &amp; $P1252) + 1) / (COUNTA($I:$I) - 1)</f>
        <v>0.29799999999999999</v>
      </c>
      <c r="S1252" s="23">
        <f>SUMIFS($P:$P, $Q:$Q, "&lt;" &amp; $Q1252)</f>
        <v>174709105</v>
      </c>
    </row>
    <row r="1253" spans="1:19" x14ac:dyDescent="0.25">
      <c r="A1253" s="1">
        <v>1248</v>
      </c>
      <c r="B1253" s="1" t="s">
        <v>2</v>
      </c>
      <c r="C1253" s="1" t="str">
        <f>IF($B1253 = "Production Item", _xlfn.XLOOKUP($A1253, 'Instrument Table'!$J:$J, 'Instrument Table'!$B:$B, $C1252), IF($B1253 = "Service Item", _xlfn.XLOOKUP($A1253, 'Instrument Table'!$I:$I, 'Instrument Table'!$B:$B, $C1252), _xlfn.XLOOKUP($A1253, 'Instrument Table'!$H:$H, 'Instrument Table'!$B:$B, $C1252)))</f>
        <v>Viola</v>
      </c>
      <c r="D1253" s="1" t="str">
        <f>VLOOKUP($C1253, 'Instrument Table'!$B:$C, 2, FALSE)</f>
        <v>Strings</v>
      </c>
      <c r="E1253" s="1">
        <f t="shared" si="114"/>
        <v>1</v>
      </c>
      <c r="F1253" s="1">
        <f>_xlfn.XLOOKUP($C1253, 'Instrument Table'!$B:$B, 'Instrument Table'!$A:$A, "")</f>
        <v>21</v>
      </c>
      <c r="G1253" s="1" t="str">
        <f>TEXT(IF($B1253 = "Retail Item", IF((ROW($A1253) - 4504 - _xlfn.XMATCH($C1253, $C$4506:$C$5005, 0, 1)) &lt;= VLOOKUP($C1253, 'Instrument Table'!$B:$D, 3, FALSE), ROW($A1253) - 4504 - _xlfn.XMATCH($C1253, $C$4506:$C$5005, 0, 1), 0), 0), "00")</f>
        <v>00</v>
      </c>
      <c r="H1253" s="1" t="str">
        <f t="shared" si="115"/>
        <v>047</v>
      </c>
      <c r="I1253" s="1" t="str">
        <f t="shared" si="116"/>
        <v>12100-047</v>
      </c>
      <c r="J1253" s="1" t="str">
        <f t="shared" si="117"/>
        <v>Viola production item #047</v>
      </c>
      <c r="K1253" s="1" t="str">
        <f>IF(SUM(COUNTIFS(I:I, I1253)) &gt; 1, "DUPLICATE", "UNIQUE")</f>
        <v>UNIQUE</v>
      </c>
      <c r="L1253" s="18">
        <v>16</v>
      </c>
      <c r="M1253" s="28">
        <v>97</v>
      </c>
      <c r="N1253" s="6">
        <v>324</v>
      </c>
      <c r="O1253" s="30">
        <f t="shared" si="118"/>
        <v>1552</v>
      </c>
      <c r="P1253" s="30">
        <f t="shared" si="119"/>
        <v>31428</v>
      </c>
      <c r="Q1253" s="1">
        <f>COUNTIFS($P:$P, "&gt;" &amp; $P1253) + 1</f>
        <v>659</v>
      </c>
      <c r="R1253" s="63">
        <f>(COUNTIFS($P:$P, "&gt;" &amp; $P1253) + 1) / (COUNTA($I:$I) - 1)</f>
        <v>0.1318</v>
      </c>
      <c r="S1253" s="23">
        <f>SUMIFS($P:$P, $Q:$Q, "&lt;" &amp; $Q1253)</f>
        <v>157831783</v>
      </c>
    </row>
    <row r="1254" spans="1:19" x14ac:dyDescent="0.25">
      <c r="A1254" s="1">
        <v>1249</v>
      </c>
      <c r="B1254" s="1" t="s">
        <v>2</v>
      </c>
      <c r="C1254" s="1" t="str">
        <f>IF($B1254 = "Production Item", _xlfn.XLOOKUP($A1254, 'Instrument Table'!$J:$J, 'Instrument Table'!$B:$B, $C1253), IF($B1254 = "Service Item", _xlfn.XLOOKUP($A1254, 'Instrument Table'!$I:$I, 'Instrument Table'!$B:$B, $C1253), _xlfn.XLOOKUP($A1254, 'Instrument Table'!$H:$H, 'Instrument Table'!$B:$B, $C1253)))</f>
        <v>Viola</v>
      </c>
      <c r="D1254" s="1" t="str">
        <f>VLOOKUP($C1254, 'Instrument Table'!$B:$C, 2, FALSE)</f>
        <v>Strings</v>
      </c>
      <c r="E1254" s="1">
        <f t="shared" si="114"/>
        <v>1</v>
      </c>
      <c r="F1254" s="1">
        <f>_xlfn.XLOOKUP($C1254, 'Instrument Table'!$B:$B, 'Instrument Table'!$A:$A, "")</f>
        <v>21</v>
      </c>
      <c r="G1254" s="1" t="str">
        <f>TEXT(IF($B1254 = "Retail Item", IF((ROW($A1254) - 4504 - _xlfn.XMATCH($C1254, $C$4506:$C$5005, 0, 1)) &lt;= VLOOKUP($C1254, 'Instrument Table'!$B:$D, 3, FALSE), ROW($A1254) - 4504 - _xlfn.XMATCH($C1254, $C$4506:$C$5005, 0, 1), 0), 0), "00")</f>
        <v>00</v>
      </c>
      <c r="H1254" s="1" t="str">
        <f t="shared" si="115"/>
        <v>048</v>
      </c>
      <c r="I1254" s="1" t="str">
        <f t="shared" si="116"/>
        <v>12100-048</v>
      </c>
      <c r="J1254" s="1" t="str">
        <f t="shared" si="117"/>
        <v>Viola production item #048</v>
      </c>
      <c r="K1254" s="1" t="str">
        <f>IF(SUM(COUNTIFS(I:I, I1254)) &gt; 1, "DUPLICATE", "UNIQUE")</f>
        <v>UNIQUE</v>
      </c>
      <c r="L1254" s="18">
        <v>4</v>
      </c>
      <c r="M1254" s="28">
        <v>51</v>
      </c>
      <c r="N1254" s="6">
        <v>289</v>
      </c>
      <c r="O1254" s="30">
        <f t="shared" si="118"/>
        <v>204</v>
      </c>
      <c r="P1254" s="30">
        <f t="shared" si="119"/>
        <v>14739</v>
      </c>
      <c r="Q1254" s="1">
        <f>COUNTIFS($P:$P, "&gt;" &amp; $P1254) + 1</f>
        <v>1365</v>
      </c>
      <c r="R1254" s="63">
        <f>(COUNTIFS($P:$P, "&gt;" &amp; $P1254) + 1) / (COUNTA($I:$I) - 1)</f>
        <v>0.27300000000000002</v>
      </c>
      <c r="S1254" s="23">
        <f>SUMIFS($P:$P, $Q:$Q, "&lt;" &amp; $Q1254)</f>
        <v>172966555</v>
      </c>
    </row>
    <row r="1255" spans="1:19" x14ac:dyDescent="0.25">
      <c r="A1255" s="1">
        <v>1250</v>
      </c>
      <c r="B1255" s="1" t="s">
        <v>2</v>
      </c>
      <c r="C1255" s="1" t="str">
        <f>IF($B1255 = "Production Item", _xlfn.XLOOKUP($A1255, 'Instrument Table'!$J:$J, 'Instrument Table'!$B:$B, $C1254), IF($B1255 = "Service Item", _xlfn.XLOOKUP($A1255, 'Instrument Table'!$I:$I, 'Instrument Table'!$B:$B, $C1254), _xlfn.XLOOKUP($A1255, 'Instrument Table'!$H:$H, 'Instrument Table'!$B:$B, $C1254)))</f>
        <v>Viola</v>
      </c>
      <c r="D1255" s="1" t="str">
        <f>VLOOKUP($C1255, 'Instrument Table'!$B:$C, 2, FALSE)</f>
        <v>Strings</v>
      </c>
      <c r="E1255" s="1">
        <f t="shared" si="114"/>
        <v>1</v>
      </c>
      <c r="F1255" s="1">
        <f>_xlfn.XLOOKUP($C1255, 'Instrument Table'!$B:$B, 'Instrument Table'!$A:$A, "")</f>
        <v>21</v>
      </c>
      <c r="G1255" s="1" t="str">
        <f>TEXT(IF($B1255 = "Retail Item", IF((ROW($A1255) - 4504 - _xlfn.XMATCH($C1255, $C$4506:$C$5005, 0, 1)) &lt;= VLOOKUP($C1255, 'Instrument Table'!$B:$D, 3, FALSE), ROW($A1255) - 4504 - _xlfn.XMATCH($C1255, $C$4506:$C$5005, 0, 1), 0), 0), "00")</f>
        <v>00</v>
      </c>
      <c r="H1255" s="1" t="str">
        <f t="shared" si="115"/>
        <v>049</v>
      </c>
      <c r="I1255" s="1" t="str">
        <f t="shared" si="116"/>
        <v>12100-049</v>
      </c>
      <c r="J1255" s="1" t="str">
        <f t="shared" si="117"/>
        <v>Viola production item #049</v>
      </c>
      <c r="K1255" s="1" t="str">
        <f>IF(SUM(COUNTIFS(I:I, I1255)) &gt; 1, "DUPLICATE", "UNIQUE")</f>
        <v>UNIQUE</v>
      </c>
      <c r="L1255" s="18">
        <v>0</v>
      </c>
      <c r="M1255" s="28">
        <v>45</v>
      </c>
      <c r="N1255" s="6">
        <v>4</v>
      </c>
      <c r="O1255" s="30">
        <f t="shared" si="118"/>
        <v>0</v>
      </c>
      <c r="P1255" s="30">
        <f t="shared" si="119"/>
        <v>180</v>
      </c>
      <c r="Q1255" s="1">
        <f>COUNTIFS($P:$P, "&gt;" &amp; $P1255) + 1</f>
        <v>4352</v>
      </c>
      <c r="R1255" s="63">
        <f>(COUNTIFS($P:$P, "&gt;" &amp; $P1255) + 1) / (COUNTA($I:$I) - 1)</f>
        <v>0.87039999999999995</v>
      </c>
      <c r="S1255" s="23">
        <f>SUMIFS($P:$P, $Q:$Q, "&lt;" &amp; $Q1255)</f>
        <v>186517952</v>
      </c>
    </row>
    <row r="1256" spans="1:19" x14ac:dyDescent="0.25">
      <c r="A1256" s="1">
        <v>1251</v>
      </c>
      <c r="B1256" s="1" t="s">
        <v>2</v>
      </c>
      <c r="C1256" s="1" t="str">
        <f>IF($B1256 = "Production Item", _xlfn.XLOOKUP($A1256, 'Instrument Table'!$J:$J, 'Instrument Table'!$B:$B, $C1255), IF($B1256 = "Service Item", _xlfn.XLOOKUP($A1256, 'Instrument Table'!$I:$I, 'Instrument Table'!$B:$B, $C1255), _xlfn.XLOOKUP($A1256, 'Instrument Table'!$H:$H, 'Instrument Table'!$B:$B, $C1255)))</f>
        <v>Cello</v>
      </c>
      <c r="D1256" s="1" t="str">
        <f>VLOOKUP($C1256, 'Instrument Table'!$B:$C, 2, FALSE)</f>
        <v>Strings</v>
      </c>
      <c r="E1256" s="1">
        <f t="shared" si="114"/>
        <v>1</v>
      </c>
      <c r="F1256" s="1">
        <f>_xlfn.XLOOKUP($C1256, 'Instrument Table'!$B:$B, 'Instrument Table'!$A:$A, "")</f>
        <v>22</v>
      </c>
      <c r="G1256" s="1" t="str">
        <f>TEXT(IF($B1256 = "Retail Item", IF((ROW($A1256) - 4504 - _xlfn.XMATCH($C1256, $C$4506:$C$5005, 0, 1)) &lt;= VLOOKUP($C1256, 'Instrument Table'!$B:$D, 3, FALSE), ROW($A1256) - 4504 - _xlfn.XMATCH($C1256, $C$4506:$C$5005, 0, 1), 0), 0), "00")</f>
        <v>00</v>
      </c>
      <c r="H1256" s="1" t="str">
        <f t="shared" si="115"/>
        <v>000</v>
      </c>
      <c r="I1256" s="1" t="str">
        <f t="shared" si="116"/>
        <v>12200-000</v>
      </c>
      <c r="J1256" s="1" t="str">
        <f t="shared" si="117"/>
        <v>Cello production item #000</v>
      </c>
      <c r="K1256" s="1" t="str">
        <f>IF(SUM(COUNTIFS(I:I, I1256)) &gt; 1, "DUPLICATE", "UNIQUE")</f>
        <v>UNIQUE</v>
      </c>
      <c r="L1256" s="18">
        <v>1</v>
      </c>
      <c r="M1256" s="28">
        <v>38</v>
      </c>
      <c r="N1256" s="6">
        <v>1</v>
      </c>
      <c r="O1256" s="30">
        <f t="shared" si="118"/>
        <v>38</v>
      </c>
      <c r="P1256" s="30">
        <f t="shared" si="119"/>
        <v>38</v>
      </c>
      <c r="Q1256" s="1">
        <f>COUNTIFS($P:$P, "&gt;" &amp; $P1256) + 1</f>
        <v>4645</v>
      </c>
      <c r="R1256" s="63">
        <f>(COUNTIFS($P:$P, "&gt;" &amp; $P1256) + 1) / (COUNTA($I:$I) - 1)</f>
        <v>0.92900000000000005</v>
      </c>
      <c r="S1256" s="23">
        <f>SUMIFS($P:$P, $Q:$Q, "&lt;" &amp; $Q1256)</f>
        <v>186545836</v>
      </c>
    </row>
    <row r="1257" spans="1:19" x14ac:dyDescent="0.25">
      <c r="A1257" s="1">
        <v>1252</v>
      </c>
      <c r="B1257" s="1" t="s">
        <v>2</v>
      </c>
      <c r="C1257" s="1" t="str">
        <f>IF($B1257 = "Production Item", _xlfn.XLOOKUP($A1257, 'Instrument Table'!$J:$J, 'Instrument Table'!$B:$B, $C1256), IF($B1257 = "Service Item", _xlfn.XLOOKUP($A1257, 'Instrument Table'!$I:$I, 'Instrument Table'!$B:$B, $C1256), _xlfn.XLOOKUP($A1257, 'Instrument Table'!$H:$H, 'Instrument Table'!$B:$B, $C1256)))</f>
        <v>Cello</v>
      </c>
      <c r="D1257" s="1" t="str">
        <f>VLOOKUP($C1257, 'Instrument Table'!$B:$C, 2, FALSE)</f>
        <v>Strings</v>
      </c>
      <c r="E1257" s="1">
        <f t="shared" si="114"/>
        <v>1</v>
      </c>
      <c r="F1257" s="1">
        <f>_xlfn.XLOOKUP($C1257, 'Instrument Table'!$B:$B, 'Instrument Table'!$A:$A, "")</f>
        <v>22</v>
      </c>
      <c r="G1257" s="1" t="str">
        <f>TEXT(IF($B1257 = "Retail Item", IF((ROW($A1257) - 4504 - _xlfn.XMATCH($C1257, $C$4506:$C$5005, 0, 1)) &lt;= VLOOKUP($C1257, 'Instrument Table'!$B:$D, 3, FALSE), ROW($A1257) - 4504 - _xlfn.XMATCH($C1257, $C$4506:$C$5005, 0, 1), 0), 0), "00")</f>
        <v>00</v>
      </c>
      <c r="H1257" s="1" t="str">
        <f t="shared" si="115"/>
        <v>001</v>
      </c>
      <c r="I1257" s="1" t="str">
        <f t="shared" si="116"/>
        <v>12200-001</v>
      </c>
      <c r="J1257" s="1" t="str">
        <f t="shared" si="117"/>
        <v>Cello production item #001</v>
      </c>
      <c r="K1257" s="1" t="str">
        <f>IF(SUM(COUNTIFS(I:I, I1257)) &gt; 1, "DUPLICATE", "UNIQUE")</f>
        <v>UNIQUE</v>
      </c>
      <c r="L1257" s="18">
        <v>0</v>
      </c>
      <c r="M1257" s="28">
        <v>87</v>
      </c>
      <c r="N1257" s="6">
        <v>361</v>
      </c>
      <c r="O1257" s="30">
        <f t="shared" si="118"/>
        <v>0</v>
      </c>
      <c r="P1257" s="30">
        <f t="shared" si="119"/>
        <v>31407</v>
      </c>
      <c r="Q1257" s="1">
        <f>COUNTIFS($P:$P, "&gt;" &amp; $P1257) + 1</f>
        <v>661</v>
      </c>
      <c r="R1257" s="63">
        <f>(COUNTIFS($P:$P, "&gt;" &amp; $P1257) + 1) / (COUNTA($I:$I) - 1)</f>
        <v>0.13220000000000001</v>
      </c>
      <c r="S1257" s="23">
        <f>SUMIFS($P:$P, $Q:$Q, "&lt;" &amp; $Q1257)</f>
        <v>157894639</v>
      </c>
    </row>
    <row r="1258" spans="1:19" x14ac:dyDescent="0.25">
      <c r="A1258" s="1">
        <v>1253</v>
      </c>
      <c r="B1258" s="1" t="s">
        <v>2</v>
      </c>
      <c r="C1258" s="1" t="str">
        <f>IF($B1258 = "Production Item", _xlfn.XLOOKUP($A1258, 'Instrument Table'!$J:$J, 'Instrument Table'!$B:$B, $C1257), IF($B1258 = "Service Item", _xlfn.XLOOKUP($A1258, 'Instrument Table'!$I:$I, 'Instrument Table'!$B:$B, $C1257), _xlfn.XLOOKUP($A1258, 'Instrument Table'!$H:$H, 'Instrument Table'!$B:$B, $C1257)))</f>
        <v>Cello</v>
      </c>
      <c r="D1258" s="1" t="str">
        <f>VLOOKUP($C1258, 'Instrument Table'!$B:$C, 2, FALSE)</f>
        <v>Strings</v>
      </c>
      <c r="E1258" s="1">
        <f t="shared" si="114"/>
        <v>1</v>
      </c>
      <c r="F1258" s="1">
        <f>_xlfn.XLOOKUP($C1258, 'Instrument Table'!$B:$B, 'Instrument Table'!$A:$A, "")</f>
        <v>22</v>
      </c>
      <c r="G1258" s="1" t="str">
        <f>TEXT(IF($B1258 = "Retail Item", IF((ROW($A1258) - 4504 - _xlfn.XMATCH($C1258, $C$4506:$C$5005, 0, 1)) &lt;= VLOOKUP($C1258, 'Instrument Table'!$B:$D, 3, FALSE), ROW($A1258) - 4504 - _xlfn.XMATCH($C1258, $C$4506:$C$5005, 0, 1), 0), 0), "00")</f>
        <v>00</v>
      </c>
      <c r="H1258" s="1" t="str">
        <f t="shared" si="115"/>
        <v>002</v>
      </c>
      <c r="I1258" s="1" t="str">
        <f t="shared" si="116"/>
        <v>12200-002</v>
      </c>
      <c r="J1258" s="1" t="str">
        <f t="shared" si="117"/>
        <v>Cello production item #002</v>
      </c>
      <c r="K1258" s="1" t="str">
        <f>IF(SUM(COUNTIFS(I:I, I1258)) &gt; 1, "DUPLICATE", "UNIQUE")</f>
        <v>UNIQUE</v>
      </c>
      <c r="L1258" s="18">
        <v>1</v>
      </c>
      <c r="M1258" s="28">
        <v>98</v>
      </c>
      <c r="N1258" s="6">
        <v>324</v>
      </c>
      <c r="O1258" s="30">
        <f t="shared" si="118"/>
        <v>98</v>
      </c>
      <c r="P1258" s="30">
        <f t="shared" si="119"/>
        <v>31752</v>
      </c>
      <c r="Q1258" s="1">
        <f>COUNTIFS($P:$P, "&gt;" &amp; $P1258) + 1</f>
        <v>654</v>
      </c>
      <c r="R1258" s="63">
        <f>(COUNTIFS($P:$P, "&gt;" &amp; $P1258) + 1) / (COUNTA($I:$I) - 1)</f>
        <v>0.1308</v>
      </c>
      <c r="S1258" s="23">
        <f>SUMIFS($P:$P, $Q:$Q, "&lt;" &amp; $Q1258)</f>
        <v>157673221</v>
      </c>
    </row>
    <row r="1259" spans="1:19" x14ac:dyDescent="0.25">
      <c r="A1259" s="1">
        <v>1254</v>
      </c>
      <c r="B1259" s="1" t="s">
        <v>2</v>
      </c>
      <c r="C1259" s="1" t="str">
        <f>IF($B1259 = "Production Item", _xlfn.XLOOKUP($A1259, 'Instrument Table'!$J:$J, 'Instrument Table'!$B:$B, $C1258), IF($B1259 = "Service Item", _xlfn.XLOOKUP($A1259, 'Instrument Table'!$I:$I, 'Instrument Table'!$B:$B, $C1258), _xlfn.XLOOKUP($A1259, 'Instrument Table'!$H:$H, 'Instrument Table'!$B:$B, $C1258)))</f>
        <v>Cello</v>
      </c>
      <c r="D1259" s="1" t="str">
        <f>VLOOKUP($C1259, 'Instrument Table'!$B:$C, 2, FALSE)</f>
        <v>Strings</v>
      </c>
      <c r="E1259" s="1">
        <f t="shared" si="114"/>
        <v>1</v>
      </c>
      <c r="F1259" s="1">
        <f>_xlfn.XLOOKUP($C1259, 'Instrument Table'!$B:$B, 'Instrument Table'!$A:$A, "")</f>
        <v>22</v>
      </c>
      <c r="G1259" s="1" t="str">
        <f>TEXT(IF($B1259 = "Retail Item", IF((ROW($A1259) - 4504 - _xlfn.XMATCH($C1259, $C$4506:$C$5005, 0, 1)) &lt;= VLOOKUP($C1259, 'Instrument Table'!$B:$D, 3, FALSE), ROW($A1259) - 4504 - _xlfn.XMATCH($C1259, $C$4506:$C$5005, 0, 1), 0), 0), "00")</f>
        <v>00</v>
      </c>
      <c r="H1259" s="1" t="str">
        <f t="shared" si="115"/>
        <v>003</v>
      </c>
      <c r="I1259" s="1" t="str">
        <f t="shared" si="116"/>
        <v>12200-003</v>
      </c>
      <c r="J1259" s="1" t="str">
        <f t="shared" si="117"/>
        <v>Cello production item #003</v>
      </c>
      <c r="K1259" s="1" t="str">
        <f>IF(SUM(COUNTIFS(I:I, I1259)) &gt; 1, "DUPLICATE", "UNIQUE")</f>
        <v>UNIQUE</v>
      </c>
      <c r="L1259" s="18">
        <v>1</v>
      </c>
      <c r="M1259" s="28">
        <v>58</v>
      </c>
      <c r="N1259" s="6">
        <v>81</v>
      </c>
      <c r="O1259" s="30">
        <f t="shared" si="118"/>
        <v>58</v>
      </c>
      <c r="P1259" s="30">
        <f t="shared" si="119"/>
        <v>4698</v>
      </c>
      <c r="Q1259" s="1">
        <f>COUNTIFS($P:$P, "&gt;" &amp; $P1259) + 1</f>
        <v>2508</v>
      </c>
      <c r="R1259" s="63">
        <f>(COUNTIFS($P:$P, "&gt;" &amp; $P1259) + 1) / (COUNTA($I:$I) - 1)</f>
        <v>0.50160000000000005</v>
      </c>
      <c r="S1259" s="23">
        <f>SUMIFS($P:$P, $Q:$Q, "&lt;" &amp; $Q1259)</f>
        <v>183152868</v>
      </c>
    </row>
    <row r="1260" spans="1:19" x14ac:dyDescent="0.25">
      <c r="A1260" s="1">
        <v>1255</v>
      </c>
      <c r="B1260" s="1" t="s">
        <v>2</v>
      </c>
      <c r="C1260" s="1" t="str">
        <f>IF($B1260 = "Production Item", _xlfn.XLOOKUP($A1260, 'Instrument Table'!$J:$J, 'Instrument Table'!$B:$B, $C1259), IF($B1260 = "Service Item", _xlfn.XLOOKUP($A1260, 'Instrument Table'!$I:$I, 'Instrument Table'!$B:$B, $C1259), _xlfn.XLOOKUP($A1260, 'Instrument Table'!$H:$H, 'Instrument Table'!$B:$B, $C1259)))</f>
        <v>Cello</v>
      </c>
      <c r="D1260" s="1" t="str">
        <f>VLOOKUP($C1260, 'Instrument Table'!$B:$C, 2, FALSE)</f>
        <v>Strings</v>
      </c>
      <c r="E1260" s="1">
        <f t="shared" si="114"/>
        <v>1</v>
      </c>
      <c r="F1260" s="1">
        <f>_xlfn.XLOOKUP($C1260, 'Instrument Table'!$B:$B, 'Instrument Table'!$A:$A, "")</f>
        <v>22</v>
      </c>
      <c r="G1260" s="1" t="str">
        <f>TEXT(IF($B1260 = "Retail Item", IF((ROW($A1260) - 4504 - _xlfn.XMATCH($C1260, $C$4506:$C$5005, 0, 1)) &lt;= VLOOKUP($C1260, 'Instrument Table'!$B:$D, 3, FALSE), ROW($A1260) - 4504 - _xlfn.XMATCH($C1260, $C$4506:$C$5005, 0, 1), 0), 0), "00")</f>
        <v>00</v>
      </c>
      <c r="H1260" s="1" t="str">
        <f t="shared" si="115"/>
        <v>004</v>
      </c>
      <c r="I1260" s="1" t="str">
        <f t="shared" si="116"/>
        <v>12200-004</v>
      </c>
      <c r="J1260" s="1" t="str">
        <f t="shared" si="117"/>
        <v>Cello production item #004</v>
      </c>
      <c r="K1260" s="1" t="str">
        <f>IF(SUM(COUNTIFS(I:I, I1260)) &gt; 1, "DUPLICATE", "UNIQUE")</f>
        <v>UNIQUE</v>
      </c>
      <c r="L1260" s="18">
        <v>4</v>
      </c>
      <c r="M1260" s="28">
        <v>10</v>
      </c>
      <c r="N1260" s="6">
        <v>36</v>
      </c>
      <c r="O1260" s="30">
        <f t="shared" si="118"/>
        <v>40</v>
      </c>
      <c r="P1260" s="30">
        <f t="shared" si="119"/>
        <v>360</v>
      </c>
      <c r="Q1260" s="1">
        <f>COUNTIFS($P:$P, "&gt;" &amp; $P1260) + 1</f>
        <v>4137</v>
      </c>
      <c r="R1260" s="63">
        <f>(COUNTIFS($P:$P, "&gt;" &amp; $P1260) + 1) / (COUNTA($I:$I) - 1)</f>
        <v>0.82740000000000002</v>
      </c>
      <c r="S1260" s="23">
        <f>SUMIFS($P:$P, $Q:$Q, "&lt;" &amp; $Q1260)</f>
        <v>186459069</v>
      </c>
    </row>
    <row r="1261" spans="1:19" x14ac:dyDescent="0.25">
      <c r="A1261" s="1">
        <v>1256</v>
      </c>
      <c r="B1261" s="1" t="s">
        <v>2</v>
      </c>
      <c r="C1261" s="1" t="str">
        <f>IF($B1261 = "Production Item", _xlfn.XLOOKUP($A1261, 'Instrument Table'!$J:$J, 'Instrument Table'!$B:$B, $C1260), IF($B1261 = "Service Item", _xlfn.XLOOKUP($A1261, 'Instrument Table'!$I:$I, 'Instrument Table'!$B:$B, $C1260), _xlfn.XLOOKUP($A1261, 'Instrument Table'!$H:$H, 'Instrument Table'!$B:$B, $C1260)))</f>
        <v>Cello</v>
      </c>
      <c r="D1261" s="1" t="str">
        <f>VLOOKUP($C1261, 'Instrument Table'!$B:$C, 2, FALSE)</f>
        <v>Strings</v>
      </c>
      <c r="E1261" s="1">
        <f t="shared" si="114"/>
        <v>1</v>
      </c>
      <c r="F1261" s="1">
        <f>_xlfn.XLOOKUP($C1261, 'Instrument Table'!$B:$B, 'Instrument Table'!$A:$A, "")</f>
        <v>22</v>
      </c>
      <c r="G1261" s="1" t="str">
        <f>TEXT(IF($B1261 = "Retail Item", IF((ROW($A1261) - 4504 - _xlfn.XMATCH($C1261, $C$4506:$C$5005, 0, 1)) &lt;= VLOOKUP($C1261, 'Instrument Table'!$B:$D, 3, FALSE), ROW($A1261) - 4504 - _xlfn.XMATCH($C1261, $C$4506:$C$5005, 0, 1), 0), 0), "00")</f>
        <v>00</v>
      </c>
      <c r="H1261" s="1" t="str">
        <f t="shared" si="115"/>
        <v>005</v>
      </c>
      <c r="I1261" s="1" t="str">
        <f t="shared" si="116"/>
        <v>12200-005</v>
      </c>
      <c r="J1261" s="1" t="str">
        <f t="shared" si="117"/>
        <v>Cello production item #005</v>
      </c>
      <c r="K1261" s="1" t="str">
        <f>IF(SUM(COUNTIFS(I:I, I1261)) &gt; 1, "DUPLICATE", "UNIQUE")</f>
        <v>UNIQUE</v>
      </c>
      <c r="L1261" s="18">
        <v>1</v>
      </c>
      <c r="M1261" s="28">
        <v>26</v>
      </c>
      <c r="N1261" s="6">
        <v>9</v>
      </c>
      <c r="O1261" s="30">
        <f t="shared" si="118"/>
        <v>26</v>
      </c>
      <c r="P1261" s="30">
        <f t="shared" si="119"/>
        <v>234</v>
      </c>
      <c r="Q1261" s="1">
        <f>COUNTIFS($P:$P, "&gt;" &amp; $P1261) + 1</f>
        <v>4288</v>
      </c>
      <c r="R1261" s="63">
        <f>(COUNTIFS($P:$P, "&gt;" &amp; $P1261) + 1) / (COUNTA($I:$I) - 1)</f>
        <v>0.85760000000000003</v>
      </c>
      <c r="S1261" s="23">
        <f>SUMIFS($P:$P, $Q:$Q, "&lt;" &amp; $Q1261)</f>
        <v>186504707</v>
      </c>
    </row>
    <row r="1262" spans="1:19" x14ac:dyDescent="0.25">
      <c r="A1262" s="1">
        <v>1257</v>
      </c>
      <c r="B1262" s="1" t="s">
        <v>2</v>
      </c>
      <c r="C1262" s="1" t="str">
        <f>IF($B1262 = "Production Item", _xlfn.XLOOKUP($A1262, 'Instrument Table'!$J:$J, 'Instrument Table'!$B:$B, $C1261), IF($B1262 = "Service Item", _xlfn.XLOOKUP($A1262, 'Instrument Table'!$I:$I, 'Instrument Table'!$B:$B, $C1261), _xlfn.XLOOKUP($A1262, 'Instrument Table'!$H:$H, 'Instrument Table'!$B:$B, $C1261)))</f>
        <v>Cello</v>
      </c>
      <c r="D1262" s="1" t="str">
        <f>VLOOKUP($C1262, 'Instrument Table'!$B:$C, 2, FALSE)</f>
        <v>Strings</v>
      </c>
      <c r="E1262" s="1">
        <f t="shared" si="114"/>
        <v>1</v>
      </c>
      <c r="F1262" s="1">
        <f>_xlfn.XLOOKUP($C1262, 'Instrument Table'!$B:$B, 'Instrument Table'!$A:$A, "")</f>
        <v>22</v>
      </c>
      <c r="G1262" s="1" t="str">
        <f>TEXT(IF($B1262 = "Retail Item", IF((ROW($A1262) - 4504 - _xlfn.XMATCH($C1262, $C$4506:$C$5005, 0, 1)) &lt;= VLOOKUP($C1262, 'Instrument Table'!$B:$D, 3, FALSE), ROW($A1262) - 4504 - _xlfn.XMATCH($C1262, $C$4506:$C$5005, 0, 1), 0), 0), "00")</f>
        <v>00</v>
      </c>
      <c r="H1262" s="1" t="str">
        <f t="shared" si="115"/>
        <v>006</v>
      </c>
      <c r="I1262" s="1" t="str">
        <f t="shared" si="116"/>
        <v>12200-006</v>
      </c>
      <c r="J1262" s="1" t="str">
        <f t="shared" si="117"/>
        <v>Cello production item #006</v>
      </c>
      <c r="K1262" s="1" t="str">
        <f>IF(SUM(COUNTIFS(I:I, I1262)) &gt; 1, "DUPLICATE", "UNIQUE")</f>
        <v>UNIQUE</v>
      </c>
      <c r="L1262" s="18">
        <v>1</v>
      </c>
      <c r="M1262" s="28">
        <v>32</v>
      </c>
      <c r="N1262" s="6">
        <v>400</v>
      </c>
      <c r="O1262" s="30">
        <f t="shared" si="118"/>
        <v>32</v>
      </c>
      <c r="P1262" s="30">
        <f t="shared" si="119"/>
        <v>12800</v>
      </c>
      <c r="Q1262" s="1">
        <f>COUNTIFS($P:$P, "&gt;" &amp; $P1262) + 1</f>
        <v>1518</v>
      </c>
      <c r="R1262" s="63">
        <f>(COUNTIFS($P:$P, "&gt;" &amp; $P1262) + 1) / (COUNTA($I:$I) - 1)</f>
        <v>0.30359999999999998</v>
      </c>
      <c r="S1262" s="23">
        <f>SUMIFS($P:$P, $Q:$Q, "&lt;" &amp; $Q1262)</f>
        <v>175071913</v>
      </c>
    </row>
    <row r="1263" spans="1:19" x14ac:dyDescent="0.25">
      <c r="A1263" s="1">
        <v>1258</v>
      </c>
      <c r="B1263" s="1" t="s">
        <v>2</v>
      </c>
      <c r="C1263" s="1" t="str">
        <f>IF($B1263 = "Production Item", _xlfn.XLOOKUP($A1263, 'Instrument Table'!$J:$J, 'Instrument Table'!$B:$B, $C1262), IF($B1263 = "Service Item", _xlfn.XLOOKUP($A1263, 'Instrument Table'!$I:$I, 'Instrument Table'!$B:$B, $C1262), _xlfn.XLOOKUP($A1263, 'Instrument Table'!$H:$H, 'Instrument Table'!$B:$B, $C1262)))</f>
        <v>Cello</v>
      </c>
      <c r="D1263" s="1" t="str">
        <f>VLOOKUP($C1263, 'Instrument Table'!$B:$C, 2, FALSE)</f>
        <v>Strings</v>
      </c>
      <c r="E1263" s="1">
        <f t="shared" si="114"/>
        <v>1</v>
      </c>
      <c r="F1263" s="1">
        <f>_xlfn.XLOOKUP($C1263, 'Instrument Table'!$B:$B, 'Instrument Table'!$A:$A, "")</f>
        <v>22</v>
      </c>
      <c r="G1263" s="1" t="str">
        <f>TEXT(IF($B1263 = "Retail Item", IF((ROW($A1263) - 4504 - _xlfn.XMATCH($C1263, $C$4506:$C$5005, 0, 1)) &lt;= VLOOKUP($C1263, 'Instrument Table'!$B:$D, 3, FALSE), ROW($A1263) - 4504 - _xlfn.XMATCH($C1263, $C$4506:$C$5005, 0, 1), 0), 0), "00")</f>
        <v>00</v>
      </c>
      <c r="H1263" s="1" t="str">
        <f t="shared" si="115"/>
        <v>007</v>
      </c>
      <c r="I1263" s="1" t="str">
        <f t="shared" si="116"/>
        <v>12200-007</v>
      </c>
      <c r="J1263" s="1" t="str">
        <f t="shared" si="117"/>
        <v>Cello production item #007</v>
      </c>
      <c r="K1263" s="1" t="str">
        <f>IF(SUM(COUNTIFS(I:I, I1263)) &gt; 1, "DUPLICATE", "UNIQUE")</f>
        <v>UNIQUE</v>
      </c>
      <c r="L1263" s="18">
        <v>1</v>
      </c>
      <c r="M1263" s="28">
        <v>87</v>
      </c>
      <c r="N1263" s="6">
        <v>169</v>
      </c>
      <c r="O1263" s="30">
        <f t="shared" si="118"/>
        <v>87</v>
      </c>
      <c r="P1263" s="30">
        <f t="shared" si="119"/>
        <v>14703</v>
      </c>
      <c r="Q1263" s="1">
        <f>COUNTIFS($P:$P, "&gt;" &amp; $P1263) + 1</f>
        <v>1370</v>
      </c>
      <c r="R1263" s="63">
        <f>(COUNTIFS($P:$P, "&gt;" &amp; $P1263) + 1) / (COUNTA($I:$I) - 1)</f>
        <v>0.27400000000000002</v>
      </c>
      <c r="S1263" s="23">
        <f>SUMIFS($P:$P, $Q:$Q, "&lt;" &amp; $Q1263)</f>
        <v>173040250</v>
      </c>
    </row>
    <row r="1264" spans="1:19" x14ac:dyDescent="0.25">
      <c r="A1264" s="1">
        <v>1259</v>
      </c>
      <c r="B1264" s="1" t="s">
        <v>2</v>
      </c>
      <c r="C1264" s="1" t="str">
        <f>IF($B1264 = "Production Item", _xlfn.XLOOKUP($A1264, 'Instrument Table'!$J:$J, 'Instrument Table'!$B:$B, $C1263), IF($B1264 = "Service Item", _xlfn.XLOOKUP($A1264, 'Instrument Table'!$I:$I, 'Instrument Table'!$B:$B, $C1263), _xlfn.XLOOKUP($A1264, 'Instrument Table'!$H:$H, 'Instrument Table'!$B:$B, $C1263)))</f>
        <v>Cello</v>
      </c>
      <c r="D1264" s="1" t="str">
        <f>VLOOKUP($C1264, 'Instrument Table'!$B:$C, 2, FALSE)</f>
        <v>Strings</v>
      </c>
      <c r="E1264" s="1">
        <f t="shared" si="114"/>
        <v>1</v>
      </c>
      <c r="F1264" s="1">
        <f>_xlfn.XLOOKUP($C1264, 'Instrument Table'!$B:$B, 'Instrument Table'!$A:$A, "")</f>
        <v>22</v>
      </c>
      <c r="G1264" s="1" t="str">
        <f>TEXT(IF($B1264 = "Retail Item", IF((ROW($A1264) - 4504 - _xlfn.XMATCH($C1264, $C$4506:$C$5005, 0, 1)) &lt;= VLOOKUP($C1264, 'Instrument Table'!$B:$D, 3, FALSE), ROW($A1264) - 4504 - _xlfn.XMATCH($C1264, $C$4506:$C$5005, 0, 1), 0), 0), "00")</f>
        <v>00</v>
      </c>
      <c r="H1264" s="1" t="str">
        <f t="shared" si="115"/>
        <v>008</v>
      </c>
      <c r="I1264" s="1" t="str">
        <f t="shared" si="116"/>
        <v>12200-008</v>
      </c>
      <c r="J1264" s="1" t="str">
        <f t="shared" si="117"/>
        <v>Cello production item #008</v>
      </c>
      <c r="K1264" s="1" t="str">
        <f>IF(SUM(COUNTIFS(I:I, I1264)) &gt; 1, "DUPLICATE", "UNIQUE")</f>
        <v>UNIQUE</v>
      </c>
      <c r="L1264" s="18">
        <v>0</v>
      </c>
      <c r="M1264" s="28">
        <v>16</v>
      </c>
      <c r="N1264" s="6">
        <v>0</v>
      </c>
      <c r="O1264" s="30">
        <f t="shared" si="118"/>
        <v>0</v>
      </c>
      <c r="P1264" s="30">
        <f t="shared" si="119"/>
        <v>0</v>
      </c>
      <c r="Q1264" s="1">
        <f>COUNTIFS($P:$P, "&gt;" &amp; $P1264) + 1</f>
        <v>4746</v>
      </c>
      <c r="R1264" s="63">
        <f>(COUNTIFS($P:$P, "&gt;" &amp; $P1264) + 1) / (COUNTA($I:$I) - 1)</f>
        <v>0.94920000000000004</v>
      </c>
      <c r="S1264" s="23">
        <f>SUMIFS($P:$P, $Q:$Q, "&lt;" &amp; $Q1264)</f>
        <v>186547861</v>
      </c>
    </row>
    <row r="1265" spans="1:19" x14ac:dyDescent="0.25">
      <c r="A1265" s="1">
        <v>1260</v>
      </c>
      <c r="B1265" s="1" t="s">
        <v>2</v>
      </c>
      <c r="C1265" s="1" t="str">
        <f>IF($B1265 = "Production Item", _xlfn.XLOOKUP($A1265, 'Instrument Table'!$J:$J, 'Instrument Table'!$B:$B, $C1264), IF($B1265 = "Service Item", _xlfn.XLOOKUP($A1265, 'Instrument Table'!$I:$I, 'Instrument Table'!$B:$B, $C1264), _xlfn.XLOOKUP($A1265, 'Instrument Table'!$H:$H, 'Instrument Table'!$B:$B, $C1264)))</f>
        <v>Cello</v>
      </c>
      <c r="D1265" s="1" t="str">
        <f>VLOOKUP($C1265, 'Instrument Table'!$B:$C, 2, FALSE)</f>
        <v>Strings</v>
      </c>
      <c r="E1265" s="1">
        <f t="shared" si="114"/>
        <v>1</v>
      </c>
      <c r="F1265" s="1">
        <f>_xlfn.XLOOKUP($C1265, 'Instrument Table'!$B:$B, 'Instrument Table'!$A:$A, "")</f>
        <v>22</v>
      </c>
      <c r="G1265" s="1" t="str">
        <f>TEXT(IF($B1265 = "Retail Item", IF((ROW($A1265) - 4504 - _xlfn.XMATCH($C1265, $C$4506:$C$5005, 0, 1)) &lt;= VLOOKUP($C1265, 'Instrument Table'!$B:$D, 3, FALSE), ROW($A1265) - 4504 - _xlfn.XMATCH($C1265, $C$4506:$C$5005, 0, 1), 0), 0), "00")</f>
        <v>00</v>
      </c>
      <c r="H1265" s="1" t="str">
        <f t="shared" si="115"/>
        <v>009</v>
      </c>
      <c r="I1265" s="1" t="str">
        <f t="shared" si="116"/>
        <v>12200-009</v>
      </c>
      <c r="J1265" s="1" t="str">
        <f t="shared" si="117"/>
        <v>Cello production item #009</v>
      </c>
      <c r="K1265" s="1" t="str">
        <f>IF(SUM(COUNTIFS(I:I, I1265)) &gt; 1, "DUPLICATE", "UNIQUE")</f>
        <v>UNIQUE</v>
      </c>
      <c r="L1265" s="18">
        <v>32</v>
      </c>
      <c r="M1265" s="28">
        <v>92</v>
      </c>
      <c r="N1265" s="6">
        <v>324</v>
      </c>
      <c r="O1265" s="30">
        <f t="shared" si="118"/>
        <v>2944</v>
      </c>
      <c r="P1265" s="30">
        <f t="shared" si="119"/>
        <v>29808</v>
      </c>
      <c r="Q1265" s="1">
        <f>COUNTIFS($P:$P, "&gt;" &amp; $P1265) + 1</f>
        <v>694</v>
      </c>
      <c r="R1265" s="63">
        <f>(COUNTIFS($P:$P, "&gt;" &amp; $P1265) + 1) / (COUNTA($I:$I) - 1)</f>
        <v>0.13880000000000001</v>
      </c>
      <c r="S1265" s="23">
        <f>SUMIFS($P:$P, $Q:$Q, "&lt;" &amp; $Q1265)</f>
        <v>158908468</v>
      </c>
    </row>
    <row r="1266" spans="1:19" x14ac:dyDescent="0.25">
      <c r="A1266" s="1">
        <v>1261</v>
      </c>
      <c r="B1266" s="1" t="s">
        <v>2</v>
      </c>
      <c r="C1266" s="1" t="str">
        <f>IF($B1266 = "Production Item", _xlfn.XLOOKUP($A1266, 'Instrument Table'!$J:$J, 'Instrument Table'!$B:$B, $C1265), IF($B1266 = "Service Item", _xlfn.XLOOKUP($A1266, 'Instrument Table'!$I:$I, 'Instrument Table'!$B:$B, $C1265), _xlfn.XLOOKUP($A1266, 'Instrument Table'!$H:$H, 'Instrument Table'!$B:$B, $C1265)))</f>
        <v>Cello</v>
      </c>
      <c r="D1266" s="1" t="str">
        <f>VLOOKUP($C1266, 'Instrument Table'!$B:$C, 2, FALSE)</f>
        <v>Strings</v>
      </c>
      <c r="E1266" s="1">
        <f t="shared" si="114"/>
        <v>1</v>
      </c>
      <c r="F1266" s="1">
        <f>_xlfn.XLOOKUP($C1266, 'Instrument Table'!$B:$B, 'Instrument Table'!$A:$A, "")</f>
        <v>22</v>
      </c>
      <c r="G1266" s="1" t="str">
        <f>TEXT(IF($B1266 = "Retail Item", IF((ROW($A1266) - 4504 - _xlfn.XMATCH($C1266, $C$4506:$C$5005, 0, 1)) &lt;= VLOOKUP($C1266, 'Instrument Table'!$B:$D, 3, FALSE), ROW($A1266) - 4504 - _xlfn.XMATCH($C1266, $C$4506:$C$5005, 0, 1), 0), 0), "00")</f>
        <v>00</v>
      </c>
      <c r="H1266" s="1" t="str">
        <f t="shared" si="115"/>
        <v>010</v>
      </c>
      <c r="I1266" s="1" t="str">
        <f t="shared" si="116"/>
        <v>12200-010</v>
      </c>
      <c r="J1266" s="1" t="str">
        <f t="shared" si="117"/>
        <v>Cello production item #010</v>
      </c>
      <c r="K1266" s="1" t="str">
        <f>IF(SUM(COUNTIFS(I:I, I1266)) &gt; 1, "DUPLICATE", "UNIQUE")</f>
        <v>UNIQUE</v>
      </c>
      <c r="L1266" s="18">
        <v>1</v>
      </c>
      <c r="M1266" s="28">
        <v>59</v>
      </c>
      <c r="N1266" s="6">
        <v>1</v>
      </c>
      <c r="O1266" s="30">
        <f t="shared" si="118"/>
        <v>59</v>
      </c>
      <c r="P1266" s="30">
        <f t="shared" si="119"/>
        <v>59</v>
      </c>
      <c r="Q1266" s="1">
        <f>COUNTIFS($P:$P, "&gt;" &amp; $P1266) + 1</f>
        <v>4583</v>
      </c>
      <c r="R1266" s="63">
        <f>(COUNTIFS($P:$P, "&gt;" &amp; $P1266) + 1) / (COUNTA($I:$I) - 1)</f>
        <v>0.91659999999999997</v>
      </c>
      <c r="S1266" s="23">
        <f>SUMIFS($P:$P, $Q:$Q, "&lt;" &amp; $Q1266)</f>
        <v>186542736</v>
      </c>
    </row>
    <row r="1267" spans="1:19" x14ac:dyDescent="0.25">
      <c r="A1267" s="1">
        <v>1262</v>
      </c>
      <c r="B1267" s="1" t="s">
        <v>2</v>
      </c>
      <c r="C1267" s="1" t="str">
        <f>IF($B1267 = "Production Item", _xlfn.XLOOKUP($A1267, 'Instrument Table'!$J:$J, 'Instrument Table'!$B:$B, $C1266), IF($B1267 = "Service Item", _xlfn.XLOOKUP($A1267, 'Instrument Table'!$I:$I, 'Instrument Table'!$B:$B, $C1266), _xlfn.XLOOKUP($A1267, 'Instrument Table'!$H:$H, 'Instrument Table'!$B:$B, $C1266)))</f>
        <v>Cello</v>
      </c>
      <c r="D1267" s="1" t="str">
        <f>VLOOKUP($C1267, 'Instrument Table'!$B:$C, 2, FALSE)</f>
        <v>Strings</v>
      </c>
      <c r="E1267" s="1">
        <f t="shared" si="114"/>
        <v>1</v>
      </c>
      <c r="F1267" s="1">
        <f>_xlfn.XLOOKUP($C1267, 'Instrument Table'!$B:$B, 'Instrument Table'!$A:$A, "")</f>
        <v>22</v>
      </c>
      <c r="G1267" s="1" t="str">
        <f>TEXT(IF($B1267 = "Retail Item", IF((ROW($A1267) - 4504 - _xlfn.XMATCH($C1267, $C$4506:$C$5005, 0, 1)) &lt;= VLOOKUP($C1267, 'Instrument Table'!$B:$D, 3, FALSE), ROW($A1267) - 4504 - _xlfn.XMATCH($C1267, $C$4506:$C$5005, 0, 1), 0), 0), "00")</f>
        <v>00</v>
      </c>
      <c r="H1267" s="1" t="str">
        <f t="shared" si="115"/>
        <v>011</v>
      </c>
      <c r="I1267" s="1" t="str">
        <f t="shared" si="116"/>
        <v>12200-011</v>
      </c>
      <c r="J1267" s="1" t="str">
        <f t="shared" si="117"/>
        <v>Cello production item #011</v>
      </c>
      <c r="K1267" s="1" t="str">
        <f>IF(SUM(COUNTIFS(I:I, I1267)) &gt; 1, "DUPLICATE", "UNIQUE")</f>
        <v>UNIQUE</v>
      </c>
      <c r="L1267" s="18">
        <v>0</v>
      </c>
      <c r="M1267" s="28">
        <v>66</v>
      </c>
      <c r="N1267" s="6">
        <v>121</v>
      </c>
      <c r="O1267" s="30">
        <f t="shared" si="118"/>
        <v>0</v>
      </c>
      <c r="P1267" s="30">
        <f t="shared" si="119"/>
        <v>7986</v>
      </c>
      <c r="Q1267" s="1">
        <f>COUNTIFS($P:$P, "&gt;" &amp; $P1267) + 1</f>
        <v>1990</v>
      </c>
      <c r="R1267" s="63">
        <f>(COUNTIFS($P:$P, "&gt;" &amp; $P1267) + 1) / (COUNTA($I:$I) - 1)</f>
        <v>0.39800000000000002</v>
      </c>
      <c r="S1267" s="23">
        <f>SUMIFS($P:$P, $Q:$Q, "&lt;" &amp; $Q1267)</f>
        <v>179916921</v>
      </c>
    </row>
    <row r="1268" spans="1:19" x14ac:dyDescent="0.25">
      <c r="A1268" s="1">
        <v>1263</v>
      </c>
      <c r="B1268" s="1" t="s">
        <v>2</v>
      </c>
      <c r="C1268" s="1" t="str">
        <f>IF($B1268 = "Production Item", _xlfn.XLOOKUP($A1268, 'Instrument Table'!$J:$J, 'Instrument Table'!$B:$B, $C1267), IF($B1268 = "Service Item", _xlfn.XLOOKUP($A1268, 'Instrument Table'!$I:$I, 'Instrument Table'!$B:$B, $C1267), _xlfn.XLOOKUP($A1268, 'Instrument Table'!$H:$H, 'Instrument Table'!$B:$B, $C1267)))</f>
        <v>Cello</v>
      </c>
      <c r="D1268" s="1" t="str">
        <f>VLOOKUP($C1268, 'Instrument Table'!$B:$C, 2, FALSE)</f>
        <v>Strings</v>
      </c>
      <c r="E1268" s="1">
        <f t="shared" si="114"/>
        <v>1</v>
      </c>
      <c r="F1268" s="1">
        <f>_xlfn.XLOOKUP($C1268, 'Instrument Table'!$B:$B, 'Instrument Table'!$A:$A, "")</f>
        <v>22</v>
      </c>
      <c r="G1268" s="1" t="str">
        <f>TEXT(IF($B1268 = "Retail Item", IF((ROW($A1268) - 4504 - _xlfn.XMATCH($C1268, $C$4506:$C$5005, 0, 1)) &lt;= VLOOKUP($C1268, 'Instrument Table'!$B:$D, 3, FALSE), ROW($A1268) - 4504 - _xlfn.XMATCH($C1268, $C$4506:$C$5005, 0, 1), 0), 0), "00")</f>
        <v>00</v>
      </c>
      <c r="H1268" s="1" t="str">
        <f t="shared" si="115"/>
        <v>012</v>
      </c>
      <c r="I1268" s="1" t="str">
        <f t="shared" si="116"/>
        <v>12200-012</v>
      </c>
      <c r="J1268" s="1" t="str">
        <f t="shared" si="117"/>
        <v>Cello production item #012</v>
      </c>
      <c r="K1268" s="1" t="str">
        <f>IF(SUM(COUNTIFS(I:I, I1268)) &gt; 1, "DUPLICATE", "UNIQUE")</f>
        <v>UNIQUE</v>
      </c>
      <c r="L1268" s="18">
        <v>0</v>
      </c>
      <c r="M1268" s="28">
        <v>17</v>
      </c>
      <c r="N1268" s="6">
        <v>169</v>
      </c>
      <c r="O1268" s="30">
        <f t="shared" si="118"/>
        <v>0</v>
      </c>
      <c r="P1268" s="30">
        <f t="shared" si="119"/>
        <v>2873</v>
      </c>
      <c r="Q1268" s="1">
        <f>COUNTIFS($P:$P, "&gt;" &amp; $P1268) + 1</f>
        <v>2944</v>
      </c>
      <c r="R1268" s="63">
        <f>(COUNTIFS($P:$P, "&gt;" &amp; $P1268) + 1) / (COUNTA($I:$I) - 1)</f>
        <v>0.58879999999999999</v>
      </c>
      <c r="S1268" s="23">
        <f>SUMIFS($P:$P, $Q:$Q, "&lt;" &amp; $Q1268)</f>
        <v>184777849</v>
      </c>
    </row>
    <row r="1269" spans="1:19" x14ac:dyDescent="0.25">
      <c r="A1269" s="1">
        <v>1264</v>
      </c>
      <c r="B1269" s="1" t="s">
        <v>2</v>
      </c>
      <c r="C1269" s="1" t="str">
        <f>IF($B1269 = "Production Item", _xlfn.XLOOKUP($A1269, 'Instrument Table'!$J:$J, 'Instrument Table'!$B:$B, $C1268), IF($B1269 = "Service Item", _xlfn.XLOOKUP($A1269, 'Instrument Table'!$I:$I, 'Instrument Table'!$B:$B, $C1268), _xlfn.XLOOKUP($A1269, 'Instrument Table'!$H:$H, 'Instrument Table'!$B:$B, $C1268)))</f>
        <v>Cello</v>
      </c>
      <c r="D1269" s="1" t="str">
        <f>VLOOKUP($C1269, 'Instrument Table'!$B:$C, 2, FALSE)</f>
        <v>Strings</v>
      </c>
      <c r="E1269" s="1">
        <f t="shared" si="114"/>
        <v>1</v>
      </c>
      <c r="F1269" s="1">
        <f>_xlfn.XLOOKUP($C1269, 'Instrument Table'!$B:$B, 'Instrument Table'!$A:$A, "")</f>
        <v>22</v>
      </c>
      <c r="G1269" s="1" t="str">
        <f>TEXT(IF($B1269 = "Retail Item", IF((ROW($A1269) - 4504 - _xlfn.XMATCH($C1269, $C$4506:$C$5005, 0, 1)) &lt;= VLOOKUP($C1269, 'Instrument Table'!$B:$D, 3, FALSE), ROW($A1269) - 4504 - _xlfn.XMATCH($C1269, $C$4506:$C$5005, 0, 1), 0), 0), "00")</f>
        <v>00</v>
      </c>
      <c r="H1269" s="1" t="str">
        <f t="shared" si="115"/>
        <v>013</v>
      </c>
      <c r="I1269" s="1" t="str">
        <f t="shared" si="116"/>
        <v>12200-013</v>
      </c>
      <c r="J1269" s="1" t="str">
        <f t="shared" si="117"/>
        <v>Cello production item #013</v>
      </c>
      <c r="K1269" s="1" t="str">
        <f>IF(SUM(COUNTIFS(I:I, I1269)) &gt; 1, "DUPLICATE", "UNIQUE")</f>
        <v>UNIQUE</v>
      </c>
      <c r="L1269" s="18">
        <v>1</v>
      </c>
      <c r="M1269" s="28">
        <v>53</v>
      </c>
      <c r="N1269" s="6">
        <v>100</v>
      </c>
      <c r="O1269" s="30">
        <f t="shared" si="118"/>
        <v>53</v>
      </c>
      <c r="P1269" s="30">
        <f t="shared" si="119"/>
        <v>5300</v>
      </c>
      <c r="Q1269" s="1">
        <f>COUNTIFS($P:$P, "&gt;" &amp; $P1269) + 1</f>
        <v>2386</v>
      </c>
      <c r="R1269" s="63">
        <f>(COUNTIFS($P:$P, "&gt;" &amp; $P1269) + 1) / (COUNTA($I:$I) - 1)</f>
        <v>0.47720000000000001</v>
      </c>
      <c r="S1269" s="23">
        <f>SUMIFS($P:$P, $Q:$Q, "&lt;" &amp; $Q1269)</f>
        <v>182542741</v>
      </c>
    </row>
    <row r="1270" spans="1:19" x14ac:dyDescent="0.25">
      <c r="A1270" s="1">
        <v>1265</v>
      </c>
      <c r="B1270" s="1" t="s">
        <v>2</v>
      </c>
      <c r="C1270" s="1" t="str">
        <f>IF($B1270 = "Production Item", _xlfn.XLOOKUP($A1270, 'Instrument Table'!$J:$J, 'Instrument Table'!$B:$B, $C1269), IF($B1270 = "Service Item", _xlfn.XLOOKUP($A1270, 'Instrument Table'!$I:$I, 'Instrument Table'!$B:$B, $C1269), _xlfn.XLOOKUP($A1270, 'Instrument Table'!$H:$H, 'Instrument Table'!$B:$B, $C1269)))</f>
        <v>Cello</v>
      </c>
      <c r="D1270" s="1" t="str">
        <f>VLOOKUP($C1270, 'Instrument Table'!$B:$C, 2, FALSE)</f>
        <v>Strings</v>
      </c>
      <c r="E1270" s="1">
        <f t="shared" si="114"/>
        <v>1</v>
      </c>
      <c r="F1270" s="1">
        <f>_xlfn.XLOOKUP($C1270, 'Instrument Table'!$B:$B, 'Instrument Table'!$A:$A, "")</f>
        <v>22</v>
      </c>
      <c r="G1270" s="1" t="str">
        <f>TEXT(IF($B1270 = "Retail Item", IF((ROW($A1270) - 4504 - _xlfn.XMATCH($C1270, $C$4506:$C$5005, 0, 1)) &lt;= VLOOKUP($C1270, 'Instrument Table'!$B:$D, 3, FALSE), ROW($A1270) - 4504 - _xlfn.XMATCH($C1270, $C$4506:$C$5005, 0, 1), 0), 0), "00")</f>
        <v>00</v>
      </c>
      <c r="H1270" s="1" t="str">
        <f t="shared" si="115"/>
        <v>014</v>
      </c>
      <c r="I1270" s="1" t="str">
        <f t="shared" si="116"/>
        <v>12200-014</v>
      </c>
      <c r="J1270" s="1" t="str">
        <f t="shared" si="117"/>
        <v>Cello production item #014</v>
      </c>
      <c r="K1270" s="1" t="str">
        <f>IF(SUM(COUNTIFS(I:I, I1270)) &gt; 1, "DUPLICATE", "UNIQUE")</f>
        <v>UNIQUE</v>
      </c>
      <c r="L1270" s="18">
        <v>1</v>
      </c>
      <c r="M1270" s="28">
        <v>1</v>
      </c>
      <c r="N1270" s="6">
        <v>361</v>
      </c>
      <c r="O1270" s="30">
        <f t="shared" si="118"/>
        <v>1</v>
      </c>
      <c r="P1270" s="30">
        <f t="shared" si="119"/>
        <v>361</v>
      </c>
      <c r="Q1270" s="1">
        <f>COUNTIFS($P:$P, "&gt;" &amp; $P1270) + 1</f>
        <v>4135</v>
      </c>
      <c r="R1270" s="63">
        <f>(COUNTIFS($P:$P, "&gt;" &amp; $P1270) + 1) / (COUNTA($I:$I) - 1)</f>
        <v>0.82699999999999996</v>
      </c>
      <c r="S1270" s="23">
        <f>SUMIFS($P:$P, $Q:$Q, "&lt;" &amp; $Q1270)</f>
        <v>186458347</v>
      </c>
    </row>
    <row r="1271" spans="1:19" x14ac:dyDescent="0.25">
      <c r="A1271" s="1">
        <v>1266</v>
      </c>
      <c r="B1271" s="1" t="s">
        <v>2</v>
      </c>
      <c r="C1271" s="1" t="str">
        <f>IF($B1271 = "Production Item", _xlfn.XLOOKUP($A1271, 'Instrument Table'!$J:$J, 'Instrument Table'!$B:$B, $C1270), IF($B1271 = "Service Item", _xlfn.XLOOKUP($A1271, 'Instrument Table'!$I:$I, 'Instrument Table'!$B:$B, $C1270), _xlfn.XLOOKUP($A1271, 'Instrument Table'!$H:$H, 'Instrument Table'!$B:$B, $C1270)))</f>
        <v>Cello</v>
      </c>
      <c r="D1271" s="1" t="str">
        <f>VLOOKUP($C1271, 'Instrument Table'!$B:$C, 2, FALSE)</f>
        <v>Strings</v>
      </c>
      <c r="E1271" s="1">
        <f t="shared" si="114"/>
        <v>1</v>
      </c>
      <c r="F1271" s="1">
        <f>_xlfn.XLOOKUP($C1271, 'Instrument Table'!$B:$B, 'Instrument Table'!$A:$A, "")</f>
        <v>22</v>
      </c>
      <c r="G1271" s="1" t="str">
        <f>TEXT(IF($B1271 = "Retail Item", IF((ROW($A1271) - 4504 - _xlfn.XMATCH($C1271, $C$4506:$C$5005, 0, 1)) &lt;= VLOOKUP($C1271, 'Instrument Table'!$B:$D, 3, FALSE), ROW($A1271) - 4504 - _xlfn.XMATCH($C1271, $C$4506:$C$5005, 0, 1), 0), 0), "00")</f>
        <v>00</v>
      </c>
      <c r="H1271" s="1" t="str">
        <f t="shared" si="115"/>
        <v>015</v>
      </c>
      <c r="I1271" s="1" t="str">
        <f t="shared" si="116"/>
        <v>12200-015</v>
      </c>
      <c r="J1271" s="1" t="str">
        <f t="shared" si="117"/>
        <v>Cello production item #015</v>
      </c>
      <c r="K1271" s="1" t="str">
        <f>IF(SUM(COUNTIFS(I:I, I1271)) &gt; 1, "DUPLICATE", "UNIQUE")</f>
        <v>UNIQUE</v>
      </c>
      <c r="L1271" s="18">
        <v>32</v>
      </c>
      <c r="M1271" s="28">
        <v>42</v>
      </c>
      <c r="N1271" s="6">
        <v>81</v>
      </c>
      <c r="O1271" s="30">
        <f t="shared" si="118"/>
        <v>1344</v>
      </c>
      <c r="P1271" s="30">
        <f t="shared" si="119"/>
        <v>3402</v>
      </c>
      <c r="Q1271" s="1">
        <f>COUNTIFS($P:$P, "&gt;" &amp; $P1271) + 1</f>
        <v>2799</v>
      </c>
      <c r="R1271" s="63">
        <f>(COUNTIFS($P:$P, "&gt;" &amp; $P1271) + 1) / (COUNTA($I:$I) - 1)</f>
        <v>0.55979999999999996</v>
      </c>
      <c r="S1271" s="23">
        <f>SUMIFS($P:$P, $Q:$Q, "&lt;" &amp; $Q1271)</f>
        <v>184322511</v>
      </c>
    </row>
    <row r="1272" spans="1:19" x14ac:dyDescent="0.25">
      <c r="A1272" s="1">
        <v>1267</v>
      </c>
      <c r="B1272" s="1" t="s">
        <v>2</v>
      </c>
      <c r="C1272" s="1" t="str">
        <f>IF($B1272 = "Production Item", _xlfn.XLOOKUP($A1272, 'Instrument Table'!$J:$J, 'Instrument Table'!$B:$B, $C1271), IF($B1272 = "Service Item", _xlfn.XLOOKUP($A1272, 'Instrument Table'!$I:$I, 'Instrument Table'!$B:$B, $C1271), _xlfn.XLOOKUP($A1272, 'Instrument Table'!$H:$H, 'Instrument Table'!$B:$B, $C1271)))</f>
        <v>Cello</v>
      </c>
      <c r="D1272" s="1" t="str">
        <f>VLOOKUP($C1272, 'Instrument Table'!$B:$C, 2, FALSE)</f>
        <v>Strings</v>
      </c>
      <c r="E1272" s="1">
        <f t="shared" si="114"/>
        <v>1</v>
      </c>
      <c r="F1272" s="1">
        <f>_xlfn.XLOOKUP($C1272, 'Instrument Table'!$B:$B, 'Instrument Table'!$A:$A, "")</f>
        <v>22</v>
      </c>
      <c r="G1272" s="1" t="str">
        <f>TEXT(IF($B1272 = "Retail Item", IF((ROW($A1272) - 4504 - _xlfn.XMATCH($C1272, $C$4506:$C$5005, 0, 1)) &lt;= VLOOKUP($C1272, 'Instrument Table'!$B:$D, 3, FALSE), ROW($A1272) - 4504 - _xlfn.XMATCH($C1272, $C$4506:$C$5005, 0, 1), 0), 0), "00")</f>
        <v>00</v>
      </c>
      <c r="H1272" s="1" t="str">
        <f t="shared" si="115"/>
        <v>016</v>
      </c>
      <c r="I1272" s="1" t="str">
        <f t="shared" si="116"/>
        <v>12200-016</v>
      </c>
      <c r="J1272" s="1" t="str">
        <f t="shared" si="117"/>
        <v>Cello production item #016</v>
      </c>
      <c r="K1272" s="1" t="str">
        <f>IF(SUM(COUNTIFS(I:I, I1272)) &gt; 1, "DUPLICATE", "UNIQUE")</f>
        <v>UNIQUE</v>
      </c>
      <c r="L1272" s="18">
        <v>16</v>
      </c>
      <c r="M1272" s="28">
        <v>8</v>
      </c>
      <c r="N1272" s="6">
        <v>256</v>
      </c>
      <c r="O1272" s="30">
        <f t="shared" si="118"/>
        <v>128</v>
      </c>
      <c r="P1272" s="30">
        <f t="shared" si="119"/>
        <v>2048</v>
      </c>
      <c r="Q1272" s="1">
        <f>COUNTIFS($P:$P, "&gt;" &amp; $P1272) + 1</f>
        <v>3234</v>
      </c>
      <c r="R1272" s="63">
        <f>(COUNTIFS($P:$P, "&gt;" &amp; $P1272) + 1) / (COUNTA($I:$I) - 1)</f>
        <v>0.64680000000000004</v>
      </c>
      <c r="S1272" s="23">
        <f>SUMIFS($P:$P, $Q:$Q, "&lt;" &amp; $Q1272)</f>
        <v>185478555</v>
      </c>
    </row>
    <row r="1273" spans="1:19" x14ac:dyDescent="0.25">
      <c r="A1273" s="1">
        <v>1268</v>
      </c>
      <c r="B1273" s="1" t="s">
        <v>2</v>
      </c>
      <c r="C1273" s="1" t="str">
        <f>IF($B1273 = "Production Item", _xlfn.XLOOKUP($A1273, 'Instrument Table'!$J:$J, 'Instrument Table'!$B:$B, $C1272), IF($B1273 = "Service Item", _xlfn.XLOOKUP($A1273, 'Instrument Table'!$I:$I, 'Instrument Table'!$B:$B, $C1272), _xlfn.XLOOKUP($A1273, 'Instrument Table'!$H:$H, 'Instrument Table'!$B:$B, $C1272)))</f>
        <v>Cello</v>
      </c>
      <c r="D1273" s="1" t="str">
        <f>VLOOKUP($C1273, 'Instrument Table'!$B:$C, 2, FALSE)</f>
        <v>Strings</v>
      </c>
      <c r="E1273" s="1">
        <f t="shared" si="114"/>
        <v>1</v>
      </c>
      <c r="F1273" s="1">
        <f>_xlfn.XLOOKUP($C1273, 'Instrument Table'!$B:$B, 'Instrument Table'!$A:$A, "")</f>
        <v>22</v>
      </c>
      <c r="G1273" s="1" t="str">
        <f>TEXT(IF($B1273 = "Retail Item", IF((ROW($A1273) - 4504 - _xlfn.XMATCH($C1273, $C$4506:$C$5005, 0, 1)) &lt;= VLOOKUP($C1273, 'Instrument Table'!$B:$D, 3, FALSE), ROW($A1273) - 4504 - _xlfn.XMATCH($C1273, $C$4506:$C$5005, 0, 1), 0), 0), "00")</f>
        <v>00</v>
      </c>
      <c r="H1273" s="1" t="str">
        <f t="shared" si="115"/>
        <v>017</v>
      </c>
      <c r="I1273" s="1" t="str">
        <f t="shared" si="116"/>
        <v>12200-017</v>
      </c>
      <c r="J1273" s="1" t="str">
        <f t="shared" si="117"/>
        <v>Cello production item #017</v>
      </c>
      <c r="K1273" s="1" t="str">
        <f>IF(SUM(COUNTIFS(I:I, I1273)) &gt; 1, "DUPLICATE", "UNIQUE")</f>
        <v>UNIQUE</v>
      </c>
      <c r="L1273" s="18">
        <v>1</v>
      </c>
      <c r="M1273" s="28">
        <v>58</v>
      </c>
      <c r="N1273" s="6">
        <v>169</v>
      </c>
      <c r="O1273" s="30">
        <f t="shared" si="118"/>
        <v>58</v>
      </c>
      <c r="P1273" s="30">
        <f t="shared" si="119"/>
        <v>9802</v>
      </c>
      <c r="Q1273" s="1">
        <f>COUNTIFS($P:$P, "&gt;" &amp; $P1273) + 1</f>
        <v>1786</v>
      </c>
      <c r="R1273" s="63">
        <f>(COUNTIFS($P:$P, "&gt;" &amp; $P1273) + 1) / (COUNTA($I:$I) - 1)</f>
        <v>0.35720000000000002</v>
      </c>
      <c r="S1273" s="23">
        <f>SUMIFS($P:$P, $Q:$Q, "&lt;" &amp; $Q1273)</f>
        <v>178104728</v>
      </c>
    </row>
    <row r="1274" spans="1:19" x14ac:dyDescent="0.25">
      <c r="A1274" s="1">
        <v>1269</v>
      </c>
      <c r="B1274" s="1" t="s">
        <v>2</v>
      </c>
      <c r="C1274" s="1" t="str">
        <f>IF($B1274 = "Production Item", _xlfn.XLOOKUP($A1274, 'Instrument Table'!$J:$J, 'Instrument Table'!$B:$B, $C1273), IF($B1274 = "Service Item", _xlfn.XLOOKUP($A1274, 'Instrument Table'!$I:$I, 'Instrument Table'!$B:$B, $C1273), _xlfn.XLOOKUP($A1274, 'Instrument Table'!$H:$H, 'Instrument Table'!$B:$B, $C1273)))</f>
        <v>Cello</v>
      </c>
      <c r="D1274" s="1" t="str">
        <f>VLOOKUP($C1274, 'Instrument Table'!$B:$C, 2, FALSE)</f>
        <v>Strings</v>
      </c>
      <c r="E1274" s="1">
        <f t="shared" si="114"/>
        <v>1</v>
      </c>
      <c r="F1274" s="1">
        <f>_xlfn.XLOOKUP($C1274, 'Instrument Table'!$B:$B, 'Instrument Table'!$A:$A, "")</f>
        <v>22</v>
      </c>
      <c r="G1274" s="1" t="str">
        <f>TEXT(IF($B1274 = "Retail Item", IF((ROW($A1274) - 4504 - _xlfn.XMATCH($C1274, $C$4506:$C$5005, 0, 1)) &lt;= VLOOKUP($C1274, 'Instrument Table'!$B:$D, 3, FALSE), ROW($A1274) - 4504 - _xlfn.XMATCH($C1274, $C$4506:$C$5005, 0, 1), 0), 0), "00")</f>
        <v>00</v>
      </c>
      <c r="H1274" s="1" t="str">
        <f t="shared" si="115"/>
        <v>018</v>
      </c>
      <c r="I1274" s="1" t="str">
        <f t="shared" si="116"/>
        <v>12200-018</v>
      </c>
      <c r="J1274" s="1" t="str">
        <f t="shared" si="117"/>
        <v>Cello production item #018</v>
      </c>
      <c r="K1274" s="1" t="str">
        <f>IF(SUM(COUNTIFS(I:I, I1274)) &gt; 1, "DUPLICATE", "UNIQUE")</f>
        <v>UNIQUE</v>
      </c>
      <c r="L1274" s="18">
        <v>1</v>
      </c>
      <c r="M1274" s="28">
        <v>41</v>
      </c>
      <c r="N1274" s="6">
        <v>225</v>
      </c>
      <c r="O1274" s="30">
        <f t="shared" si="118"/>
        <v>41</v>
      </c>
      <c r="P1274" s="30">
        <f t="shared" si="119"/>
        <v>9225</v>
      </c>
      <c r="Q1274" s="1">
        <f>COUNTIFS($P:$P, "&gt;" &amp; $P1274) + 1</f>
        <v>1848</v>
      </c>
      <c r="R1274" s="63">
        <f>(COUNTIFS($P:$P, "&gt;" &amp; $P1274) + 1) / (COUNTA($I:$I) - 1)</f>
        <v>0.36959999999999998</v>
      </c>
      <c r="S1274" s="23">
        <f>SUMIFS($P:$P, $Q:$Q, "&lt;" &amp; $Q1274)</f>
        <v>178695374</v>
      </c>
    </row>
    <row r="1275" spans="1:19" x14ac:dyDescent="0.25">
      <c r="A1275" s="1">
        <v>1270</v>
      </c>
      <c r="B1275" s="1" t="s">
        <v>2</v>
      </c>
      <c r="C1275" s="1" t="str">
        <f>IF($B1275 = "Production Item", _xlfn.XLOOKUP($A1275, 'Instrument Table'!$J:$J, 'Instrument Table'!$B:$B, $C1274), IF($B1275 = "Service Item", _xlfn.XLOOKUP($A1275, 'Instrument Table'!$I:$I, 'Instrument Table'!$B:$B, $C1274), _xlfn.XLOOKUP($A1275, 'Instrument Table'!$H:$H, 'Instrument Table'!$B:$B, $C1274)))</f>
        <v>Cello</v>
      </c>
      <c r="D1275" s="1" t="str">
        <f>VLOOKUP($C1275, 'Instrument Table'!$B:$C, 2, FALSE)</f>
        <v>Strings</v>
      </c>
      <c r="E1275" s="1">
        <f t="shared" si="114"/>
        <v>1</v>
      </c>
      <c r="F1275" s="1">
        <f>_xlfn.XLOOKUP($C1275, 'Instrument Table'!$B:$B, 'Instrument Table'!$A:$A, "")</f>
        <v>22</v>
      </c>
      <c r="G1275" s="1" t="str">
        <f>TEXT(IF($B1275 = "Retail Item", IF((ROW($A1275) - 4504 - _xlfn.XMATCH($C1275, $C$4506:$C$5005, 0, 1)) &lt;= VLOOKUP($C1275, 'Instrument Table'!$B:$D, 3, FALSE), ROW($A1275) - 4504 - _xlfn.XMATCH($C1275, $C$4506:$C$5005, 0, 1), 0), 0), "00")</f>
        <v>00</v>
      </c>
      <c r="H1275" s="1" t="str">
        <f t="shared" si="115"/>
        <v>019</v>
      </c>
      <c r="I1275" s="1" t="str">
        <f t="shared" si="116"/>
        <v>12200-019</v>
      </c>
      <c r="J1275" s="1" t="str">
        <f t="shared" si="117"/>
        <v>Cello production item #019</v>
      </c>
      <c r="K1275" s="1" t="str">
        <f>IF(SUM(COUNTIFS(I:I, I1275)) &gt; 1, "DUPLICATE", "UNIQUE")</f>
        <v>UNIQUE</v>
      </c>
      <c r="L1275" s="18">
        <v>16</v>
      </c>
      <c r="M1275" s="28">
        <v>11</v>
      </c>
      <c r="N1275" s="6">
        <v>289</v>
      </c>
      <c r="O1275" s="30">
        <f t="shared" si="118"/>
        <v>176</v>
      </c>
      <c r="P1275" s="30">
        <f t="shared" si="119"/>
        <v>3179</v>
      </c>
      <c r="Q1275" s="1">
        <f>COUNTIFS($P:$P, "&gt;" &amp; $P1275) + 1</f>
        <v>2864</v>
      </c>
      <c r="R1275" s="63">
        <f>(COUNTIFS($P:$P, "&gt;" &amp; $P1275) + 1) / (COUNTA($I:$I) - 1)</f>
        <v>0.57279999999999998</v>
      </c>
      <c r="S1275" s="23">
        <f>SUMIFS($P:$P, $Q:$Q, "&lt;" &amp; $Q1275)</f>
        <v>184536611</v>
      </c>
    </row>
    <row r="1276" spans="1:19" x14ac:dyDescent="0.25">
      <c r="A1276" s="1">
        <v>1271</v>
      </c>
      <c r="B1276" s="1" t="s">
        <v>2</v>
      </c>
      <c r="C1276" s="1" t="str">
        <f>IF($B1276 = "Production Item", _xlfn.XLOOKUP($A1276, 'Instrument Table'!$J:$J, 'Instrument Table'!$B:$B, $C1275), IF($B1276 = "Service Item", _xlfn.XLOOKUP($A1276, 'Instrument Table'!$I:$I, 'Instrument Table'!$B:$B, $C1275), _xlfn.XLOOKUP($A1276, 'Instrument Table'!$H:$H, 'Instrument Table'!$B:$B, $C1275)))</f>
        <v>Cello</v>
      </c>
      <c r="D1276" s="1" t="str">
        <f>VLOOKUP($C1276, 'Instrument Table'!$B:$C, 2, FALSE)</f>
        <v>Strings</v>
      </c>
      <c r="E1276" s="1">
        <f t="shared" si="114"/>
        <v>1</v>
      </c>
      <c r="F1276" s="1">
        <f>_xlfn.XLOOKUP($C1276, 'Instrument Table'!$B:$B, 'Instrument Table'!$A:$A, "")</f>
        <v>22</v>
      </c>
      <c r="G1276" s="1" t="str">
        <f>TEXT(IF($B1276 = "Retail Item", IF((ROW($A1276) - 4504 - _xlfn.XMATCH($C1276, $C$4506:$C$5005, 0, 1)) &lt;= VLOOKUP($C1276, 'Instrument Table'!$B:$D, 3, FALSE), ROW($A1276) - 4504 - _xlfn.XMATCH($C1276, $C$4506:$C$5005, 0, 1), 0), 0), "00")</f>
        <v>00</v>
      </c>
      <c r="H1276" s="1" t="str">
        <f t="shared" si="115"/>
        <v>020</v>
      </c>
      <c r="I1276" s="1" t="str">
        <f t="shared" si="116"/>
        <v>12200-020</v>
      </c>
      <c r="J1276" s="1" t="str">
        <f t="shared" si="117"/>
        <v>Cello production item #020</v>
      </c>
      <c r="K1276" s="1" t="str">
        <f>IF(SUM(COUNTIFS(I:I, I1276)) &gt; 1, "DUPLICATE", "UNIQUE")</f>
        <v>UNIQUE</v>
      </c>
      <c r="L1276" s="18">
        <v>1</v>
      </c>
      <c r="M1276" s="28">
        <v>22</v>
      </c>
      <c r="N1276" s="6">
        <v>121</v>
      </c>
      <c r="O1276" s="30">
        <f t="shared" si="118"/>
        <v>22</v>
      </c>
      <c r="P1276" s="30">
        <f t="shared" si="119"/>
        <v>2662</v>
      </c>
      <c r="Q1276" s="1">
        <f>COUNTIFS($P:$P, "&gt;" &amp; $P1276) + 1</f>
        <v>2994</v>
      </c>
      <c r="R1276" s="63">
        <f>(COUNTIFS($P:$P, "&gt;" &amp; $P1276) + 1) / (COUNTA($I:$I) - 1)</f>
        <v>0.5988</v>
      </c>
      <c r="S1276" s="23">
        <f>SUMIFS($P:$P, $Q:$Q, "&lt;" &amp; $Q1276)</f>
        <v>184916158</v>
      </c>
    </row>
    <row r="1277" spans="1:19" x14ac:dyDescent="0.25">
      <c r="A1277" s="1">
        <v>1272</v>
      </c>
      <c r="B1277" s="1" t="s">
        <v>2</v>
      </c>
      <c r="C1277" s="1" t="str">
        <f>IF($B1277 = "Production Item", _xlfn.XLOOKUP($A1277, 'Instrument Table'!$J:$J, 'Instrument Table'!$B:$B, $C1276), IF($B1277 = "Service Item", _xlfn.XLOOKUP($A1277, 'Instrument Table'!$I:$I, 'Instrument Table'!$B:$B, $C1276), _xlfn.XLOOKUP($A1277, 'Instrument Table'!$H:$H, 'Instrument Table'!$B:$B, $C1276)))</f>
        <v>Cello</v>
      </c>
      <c r="D1277" s="1" t="str">
        <f>VLOOKUP($C1277, 'Instrument Table'!$B:$C, 2, FALSE)</f>
        <v>Strings</v>
      </c>
      <c r="E1277" s="1">
        <f t="shared" si="114"/>
        <v>1</v>
      </c>
      <c r="F1277" s="1">
        <f>_xlfn.XLOOKUP($C1277, 'Instrument Table'!$B:$B, 'Instrument Table'!$A:$A, "")</f>
        <v>22</v>
      </c>
      <c r="G1277" s="1" t="str">
        <f>TEXT(IF($B1277 = "Retail Item", IF((ROW($A1277) - 4504 - _xlfn.XMATCH($C1277, $C$4506:$C$5005, 0, 1)) &lt;= VLOOKUP($C1277, 'Instrument Table'!$B:$D, 3, FALSE), ROW($A1277) - 4504 - _xlfn.XMATCH($C1277, $C$4506:$C$5005, 0, 1), 0), 0), "00")</f>
        <v>00</v>
      </c>
      <c r="H1277" s="1" t="str">
        <f t="shared" si="115"/>
        <v>021</v>
      </c>
      <c r="I1277" s="1" t="str">
        <f t="shared" si="116"/>
        <v>12200-021</v>
      </c>
      <c r="J1277" s="1" t="str">
        <f t="shared" si="117"/>
        <v>Cello production item #021</v>
      </c>
      <c r="K1277" s="1" t="str">
        <f>IF(SUM(COUNTIFS(I:I, I1277)) &gt; 1, "DUPLICATE", "UNIQUE")</f>
        <v>UNIQUE</v>
      </c>
      <c r="L1277" s="18">
        <v>2</v>
      </c>
      <c r="M1277" s="28">
        <v>19</v>
      </c>
      <c r="N1277" s="6">
        <v>64</v>
      </c>
      <c r="O1277" s="30">
        <f t="shared" si="118"/>
        <v>38</v>
      </c>
      <c r="P1277" s="30">
        <f t="shared" si="119"/>
        <v>1216</v>
      </c>
      <c r="Q1277" s="1">
        <f>COUNTIFS($P:$P, "&gt;" &amp; $P1277) + 1</f>
        <v>3593</v>
      </c>
      <c r="R1277" s="63">
        <f>(COUNTIFS($P:$P, "&gt;" &amp; $P1277) + 1) / (COUNTA($I:$I) - 1)</f>
        <v>0.71860000000000002</v>
      </c>
      <c r="S1277" s="23">
        <f>SUMIFS($P:$P, $Q:$Q, "&lt;" &amp; $Q1277)</f>
        <v>186061231</v>
      </c>
    </row>
    <row r="1278" spans="1:19" x14ac:dyDescent="0.25">
      <c r="A1278" s="1">
        <v>1273</v>
      </c>
      <c r="B1278" s="1" t="s">
        <v>2</v>
      </c>
      <c r="C1278" s="1" t="str">
        <f>IF($B1278 = "Production Item", _xlfn.XLOOKUP($A1278, 'Instrument Table'!$J:$J, 'Instrument Table'!$B:$B, $C1277), IF($B1278 = "Service Item", _xlfn.XLOOKUP($A1278, 'Instrument Table'!$I:$I, 'Instrument Table'!$B:$B, $C1277), _xlfn.XLOOKUP($A1278, 'Instrument Table'!$H:$H, 'Instrument Table'!$B:$B, $C1277)))</f>
        <v>Cello</v>
      </c>
      <c r="D1278" s="1" t="str">
        <f>VLOOKUP($C1278, 'Instrument Table'!$B:$C, 2, FALSE)</f>
        <v>Strings</v>
      </c>
      <c r="E1278" s="1">
        <f t="shared" si="114"/>
        <v>1</v>
      </c>
      <c r="F1278" s="1">
        <f>_xlfn.XLOOKUP($C1278, 'Instrument Table'!$B:$B, 'Instrument Table'!$A:$A, "")</f>
        <v>22</v>
      </c>
      <c r="G1278" s="1" t="str">
        <f>TEXT(IF($B1278 = "Retail Item", IF((ROW($A1278) - 4504 - _xlfn.XMATCH($C1278, $C$4506:$C$5005, 0, 1)) &lt;= VLOOKUP($C1278, 'Instrument Table'!$B:$D, 3, FALSE), ROW($A1278) - 4504 - _xlfn.XMATCH($C1278, $C$4506:$C$5005, 0, 1), 0), 0), "00")</f>
        <v>00</v>
      </c>
      <c r="H1278" s="1" t="str">
        <f t="shared" si="115"/>
        <v>022</v>
      </c>
      <c r="I1278" s="1" t="str">
        <f t="shared" si="116"/>
        <v>12200-022</v>
      </c>
      <c r="J1278" s="1" t="str">
        <f t="shared" si="117"/>
        <v>Cello production item #022</v>
      </c>
      <c r="K1278" s="1" t="str">
        <f>IF(SUM(COUNTIFS(I:I, I1278)) &gt; 1, "DUPLICATE", "UNIQUE")</f>
        <v>UNIQUE</v>
      </c>
      <c r="L1278" s="18">
        <v>2</v>
      </c>
      <c r="M1278" s="28">
        <v>68</v>
      </c>
      <c r="N1278" s="6">
        <v>400</v>
      </c>
      <c r="O1278" s="30">
        <f t="shared" si="118"/>
        <v>136</v>
      </c>
      <c r="P1278" s="30">
        <f t="shared" si="119"/>
        <v>27200</v>
      </c>
      <c r="Q1278" s="1">
        <f>COUNTIFS($P:$P, "&gt;" &amp; $P1278) + 1</f>
        <v>744</v>
      </c>
      <c r="R1278" s="63">
        <f>(COUNTIFS($P:$P, "&gt;" &amp; $P1278) + 1) / (COUNTA($I:$I) - 1)</f>
        <v>0.14879999999999999</v>
      </c>
      <c r="S1278" s="23">
        <f>SUMIFS($P:$P, $Q:$Q, "&lt;" &amp; $Q1278)</f>
        <v>160342430</v>
      </c>
    </row>
    <row r="1279" spans="1:19" x14ac:dyDescent="0.25">
      <c r="A1279" s="1">
        <v>1274</v>
      </c>
      <c r="B1279" s="1" t="s">
        <v>2</v>
      </c>
      <c r="C1279" s="1" t="str">
        <f>IF($B1279 = "Production Item", _xlfn.XLOOKUP($A1279, 'Instrument Table'!$J:$J, 'Instrument Table'!$B:$B, $C1278), IF($B1279 = "Service Item", _xlfn.XLOOKUP($A1279, 'Instrument Table'!$I:$I, 'Instrument Table'!$B:$B, $C1278), _xlfn.XLOOKUP($A1279, 'Instrument Table'!$H:$H, 'Instrument Table'!$B:$B, $C1278)))</f>
        <v>Cello</v>
      </c>
      <c r="D1279" s="1" t="str">
        <f>VLOOKUP($C1279, 'Instrument Table'!$B:$C, 2, FALSE)</f>
        <v>Strings</v>
      </c>
      <c r="E1279" s="1">
        <f t="shared" si="114"/>
        <v>1</v>
      </c>
      <c r="F1279" s="1">
        <f>_xlfn.XLOOKUP($C1279, 'Instrument Table'!$B:$B, 'Instrument Table'!$A:$A, "")</f>
        <v>22</v>
      </c>
      <c r="G1279" s="1" t="str">
        <f>TEXT(IF($B1279 = "Retail Item", IF((ROW($A1279) - 4504 - _xlfn.XMATCH($C1279, $C$4506:$C$5005, 0, 1)) &lt;= VLOOKUP($C1279, 'Instrument Table'!$B:$D, 3, FALSE), ROW($A1279) - 4504 - _xlfn.XMATCH($C1279, $C$4506:$C$5005, 0, 1), 0), 0), "00")</f>
        <v>00</v>
      </c>
      <c r="H1279" s="1" t="str">
        <f t="shared" si="115"/>
        <v>023</v>
      </c>
      <c r="I1279" s="1" t="str">
        <f t="shared" si="116"/>
        <v>12200-023</v>
      </c>
      <c r="J1279" s="1" t="str">
        <f t="shared" si="117"/>
        <v>Cello production item #023</v>
      </c>
      <c r="K1279" s="1" t="str">
        <f>IF(SUM(COUNTIFS(I:I, I1279)) &gt; 1, "DUPLICATE", "UNIQUE")</f>
        <v>UNIQUE</v>
      </c>
      <c r="L1279" s="18">
        <v>1</v>
      </c>
      <c r="M1279" s="28">
        <v>59</v>
      </c>
      <c r="N1279" s="6">
        <v>25</v>
      </c>
      <c r="O1279" s="30">
        <f t="shared" si="118"/>
        <v>59</v>
      </c>
      <c r="P1279" s="30">
        <f t="shared" si="119"/>
        <v>1475</v>
      </c>
      <c r="Q1279" s="1">
        <f>COUNTIFS($P:$P, "&gt;" &amp; $P1279) + 1</f>
        <v>3469</v>
      </c>
      <c r="R1279" s="63">
        <f>(COUNTIFS($P:$P, "&gt;" &amp; $P1279) + 1) / (COUNTA($I:$I) - 1)</f>
        <v>0.69379999999999997</v>
      </c>
      <c r="S1279" s="23">
        <f>SUMIFS($P:$P, $Q:$Q, "&lt;" &amp; $Q1279)</f>
        <v>185892379</v>
      </c>
    </row>
    <row r="1280" spans="1:19" x14ac:dyDescent="0.25">
      <c r="A1280" s="1">
        <v>1275</v>
      </c>
      <c r="B1280" s="1" t="s">
        <v>2</v>
      </c>
      <c r="C1280" s="1" t="str">
        <f>IF($B1280 = "Production Item", _xlfn.XLOOKUP($A1280, 'Instrument Table'!$J:$J, 'Instrument Table'!$B:$B, $C1279), IF($B1280 = "Service Item", _xlfn.XLOOKUP($A1280, 'Instrument Table'!$I:$I, 'Instrument Table'!$B:$B, $C1279), _xlfn.XLOOKUP($A1280, 'Instrument Table'!$H:$H, 'Instrument Table'!$B:$B, $C1279)))</f>
        <v>Cello</v>
      </c>
      <c r="D1280" s="1" t="str">
        <f>VLOOKUP($C1280, 'Instrument Table'!$B:$C, 2, FALSE)</f>
        <v>Strings</v>
      </c>
      <c r="E1280" s="1">
        <f t="shared" si="114"/>
        <v>1</v>
      </c>
      <c r="F1280" s="1">
        <f>_xlfn.XLOOKUP($C1280, 'Instrument Table'!$B:$B, 'Instrument Table'!$A:$A, "")</f>
        <v>22</v>
      </c>
      <c r="G1280" s="1" t="str">
        <f>TEXT(IF($B1280 = "Retail Item", IF((ROW($A1280) - 4504 - _xlfn.XMATCH($C1280, $C$4506:$C$5005, 0, 1)) &lt;= VLOOKUP($C1280, 'Instrument Table'!$B:$D, 3, FALSE), ROW($A1280) - 4504 - _xlfn.XMATCH($C1280, $C$4506:$C$5005, 0, 1), 0), 0), "00")</f>
        <v>00</v>
      </c>
      <c r="H1280" s="1" t="str">
        <f t="shared" si="115"/>
        <v>024</v>
      </c>
      <c r="I1280" s="1" t="str">
        <f t="shared" si="116"/>
        <v>12200-024</v>
      </c>
      <c r="J1280" s="1" t="str">
        <f t="shared" si="117"/>
        <v>Cello production item #024</v>
      </c>
      <c r="K1280" s="1" t="str">
        <f>IF(SUM(COUNTIFS(I:I, I1280)) &gt; 1, "DUPLICATE", "UNIQUE")</f>
        <v>UNIQUE</v>
      </c>
      <c r="L1280" s="18">
        <v>16</v>
      </c>
      <c r="M1280" s="28">
        <v>31</v>
      </c>
      <c r="N1280" s="6">
        <v>400</v>
      </c>
      <c r="O1280" s="30">
        <f t="shared" si="118"/>
        <v>496</v>
      </c>
      <c r="P1280" s="30">
        <f t="shared" si="119"/>
        <v>12400</v>
      </c>
      <c r="Q1280" s="1">
        <f>COUNTIFS($P:$P, "&gt;" &amp; $P1280) + 1</f>
        <v>1545</v>
      </c>
      <c r="R1280" s="63">
        <f>(COUNTIFS($P:$P, "&gt;" &amp; $P1280) + 1) / (COUNTA($I:$I) - 1)</f>
        <v>0.309</v>
      </c>
      <c r="S1280" s="23">
        <f>SUMIFS($P:$P, $Q:$Q, "&lt;" &amp; $Q1280)</f>
        <v>175413048</v>
      </c>
    </row>
    <row r="1281" spans="1:19" x14ac:dyDescent="0.25">
      <c r="A1281" s="1">
        <v>1276</v>
      </c>
      <c r="B1281" s="1" t="s">
        <v>2</v>
      </c>
      <c r="C1281" s="1" t="str">
        <f>IF($B1281 = "Production Item", _xlfn.XLOOKUP($A1281, 'Instrument Table'!$J:$J, 'Instrument Table'!$B:$B, $C1280), IF($B1281 = "Service Item", _xlfn.XLOOKUP($A1281, 'Instrument Table'!$I:$I, 'Instrument Table'!$B:$B, $C1280), _xlfn.XLOOKUP($A1281, 'Instrument Table'!$H:$H, 'Instrument Table'!$B:$B, $C1280)))</f>
        <v>Cello</v>
      </c>
      <c r="D1281" s="1" t="str">
        <f>VLOOKUP($C1281, 'Instrument Table'!$B:$C, 2, FALSE)</f>
        <v>Strings</v>
      </c>
      <c r="E1281" s="1">
        <f t="shared" si="114"/>
        <v>1</v>
      </c>
      <c r="F1281" s="1">
        <f>_xlfn.XLOOKUP($C1281, 'Instrument Table'!$B:$B, 'Instrument Table'!$A:$A, "")</f>
        <v>22</v>
      </c>
      <c r="G1281" s="1" t="str">
        <f>TEXT(IF($B1281 = "Retail Item", IF((ROW($A1281) - 4504 - _xlfn.XMATCH($C1281, $C$4506:$C$5005, 0, 1)) &lt;= VLOOKUP($C1281, 'Instrument Table'!$B:$D, 3, FALSE), ROW($A1281) - 4504 - _xlfn.XMATCH($C1281, $C$4506:$C$5005, 0, 1), 0), 0), "00")</f>
        <v>00</v>
      </c>
      <c r="H1281" s="1" t="str">
        <f t="shared" si="115"/>
        <v>025</v>
      </c>
      <c r="I1281" s="1" t="str">
        <f t="shared" si="116"/>
        <v>12200-025</v>
      </c>
      <c r="J1281" s="1" t="str">
        <f t="shared" si="117"/>
        <v>Cello production item #025</v>
      </c>
      <c r="K1281" s="1" t="str">
        <f>IF(SUM(COUNTIFS(I:I, I1281)) &gt; 1, "DUPLICATE", "UNIQUE")</f>
        <v>UNIQUE</v>
      </c>
      <c r="L1281" s="18">
        <v>0</v>
      </c>
      <c r="M1281" s="28">
        <v>93</v>
      </c>
      <c r="N1281" s="6">
        <v>16</v>
      </c>
      <c r="O1281" s="30">
        <f t="shared" si="118"/>
        <v>0</v>
      </c>
      <c r="P1281" s="30">
        <f t="shared" si="119"/>
        <v>1488</v>
      </c>
      <c r="Q1281" s="1">
        <f>COUNTIFS($P:$P, "&gt;" &amp; $P1281) + 1</f>
        <v>3463</v>
      </c>
      <c r="R1281" s="63">
        <f>(COUNTIFS($P:$P, "&gt;" &amp; $P1281) + 1) / (COUNTA($I:$I) - 1)</f>
        <v>0.69259999999999999</v>
      </c>
      <c r="S1281" s="23">
        <f>SUMIFS($P:$P, $Q:$Q, "&lt;" &amp; $Q1281)</f>
        <v>185883471</v>
      </c>
    </row>
    <row r="1282" spans="1:19" x14ac:dyDescent="0.25">
      <c r="A1282" s="1">
        <v>1277</v>
      </c>
      <c r="B1282" s="1" t="s">
        <v>2</v>
      </c>
      <c r="C1282" s="1" t="str">
        <f>IF($B1282 = "Production Item", _xlfn.XLOOKUP($A1282, 'Instrument Table'!$J:$J, 'Instrument Table'!$B:$B, $C1281), IF($B1282 = "Service Item", _xlfn.XLOOKUP($A1282, 'Instrument Table'!$I:$I, 'Instrument Table'!$B:$B, $C1281), _xlfn.XLOOKUP($A1282, 'Instrument Table'!$H:$H, 'Instrument Table'!$B:$B, $C1281)))</f>
        <v>Cello</v>
      </c>
      <c r="D1282" s="1" t="str">
        <f>VLOOKUP($C1282, 'Instrument Table'!$B:$C, 2, FALSE)</f>
        <v>Strings</v>
      </c>
      <c r="E1282" s="1">
        <f t="shared" si="114"/>
        <v>1</v>
      </c>
      <c r="F1282" s="1">
        <f>_xlfn.XLOOKUP($C1282, 'Instrument Table'!$B:$B, 'Instrument Table'!$A:$A, "")</f>
        <v>22</v>
      </c>
      <c r="G1282" s="1" t="str">
        <f>TEXT(IF($B1282 = "Retail Item", IF((ROW($A1282) - 4504 - _xlfn.XMATCH($C1282, $C$4506:$C$5005, 0, 1)) &lt;= VLOOKUP($C1282, 'Instrument Table'!$B:$D, 3, FALSE), ROW($A1282) - 4504 - _xlfn.XMATCH($C1282, $C$4506:$C$5005, 0, 1), 0), 0), "00")</f>
        <v>00</v>
      </c>
      <c r="H1282" s="1" t="str">
        <f t="shared" si="115"/>
        <v>026</v>
      </c>
      <c r="I1282" s="1" t="str">
        <f t="shared" si="116"/>
        <v>12200-026</v>
      </c>
      <c r="J1282" s="1" t="str">
        <f t="shared" si="117"/>
        <v>Cello production item #026</v>
      </c>
      <c r="K1282" s="1" t="str">
        <f>IF(SUM(COUNTIFS(I:I, I1282)) &gt; 1, "DUPLICATE", "UNIQUE")</f>
        <v>UNIQUE</v>
      </c>
      <c r="L1282" s="18">
        <v>2</v>
      </c>
      <c r="M1282" s="28">
        <v>65</v>
      </c>
      <c r="N1282" s="6">
        <v>4</v>
      </c>
      <c r="O1282" s="30">
        <f t="shared" si="118"/>
        <v>130</v>
      </c>
      <c r="P1282" s="30">
        <f t="shared" si="119"/>
        <v>260</v>
      </c>
      <c r="Q1282" s="1">
        <f>COUNTIFS($P:$P, "&gt;" &amp; $P1282) + 1</f>
        <v>4256</v>
      </c>
      <c r="R1282" s="63">
        <f>(COUNTIFS($P:$P, "&gt;" &amp; $P1282) + 1) / (COUNTA($I:$I) - 1)</f>
        <v>0.85119999999999996</v>
      </c>
      <c r="S1282" s="23">
        <f>SUMIFS($P:$P, $Q:$Q, "&lt;" &amp; $Q1282)</f>
        <v>186496671</v>
      </c>
    </row>
    <row r="1283" spans="1:19" x14ac:dyDescent="0.25">
      <c r="A1283" s="1">
        <v>1278</v>
      </c>
      <c r="B1283" s="1" t="s">
        <v>2</v>
      </c>
      <c r="C1283" s="1" t="str">
        <f>IF($B1283 = "Production Item", _xlfn.XLOOKUP($A1283, 'Instrument Table'!$J:$J, 'Instrument Table'!$B:$B, $C1282), IF($B1283 = "Service Item", _xlfn.XLOOKUP($A1283, 'Instrument Table'!$I:$I, 'Instrument Table'!$B:$B, $C1282), _xlfn.XLOOKUP($A1283, 'Instrument Table'!$H:$H, 'Instrument Table'!$B:$B, $C1282)))</f>
        <v>Cello</v>
      </c>
      <c r="D1283" s="1" t="str">
        <f>VLOOKUP($C1283, 'Instrument Table'!$B:$C, 2, FALSE)</f>
        <v>Strings</v>
      </c>
      <c r="E1283" s="1">
        <f t="shared" si="114"/>
        <v>1</v>
      </c>
      <c r="F1283" s="1">
        <f>_xlfn.XLOOKUP($C1283, 'Instrument Table'!$B:$B, 'Instrument Table'!$A:$A, "")</f>
        <v>22</v>
      </c>
      <c r="G1283" s="1" t="str">
        <f>TEXT(IF($B1283 = "Retail Item", IF((ROW($A1283) - 4504 - _xlfn.XMATCH($C1283, $C$4506:$C$5005, 0, 1)) &lt;= VLOOKUP($C1283, 'Instrument Table'!$B:$D, 3, FALSE), ROW($A1283) - 4504 - _xlfn.XMATCH($C1283, $C$4506:$C$5005, 0, 1), 0), 0), "00")</f>
        <v>00</v>
      </c>
      <c r="H1283" s="1" t="str">
        <f t="shared" si="115"/>
        <v>027</v>
      </c>
      <c r="I1283" s="1" t="str">
        <f t="shared" si="116"/>
        <v>12200-027</v>
      </c>
      <c r="J1283" s="1" t="str">
        <f t="shared" si="117"/>
        <v>Cello production item #027</v>
      </c>
      <c r="K1283" s="1" t="str">
        <f>IF(SUM(COUNTIFS(I:I, I1283)) &gt; 1, "DUPLICATE", "UNIQUE")</f>
        <v>UNIQUE</v>
      </c>
      <c r="L1283" s="18">
        <v>32</v>
      </c>
      <c r="M1283" s="28">
        <v>75</v>
      </c>
      <c r="N1283" s="6">
        <v>1</v>
      </c>
      <c r="O1283" s="30">
        <f t="shared" si="118"/>
        <v>2400</v>
      </c>
      <c r="P1283" s="30">
        <f t="shared" si="119"/>
        <v>75</v>
      </c>
      <c r="Q1283" s="1">
        <f>COUNTIFS($P:$P, "&gt;" &amp; $P1283) + 1</f>
        <v>4527</v>
      </c>
      <c r="R1283" s="63">
        <f>(COUNTIFS($P:$P, "&gt;" &amp; $P1283) + 1) / (COUNTA($I:$I) - 1)</f>
        <v>0.90539999999999998</v>
      </c>
      <c r="S1283" s="23">
        <f>SUMIFS($P:$P, $Q:$Q, "&lt;" &amp; $Q1283)</f>
        <v>186539016</v>
      </c>
    </row>
    <row r="1284" spans="1:19" x14ac:dyDescent="0.25">
      <c r="A1284" s="1">
        <v>1279</v>
      </c>
      <c r="B1284" s="1" t="s">
        <v>2</v>
      </c>
      <c r="C1284" s="1" t="str">
        <f>IF($B1284 = "Production Item", _xlfn.XLOOKUP($A1284, 'Instrument Table'!$J:$J, 'Instrument Table'!$B:$B, $C1283), IF($B1284 = "Service Item", _xlfn.XLOOKUP($A1284, 'Instrument Table'!$I:$I, 'Instrument Table'!$B:$B, $C1283), _xlfn.XLOOKUP($A1284, 'Instrument Table'!$H:$H, 'Instrument Table'!$B:$B, $C1283)))</f>
        <v>Cello</v>
      </c>
      <c r="D1284" s="1" t="str">
        <f>VLOOKUP($C1284, 'Instrument Table'!$B:$C, 2, FALSE)</f>
        <v>Strings</v>
      </c>
      <c r="E1284" s="1">
        <f t="shared" si="114"/>
        <v>1</v>
      </c>
      <c r="F1284" s="1">
        <f>_xlfn.XLOOKUP($C1284, 'Instrument Table'!$B:$B, 'Instrument Table'!$A:$A, "")</f>
        <v>22</v>
      </c>
      <c r="G1284" s="1" t="str">
        <f>TEXT(IF($B1284 = "Retail Item", IF((ROW($A1284) - 4504 - _xlfn.XMATCH($C1284, $C$4506:$C$5005, 0, 1)) &lt;= VLOOKUP($C1284, 'Instrument Table'!$B:$D, 3, FALSE), ROW($A1284) - 4504 - _xlfn.XMATCH($C1284, $C$4506:$C$5005, 0, 1), 0), 0), "00")</f>
        <v>00</v>
      </c>
      <c r="H1284" s="1" t="str">
        <f t="shared" si="115"/>
        <v>028</v>
      </c>
      <c r="I1284" s="1" t="str">
        <f t="shared" si="116"/>
        <v>12200-028</v>
      </c>
      <c r="J1284" s="1" t="str">
        <f t="shared" si="117"/>
        <v>Cello production item #028</v>
      </c>
      <c r="K1284" s="1" t="str">
        <f>IF(SUM(COUNTIFS(I:I, I1284)) &gt; 1, "DUPLICATE", "UNIQUE")</f>
        <v>UNIQUE</v>
      </c>
      <c r="L1284" s="18">
        <v>0</v>
      </c>
      <c r="M1284" s="28">
        <v>35</v>
      </c>
      <c r="N1284" s="6">
        <v>49</v>
      </c>
      <c r="O1284" s="30">
        <f t="shared" si="118"/>
        <v>0</v>
      </c>
      <c r="P1284" s="30">
        <f t="shared" si="119"/>
        <v>1715</v>
      </c>
      <c r="Q1284" s="1">
        <f>COUNTIFS($P:$P, "&gt;" &amp; $P1284) + 1</f>
        <v>3368</v>
      </c>
      <c r="R1284" s="63">
        <f>(COUNTIFS($P:$P, "&gt;" &amp; $P1284) + 1) / (COUNTA($I:$I) - 1)</f>
        <v>0.67359999999999998</v>
      </c>
      <c r="S1284" s="23">
        <f>SUMIFS($P:$P, $Q:$Q, "&lt;" &amp; $Q1284)</f>
        <v>185731858</v>
      </c>
    </row>
    <row r="1285" spans="1:19" x14ac:dyDescent="0.25">
      <c r="A1285" s="1">
        <v>1280</v>
      </c>
      <c r="B1285" s="1" t="s">
        <v>2</v>
      </c>
      <c r="C1285" s="1" t="str">
        <f>IF($B1285 = "Production Item", _xlfn.XLOOKUP($A1285, 'Instrument Table'!$J:$J, 'Instrument Table'!$B:$B, $C1284), IF($B1285 = "Service Item", _xlfn.XLOOKUP($A1285, 'Instrument Table'!$I:$I, 'Instrument Table'!$B:$B, $C1284), _xlfn.XLOOKUP($A1285, 'Instrument Table'!$H:$H, 'Instrument Table'!$B:$B, $C1284)))</f>
        <v>Cello</v>
      </c>
      <c r="D1285" s="1" t="str">
        <f>VLOOKUP($C1285, 'Instrument Table'!$B:$C, 2, FALSE)</f>
        <v>Strings</v>
      </c>
      <c r="E1285" s="1">
        <f t="shared" si="114"/>
        <v>1</v>
      </c>
      <c r="F1285" s="1">
        <f>_xlfn.XLOOKUP($C1285, 'Instrument Table'!$B:$B, 'Instrument Table'!$A:$A, "")</f>
        <v>22</v>
      </c>
      <c r="G1285" s="1" t="str">
        <f>TEXT(IF($B1285 = "Retail Item", IF((ROW($A1285) - 4504 - _xlfn.XMATCH($C1285, $C$4506:$C$5005, 0, 1)) &lt;= VLOOKUP($C1285, 'Instrument Table'!$B:$D, 3, FALSE), ROW($A1285) - 4504 - _xlfn.XMATCH($C1285, $C$4506:$C$5005, 0, 1), 0), 0), "00")</f>
        <v>00</v>
      </c>
      <c r="H1285" s="1" t="str">
        <f t="shared" si="115"/>
        <v>029</v>
      </c>
      <c r="I1285" s="1" t="str">
        <f t="shared" si="116"/>
        <v>12200-029</v>
      </c>
      <c r="J1285" s="1" t="str">
        <f t="shared" si="117"/>
        <v>Cello production item #029</v>
      </c>
      <c r="K1285" s="1" t="str">
        <f>IF(SUM(COUNTIFS(I:I, I1285)) &gt; 1, "DUPLICATE", "UNIQUE")</f>
        <v>UNIQUE</v>
      </c>
      <c r="L1285" s="18">
        <v>0</v>
      </c>
      <c r="M1285" s="28">
        <v>20</v>
      </c>
      <c r="N1285" s="6">
        <v>0</v>
      </c>
      <c r="O1285" s="30">
        <f t="shared" si="118"/>
        <v>0</v>
      </c>
      <c r="P1285" s="30">
        <f t="shared" si="119"/>
        <v>0</v>
      </c>
      <c r="Q1285" s="1">
        <f>COUNTIFS($P:$P, "&gt;" &amp; $P1285) + 1</f>
        <v>4746</v>
      </c>
      <c r="R1285" s="63">
        <f>(COUNTIFS($P:$P, "&gt;" &amp; $P1285) + 1) / (COUNTA($I:$I) - 1)</f>
        <v>0.94920000000000004</v>
      </c>
      <c r="S1285" s="23">
        <f>SUMIFS($P:$P, $Q:$Q, "&lt;" &amp; $Q1285)</f>
        <v>186547861</v>
      </c>
    </row>
    <row r="1286" spans="1:19" x14ac:dyDescent="0.25">
      <c r="A1286" s="1">
        <v>1281</v>
      </c>
      <c r="B1286" s="1" t="s">
        <v>2</v>
      </c>
      <c r="C1286" s="1" t="str">
        <f>IF($B1286 = "Production Item", _xlfn.XLOOKUP($A1286, 'Instrument Table'!$J:$J, 'Instrument Table'!$B:$B, $C1285), IF($B1286 = "Service Item", _xlfn.XLOOKUP($A1286, 'Instrument Table'!$I:$I, 'Instrument Table'!$B:$B, $C1285), _xlfn.XLOOKUP($A1286, 'Instrument Table'!$H:$H, 'Instrument Table'!$B:$B, $C1285)))</f>
        <v>Cello</v>
      </c>
      <c r="D1286" s="1" t="str">
        <f>VLOOKUP($C1286, 'Instrument Table'!$B:$C, 2, FALSE)</f>
        <v>Strings</v>
      </c>
      <c r="E1286" s="1">
        <f t="shared" si="114"/>
        <v>1</v>
      </c>
      <c r="F1286" s="1">
        <f>_xlfn.XLOOKUP($C1286, 'Instrument Table'!$B:$B, 'Instrument Table'!$A:$A, "")</f>
        <v>22</v>
      </c>
      <c r="G1286" s="1" t="str">
        <f>TEXT(IF($B1286 = "Retail Item", IF((ROW($A1286) - 4504 - _xlfn.XMATCH($C1286, $C$4506:$C$5005, 0, 1)) &lt;= VLOOKUP($C1286, 'Instrument Table'!$B:$D, 3, FALSE), ROW($A1286) - 4504 - _xlfn.XMATCH($C1286, $C$4506:$C$5005, 0, 1), 0), 0), "00")</f>
        <v>00</v>
      </c>
      <c r="H1286" s="1" t="str">
        <f t="shared" si="115"/>
        <v>030</v>
      </c>
      <c r="I1286" s="1" t="str">
        <f t="shared" si="116"/>
        <v>12200-030</v>
      </c>
      <c r="J1286" s="1" t="str">
        <f t="shared" si="117"/>
        <v>Cello production item #030</v>
      </c>
      <c r="K1286" s="1" t="str">
        <f>IF(SUM(COUNTIFS(I:I, I1286)) &gt; 1, "DUPLICATE", "UNIQUE")</f>
        <v>UNIQUE</v>
      </c>
      <c r="L1286" s="18">
        <v>1</v>
      </c>
      <c r="M1286" s="28">
        <v>17</v>
      </c>
      <c r="N1286" s="6">
        <v>196</v>
      </c>
      <c r="O1286" s="30">
        <f t="shared" si="118"/>
        <v>17</v>
      </c>
      <c r="P1286" s="30">
        <f t="shared" si="119"/>
        <v>3332</v>
      </c>
      <c r="Q1286" s="1">
        <f>COUNTIFS($P:$P, "&gt;" &amp; $P1286) + 1</f>
        <v>2815</v>
      </c>
      <c r="R1286" s="63">
        <f>(COUNTIFS($P:$P, "&gt;" &amp; $P1286) + 1) / (COUNTA($I:$I) - 1)</f>
        <v>0.56299999999999994</v>
      </c>
      <c r="S1286" s="23">
        <f>SUMIFS($P:$P, $Q:$Q, "&lt;" &amp; $Q1286)</f>
        <v>184376723</v>
      </c>
    </row>
    <row r="1287" spans="1:19" x14ac:dyDescent="0.25">
      <c r="A1287" s="1">
        <v>1282</v>
      </c>
      <c r="B1287" s="1" t="s">
        <v>2</v>
      </c>
      <c r="C1287" s="1" t="str">
        <f>IF($B1287 = "Production Item", _xlfn.XLOOKUP($A1287, 'Instrument Table'!$J:$J, 'Instrument Table'!$B:$B, $C1286), IF($B1287 = "Service Item", _xlfn.XLOOKUP($A1287, 'Instrument Table'!$I:$I, 'Instrument Table'!$B:$B, $C1286), _xlfn.XLOOKUP($A1287, 'Instrument Table'!$H:$H, 'Instrument Table'!$B:$B, $C1286)))</f>
        <v>Cello</v>
      </c>
      <c r="D1287" s="1" t="str">
        <f>VLOOKUP($C1287, 'Instrument Table'!$B:$C, 2, FALSE)</f>
        <v>Strings</v>
      </c>
      <c r="E1287" s="1">
        <f t="shared" ref="E1287:E1350" si="120">IF($B1287 = "Production Item", 1, IF($B1287 = "Service Item", 2, IF($B1287 = "Retail Item", 3, "")))</f>
        <v>1</v>
      </c>
      <c r="F1287" s="1">
        <f>_xlfn.XLOOKUP($C1287, 'Instrument Table'!$B:$B, 'Instrument Table'!$A:$A, "")</f>
        <v>22</v>
      </c>
      <c r="G1287" s="1" t="str">
        <f>TEXT(IF($B1287 = "Retail Item", IF((ROW($A1287) - 4504 - _xlfn.XMATCH($C1287, $C$4506:$C$5005, 0, 1)) &lt;= VLOOKUP($C1287, 'Instrument Table'!$B:$D, 3, FALSE), ROW($A1287) - 4504 - _xlfn.XMATCH($C1287, $C$4506:$C$5005, 0, 1), 0), 0), "00")</f>
        <v>00</v>
      </c>
      <c r="H1287" s="1" t="str">
        <f t="shared" ref="H1287:H1350" si="121">TEXT(IF($E1287 &amp; $F1287 &amp; $G1287 = $E1286 &amp; $F1286 &amp; $G1286, 1 + H1286, 0), "000")</f>
        <v>031</v>
      </c>
      <c r="I1287" s="1" t="str">
        <f t="shared" ref="I1287:I1350" si="122" xml:space="preserve"> _xlfn.CONCAT($E1287, $F1287, $G1287, "-", H1287)</f>
        <v>12200-031</v>
      </c>
      <c r="J1287" s="1" t="str">
        <f t="shared" ref="J1287:J1350" si="123">LEFT($C1287, 1) &amp; LOWER(RIGHT($C1287, LEN($C1287) - 1)) &amp; IF(AND($G1287 &lt;&gt; "00", $B1287 = "Retail Item"), " model #" &amp; $G1287, " " &amp; LOWER($B1287) &amp; " #" &amp; $H1287)</f>
        <v>Cello production item #031</v>
      </c>
      <c r="K1287" s="1" t="str">
        <f>IF(SUM(COUNTIFS(I:I, I1287)) &gt; 1, "DUPLICATE", "UNIQUE")</f>
        <v>UNIQUE</v>
      </c>
      <c r="L1287" s="18">
        <v>1</v>
      </c>
      <c r="M1287" s="28">
        <v>54</v>
      </c>
      <c r="N1287" s="6">
        <v>9</v>
      </c>
      <c r="O1287" s="30">
        <f t="shared" ref="O1287:O1350" si="124">$L1287 * $M1287</f>
        <v>54</v>
      </c>
      <c r="P1287" s="30">
        <f t="shared" ref="P1287:P1350" si="125">$N1287 * $M1287</f>
        <v>486</v>
      </c>
      <c r="Q1287" s="1">
        <f>COUNTIFS($P:$P, "&gt;" &amp; $P1287) + 1</f>
        <v>4039</v>
      </c>
      <c r="R1287" s="63">
        <f>(COUNTIFS($P:$P, "&gt;" &amp; $P1287) + 1) / (COUNTA($I:$I) - 1)</f>
        <v>0.80779999999999996</v>
      </c>
      <c r="S1287" s="23">
        <f>SUMIFS($P:$P, $Q:$Q, "&lt;" &amp; $Q1287)</f>
        <v>186418092</v>
      </c>
    </row>
    <row r="1288" spans="1:19" x14ac:dyDescent="0.25">
      <c r="A1288" s="1">
        <v>1283</v>
      </c>
      <c r="B1288" s="1" t="s">
        <v>2</v>
      </c>
      <c r="C1288" s="1" t="str">
        <f>IF($B1288 = "Production Item", _xlfn.XLOOKUP($A1288, 'Instrument Table'!$J:$J, 'Instrument Table'!$B:$B, $C1287), IF($B1288 = "Service Item", _xlfn.XLOOKUP($A1288, 'Instrument Table'!$I:$I, 'Instrument Table'!$B:$B, $C1287), _xlfn.XLOOKUP($A1288, 'Instrument Table'!$H:$H, 'Instrument Table'!$B:$B, $C1287)))</f>
        <v>Cello</v>
      </c>
      <c r="D1288" s="1" t="str">
        <f>VLOOKUP($C1288, 'Instrument Table'!$B:$C, 2, FALSE)</f>
        <v>Strings</v>
      </c>
      <c r="E1288" s="1">
        <f t="shared" si="120"/>
        <v>1</v>
      </c>
      <c r="F1288" s="1">
        <f>_xlfn.XLOOKUP($C1288, 'Instrument Table'!$B:$B, 'Instrument Table'!$A:$A, "")</f>
        <v>22</v>
      </c>
      <c r="G1288" s="1" t="str">
        <f>TEXT(IF($B1288 = "Retail Item", IF((ROW($A1288) - 4504 - _xlfn.XMATCH($C1288, $C$4506:$C$5005, 0, 1)) &lt;= VLOOKUP($C1288, 'Instrument Table'!$B:$D, 3, FALSE), ROW($A1288) - 4504 - _xlfn.XMATCH($C1288, $C$4506:$C$5005, 0, 1), 0), 0), "00")</f>
        <v>00</v>
      </c>
      <c r="H1288" s="1" t="str">
        <f t="shared" si="121"/>
        <v>032</v>
      </c>
      <c r="I1288" s="1" t="str">
        <f t="shared" si="122"/>
        <v>12200-032</v>
      </c>
      <c r="J1288" s="1" t="str">
        <f t="shared" si="123"/>
        <v>Cello production item #032</v>
      </c>
      <c r="K1288" s="1" t="str">
        <f>IF(SUM(COUNTIFS(I:I, I1288)) &gt; 1, "DUPLICATE", "UNIQUE")</f>
        <v>UNIQUE</v>
      </c>
      <c r="L1288" s="18">
        <v>4</v>
      </c>
      <c r="M1288" s="28">
        <v>46</v>
      </c>
      <c r="N1288" s="6">
        <v>289</v>
      </c>
      <c r="O1288" s="30">
        <f t="shared" si="124"/>
        <v>184</v>
      </c>
      <c r="P1288" s="30">
        <f t="shared" si="125"/>
        <v>13294</v>
      </c>
      <c r="Q1288" s="1">
        <f>COUNTIFS($P:$P, "&gt;" &amp; $P1288) + 1</f>
        <v>1476</v>
      </c>
      <c r="R1288" s="63">
        <f>(COUNTIFS($P:$P, "&gt;" &amp; $P1288) + 1) / (COUNTA($I:$I) - 1)</f>
        <v>0.29520000000000002</v>
      </c>
      <c r="S1288" s="23">
        <f>SUMIFS($P:$P, $Q:$Q, "&lt;" &amp; $Q1288)</f>
        <v>174523294</v>
      </c>
    </row>
    <row r="1289" spans="1:19" x14ac:dyDescent="0.25">
      <c r="A1289" s="1">
        <v>1284</v>
      </c>
      <c r="B1289" s="1" t="s">
        <v>2</v>
      </c>
      <c r="C1289" s="1" t="str">
        <f>IF($B1289 = "Production Item", _xlfn.XLOOKUP($A1289, 'Instrument Table'!$J:$J, 'Instrument Table'!$B:$B, $C1288), IF($B1289 = "Service Item", _xlfn.XLOOKUP($A1289, 'Instrument Table'!$I:$I, 'Instrument Table'!$B:$B, $C1288), _xlfn.XLOOKUP($A1289, 'Instrument Table'!$H:$H, 'Instrument Table'!$B:$B, $C1288)))</f>
        <v>Cello</v>
      </c>
      <c r="D1289" s="1" t="str">
        <f>VLOOKUP($C1289, 'Instrument Table'!$B:$C, 2, FALSE)</f>
        <v>Strings</v>
      </c>
      <c r="E1289" s="1">
        <f t="shared" si="120"/>
        <v>1</v>
      </c>
      <c r="F1289" s="1">
        <f>_xlfn.XLOOKUP($C1289, 'Instrument Table'!$B:$B, 'Instrument Table'!$A:$A, "")</f>
        <v>22</v>
      </c>
      <c r="G1289" s="1" t="str">
        <f>TEXT(IF($B1289 = "Retail Item", IF((ROW($A1289) - 4504 - _xlfn.XMATCH($C1289, $C$4506:$C$5005, 0, 1)) &lt;= VLOOKUP($C1289, 'Instrument Table'!$B:$D, 3, FALSE), ROW($A1289) - 4504 - _xlfn.XMATCH($C1289, $C$4506:$C$5005, 0, 1), 0), 0), "00")</f>
        <v>00</v>
      </c>
      <c r="H1289" s="1" t="str">
        <f t="shared" si="121"/>
        <v>033</v>
      </c>
      <c r="I1289" s="1" t="str">
        <f t="shared" si="122"/>
        <v>12200-033</v>
      </c>
      <c r="J1289" s="1" t="str">
        <f t="shared" si="123"/>
        <v>Cello production item #033</v>
      </c>
      <c r="K1289" s="1" t="str">
        <f>IF(SUM(COUNTIFS(I:I, I1289)) &gt; 1, "DUPLICATE", "UNIQUE")</f>
        <v>UNIQUE</v>
      </c>
      <c r="L1289" s="18">
        <v>1</v>
      </c>
      <c r="M1289" s="28">
        <v>58</v>
      </c>
      <c r="N1289" s="6">
        <v>100</v>
      </c>
      <c r="O1289" s="30">
        <f t="shared" si="124"/>
        <v>58</v>
      </c>
      <c r="P1289" s="30">
        <f t="shared" si="125"/>
        <v>5800</v>
      </c>
      <c r="Q1289" s="1">
        <f>COUNTIFS($P:$P, "&gt;" &amp; $P1289) + 1</f>
        <v>2299</v>
      </c>
      <c r="R1289" s="63">
        <f>(COUNTIFS($P:$P, "&gt;" &amp; $P1289) + 1) / (COUNTA($I:$I) - 1)</f>
        <v>0.45979999999999999</v>
      </c>
      <c r="S1289" s="23">
        <f>SUMIFS($P:$P, $Q:$Q, "&lt;" &amp; $Q1289)</f>
        <v>182058415</v>
      </c>
    </row>
    <row r="1290" spans="1:19" x14ac:dyDescent="0.25">
      <c r="A1290" s="1">
        <v>1285</v>
      </c>
      <c r="B1290" s="1" t="s">
        <v>2</v>
      </c>
      <c r="C1290" s="1" t="str">
        <f>IF($B1290 = "Production Item", _xlfn.XLOOKUP($A1290, 'Instrument Table'!$J:$J, 'Instrument Table'!$B:$B, $C1289), IF($B1290 = "Service Item", _xlfn.XLOOKUP($A1290, 'Instrument Table'!$I:$I, 'Instrument Table'!$B:$B, $C1289), _xlfn.XLOOKUP($A1290, 'Instrument Table'!$H:$H, 'Instrument Table'!$B:$B, $C1289)))</f>
        <v>Cello</v>
      </c>
      <c r="D1290" s="1" t="str">
        <f>VLOOKUP($C1290, 'Instrument Table'!$B:$C, 2, FALSE)</f>
        <v>Strings</v>
      </c>
      <c r="E1290" s="1">
        <f t="shared" si="120"/>
        <v>1</v>
      </c>
      <c r="F1290" s="1">
        <f>_xlfn.XLOOKUP($C1290, 'Instrument Table'!$B:$B, 'Instrument Table'!$A:$A, "")</f>
        <v>22</v>
      </c>
      <c r="G1290" s="1" t="str">
        <f>TEXT(IF($B1290 = "Retail Item", IF((ROW($A1290) - 4504 - _xlfn.XMATCH($C1290, $C$4506:$C$5005, 0, 1)) &lt;= VLOOKUP($C1290, 'Instrument Table'!$B:$D, 3, FALSE), ROW($A1290) - 4504 - _xlfn.XMATCH($C1290, $C$4506:$C$5005, 0, 1), 0), 0), "00")</f>
        <v>00</v>
      </c>
      <c r="H1290" s="1" t="str">
        <f t="shared" si="121"/>
        <v>034</v>
      </c>
      <c r="I1290" s="1" t="str">
        <f t="shared" si="122"/>
        <v>12200-034</v>
      </c>
      <c r="J1290" s="1" t="str">
        <f t="shared" si="123"/>
        <v>Cello production item #034</v>
      </c>
      <c r="K1290" s="1" t="str">
        <f>IF(SUM(COUNTIFS(I:I, I1290)) &gt; 1, "DUPLICATE", "UNIQUE")</f>
        <v>UNIQUE</v>
      </c>
      <c r="L1290" s="18">
        <v>8</v>
      </c>
      <c r="M1290" s="28">
        <v>53</v>
      </c>
      <c r="N1290" s="6">
        <v>81</v>
      </c>
      <c r="O1290" s="30">
        <f t="shared" si="124"/>
        <v>424</v>
      </c>
      <c r="P1290" s="30">
        <f t="shared" si="125"/>
        <v>4293</v>
      </c>
      <c r="Q1290" s="1">
        <f>COUNTIFS($P:$P, "&gt;" &amp; $P1290) + 1</f>
        <v>2589</v>
      </c>
      <c r="R1290" s="63">
        <f>(COUNTIFS($P:$P, "&gt;" &amp; $P1290) + 1) / (COUNTA($I:$I) - 1)</f>
        <v>0.51780000000000004</v>
      </c>
      <c r="S1290" s="23">
        <f>SUMIFS($P:$P, $Q:$Q, "&lt;" &amp; $Q1290)</f>
        <v>183516338</v>
      </c>
    </row>
    <row r="1291" spans="1:19" x14ac:dyDescent="0.25">
      <c r="A1291" s="1">
        <v>1286</v>
      </c>
      <c r="B1291" s="1" t="s">
        <v>2</v>
      </c>
      <c r="C1291" s="1" t="str">
        <f>IF($B1291 = "Production Item", _xlfn.XLOOKUP($A1291, 'Instrument Table'!$J:$J, 'Instrument Table'!$B:$B, $C1290), IF($B1291 = "Service Item", _xlfn.XLOOKUP($A1291, 'Instrument Table'!$I:$I, 'Instrument Table'!$B:$B, $C1290), _xlfn.XLOOKUP($A1291, 'Instrument Table'!$H:$H, 'Instrument Table'!$B:$B, $C1290)))</f>
        <v>Cello</v>
      </c>
      <c r="D1291" s="1" t="str">
        <f>VLOOKUP($C1291, 'Instrument Table'!$B:$C, 2, FALSE)</f>
        <v>Strings</v>
      </c>
      <c r="E1291" s="1">
        <f t="shared" si="120"/>
        <v>1</v>
      </c>
      <c r="F1291" s="1">
        <f>_xlfn.XLOOKUP($C1291, 'Instrument Table'!$B:$B, 'Instrument Table'!$A:$A, "")</f>
        <v>22</v>
      </c>
      <c r="G1291" s="1" t="str">
        <f>TEXT(IF($B1291 = "Retail Item", IF((ROW($A1291) - 4504 - _xlfn.XMATCH($C1291, $C$4506:$C$5005, 0, 1)) &lt;= VLOOKUP($C1291, 'Instrument Table'!$B:$D, 3, FALSE), ROW($A1291) - 4504 - _xlfn.XMATCH($C1291, $C$4506:$C$5005, 0, 1), 0), 0), "00")</f>
        <v>00</v>
      </c>
      <c r="H1291" s="1" t="str">
        <f t="shared" si="121"/>
        <v>035</v>
      </c>
      <c r="I1291" s="1" t="str">
        <f t="shared" si="122"/>
        <v>12200-035</v>
      </c>
      <c r="J1291" s="1" t="str">
        <f t="shared" si="123"/>
        <v>Cello production item #035</v>
      </c>
      <c r="K1291" s="1" t="str">
        <f>IF(SUM(COUNTIFS(I:I, I1291)) &gt; 1, "DUPLICATE", "UNIQUE")</f>
        <v>UNIQUE</v>
      </c>
      <c r="L1291" s="18">
        <v>4</v>
      </c>
      <c r="M1291" s="28">
        <v>65</v>
      </c>
      <c r="N1291" s="6">
        <v>400</v>
      </c>
      <c r="O1291" s="30">
        <f t="shared" si="124"/>
        <v>260</v>
      </c>
      <c r="P1291" s="30">
        <f t="shared" si="125"/>
        <v>26000</v>
      </c>
      <c r="Q1291" s="1">
        <f>COUNTIFS($P:$P, "&gt;" &amp; $P1291) + 1</f>
        <v>787</v>
      </c>
      <c r="R1291" s="63">
        <f>(COUNTIFS($P:$P, "&gt;" &amp; $P1291) + 1) / (COUNTA($I:$I) - 1)</f>
        <v>0.15740000000000001</v>
      </c>
      <c r="S1291" s="23">
        <f>SUMIFS($P:$P, $Q:$Q, "&lt;" &amp; $Q1291)</f>
        <v>161491013</v>
      </c>
    </row>
    <row r="1292" spans="1:19" x14ac:dyDescent="0.25">
      <c r="A1292" s="1">
        <v>1287</v>
      </c>
      <c r="B1292" s="1" t="s">
        <v>2</v>
      </c>
      <c r="C1292" s="1" t="str">
        <f>IF($B1292 = "Production Item", _xlfn.XLOOKUP($A1292, 'Instrument Table'!$J:$J, 'Instrument Table'!$B:$B, $C1291), IF($B1292 = "Service Item", _xlfn.XLOOKUP($A1292, 'Instrument Table'!$I:$I, 'Instrument Table'!$B:$B, $C1291), _xlfn.XLOOKUP($A1292, 'Instrument Table'!$H:$H, 'Instrument Table'!$B:$B, $C1291)))</f>
        <v>Cello</v>
      </c>
      <c r="D1292" s="1" t="str">
        <f>VLOOKUP($C1292, 'Instrument Table'!$B:$C, 2, FALSE)</f>
        <v>Strings</v>
      </c>
      <c r="E1292" s="1">
        <f t="shared" si="120"/>
        <v>1</v>
      </c>
      <c r="F1292" s="1">
        <f>_xlfn.XLOOKUP($C1292, 'Instrument Table'!$B:$B, 'Instrument Table'!$A:$A, "")</f>
        <v>22</v>
      </c>
      <c r="G1292" s="1" t="str">
        <f>TEXT(IF($B1292 = "Retail Item", IF((ROW($A1292) - 4504 - _xlfn.XMATCH($C1292, $C$4506:$C$5005, 0, 1)) &lt;= VLOOKUP($C1292, 'Instrument Table'!$B:$D, 3, FALSE), ROW($A1292) - 4504 - _xlfn.XMATCH($C1292, $C$4506:$C$5005, 0, 1), 0), 0), "00")</f>
        <v>00</v>
      </c>
      <c r="H1292" s="1" t="str">
        <f t="shared" si="121"/>
        <v>036</v>
      </c>
      <c r="I1292" s="1" t="str">
        <f t="shared" si="122"/>
        <v>12200-036</v>
      </c>
      <c r="J1292" s="1" t="str">
        <f t="shared" si="123"/>
        <v>Cello production item #036</v>
      </c>
      <c r="K1292" s="1" t="str">
        <f>IF(SUM(COUNTIFS(I:I, I1292)) &gt; 1, "DUPLICATE", "UNIQUE")</f>
        <v>UNIQUE</v>
      </c>
      <c r="L1292" s="18">
        <v>0</v>
      </c>
      <c r="M1292" s="28">
        <v>99</v>
      </c>
      <c r="N1292" s="6">
        <v>169</v>
      </c>
      <c r="O1292" s="30">
        <f t="shared" si="124"/>
        <v>0</v>
      </c>
      <c r="P1292" s="30">
        <f t="shared" si="125"/>
        <v>16731</v>
      </c>
      <c r="Q1292" s="1">
        <f>COUNTIFS($P:$P, "&gt;" &amp; $P1292) + 1</f>
        <v>1233</v>
      </c>
      <c r="R1292" s="63">
        <f>(COUNTIFS($P:$P, "&gt;" &amp; $P1292) + 1) / (COUNTA($I:$I) - 1)</f>
        <v>0.24660000000000001</v>
      </c>
      <c r="S1292" s="23">
        <f>SUMIFS($P:$P, $Q:$Q, "&lt;" &amp; $Q1292)</f>
        <v>170887229</v>
      </c>
    </row>
    <row r="1293" spans="1:19" x14ac:dyDescent="0.25">
      <c r="A1293" s="1">
        <v>1288</v>
      </c>
      <c r="B1293" s="1" t="s">
        <v>2</v>
      </c>
      <c r="C1293" s="1" t="str">
        <f>IF($B1293 = "Production Item", _xlfn.XLOOKUP($A1293, 'Instrument Table'!$J:$J, 'Instrument Table'!$B:$B, $C1292), IF($B1293 = "Service Item", _xlfn.XLOOKUP($A1293, 'Instrument Table'!$I:$I, 'Instrument Table'!$B:$B, $C1292), _xlfn.XLOOKUP($A1293, 'Instrument Table'!$H:$H, 'Instrument Table'!$B:$B, $C1292)))</f>
        <v>Cello</v>
      </c>
      <c r="D1293" s="1" t="str">
        <f>VLOOKUP($C1293, 'Instrument Table'!$B:$C, 2, FALSE)</f>
        <v>Strings</v>
      </c>
      <c r="E1293" s="1">
        <f t="shared" si="120"/>
        <v>1</v>
      </c>
      <c r="F1293" s="1">
        <f>_xlfn.XLOOKUP($C1293, 'Instrument Table'!$B:$B, 'Instrument Table'!$A:$A, "")</f>
        <v>22</v>
      </c>
      <c r="G1293" s="1" t="str">
        <f>TEXT(IF($B1293 = "Retail Item", IF((ROW($A1293) - 4504 - _xlfn.XMATCH($C1293, $C$4506:$C$5005, 0, 1)) &lt;= VLOOKUP($C1293, 'Instrument Table'!$B:$D, 3, FALSE), ROW($A1293) - 4504 - _xlfn.XMATCH($C1293, $C$4506:$C$5005, 0, 1), 0), 0), "00")</f>
        <v>00</v>
      </c>
      <c r="H1293" s="1" t="str">
        <f t="shared" si="121"/>
        <v>037</v>
      </c>
      <c r="I1293" s="1" t="str">
        <f t="shared" si="122"/>
        <v>12200-037</v>
      </c>
      <c r="J1293" s="1" t="str">
        <f t="shared" si="123"/>
        <v>Cello production item #037</v>
      </c>
      <c r="K1293" s="1" t="str">
        <f>IF(SUM(COUNTIFS(I:I, I1293)) &gt; 1, "DUPLICATE", "UNIQUE")</f>
        <v>UNIQUE</v>
      </c>
      <c r="L1293" s="18">
        <v>0</v>
      </c>
      <c r="M1293" s="28">
        <v>94</v>
      </c>
      <c r="N1293" s="6">
        <v>0</v>
      </c>
      <c r="O1293" s="30">
        <f t="shared" si="124"/>
        <v>0</v>
      </c>
      <c r="P1293" s="30">
        <f t="shared" si="125"/>
        <v>0</v>
      </c>
      <c r="Q1293" s="1">
        <f>COUNTIFS($P:$P, "&gt;" &amp; $P1293) + 1</f>
        <v>4746</v>
      </c>
      <c r="R1293" s="63">
        <f>(COUNTIFS($P:$P, "&gt;" &amp; $P1293) + 1) / (COUNTA($I:$I) - 1)</f>
        <v>0.94920000000000004</v>
      </c>
      <c r="S1293" s="23">
        <f>SUMIFS($P:$P, $Q:$Q, "&lt;" &amp; $Q1293)</f>
        <v>186547861</v>
      </c>
    </row>
    <row r="1294" spans="1:19" x14ac:dyDescent="0.25">
      <c r="A1294" s="1">
        <v>1289</v>
      </c>
      <c r="B1294" s="1" t="s">
        <v>2</v>
      </c>
      <c r="C1294" s="1" t="str">
        <f>IF($B1294 = "Production Item", _xlfn.XLOOKUP($A1294, 'Instrument Table'!$J:$J, 'Instrument Table'!$B:$B, $C1293), IF($B1294 = "Service Item", _xlfn.XLOOKUP($A1294, 'Instrument Table'!$I:$I, 'Instrument Table'!$B:$B, $C1293), _xlfn.XLOOKUP($A1294, 'Instrument Table'!$H:$H, 'Instrument Table'!$B:$B, $C1293)))</f>
        <v>Cello</v>
      </c>
      <c r="D1294" s="1" t="str">
        <f>VLOOKUP($C1294, 'Instrument Table'!$B:$C, 2, FALSE)</f>
        <v>Strings</v>
      </c>
      <c r="E1294" s="1">
        <f t="shared" si="120"/>
        <v>1</v>
      </c>
      <c r="F1294" s="1">
        <f>_xlfn.XLOOKUP($C1294, 'Instrument Table'!$B:$B, 'Instrument Table'!$A:$A, "")</f>
        <v>22</v>
      </c>
      <c r="G1294" s="1" t="str">
        <f>TEXT(IF($B1294 = "Retail Item", IF((ROW($A1294) - 4504 - _xlfn.XMATCH($C1294, $C$4506:$C$5005, 0, 1)) &lt;= VLOOKUP($C1294, 'Instrument Table'!$B:$D, 3, FALSE), ROW($A1294) - 4504 - _xlfn.XMATCH($C1294, $C$4506:$C$5005, 0, 1), 0), 0), "00")</f>
        <v>00</v>
      </c>
      <c r="H1294" s="1" t="str">
        <f t="shared" si="121"/>
        <v>038</v>
      </c>
      <c r="I1294" s="1" t="str">
        <f t="shared" si="122"/>
        <v>12200-038</v>
      </c>
      <c r="J1294" s="1" t="str">
        <f t="shared" si="123"/>
        <v>Cello production item #038</v>
      </c>
      <c r="K1294" s="1" t="str">
        <f>IF(SUM(COUNTIFS(I:I, I1294)) &gt; 1, "DUPLICATE", "UNIQUE")</f>
        <v>UNIQUE</v>
      </c>
      <c r="L1294" s="18">
        <v>1</v>
      </c>
      <c r="M1294" s="28">
        <v>69</v>
      </c>
      <c r="N1294" s="6">
        <v>324</v>
      </c>
      <c r="O1294" s="30">
        <f t="shared" si="124"/>
        <v>69</v>
      </c>
      <c r="P1294" s="30">
        <f t="shared" si="125"/>
        <v>22356</v>
      </c>
      <c r="Q1294" s="1">
        <f>COUNTIFS($P:$P, "&gt;" &amp; $P1294) + 1</f>
        <v>935</v>
      </c>
      <c r="R1294" s="63">
        <f>(COUNTIFS($P:$P, "&gt;" &amp; $P1294) + 1) / (COUNTA($I:$I) - 1)</f>
        <v>0.187</v>
      </c>
      <c r="S1294" s="23">
        <f>SUMIFS($P:$P, $Q:$Q, "&lt;" &amp; $Q1294)</f>
        <v>165076237</v>
      </c>
    </row>
    <row r="1295" spans="1:19" x14ac:dyDescent="0.25">
      <c r="A1295" s="1">
        <v>1290</v>
      </c>
      <c r="B1295" s="1" t="s">
        <v>2</v>
      </c>
      <c r="C1295" s="1" t="str">
        <f>IF($B1295 = "Production Item", _xlfn.XLOOKUP($A1295, 'Instrument Table'!$J:$J, 'Instrument Table'!$B:$B, $C1294), IF($B1295 = "Service Item", _xlfn.XLOOKUP($A1295, 'Instrument Table'!$I:$I, 'Instrument Table'!$B:$B, $C1294), _xlfn.XLOOKUP($A1295, 'Instrument Table'!$H:$H, 'Instrument Table'!$B:$B, $C1294)))</f>
        <v>Cello</v>
      </c>
      <c r="D1295" s="1" t="str">
        <f>VLOOKUP($C1295, 'Instrument Table'!$B:$C, 2, FALSE)</f>
        <v>Strings</v>
      </c>
      <c r="E1295" s="1">
        <f t="shared" si="120"/>
        <v>1</v>
      </c>
      <c r="F1295" s="1">
        <f>_xlfn.XLOOKUP($C1295, 'Instrument Table'!$B:$B, 'Instrument Table'!$A:$A, "")</f>
        <v>22</v>
      </c>
      <c r="G1295" s="1" t="str">
        <f>TEXT(IF($B1295 = "Retail Item", IF((ROW($A1295) - 4504 - _xlfn.XMATCH($C1295, $C$4506:$C$5005, 0, 1)) &lt;= VLOOKUP($C1295, 'Instrument Table'!$B:$D, 3, FALSE), ROW($A1295) - 4504 - _xlfn.XMATCH($C1295, $C$4506:$C$5005, 0, 1), 0), 0), "00")</f>
        <v>00</v>
      </c>
      <c r="H1295" s="1" t="str">
        <f t="shared" si="121"/>
        <v>039</v>
      </c>
      <c r="I1295" s="1" t="str">
        <f t="shared" si="122"/>
        <v>12200-039</v>
      </c>
      <c r="J1295" s="1" t="str">
        <f t="shared" si="123"/>
        <v>Cello production item #039</v>
      </c>
      <c r="K1295" s="1" t="str">
        <f>IF(SUM(COUNTIFS(I:I, I1295)) &gt; 1, "DUPLICATE", "UNIQUE")</f>
        <v>UNIQUE</v>
      </c>
      <c r="L1295" s="18">
        <v>0</v>
      </c>
      <c r="M1295" s="28">
        <v>35</v>
      </c>
      <c r="N1295" s="6">
        <v>324</v>
      </c>
      <c r="O1295" s="30">
        <f t="shared" si="124"/>
        <v>0</v>
      </c>
      <c r="P1295" s="30">
        <f t="shared" si="125"/>
        <v>11340</v>
      </c>
      <c r="Q1295" s="1">
        <f>COUNTIFS($P:$P, "&gt;" &amp; $P1295) + 1</f>
        <v>1651</v>
      </c>
      <c r="R1295" s="63">
        <f>(COUNTIFS($P:$P, "&gt;" &amp; $P1295) + 1) / (COUNTA($I:$I) - 1)</f>
        <v>0.33019999999999999</v>
      </c>
      <c r="S1295" s="23">
        <f>SUMIFS($P:$P, $Q:$Q, "&lt;" &amp; $Q1295)</f>
        <v>176669521</v>
      </c>
    </row>
    <row r="1296" spans="1:19" x14ac:dyDescent="0.25">
      <c r="A1296" s="1">
        <v>1291</v>
      </c>
      <c r="B1296" s="1" t="s">
        <v>2</v>
      </c>
      <c r="C1296" s="1" t="str">
        <f>IF($B1296 = "Production Item", _xlfn.XLOOKUP($A1296, 'Instrument Table'!$J:$J, 'Instrument Table'!$B:$B, $C1295), IF($B1296 = "Service Item", _xlfn.XLOOKUP($A1296, 'Instrument Table'!$I:$I, 'Instrument Table'!$B:$B, $C1295), _xlfn.XLOOKUP($A1296, 'Instrument Table'!$H:$H, 'Instrument Table'!$B:$B, $C1295)))</f>
        <v>Cello</v>
      </c>
      <c r="D1296" s="1" t="str">
        <f>VLOOKUP($C1296, 'Instrument Table'!$B:$C, 2, FALSE)</f>
        <v>Strings</v>
      </c>
      <c r="E1296" s="1">
        <f t="shared" si="120"/>
        <v>1</v>
      </c>
      <c r="F1296" s="1">
        <f>_xlfn.XLOOKUP($C1296, 'Instrument Table'!$B:$B, 'Instrument Table'!$A:$A, "")</f>
        <v>22</v>
      </c>
      <c r="G1296" s="1" t="str">
        <f>TEXT(IF($B1296 = "Retail Item", IF((ROW($A1296) - 4504 - _xlfn.XMATCH($C1296, $C$4506:$C$5005, 0, 1)) &lt;= VLOOKUP($C1296, 'Instrument Table'!$B:$D, 3, FALSE), ROW($A1296) - 4504 - _xlfn.XMATCH($C1296, $C$4506:$C$5005, 0, 1), 0), 0), "00")</f>
        <v>00</v>
      </c>
      <c r="H1296" s="1" t="str">
        <f t="shared" si="121"/>
        <v>040</v>
      </c>
      <c r="I1296" s="1" t="str">
        <f t="shared" si="122"/>
        <v>12200-040</v>
      </c>
      <c r="J1296" s="1" t="str">
        <f t="shared" si="123"/>
        <v>Cello production item #040</v>
      </c>
      <c r="K1296" s="1" t="str">
        <f>IF(SUM(COUNTIFS(I:I, I1296)) &gt; 1, "DUPLICATE", "UNIQUE")</f>
        <v>UNIQUE</v>
      </c>
      <c r="L1296" s="18">
        <v>1</v>
      </c>
      <c r="M1296" s="28">
        <v>10</v>
      </c>
      <c r="N1296" s="6">
        <v>1</v>
      </c>
      <c r="O1296" s="30">
        <f t="shared" si="124"/>
        <v>10</v>
      </c>
      <c r="P1296" s="30">
        <f t="shared" si="125"/>
        <v>10</v>
      </c>
      <c r="Q1296" s="1">
        <f>COUNTIFS($P:$P, "&gt;" &amp; $P1296) + 1</f>
        <v>4720</v>
      </c>
      <c r="R1296" s="63">
        <f>(COUNTIFS($P:$P, "&gt;" &amp; $P1296) + 1) / (COUNTA($I:$I) - 1)</f>
        <v>0.94399999999999995</v>
      </c>
      <c r="S1296" s="23">
        <f>SUMIFS($P:$P, $Q:$Q, "&lt;" &amp; $Q1296)</f>
        <v>186547693</v>
      </c>
    </row>
    <row r="1297" spans="1:19" x14ac:dyDescent="0.25">
      <c r="A1297" s="1">
        <v>1292</v>
      </c>
      <c r="B1297" s="1" t="s">
        <v>2</v>
      </c>
      <c r="C1297" s="1" t="str">
        <f>IF($B1297 = "Production Item", _xlfn.XLOOKUP($A1297, 'Instrument Table'!$J:$J, 'Instrument Table'!$B:$B, $C1296), IF($B1297 = "Service Item", _xlfn.XLOOKUP($A1297, 'Instrument Table'!$I:$I, 'Instrument Table'!$B:$B, $C1296), _xlfn.XLOOKUP($A1297, 'Instrument Table'!$H:$H, 'Instrument Table'!$B:$B, $C1296)))</f>
        <v>Cello</v>
      </c>
      <c r="D1297" s="1" t="str">
        <f>VLOOKUP($C1297, 'Instrument Table'!$B:$C, 2, FALSE)</f>
        <v>Strings</v>
      </c>
      <c r="E1297" s="1">
        <f t="shared" si="120"/>
        <v>1</v>
      </c>
      <c r="F1297" s="1">
        <f>_xlfn.XLOOKUP($C1297, 'Instrument Table'!$B:$B, 'Instrument Table'!$A:$A, "")</f>
        <v>22</v>
      </c>
      <c r="G1297" s="1" t="str">
        <f>TEXT(IF($B1297 = "Retail Item", IF((ROW($A1297) - 4504 - _xlfn.XMATCH($C1297, $C$4506:$C$5005, 0, 1)) &lt;= VLOOKUP($C1297, 'Instrument Table'!$B:$D, 3, FALSE), ROW($A1297) - 4504 - _xlfn.XMATCH($C1297, $C$4506:$C$5005, 0, 1), 0), 0), "00")</f>
        <v>00</v>
      </c>
      <c r="H1297" s="1" t="str">
        <f t="shared" si="121"/>
        <v>041</v>
      </c>
      <c r="I1297" s="1" t="str">
        <f t="shared" si="122"/>
        <v>12200-041</v>
      </c>
      <c r="J1297" s="1" t="str">
        <f t="shared" si="123"/>
        <v>Cello production item #041</v>
      </c>
      <c r="K1297" s="1" t="str">
        <f>IF(SUM(COUNTIFS(I:I, I1297)) &gt; 1, "DUPLICATE", "UNIQUE")</f>
        <v>UNIQUE</v>
      </c>
      <c r="L1297" s="18">
        <v>4</v>
      </c>
      <c r="M1297" s="28">
        <v>69</v>
      </c>
      <c r="N1297" s="6">
        <v>169</v>
      </c>
      <c r="O1297" s="30">
        <f t="shared" si="124"/>
        <v>276</v>
      </c>
      <c r="P1297" s="30">
        <f t="shared" si="125"/>
        <v>11661</v>
      </c>
      <c r="Q1297" s="1">
        <f>COUNTIFS($P:$P, "&gt;" &amp; $P1297) + 1</f>
        <v>1616</v>
      </c>
      <c r="R1297" s="63">
        <f>(COUNTIFS($P:$P, "&gt;" &amp; $P1297) + 1) / (COUNTA($I:$I) - 1)</f>
        <v>0.32319999999999999</v>
      </c>
      <c r="S1297" s="23">
        <f>SUMIFS($P:$P, $Q:$Q, "&lt;" &amp; $Q1297)</f>
        <v>176265691</v>
      </c>
    </row>
    <row r="1298" spans="1:19" x14ac:dyDescent="0.25">
      <c r="A1298" s="1">
        <v>1293</v>
      </c>
      <c r="B1298" s="1" t="s">
        <v>2</v>
      </c>
      <c r="C1298" s="1" t="str">
        <f>IF($B1298 = "Production Item", _xlfn.XLOOKUP($A1298, 'Instrument Table'!$J:$J, 'Instrument Table'!$B:$B, $C1297), IF($B1298 = "Service Item", _xlfn.XLOOKUP($A1298, 'Instrument Table'!$I:$I, 'Instrument Table'!$B:$B, $C1297), _xlfn.XLOOKUP($A1298, 'Instrument Table'!$H:$H, 'Instrument Table'!$B:$B, $C1297)))</f>
        <v>Cello</v>
      </c>
      <c r="D1298" s="1" t="str">
        <f>VLOOKUP($C1298, 'Instrument Table'!$B:$C, 2, FALSE)</f>
        <v>Strings</v>
      </c>
      <c r="E1298" s="1">
        <f t="shared" si="120"/>
        <v>1</v>
      </c>
      <c r="F1298" s="1">
        <f>_xlfn.XLOOKUP($C1298, 'Instrument Table'!$B:$B, 'Instrument Table'!$A:$A, "")</f>
        <v>22</v>
      </c>
      <c r="G1298" s="1" t="str">
        <f>TEXT(IF($B1298 = "Retail Item", IF((ROW($A1298) - 4504 - _xlfn.XMATCH($C1298, $C$4506:$C$5005, 0, 1)) &lt;= VLOOKUP($C1298, 'Instrument Table'!$B:$D, 3, FALSE), ROW($A1298) - 4504 - _xlfn.XMATCH($C1298, $C$4506:$C$5005, 0, 1), 0), 0), "00")</f>
        <v>00</v>
      </c>
      <c r="H1298" s="1" t="str">
        <f t="shared" si="121"/>
        <v>042</v>
      </c>
      <c r="I1298" s="1" t="str">
        <f t="shared" si="122"/>
        <v>12200-042</v>
      </c>
      <c r="J1298" s="1" t="str">
        <f t="shared" si="123"/>
        <v>Cello production item #042</v>
      </c>
      <c r="K1298" s="1" t="str">
        <f>IF(SUM(COUNTIFS(I:I, I1298)) &gt; 1, "DUPLICATE", "UNIQUE")</f>
        <v>UNIQUE</v>
      </c>
      <c r="L1298" s="18">
        <v>1</v>
      </c>
      <c r="M1298" s="28">
        <v>10</v>
      </c>
      <c r="N1298" s="6">
        <v>400</v>
      </c>
      <c r="O1298" s="30">
        <f t="shared" si="124"/>
        <v>10</v>
      </c>
      <c r="P1298" s="30">
        <f t="shared" si="125"/>
        <v>4000</v>
      </c>
      <c r="Q1298" s="1">
        <f>COUNTIFS($P:$P, "&gt;" &amp; $P1298) + 1</f>
        <v>2654</v>
      </c>
      <c r="R1298" s="63">
        <f>(COUNTIFS($P:$P, "&gt;" &amp; $P1298) + 1) / (COUNTA($I:$I) - 1)</f>
        <v>0.53080000000000005</v>
      </c>
      <c r="S1298" s="23">
        <f>SUMIFS($P:$P, $Q:$Q, "&lt;" &amp; $Q1298)</f>
        <v>183787076</v>
      </c>
    </row>
    <row r="1299" spans="1:19" x14ac:dyDescent="0.25">
      <c r="A1299" s="1">
        <v>1294</v>
      </c>
      <c r="B1299" s="1" t="s">
        <v>2</v>
      </c>
      <c r="C1299" s="1" t="str">
        <f>IF($B1299 = "Production Item", _xlfn.XLOOKUP($A1299, 'Instrument Table'!$J:$J, 'Instrument Table'!$B:$B, $C1298), IF($B1299 = "Service Item", _xlfn.XLOOKUP($A1299, 'Instrument Table'!$I:$I, 'Instrument Table'!$B:$B, $C1298), _xlfn.XLOOKUP($A1299, 'Instrument Table'!$H:$H, 'Instrument Table'!$B:$B, $C1298)))</f>
        <v>Cello</v>
      </c>
      <c r="D1299" s="1" t="str">
        <f>VLOOKUP($C1299, 'Instrument Table'!$B:$C, 2, FALSE)</f>
        <v>Strings</v>
      </c>
      <c r="E1299" s="1">
        <f t="shared" si="120"/>
        <v>1</v>
      </c>
      <c r="F1299" s="1">
        <f>_xlfn.XLOOKUP($C1299, 'Instrument Table'!$B:$B, 'Instrument Table'!$A:$A, "")</f>
        <v>22</v>
      </c>
      <c r="G1299" s="1" t="str">
        <f>TEXT(IF($B1299 = "Retail Item", IF((ROW($A1299) - 4504 - _xlfn.XMATCH($C1299, $C$4506:$C$5005, 0, 1)) &lt;= VLOOKUP($C1299, 'Instrument Table'!$B:$D, 3, FALSE), ROW($A1299) - 4504 - _xlfn.XMATCH($C1299, $C$4506:$C$5005, 0, 1), 0), 0), "00")</f>
        <v>00</v>
      </c>
      <c r="H1299" s="1" t="str">
        <f t="shared" si="121"/>
        <v>043</v>
      </c>
      <c r="I1299" s="1" t="str">
        <f t="shared" si="122"/>
        <v>12200-043</v>
      </c>
      <c r="J1299" s="1" t="str">
        <f t="shared" si="123"/>
        <v>Cello production item #043</v>
      </c>
      <c r="K1299" s="1" t="str">
        <f>IF(SUM(COUNTIFS(I:I, I1299)) &gt; 1, "DUPLICATE", "UNIQUE")</f>
        <v>UNIQUE</v>
      </c>
      <c r="L1299" s="18">
        <v>1</v>
      </c>
      <c r="M1299" s="28">
        <v>20</v>
      </c>
      <c r="N1299" s="6">
        <v>9</v>
      </c>
      <c r="O1299" s="30">
        <f t="shared" si="124"/>
        <v>20</v>
      </c>
      <c r="P1299" s="30">
        <f t="shared" si="125"/>
        <v>180</v>
      </c>
      <c r="Q1299" s="1">
        <f>COUNTIFS($P:$P, "&gt;" &amp; $P1299) + 1</f>
        <v>4352</v>
      </c>
      <c r="R1299" s="63">
        <f>(COUNTIFS($P:$P, "&gt;" &amp; $P1299) + 1) / (COUNTA($I:$I) - 1)</f>
        <v>0.87039999999999995</v>
      </c>
      <c r="S1299" s="23">
        <f>SUMIFS($P:$P, $Q:$Q, "&lt;" &amp; $Q1299)</f>
        <v>186517952</v>
      </c>
    </row>
    <row r="1300" spans="1:19" x14ac:dyDescent="0.25">
      <c r="A1300" s="1">
        <v>1295</v>
      </c>
      <c r="B1300" s="1" t="s">
        <v>2</v>
      </c>
      <c r="C1300" s="1" t="str">
        <f>IF($B1300 = "Production Item", _xlfn.XLOOKUP($A1300, 'Instrument Table'!$J:$J, 'Instrument Table'!$B:$B, $C1299), IF($B1300 = "Service Item", _xlfn.XLOOKUP($A1300, 'Instrument Table'!$I:$I, 'Instrument Table'!$B:$B, $C1299), _xlfn.XLOOKUP($A1300, 'Instrument Table'!$H:$H, 'Instrument Table'!$B:$B, $C1299)))</f>
        <v>Cello</v>
      </c>
      <c r="D1300" s="1" t="str">
        <f>VLOOKUP($C1300, 'Instrument Table'!$B:$C, 2, FALSE)</f>
        <v>Strings</v>
      </c>
      <c r="E1300" s="1">
        <f t="shared" si="120"/>
        <v>1</v>
      </c>
      <c r="F1300" s="1">
        <f>_xlfn.XLOOKUP($C1300, 'Instrument Table'!$B:$B, 'Instrument Table'!$A:$A, "")</f>
        <v>22</v>
      </c>
      <c r="G1300" s="1" t="str">
        <f>TEXT(IF($B1300 = "Retail Item", IF((ROW($A1300) - 4504 - _xlfn.XMATCH($C1300, $C$4506:$C$5005, 0, 1)) &lt;= VLOOKUP($C1300, 'Instrument Table'!$B:$D, 3, FALSE), ROW($A1300) - 4504 - _xlfn.XMATCH($C1300, $C$4506:$C$5005, 0, 1), 0), 0), "00")</f>
        <v>00</v>
      </c>
      <c r="H1300" s="1" t="str">
        <f t="shared" si="121"/>
        <v>044</v>
      </c>
      <c r="I1300" s="1" t="str">
        <f t="shared" si="122"/>
        <v>12200-044</v>
      </c>
      <c r="J1300" s="1" t="str">
        <f t="shared" si="123"/>
        <v>Cello production item #044</v>
      </c>
      <c r="K1300" s="1" t="str">
        <f>IF(SUM(COUNTIFS(I:I, I1300)) &gt; 1, "DUPLICATE", "UNIQUE")</f>
        <v>UNIQUE</v>
      </c>
      <c r="L1300" s="18">
        <v>0</v>
      </c>
      <c r="M1300" s="28">
        <v>51</v>
      </c>
      <c r="N1300" s="6">
        <v>289</v>
      </c>
      <c r="O1300" s="30">
        <f t="shared" si="124"/>
        <v>0</v>
      </c>
      <c r="P1300" s="30">
        <f t="shared" si="125"/>
        <v>14739</v>
      </c>
      <c r="Q1300" s="1">
        <f>COUNTIFS($P:$P, "&gt;" &amp; $P1300) + 1</f>
        <v>1365</v>
      </c>
      <c r="R1300" s="63">
        <f>(COUNTIFS($P:$P, "&gt;" &amp; $P1300) + 1) / (COUNTA($I:$I) - 1)</f>
        <v>0.27300000000000002</v>
      </c>
      <c r="S1300" s="23">
        <f>SUMIFS($P:$P, $Q:$Q, "&lt;" &amp; $Q1300)</f>
        <v>172966555</v>
      </c>
    </row>
    <row r="1301" spans="1:19" x14ac:dyDescent="0.25">
      <c r="A1301" s="1">
        <v>1296</v>
      </c>
      <c r="B1301" s="1" t="s">
        <v>2</v>
      </c>
      <c r="C1301" s="1" t="str">
        <f>IF($B1301 = "Production Item", _xlfn.XLOOKUP($A1301, 'Instrument Table'!$J:$J, 'Instrument Table'!$B:$B, $C1300), IF($B1301 = "Service Item", _xlfn.XLOOKUP($A1301, 'Instrument Table'!$I:$I, 'Instrument Table'!$B:$B, $C1300), _xlfn.XLOOKUP($A1301, 'Instrument Table'!$H:$H, 'Instrument Table'!$B:$B, $C1300)))</f>
        <v>Cello</v>
      </c>
      <c r="D1301" s="1" t="str">
        <f>VLOOKUP($C1301, 'Instrument Table'!$B:$C, 2, FALSE)</f>
        <v>Strings</v>
      </c>
      <c r="E1301" s="1">
        <f t="shared" si="120"/>
        <v>1</v>
      </c>
      <c r="F1301" s="1">
        <f>_xlfn.XLOOKUP($C1301, 'Instrument Table'!$B:$B, 'Instrument Table'!$A:$A, "")</f>
        <v>22</v>
      </c>
      <c r="G1301" s="1" t="str">
        <f>TEXT(IF($B1301 = "Retail Item", IF((ROW($A1301) - 4504 - _xlfn.XMATCH($C1301, $C$4506:$C$5005, 0, 1)) &lt;= VLOOKUP($C1301, 'Instrument Table'!$B:$D, 3, FALSE), ROW($A1301) - 4504 - _xlfn.XMATCH($C1301, $C$4506:$C$5005, 0, 1), 0), 0), "00")</f>
        <v>00</v>
      </c>
      <c r="H1301" s="1" t="str">
        <f t="shared" si="121"/>
        <v>045</v>
      </c>
      <c r="I1301" s="1" t="str">
        <f t="shared" si="122"/>
        <v>12200-045</v>
      </c>
      <c r="J1301" s="1" t="str">
        <f t="shared" si="123"/>
        <v>Cello production item #045</v>
      </c>
      <c r="K1301" s="1" t="str">
        <f>IF(SUM(COUNTIFS(I:I, I1301)) &gt; 1, "DUPLICATE", "UNIQUE")</f>
        <v>UNIQUE</v>
      </c>
      <c r="L1301" s="18">
        <v>0</v>
      </c>
      <c r="M1301" s="28">
        <v>98</v>
      </c>
      <c r="N1301" s="6">
        <v>36</v>
      </c>
      <c r="O1301" s="30">
        <f t="shared" si="124"/>
        <v>0</v>
      </c>
      <c r="P1301" s="30">
        <f t="shared" si="125"/>
        <v>3528</v>
      </c>
      <c r="Q1301" s="1">
        <f>COUNTIFS($P:$P, "&gt;" &amp; $P1301) + 1</f>
        <v>2761</v>
      </c>
      <c r="R1301" s="63">
        <f>(COUNTIFS($P:$P, "&gt;" &amp; $P1301) + 1) / (COUNTA($I:$I) - 1)</f>
        <v>0.55220000000000002</v>
      </c>
      <c r="S1301" s="23">
        <f>SUMIFS($P:$P, $Q:$Q, "&lt;" &amp; $Q1301)</f>
        <v>184189975</v>
      </c>
    </row>
    <row r="1302" spans="1:19" x14ac:dyDescent="0.25">
      <c r="A1302" s="1">
        <v>1297</v>
      </c>
      <c r="B1302" s="1" t="s">
        <v>2</v>
      </c>
      <c r="C1302" s="1" t="str">
        <f>IF($B1302 = "Production Item", _xlfn.XLOOKUP($A1302, 'Instrument Table'!$J:$J, 'Instrument Table'!$B:$B, $C1301), IF($B1302 = "Service Item", _xlfn.XLOOKUP($A1302, 'Instrument Table'!$I:$I, 'Instrument Table'!$B:$B, $C1301), _xlfn.XLOOKUP($A1302, 'Instrument Table'!$H:$H, 'Instrument Table'!$B:$B, $C1301)))</f>
        <v>Cello</v>
      </c>
      <c r="D1302" s="1" t="str">
        <f>VLOOKUP($C1302, 'Instrument Table'!$B:$C, 2, FALSE)</f>
        <v>Strings</v>
      </c>
      <c r="E1302" s="1">
        <f t="shared" si="120"/>
        <v>1</v>
      </c>
      <c r="F1302" s="1">
        <f>_xlfn.XLOOKUP($C1302, 'Instrument Table'!$B:$B, 'Instrument Table'!$A:$A, "")</f>
        <v>22</v>
      </c>
      <c r="G1302" s="1" t="str">
        <f>TEXT(IF($B1302 = "Retail Item", IF((ROW($A1302) - 4504 - _xlfn.XMATCH($C1302, $C$4506:$C$5005, 0, 1)) &lt;= VLOOKUP($C1302, 'Instrument Table'!$B:$D, 3, FALSE), ROW($A1302) - 4504 - _xlfn.XMATCH($C1302, $C$4506:$C$5005, 0, 1), 0), 0), "00")</f>
        <v>00</v>
      </c>
      <c r="H1302" s="1" t="str">
        <f t="shared" si="121"/>
        <v>046</v>
      </c>
      <c r="I1302" s="1" t="str">
        <f t="shared" si="122"/>
        <v>12200-046</v>
      </c>
      <c r="J1302" s="1" t="str">
        <f t="shared" si="123"/>
        <v>Cello production item #046</v>
      </c>
      <c r="K1302" s="1" t="str">
        <f>IF(SUM(COUNTIFS(I:I, I1302)) &gt; 1, "DUPLICATE", "UNIQUE")</f>
        <v>UNIQUE</v>
      </c>
      <c r="L1302" s="18">
        <v>1</v>
      </c>
      <c r="M1302" s="28">
        <v>64</v>
      </c>
      <c r="N1302" s="6">
        <v>25</v>
      </c>
      <c r="O1302" s="30">
        <f t="shared" si="124"/>
        <v>64</v>
      </c>
      <c r="P1302" s="30">
        <f t="shared" si="125"/>
        <v>1600</v>
      </c>
      <c r="Q1302" s="1">
        <f>COUNTIFS($P:$P, "&gt;" &amp; $P1302) + 1</f>
        <v>3401</v>
      </c>
      <c r="R1302" s="63">
        <f>(COUNTIFS($P:$P, "&gt;" &amp; $P1302) + 1) / (COUNTA($I:$I) - 1)</f>
        <v>0.68020000000000003</v>
      </c>
      <c r="S1302" s="23">
        <f>SUMIFS($P:$P, $Q:$Q, "&lt;" &amp; $Q1302)</f>
        <v>185786623</v>
      </c>
    </row>
    <row r="1303" spans="1:19" x14ac:dyDescent="0.25">
      <c r="A1303" s="1">
        <v>1298</v>
      </c>
      <c r="B1303" s="1" t="s">
        <v>2</v>
      </c>
      <c r="C1303" s="1" t="str">
        <f>IF($B1303 = "Production Item", _xlfn.XLOOKUP($A1303, 'Instrument Table'!$J:$J, 'Instrument Table'!$B:$B, $C1302), IF($B1303 = "Service Item", _xlfn.XLOOKUP($A1303, 'Instrument Table'!$I:$I, 'Instrument Table'!$B:$B, $C1302), _xlfn.XLOOKUP($A1303, 'Instrument Table'!$H:$H, 'Instrument Table'!$B:$B, $C1302)))</f>
        <v>Cello</v>
      </c>
      <c r="D1303" s="1" t="str">
        <f>VLOOKUP($C1303, 'Instrument Table'!$B:$C, 2, FALSE)</f>
        <v>Strings</v>
      </c>
      <c r="E1303" s="1">
        <f t="shared" si="120"/>
        <v>1</v>
      </c>
      <c r="F1303" s="1">
        <f>_xlfn.XLOOKUP($C1303, 'Instrument Table'!$B:$B, 'Instrument Table'!$A:$A, "")</f>
        <v>22</v>
      </c>
      <c r="G1303" s="1" t="str">
        <f>TEXT(IF($B1303 = "Retail Item", IF((ROW($A1303) - 4504 - _xlfn.XMATCH($C1303, $C$4506:$C$5005, 0, 1)) &lt;= VLOOKUP($C1303, 'Instrument Table'!$B:$D, 3, FALSE), ROW($A1303) - 4504 - _xlfn.XMATCH($C1303, $C$4506:$C$5005, 0, 1), 0), 0), "00")</f>
        <v>00</v>
      </c>
      <c r="H1303" s="1" t="str">
        <f t="shared" si="121"/>
        <v>047</v>
      </c>
      <c r="I1303" s="1" t="str">
        <f t="shared" si="122"/>
        <v>12200-047</v>
      </c>
      <c r="J1303" s="1" t="str">
        <f t="shared" si="123"/>
        <v>Cello production item #047</v>
      </c>
      <c r="K1303" s="1" t="str">
        <f>IF(SUM(COUNTIFS(I:I, I1303)) &gt; 1, "DUPLICATE", "UNIQUE")</f>
        <v>UNIQUE</v>
      </c>
      <c r="L1303" s="18">
        <v>16</v>
      </c>
      <c r="M1303" s="28">
        <v>65</v>
      </c>
      <c r="N1303" s="6">
        <v>64</v>
      </c>
      <c r="O1303" s="30">
        <f t="shared" si="124"/>
        <v>1040</v>
      </c>
      <c r="P1303" s="30">
        <f t="shared" si="125"/>
        <v>4160</v>
      </c>
      <c r="Q1303" s="1">
        <f>COUNTIFS($P:$P, "&gt;" &amp; $P1303) + 1</f>
        <v>2622</v>
      </c>
      <c r="R1303" s="63">
        <f>(COUNTIFS($P:$P, "&gt;" &amp; $P1303) + 1) / (COUNTA($I:$I) - 1)</f>
        <v>0.52439999999999998</v>
      </c>
      <c r="S1303" s="23">
        <f>SUMIFS($P:$P, $Q:$Q, "&lt;" &amp; $Q1303)</f>
        <v>183656170</v>
      </c>
    </row>
    <row r="1304" spans="1:19" x14ac:dyDescent="0.25">
      <c r="A1304" s="1">
        <v>1299</v>
      </c>
      <c r="B1304" s="1" t="s">
        <v>2</v>
      </c>
      <c r="C1304" s="1" t="str">
        <f>IF($B1304 = "Production Item", _xlfn.XLOOKUP($A1304, 'Instrument Table'!$J:$J, 'Instrument Table'!$B:$B, $C1303), IF($B1304 = "Service Item", _xlfn.XLOOKUP($A1304, 'Instrument Table'!$I:$I, 'Instrument Table'!$B:$B, $C1303), _xlfn.XLOOKUP($A1304, 'Instrument Table'!$H:$H, 'Instrument Table'!$B:$B, $C1303)))</f>
        <v>Cello</v>
      </c>
      <c r="D1304" s="1" t="str">
        <f>VLOOKUP($C1304, 'Instrument Table'!$B:$C, 2, FALSE)</f>
        <v>Strings</v>
      </c>
      <c r="E1304" s="1">
        <f t="shared" si="120"/>
        <v>1</v>
      </c>
      <c r="F1304" s="1">
        <f>_xlfn.XLOOKUP($C1304, 'Instrument Table'!$B:$B, 'Instrument Table'!$A:$A, "")</f>
        <v>22</v>
      </c>
      <c r="G1304" s="1" t="str">
        <f>TEXT(IF($B1304 = "Retail Item", IF((ROW($A1304) - 4504 - _xlfn.XMATCH($C1304, $C$4506:$C$5005, 0, 1)) &lt;= VLOOKUP($C1304, 'Instrument Table'!$B:$D, 3, FALSE), ROW($A1304) - 4504 - _xlfn.XMATCH($C1304, $C$4506:$C$5005, 0, 1), 0), 0), "00")</f>
        <v>00</v>
      </c>
      <c r="H1304" s="1" t="str">
        <f t="shared" si="121"/>
        <v>048</v>
      </c>
      <c r="I1304" s="1" t="str">
        <f t="shared" si="122"/>
        <v>12200-048</v>
      </c>
      <c r="J1304" s="1" t="str">
        <f t="shared" si="123"/>
        <v>Cello production item #048</v>
      </c>
      <c r="K1304" s="1" t="str">
        <f>IF(SUM(COUNTIFS(I:I, I1304)) &gt; 1, "DUPLICATE", "UNIQUE")</f>
        <v>UNIQUE</v>
      </c>
      <c r="L1304" s="18">
        <v>2</v>
      </c>
      <c r="M1304" s="28">
        <v>45</v>
      </c>
      <c r="N1304" s="6">
        <v>169</v>
      </c>
      <c r="O1304" s="30">
        <f t="shared" si="124"/>
        <v>90</v>
      </c>
      <c r="P1304" s="30">
        <f t="shared" si="125"/>
        <v>7605</v>
      </c>
      <c r="Q1304" s="1">
        <f>COUNTIFS($P:$P, "&gt;" &amp; $P1304) + 1</f>
        <v>2060</v>
      </c>
      <c r="R1304" s="63">
        <f>(COUNTIFS($P:$P, "&gt;" &amp; $P1304) + 1) / (COUNTA($I:$I) - 1)</f>
        <v>0.41199999999999998</v>
      </c>
      <c r="S1304" s="23">
        <f>SUMIFS($P:$P, $Q:$Q, "&lt;" &amp; $Q1304)</f>
        <v>180461301</v>
      </c>
    </row>
    <row r="1305" spans="1:19" x14ac:dyDescent="0.25">
      <c r="A1305" s="1">
        <v>1300</v>
      </c>
      <c r="B1305" s="1" t="s">
        <v>2</v>
      </c>
      <c r="C1305" s="1" t="str">
        <f>IF($B1305 = "Production Item", _xlfn.XLOOKUP($A1305, 'Instrument Table'!$J:$J, 'Instrument Table'!$B:$B, $C1304), IF($B1305 = "Service Item", _xlfn.XLOOKUP($A1305, 'Instrument Table'!$I:$I, 'Instrument Table'!$B:$B, $C1304), _xlfn.XLOOKUP($A1305, 'Instrument Table'!$H:$H, 'Instrument Table'!$B:$B, $C1304)))</f>
        <v>Cello</v>
      </c>
      <c r="D1305" s="1" t="str">
        <f>VLOOKUP($C1305, 'Instrument Table'!$B:$C, 2, FALSE)</f>
        <v>Strings</v>
      </c>
      <c r="E1305" s="1">
        <f t="shared" si="120"/>
        <v>1</v>
      </c>
      <c r="F1305" s="1">
        <f>_xlfn.XLOOKUP($C1305, 'Instrument Table'!$B:$B, 'Instrument Table'!$A:$A, "")</f>
        <v>22</v>
      </c>
      <c r="G1305" s="1" t="str">
        <f>TEXT(IF($B1305 = "Retail Item", IF((ROW($A1305) - 4504 - _xlfn.XMATCH($C1305, $C$4506:$C$5005, 0, 1)) &lt;= VLOOKUP($C1305, 'Instrument Table'!$B:$D, 3, FALSE), ROW($A1305) - 4504 - _xlfn.XMATCH($C1305, $C$4506:$C$5005, 0, 1), 0), 0), "00")</f>
        <v>00</v>
      </c>
      <c r="H1305" s="1" t="str">
        <f t="shared" si="121"/>
        <v>049</v>
      </c>
      <c r="I1305" s="1" t="str">
        <f t="shared" si="122"/>
        <v>12200-049</v>
      </c>
      <c r="J1305" s="1" t="str">
        <f t="shared" si="123"/>
        <v>Cello production item #049</v>
      </c>
      <c r="K1305" s="1" t="str">
        <f>IF(SUM(COUNTIFS(I:I, I1305)) &gt; 1, "DUPLICATE", "UNIQUE")</f>
        <v>UNIQUE</v>
      </c>
      <c r="L1305" s="18">
        <v>32</v>
      </c>
      <c r="M1305" s="28">
        <v>86</v>
      </c>
      <c r="N1305" s="6">
        <v>1</v>
      </c>
      <c r="O1305" s="30">
        <f t="shared" si="124"/>
        <v>2752</v>
      </c>
      <c r="P1305" s="30">
        <f t="shared" si="125"/>
        <v>86</v>
      </c>
      <c r="Q1305" s="1">
        <f>COUNTIFS($P:$P, "&gt;" &amp; $P1305) + 1</f>
        <v>4492</v>
      </c>
      <c r="R1305" s="63">
        <f>(COUNTIFS($P:$P, "&gt;" &amp; $P1305) + 1) / (COUNTA($I:$I) - 1)</f>
        <v>0.89839999999999998</v>
      </c>
      <c r="S1305" s="23">
        <f>SUMIFS($P:$P, $Q:$Q, "&lt;" &amp; $Q1305)</f>
        <v>186536179</v>
      </c>
    </row>
    <row r="1306" spans="1:19" x14ac:dyDescent="0.25">
      <c r="A1306" s="1">
        <v>1301</v>
      </c>
      <c r="B1306" s="1" t="s">
        <v>2</v>
      </c>
      <c r="C1306" s="1" t="str">
        <f>IF($B1306 = "Production Item", _xlfn.XLOOKUP($A1306, 'Instrument Table'!$J:$J, 'Instrument Table'!$B:$B, $C1305), IF($B1306 = "Service Item", _xlfn.XLOOKUP($A1306, 'Instrument Table'!$I:$I, 'Instrument Table'!$B:$B, $C1305), _xlfn.XLOOKUP($A1306, 'Instrument Table'!$H:$H, 'Instrument Table'!$B:$B, $C1305)))</f>
        <v>Bass</v>
      </c>
      <c r="D1306" s="1" t="str">
        <f>VLOOKUP($C1306, 'Instrument Table'!$B:$C, 2, FALSE)</f>
        <v>Strings</v>
      </c>
      <c r="E1306" s="1">
        <f t="shared" si="120"/>
        <v>1</v>
      </c>
      <c r="F1306" s="1">
        <f>_xlfn.XLOOKUP($C1306, 'Instrument Table'!$B:$B, 'Instrument Table'!$A:$A, "")</f>
        <v>23</v>
      </c>
      <c r="G1306" s="1" t="str">
        <f>TEXT(IF($B1306 = "Retail Item", IF((ROW($A1306) - 4504 - _xlfn.XMATCH($C1306, $C$4506:$C$5005, 0, 1)) &lt;= VLOOKUP($C1306, 'Instrument Table'!$B:$D, 3, FALSE), ROW($A1306) - 4504 - _xlfn.XMATCH($C1306, $C$4506:$C$5005, 0, 1), 0), 0), "00")</f>
        <v>00</v>
      </c>
      <c r="H1306" s="1" t="str">
        <f t="shared" si="121"/>
        <v>000</v>
      </c>
      <c r="I1306" s="1" t="str">
        <f t="shared" si="122"/>
        <v>12300-000</v>
      </c>
      <c r="J1306" s="1" t="str">
        <f t="shared" si="123"/>
        <v>Bass production item #000</v>
      </c>
      <c r="K1306" s="1" t="str">
        <f>IF(SUM(COUNTIFS(I:I, I1306)) &gt; 1, "DUPLICATE", "UNIQUE")</f>
        <v>UNIQUE</v>
      </c>
      <c r="L1306" s="18">
        <v>1</v>
      </c>
      <c r="M1306" s="28">
        <v>42</v>
      </c>
      <c r="N1306" s="6">
        <v>121</v>
      </c>
      <c r="O1306" s="30">
        <f t="shared" si="124"/>
        <v>42</v>
      </c>
      <c r="P1306" s="30">
        <f t="shared" si="125"/>
        <v>5082</v>
      </c>
      <c r="Q1306" s="1">
        <f>COUNTIFS($P:$P, "&gt;" &amp; $P1306) + 1</f>
        <v>2432</v>
      </c>
      <c r="R1306" s="63">
        <f>(COUNTIFS($P:$P, "&gt;" &amp; $P1306) + 1) / (COUNTA($I:$I) - 1)</f>
        <v>0.4864</v>
      </c>
      <c r="S1306" s="23">
        <f>SUMIFS($P:$P, $Q:$Q, "&lt;" &amp; $Q1306)</f>
        <v>182781729</v>
      </c>
    </row>
    <row r="1307" spans="1:19" x14ac:dyDescent="0.25">
      <c r="A1307" s="1">
        <v>1302</v>
      </c>
      <c r="B1307" s="1" t="s">
        <v>2</v>
      </c>
      <c r="C1307" s="1" t="str">
        <f>IF($B1307 = "Production Item", _xlfn.XLOOKUP($A1307, 'Instrument Table'!$J:$J, 'Instrument Table'!$B:$B, $C1306), IF($B1307 = "Service Item", _xlfn.XLOOKUP($A1307, 'Instrument Table'!$I:$I, 'Instrument Table'!$B:$B, $C1306), _xlfn.XLOOKUP($A1307, 'Instrument Table'!$H:$H, 'Instrument Table'!$B:$B, $C1306)))</f>
        <v>Bass</v>
      </c>
      <c r="D1307" s="1" t="str">
        <f>VLOOKUP($C1307, 'Instrument Table'!$B:$C, 2, FALSE)</f>
        <v>Strings</v>
      </c>
      <c r="E1307" s="1">
        <f t="shared" si="120"/>
        <v>1</v>
      </c>
      <c r="F1307" s="1">
        <f>_xlfn.XLOOKUP($C1307, 'Instrument Table'!$B:$B, 'Instrument Table'!$A:$A, "")</f>
        <v>23</v>
      </c>
      <c r="G1307" s="1" t="str">
        <f>TEXT(IF($B1307 = "Retail Item", IF((ROW($A1307) - 4504 - _xlfn.XMATCH($C1307, $C$4506:$C$5005, 0, 1)) &lt;= VLOOKUP($C1307, 'Instrument Table'!$B:$D, 3, FALSE), ROW($A1307) - 4504 - _xlfn.XMATCH($C1307, $C$4506:$C$5005, 0, 1), 0), 0), "00")</f>
        <v>00</v>
      </c>
      <c r="H1307" s="1" t="str">
        <f t="shared" si="121"/>
        <v>001</v>
      </c>
      <c r="I1307" s="1" t="str">
        <f t="shared" si="122"/>
        <v>12300-001</v>
      </c>
      <c r="J1307" s="1" t="str">
        <f t="shared" si="123"/>
        <v>Bass production item #001</v>
      </c>
      <c r="K1307" s="1" t="str">
        <f>IF(SUM(COUNTIFS(I:I, I1307)) &gt; 1, "DUPLICATE", "UNIQUE")</f>
        <v>UNIQUE</v>
      </c>
      <c r="L1307" s="18">
        <v>0</v>
      </c>
      <c r="M1307" s="28">
        <v>70</v>
      </c>
      <c r="N1307" s="6">
        <v>49</v>
      </c>
      <c r="O1307" s="30">
        <f t="shared" si="124"/>
        <v>0</v>
      </c>
      <c r="P1307" s="30">
        <f t="shared" si="125"/>
        <v>3430</v>
      </c>
      <c r="Q1307" s="1">
        <f>COUNTIFS($P:$P, "&gt;" &amp; $P1307) + 1</f>
        <v>2794</v>
      </c>
      <c r="R1307" s="63">
        <f>(COUNTIFS($P:$P, "&gt;" &amp; $P1307) + 1) / (COUNTA($I:$I) - 1)</f>
        <v>0.55879999999999996</v>
      </c>
      <c r="S1307" s="23">
        <f>SUMIFS($P:$P, $Q:$Q, "&lt;" &amp; $Q1307)</f>
        <v>184305371</v>
      </c>
    </row>
    <row r="1308" spans="1:19" x14ac:dyDescent="0.25">
      <c r="A1308" s="1">
        <v>1303</v>
      </c>
      <c r="B1308" s="1" t="s">
        <v>2</v>
      </c>
      <c r="C1308" s="1" t="str">
        <f>IF($B1308 = "Production Item", _xlfn.XLOOKUP($A1308, 'Instrument Table'!$J:$J, 'Instrument Table'!$B:$B, $C1307), IF($B1308 = "Service Item", _xlfn.XLOOKUP($A1308, 'Instrument Table'!$I:$I, 'Instrument Table'!$B:$B, $C1307), _xlfn.XLOOKUP($A1308, 'Instrument Table'!$H:$H, 'Instrument Table'!$B:$B, $C1307)))</f>
        <v>Bass</v>
      </c>
      <c r="D1308" s="1" t="str">
        <f>VLOOKUP($C1308, 'Instrument Table'!$B:$C, 2, FALSE)</f>
        <v>Strings</v>
      </c>
      <c r="E1308" s="1">
        <f t="shared" si="120"/>
        <v>1</v>
      </c>
      <c r="F1308" s="1">
        <f>_xlfn.XLOOKUP($C1308, 'Instrument Table'!$B:$B, 'Instrument Table'!$A:$A, "")</f>
        <v>23</v>
      </c>
      <c r="G1308" s="1" t="str">
        <f>TEXT(IF($B1308 = "Retail Item", IF((ROW($A1308) - 4504 - _xlfn.XMATCH($C1308, $C$4506:$C$5005, 0, 1)) &lt;= VLOOKUP($C1308, 'Instrument Table'!$B:$D, 3, FALSE), ROW($A1308) - 4504 - _xlfn.XMATCH($C1308, $C$4506:$C$5005, 0, 1), 0), 0), "00")</f>
        <v>00</v>
      </c>
      <c r="H1308" s="1" t="str">
        <f t="shared" si="121"/>
        <v>002</v>
      </c>
      <c r="I1308" s="1" t="str">
        <f t="shared" si="122"/>
        <v>12300-002</v>
      </c>
      <c r="J1308" s="1" t="str">
        <f t="shared" si="123"/>
        <v>Bass production item #002</v>
      </c>
      <c r="K1308" s="1" t="str">
        <f>IF(SUM(COUNTIFS(I:I, I1308)) &gt; 1, "DUPLICATE", "UNIQUE")</f>
        <v>UNIQUE</v>
      </c>
      <c r="L1308" s="18">
        <v>0</v>
      </c>
      <c r="M1308" s="28">
        <v>25</v>
      </c>
      <c r="N1308" s="6">
        <v>100</v>
      </c>
      <c r="O1308" s="30">
        <f t="shared" si="124"/>
        <v>0</v>
      </c>
      <c r="P1308" s="30">
        <f t="shared" si="125"/>
        <v>2500</v>
      </c>
      <c r="Q1308" s="1">
        <f>COUNTIFS($P:$P, "&gt;" &amp; $P1308) + 1</f>
        <v>3044</v>
      </c>
      <c r="R1308" s="63">
        <f>(COUNTIFS($P:$P, "&gt;" &amp; $P1308) + 1) / (COUNTA($I:$I) - 1)</f>
        <v>0.60880000000000001</v>
      </c>
      <c r="S1308" s="23">
        <f>SUMIFS($P:$P, $Q:$Q, "&lt;" &amp; $Q1308)</f>
        <v>185045549</v>
      </c>
    </row>
    <row r="1309" spans="1:19" x14ac:dyDescent="0.25">
      <c r="A1309" s="1">
        <v>1304</v>
      </c>
      <c r="B1309" s="1" t="s">
        <v>2</v>
      </c>
      <c r="C1309" s="1" t="str">
        <f>IF($B1309 = "Production Item", _xlfn.XLOOKUP($A1309, 'Instrument Table'!$J:$J, 'Instrument Table'!$B:$B, $C1308), IF($B1309 = "Service Item", _xlfn.XLOOKUP($A1309, 'Instrument Table'!$I:$I, 'Instrument Table'!$B:$B, $C1308), _xlfn.XLOOKUP($A1309, 'Instrument Table'!$H:$H, 'Instrument Table'!$B:$B, $C1308)))</f>
        <v>Bass</v>
      </c>
      <c r="D1309" s="1" t="str">
        <f>VLOOKUP($C1309, 'Instrument Table'!$B:$C, 2, FALSE)</f>
        <v>Strings</v>
      </c>
      <c r="E1309" s="1">
        <f t="shared" si="120"/>
        <v>1</v>
      </c>
      <c r="F1309" s="1">
        <f>_xlfn.XLOOKUP($C1309, 'Instrument Table'!$B:$B, 'Instrument Table'!$A:$A, "")</f>
        <v>23</v>
      </c>
      <c r="G1309" s="1" t="str">
        <f>TEXT(IF($B1309 = "Retail Item", IF((ROW($A1309) - 4504 - _xlfn.XMATCH($C1309, $C$4506:$C$5005, 0, 1)) &lt;= VLOOKUP($C1309, 'Instrument Table'!$B:$D, 3, FALSE), ROW($A1309) - 4504 - _xlfn.XMATCH($C1309, $C$4506:$C$5005, 0, 1), 0), 0), "00")</f>
        <v>00</v>
      </c>
      <c r="H1309" s="1" t="str">
        <f t="shared" si="121"/>
        <v>003</v>
      </c>
      <c r="I1309" s="1" t="str">
        <f t="shared" si="122"/>
        <v>12300-003</v>
      </c>
      <c r="J1309" s="1" t="str">
        <f t="shared" si="123"/>
        <v>Bass production item #003</v>
      </c>
      <c r="K1309" s="1" t="str">
        <f>IF(SUM(COUNTIFS(I:I, I1309)) &gt; 1, "DUPLICATE", "UNIQUE")</f>
        <v>UNIQUE</v>
      </c>
      <c r="L1309" s="18">
        <v>0</v>
      </c>
      <c r="M1309" s="28">
        <v>75</v>
      </c>
      <c r="N1309" s="6">
        <v>64</v>
      </c>
      <c r="O1309" s="30">
        <f t="shared" si="124"/>
        <v>0</v>
      </c>
      <c r="P1309" s="30">
        <f t="shared" si="125"/>
        <v>4800</v>
      </c>
      <c r="Q1309" s="1">
        <f>COUNTIFS($P:$P, "&gt;" &amp; $P1309) + 1</f>
        <v>2486</v>
      </c>
      <c r="R1309" s="63">
        <f>(COUNTIFS($P:$P, "&gt;" &amp; $P1309) + 1) / (COUNTA($I:$I) - 1)</f>
        <v>0.49719999999999998</v>
      </c>
      <c r="S1309" s="23">
        <f>SUMIFS($P:$P, $Q:$Q, "&lt;" &amp; $Q1309)</f>
        <v>183048530</v>
      </c>
    </row>
    <row r="1310" spans="1:19" x14ac:dyDescent="0.25">
      <c r="A1310" s="1">
        <v>1305</v>
      </c>
      <c r="B1310" s="1" t="s">
        <v>2</v>
      </c>
      <c r="C1310" s="1" t="str">
        <f>IF($B1310 = "Production Item", _xlfn.XLOOKUP($A1310, 'Instrument Table'!$J:$J, 'Instrument Table'!$B:$B, $C1309), IF($B1310 = "Service Item", _xlfn.XLOOKUP($A1310, 'Instrument Table'!$I:$I, 'Instrument Table'!$B:$B, $C1309), _xlfn.XLOOKUP($A1310, 'Instrument Table'!$H:$H, 'Instrument Table'!$B:$B, $C1309)))</f>
        <v>Bass</v>
      </c>
      <c r="D1310" s="1" t="str">
        <f>VLOOKUP($C1310, 'Instrument Table'!$B:$C, 2, FALSE)</f>
        <v>Strings</v>
      </c>
      <c r="E1310" s="1">
        <f t="shared" si="120"/>
        <v>1</v>
      </c>
      <c r="F1310" s="1">
        <f>_xlfn.XLOOKUP($C1310, 'Instrument Table'!$B:$B, 'Instrument Table'!$A:$A, "")</f>
        <v>23</v>
      </c>
      <c r="G1310" s="1" t="str">
        <f>TEXT(IF($B1310 = "Retail Item", IF((ROW($A1310) - 4504 - _xlfn.XMATCH($C1310, $C$4506:$C$5005, 0, 1)) &lt;= VLOOKUP($C1310, 'Instrument Table'!$B:$D, 3, FALSE), ROW($A1310) - 4504 - _xlfn.XMATCH($C1310, $C$4506:$C$5005, 0, 1), 0), 0), "00")</f>
        <v>00</v>
      </c>
      <c r="H1310" s="1" t="str">
        <f t="shared" si="121"/>
        <v>004</v>
      </c>
      <c r="I1310" s="1" t="str">
        <f t="shared" si="122"/>
        <v>12300-004</v>
      </c>
      <c r="J1310" s="1" t="str">
        <f t="shared" si="123"/>
        <v>Bass production item #004</v>
      </c>
      <c r="K1310" s="1" t="str">
        <f>IF(SUM(COUNTIFS(I:I, I1310)) &gt; 1, "DUPLICATE", "UNIQUE")</f>
        <v>UNIQUE</v>
      </c>
      <c r="L1310" s="18">
        <v>2</v>
      </c>
      <c r="M1310" s="28">
        <v>54</v>
      </c>
      <c r="N1310" s="6">
        <v>361</v>
      </c>
      <c r="O1310" s="30">
        <f t="shared" si="124"/>
        <v>108</v>
      </c>
      <c r="P1310" s="30">
        <f t="shared" si="125"/>
        <v>19494</v>
      </c>
      <c r="Q1310" s="1">
        <f>COUNTIFS($P:$P, "&gt;" &amp; $P1310) + 1</f>
        <v>1079</v>
      </c>
      <c r="R1310" s="63">
        <f>(COUNTIFS($P:$P, "&gt;" &amp; $P1310) + 1) / (COUNTA($I:$I) - 1)</f>
        <v>0.21579999999999999</v>
      </c>
      <c r="S1310" s="23">
        <f>SUMIFS($P:$P, $Q:$Q, "&lt;" &amp; $Q1310)</f>
        <v>168098945</v>
      </c>
    </row>
    <row r="1311" spans="1:19" x14ac:dyDescent="0.25">
      <c r="A1311" s="1">
        <v>1306</v>
      </c>
      <c r="B1311" s="1" t="s">
        <v>2</v>
      </c>
      <c r="C1311" s="1" t="str">
        <f>IF($B1311 = "Production Item", _xlfn.XLOOKUP($A1311, 'Instrument Table'!$J:$J, 'Instrument Table'!$B:$B, $C1310), IF($B1311 = "Service Item", _xlfn.XLOOKUP($A1311, 'Instrument Table'!$I:$I, 'Instrument Table'!$B:$B, $C1310), _xlfn.XLOOKUP($A1311, 'Instrument Table'!$H:$H, 'Instrument Table'!$B:$B, $C1310)))</f>
        <v>Bass</v>
      </c>
      <c r="D1311" s="1" t="str">
        <f>VLOOKUP($C1311, 'Instrument Table'!$B:$C, 2, FALSE)</f>
        <v>Strings</v>
      </c>
      <c r="E1311" s="1">
        <f t="shared" si="120"/>
        <v>1</v>
      </c>
      <c r="F1311" s="1">
        <f>_xlfn.XLOOKUP($C1311, 'Instrument Table'!$B:$B, 'Instrument Table'!$A:$A, "")</f>
        <v>23</v>
      </c>
      <c r="G1311" s="1" t="str">
        <f>TEXT(IF($B1311 = "Retail Item", IF((ROW($A1311) - 4504 - _xlfn.XMATCH($C1311, $C$4506:$C$5005, 0, 1)) &lt;= VLOOKUP($C1311, 'Instrument Table'!$B:$D, 3, FALSE), ROW($A1311) - 4504 - _xlfn.XMATCH($C1311, $C$4506:$C$5005, 0, 1), 0), 0), "00")</f>
        <v>00</v>
      </c>
      <c r="H1311" s="1" t="str">
        <f t="shared" si="121"/>
        <v>005</v>
      </c>
      <c r="I1311" s="1" t="str">
        <f t="shared" si="122"/>
        <v>12300-005</v>
      </c>
      <c r="J1311" s="1" t="str">
        <f t="shared" si="123"/>
        <v>Bass production item #005</v>
      </c>
      <c r="K1311" s="1" t="str">
        <f>IF(SUM(COUNTIFS(I:I, I1311)) &gt; 1, "DUPLICATE", "UNIQUE")</f>
        <v>UNIQUE</v>
      </c>
      <c r="L1311" s="18">
        <v>1</v>
      </c>
      <c r="M1311" s="28">
        <v>29</v>
      </c>
      <c r="N1311" s="6">
        <v>64</v>
      </c>
      <c r="O1311" s="30">
        <f t="shared" si="124"/>
        <v>29</v>
      </c>
      <c r="P1311" s="30">
        <f t="shared" si="125"/>
        <v>1856</v>
      </c>
      <c r="Q1311" s="1">
        <f>COUNTIFS($P:$P, "&gt;" &amp; $P1311) + 1</f>
        <v>3315</v>
      </c>
      <c r="R1311" s="63">
        <f>(COUNTIFS($P:$P, "&gt;" &amp; $P1311) + 1) / (COUNTA($I:$I) - 1)</f>
        <v>0.66300000000000003</v>
      </c>
      <c r="S1311" s="23">
        <f>SUMIFS($P:$P, $Q:$Q, "&lt;" &amp; $Q1311)</f>
        <v>185637185</v>
      </c>
    </row>
    <row r="1312" spans="1:19" x14ac:dyDescent="0.25">
      <c r="A1312" s="1">
        <v>1307</v>
      </c>
      <c r="B1312" s="1" t="s">
        <v>2</v>
      </c>
      <c r="C1312" s="1" t="str">
        <f>IF($B1312 = "Production Item", _xlfn.XLOOKUP($A1312, 'Instrument Table'!$J:$J, 'Instrument Table'!$B:$B, $C1311), IF($B1312 = "Service Item", _xlfn.XLOOKUP($A1312, 'Instrument Table'!$I:$I, 'Instrument Table'!$B:$B, $C1311), _xlfn.XLOOKUP($A1312, 'Instrument Table'!$H:$H, 'Instrument Table'!$B:$B, $C1311)))</f>
        <v>Bass</v>
      </c>
      <c r="D1312" s="1" t="str">
        <f>VLOOKUP($C1312, 'Instrument Table'!$B:$C, 2, FALSE)</f>
        <v>Strings</v>
      </c>
      <c r="E1312" s="1">
        <f t="shared" si="120"/>
        <v>1</v>
      </c>
      <c r="F1312" s="1">
        <f>_xlfn.XLOOKUP($C1312, 'Instrument Table'!$B:$B, 'Instrument Table'!$A:$A, "")</f>
        <v>23</v>
      </c>
      <c r="G1312" s="1" t="str">
        <f>TEXT(IF($B1312 = "Retail Item", IF((ROW($A1312) - 4504 - _xlfn.XMATCH($C1312, $C$4506:$C$5005, 0, 1)) &lt;= VLOOKUP($C1312, 'Instrument Table'!$B:$D, 3, FALSE), ROW($A1312) - 4504 - _xlfn.XMATCH($C1312, $C$4506:$C$5005, 0, 1), 0), 0), "00")</f>
        <v>00</v>
      </c>
      <c r="H1312" s="1" t="str">
        <f t="shared" si="121"/>
        <v>006</v>
      </c>
      <c r="I1312" s="1" t="str">
        <f t="shared" si="122"/>
        <v>12300-006</v>
      </c>
      <c r="J1312" s="1" t="str">
        <f t="shared" si="123"/>
        <v>Bass production item #006</v>
      </c>
      <c r="K1312" s="1" t="str">
        <f>IF(SUM(COUNTIFS(I:I, I1312)) &gt; 1, "DUPLICATE", "UNIQUE")</f>
        <v>UNIQUE</v>
      </c>
      <c r="L1312" s="18">
        <v>16</v>
      </c>
      <c r="M1312" s="28">
        <v>96</v>
      </c>
      <c r="N1312" s="6">
        <v>289</v>
      </c>
      <c r="O1312" s="30">
        <f t="shared" si="124"/>
        <v>1536</v>
      </c>
      <c r="P1312" s="30">
        <f t="shared" si="125"/>
        <v>27744</v>
      </c>
      <c r="Q1312" s="1">
        <f>COUNTIFS($P:$P, "&gt;" &amp; $P1312) + 1</f>
        <v>735</v>
      </c>
      <c r="R1312" s="63">
        <f>(COUNTIFS($P:$P, "&gt;" &amp; $P1312) + 1) / (COUNTA($I:$I) - 1)</f>
        <v>0.14699999999999999</v>
      </c>
      <c r="S1312" s="23">
        <f>SUMIFS($P:$P, $Q:$Q, "&lt;" &amp; $Q1312)</f>
        <v>160095255</v>
      </c>
    </row>
    <row r="1313" spans="1:19" x14ac:dyDescent="0.25">
      <c r="A1313" s="1">
        <v>1308</v>
      </c>
      <c r="B1313" s="1" t="s">
        <v>2</v>
      </c>
      <c r="C1313" s="1" t="str">
        <f>IF($B1313 = "Production Item", _xlfn.XLOOKUP($A1313, 'Instrument Table'!$J:$J, 'Instrument Table'!$B:$B, $C1312), IF($B1313 = "Service Item", _xlfn.XLOOKUP($A1313, 'Instrument Table'!$I:$I, 'Instrument Table'!$B:$B, $C1312), _xlfn.XLOOKUP($A1313, 'Instrument Table'!$H:$H, 'Instrument Table'!$B:$B, $C1312)))</f>
        <v>Bass</v>
      </c>
      <c r="D1313" s="1" t="str">
        <f>VLOOKUP($C1313, 'Instrument Table'!$B:$C, 2, FALSE)</f>
        <v>Strings</v>
      </c>
      <c r="E1313" s="1">
        <f t="shared" si="120"/>
        <v>1</v>
      </c>
      <c r="F1313" s="1">
        <f>_xlfn.XLOOKUP($C1313, 'Instrument Table'!$B:$B, 'Instrument Table'!$A:$A, "")</f>
        <v>23</v>
      </c>
      <c r="G1313" s="1" t="str">
        <f>TEXT(IF($B1313 = "Retail Item", IF((ROW($A1313) - 4504 - _xlfn.XMATCH($C1313, $C$4506:$C$5005, 0, 1)) &lt;= VLOOKUP($C1313, 'Instrument Table'!$B:$D, 3, FALSE), ROW($A1313) - 4504 - _xlfn.XMATCH($C1313, $C$4506:$C$5005, 0, 1), 0), 0), "00")</f>
        <v>00</v>
      </c>
      <c r="H1313" s="1" t="str">
        <f t="shared" si="121"/>
        <v>007</v>
      </c>
      <c r="I1313" s="1" t="str">
        <f t="shared" si="122"/>
        <v>12300-007</v>
      </c>
      <c r="J1313" s="1" t="str">
        <f t="shared" si="123"/>
        <v>Bass production item #007</v>
      </c>
      <c r="K1313" s="1" t="str">
        <f>IF(SUM(COUNTIFS(I:I, I1313)) &gt; 1, "DUPLICATE", "UNIQUE")</f>
        <v>UNIQUE</v>
      </c>
      <c r="L1313" s="18">
        <v>8</v>
      </c>
      <c r="M1313" s="28">
        <v>73</v>
      </c>
      <c r="N1313" s="6">
        <v>144</v>
      </c>
      <c r="O1313" s="30">
        <f t="shared" si="124"/>
        <v>584</v>
      </c>
      <c r="P1313" s="30">
        <f t="shared" si="125"/>
        <v>10512</v>
      </c>
      <c r="Q1313" s="1">
        <f>COUNTIFS($P:$P, "&gt;" &amp; $P1313) + 1</f>
        <v>1726</v>
      </c>
      <c r="R1313" s="63">
        <f>(COUNTIFS($P:$P, "&gt;" &amp; $P1313) + 1) / (COUNTA($I:$I) - 1)</f>
        <v>0.34520000000000001</v>
      </c>
      <c r="S1313" s="23">
        <f>SUMIFS($P:$P, $Q:$Q, "&lt;" &amp; $Q1313)</f>
        <v>177492085</v>
      </c>
    </row>
    <row r="1314" spans="1:19" x14ac:dyDescent="0.25">
      <c r="A1314" s="1">
        <v>1309</v>
      </c>
      <c r="B1314" s="1" t="s">
        <v>2</v>
      </c>
      <c r="C1314" s="1" t="str">
        <f>IF($B1314 = "Production Item", _xlfn.XLOOKUP($A1314, 'Instrument Table'!$J:$J, 'Instrument Table'!$B:$B, $C1313), IF($B1314 = "Service Item", _xlfn.XLOOKUP($A1314, 'Instrument Table'!$I:$I, 'Instrument Table'!$B:$B, $C1313), _xlfn.XLOOKUP($A1314, 'Instrument Table'!$H:$H, 'Instrument Table'!$B:$B, $C1313)))</f>
        <v>Bass</v>
      </c>
      <c r="D1314" s="1" t="str">
        <f>VLOOKUP($C1314, 'Instrument Table'!$B:$C, 2, FALSE)</f>
        <v>Strings</v>
      </c>
      <c r="E1314" s="1">
        <f t="shared" si="120"/>
        <v>1</v>
      </c>
      <c r="F1314" s="1">
        <f>_xlfn.XLOOKUP($C1314, 'Instrument Table'!$B:$B, 'Instrument Table'!$A:$A, "")</f>
        <v>23</v>
      </c>
      <c r="G1314" s="1" t="str">
        <f>TEXT(IF($B1314 = "Retail Item", IF((ROW($A1314) - 4504 - _xlfn.XMATCH($C1314, $C$4506:$C$5005, 0, 1)) &lt;= VLOOKUP($C1314, 'Instrument Table'!$B:$D, 3, FALSE), ROW($A1314) - 4504 - _xlfn.XMATCH($C1314, $C$4506:$C$5005, 0, 1), 0), 0), "00")</f>
        <v>00</v>
      </c>
      <c r="H1314" s="1" t="str">
        <f t="shared" si="121"/>
        <v>008</v>
      </c>
      <c r="I1314" s="1" t="str">
        <f t="shared" si="122"/>
        <v>12300-008</v>
      </c>
      <c r="J1314" s="1" t="str">
        <f t="shared" si="123"/>
        <v>Bass production item #008</v>
      </c>
      <c r="K1314" s="1" t="str">
        <f>IF(SUM(COUNTIFS(I:I, I1314)) &gt; 1, "DUPLICATE", "UNIQUE")</f>
        <v>UNIQUE</v>
      </c>
      <c r="L1314" s="18">
        <v>32</v>
      </c>
      <c r="M1314" s="28">
        <v>84</v>
      </c>
      <c r="N1314" s="6">
        <v>324</v>
      </c>
      <c r="O1314" s="30">
        <f t="shared" si="124"/>
        <v>2688</v>
      </c>
      <c r="P1314" s="30">
        <f t="shared" si="125"/>
        <v>27216</v>
      </c>
      <c r="Q1314" s="1">
        <f>COUNTIFS($P:$P, "&gt;" &amp; $P1314) + 1</f>
        <v>742</v>
      </c>
      <c r="R1314" s="63">
        <f>(COUNTIFS($P:$P, "&gt;" &amp; $P1314) + 1) / (COUNTA($I:$I) - 1)</f>
        <v>0.1484</v>
      </c>
      <c r="S1314" s="23">
        <f>SUMIFS($P:$P, $Q:$Q, "&lt;" &amp; $Q1314)</f>
        <v>160287998</v>
      </c>
    </row>
    <row r="1315" spans="1:19" x14ac:dyDescent="0.25">
      <c r="A1315" s="1">
        <v>1310</v>
      </c>
      <c r="B1315" s="1" t="s">
        <v>2</v>
      </c>
      <c r="C1315" s="1" t="str">
        <f>IF($B1315 = "Production Item", _xlfn.XLOOKUP($A1315, 'Instrument Table'!$J:$J, 'Instrument Table'!$B:$B, $C1314), IF($B1315 = "Service Item", _xlfn.XLOOKUP($A1315, 'Instrument Table'!$I:$I, 'Instrument Table'!$B:$B, $C1314), _xlfn.XLOOKUP($A1315, 'Instrument Table'!$H:$H, 'Instrument Table'!$B:$B, $C1314)))</f>
        <v>Bass</v>
      </c>
      <c r="D1315" s="1" t="str">
        <f>VLOOKUP($C1315, 'Instrument Table'!$B:$C, 2, FALSE)</f>
        <v>Strings</v>
      </c>
      <c r="E1315" s="1">
        <f t="shared" si="120"/>
        <v>1</v>
      </c>
      <c r="F1315" s="1">
        <f>_xlfn.XLOOKUP($C1315, 'Instrument Table'!$B:$B, 'Instrument Table'!$A:$A, "")</f>
        <v>23</v>
      </c>
      <c r="G1315" s="1" t="str">
        <f>TEXT(IF($B1315 = "Retail Item", IF((ROW($A1315) - 4504 - _xlfn.XMATCH($C1315, $C$4506:$C$5005, 0, 1)) &lt;= VLOOKUP($C1315, 'Instrument Table'!$B:$D, 3, FALSE), ROW($A1315) - 4504 - _xlfn.XMATCH($C1315, $C$4506:$C$5005, 0, 1), 0), 0), "00")</f>
        <v>00</v>
      </c>
      <c r="H1315" s="1" t="str">
        <f t="shared" si="121"/>
        <v>009</v>
      </c>
      <c r="I1315" s="1" t="str">
        <f t="shared" si="122"/>
        <v>12300-009</v>
      </c>
      <c r="J1315" s="1" t="str">
        <f t="shared" si="123"/>
        <v>Bass production item #009</v>
      </c>
      <c r="K1315" s="1" t="str">
        <f>IF(SUM(COUNTIFS(I:I, I1315)) &gt; 1, "DUPLICATE", "UNIQUE")</f>
        <v>UNIQUE</v>
      </c>
      <c r="L1315" s="18">
        <v>1</v>
      </c>
      <c r="M1315" s="28">
        <v>83</v>
      </c>
      <c r="N1315" s="6">
        <v>121</v>
      </c>
      <c r="O1315" s="30">
        <f t="shared" si="124"/>
        <v>83</v>
      </c>
      <c r="P1315" s="30">
        <f t="shared" si="125"/>
        <v>10043</v>
      </c>
      <c r="Q1315" s="1">
        <f>COUNTIFS($P:$P, "&gt;" &amp; $P1315) + 1</f>
        <v>1769</v>
      </c>
      <c r="R1315" s="63">
        <f>(COUNTIFS($P:$P, "&gt;" &amp; $P1315) + 1) / (COUNTA($I:$I) - 1)</f>
        <v>0.3538</v>
      </c>
      <c r="S1315" s="23">
        <f>SUMIFS($P:$P, $Q:$Q, "&lt;" &amp; $Q1315)</f>
        <v>177935609</v>
      </c>
    </row>
    <row r="1316" spans="1:19" x14ac:dyDescent="0.25">
      <c r="A1316" s="1">
        <v>1311</v>
      </c>
      <c r="B1316" s="1" t="s">
        <v>2</v>
      </c>
      <c r="C1316" s="1" t="str">
        <f>IF($B1316 = "Production Item", _xlfn.XLOOKUP($A1316, 'Instrument Table'!$J:$J, 'Instrument Table'!$B:$B, $C1315), IF($B1316 = "Service Item", _xlfn.XLOOKUP($A1316, 'Instrument Table'!$I:$I, 'Instrument Table'!$B:$B, $C1315), _xlfn.XLOOKUP($A1316, 'Instrument Table'!$H:$H, 'Instrument Table'!$B:$B, $C1315)))</f>
        <v>Bass</v>
      </c>
      <c r="D1316" s="1" t="str">
        <f>VLOOKUP($C1316, 'Instrument Table'!$B:$C, 2, FALSE)</f>
        <v>Strings</v>
      </c>
      <c r="E1316" s="1">
        <f t="shared" si="120"/>
        <v>1</v>
      </c>
      <c r="F1316" s="1">
        <f>_xlfn.XLOOKUP($C1316, 'Instrument Table'!$B:$B, 'Instrument Table'!$A:$A, "")</f>
        <v>23</v>
      </c>
      <c r="G1316" s="1" t="str">
        <f>TEXT(IF($B1316 = "Retail Item", IF((ROW($A1316) - 4504 - _xlfn.XMATCH($C1316, $C$4506:$C$5005, 0, 1)) &lt;= VLOOKUP($C1316, 'Instrument Table'!$B:$D, 3, FALSE), ROW($A1316) - 4504 - _xlfn.XMATCH($C1316, $C$4506:$C$5005, 0, 1), 0), 0), "00")</f>
        <v>00</v>
      </c>
      <c r="H1316" s="1" t="str">
        <f t="shared" si="121"/>
        <v>010</v>
      </c>
      <c r="I1316" s="1" t="str">
        <f t="shared" si="122"/>
        <v>12300-010</v>
      </c>
      <c r="J1316" s="1" t="str">
        <f t="shared" si="123"/>
        <v>Bass production item #010</v>
      </c>
      <c r="K1316" s="1" t="str">
        <f>IF(SUM(COUNTIFS(I:I, I1316)) &gt; 1, "DUPLICATE", "UNIQUE")</f>
        <v>UNIQUE</v>
      </c>
      <c r="L1316" s="18">
        <v>2</v>
      </c>
      <c r="M1316" s="28">
        <v>95</v>
      </c>
      <c r="N1316" s="6">
        <v>225</v>
      </c>
      <c r="O1316" s="30">
        <f t="shared" si="124"/>
        <v>190</v>
      </c>
      <c r="P1316" s="30">
        <f t="shared" si="125"/>
        <v>21375</v>
      </c>
      <c r="Q1316" s="1">
        <f>COUNTIFS($P:$P, "&gt;" &amp; $P1316) + 1</f>
        <v>990</v>
      </c>
      <c r="R1316" s="63">
        <f>(COUNTIFS($P:$P, "&gt;" &amp; $P1316) + 1) / (COUNTA($I:$I) - 1)</f>
        <v>0.19800000000000001</v>
      </c>
      <c r="S1316" s="23">
        <f>SUMIFS($P:$P, $Q:$Q, "&lt;" &amp; $Q1316)</f>
        <v>166278676</v>
      </c>
    </row>
    <row r="1317" spans="1:19" x14ac:dyDescent="0.25">
      <c r="A1317" s="1">
        <v>1312</v>
      </c>
      <c r="B1317" s="1" t="s">
        <v>2</v>
      </c>
      <c r="C1317" s="1" t="str">
        <f>IF($B1317 = "Production Item", _xlfn.XLOOKUP($A1317, 'Instrument Table'!$J:$J, 'Instrument Table'!$B:$B, $C1316), IF($B1317 = "Service Item", _xlfn.XLOOKUP($A1317, 'Instrument Table'!$I:$I, 'Instrument Table'!$B:$B, $C1316), _xlfn.XLOOKUP($A1317, 'Instrument Table'!$H:$H, 'Instrument Table'!$B:$B, $C1316)))</f>
        <v>Bass</v>
      </c>
      <c r="D1317" s="1" t="str">
        <f>VLOOKUP($C1317, 'Instrument Table'!$B:$C, 2, FALSE)</f>
        <v>Strings</v>
      </c>
      <c r="E1317" s="1">
        <f t="shared" si="120"/>
        <v>1</v>
      </c>
      <c r="F1317" s="1">
        <f>_xlfn.XLOOKUP($C1317, 'Instrument Table'!$B:$B, 'Instrument Table'!$A:$A, "")</f>
        <v>23</v>
      </c>
      <c r="G1317" s="1" t="str">
        <f>TEXT(IF($B1317 = "Retail Item", IF((ROW($A1317) - 4504 - _xlfn.XMATCH($C1317, $C$4506:$C$5005, 0, 1)) &lt;= VLOOKUP($C1317, 'Instrument Table'!$B:$D, 3, FALSE), ROW($A1317) - 4504 - _xlfn.XMATCH($C1317, $C$4506:$C$5005, 0, 1), 0), 0), "00")</f>
        <v>00</v>
      </c>
      <c r="H1317" s="1" t="str">
        <f t="shared" si="121"/>
        <v>011</v>
      </c>
      <c r="I1317" s="1" t="str">
        <f t="shared" si="122"/>
        <v>12300-011</v>
      </c>
      <c r="J1317" s="1" t="str">
        <f t="shared" si="123"/>
        <v>Bass production item #011</v>
      </c>
      <c r="K1317" s="1" t="str">
        <f>IF(SUM(COUNTIFS(I:I, I1317)) &gt; 1, "DUPLICATE", "UNIQUE")</f>
        <v>UNIQUE</v>
      </c>
      <c r="L1317" s="18">
        <v>8</v>
      </c>
      <c r="M1317" s="28">
        <v>8</v>
      </c>
      <c r="N1317" s="6">
        <v>361</v>
      </c>
      <c r="O1317" s="30">
        <f t="shared" si="124"/>
        <v>64</v>
      </c>
      <c r="P1317" s="30">
        <f t="shared" si="125"/>
        <v>2888</v>
      </c>
      <c r="Q1317" s="1">
        <f>COUNTIFS($P:$P, "&gt;" &amp; $P1317) + 1</f>
        <v>2938</v>
      </c>
      <c r="R1317" s="63">
        <f>(COUNTIFS($P:$P, "&gt;" &amp; $P1317) + 1) / (COUNTA($I:$I) - 1)</f>
        <v>0.58760000000000001</v>
      </c>
      <c r="S1317" s="23">
        <f>SUMIFS($P:$P, $Q:$Q, "&lt;" &amp; $Q1317)</f>
        <v>184760537</v>
      </c>
    </row>
    <row r="1318" spans="1:19" x14ac:dyDescent="0.25">
      <c r="A1318" s="1">
        <v>1313</v>
      </c>
      <c r="B1318" s="1" t="s">
        <v>2</v>
      </c>
      <c r="C1318" s="1" t="str">
        <f>IF($B1318 = "Production Item", _xlfn.XLOOKUP($A1318, 'Instrument Table'!$J:$J, 'Instrument Table'!$B:$B, $C1317), IF($B1318 = "Service Item", _xlfn.XLOOKUP($A1318, 'Instrument Table'!$I:$I, 'Instrument Table'!$B:$B, $C1317), _xlfn.XLOOKUP($A1318, 'Instrument Table'!$H:$H, 'Instrument Table'!$B:$B, $C1317)))</f>
        <v>Bass</v>
      </c>
      <c r="D1318" s="1" t="str">
        <f>VLOOKUP($C1318, 'Instrument Table'!$B:$C, 2, FALSE)</f>
        <v>Strings</v>
      </c>
      <c r="E1318" s="1">
        <f t="shared" si="120"/>
        <v>1</v>
      </c>
      <c r="F1318" s="1">
        <f>_xlfn.XLOOKUP($C1318, 'Instrument Table'!$B:$B, 'Instrument Table'!$A:$A, "")</f>
        <v>23</v>
      </c>
      <c r="G1318" s="1" t="str">
        <f>TEXT(IF($B1318 = "Retail Item", IF((ROW($A1318) - 4504 - _xlfn.XMATCH($C1318, $C$4506:$C$5005, 0, 1)) &lt;= VLOOKUP($C1318, 'Instrument Table'!$B:$D, 3, FALSE), ROW($A1318) - 4504 - _xlfn.XMATCH($C1318, $C$4506:$C$5005, 0, 1), 0), 0), "00")</f>
        <v>00</v>
      </c>
      <c r="H1318" s="1" t="str">
        <f t="shared" si="121"/>
        <v>012</v>
      </c>
      <c r="I1318" s="1" t="str">
        <f t="shared" si="122"/>
        <v>12300-012</v>
      </c>
      <c r="J1318" s="1" t="str">
        <f t="shared" si="123"/>
        <v>Bass production item #012</v>
      </c>
      <c r="K1318" s="1" t="str">
        <f>IF(SUM(COUNTIFS(I:I, I1318)) &gt; 1, "DUPLICATE", "UNIQUE")</f>
        <v>UNIQUE</v>
      </c>
      <c r="L1318" s="18">
        <v>4</v>
      </c>
      <c r="M1318" s="28">
        <v>98</v>
      </c>
      <c r="N1318" s="6">
        <v>225</v>
      </c>
      <c r="O1318" s="30">
        <f t="shared" si="124"/>
        <v>392</v>
      </c>
      <c r="P1318" s="30">
        <f t="shared" si="125"/>
        <v>22050</v>
      </c>
      <c r="Q1318" s="1">
        <f>COUNTIFS($P:$P, "&gt;" &amp; $P1318) + 1</f>
        <v>947</v>
      </c>
      <c r="R1318" s="63">
        <f>(COUNTIFS($P:$P, "&gt;" &amp; $P1318) + 1) / (COUNTA($I:$I) - 1)</f>
        <v>0.18940000000000001</v>
      </c>
      <c r="S1318" s="23">
        <f>SUMIFS($P:$P, $Q:$Q, "&lt;" &amp; $Q1318)</f>
        <v>165343282</v>
      </c>
    </row>
    <row r="1319" spans="1:19" x14ac:dyDescent="0.25">
      <c r="A1319" s="1">
        <v>1314</v>
      </c>
      <c r="B1319" s="1" t="s">
        <v>2</v>
      </c>
      <c r="C1319" s="1" t="str">
        <f>IF($B1319 = "Production Item", _xlfn.XLOOKUP($A1319, 'Instrument Table'!$J:$J, 'Instrument Table'!$B:$B, $C1318), IF($B1319 = "Service Item", _xlfn.XLOOKUP($A1319, 'Instrument Table'!$I:$I, 'Instrument Table'!$B:$B, $C1318), _xlfn.XLOOKUP($A1319, 'Instrument Table'!$H:$H, 'Instrument Table'!$B:$B, $C1318)))</f>
        <v>Bass</v>
      </c>
      <c r="D1319" s="1" t="str">
        <f>VLOOKUP($C1319, 'Instrument Table'!$B:$C, 2, FALSE)</f>
        <v>Strings</v>
      </c>
      <c r="E1319" s="1">
        <f t="shared" si="120"/>
        <v>1</v>
      </c>
      <c r="F1319" s="1">
        <f>_xlfn.XLOOKUP($C1319, 'Instrument Table'!$B:$B, 'Instrument Table'!$A:$A, "")</f>
        <v>23</v>
      </c>
      <c r="G1319" s="1" t="str">
        <f>TEXT(IF($B1319 = "Retail Item", IF((ROW($A1319) - 4504 - _xlfn.XMATCH($C1319, $C$4506:$C$5005, 0, 1)) &lt;= VLOOKUP($C1319, 'Instrument Table'!$B:$D, 3, FALSE), ROW($A1319) - 4504 - _xlfn.XMATCH($C1319, $C$4506:$C$5005, 0, 1), 0), 0), "00")</f>
        <v>00</v>
      </c>
      <c r="H1319" s="1" t="str">
        <f t="shared" si="121"/>
        <v>013</v>
      </c>
      <c r="I1319" s="1" t="str">
        <f t="shared" si="122"/>
        <v>12300-013</v>
      </c>
      <c r="J1319" s="1" t="str">
        <f t="shared" si="123"/>
        <v>Bass production item #013</v>
      </c>
      <c r="K1319" s="1" t="str">
        <f>IF(SUM(COUNTIFS(I:I, I1319)) &gt; 1, "DUPLICATE", "UNIQUE")</f>
        <v>UNIQUE</v>
      </c>
      <c r="L1319" s="18">
        <v>2</v>
      </c>
      <c r="M1319" s="28">
        <v>80</v>
      </c>
      <c r="N1319" s="6">
        <v>100</v>
      </c>
      <c r="O1319" s="30">
        <f t="shared" si="124"/>
        <v>160</v>
      </c>
      <c r="P1319" s="30">
        <f t="shared" si="125"/>
        <v>8000</v>
      </c>
      <c r="Q1319" s="1">
        <f>COUNTIFS($P:$P, "&gt;" &amp; $P1319) + 1</f>
        <v>1985</v>
      </c>
      <c r="R1319" s="63">
        <f>(COUNTIFS($P:$P, "&gt;" &amp; $P1319) + 1) / (COUNTA($I:$I) - 1)</f>
        <v>0.39700000000000002</v>
      </c>
      <c r="S1319" s="23">
        <f>SUMIFS($P:$P, $Q:$Q, "&lt;" &amp; $Q1319)</f>
        <v>179876921</v>
      </c>
    </row>
    <row r="1320" spans="1:19" x14ac:dyDescent="0.25">
      <c r="A1320" s="1">
        <v>1315</v>
      </c>
      <c r="B1320" s="1" t="s">
        <v>2</v>
      </c>
      <c r="C1320" s="1" t="str">
        <f>IF($B1320 = "Production Item", _xlfn.XLOOKUP($A1320, 'Instrument Table'!$J:$J, 'Instrument Table'!$B:$B, $C1319), IF($B1320 = "Service Item", _xlfn.XLOOKUP($A1320, 'Instrument Table'!$I:$I, 'Instrument Table'!$B:$B, $C1319), _xlfn.XLOOKUP($A1320, 'Instrument Table'!$H:$H, 'Instrument Table'!$B:$B, $C1319)))</f>
        <v>Bass</v>
      </c>
      <c r="D1320" s="1" t="str">
        <f>VLOOKUP($C1320, 'Instrument Table'!$B:$C, 2, FALSE)</f>
        <v>Strings</v>
      </c>
      <c r="E1320" s="1">
        <f t="shared" si="120"/>
        <v>1</v>
      </c>
      <c r="F1320" s="1">
        <f>_xlfn.XLOOKUP($C1320, 'Instrument Table'!$B:$B, 'Instrument Table'!$A:$A, "")</f>
        <v>23</v>
      </c>
      <c r="G1320" s="1" t="str">
        <f>TEXT(IF($B1320 = "Retail Item", IF((ROW($A1320) - 4504 - _xlfn.XMATCH($C1320, $C$4506:$C$5005, 0, 1)) &lt;= VLOOKUP($C1320, 'Instrument Table'!$B:$D, 3, FALSE), ROW($A1320) - 4504 - _xlfn.XMATCH($C1320, $C$4506:$C$5005, 0, 1), 0), 0), "00")</f>
        <v>00</v>
      </c>
      <c r="H1320" s="1" t="str">
        <f t="shared" si="121"/>
        <v>014</v>
      </c>
      <c r="I1320" s="1" t="str">
        <f t="shared" si="122"/>
        <v>12300-014</v>
      </c>
      <c r="J1320" s="1" t="str">
        <f t="shared" si="123"/>
        <v>Bass production item #014</v>
      </c>
      <c r="K1320" s="1" t="str">
        <f>IF(SUM(COUNTIFS(I:I, I1320)) &gt; 1, "DUPLICATE", "UNIQUE")</f>
        <v>UNIQUE</v>
      </c>
      <c r="L1320" s="18">
        <v>0</v>
      </c>
      <c r="M1320" s="28">
        <v>65</v>
      </c>
      <c r="N1320" s="6">
        <v>144</v>
      </c>
      <c r="O1320" s="30">
        <f t="shared" si="124"/>
        <v>0</v>
      </c>
      <c r="P1320" s="30">
        <f t="shared" si="125"/>
        <v>9360</v>
      </c>
      <c r="Q1320" s="1">
        <f>COUNTIFS($P:$P, "&gt;" &amp; $P1320) + 1</f>
        <v>1837</v>
      </c>
      <c r="R1320" s="63">
        <f>(COUNTIFS($P:$P, "&gt;" &amp; $P1320) + 1) / (COUNTA($I:$I) - 1)</f>
        <v>0.3674</v>
      </c>
      <c r="S1320" s="23">
        <f>SUMIFS($P:$P, $Q:$Q, "&lt;" &amp; $Q1320)</f>
        <v>178593165</v>
      </c>
    </row>
    <row r="1321" spans="1:19" x14ac:dyDescent="0.25">
      <c r="A1321" s="1">
        <v>1316</v>
      </c>
      <c r="B1321" s="1" t="s">
        <v>2</v>
      </c>
      <c r="C1321" s="1" t="str">
        <f>IF($B1321 = "Production Item", _xlfn.XLOOKUP($A1321, 'Instrument Table'!$J:$J, 'Instrument Table'!$B:$B, $C1320), IF($B1321 = "Service Item", _xlfn.XLOOKUP($A1321, 'Instrument Table'!$I:$I, 'Instrument Table'!$B:$B, $C1320), _xlfn.XLOOKUP($A1321, 'Instrument Table'!$H:$H, 'Instrument Table'!$B:$B, $C1320)))</f>
        <v>Bass</v>
      </c>
      <c r="D1321" s="1" t="str">
        <f>VLOOKUP($C1321, 'Instrument Table'!$B:$C, 2, FALSE)</f>
        <v>Strings</v>
      </c>
      <c r="E1321" s="1">
        <f t="shared" si="120"/>
        <v>1</v>
      </c>
      <c r="F1321" s="1">
        <f>_xlfn.XLOOKUP($C1321, 'Instrument Table'!$B:$B, 'Instrument Table'!$A:$A, "")</f>
        <v>23</v>
      </c>
      <c r="G1321" s="1" t="str">
        <f>TEXT(IF($B1321 = "Retail Item", IF((ROW($A1321) - 4504 - _xlfn.XMATCH($C1321, $C$4506:$C$5005, 0, 1)) &lt;= VLOOKUP($C1321, 'Instrument Table'!$B:$D, 3, FALSE), ROW($A1321) - 4504 - _xlfn.XMATCH($C1321, $C$4506:$C$5005, 0, 1), 0), 0), "00")</f>
        <v>00</v>
      </c>
      <c r="H1321" s="1" t="str">
        <f t="shared" si="121"/>
        <v>015</v>
      </c>
      <c r="I1321" s="1" t="str">
        <f t="shared" si="122"/>
        <v>12300-015</v>
      </c>
      <c r="J1321" s="1" t="str">
        <f t="shared" si="123"/>
        <v>Bass production item #015</v>
      </c>
      <c r="K1321" s="1" t="str">
        <f>IF(SUM(COUNTIFS(I:I, I1321)) &gt; 1, "DUPLICATE", "UNIQUE")</f>
        <v>UNIQUE</v>
      </c>
      <c r="L1321" s="18">
        <v>0</v>
      </c>
      <c r="M1321" s="28">
        <v>96</v>
      </c>
      <c r="N1321" s="6">
        <v>196</v>
      </c>
      <c r="O1321" s="30">
        <f t="shared" si="124"/>
        <v>0</v>
      </c>
      <c r="P1321" s="30">
        <f t="shared" si="125"/>
        <v>18816</v>
      </c>
      <c r="Q1321" s="1">
        <f>COUNTIFS($P:$P, "&gt;" &amp; $P1321) + 1</f>
        <v>1110</v>
      </c>
      <c r="R1321" s="63">
        <f>(COUNTIFS($P:$P, "&gt;" &amp; $P1321) + 1) / (COUNTA($I:$I) - 1)</f>
        <v>0.222</v>
      </c>
      <c r="S1321" s="23">
        <f>SUMIFS($P:$P, $Q:$Q, "&lt;" &amp; $Q1321)</f>
        <v>168693970</v>
      </c>
    </row>
    <row r="1322" spans="1:19" x14ac:dyDescent="0.25">
      <c r="A1322" s="1">
        <v>1317</v>
      </c>
      <c r="B1322" s="1" t="s">
        <v>2</v>
      </c>
      <c r="C1322" s="1" t="str">
        <f>IF($B1322 = "Production Item", _xlfn.XLOOKUP($A1322, 'Instrument Table'!$J:$J, 'Instrument Table'!$B:$B, $C1321), IF($B1322 = "Service Item", _xlfn.XLOOKUP($A1322, 'Instrument Table'!$I:$I, 'Instrument Table'!$B:$B, $C1321), _xlfn.XLOOKUP($A1322, 'Instrument Table'!$H:$H, 'Instrument Table'!$B:$B, $C1321)))</f>
        <v>Bass</v>
      </c>
      <c r="D1322" s="1" t="str">
        <f>VLOOKUP($C1322, 'Instrument Table'!$B:$C, 2, FALSE)</f>
        <v>Strings</v>
      </c>
      <c r="E1322" s="1">
        <f t="shared" si="120"/>
        <v>1</v>
      </c>
      <c r="F1322" s="1">
        <f>_xlfn.XLOOKUP($C1322, 'Instrument Table'!$B:$B, 'Instrument Table'!$A:$A, "")</f>
        <v>23</v>
      </c>
      <c r="G1322" s="1" t="str">
        <f>TEXT(IF($B1322 = "Retail Item", IF((ROW($A1322) - 4504 - _xlfn.XMATCH($C1322, $C$4506:$C$5005, 0, 1)) &lt;= VLOOKUP($C1322, 'Instrument Table'!$B:$D, 3, FALSE), ROW($A1322) - 4504 - _xlfn.XMATCH($C1322, $C$4506:$C$5005, 0, 1), 0), 0), "00")</f>
        <v>00</v>
      </c>
      <c r="H1322" s="1" t="str">
        <f t="shared" si="121"/>
        <v>016</v>
      </c>
      <c r="I1322" s="1" t="str">
        <f t="shared" si="122"/>
        <v>12300-016</v>
      </c>
      <c r="J1322" s="1" t="str">
        <f t="shared" si="123"/>
        <v>Bass production item #016</v>
      </c>
      <c r="K1322" s="1" t="str">
        <f>IF(SUM(COUNTIFS(I:I, I1322)) &gt; 1, "DUPLICATE", "UNIQUE")</f>
        <v>UNIQUE</v>
      </c>
      <c r="L1322" s="18">
        <v>32</v>
      </c>
      <c r="M1322" s="28">
        <v>37</v>
      </c>
      <c r="N1322" s="6">
        <v>25</v>
      </c>
      <c r="O1322" s="30">
        <f t="shared" si="124"/>
        <v>1184</v>
      </c>
      <c r="P1322" s="30">
        <f t="shared" si="125"/>
        <v>925</v>
      </c>
      <c r="Q1322" s="1">
        <f>COUNTIFS($P:$P, "&gt;" &amp; $P1322) + 1</f>
        <v>3715</v>
      </c>
      <c r="R1322" s="63">
        <f>(COUNTIFS($P:$P, "&gt;" &amp; $P1322) + 1) / (COUNTA($I:$I) - 1)</f>
        <v>0.74299999999999999</v>
      </c>
      <c r="S1322" s="23">
        <f>SUMIFS($P:$P, $Q:$Q, "&lt;" &amp; $Q1322)</f>
        <v>186192975</v>
      </c>
    </row>
    <row r="1323" spans="1:19" x14ac:dyDescent="0.25">
      <c r="A1323" s="1">
        <v>1318</v>
      </c>
      <c r="B1323" s="1" t="s">
        <v>2</v>
      </c>
      <c r="C1323" s="1" t="str">
        <f>IF($B1323 = "Production Item", _xlfn.XLOOKUP($A1323, 'Instrument Table'!$J:$J, 'Instrument Table'!$B:$B, $C1322), IF($B1323 = "Service Item", _xlfn.XLOOKUP($A1323, 'Instrument Table'!$I:$I, 'Instrument Table'!$B:$B, $C1322), _xlfn.XLOOKUP($A1323, 'Instrument Table'!$H:$H, 'Instrument Table'!$B:$B, $C1322)))</f>
        <v>Bass</v>
      </c>
      <c r="D1323" s="1" t="str">
        <f>VLOOKUP($C1323, 'Instrument Table'!$B:$C, 2, FALSE)</f>
        <v>Strings</v>
      </c>
      <c r="E1323" s="1">
        <f t="shared" si="120"/>
        <v>1</v>
      </c>
      <c r="F1323" s="1">
        <f>_xlfn.XLOOKUP($C1323, 'Instrument Table'!$B:$B, 'Instrument Table'!$A:$A, "")</f>
        <v>23</v>
      </c>
      <c r="G1323" s="1" t="str">
        <f>TEXT(IF($B1323 = "Retail Item", IF((ROW($A1323) - 4504 - _xlfn.XMATCH($C1323, $C$4506:$C$5005, 0, 1)) &lt;= VLOOKUP($C1323, 'Instrument Table'!$B:$D, 3, FALSE), ROW($A1323) - 4504 - _xlfn.XMATCH($C1323, $C$4506:$C$5005, 0, 1), 0), 0), "00")</f>
        <v>00</v>
      </c>
      <c r="H1323" s="1" t="str">
        <f t="shared" si="121"/>
        <v>017</v>
      </c>
      <c r="I1323" s="1" t="str">
        <f t="shared" si="122"/>
        <v>12300-017</v>
      </c>
      <c r="J1323" s="1" t="str">
        <f t="shared" si="123"/>
        <v>Bass production item #017</v>
      </c>
      <c r="K1323" s="1" t="str">
        <f>IF(SUM(COUNTIFS(I:I, I1323)) &gt; 1, "DUPLICATE", "UNIQUE")</f>
        <v>UNIQUE</v>
      </c>
      <c r="L1323" s="18">
        <v>4</v>
      </c>
      <c r="M1323" s="28">
        <v>57</v>
      </c>
      <c r="N1323" s="6">
        <v>289</v>
      </c>
      <c r="O1323" s="30">
        <f t="shared" si="124"/>
        <v>228</v>
      </c>
      <c r="P1323" s="30">
        <f t="shared" si="125"/>
        <v>16473</v>
      </c>
      <c r="Q1323" s="1">
        <f>COUNTIFS($P:$P, "&gt;" &amp; $P1323) + 1</f>
        <v>1247</v>
      </c>
      <c r="R1323" s="63">
        <f>(COUNTIFS($P:$P, "&gt;" &amp; $P1323) + 1) / (COUNTA($I:$I) - 1)</f>
        <v>0.24940000000000001</v>
      </c>
      <c r="S1323" s="23">
        <f>SUMIFS($P:$P, $Q:$Q, "&lt;" &amp; $Q1323)</f>
        <v>171120042</v>
      </c>
    </row>
    <row r="1324" spans="1:19" x14ac:dyDescent="0.25">
      <c r="A1324" s="1">
        <v>1319</v>
      </c>
      <c r="B1324" s="1" t="s">
        <v>2</v>
      </c>
      <c r="C1324" s="1" t="str">
        <f>IF($B1324 = "Production Item", _xlfn.XLOOKUP($A1324, 'Instrument Table'!$J:$J, 'Instrument Table'!$B:$B, $C1323), IF($B1324 = "Service Item", _xlfn.XLOOKUP($A1324, 'Instrument Table'!$I:$I, 'Instrument Table'!$B:$B, $C1323), _xlfn.XLOOKUP($A1324, 'Instrument Table'!$H:$H, 'Instrument Table'!$B:$B, $C1323)))</f>
        <v>Bass</v>
      </c>
      <c r="D1324" s="1" t="str">
        <f>VLOOKUP($C1324, 'Instrument Table'!$B:$C, 2, FALSE)</f>
        <v>Strings</v>
      </c>
      <c r="E1324" s="1">
        <f t="shared" si="120"/>
        <v>1</v>
      </c>
      <c r="F1324" s="1">
        <f>_xlfn.XLOOKUP($C1324, 'Instrument Table'!$B:$B, 'Instrument Table'!$A:$A, "")</f>
        <v>23</v>
      </c>
      <c r="G1324" s="1" t="str">
        <f>TEXT(IF($B1324 = "Retail Item", IF((ROW($A1324) - 4504 - _xlfn.XMATCH($C1324, $C$4506:$C$5005, 0, 1)) &lt;= VLOOKUP($C1324, 'Instrument Table'!$B:$D, 3, FALSE), ROW($A1324) - 4504 - _xlfn.XMATCH($C1324, $C$4506:$C$5005, 0, 1), 0), 0), "00")</f>
        <v>00</v>
      </c>
      <c r="H1324" s="1" t="str">
        <f t="shared" si="121"/>
        <v>018</v>
      </c>
      <c r="I1324" s="1" t="str">
        <f t="shared" si="122"/>
        <v>12300-018</v>
      </c>
      <c r="J1324" s="1" t="str">
        <f t="shared" si="123"/>
        <v>Bass production item #018</v>
      </c>
      <c r="K1324" s="1" t="str">
        <f>IF(SUM(COUNTIFS(I:I, I1324)) &gt; 1, "DUPLICATE", "UNIQUE")</f>
        <v>UNIQUE</v>
      </c>
      <c r="L1324" s="18">
        <v>8</v>
      </c>
      <c r="M1324" s="28">
        <v>71</v>
      </c>
      <c r="N1324" s="6">
        <v>289</v>
      </c>
      <c r="O1324" s="30">
        <f t="shared" si="124"/>
        <v>568</v>
      </c>
      <c r="P1324" s="30">
        <f t="shared" si="125"/>
        <v>20519</v>
      </c>
      <c r="Q1324" s="1">
        <f>COUNTIFS($P:$P, "&gt;" &amp; $P1324) + 1</f>
        <v>1026</v>
      </c>
      <c r="R1324" s="63">
        <f>(COUNTIFS($P:$P, "&gt;" &amp; $P1324) + 1) / (COUNTA($I:$I) - 1)</f>
        <v>0.20519999999999999</v>
      </c>
      <c r="S1324" s="23">
        <f>SUMIFS($P:$P, $Q:$Q, "&lt;" &amp; $Q1324)</f>
        <v>167032975</v>
      </c>
    </row>
    <row r="1325" spans="1:19" x14ac:dyDescent="0.25">
      <c r="A1325" s="1">
        <v>1320</v>
      </c>
      <c r="B1325" s="1" t="s">
        <v>2</v>
      </c>
      <c r="C1325" s="1" t="str">
        <f>IF($B1325 = "Production Item", _xlfn.XLOOKUP($A1325, 'Instrument Table'!$J:$J, 'Instrument Table'!$B:$B, $C1324), IF($B1325 = "Service Item", _xlfn.XLOOKUP($A1325, 'Instrument Table'!$I:$I, 'Instrument Table'!$B:$B, $C1324), _xlfn.XLOOKUP($A1325, 'Instrument Table'!$H:$H, 'Instrument Table'!$B:$B, $C1324)))</f>
        <v>Bass</v>
      </c>
      <c r="D1325" s="1" t="str">
        <f>VLOOKUP($C1325, 'Instrument Table'!$B:$C, 2, FALSE)</f>
        <v>Strings</v>
      </c>
      <c r="E1325" s="1">
        <f t="shared" si="120"/>
        <v>1</v>
      </c>
      <c r="F1325" s="1">
        <f>_xlfn.XLOOKUP($C1325, 'Instrument Table'!$B:$B, 'Instrument Table'!$A:$A, "")</f>
        <v>23</v>
      </c>
      <c r="G1325" s="1" t="str">
        <f>TEXT(IF($B1325 = "Retail Item", IF((ROW($A1325) - 4504 - _xlfn.XMATCH($C1325, $C$4506:$C$5005, 0, 1)) &lt;= VLOOKUP($C1325, 'Instrument Table'!$B:$D, 3, FALSE), ROW($A1325) - 4504 - _xlfn.XMATCH($C1325, $C$4506:$C$5005, 0, 1), 0), 0), "00")</f>
        <v>00</v>
      </c>
      <c r="H1325" s="1" t="str">
        <f t="shared" si="121"/>
        <v>019</v>
      </c>
      <c r="I1325" s="1" t="str">
        <f t="shared" si="122"/>
        <v>12300-019</v>
      </c>
      <c r="J1325" s="1" t="str">
        <f t="shared" si="123"/>
        <v>Bass production item #019</v>
      </c>
      <c r="K1325" s="1" t="str">
        <f>IF(SUM(COUNTIFS(I:I, I1325)) &gt; 1, "DUPLICATE", "UNIQUE")</f>
        <v>UNIQUE</v>
      </c>
      <c r="L1325" s="18">
        <v>16</v>
      </c>
      <c r="M1325" s="28">
        <v>60</v>
      </c>
      <c r="N1325" s="6">
        <v>400</v>
      </c>
      <c r="O1325" s="30">
        <f t="shared" si="124"/>
        <v>960</v>
      </c>
      <c r="P1325" s="30">
        <f t="shared" si="125"/>
        <v>24000</v>
      </c>
      <c r="Q1325" s="1">
        <f>COUNTIFS($P:$P, "&gt;" &amp; $P1325) + 1</f>
        <v>869</v>
      </c>
      <c r="R1325" s="63">
        <f>(COUNTIFS($P:$P, "&gt;" &amp; $P1325) + 1) / (COUNTA($I:$I) - 1)</f>
        <v>0.17380000000000001</v>
      </c>
      <c r="S1325" s="23">
        <f>SUMIFS($P:$P, $Q:$Q, "&lt;" &amp; $Q1325)</f>
        <v>163547085</v>
      </c>
    </row>
    <row r="1326" spans="1:19" x14ac:dyDescent="0.25">
      <c r="A1326" s="1">
        <v>1321</v>
      </c>
      <c r="B1326" s="1" t="s">
        <v>2</v>
      </c>
      <c r="C1326" s="1" t="str">
        <f>IF($B1326 = "Production Item", _xlfn.XLOOKUP($A1326, 'Instrument Table'!$J:$J, 'Instrument Table'!$B:$B, $C1325), IF($B1326 = "Service Item", _xlfn.XLOOKUP($A1326, 'Instrument Table'!$I:$I, 'Instrument Table'!$B:$B, $C1325), _xlfn.XLOOKUP($A1326, 'Instrument Table'!$H:$H, 'Instrument Table'!$B:$B, $C1325)))</f>
        <v>Bass</v>
      </c>
      <c r="D1326" s="1" t="str">
        <f>VLOOKUP($C1326, 'Instrument Table'!$B:$C, 2, FALSE)</f>
        <v>Strings</v>
      </c>
      <c r="E1326" s="1">
        <f t="shared" si="120"/>
        <v>1</v>
      </c>
      <c r="F1326" s="1">
        <f>_xlfn.XLOOKUP($C1326, 'Instrument Table'!$B:$B, 'Instrument Table'!$A:$A, "")</f>
        <v>23</v>
      </c>
      <c r="G1326" s="1" t="str">
        <f>TEXT(IF($B1326 = "Retail Item", IF((ROW($A1326) - 4504 - _xlfn.XMATCH($C1326, $C$4506:$C$5005, 0, 1)) &lt;= VLOOKUP($C1326, 'Instrument Table'!$B:$D, 3, FALSE), ROW($A1326) - 4504 - _xlfn.XMATCH($C1326, $C$4506:$C$5005, 0, 1), 0), 0), "00")</f>
        <v>00</v>
      </c>
      <c r="H1326" s="1" t="str">
        <f t="shared" si="121"/>
        <v>020</v>
      </c>
      <c r="I1326" s="1" t="str">
        <f t="shared" si="122"/>
        <v>12300-020</v>
      </c>
      <c r="J1326" s="1" t="str">
        <f t="shared" si="123"/>
        <v>Bass production item #020</v>
      </c>
      <c r="K1326" s="1" t="str">
        <f>IF(SUM(COUNTIFS(I:I, I1326)) &gt; 1, "DUPLICATE", "UNIQUE")</f>
        <v>UNIQUE</v>
      </c>
      <c r="L1326" s="18">
        <v>1</v>
      </c>
      <c r="M1326" s="28">
        <v>44</v>
      </c>
      <c r="N1326" s="6">
        <v>400</v>
      </c>
      <c r="O1326" s="30">
        <f t="shared" si="124"/>
        <v>44</v>
      </c>
      <c r="P1326" s="30">
        <f t="shared" si="125"/>
        <v>17600</v>
      </c>
      <c r="Q1326" s="1">
        <f>COUNTIFS($P:$P, "&gt;" &amp; $P1326) + 1</f>
        <v>1182</v>
      </c>
      <c r="R1326" s="63">
        <f>(COUNTIFS($P:$P, "&gt;" &amp; $P1326) + 1) / (COUNTA($I:$I) - 1)</f>
        <v>0.2364</v>
      </c>
      <c r="S1326" s="23">
        <f>SUMIFS($P:$P, $Q:$Q, "&lt;" &amp; $Q1326)</f>
        <v>170011245</v>
      </c>
    </row>
    <row r="1327" spans="1:19" x14ac:dyDescent="0.25">
      <c r="A1327" s="1">
        <v>1322</v>
      </c>
      <c r="B1327" s="1" t="s">
        <v>2</v>
      </c>
      <c r="C1327" s="1" t="str">
        <f>IF($B1327 = "Production Item", _xlfn.XLOOKUP($A1327, 'Instrument Table'!$J:$J, 'Instrument Table'!$B:$B, $C1326), IF($B1327 = "Service Item", _xlfn.XLOOKUP($A1327, 'Instrument Table'!$I:$I, 'Instrument Table'!$B:$B, $C1326), _xlfn.XLOOKUP($A1327, 'Instrument Table'!$H:$H, 'Instrument Table'!$B:$B, $C1326)))</f>
        <v>Bass</v>
      </c>
      <c r="D1327" s="1" t="str">
        <f>VLOOKUP($C1327, 'Instrument Table'!$B:$C, 2, FALSE)</f>
        <v>Strings</v>
      </c>
      <c r="E1327" s="1">
        <f t="shared" si="120"/>
        <v>1</v>
      </c>
      <c r="F1327" s="1">
        <f>_xlfn.XLOOKUP($C1327, 'Instrument Table'!$B:$B, 'Instrument Table'!$A:$A, "")</f>
        <v>23</v>
      </c>
      <c r="G1327" s="1" t="str">
        <f>TEXT(IF($B1327 = "Retail Item", IF((ROW($A1327) - 4504 - _xlfn.XMATCH($C1327, $C$4506:$C$5005, 0, 1)) &lt;= VLOOKUP($C1327, 'Instrument Table'!$B:$D, 3, FALSE), ROW($A1327) - 4504 - _xlfn.XMATCH($C1327, $C$4506:$C$5005, 0, 1), 0), 0), "00")</f>
        <v>00</v>
      </c>
      <c r="H1327" s="1" t="str">
        <f t="shared" si="121"/>
        <v>021</v>
      </c>
      <c r="I1327" s="1" t="str">
        <f t="shared" si="122"/>
        <v>12300-021</v>
      </c>
      <c r="J1327" s="1" t="str">
        <f t="shared" si="123"/>
        <v>Bass production item #021</v>
      </c>
      <c r="K1327" s="1" t="str">
        <f>IF(SUM(COUNTIFS(I:I, I1327)) &gt; 1, "DUPLICATE", "UNIQUE")</f>
        <v>UNIQUE</v>
      </c>
      <c r="L1327" s="18">
        <v>1</v>
      </c>
      <c r="M1327" s="28">
        <v>96</v>
      </c>
      <c r="N1327" s="6">
        <v>361</v>
      </c>
      <c r="O1327" s="30">
        <f t="shared" si="124"/>
        <v>96</v>
      </c>
      <c r="P1327" s="30">
        <f t="shared" si="125"/>
        <v>34656</v>
      </c>
      <c r="Q1327" s="1">
        <f>COUNTIFS($P:$P, "&gt;" &amp; $P1327) + 1</f>
        <v>608</v>
      </c>
      <c r="R1327" s="63">
        <f>(COUNTIFS($P:$P, "&gt;" &amp; $P1327) + 1) / (COUNTA($I:$I) - 1)</f>
        <v>0.1216</v>
      </c>
      <c r="S1327" s="23">
        <f>SUMIFS($P:$P, $Q:$Q, "&lt;" &amp; $Q1327)</f>
        <v>156150620</v>
      </c>
    </row>
    <row r="1328" spans="1:19" x14ac:dyDescent="0.25">
      <c r="A1328" s="1">
        <v>1323</v>
      </c>
      <c r="B1328" s="1" t="s">
        <v>2</v>
      </c>
      <c r="C1328" s="1" t="str">
        <f>IF($B1328 = "Production Item", _xlfn.XLOOKUP($A1328, 'Instrument Table'!$J:$J, 'Instrument Table'!$B:$B, $C1327), IF($B1328 = "Service Item", _xlfn.XLOOKUP($A1328, 'Instrument Table'!$I:$I, 'Instrument Table'!$B:$B, $C1327), _xlfn.XLOOKUP($A1328, 'Instrument Table'!$H:$H, 'Instrument Table'!$B:$B, $C1327)))</f>
        <v>Bass</v>
      </c>
      <c r="D1328" s="1" t="str">
        <f>VLOOKUP($C1328, 'Instrument Table'!$B:$C, 2, FALSE)</f>
        <v>Strings</v>
      </c>
      <c r="E1328" s="1">
        <f t="shared" si="120"/>
        <v>1</v>
      </c>
      <c r="F1328" s="1">
        <f>_xlfn.XLOOKUP($C1328, 'Instrument Table'!$B:$B, 'Instrument Table'!$A:$A, "")</f>
        <v>23</v>
      </c>
      <c r="G1328" s="1" t="str">
        <f>TEXT(IF($B1328 = "Retail Item", IF((ROW($A1328) - 4504 - _xlfn.XMATCH($C1328, $C$4506:$C$5005, 0, 1)) &lt;= VLOOKUP($C1328, 'Instrument Table'!$B:$D, 3, FALSE), ROW($A1328) - 4504 - _xlfn.XMATCH($C1328, $C$4506:$C$5005, 0, 1), 0), 0), "00")</f>
        <v>00</v>
      </c>
      <c r="H1328" s="1" t="str">
        <f t="shared" si="121"/>
        <v>022</v>
      </c>
      <c r="I1328" s="1" t="str">
        <f t="shared" si="122"/>
        <v>12300-022</v>
      </c>
      <c r="J1328" s="1" t="str">
        <f t="shared" si="123"/>
        <v>Bass production item #022</v>
      </c>
      <c r="K1328" s="1" t="str">
        <f>IF(SUM(COUNTIFS(I:I, I1328)) &gt; 1, "DUPLICATE", "UNIQUE")</f>
        <v>UNIQUE</v>
      </c>
      <c r="L1328" s="18">
        <v>1</v>
      </c>
      <c r="M1328" s="28">
        <v>74</v>
      </c>
      <c r="N1328" s="6">
        <v>256</v>
      </c>
      <c r="O1328" s="30">
        <f t="shared" si="124"/>
        <v>74</v>
      </c>
      <c r="P1328" s="30">
        <f t="shared" si="125"/>
        <v>18944</v>
      </c>
      <c r="Q1328" s="1">
        <f>COUNTIFS($P:$P, "&gt;" &amp; $P1328) + 1</f>
        <v>1105</v>
      </c>
      <c r="R1328" s="63">
        <f>(COUNTIFS($P:$P, "&gt;" &amp; $P1328) + 1) / (COUNTA($I:$I) - 1)</f>
        <v>0.221</v>
      </c>
      <c r="S1328" s="23">
        <f>SUMIFS($P:$P, $Q:$Q, "&lt;" &amp; $Q1328)</f>
        <v>168599402</v>
      </c>
    </row>
    <row r="1329" spans="1:19" x14ac:dyDescent="0.25">
      <c r="A1329" s="1">
        <v>1324</v>
      </c>
      <c r="B1329" s="1" t="s">
        <v>2</v>
      </c>
      <c r="C1329" s="1" t="str">
        <f>IF($B1329 = "Production Item", _xlfn.XLOOKUP($A1329, 'Instrument Table'!$J:$J, 'Instrument Table'!$B:$B, $C1328), IF($B1329 = "Service Item", _xlfn.XLOOKUP($A1329, 'Instrument Table'!$I:$I, 'Instrument Table'!$B:$B, $C1328), _xlfn.XLOOKUP($A1329, 'Instrument Table'!$H:$H, 'Instrument Table'!$B:$B, $C1328)))</f>
        <v>Bass</v>
      </c>
      <c r="D1329" s="1" t="str">
        <f>VLOOKUP($C1329, 'Instrument Table'!$B:$C, 2, FALSE)</f>
        <v>Strings</v>
      </c>
      <c r="E1329" s="1">
        <f t="shared" si="120"/>
        <v>1</v>
      </c>
      <c r="F1329" s="1">
        <f>_xlfn.XLOOKUP($C1329, 'Instrument Table'!$B:$B, 'Instrument Table'!$A:$A, "")</f>
        <v>23</v>
      </c>
      <c r="G1329" s="1" t="str">
        <f>TEXT(IF($B1329 = "Retail Item", IF((ROW($A1329) - 4504 - _xlfn.XMATCH($C1329, $C$4506:$C$5005, 0, 1)) &lt;= VLOOKUP($C1329, 'Instrument Table'!$B:$D, 3, FALSE), ROW($A1329) - 4504 - _xlfn.XMATCH($C1329, $C$4506:$C$5005, 0, 1), 0), 0), "00")</f>
        <v>00</v>
      </c>
      <c r="H1329" s="1" t="str">
        <f t="shared" si="121"/>
        <v>023</v>
      </c>
      <c r="I1329" s="1" t="str">
        <f t="shared" si="122"/>
        <v>12300-023</v>
      </c>
      <c r="J1329" s="1" t="str">
        <f t="shared" si="123"/>
        <v>Bass production item #023</v>
      </c>
      <c r="K1329" s="1" t="str">
        <f>IF(SUM(COUNTIFS(I:I, I1329)) &gt; 1, "DUPLICATE", "UNIQUE")</f>
        <v>UNIQUE</v>
      </c>
      <c r="L1329" s="18">
        <v>1</v>
      </c>
      <c r="M1329" s="28">
        <v>64</v>
      </c>
      <c r="N1329" s="6">
        <v>169</v>
      </c>
      <c r="O1329" s="30">
        <f t="shared" si="124"/>
        <v>64</v>
      </c>
      <c r="P1329" s="30">
        <f t="shared" si="125"/>
        <v>10816</v>
      </c>
      <c r="Q1329" s="1">
        <f>COUNTIFS($P:$P, "&gt;" &amp; $P1329) + 1</f>
        <v>1702</v>
      </c>
      <c r="R1329" s="63">
        <f>(COUNTIFS($P:$P, "&gt;" &amp; $P1329) + 1) / (COUNTA($I:$I) - 1)</f>
        <v>0.34039999999999998</v>
      </c>
      <c r="S1329" s="23">
        <f>SUMIFS($P:$P, $Q:$Q, "&lt;" &amp; $Q1329)</f>
        <v>177235096</v>
      </c>
    </row>
    <row r="1330" spans="1:19" x14ac:dyDescent="0.25">
      <c r="A1330" s="1">
        <v>1325</v>
      </c>
      <c r="B1330" s="1" t="s">
        <v>2</v>
      </c>
      <c r="C1330" s="1" t="str">
        <f>IF($B1330 = "Production Item", _xlfn.XLOOKUP($A1330, 'Instrument Table'!$J:$J, 'Instrument Table'!$B:$B, $C1329), IF($B1330 = "Service Item", _xlfn.XLOOKUP($A1330, 'Instrument Table'!$I:$I, 'Instrument Table'!$B:$B, $C1329), _xlfn.XLOOKUP($A1330, 'Instrument Table'!$H:$H, 'Instrument Table'!$B:$B, $C1329)))</f>
        <v>Bass</v>
      </c>
      <c r="D1330" s="1" t="str">
        <f>VLOOKUP($C1330, 'Instrument Table'!$B:$C, 2, FALSE)</f>
        <v>Strings</v>
      </c>
      <c r="E1330" s="1">
        <f t="shared" si="120"/>
        <v>1</v>
      </c>
      <c r="F1330" s="1">
        <f>_xlfn.XLOOKUP($C1330, 'Instrument Table'!$B:$B, 'Instrument Table'!$A:$A, "")</f>
        <v>23</v>
      </c>
      <c r="G1330" s="1" t="str">
        <f>TEXT(IF($B1330 = "Retail Item", IF((ROW($A1330) - 4504 - _xlfn.XMATCH($C1330, $C$4506:$C$5005, 0, 1)) &lt;= VLOOKUP($C1330, 'Instrument Table'!$B:$D, 3, FALSE), ROW($A1330) - 4504 - _xlfn.XMATCH($C1330, $C$4506:$C$5005, 0, 1), 0), 0), "00")</f>
        <v>00</v>
      </c>
      <c r="H1330" s="1" t="str">
        <f t="shared" si="121"/>
        <v>024</v>
      </c>
      <c r="I1330" s="1" t="str">
        <f t="shared" si="122"/>
        <v>12300-024</v>
      </c>
      <c r="J1330" s="1" t="str">
        <f t="shared" si="123"/>
        <v>Bass production item #024</v>
      </c>
      <c r="K1330" s="1" t="str">
        <f>IF(SUM(COUNTIFS(I:I, I1330)) &gt; 1, "DUPLICATE", "UNIQUE")</f>
        <v>UNIQUE</v>
      </c>
      <c r="L1330" s="18">
        <v>1</v>
      </c>
      <c r="M1330" s="28">
        <v>66</v>
      </c>
      <c r="N1330" s="6">
        <v>36</v>
      </c>
      <c r="O1330" s="30">
        <f t="shared" si="124"/>
        <v>66</v>
      </c>
      <c r="P1330" s="30">
        <f t="shared" si="125"/>
        <v>2376</v>
      </c>
      <c r="Q1330" s="1">
        <f>COUNTIFS($P:$P, "&gt;" &amp; $P1330) + 1</f>
        <v>3094</v>
      </c>
      <c r="R1330" s="63">
        <f>(COUNTIFS($P:$P, "&gt;" &amp; $P1330) + 1) / (COUNTA($I:$I) - 1)</f>
        <v>0.61880000000000002</v>
      </c>
      <c r="S1330" s="23">
        <f>SUMIFS($P:$P, $Q:$Q, "&lt;" &amp; $Q1330)</f>
        <v>185168222</v>
      </c>
    </row>
    <row r="1331" spans="1:19" x14ac:dyDescent="0.25">
      <c r="A1331" s="1">
        <v>1326</v>
      </c>
      <c r="B1331" s="1" t="s">
        <v>2</v>
      </c>
      <c r="C1331" s="1" t="str">
        <f>IF($B1331 = "Production Item", _xlfn.XLOOKUP($A1331, 'Instrument Table'!$J:$J, 'Instrument Table'!$B:$B, $C1330), IF($B1331 = "Service Item", _xlfn.XLOOKUP($A1331, 'Instrument Table'!$I:$I, 'Instrument Table'!$B:$B, $C1330), _xlfn.XLOOKUP($A1331, 'Instrument Table'!$H:$H, 'Instrument Table'!$B:$B, $C1330)))</f>
        <v>Bass</v>
      </c>
      <c r="D1331" s="1" t="str">
        <f>VLOOKUP($C1331, 'Instrument Table'!$B:$C, 2, FALSE)</f>
        <v>Strings</v>
      </c>
      <c r="E1331" s="1">
        <f t="shared" si="120"/>
        <v>1</v>
      </c>
      <c r="F1331" s="1">
        <f>_xlfn.XLOOKUP($C1331, 'Instrument Table'!$B:$B, 'Instrument Table'!$A:$A, "")</f>
        <v>23</v>
      </c>
      <c r="G1331" s="1" t="str">
        <f>TEXT(IF($B1331 = "Retail Item", IF((ROW($A1331) - 4504 - _xlfn.XMATCH($C1331, $C$4506:$C$5005, 0, 1)) &lt;= VLOOKUP($C1331, 'Instrument Table'!$B:$D, 3, FALSE), ROW($A1331) - 4504 - _xlfn.XMATCH($C1331, $C$4506:$C$5005, 0, 1), 0), 0), "00")</f>
        <v>00</v>
      </c>
      <c r="H1331" s="1" t="str">
        <f t="shared" si="121"/>
        <v>025</v>
      </c>
      <c r="I1331" s="1" t="str">
        <f t="shared" si="122"/>
        <v>12300-025</v>
      </c>
      <c r="J1331" s="1" t="str">
        <f t="shared" si="123"/>
        <v>Bass production item #025</v>
      </c>
      <c r="K1331" s="1" t="str">
        <f>IF(SUM(COUNTIFS(I:I, I1331)) &gt; 1, "DUPLICATE", "UNIQUE")</f>
        <v>UNIQUE</v>
      </c>
      <c r="L1331" s="18">
        <v>1</v>
      </c>
      <c r="M1331" s="28">
        <v>57</v>
      </c>
      <c r="N1331" s="6">
        <v>324</v>
      </c>
      <c r="O1331" s="30">
        <f t="shared" si="124"/>
        <v>57</v>
      </c>
      <c r="P1331" s="30">
        <f t="shared" si="125"/>
        <v>18468</v>
      </c>
      <c r="Q1331" s="1">
        <f>COUNTIFS($P:$P, "&gt;" &amp; $P1331) + 1</f>
        <v>1132</v>
      </c>
      <c r="R1331" s="63">
        <f>(COUNTIFS($P:$P, "&gt;" &amp; $P1331) + 1) / (COUNTA($I:$I) - 1)</f>
        <v>0.22639999999999999</v>
      </c>
      <c r="S1331" s="23">
        <f>SUMIFS($P:$P, $Q:$Q, "&lt;" &amp; $Q1331)</f>
        <v>169105103</v>
      </c>
    </row>
    <row r="1332" spans="1:19" x14ac:dyDescent="0.25">
      <c r="A1332" s="1">
        <v>1327</v>
      </c>
      <c r="B1332" s="1" t="s">
        <v>2</v>
      </c>
      <c r="C1332" s="1" t="str">
        <f>IF($B1332 = "Production Item", _xlfn.XLOOKUP($A1332, 'Instrument Table'!$J:$J, 'Instrument Table'!$B:$B, $C1331), IF($B1332 = "Service Item", _xlfn.XLOOKUP($A1332, 'Instrument Table'!$I:$I, 'Instrument Table'!$B:$B, $C1331), _xlfn.XLOOKUP($A1332, 'Instrument Table'!$H:$H, 'Instrument Table'!$B:$B, $C1331)))</f>
        <v>Bass</v>
      </c>
      <c r="D1332" s="1" t="str">
        <f>VLOOKUP($C1332, 'Instrument Table'!$B:$C, 2, FALSE)</f>
        <v>Strings</v>
      </c>
      <c r="E1332" s="1">
        <f t="shared" si="120"/>
        <v>1</v>
      </c>
      <c r="F1332" s="1">
        <f>_xlfn.XLOOKUP($C1332, 'Instrument Table'!$B:$B, 'Instrument Table'!$A:$A, "")</f>
        <v>23</v>
      </c>
      <c r="G1332" s="1" t="str">
        <f>TEXT(IF($B1332 = "Retail Item", IF((ROW($A1332) - 4504 - _xlfn.XMATCH($C1332, $C$4506:$C$5005, 0, 1)) &lt;= VLOOKUP($C1332, 'Instrument Table'!$B:$D, 3, FALSE), ROW($A1332) - 4504 - _xlfn.XMATCH($C1332, $C$4506:$C$5005, 0, 1), 0), 0), "00")</f>
        <v>00</v>
      </c>
      <c r="H1332" s="1" t="str">
        <f t="shared" si="121"/>
        <v>026</v>
      </c>
      <c r="I1332" s="1" t="str">
        <f t="shared" si="122"/>
        <v>12300-026</v>
      </c>
      <c r="J1332" s="1" t="str">
        <f t="shared" si="123"/>
        <v>Bass production item #026</v>
      </c>
      <c r="K1332" s="1" t="str">
        <f>IF(SUM(COUNTIFS(I:I, I1332)) &gt; 1, "DUPLICATE", "UNIQUE")</f>
        <v>UNIQUE</v>
      </c>
      <c r="L1332" s="18">
        <v>1</v>
      </c>
      <c r="M1332" s="28">
        <v>3</v>
      </c>
      <c r="N1332" s="6">
        <v>169</v>
      </c>
      <c r="O1332" s="30">
        <f t="shared" si="124"/>
        <v>3</v>
      </c>
      <c r="P1332" s="30">
        <f t="shared" si="125"/>
        <v>507</v>
      </c>
      <c r="Q1332" s="1">
        <f>COUNTIFS($P:$P, "&gt;" &amp; $P1332) + 1</f>
        <v>4020</v>
      </c>
      <c r="R1332" s="63">
        <f>(COUNTIFS($P:$P, "&gt;" &amp; $P1332) + 1) / (COUNTA($I:$I) - 1)</f>
        <v>0.80400000000000005</v>
      </c>
      <c r="S1332" s="23">
        <f>SUMIFS($P:$P, $Q:$Q, "&lt;" &amp; $Q1332)</f>
        <v>186408626</v>
      </c>
    </row>
    <row r="1333" spans="1:19" x14ac:dyDescent="0.25">
      <c r="A1333" s="1">
        <v>1328</v>
      </c>
      <c r="B1333" s="1" t="s">
        <v>2</v>
      </c>
      <c r="C1333" s="1" t="str">
        <f>IF($B1333 = "Production Item", _xlfn.XLOOKUP($A1333, 'Instrument Table'!$J:$J, 'Instrument Table'!$B:$B, $C1332), IF($B1333 = "Service Item", _xlfn.XLOOKUP($A1333, 'Instrument Table'!$I:$I, 'Instrument Table'!$B:$B, $C1332), _xlfn.XLOOKUP($A1333, 'Instrument Table'!$H:$H, 'Instrument Table'!$B:$B, $C1332)))</f>
        <v>Bass</v>
      </c>
      <c r="D1333" s="1" t="str">
        <f>VLOOKUP($C1333, 'Instrument Table'!$B:$C, 2, FALSE)</f>
        <v>Strings</v>
      </c>
      <c r="E1333" s="1">
        <f t="shared" si="120"/>
        <v>1</v>
      </c>
      <c r="F1333" s="1">
        <f>_xlfn.XLOOKUP($C1333, 'Instrument Table'!$B:$B, 'Instrument Table'!$A:$A, "")</f>
        <v>23</v>
      </c>
      <c r="G1333" s="1" t="str">
        <f>TEXT(IF($B1333 = "Retail Item", IF((ROW($A1333) - 4504 - _xlfn.XMATCH($C1333, $C$4506:$C$5005, 0, 1)) &lt;= VLOOKUP($C1333, 'Instrument Table'!$B:$D, 3, FALSE), ROW($A1333) - 4504 - _xlfn.XMATCH($C1333, $C$4506:$C$5005, 0, 1), 0), 0), "00")</f>
        <v>00</v>
      </c>
      <c r="H1333" s="1" t="str">
        <f t="shared" si="121"/>
        <v>027</v>
      </c>
      <c r="I1333" s="1" t="str">
        <f t="shared" si="122"/>
        <v>12300-027</v>
      </c>
      <c r="J1333" s="1" t="str">
        <f t="shared" si="123"/>
        <v>Bass production item #027</v>
      </c>
      <c r="K1333" s="1" t="str">
        <f>IF(SUM(COUNTIFS(I:I, I1333)) &gt; 1, "DUPLICATE", "UNIQUE")</f>
        <v>UNIQUE</v>
      </c>
      <c r="L1333" s="18">
        <v>16</v>
      </c>
      <c r="M1333" s="28">
        <v>86</v>
      </c>
      <c r="N1333" s="6">
        <v>49</v>
      </c>
      <c r="O1333" s="30">
        <f t="shared" si="124"/>
        <v>1376</v>
      </c>
      <c r="P1333" s="30">
        <f t="shared" si="125"/>
        <v>4214</v>
      </c>
      <c r="Q1333" s="1">
        <f>COUNTIFS($P:$P, "&gt;" &amp; $P1333) + 1</f>
        <v>2612</v>
      </c>
      <c r="R1333" s="63">
        <f>(COUNTIFS($P:$P, "&gt;" &amp; $P1333) + 1) / (COUNTA($I:$I) - 1)</f>
        <v>0.52239999999999998</v>
      </c>
      <c r="S1333" s="23">
        <f>SUMIFS($P:$P, $Q:$Q, "&lt;" &amp; $Q1333)</f>
        <v>183614111</v>
      </c>
    </row>
    <row r="1334" spans="1:19" x14ac:dyDescent="0.25">
      <c r="A1334" s="1">
        <v>1329</v>
      </c>
      <c r="B1334" s="1" t="s">
        <v>2</v>
      </c>
      <c r="C1334" s="1" t="str">
        <f>IF($B1334 = "Production Item", _xlfn.XLOOKUP($A1334, 'Instrument Table'!$J:$J, 'Instrument Table'!$B:$B, $C1333), IF($B1334 = "Service Item", _xlfn.XLOOKUP($A1334, 'Instrument Table'!$I:$I, 'Instrument Table'!$B:$B, $C1333), _xlfn.XLOOKUP($A1334, 'Instrument Table'!$H:$H, 'Instrument Table'!$B:$B, $C1333)))</f>
        <v>Bass</v>
      </c>
      <c r="D1334" s="1" t="str">
        <f>VLOOKUP($C1334, 'Instrument Table'!$B:$C, 2, FALSE)</f>
        <v>Strings</v>
      </c>
      <c r="E1334" s="1">
        <f t="shared" si="120"/>
        <v>1</v>
      </c>
      <c r="F1334" s="1">
        <f>_xlfn.XLOOKUP($C1334, 'Instrument Table'!$B:$B, 'Instrument Table'!$A:$A, "")</f>
        <v>23</v>
      </c>
      <c r="G1334" s="1" t="str">
        <f>TEXT(IF($B1334 = "Retail Item", IF((ROW($A1334) - 4504 - _xlfn.XMATCH($C1334, $C$4506:$C$5005, 0, 1)) &lt;= VLOOKUP($C1334, 'Instrument Table'!$B:$D, 3, FALSE), ROW($A1334) - 4504 - _xlfn.XMATCH($C1334, $C$4506:$C$5005, 0, 1), 0), 0), "00")</f>
        <v>00</v>
      </c>
      <c r="H1334" s="1" t="str">
        <f t="shared" si="121"/>
        <v>028</v>
      </c>
      <c r="I1334" s="1" t="str">
        <f t="shared" si="122"/>
        <v>12300-028</v>
      </c>
      <c r="J1334" s="1" t="str">
        <f t="shared" si="123"/>
        <v>Bass production item #028</v>
      </c>
      <c r="K1334" s="1" t="str">
        <f>IF(SUM(COUNTIFS(I:I, I1334)) &gt; 1, "DUPLICATE", "UNIQUE")</f>
        <v>UNIQUE</v>
      </c>
      <c r="L1334" s="18">
        <v>1</v>
      </c>
      <c r="M1334" s="28">
        <v>31</v>
      </c>
      <c r="N1334" s="6">
        <v>256</v>
      </c>
      <c r="O1334" s="30">
        <f t="shared" si="124"/>
        <v>31</v>
      </c>
      <c r="P1334" s="30">
        <f t="shared" si="125"/>
        <v>7936</v>
      </c>
      <c r="Q1334" s="1">
        <f>COUNTIFS($P:$P, "&gt;" &amp; $P1334) + 1</f>
        <v>1996</v>
      </c>
      <c r="R1334" s="63">
        <f>(COUNTIFS($P:$P, "&gt;" &amp; $P1334) + 1) / (COUNTA($I:$I) - 1)</f>
        <v>0.3992</v>
      </c>
      <c r="S1334" s="23">
        <f>SUMIFS($P:$P, $Q:$Q, "&lt;" &amp; $Q1334)</f>
        <v>179964727</v>
      </c>
    </row>
    <row r="1335" spans="1:19" x14ac:dyDescent="0.25">
      <c r="A1335" s="1">
        <v>1330</v>
      </c>
      <c r="B1335" s="1" t="s">
        <v>2</v>
      </c>
      <c r="C1335" s="1" t="str">
        <f>IF($B1335 = "Production Item", _xlfn.XLOOKUP($A1335, 'Instrument Table'!$J:$J, 'Instrument Table'!$B:$B, $C1334), IF($B1335 = "Service Item", _xlfn.XLOOKUP($A1335, 'Instrument Table'!$I:$I, 'Instrument Table'!$B:$B, $C1334), _xlfn.XLOOKUP($A1335, 'Instrument Table'!$H:$H, 'Instrument Table'!$B:$B, $C1334)))</f>
        <v>Bass</v>
      </c>
      <c r="D1335" s="1" t="str">
        <f>VLOOKUP($C1335, 'Instrument Table'!$B:$C, 2, FALSE)</f>
        <v>Strings</v>
      </c>
      <c r="E1335" s="1">
        <f t="shared" si="120"/>
        <v>1</v>
      </c>
      <c r="F1335" s="1">
        <f>_xlfn.XLOOKUP($C1335, 'Instrument Table'!$B:$B, 'Instrument Table'!$A:$A, "")</f>
        <v>23</v>
      </c>
      <c r="G1335" s="1" t="str">
        <f>TEXT(IF($B1335 = "Retail Item", IF((ROW($A1335) - 4504 - _xlfn.XMATCH($C1335, $C$4506:$C$5005, 0, 1)) &lt;= VLOOKUP($C1335, 'Instrument Table'!$B:$D, 3, FALSE), ROW($A1335) - 4504 - _xlfn.XMATCH($C1335, $C$4506:$C$5005, 0, 1), 0), 0), "00")</f>
        <v>00</v>
      </c>
      <c r="H1335" s="1" t="str">
        <f t="shared" si="121"/>
        <v>029</v>
      </c>
      <c r="I1335" s="1" t="str">
        <f t="shared" si="122"/>
        <v>12300-029</v>
      </c>
      <c r="J1335" s="1" t="str">
        <f t="shared" si="123"/>
        <v>Bass production item #029</v>
      </c>
      <c r="K1335" s="1" t="str">
        <f>IF(SUM(COUNTIFS(I:I, I1335)) &gt; 1, "DUPLICATE", "UNIQUE")</f>
        <v>UNIQUE</v>
      </c>
      <c r="L1335" s="18">
        <v>0</v>
      </c>
      <c r="M1335" s="28">
        <v>27</v>
      </c>
      <c r="N1335" s="6">
        <v>16</v>
      </c>
      <c r="O1335" s="30">
        <f t="shared" si="124"/>
        <v>0</v>
      </c>
      <c r="P1335" s="30">
        <f t="shared" si="125"/>
        <v>432</v>
      </c>
      <c r="Q1335" s="1">
        <f>COUNTIFS($P:$P, "&gt;" &amp; $P1335) + 1</f>
        <v>4071</v>
      </c>
      <c r="R1335" s="63">
        <f>(COUNTIFS($P:$P, "&gt;" &amp; $P1335) + 1) / (COUNTA($I:$I) - 1)</f>
        <v>0.81420000000000003</v>
      </c>
      <c r="S1335" s="23">
        <f>SUMIFS($P:$P, $Q:$Q, "&lt;" &amp; $Q1335)</f>
        <v>186432845</v>
      </c>
    </row>
    <row r="1336" spans="1:19" x14ac:dyDescent="0.25">
      <c r="A1336" s="1">
        <v>1331</v>
      </c>
      <c r="B1336" s="1" t="s">
        <v>2</v>
      </c>
      <c r="C1336" s="1" t="str">
        <f>IF($B1336 = "Production Item", _xlfn.XLOOKUP($A1336, 'Instrument Table'!$J:$J, 'Instrument Table'!$B:$B, $C1335), IF($B1336 = "Service Item", _xlfn.XLOOKUP($A1336, 'Instrument Table'!$I:$I, 'Instrument Table'!$B:$B, $C1335), _xlfn.XLOOKUP($A1336, 'Instrument Table'!$H:$H, 'Instrument Table'!$B:$B, $C1335)))</f>
        <v>Bass</v>
      </c>
      <c r="D1336" s="1" t="str">
        <f>VLOOKUP($C1336, 'Instrument Table'!$B:$C, 2, FALSE)</f>
        <v>Strings</v>
      </c>
      <c r="E1336" s="1">
        <f t="shared" si="120"/>
        <v>1</v>
      </c>
      <c r="F1336" s="1">
        <f>_xlfn.XLOOKUP($C1336, 'Instrument Table'!$B:$B, 'Instrument Table'!$A:$A, "")</f>
        <v>23</v>
      </c>
      <c r="G1336" s="1" t="str">
        <f>TEXT(IF($B1336 = "Retail Item", IF((ROW($A1336) - 4504 - _xlfn.XMATCH($C1336, $C$4506:$C$5005, 0, 1)) &lt;= VLOOKUP($C1336, 'Instrument Table'!$B:$D, 3, FALSE), ROW($A1336) - 4504 - _xlfn.XMATCH($C1336, $C$4506:$C$5005, 0, 1), 0), 0), "00")</f>
        <v>00</v>
      </c>
      <c r="H1336" s="1" t="str">
        <f t="shared" si="121"/>
        <v>030</v>
      </c>
      <c r="I1336" s="1" t="str">
        <f t="shared" si="122"/>
        <v>12300-030</v>
      </c>
      <c r="J1336" s="1" t="str">
        <f t="shared" si="123"/>
        <v>Bass production item #030</v>
      </c>
      <c r="K1336" s="1" t="str">
        <f>IF(SUM(COUNTIFS(I:I, I1336)) &gt; 1, "DUPLICATE", "UNIQUE")</f>
        <v>UNIQUE</v>
      </c>
      <c r="L1336" s="18">
        <v>8</v>
      </c>
      <c r="M1336" s="28">
        <v>71</v>
      </c>
      <c r="N1336" s="6">
        <v>4</v>
      </c>
      <c r="O1336" s="30">
        <f t="shared" si="124"/>
        <v>568</v>
      </c>
      <c r="P1336" s="30">
        <f t="shared" si="125"/>
        <v>284</v>
      </c>
      <c r="Q1336" s="1">
        <f>COUNTIFS($P:$P, "&gt;" &amp; $P1336) + 1</f>
        <v>4234</v>
      </c>
      <c r="R1336" s="63">
        <f>(COUNTIFS($P:$P, "&gt;" &amp; $P1336) + 1) / (COUNTA($I:$I) - 1)</f>
        <v>0.8468</v>
      </c>
      <c r="S1336" s="23">
        <f>SUMIFS($P:$P, $Q:$Q, "&lt;" &amp; $Q1336)</f>
        <v>186490637</v>
      </c>
    </row>
    <row r="1337" spans="1:19" x14ac:dyDescent="0.25">
      <c r="A1337" s="1">
        <v>1332</v>
      </c>
      <c r="B1337" s="1" t="s">
        <v>2</v>
      </c>
      <c r="C1337" s="1" t="str">
        <f>IF($B1337 = "Production Item", _xlfn.XLOOKUP($A1337, 'Instrument Table'!$J:$J, 'Instrument Table'!$B:$B, $C1336), IF($B1337 = "Service Item", _xlfn.XLOOKUP($A1337, 'Instrument Table'!$I:$I, 'Instrument Table'!$B:$B, $C1336), _xlfn.XLOOKUP($A1337, 'Instrument Table'!$H:$H, 'Instrument Table'!$B:$B, $C1336)))</f>
        <v>Bass</v>
      </c>
      <c r="D1337" s="1" t="str">
        <f>VLOOKUP($C1337, 'Instrument Table'!$B:$C, 2, FALSE)</f>
        <v>Strings</v>
      </c>
      <c r="E1337" s="1">
        <f t="shared" si="120"/>
        <v>1</v>
      </c>
      <c r="F1337" s="1">
        <f>_xlfn.XLOOKUP($C1337, 'Instrument Table'!$B:$B, 'Instrument Table'!$A:$A, "")</f>
        <v>23</v>
      </c>
      <c r="G1337" s="1" t="str">
        <f>TEXT(IF($B1337 = "Retail Item", IF((ROW($A1337) - 4504 - _xlfn.XMATCH($C1337, $C$4506:$C$5005, 0, 1)) &lt;= VLOOKUP($C1337, 'Instrument Table'!$B:$D, 3, FALSE), ROW($A1337) - 4504 - _xlfn.XMATCH($C1337, $C$4506:$C$5005, 0, 1), 0), 0), "00")</f>
        <v>00</v>
      </c>
      <c r="H1337" s="1" t="str">
        <f t="shared" si="121"/>
        <v>031</v>
      </c>
      <c r="I1337" s="1" t="str">
        <f t="shared" si="122"/>
        <v>12300-031</v>
      </c>
      <c r="J1337" s="1" t="str">
        <f t="shared" si="123"/>
        <v>Bass production item #031</v>
      </c>
      <c r="K1337" s="1" t="str">
        <f>IF(SUM(COUNTIFS(I:I, I1337)) &gt; 1, "DUPLICATE", "UNIQUE")</f>
        <v>UNIQUE</v>
      </c>
      <c r="L1337" s="18">
        <v>1</v>
      </c>
      <c r="M1337" s="28">
        <v>26</v>
      </c>
      <c r="N1337" s="6">
        <v>225</v>
      </c>
      <c r="O1337" s="30">
        <f t="shared" si="124"/>
        <v>26</v>
      </c>
      <c r="P1337" s="30">
        <f t="shared" si="125"/>
        <v>5850</v>
      </c>
      <c r="Q1337" s="1">
        <f>COUNTIFS($P:$P, "&gt;" &amp; $P1337) + 1</f>
        <v>2284</v>
      </c>
      <c r="R1337" s="63">
        <f>(COUNTIFS($P:$P, "&gt;" &amp; $P1337) + 1) / (COUNTA($I:$I) - 1)</f>
        <v>0.45679999999999998</v>
      </c>
      <c r="S1337" s="23">
        <f>SUMIFS($P:$P, $Q:$Q, "&lt;" &amp; $Q1337)</f>
        <v>181970956</v>
      </c>
    </row>
    <row r="1338" spans="1:19" x14ac:dyDescent="0.25">
      <c r="A1338" s="1">
        <v>1333</v>
      </c>
      <c r="B1338" s="1" t="s">
        <v>2</v>
      </c>
      <c r="C1338" s="1" t="str">
        <f>IF($B1338 = "Production Item", _xlfn.XLOOKUP($A1338, 'Instrument Table'!$J:$J, 'Instrument Table'!$B:$B, $C1337), IF($B1338 = "Service Item", _xlfn.XLOOKUP($A1338, 'Instrument Table'!$I:$I, 'Instrument Table'!$B:$B, $C1337), _xlfn.XLOOKUP($A1338, 'Instrument Table'!$H:$H, 'Instrument Table'!$B:$B, $C1337)))</f>
        <v>Bass</v>
      </c>
      <c r="D1338" s="1" t="str">
        <f>VLOOKUP($C1338, 'Instrument Table'!$B:$C, 2, FALSE)</f>
        <v>Strings</v>
      </c>
      <c r="E1338" s="1">
        <f t="shared" si="120"/>
        <v>1</v>
      </c>
      <c r="F1338" s="1">
        <f>_xlfn.XLOOKUP($C1338, 'Instrument Table'!$B:$B, 'Instrument Table'!$A:$A, "")</f>
        <v>23</v>
      </c>
      <c r="G1338" s="1" t="str">
        <f>TEXT(IF($B1338 = "Retail Item", IF((ROW($A1338) - 4504 - _xlfn.XMATCH($C1338, $C$4506:$C$5005, 0, 1)) &lt;= VLOOKUP($C1338, 'Instrument Table'!$B:$D, 3, FALSE), ROW($A1338) - 4504 - _xlfn.XMATCH($C1338, $C$4506:$C$5005, 0, 1), 0), 0), "00")</f>
        <v>00</v>
      </c>
      <c r="H1338" s="1" t="str">
        <f t="shared" si="121"/>
        <v>032</v>
      </c>
      <c r="I1338" s="1" t="str">
        <f t="shared" si="122"/>
        <v>12300-032</v>
      </c>
      <c r="J1338" s="1" t="str">
        <f t="shared" si="123"/>
        <v>Bass production item #032</v>
      </c>
      <c r="K1338" s="1" t="str">
        <f>IF(SUM(COUNTIFS(I:I, I1338)) &gt; 1, "DUPLICATE", "UNIQUE")</f>
        <v>UNIQUE</v>
      </c>
      <c r="L1338" s="18">
        <v>1</v>
      </c>
      <c r="M1338" s="28">
        <v>42</v>
      </c>
      <c r="N1338" s="6">
        <v>9</v>
      </c>
      <c r="O1338" s="30">
        <f t="shared" si="124"/>
        <v>42</v>
      </c>
      <c r="P1338" s="30">
        <f t="shared" si="125"/>
        <v>378</v>
      </c>
      <c r="Q1338" s="1">
        <f>COUNTIFS($P:$P, "&gt;" &amp; $P1338) + 1</f>
        <v>4123</v>
      </c>
      <c r="R1338" s="63">
        <f>(COUNTIFS($P:$P, "&gt;" &amp; $P1338) + 1) / (COUNTA($I:$I) - 1)</f>
        <v>0.8246</v>
      </c>
      <c r="S1338" s="23">
        <f>SUMIFS($P:$P, $Q:$Q, "&lt;" &amp; $Q1338)</f>
        <v>186453873</v>
      </c>
    </row>
    <row r="1339" spans="1:19" x14ac:dyDescent="0.25">
      <c r="A1339" s="1">
        <v>1334</v>
      </c>
      <c r="B1339" s="1" t="s">
        <v>2</v>
      </c>
      <c r="C1339" s="1" t="str">
        <f>IF($B1339 = "Production Item", _xlfn.XLOOKUP($A1339, 'Instrument Table'!$J:$J, 'Instrument Table'!$B:$B, $C1338), IF($B1339 = "Service Item", _xlfn.XLOOKUP($A1339, 'Instrument Table'!$I:$I, 'Instrument Table'!$B:$B, $C1338), _xlfn.XLOOKUP($A1339, 'Instrument Table'!$H:$H, 'Instrument Table'!$B:$B, $C1338)))</f>
        <v>Bass</v>
      </c>
      <c r="D1339" s="1" t="str">
        <f>VLOOKUP($C1339, 'Instrument Table'!$B:$C, 2, FALSE)</f>
        <v>Strings</v>
      </c>
      <c r="E1339" s="1">
        <f t="shared" si="120"/>
        <v>1</v>
      </c>
      <c r="F1339" s="1">
        <f>_xlfn.XLOOKUP($C1339, 'Instrument Table'!$B:$B, 'Instrument Table'!$A:$A, "")</f>
        <v>23</v>
      </c>
      <c r="G1339" s="1" t="str">
        <f>TEXT(IF($B1339 = "Retail Item", IF((ROW($A1339) - 4504 - _xlfn.XMATCH($C1339, $C$4506:$C$5005, 0, 1)) &lt;= VLOOKUP($C1339, 'Instrument Table'!$B:$D, 3, FALSE), ROW($A1339) - 4504 - _xlfn.XMATCH($C1339, $C$4506:$C$5005, 0, 1), 0), 0), "00")</f>
        <v>00</v>
      </c>
      <c r="H1339" s="1" t="str">
        <f t="shared" si="121"/>
        <v>033</v>
      </c>
      <c r="I1339" s="1" t="str">
        <f t="shared" si="122"/>
        <v>12300-033</v>
      </c>
      <c r="J1339" s="1" t="str">
        <f t="shared" si="123"/>
        <v>Bass production item #033</v>
      </c>
      <c r="K1339" s="1" t="str">
        <f>IF(SUM(COUNTIFS(I:I, I1339)) &gt; 1, "DUPLICATE", "UNIQUE")</f>
        <v>UNIQUE</v>
      </c>
      <c r="L1339" s="18">
        <v>32</v>
      </c>
      <c r="M1339" s="28">
        <v>69</v>
      </c>
      <c r="N1339" s="6">
        <v>361</v>
      </c>
      <c r="O1339" s="30">
        <f t="shared" si="124"/>
        <v>2208</v>
      </c>
      <c r="P1339" s="30">
        <f t="shared" si="125"/>
        <v>24909</v>
      </c>
      <c r="Q1339" s="1">
        <f>COUNTIFS($P:$P, "&gt;" &amp; $P1339) + 1</f>
        <v>830</v>
      </c>
      <c r="R1339" s="63">
        <f>(COUNTIFS($P:$P, "&gt;" &amp; $P1339) + 1) / (COUNTA($I:$I) - 1)</f>
        <v>0.16600000000000001</v>
      </c>
      <c r="S1339" s="23">
        <f>SUMIFS($P:$P, $Q:$Q, "&lt;" &amp; $Q1339)</f>
        <v>162589419</v>
      </c>
    </row>
    <row r="1340" spans="1:19" x14ac:dyDescent="0.25">
      <c r="A1340" s="1">
        <v>1335</v>
      </c>
      <c r="B1340" s="1" t="s">
        <v>2</v>
      </c>
      <c r="C1340" s="1" t="str">
        <f>IF($B1340 = "Production Item", _xlfn.XLOOKUP($A1340, 'Instrument Table'!$J:$J, 'Instrument Table'!$B:$B, $C1339), IF($B1340 = "Service Item", _xlfn.XLOOKUP($A1340, 'Instrument Table'!$I:$I, 'Instrument Table'!$B:$B, $C1339), _xlfn.XLOOKUP($A1340, 'Instrument Table'!$H:$H, 'Instrument Table'!$B:$B, $C1339)))</f>
        <v>Bass</v>
      </c>
      <c r="D1340" s="1" t="str">
        <f>VLOOKUP($C1340, 'Instrument Table'!$B:$C, 2, FALSE)</f>
        <v>Strings</v>
      </c>
      <c r="E1340" s="1">
        <f t="shared" si="120"/>
        <v>1</v>
      </c>
      <c r="F1340" s="1">
        <f>_xlfn.XLOOKUP($C1340, 'Instrument Table'!$B:$B, 'Instrument Table'!$A:$A, "")</f>
        <v>23</v>
      </c>
      <c r="G1340" s="1" t="str">
        <f>TEXT(IF($B1340 = "Retail Item", IF((ROW($A1340) - 4504 - _xlfn.XMATCH($C1340, $C$4506:$C$5005, 0, 1)) &lt;= VLOOKUP($C1340, 'Instrument Table'!$B:$D, 3, FALSE), ROW($A1340) - 4504 - _xlfn.XMATCH($C1340, $C$4506:$C$5005, 0, 1), 0), 0), "00")</f>
        <v>00</v>
      </c>
      <c r="H1340" s="1" t="str">
        <f t="shared" si="121"/>
        <v>034</v>
      </c>
      <c r="I1340" s="1" t="str">
        <f t="shared" si="122"/>
        <v>12300-034</v>
      </c>
      <c r="J1340" s="1" t="str">
        <f t="shared" si="123"/>
        <v>Bass production item #034</v>
      </c>
      <c r="K1340" s="1" t="str">
        <f>IF(SUM(COUNTIFS(I:I, I1340)) &gt; 1, "DUPLICATE", "UNIQUE")</f>
        <v>UNIQUE</v>
      </c>
      <c r="L1340" s="18">
        <v>8</v>
      </c>
      <c r="M1340" s="28">
        <v>12</v>
      </c>
      <c r="N1340" s="6">
        <v>9</v>
      </c>
      <c r="O1340" s="30">
        <f t="shared" si="124"/>
        <v>96</v>
      </c>
      <c r="P1340" s="30">
        <f t="shared" si="125"/>
        <v>108</v>
      </c>
      <c r="Q1340" s="1">
        <f>COUNTIFS($P:$P, "&gt;" &amp; $P1340) + 1</f>
        <v>4438</v>
      </c>
      <c r="R1340" s="63">
        <f>(COUNTIFS($P:$P, "&gt;" &amp; $P1340) + 1) / (COUNTA($I:$I) - 1)</f>
        <v>0.88759999999999994</v>
      </c>
      <c r="S1340" s="23">
        <f>SUMIFS($P:$P, $Q:$Q, "&lt;" &amp; $Q1340)</f>
        <v>186530920</v>
      </c>
    </row>
    <row r="1341" spans="1:19" x14ac:dyDescent="0.25">
      <c r="A1341" s="1">
        <v>1336</v>
      </c>
      <c r="B1341" s="1" t="s">
        <v>2</v>
      </c>
      <c r="C1341" s="1" t="str">
        <f>IF($B1341 = "Production Item", _xlfn.XLOOKUP($A1341, 'Instrument Table'!$J:$J, 'Instrument Table'!$B:$B, $C1340), IF($B1341 = "Service Item", _xlfn.XLOOKUP($A1341, 'Instrument Table'!$I:$I, 'Instrument Table'!$B:$B, $C1340), _xlfn.XLOOKUP($A1341, 'Instrument Table'!$H:$H, 'Instrument Table'!$B:$B, $C1340)))</f>
        <v>Bass</v>
      </c>
      <c r="D1341" s="1" t="str">
        <f>VLOOKUP($C1341, 'Instrument Table'!$B:$C, 2, FALSE)</f>
        <v>Strings</v>
      </c>
      <c r="E1341" s="1">
        <f t="shared" si="120"/>
        <v>1</v>
      </c>
      <c r="F1341" s="1">
        <f>_xlfn.XLOOKUP($C1341, 'Instrument Table'!$B:$B, 'Instrument Table'!$A:$A, "")</f>
        <v>23</v>
      </c>
      <c r="G1341" s="1" t="str">
        <f>TEXT(IF($B1341 = "Retail Item", IF((ROW($A1341) - 4504 - _xlfn.XMATCH($C1341, $C$4506:$C$5005, 0, 1)) &lt;= VLOOKUP($C1341, 'Instrument Table'!$B:$D, 3, FALSE), ROW($A1341) - 4504 - _xlfn.XMATCH($C1341, $C$4506:$C$5005, 0, 1), 0), 0), "00")</f>
        <v>00</v>
      </c>
      <c r="H1341" s="1" t="str">
        <f t="shared" si="121"/>
        <v>035</v>
      </c>
      <c r="I1341" s="1" t="str">
        <f t="shared" si="122"/>
        <v>12300-035</v>
      </c>
      <c r="J1341" s="1" t="str">
        <f t="shared" si="123"/>
        <v>Bass production item #035</v>
      </c>
      <c r="K1341" s="1" t="str">
        <f>IF(SUM(COUNTIFS(I:I, I1341)) &gt; 1, "DUPLICATE", "UNIQUE")</f>
        <v>UNIQUE</v>
      </c>
      <c r="L1341" s="18">
        <v>1</v>
      </c>
      <c r="M1341" s="28">
        <v>48</v>
      </c>
      <c r="N1341" s="6">
        <v>196</v>
      </c>
      <c r="O1341" s="30">
        <f t="shared" si="124"/>
        <v>48</v>
      </c>
      <c r="P1341" s="30">
        <f t="shared" si="125"/>
        <v>9408</v>
      </c>
      <c r="Q1341" s="1">
        <f>COUNTIFS($P:$P, "&gt;" &amp; $P1341) + 1</f>
        <v>1828</v>
      </c>
      <c r="R1341" s="63">
        <f>(COUNTIFS($P:$P, "&gt;" &amp; $P1341) + 1) / (COUNTA($I:$I) - 1)</f>
        <v>0.36559999999999998</v>
      </c>
      <c r="S1341" s="23">
        <f>SUMIFS($P:$P, $Q:$Q, "&lt;" &amp; $Q1341)</f>
        <v>178508577</v>
      </c>
    </row>
    <row r="1342" spans="1:19" x14ac:dyDescent="0.25">
      <c r="A1342" s="1">
        <v>1337</v>
      </c>
      <c r="B1342" s="1" t="s">
        <v>2</v>
      </c>
      <c r="C1342" s="1" t="str">
        <f>IF($B1342 = "Production Item", _xlfn.XLOOKUP($A1342, 'Instrument Table'!$J:$J, 'Instrument Table'!$B:$B, $C1341), IF($B1342 = "Service Item", _xlfn.XLOOKUP($A1342, 'Instrument Table'!$I:$I, 'Instrument Table'!$B:$B, $C1341), _xlfn.XLOOKUP($A1342, 'Instrument Table'!$H:$H, 'Instrument Table'!$B:$B, $C1341)))</f>
        <v>Bass</v>
      </c>
      <c r="D1342" s="1" t="str">
        <f>VLOOKUP($C1342, 'Instrument Table'!$B:$C, 2, FALSE)</f>
        <v>Strings</v>
      </c>
      <c r="E1342" s="1">
        <f t="shared" si="120"/>
        <v>1</v>
      </c>
      <c r="F1342" s="1">
        <f>_xlfn.XLOOKUP($C1342, 'Instrument Table'!$B:$B, 'Instrument Table'!$A:$A, "")</f>
        <v>23</v>
      </c>
      <c r="G1342" s="1" t="str">
        <f>TEXT(IF($B1342 = "Retail Item", IF((ROW($A1342) - 4504 - _xlfn.XMATCH($C1342, $C$4506:$C$5005, 0, 1)) &lt;= VLOOKUP($C1342, 'Instrument Table'!$B:$D, 3, FALSE), ROW($A1342) - 4504 - _xlfn.XMATCH($C1342, $C$4506:$C$5005, 0, 1), 0), 0), "00")</f>
        <v>00</v>
      </c>
      <c r="H1342" s="1" t="str">
        <f t="shared" si="121"/>
        <v>036</v>
      </c>
      <c r="I1342" s="1" t="str">
        <f t="shared" si="122"/>
        <v>12300-036</v>
      </c>
      <c r="J1342" s="1" t="str">
        <f t="shared" si="123"/>
        <v>Bass production item #036</v>
      </c>
      <c r="K1342" s="1" t="str">
        <f>IF(SUM(COUNTIFS(I:I, I1342)) &gt; 1, "DUPLICATE", "UNIQUE")</f>
        <v>UNIQUE</v>
      </c>
      <c r="L1342" s="18">
        <v>8</v>
      </c>
      <c r="M1342" s="28">
        <v>35</v>
      </c>
      <c r="N1342" s="6">
        <v>144</v>
      </c>
      <c r="O1342" s="30">
        <f t="shared" si="124"/>
        <v>280</v>
      </c>
      <c r="P1342" s="30">
        <f t="shared" si="125"/>
        <v>5040</v>
      </c>
      <c r="Q1342" s="1">
        <f>COUNTIFS($P:$P, "&gt;" &amp; $P1342) + 1</f>
        <v>2440</v>
      </c>
      <c r="R1342" s="63">
        <f>(COUNTIFS($P:$P, "&gt;" &amp; $P1342) + 1) / (COUNTA($I:$I) - 1)</f>
        <v>0.48799999999999999</v>
      </c>
      <c r="S1342" s="23">
        <f>SUMIFS($P:$P, $Q:$Q, "&lt;" &amp; $Q1342)</f>
        <v>182822281</v>
      </c>
    </row>
    <row r="1343" spans="1:19" x14ac:dyDescent="0.25">
      <c r="A1343" s="1">
        <v>1338</v>
      </c>
      <c r="B1343" s="1" t="s">
        <v>2</v>
      </c>
      <c r="C1343" s="1" t="str">
        <f>IF($B1343 = "Production Item", _xlfn.XLOOKUP($A1343, 'Instrument Table'!$J:$J, 'Instrument Table'!$B:$B, $C1342), IF($B1343 = "Service Item", _xlfn.XLOOKUP($A1343, 'Instrument Table'!$I:$I, 'Instrument Table'!$B:$B, $C1342), _xlfn.XLOOKUP($A1343, 'Instrument Table'!$H:$H, 'Instrument Table'!$B:$B, $C1342)))</f>
        <v>Bass</v>
      </c>
      <c r="D1343" s="1" t="str">
        <f>VLOOKUP($C1343, 'Instrument Table'!$B:$C, 2, FALSE)</f>
        <v>Strings</v>
      </c>
      <c r="E1343" s="1">
        <f t="shared" si="120"/>
        <v>1</v>
      </c>
      <c r="F1343" s="1">
        <f>_xlfn.XLOOKUP($C1343, 'Instrument Table'!$B:$B, 'Instrument Table'!$A:$A, "")</f>
        <v>23</v>
      </c>
      <c r="G1343" s="1" t="str">
        <f>TEXT(IF($B1343 = "Retail Item", IF((ROW($A1343) - 4504 - _xlfn.XMATCH($C1343, $C$4506:$C$5005, 0, 1)) &lt;= VLOOKUP($C1343, 'Instrument Table'!$B:$D, 3, FALSE), ROW($A1343) - 4504 - _xlfn.XMATCH($C1343, $C$4506:$C$5005, 0, 1), 0), 0), "00")</f>
        <v>00</v>
      </c>
      <c r="H1343" s="1" t="str">
        <f t="shared" si="121"/>
        <v>037</v>
      </c>
      <c r="I1343" s="1" t="str">
        <f t="shared" si="122"/>
        <v>12300-037</v>
      </c>
      <c r="J1343" s="1" t="str">
        <f t="shared" si="123"/>
        <v>Bass production item #037</v>
      </c>
      <c r="K1343" s="1" t="str">
        <f>IF(SUM(COUNTIFS(I:I, I1343)) &gt; 1, "DUPLICATE", "UNIQUE")</f>
        <v>UNIQUE</v>
      </c>
      <c r="L1343" s="18">
        <v>2</v>
      </c>
      <c r="M1343" s="28">
        <v>100</v>
      </c>
      <c r="N1343" s="6">
        <v>81</v>
      </c>
      <c r="O1343" s="30">
        <f t="shared" si="124"/>
        <v>200</v>
      </c>
      <c r="P1343" s="30">
        <f t="shared" si="125"/>
        <v>8100</v>
      </c>
      <c r="Q1343" s="1">
        <f>COUNTIFS($P:$P, "&gt;" &amp; $P1343) + 1</f>
        <v>1974</v>
      </c>
      <c r="R1343" s="63">
        <f>(COUNTIFS($P:$P, "&gt;" &amp; $P1343) + 1) / (COUNTA($I:$I) - 1)</f>
        <v>0.39479999999999998</v>
      </c>
      <c r="S1343" s="23">
        <f>SUMIFS($P:$P, $Q:$Q, "&lt;" &amp; $Q1343)</f>
        <v>179788102</v>
      </c>
    </row>
    <row r="1344" spans="1:19" x14ac:dyDescent="0.25">
      <c r="A1344" s="1">
        <v>1339</v>
      </c>
      <c r="B1344" s="1" t="s">
        <v>2</v>
      </c>
      <c r="C1344" s="1" t="str">
        <f>IF($B1344 = "Production Item", _xlfn.XLOOKUP($A1344, 'Instrument Table'!$J:$J, 'Instrument Table'!$B:$B, $C1343), IF($B1344 = "Service Item", _xlfn.XLOOKUP($A1344, 'Instrument Table'!$I:$I, 'Instrument Table'!$B:$B, $C1343), _xlfn.XLOOKUP($A1344, 'Instrument Table'!$H:$H, 'Instrument Table'!$B:$B, $C1343)))</f>
        <v>Bass</v>
      </c>
      <c r="D1344" s="1" t="str">
        <f>VLOOKUP($C1344, 'Instrument Table'!$B:$C, 2, FALSE)</f>
        <v>Strings</v>
      </c>
      <c r="E1344" s="1">
        <f t="shared" si="120"/>
        <v>1</v>
      </c>
      <c r="F1344" s="1">
        <f>_xlfn.XLOOKUP($C1344, 'Instrument Table'!$B:$B, 'Instrument Table'!$A:$A, "")</f>
        <v>23</v>
      </c>
      <c r="G1344" s="1" t="str">
        <f>TEXT(IF($B1344 = "Retail Item", IF((ROW($A1344) - 4504 - _xlfn.XMATCH($C1344, $C$4506:$C$5005, 0, 1)) &lt;= VLOOKUP($C1344, 'Instrument Table'!$B:$D, 3, FALSE), ROW($A1344) - 4504 - _xlfn.XMATCH($C1344, $C$4506:$C$5005, 0, 1), 0), 0), "00")</f>
        <v>00</v>
      </c>
      <c r="H1344" s="1" t="str">
        <f t="shared" si="121"/>
        <v>038</v>
      </c>
      <c r="I1344" s="1" t="str">
        <f t="shared" si="122"/>
        <v>12300-038</v>
      </c>
      <c r="J1344" s="1" t="str">
        <f t="shared" si="123"/>
        <v>Bass production item #038</v>
      </c>
      <c r="K1344" s="1" t="str">
        <f>IF(SUM(COUNTIFS(I:I, I1344)) &gt; 1, "DUPLICATE", "UNIQUE")</f>
        <v>UNIQUE</v>
      </c>
      <c r="L1344" s="18">
        <v>1</v>
      </c>
      <c r="M1344" s="28">
        <v>79</v>
      </c>
      <c r="N1344" s="6">
        <v>49</v>
      </c>
      <c r="O1344" s="30">
        <f t="shared" si="124"/>
        <v>79</v>
      </c>
      <c r="P1344" s="30">
        <f t="shared" si="125"/>
        <v>3871</v>
      </c>
      <c r="Q1344" s="1">
        <f>COUNTIFS($P:$P, "&gt;" &amp; $P1344) + 1</f>
        <v>2689</v>
      </c>
      <c r="R1344" s="63">
        <f>(COUNTIFS($P:$P, "&gt;" &amp; $P1344) + 1) / (COUNTA($I:$I) - 1)</f>
        <v>0.53779999999999994</v>
      </c>
      <c r="S1344" s="23">
        <f>SUMIFS($P:$P, $Q:$Q, "&lt;" &amp; $Q1344)</f>
        <v>183924622</v>
      </c>
    </row>
    <row r="1345" spans="1:19" x14ac:dyDescent="0.25">
      <c r="A1345" s="1">
        <v>1340</v>
      </c>
      <c r="B1345" s="1" t="s">
        <v>2</v>
      </c>
      <c r="C1345" s="1" t="str">
        <f>IF($B1345 = "Production Item", _xlfn.XLOOKUP($A1345, 'Instrument Table'!$J:$J, 'Instrument Table'!$B:$B, $C1344), IF($B1345 = "Service Item", _xlfn.XLOOKUP($A1345, 'Instrument Table'!$I:$I, 'Instrument Table'!$B:$B, $C1344), _xlfn.XLOOKUP($A1345, 'Instrument Table'!$H:$H, 'Instrument Table'!$B:$B, $C1344)))</f>
        <v>Bass</v>
      </c>
      <c r="D1345" s="1" t="str">
        <f>VLOOKUP($C1345, 'Instrument Table'!$B:$C, 2, FALSE)</f>
        <v>Strings</v>
      </c>
      <c r="E1345" s="1">
        <f t="shared" si="120"/>
        <v>1</v>
      </c>
      <c r="F1345" s="1">
        <f>_xlfn.XLOOKUP($C1345, 'Instrument Table'!$B:$B, 'Instrument Table'!$A:$A, "")</f>
        <v>23</v>
      </c>
      <c r="G1345" s="1" t="str">
        <f>TEXT(IF($B1345 = "Retail Item", IF((ROW($A1345) - 4504 - _xlfn.XMATCH($C1345, $C$4506:$C$5005, 0, 1)) &lt;= VLOOKUP($C1345, 'Instrument Table'!$B:$D, 3, FALSE), ROW($A1345) - 4504 - _xlfn.XMATCH($C1345, $C$4506:$C$5005, 0, 1), 0), 0), "00")</f>
        <v>00</v>
      </c>
      <c r="H1345" s="1" t="str">
        <f t="shared" si="121"/>
        <v>039</v>
      </c>
      <c r="I1345" s="1" t="str">
        <f t="shared" si="122"/>
        <v>12300-039</v>
      </c>
      <c r="J1345" s="1" t="str">
        <f t="shared" si="123"/>
        <v>Bass production item #039</v>
      </c>
      <c r="K1345" s="1" t="str">
        <f>IF(SUM(COUNTIFS(I:I, I1345)) &gt; 1, "DUPLICATE", "UNIQUE")</f>
        <v>UNIQUE</v>
      </c>
      <c r="L1345" s="18">
        <v>0</v>
      </c>
      <c r="M1345" s="28">
        <v>68</v>
      </c>
      <c r="N1345" s="6">
        <v>25</v>
      </c>
      <c r="O1345" s="30">
        <f t="shared" si="124"/>
        <v>0</v>
      </c>
      <c r="P1345" s="30">
        <f t="shared" si="125"/>
        <v>1700</v>
      </c>
      <c r="Q1345" s="1">
        <f>COUNTIFS($P:$P, "&gt;" &amp; $P1345) + 1</f>
        <v>3370</v>
      </c>
      <c r="R1345" s="63">
        <f>(COUNTIFS($P:$P, "&gt;" &amp; $P1345) + 1) / (COUNTA($I:$I) - 1)</f>
        <v>0.67400000000000004</v>
      </c>
      <c r="S1345" s="23">
        <f>SUMIFS($P:$P, $Q:$Q, "&lt;" &amp; $Q1345)</f>
        <v>185735274</v>
      </c>
    </row>
    <row r="1346" spans="1:19" x14ac:dyDescent="0.25">
      <c r="A1346" s="1">
        <v>1341</v>
      </c>
      <c r="B1346" s="1" t="s">
        <v>2</v>
      </c>
      <c r="C1346" s="1" t="str">
        <f>IF($B1346 = "Production Item", _xlfn.XLOOKUP($A1346, 'Instrument Table'!$J:$J, 'Instrument Table'!$B:$B, $C1345), IF($B1346 = "Service Item", _xlfn.XLOOKUP($A1346, 'Instrument Table'!$I:$I, 'Instrument Table'!$B:$B, $C1345), _xlfn.XLOOKUP($A1346, 'Instrument Table'!$H:$H, 'Instrument Table'!$B:$B, $C1345)))</f>
        <v>Bass</v>
      </c>
      <c r="D1346" s="1" t="str">
        <f>VLOOKUP($C1346, 'Instrument Table'!$B:$C, 2, FALSE)</f>
        <v>Strings</v>
      </c>
      <c r="E1346" s="1">
        <f t="shared" si="120"/>
        <v>1</v>
      </c>
      <c r="F1346" s="1">
        <f>_xlfn.XLOOKUP($C1346, 'Instrument Table'!$B:$B, 'Instrument Table'!$A:$A, "")</f>
        <v>23</v>
      </c>
      <c r="G1346" s="1" t="str">
        <f>TEXT(IF($B1346 = "Retail Item", IF((ROW($A1346) - 4504 - _xlfn.XMATCH($C1346, $C$4506:$C$5005, 0, 1)) &lt;= VLOOKUP($C1346, 'Instrument Table'!$B:$D, 3, FALSE), ROW($A1346) - 4504 - _xlfn.XMATCH($C1346, $C$4506:$C$5005, 0, 1), 0), 0), "00")</f>
        <v>00</v>
      </c>
      <c r="H1346" s="1" t="str">
        <f t="shared" si="121"/>
        <v>040</v>
      </c>
      <c r="I1346" s="1" t="str">
        <f t="shared" si="122"/>
        <v>12300-040</v>
      </c>
      <c r="J1346" s="1" t="str">
        <f t="shared" si="123"/>
        <v>Bass production item #040</v>
      </c>
      <c r="K1346" s="1" t="str">
        <f>IF(SUM(COUNTIFS(I:I, I1346)) &gt; 1, "DUPLICATE", "UNIQUE")</f>
        <v>UNIQUE</v>
      </c>
      <c r="L1346" s="18">
        <v>8</v>
      </c>
      <c r="M1346" s="28">
        <v>31</v>
      </c>
      <c r="N1346" s="6">
        <v>289</v>
      </c>
      <c r="O1346" s="30">
        <f t="shared" si="124"/>
        <v>248</v>
      </c>
      <c r="P1346" s="30">
        <f t="shared" si="125"/>
        <v>8959</v>
      </c>
      <c r="Q1346" s="1">
        <f>COUNTIFS($P:$P, "&gt;" &amp; $P1346) + 1</f>
        <v>1869</v>
      </c>
      <c r="R1346" s="63">
        <f>(COUNTIFS($P:$P, "&gt;" &amp; $P1346) + 1) / (COUNTA($I:$I) - 1)</f>
        <v>0.37380000000000002</v>
      </c>
      <c r="S1346" s="23">
        <f>SUMIFS($P:$P, $Q:$Q, "&lt;" &amp; $Q1346)</f>
        <v>178887373</v>
      </c>
    </row>
    <row r="1347" spans="1:19" x14ac:dyDescent="0.25">
      <c r="A1347" s="1">
        <v>1342</v>
      </c>
      <c r="B1347" s="1" t="s">
        <v>2</v>
      </c>
      <c r="C1347" s="1" t="str">
        <f>IF($B1347 = "Production Item", _xlfn.XLOOKUP($A1347, 'Instrument Table'!$J:$J, 'Instrument Table'!$B:$B, $C1346), IF($B1347 = "Service Item", _xlfn.XLOOKUP($A1347, 'Instrument Table'!$I:$I, 'Instrument Table'!$B:$B, $C1346), _xlfn.XLOOKUP($A1347, 'Instrument Table'!$H:$H, 'Instrument Table'!$B:$B, $C1346)))</f>
        <v>Bass</v>
      </c>
      <c r="D1347" s="1" t="str">
        <f>VLOOKUP($C1347, 'Instrument Table'!$B:$C, 2, FALSE)</f>
        <v>Strings</v>
      </c>
      <c r="E1347" s="1">
        <f t="shared" si="120"/>
        <v>1</v>
      </c>
      <c r="F1347" s="1">
        <f>_xlfn.XLOOKUP($C1347, 'Instrument Table'!$B:$B, 'Instrument Table'!$A:$A, "")</f>
        <v>23</v>
      </c>
      <c r="G1347" s="1" t="str">
        <f>TEXT(IF($B1347 = "Retail Item", IF((ROW($A1347) - 4504 - _xlfn.XMATCH($C1347, $C$4506:$C$5005, 0, 1)) &lt;= VLOOKUP($C1347, 'Instrument Table'!$B:$D, 3, FALSE), ROW($A1347) - 4504 - _xlfn.XMATCH($C1347, $C$4506:$C$5005, 0, 1), 0), 0), "00")</f>
        <v>00</v>
      </c>
      <c r="H1347" s="1" t="str">
        <f t="shared" si="121"/>
        <v>041</v>
      </c>
      <c r="I1347" s="1" t="str">
        <f t="shared" si="122"/>
        <v>12300-041</v>
      </c>
      <c r="J1347" s="1" t="str">
        <f t="shared" si="123"/>
        <v>Bass production item #041</v>
      </c>
      <c r="K1347" s="1" t="str">
        <f>IF(SUM(COUNTIFS(I:I, I1347)) &gt; 1, "DUPLICATE", "UNIQUE")</f>
        <v>UNIQUE</v>
      </c>
      <c r="L1347" s="18">
        <v>0</v>
      </c>
      <c r="M1347" s="28">
        <v>34</v>
      </c>
      <c r="N1347" s="6">
        <v>361</v>
      </c>
      <c r="O1347" s="30">
        <f t="shared" si="124"/>
        <v>0</v>
      </c>
      <c r="P1347" s="30">
        <f t="shared" si="125"/>
        <v>12274</v>
      </c>
      <c r="Q1347" s="1">
        <f>COUNTIFS($P:$P, "&gt;" &amp; $P1347) + 1</f>
        <v>1556</v>
      </c>
      <c r="R1347" s="63">
        <f>(COUNTIFS($P:$P, "&gt;" &amp; $P1347) + 1) / (COUNTA($I:$I) - 1)</f>
        <v>0.31119999999999998</v>
      </c>
      <c r="S1347" s="23">
        <f>SUMIFS($P:$P, $Q:$Q, "&lt;" &amp; $Q1347)</f>
        <v>175548854</v>
      </c>
    </row>
    <row r="1348" spans="1:19" x14ac:dyDescent="0.25">
      <c r="A1348" s="1">
        <v>1343</v>
      </c>
      <c r="B1348" s="1" t="s">
        <v>2</v>
      </c>
      <c r="C1348" s="1" t="str">
        <f>IF($B1348 = "Production Item", _xlfn.XLOOKUP($A1348, 'Instrument Table'!$J:$J, 'Instrument Table'!$B:$B, $C1347), IF($B1348 = "Service Item", _xlfn.XLOOKUP($A1348, 'Instrument Table'!$I:$I, 'Instrument Table'!$B:$B, $C1347), _xlfn.XLOOKUP($A1348, 'Instrument Table'!$H:$H, 'Instrument Table'!$B:$B, $C1347)))</f>
        <v>Bass</v>
      </c>
      <c r="D1348" s="1" t="str">
        <f>VLOOKUP($C1348, 'Instrument Table'!$B:$C, 2, FALSE)</f>
        <v>Strings</v>
      </c>
      <c r="E1348" s="1">
        <f t="shared" si="120"/>
        <v>1</v>
      </c>
      <c r="F1348" s="1">
        <f>_xlfn.XLOOKUP($C1348, 'Instrument Table'!$B:$B, 'Instrument Table'!$A:$A, "")</f>
        <v>23</v>
      </c>
      <c r="G1348" s="1" t="str">
        <f>TEXT(IF($B1348 = "Retail Item", IF((ROW($A1348) - 4504 - _xlfn.XMATCH($C1348, $C$4506:$C$5005, 0, 1)) &lt;= VLOOKUP($C1348, 'Instrument Table'!$B:$D, 3, FALSE), ROW($A1348) - 4504 - _xlfn.XMATCH($C1348, $C$4506:$C$5005, 0, 1), 0), 0), "00")</f>
        <v>00</v>
      </c>
      <c r="H1348" s="1" t="str">
        <f t="shared" si="121"/>
        <v>042</v>
      </c>
      <c r="I1348" s="1" t="str">
        <f t="shared" si="122"/>
        <v>12300-042</v>
      </c>
      <c r="J1348" s="1" t="str">
        <f t="shared" si="123"/>
        <v>Bass production item #042</v>
      </c>
      <c r="K1348" s="1" t="str">
        <f>IF(SUM(COUNTIFS(I:I, I1348)) &gt; 1, "DUPLICATE", "UNIQUE")</f>
        <v>UNIQUE</v>
      </c>
      <c r="L1348" s="18">
        <v>4</v>
      </c>
      <c r="M1348" s="28">
        <v>77</v>
      </c>
      <c r="N1348" s="6">
        <v>0</v>
      </c>
      <c r="O1348" s="30">
        <f t="shared" si="124"/>
        <v>308</v>
      </c>
      <c r="P1348" s="30">
        <f t="shared" si="125"/>
        <v>0</v>
      </c>
      <c r="Q1348" s="1">
        <f>COUNTIFS($P:$P, "&gt;" &amp; $P1348) + 1</f>
        <v>4746</v>
      </c>
      <c r="R1348" s="63">
        <f>(COUNTIFS($P:$P, "&gt;" &amp; $P1348) + 1) / (COUNTA($I:$I) - 1)</f>
        <v>0.94920000000000004</v>
      </c>
      <c r="S1348" s="23">
        <f>SUMIFS($P:$P, $Q:$Q, "&lt;" &amp; $Q1348)</f>
        <v>186547861</v>
      </c>
    </row>
    <row r="1349" spans="1:19" x14ac:dyDescent="0.25">
      <c r="A1349" s="1">
        <v>1344</v>
      </c>
      <c r="B1349" s="1" t="s">
        <v>2</v>
      </c>
      <c r="C1349" s="1" t="str">
        <f>IF($B1349 = "Production Item", _xlfn.XLOOKUP($A1349, 'Instrument Table'!$J:$J, 'Instrument Table'!$B:$B, $C1348), IF($B1349 = "Service Item", _xlfn.XLOOKUP($A1349, 'Instrument Table'!$I:$I, 'Instrument Table'!$B:$B, $C1348), _xlfn.XLOOKUP($A1349, 'Instrument Table'!$H:$H, 'Instrument Table'!$B:$B, $C1348)))</f>
        <v>Bass</v>
      </c>
      <c r="D1349" s="1" t="str">
        <f>VLOOKUP($C1349, 'Instrument Table'!$B:$C, 2, FALSE)</f>
        <v>Strings</v>
      </c>
      <c r="E1349" s="1">
        <f t="shared" si="120"/>
        <v>1</v>
      </c>
      <c r="F1349" s="1">
        <f>_xlfn.XLOOKUP($C1349, 'Instrument Table'!$B:$B, 'Instrument Table'!$A:$A, "")</f>
        <v>23</v>
      </c>
      <c r="G1349" s="1" t="str">
        <f>TEXT(IF($B1349 = "Retail Item", IF((ROW($A1349) - 4504 - _xlfn.XMATCH($C1349, $C$4506:$C$5005, 0, 1)) &lt;= VLOOKUP($C1349, 'Instrument Table'!$B:$D, 3, FALSE), ROW($A1349) - 4504 - _xlfn.XMATCH($C1349, $C$4506:$C$5005, 0, 1), 0), 0), "00")</f>
        <v>00</v>
      </c>
      <c r="H1349" s="1" t="str">
        <f t="shared" si="121"/>
        <v>043</v>
      </c>
      <c r="I1349" s="1" t="str">
        <f t="shared" si="122"/>
        <v>12300-043</v>
      </c>
      <c r="J1349" s="1" t="str">
        <f t="shared" si="123"/>
        <v>Bass production item #043</v>
      </c>
      <c r="K1349" s="1" t="str">
        <f>IF(SUM(COUNTIFS(I:I, I1349)) &gt; 1, "DUPLICATE", "UNIQUE")</f>
        <v>UNIQUE</v>
      </c>
      <c r="L1349" s="18">
        <v>1</v>
      </c>
      <c r="M1349" s="28">
        <v>21</v>
      </c>
      <c r="N1349" s="6">
        <v>256</v>
      </c>
      <c r="O1349" s="30">
        <f t="shared" si="124"/>
        <v>21</v>
      </c>
      <c r="P1349" s="30">
        <f t="shared" si="125"/>
        <v>5376</v>
      </c>
      <c r="Q1349" s="1">
        <f>COUNTIFS($P:$P, "&gt;" &amp; $P1349) + 1</f>
        <v>2375</v>
      </c>
      <c r="R1349" s="63">
        <f>(COUNTIFS($P:$P, "&gt;" &amp; $P1349) + 1) / (COUNTA($I:$I) - 1)</f>
        <v>0.47499999999999998</v>
      </c>
      <c r="S1349" s="23">
        <f>SUMIFS($P:$P, $Q:$Q, "&lt;" &amp; $Q1349)</f>
        <v>182483955</v>
      </c>
    </row>
    <row r="1350" spans="1:19" x14ac:dyDescent="0.25">
      <c r="A1350" s="1">
        <v>1345</v>
      </c>
      <c r="B1350" s="1" t="s">
        <v>2</v>
      </c>
      <c r="C1350" s="1" t="str">
        <f>IF($B1350 = "Production Item", _xlfn.XLOOKUP($A1350, 'Instrument Table'!$J:$J, 'Instrument Table'!$B:$B, $C1349), IF($B1350 = "Service Item", _xlfn.XLOOKUP($A1350, 'Instrument Table'!$I:$I, 'Instrument Table'!$B:$B, $C1349), _xlfn.XLOOKUP($A1350, 'Instrument Table'!$H:$H, 'Instrument Table'!$B:$B, $C1349)))</f>
        <v>Bass</v>
      </c>
      <c r="D1350" s="1" t="str">
        <f>VLOOKUP($C1350, 'Instrument Table'!$B:$C, 2, FALSE)</f>
        <v>Strings</v>
      </c>
      <c r="E1350" s="1">
        <f t="shared" si="120"/>
        <v>1</v>
      </c>
      <c r="F1350" s="1">
        <f>_xlfn.XLOOKUP($C1350, 'Instrument Table'!$B:$B, 'Instrument Table'!$A:$A, "")</f>
        <v>23</v>
      </c>
      <c r="G1350" s="1" t="str">
        <f>TEXT(IF($B1350 = "Retail Item", IF((ROW($A1350) - 4504 - _xlfn.XMATCH($C1350, $C$4506:$C$5005, 0, 1)) &lt;= VLOOKUP($C1350, 'Instrument Table'!$B:$D, 3, FALSE), ROW($A1350) - 4504 - _xlfn.XMATCH($C1350, $C$4506:$C$5005, 0, 1), 0), 0), "00")</f>
        <v>00</v>
      </c>
      <c r="H1350" s="1" t="str">
        <f t="shared" si="121"/>
        <v>044</v>
      </c>
      <c r="I1350" s="1" t="str">
        <f t="shared" si="122"/>
        <v>12300-044</v>
      </c>
      <c r="J1350" s="1" t="str">
        <f t="shared" si="123"/>
        <v>Bass production item #044</v>
      </c>
      <c r="K1350" s="1" t="str">
        <f>IF(SUM(COUNTIFS(I:I, I1350)) &gt; 1, "DUPLICATE", "UNIQUE")</f>
        <v>UNIQUE</v>
      </c>
      <c r="L1350" s="18">
        <v>1</v>
      </c>
      <c r="M1350" s="28">
        <v>84</v>
      </c>
      <c r="N1350" s="6">
        <v>100</v>
      </c>
      <c r="O1350" s="30">
        <f t="shared" si="124"/>
        <v>84</v>
      </c>
      <c r="P1350" s="30">
        <f t="shared" si="125"/>
        <v>8400</v>
      </c>
      <c r="Q1350" s="1">
        <f>COUNTIFS($P:$P, "&gt;" &amp; $P1350) + 1</f>
        <v>1939</v>
      </c>
      <c r="R1350" s="63">
        <f>(COUNTIFS($P:$P, "&gt;" &amp; $P1350) + 1) / (COUNTA($I:$I) - 1)</f>
        <v>0.38779999999999998</v>
      </c>
      <c r="S1350" s="23">
        <f>SUMIFS($P:$P, $Q:$Q, "&lt;" &amp; $Q1350)</f>
        <v>179499165</v>
      </c>
    </row>
    <row r="1351" spans="1:19" x14ac:dyDescent="0.25">
      <c r="A1351" s="1">
        <v>1346</v>
      </c>
      <c r="B1351" s="1" t="s">
        <v>2</v>
      </c>
      <c r="C1351" s="1" t="str">
        <f>IF($B1351 = "Production Item", _xlfn.XLOOKUP($A1351, 'Instrument Table'!$J:$J, 'Instrument Table'!$B:$B, $C1350), IF($B1351 = "Service Item", _xlfn.XLOOKUP($A1351, 'Instrument Table'!$I:$I, 'Instrument Table'!$B:$B, $C1350), _xlfn.XLOOKUP($A1351, 'Instrument Table'!$H:$H, 'Instrument Table'!$B:$B, $C1350)))</f>
        <v>Bass</v>
      </c>
      <c r="D1351" s="1" t="str">
        <f>VLOOKUP($C1351, 'Instrument Table'!$B:$C, 2, FALSE)</f>
        <v>Strings</v>
      </c>
      <c r="E1351" s="1">
        <f t="shared" ref="E1351:E1414" si="126">IF($B1351 = "Production Item", 1, IF($B1351 = "Service Item", 2, IF($B1351 = "Retail Item", 3, "")))</f>
        <v>1</v>
      </c>
      <c r="F1351" s="1">
        <f>_xlfn.XLOOKUP($C1351, 'Instrument Table'!$B:$B, 'Instrument Table'!$A:$A, "")</f>
        <v>23</v>
      </c>
      <c r="G1351" s="1" t="str">
        <f>TEXT(IF($B1351 = "Retail Item", IF((ROW($A1351) - 4504 - _xlfn.XMATCH($C1351, $C$4506:$C$5005, 0, 1)) &lt;= VLOOKUP($C1351, 'Instrument Table'!$B:$D, 3, FALSE), ROW($A1351) - 4504 - _xlfn.XMATCH($C1351, $C$4506:$C$5005, 0, 1), 0), 0), "00")</f>
        <v>00</v>
      </c>
      <c r="H1351" s="1" t="str">
        <f t="shared" ref="H1351:H1414" si="127">TEXT(IF($E1351 &amp; $F1351 &amp; $G1351 = $E1350 &amp; $F1350 &amp; $G1350, 1 + H1350, 0), "000")</f>
        <v>045</v>
      </c>
      <c r="I1351" s="1" t="str">
        <f t="shared" ref="I1351:I1414" si="128" xml:space="preserve"> _xlfn.CONCAT($E1351, $F1351, $G1351, "-", H1351)</f>
        <v>12300-045</v>
      </c>
      <c r="J1351" s="1" t="str">
        <f t="shared" ref="J1351:J1414" si="129">LEFT($C1351, 1) &amp; LOWER(RIGHT($C1351, LEN($C1351) - 1)) &amp; IF(AND($G1351 &lt;&gt; "00", $B1351 = "Retail Item"), " model #" &amp; $G1351, " " &amp; LOWER($B1351) &amp; " #" &amp; $H1351)</f>
        <v>Bass production item #045</v>
      </c>
      <c r="K1351" s="1" t="str">
        <f>IF(SUM(COUNTIFS(I:I, I1351)) &gt; 1, "DUPLICATE", "UNIQUE")</f>
        <v>UNIQUE</v>
      </c>
      <c r="L1351" s="18">
        <v>0</v>
      </c>
      <c r="M1351" s="28">
        <v>60</v>
      </c>
      <c r="N1351" s="6">
        <v>100</v>
      </c>
      <c r="O1351" s="30">
        <f t="shared" ref="O1351:O1414" si="130">$L1351 * $M1351</f>
        <v>0</v>
      </c>
      <c r="P1351" s="30">
        <f t="shared" ref="P1351:P1414" si="131">$N1351 * $M1351</f>
        <v>6000</v>
      </c>
      <c r="Q1351" s="1">
        <f>COUNTIFS($P:$P, "&gt;" &amp; $P1351) + 1</f>
        <v>2264</v>
      </c>
      <c r="R1351" s="63">
        <f>(COUNTIFS($P:$P, "&gt;" &amp; $P1351) + 1) / (COUNTA($I:$I) - 1)</f>
        <v>0.45279999999999998</v>
      </c>
      <c r="S1351" s="23">
        <f>SUMIFS($P:$P, $Q:$Q, "&lt;" &amp; $Q1351)</f>
        <v>181851858</v>
      </c>
    </row>
    <row r="1352" spans="1:19" x14ac:dyDescent="0.25">
      <c r="A1352" s="1">
        <v>1347</v>
      </c>
      <c r="B1352" s="1" t="s">
        <v>2</v>
      </c>
      <c r="C1352" s="1" t="str">
        <f>IF($B1352 = "Production Item", _xlfn.XLOOKUP($A1352, 'Instrument Table'!$J:$J, 'Instrument Table'!$B:$B, $C1351), IF($B1352 = "Service Item", _xlfn.XLOOKUP($A1352, 'Instrument Table'!$I:$I, 'Instrument Table'!$B:$B, $C1351), _xlfn.XLOOKUP($A1352, 'Instrument Table'!$H:$H, 'Instrument Table'!$B:$B, $C1351)))</f>
        <v>Bass</v>
      </c>
      <c r="D1352" s="1" t="str">
        <f>VLOOKUP($C1352, 'Instrument Table'!$B:$C, 2, FALSE)</f>
        <v>Strings</v>
      </c>
      <c r="E1352" s="1">
        <f t="shared" si="126"/>
        <v>1</v>
      </c>
      <c r="F1352" s="1">
        <f>_xlfn.XLOOKUP($C1352, 'Instrument Table'!$B:$B, 'Instrument Table'!$A:$A, "")</f>
        <v>23</v>
      </c>
      <c r="G1352" s="1" t="str">
        <f>TEXT(IF($B1352 = "Retail Item", IF((ROW($A1352) - 4504 - _xlfn.XMATCH($C1352, $C$4506:$C$5005, 0, 1)) &lt;= VLOOKUP($C1352, 'Instrument Table'!$B:$D, 3, FALSE), ROW($A1352) - 4504 - _xlfn.XMATCH($C1352, $C$4506:$C$5005, 0, 1), 0), 0), "00")</f>
        <v>00</v>
      </c>
      <c r="H1352" s="1" t="str">
        <f t="shared" si="127"/>
        <v>046</v>
      </c>
      <c r="I1352" s="1" t="str">
        <f t="shared" si="128"/>
        <v>12300-046</v>
      </c>
      <c r="J1352" s="1" t="str">
        <f t="shared" si="129"/>
        <v>Bass production item #046</v>
      </c>
      <c r="K1352" s="1" t="str">
        <f>IF(SUM(COUNTIFS(I:I, I1352)) &gt; 1, "DUPLICATE", "UNIQUE")</f>
        <v>UNIQUE</v>
      </c>
      <c r="L1352" s="18">
        <v>1</v>
      </c>
      <c r="M1352" s="28">
        <v>6</v>
      </c>
      <c r="N1352" s="6">
        <v>9</v>
      </c>
      <c r="O1352" s="30">
        <f t="shared" si="130"/>
        <v>6</v>
      </c>
      <c r="P1352" s="30">
        <f t="shared" si="131"/>
        <v>54</v>
      </c>
      <c r="Q1352" s="1">
        <f>COUNTIFS($P:$P, "&gt;" &amp; $P1352) + 1</f>
        <v>4596</v>
      </c>
      <c r="R1352" s="63">
        <f>(COUNTIFS($P:$P, "&gt;" &amp; $P1352) + 1) / (COUNTA($I:$I) - 1)</f>
        <v>0.91920000000000002</v>
      </c>
      <c r="S1352" s="23">
        <f>SUMIFS($P:$P, $Q:$Q, "&lt;" &amp; $Q1352)</f>
        <v>186543478</v>
      </c>
    </row>
    <row r="1353" spans="1:19" x14ac:dyDescent="0.25">
      <c r="A1353" s="1">
        <v>1348</v>
      </c>
      <c r="B1353" s="1" t="s">
        <v>2</v>
      </c>
      <c r="C1353" s="1" t="str">
        <f>IF($B1353 = "Production Item", _xlfn.XLOOKUP($A1353, 'Instrument Table'!$J:$J, 'Instrument Table'!$B:$B, $C1352), IF($B1353 = "Service Item", _xlfn.XLOOKUP($A1353, 'Instrument Table'!$I:$I, 'Instrument Table'!$B:$B, $C1352), _xlfn.XLOOKUP($A1353, 'Instrument Table'!$H:$H, 'Instrument Table'!$B:$B, $C1352)))</f>
        <v>Bass</v>
      </c>
      <c r="D1353" s="1" t="str">
        <f>VLOOKUP($C1353, 'Instrument Table'!$B:$C, 2, FALSE)</f>
        <v>Strings</v>
      </c>
      <c r="E1353" s="1">
        <f t="shared" si="126"/>
        <v>1</v>
      </c>
      <c r="F1353" s="1">
        <f>_xlfn.XLOOKUP($C1353, 'Instrument Table'!$B:$B, 'Instrument Table'!$A:$A, "")</f>
        <v>23</v>
      </c>
      <c r="G1353" s="1" t="str">
        <f>TEXT(IF($B1353 = "Retail Item", IF((ROW($A1353) - 4504 - _xlfn.XMATCH($C1353, $C$4506:$C$5005, 0, 1)) &lt;= VLOOKUP($C1353, 'Instrument Table'!$B:$D, 3, FALSE), ROW($A1353) - 4504 - _xlfn.XMATCH($C1353, $C$4506:$C$5005, 0, 1), 0), 0), "00")</f>
        <v>00</v>
      </c>
      <c r="H1353" s="1" t="str">
        <f t="shared" si="127"/>
        <v>047</v>
      </c>
      <c r="I1353" s="1" t="str">
        <f t="shared" si="128"/>
        <v>12300-047</v>
      </c>
      <c r="J1353" s="1" t="str">
        <f t="shared" si="129"/>
        <v>Bass production item #047</v>
      </c>
      <c r="K1353" s="1" t="str">
        <f>IF(SUM(COUNTIFS(I:I, I1353)) &gt; 1, "DUPLICATE", "UNIQUE")</f>
        <v>UNIQUE</v>
      </c>
      <c r="L1353" s="18">
        <v>1</v>
      </c>
      <c r="M1353" s="28">
        <v>98</v>
      </c>
      <c r="N1353" s="6">
        <v>361</v>
      </c>
      <c r="O1353" s="30">
        <f t="shared" si="130"/>
        <v>98</v>
      </c>
      <c r="P1353" s="30">
        <f t="shared" si="131"/>
        <v>35378</v>
      </c>
      <c r="Q1353" s="1">
        <f>COUNTIFS($P:$P, "&gt;" &amp; $P1353) + 1</f>
        <v>598</v>
      </c>
      <c r="R1353" s="63">
        <f>(COUNTIFS($P:$P, "&gt;" &amp; $P1353) + 1) / (COUNTA($I:$I) - 1)</f>
        <v>0.1196</v>
      </c>
      <c r="S1353" s="23">
        <f>SUMIFS($P:$P, $Q:$Q, "&lt;" &amp; $Q1353)</f>
        <v>155799685</v>
      </c>
    </row>
    <row r="1354" spans="1:19" x14ac:dyDescent="0.25">
      <c r="A1354" s="1">
        <v>1349</v>
      </c>
      <c r="B1354" s="1" t="s">
        <v>2</v>
      </c>
      <c r="C1354" s="1" t="str">
        <f>IF($B1354 = "Production Item", _xlfn.XLOOKUP($A1354, 'Instrument Table'!$J:$J, 'Instrument Table'!$B:$B, $C1353), IF($B1354 = "Service Item", _xlfn.XLOOKUP($A1354, 'Instrument Table'!$I:$I, 'Instrument Table'!$B:$B, $C1353), _xlfn.XLOOKUP($A1354, 'Instrument Table'!$H:$H, 'Instrument Table'!$B:$B, $C1353)))</f>
        <v>Bass</v>
      </c>
      <c r="D1354" s="1" t="str">
        <f>VLOOKUP($C1354, 'Instrument Table'!$B:$C, 2, FALSE)</f>
        <v>Strings</v>
      </c>
      <c r="E1354" s="1">
        <f t="shared" si="126"/>
        <v>1</v>
      </c>
      <c r="F1354" s="1">
        <f>_xlfn.XLOOKUP($C1354, 'Instrument Table'!$B:$B, 'Instrument Table'!$A:$A, "")</f>
        <v>23</v>
      </c>
      <c r="G1354" s="1" t="str">
        <f>TEXT(IF($B1354 = "Retail Item", IF((ROW($A1354) - 4504 - _xlfn.XMATCH($C1354, $C$4506:$C$5005, 0, 1)) &lt;= VLOOKUP($C1354, 'Instrument Table'!$B:$D, 3, FALSE), ROW($A1354) - 4504 - _xlfn.XMATCH($C1354, $C$4506:$C$5005, 0, 1), 0), 0), "00")</f>
        <v>00</v>
      </c>
      <c r="H1354" s="1" t="str">
        <f t="shared" si="127"/>
        <v>048</v>
      </c>
      <c r="I1354" s="1" t="str">
        <f t="shared" si="128"/>
        <v>12300-048</v>
      </c>
      <c r="J1354" s="1" t="str">
        <f t="shared" si="129"/>
        <v>Bass production item #048</v>
      </c>
      <c r="K1354" s="1" t="str">
        <f>IF(SUM(COUNTIFS(I:I, I1354)) &gt; 1, "DUPLICATE", "UNIQUE")</f>
        <v>UNIQUE</v>
      </c>
      <c r="L1354" s="18">
        <v>1</v>
      </c>
      <c r="M1354" s="28">
        <v>79</v>
      </c>
      <c r="N1354" s="6">
        <v>36</v>
      </c>
      <c r="O1354" s="30">
        <f t="shared" si="130"/>
        <v>79</v>
      </c>
      <c r="P1354" s="30">
        <f t="shared" si="131"/>
        <v>2844</v>
      </c>
      <c r="Q1354" s="1">
        <f>COUNTIFS($P:$P, "&gt;" &amp; $P1354) + 1</f>
        <v>2950</v>
      </c>
      <c r="R1354" s="63">
        <f>(COUNTIFS($P:$P, "&gt;" &amp; $P1354) + 1) / (COUNTA($I:$I) - 1)</f>
        <v>0.59</v>
      </c>
      <c r="S1354" s="23">
        <f>SUMIFS($P:$P, $Q:$Q, "&lt;" &amp; $Q1354)</f>
        <v>184795087</v>
      </c>
    </row>
    <row r="1355" spans="1:19" x14ac:dyDescent="0.25">
      <c r="A1355" s="1">
        <v>1350</v>
      </c>
      <c r="B1355" s="1" t="s">
        <v>2</v>
      </c>
      <c r="C1355" s="1" t="str">
        <f>IF($B1355 = "Production Item", _xlfn.XLOOKUP($A1355, 'Instrument Table'!$J:$J, 'Instrument Table'!$B:$B, $C1354), IF($B1355 = "Service Item", _xlfn.XLOOKUP($A1355, 'Instrument Table'!$I:$I, 'Instrument Table'!$B:$B, $C1354), _xlfn.XLOOKUP($A1355, 'Instrument Table'!$H:$H, 'Instrument Table'!$B:$B, $C1354)))</f>
        <v>Bass</v>
      </c>
      <c r="D1355" s="1" t="str">
        <f>VLOOKUP($C1355, 'Instrument Table'!$B:$C, 2, FALSE)</f>
        <v>Strings</v>
      </c>
      <c r="E1355" s="1">
        <f t="shared" si="126"/>
        <v>1</v>
      </c>
      <c r="F1355" s="1">
        <f>_xlfn.XLOOKUP($C1355, 'Instrument Table'!$B:$B, 'Instrument Table'!$A:$A, "")</f>
        <v>23</v>
      </c>
      <c r="G1355" s="1" t="str">
        <f>TEXT(IF($B1355 = "Retail Item", IF((ROW($A1355) - 4504 - _xlfn.XMATCH($C1355, $C$4506:$C$5005, 0, 1)) &lt;= VLOOKUP($C1355, 'Instrument Table'!$B:$D, 3, FALSE), ROW($A1355) - 4504 - _xlfn.XMATCH($C1355, $C$4506:$C$5005, 0, 1), 0), 0), "00")</f>
        <v>00</v>
      </c>
      <c r="H1355" s="1" t="str">
        <f t="shared" si="127"/>
        <v>049</v>
      </c>
      <c r="I1355" s="1" t="str">
        <f t="shared" si="128"/>
        <v>12300-049</v>
      </c>
      <c r="J1355" s="1" t="str">
        <f t="shared" si="129"/>
        <v>Bass production item #049</v>
      </c>
      <c r="K1355" s="1" t="str">
        <f>IF(SUM(COUNTIFS(I:I, I1355)) &gt; 1, "DUPLICATE", "UNIQUE")</f>
        <v>UNIQUE</v>
      </c>
      <c r="L1355" s="18">
        <v>1</v>
      </c>
      <c r="M1355" s="28">
        <v>64</v>
      </c>
      <c r="N1355" s="6">
        <v>289</v>
      </c>
      <c r="O1355" s="30">
        <f t="shared" si="130"/>
        <v>64</v>
      </c>
      <c r="P1355" s="30">
        <f t="shared" si="131"/>
        <v>18496</v>
      </c>
      <c r="Q1355" s="1">
        <f>COUNTIFS($P:$P, "&gt;" &amp; $P1355) + 1</f>
        <v>1129</v>
      </c>
      <c r="R1355" s="63">
        <f>(COUNTIFS($P:$P, "&gt;" &amp; $P1355) + 1) / (COUNTA($I:$I) - 1)</f>
        <v>0.2258</v>
      </c>
      <c r="S1355" s="23">
        <f>SUMIFS($P:$P, $Q:$Q, "&lt;" &amp; $Q1355)</f>
        <v>169049615</v>
      </c>
    </row>
    <row r="1356" spans="1:19" x14ac:dyDescent="0.25">
      <c r="A1356" s="1">
        <v>1351</v>
      </c>
      <c r="B1356" s="1" t="s">
        <v>2</v>
      </c>
      <c r="C1356" s="1" t="str">
        <f>IF($B1356 = "Production Item", _xlfn.XLOOKUP($A1356, 'Instrument Table'!$J:$J, 'Instrument Table'!$B:$B, $C1355), IF($B1356 = "Service Item", _xlfn.XLOOKUP($A1356, 'Instrument Table'!$I:$I, 'Instrument Table'!$B:$B, $C1355), _xlfn.XLOOKUP($A1356, 'Instrument Table'!$H:$H, 'Instrument Table'!$B:$B, $C1355)))</f>
        <v>Acoustic Guitar</v>
      </c>
      <c r="D1356" s="1" t="str">
        <f>VLOOKUP($C1356, 'Instrument Table'!$B:$C, 2, FALSE)</f>
        <v>Strings</v>
      </c>
      <c r="E1356" s="1">
        <f t="shared" si="126"/>
        <v>1</v>
      </c>
      <c r="F1356" s="1">
        <f>_xlfn.XLOOKUP($C1356, 'Instrument Table'!$B:$B, 'Instrument Table'!$A:$A, "")</f>
        <v>24</v>
      </c>
      <c r="G1356" s="1" t="str">
        <f>TEXT(IF($B1356 = "Retail Item", IF((ROW($A1356) - 4504 - _xlfn.XMATCH($C1356, $C$4506:$C$5005, 0, 1)) &lt;= VLOOKUP($C1356, 'Instrument Table'!$B:$D, 3, FALSE), ROW($A1356) - 4504 - _xlfn.XMATCH($C1356, $C$4506:$C$5005, 0, 1), 0), 0), "00")</f>
        <v>00</v>
      </c>
      <c r="H1356" s="1" t="str">
        <f t="shared" si="127"/>
        <v>000</v>
      </c>
      <c r="I1356" s="1" t="str">
        <f t="shared" si="128"/>
        <v>12400-000</v>
      </c>
      <c r="J1356" s="1" t="str">
        <f t="shared" si="129"/>
        <v>Acoustic guitar production item #000</v>
      </c>
      <c r="K1356" s="1" t="str">
        <f>IF(SUM(COUNTIFS(I:I, I1356)) &gt; 1, "DUPLICATE", "UNIQUE")</f>
        <v>UNIQUE</v>
      </c>
      <c r="L1356" s="18">
        <v>8</v>
      </c>
      <c r="M1356" s="28">
        <v>92</v>
      </c>
      <c r="N1356" s="6">
        <v>324</v>
      </c>
      <c r="O1356" s="30">
        <f t="shared" si="130"/>
        <v>736</v>
      </c>
      <c r="P1356" s="30">
        <f t="shared" si="131"/>
        <v>29808</v>
      </c>
      <c r="Q1356" s="1">
        <f>COUNTIFS($P:$P, "&gt;" &amp; $P1356) + 1</f>
        <v>694</v>
      </c>
      <c r="R1356" s="63">
        <f>(COUNTIFS($P:$P, "&gt;" &amp; $P1356) + 1) / (COUNTA($I:$I) - 1)</f>
        <v>0.13880000000000001</v>
      </c>
      <c r="S1356" s="23">
        <f>SUMIFS($P:$P, $Q:$Q, "&lt;" &amp; $Q1356)</f>
        <v>158908468</v>
      </c>
    </row>
    <row r="1357" spans="1:19" x14ac:dyDescent="0.25">
      <c r="A1357" s="1">
        <v>1352</v>
      </c>
      <c r="B1357" s="1" t="s">
        <v>2</v>
      </c>
      <c r="C1357" s="1" t="str">
        <f>IF($B1357 = "Production Item", _xlfn.XLOOKUP($A1357, 'Instrument Table'!$J:$J, 'Instrument Table'!$B:$B, $C1356), IF($B1357 = "Service Item", _xlfn.XLOOKUP($A1357, 'Instrument Table'!$I:$I, 'Instrument Table'!$B:$B, $C1356), _xlfn.XLOOKUP($A1357, 'Instrument Table'!$H:$H, 'Instrument Table'!$B:$B, $C1356)))</f>
        <v>Acoustic Guitar</v>
      </c>
      <c r="D1357" s="1" t="str">
        <f>VLOOKUP($C1357, 'Instrument Table'!$B:$C, 2, FALSE)</f>
        <v>Strings</v>
      </c>
      <c r="E1357" s="1">
        <f t="shared" si="126"/>
        <v>1</v>
      </c>
      <c r="F1357" s="1">
        <f>_xlfn.XLOOKUP($C1357, 'Instrument Table'!$B:$B, 'Instrument Table'!$A:$A, "")</f>
        <v>24</v>
      </c>
      <c r="G1357" s="1" t="str">
        <f>TEXT(IF($B1357 = "Retail Item", IF((ROW($A1357) - 4504 - _xlfn.XMATCH($C1357, $C$4506:$C$5005, 0, 1)) &lt;= VLOOKUP($C1357, 'Instrument Table'!$B:$D, 3, FALSE), ROW($A1357) - 4504 - _xlfn.XMATCH($C1357, $C$4506:$C$5005, 0, 1), 0), 0), "00")</f>
        <v>00</v>
      </c>
      <c r="H1357" s="1" t="str">
        <f t="shared" si="127"/>
        <v>001</v>
      </c>
      <c r="I1357" s="1" t="str">
        <f t="shared" si="128"/>
        <v>12400-001</v>
      </c>
      <c r="J1357" s="1" t="str">
        <f t="shared" si="129"/>
        <v>Acoustic guitar production item #001</v>
      </c>
      <c r="K1357" s="1" t="str">
        <f>IF(SUM(COUNTIFS(I:I, I1357)) &gt; 1, "DUPLICATE", "UNIQUE")</f>
        <v>UNIQUE</v>
      </c>
      <c r="L1357" s="18">
        <v>0</v>
      </c>
      <c r="M1357" s="28">
        <v>51</v>
      </c>
      <c r="N1357" s="6">
        <v>225</v>
      </c>
      <c r="O1357" s="30">
        <f t="shared" si="130"/>
        <v>0</v>
      </c>
      <c r="P1357" s="30">
        <f t="shared" si="131"/>
        <v>11475</v>
      </c>
      <c r="Q1357" s="1">
        <f>COUNTIFS($P:$P, "&gt;" &amp; $P1357) + 1</f>
        <v>1643</v>
      </c>
      <c r="R1357" s="63">
        <f>(COUNTIFS($P:$P, "&gt;" &amp; $P1357) + 1) / (COUNTA($I:$I) - 1)</f>
        <v>0.3286</v>
      </c>
      <c r="S1357" s="23">
        <f>SUMIFS($P:$P, $Q:$Q, "&lt;" &amp; $Q1357)</f>
        <v>176578082</v>
      </c>
    </row>
    <row r="1358" spans="1:19" x14ac:dyDescent="0.25">
      <c r="A1358" s="1">
        <v>1353</v>
      </c>
      <c r="B1358" s="1" t="s">
        <v>2</v>
      </c>
      <c r="C1358" s="1" t="str">
        <f>IF($B1358 = "Production Item", _xlfn.XLOOKUP($A1358, 'Instrument Table'!$J:$J, 'Instrument Table'!$B:$B, $C1357), IF($B1358 = "Service Item", _xlfn.XLOOKUP($A1358, 'Instrument Table'!$I:$I, 'Instrument Table'!$B:$B, $C1357), _xlfn.XLOOKUP($A1358, 'Instrument Table'!$H:$H, 'Instrument Table'!$B:$B, $C1357)))</f>
        <v>Acoustic Guitar</v>
      </c>
      <c r="D1358" s="1" t="str">
        <f>VLOOKUP($C1358, 'Instrument Table'!$B:$C, 2, FALSE)</f>
        <v>Strings</v>
      </c>
      <c r="E1358" s="1">
        <f t="shared" si="126"/>
        <v>1</v>
      </c>
      <c r="F1358" s="1">
        <f>_xlfn.XLOOKUP($C1358, 'Instrument Table'!$B:$B, 'Instrument Table'!$A:$A, "")</f>
        <v>24</v>
      </c>
      <c r="G1358" s="1" t="str">
        <f>TEXT(IF($B1358 = "Retail Item", IF((ROW($A1358) - 4504 - _xlfn.XMATCH($C1358, $C$4506:$C$5005, 0, 1)) &lt;= VLOOKUP($C1358, 'Instrument Table'!$B:$D, 3, FALSE), ROW($A1358) - 4504 - _xlfn.XMATCH($C1358, $C$4506:$C$5005, 0, 1), 0), 0), "00")</f>
        <v>00</v>
      </c>
      <c r="H1358" s="1" t="str">
        <f t="shared" si="127"/>
        <v>002</v>
      </c>
      <c r="I1358" s="1" t="str">
        <f t="shared" si="128"/>
        <v>12400-002</v>
      </c>
      <c r="J1358" s="1" t="str">
        <f t="shared" si="129"/>
        <v>Acoustic guitar production item #002</v>
      </c>
      <c r="K1358" s="1" t="str">
        <f>IF(SUM(COUNTIFS(I:I, I1358)) &gt; 1, "DUPLICATE", "UNIQUE")</f>
        <v>UNIQUE</v>
      </c>
      <c r="L1358" s="18">
        <v>1</v>
      </c>
      <c r="M1358" s="28">
        <v>83</v>
      </c>
      <c r="N1358" s="6">
        <v>16</v>
      </c>
      <c r="O1358" s="30">
        <f t="shared" si="130"/>
        <v>83</v>
      </c>
      <c r="P1358" s="30">
        <f t="shared" si="131"/>
        <v>1328</v>
      </c>
      <c r="Q1358" s="1">
        <f>COUNTIFS($P:$P, "&gt;" &amp; $P1358) + 1</f>
        <v>3552</v>
      </c>
      <c r="R1358" s="63">
        <f>(COUNTIFS($P:$P, "&gt;" &amp; $P1358) + 1) / (COUNTA($I:$I) - 1)</f>
        <v>0.71040000000000003</v>
      </c>
      <c r="S1358" s="23">
        <f>SUMIFS($P:$P, $Q:$Q, "&lt;" &amp; $Q1358)</f>
        <v>186008741</v>
      </c>
    </row>
    <row r="1359" spans="1:19" x14ac:dyDescent="0.25">
      <c r="A1359" s="1">
        <v>1354</v>
      </c>
      <c r="B1359" s="1" t="s">
        <v>2</v>
      </c>
      <c r="C1359" s="1" t="str">
        <f>IF($B1359 = "Production Item", _xlfn.XLOOKUP($A1359, 'Instrument Table'!$J:$J, 'Instrument Table'!$B:$B, $C1358), IF($B1359 = "Service Item", _xlfn.XLOOKUP($A1359, 'Instrument Table'!$I:$I, 'Instrument Table'!$B:$B, $C1358), _xlfn.XLOOKUP($A1359, 'Instrument Table'!$H:$H, 'Instrument Table'!$B:$B, $C1358)))</f>
        <v>Acoustic Guitar</v>
      </c>
      <c r="D1359" s="1" t="str">
        <f>VLOOKUP($C1359, 'Instrument Table'!$B:$C, 2, FALSE)</f>
        <v>Strings</v>
      </c>
      <c r="E1359" s="1">
        <f t="shared" si="126"/>
        <v>1</v>
      </c>
      <c r="F1359" s="1">
        <f>_xlfn.XLOOKUP($C1359, 'Instrument Table'!$B:$B, 'Instrument Table'!$A:$A, "")</f>
        <v>24</v>
      </c>
      <c r="G1359" s="1" t="str">
        <f>TEXT(IF($B1359 = "Retail Item", IF((ROW($A1359) - 4504 - _xlfn.XMATCH($C1359, $C$4506:$C$5005, 0, 1)) &lt;= VLOOKUP($C1359, 'Instrument Table'!$B:$D, 3, FALSE), ROW($A1359) - 4504 - _xlfn.XMATCH($C1359, $C$4506:$C$5005, 0, 1), 0), 0), "00")</f>
        <v>00</v>
      </c>
      <c r="H1359" s="1" t="str">
        <f t="shared" si="127"/>
        <v>003</v>
      </c>
      <c r="I1359" s="1" t="str">
        <f t="shared" si="128"/>
        <v>12400-003</v>
      </c>
      <c r="J1359" s="1" t="str">
        <f t="shared" si="129"/>
        <v>Acoustic guitar production item #003</v>
      </c>
      <c r="K1359" s="1" t="str">
        <f>IF(SUM(COUNTIFS(I:I, I1359)) &gt; 1, "DUPLICATE", "UNIQUE")</f>
        <v>UNIQUE</v>
      </c>
      <c r="L1359" s="18">
        <v>0</v>
      </c>
      <c r="M1359" s="28">
        <v>54</v>
      </c>
      <c r="N1359" s="6">
        <v>289</v>
      </c>
      <c r="O1359" s="30">
        <f t="shared" si="130"/>
        <v>0</v>
      </c>
      <c r="P1359" s="30">
        <f t="shared" si="131"/>
        <v>15606</v>
      </c>
      <c r="Q1359" s="1">
        <f>COUNTIFS($P:$P, "&gt;" &amp; $P1359) + 1</f>
        <v>1305</v>
      </c>
      <c r="R1359" s="63">
        <f>(COUNTIFS($P:$P, "&gt;" &amp; $P1359) + 1) / (COUNTA($I:$I) - 1)</f>
        <v>0.26100000000000001</v>
      </c>
      <c r="S1359" s="23">
        <f>SUMIFS($P:$P, $Q:$Q, "&lt;" &amp; $Q1359)</f>
        <v>172052197</v>
      </c>
    </row>
    <row r="1360" spans="1:19" x14ac:dyDescent="0.25">
      <c r="A1360" s="1">
        <v>1355</v>
      </c>
      <c r="B1360" s="1" t="s">
        <v>2</v>
      </c>
      <c r="C1360" s="1" t="str">
        <f>IF($B1360 = "Production Item", _xlfn.XLOOKUP($A1360, 'Instrument Table'!$J:$J, 'Instrument Table'!$B:$B, $C1359), IF($B1360 = "Service Item", _xlfn.XLOOKUP($A1360, 'Instrument Table'!$I:$I, 'Instrument Table'!$B:$B, $C1359), _xlfn.XLOOKUP($A1360, 'Instrument Table'!$H:$H, 'Instrument Table'!$B:$B, $C1359)))</f>
        <v>Acoustic Guitar</v>
      </c>
      <c r="D1360" s="1" t="str">
        <f>VLOOKUP($C1360, 'Instrument Table'!$B:$C, 2, FALSE)</f>
        <v>Strings</v>
      </c>
      <c r="E1360" s="1">
        <f t="shared" si="126"/>
        <v>1</v>
      </c>
      <c r="F1360" s="1">
        <f>_xlfn.XLOOKUP($C1360, 'Instrument Table'!$B:$B, 'Instrument Table'!$A:$A, "")</f>
        <v>24</v>
      </c>
      <c r="G1360" s="1" t="str">
        <f>TEXT(IF($B1360 = "Retail Item", IF((ROW($A1360) - 4504 - _xlfn.XMATCH($C1360, $C$4506:$C$5005, 0, 1)) &lt;= VLOOKUP($C1360, 'Instrument Table'!$B:$D, 3, FALSE), ROW($A1360) - 4504 - _xlfn.XMATCH($C1360, $C$4506:$C$5005, 0, 1), 0), 0), "00")</f>
        <v>00</v>
      </c>
      <c r="H1360" s="1" t="str">
        <f t="shared" si="127"/>
        <v>004</v>
      </c>
      <c r="I1360" s="1" t="str">
        <f t="shared" si="128"/>
        <v>12400-004</v>
      </c>
      <c r="J1360" s="1" t="str">
        <f t="shared" si="129"/>
        <v>Acoustic guitar production item #004</v>
      </c>
      <c r="K1360" s="1" t="str">
        <f>IF(SUM(COUNTIFS(I:I, I1360)) &gt; 1, "DUPLICATE", "UNIQUE")</f>
        <v>UNIQUE</v>
      </c>
      <c r="L1360" s="18">
        <v>0</v>
      </c>
      <c r="M1360" s="28">
        <v>20</v>
      </c>
      <c r="N1360" s="6">
        <v>49</v>
      </c>
      <c r="O1360" s="30">
        <f t="shared" si="130"/>
        <v>0</v>
      </c>
      <c r="P1360" s="30">
        <f t="shared" si="131"/>
        <v>980</v>
      </c>
      <c r="Q1360" s="1">
        <f>COUNTIFS($P:$P, "&gt;" &amp; $P1360) + 1</f>
        <v>3689</v>
      </c>
      <c r="R1360" s="63">
        <f>(COUNTIFS($P:$P, "&gt;" &amp; $P1360) + 1) / (COUNTA($I:$I) - 1)</f>
        <v>0.73780000000000001</v>
      </c>
      <c r="S1360" s="23">
        <f>SUMIFS($P:$P, $Q:$Q, "&lt;" &amp; $Q1360)</f>
        <v>186168102</v>
      </c>
    </row>
    <row r="1361" spans="1:19" x14ac:dyDescent="0.25">
      <c r="A1361" s="1">
        <v>1356</v>
      </c>
      <c r="B1361" s="1" t="s">
        <v>2</v>
      </c>
      <c r="C1361" s="1" t="str">
        <f>IF($B1361 = "Production Item", _xlfn.XLOOKUP($A1361, 'Instrument Table'!$J:$J, 'Instrument Table'!$B:$B, $C1360), IF($B1361 = "Service Item", _xlfn.XLOOKUP($A1361, 'Instrument Table'!$I:$I, 'Instrument Table'!$B:$B, $C1360), _xlfn.XLOOKUP($A1361, 'Instrument Table'!$H:$H, 'Instrument Table'!$B:$B, $C1360)))</f>
        <v>Acoustic Guitar</v>
      </c>
      <c r="D1361" s="1" t="str">
        <f>VLOOKUP($C1361, 'Instrument Table'!$B:$C, 2, FALSE)</f>
        <v>Strings</v>
      </c>
      <c r="E1361" s="1">
        <f t="shared" si="126"/>
        <v>1</v>
      </c>
      <c r="F1361" s="1">
        <f>_xlfn.XLOOKUP($C1361, 'Instrument Table'!$B:$B, 'Instrument Table'!$A:$A, "")</f>
        <v>24</v>
      </c>
      <c r="G1361" s="1" t="str">
        <f>TEXT(IF($B1361 = "Retail Item", IF((ROW($A1361) - 4504 - _xlfn.XMATCH($C1361, $C$4506:$C$5005, 0, 1)) &lt;= VLOOKUP($C1361, 'Instrument Table'!$B:$D, 3, FALSE), ROW($A1361) - 4504 - _xlfn.XMATCH($C1361, $C$4506:$C$5005, 0, 1), 0), 0), "00")</f>
        <v>00</v>
      </c>
      <c r="H1361" s="1" t="str">
        <f t="shared" si="127"/>
        <v>005</v>
      </c>
      <c r="I1361" s="1" t="str">
        <f t="shared" si="128"/>
        <v>12400-005</v>
      </c>
      <c r="J1361" s="1" t="str">
        <f t="shared" si="129"/>
        <v>Acoustic guitar production item #005</v>
      </c>
      <c r="K1361" s="1" t="str">
        <f>IF(SUM(COUNTIFS(I:I, I1361)) &gt; 1, "DUPLICATE", "UNIQUE")</f>
        <v>UNIQUE</v>
      </c>
      <c r="L1361" s="18">
        <v>2</v>
      </c>
      <c r="M1361" s="28">
        <v>85</v>
      </c>
      <c r="N1361" s="6">
        <v>324</v>
      </c>
      <c r="O1361" s="30">
        <f t="shared" si="130"/>
        <v>170</v>
      </c>
      <c r="P1361" s="30">
        <f t="shared" si="131"/>
        <v>27540</v>
      </c>
      <c r="Q1361" s="1">
        <f>COUNTIFS($P:$P, "&gt;" &amp; $P1361) + 1</f>
        <v>738</v>
      </c>
      <c r="R1361" s="63">
        <f>(COUNTIFS($P:$P, "&gt;" &amp; $P1361) + 1) / (COUNTA($I:$I) - 1)</f>
        <v>0.14760000000000001</v>
      </c>
      <c r="S1361" s="23">
        <f>SUMIFS($P:$P, $Q:$Q, "&lt;" &amp; $Q1361)</f>
        <v>160178199</v>
      </c>
    </row>
    <row r="1362" spans="1:19" x14ac:dyDescent="0.25">
      <c r="A1362" s="1">
        <v>1357</v>
      </c>
      <c r="B1362" s="1" t="s">
        <v>2</v>
      </c>
      <c r="C1362" s="1" t="str">
        <f>IF($B1362 = "Production Item", _xlfn.XLOOKUP($A1362, 'Instrument Table'!$J:$J, 'Instrument Table'!$B:$B, $C1361), IF($B1362 = "Service Item", _xlfn.XLOOKUP($A1362, 'Instrument Table'!$I:$I, 'Instrument Table'!$B:$B, $C1361), _xlfn.XLOOKUP($A1362, 'Instrument Table'!$H:$H, 'Instrument Table'!$B:$B, $C1361)))</f>
        <v>Acoustic Guitar</v>
      </c>
      <c r="D1362" s="1" t="str">
        <f>VLOOKUP($C1362, 'Instrument Table'!$B:$C, 2, FALSE)</f>
        <v>Strings</v>
      </c>
      <c r="E1362" s="1">
        <f t="shared" si="126"/>
        <v>1</v>
      </c>
      <c r="F1362" s="1">
        <f>_xlfn.XLOOKUP($C1362, 'Instrument Table'!$B:$B, 'Instrument Table'!$A:$A, "")</f>
        <v>24</v>
      </c>
      <c r="G1362" s="1" t="str">
        <f>TEXT(IF($B1362 = "Retail Item", IF((ROW($A1362) - 4504 - _xlfn.XMATCH($C1362, $C$4506:$C$5005, 0, 1)) &lt;= VLOOKUP($C1362, 'Instrument Table'!$B:$D, 3, FALSE), ROW($A1362) - 4504 - _xlfn.XMATCH($C1362, $C$4506:$C$5005, 0, 1), 0), 0), "00")</f>
        <v>00</v>
      </c>
      <c r="H1362" s="1" t="str">
        <f t="shared" si="127"/>
        <v>006</v>
      </c>
      <c r="I1362" s="1" t="str">
        <f t="shared" si="128"/>
        <v>12400-006</v>
      </c>
      <c r="J1362" s="1" t="str">
        <f t="shared" si="129"/>
        <v>Acoustic guitar production item #006</v>
      </c>
      <c r="K1362" s="1" t="str">
        <f>IF(SUM(COUNTIFS(I:I, I1362)) &gt; 1, "DUPLICATE", "UNIQUE")</f>
        <v>UNIQUE</v>
      </c>
      <c r="L1362" s="18">
        <v>16</v>
      </c>
      <c r="M1362" s="28">
        <v>85</v>
      </c>
      <c r="N1362" s="6">
        <v>289</v>
      </c>
      <c r="O1362" s="30">
        <f t="shared" si="130"/>
        <v>1360</v>
      </c>
      <c r="P1362" s="30">
        <f t="shared" si="131"/>
        <v>24565</v>
      </c>
      <c r="Q1362" s="1">
        <f>COUNTIFS($P:$P, "&gt;" &amp; $P1362) + 1</f>
        <v>847</v>
      </c>
      <c r="R1362" s="63">
        <f>(COUNTIFS($P:$P, "&gt;" &amp; $P1362) + 1) / (COUNTA($I:$I) - 1)</f>
        <v>0.1694</v>
      </c>
      <c r="S1362" s="23">
        <f>SUMIFS($P:$P, $Q:$Q, "&lt;" &amp; $Q1362)</f>
        <v>163009892</v>
      </c>
    </row>
    <row r="1363" spans="1:19" x14ac:dyDescent="0.25">
      <c r="A1363" s="1">
        <v>1358</v>
      </c>
      <c r="B1363" s="1" t="s">
        <v>2</v>
      </c>
      <c r="C1363" s="1" t="str">
        <f>IF($B1363 = "Production Item", _xlfn.XLOOKUP($A1363, 'Instrument Table'!$J:$J, 'Instrument Table'!$B:$B, $C1362), IF($B1363 = "Service Item", _xlfn.XLOOKUP($A1363, 'Instrument Table'!$I:$I, 'Instrument Table'!$B:$B, $C1362), _xlfn.XLOOKUP($A1363, 'Instrument Table'!$H:$H, 'Instrument Table'!$B:$B, $C1362)))</f>
        <v>Acoustic Guitar</v>
      </c>
      <c r="D1363" s="1" t="str">
        <f>VLOOKUP($C1363, 'Instrument Table'!$B:$C, 2, FALSE)</f>
        <v>Strings</v>
      </c>
      <c r="E1363" s="1">
        <f t="shared" si="126"/>
        <v>1</v>
      </c>
      <c r="F1363" s="1">
        <f>_xlfn.XLOOKUP($C1363, 'Instrument Table'!$B:$B, 'Instrument Table'!$A:$A, "")</f>
        <v>24</v>
      </c>
      <c r="G1363" s="1" t="str">
        <f>TEXT(IF($B1363 = "Retail Item", IF((ROW($A1363) - 4504 - _xlfn.XMATCH($C1363, $C$4506:$C$5005, 0, 1)) &lt;= VLOOKUP($C1363, 'Instrument Table'!$B:$D, 3, FALSE), ROW($A1363) - 4504 - _xlfn.XMATCH($C1363, $C$4506:$C$5005, 0, 1), 0), 0), "00")</f>
        <v>00</v>
      </c>
      <c r="H1363" s="1" t="str">
        <f t="shared" si="127"/>
        <v>007</v>
      </c>
      <c r="I1363" s="1" t="str">
        <f t="shared" si="128"/>
        <v>12400-007</v>
      </c>
      <c r="J1363" s="1" t="str">
        <f t="shared" si="129"/>
        <v>Acoustic guitar production item #007</v>
      </c>
      <c r="K1363" s="1" t="str">
        <f>IF(SUM(COUNTIFS(I:I, I1363)) &gt; 1, "DUPLICATE", "UNIQUE")</f>
        <v>UNIQUE</v>
      </c>
      <c r="L1363" s="18">
        <v>0</v>
      </c>
      <c r="M1363" s="28">
        <v>22</v>
      </c>
      <c r="N1363" s="6">
        <v>400</v>
      </c>
      <c r="O1363" s="30">
        <f t="shared" si="130"/>
        <v>0</v>
      </c>
      <c r="P1363" s="30">
        <f t="shared" si="131"/>
        <v>8800</v>
      </c>
      <c r="Q1363" s="1">
        <f>COUNTIFS($P:$P, "&gt;" &amp; $P1363) + 1</f>
        <v>1898</v>
      </c>
      <c r="R1363" s="63">
        <f>(COUNTIFS($P:$P, "&gt;" &amp; $P1363) + 1) / (COUNTA($I:$I) - 1)</f>
        <v>0.37959999999999999</v>
      </c>
      <c r="S1363" s="23">
        <f>SUMIFS($P:$P, $Q:$Q, "&lt;" &amp; $Q1363)</f>
        <v>179145927</v>
      </c>
    </row>
    <row r="1364" spans="1:19" x14ac:dyDescent="0.25">
      <c r="A1364" s="1">
        <v>1359</v>
      </c>
      <c r="B1364" s="1" t="s">
        <v>2</v>
      </c>
      <c r="C1364" s="1" t="str">
        <f>IF($B1364 = "Production Item", _xlfn.XLOOKUP($A1364, 'Instrument Table'!$J:$J, 'Instrument Table'!$B:$B, $C1363), IF($B1364 = "Service Item", _xlfn.XLOOKUP($A1364, 'Instrument Table'!$I:$I, 'Instrument Table'!$B:$B, $C1363), _xlfn.XLOOKUP($A1364, 'Instrument Table'!$H:$H, 'Instrument Table'!$B:$B, $C1363)))</f>
        <v>Acoustic Guitar</v>
      </c>
      <c r="D1364" s="1" t="str">
        <f>VLOOKUP($C1364, 'Instrument Table'!$B:$C, 2, FALSE)</f>
        <v>Strings</v>
      </c>
      <c r="E1364" s="1">
        <f t="shared" si="126"/>
        <v>1</v>
      </c>
      <c r="F1364" s="1">
        <f>_xlfn.XLOOKUP($C1364, 'Instrument Table'!$B:$B, 'Instrument Table'!$A:$A, "")</f>
        <v>24</v>
      </c>
      <c r="G1364" s="1" t="str">
        <f>TEXT(IF($B1364 = "Retail Item", IF((ROW($A1364) - 4504 - _xlfn.XMATCH($C1364, $C$4506:$C$5005, 0, 1)) &lt;= VLOOKUP($C1364, 'Instrument Table'!$B:$D, 3, FALSE), ROW($A1364) - 4504 - _xlfn.XMATCH($C1364, $C$4506:$C$5005, 0, 1), 0), 0), "00")</f>
        <v>00</v>
      </c>
      <c r="H1364" s="1" t="str">
        <f t="shared" si="127"/>
        <v>008</v>
      </c>
      <c r="I1364" s="1" t="str">
        <f t="shared" si="128"/>
        <v>12400-008</v>
      </c>
      <c r="J1364" s="1" t="str">
        <f t="shared" si="129"/>
        <v>Acoustic guitar production item #008</v>
      </c>
      <c r="K1364" s="1" t="str">
        <f>IF(SUM(COUNTIFS(I:I, I1364)) &gt; 1, "DUPLICATE", "UNIQUE")</f>
        <v>UNIQUE</v>
      </c>
      <c r="L1364" s="18">
        <v>4</v>
      </c>
      <c r="M1364" s="28">
        <v>86</v>
      </c>
      <c r="N1364" s="6">
        <v>196</v>
      </c>
      <c r="O1364" s="30">
        <f t="shared" si="130"/>
        <v>344</v>
      </c>
      <c r="P1364" s="30">
        <f t="shared" si="131"/>
        <v>16856</v>
      </c>
      <c r="Q1364" s="1">
        <f>COUNTIFS($P:$P, "&gt;" &amp; $P1364) + 1</f>
        <v>1223</v>
      </c>
      <c r="R1364" s="63">
        <f>(COUNTIFS($P:$P, "&gt;" &amp; $P1364) + 1) / (COUNTA($I:$I) - 1)</f>
        <v>0.24460000000000001</v>
      </c>
      <c r="S1364" s="23">
        <f>SUMIFS($P:$P, $Q:$Q, "&lt;" &amp; $Q1364)</f>
        <v>170718947</v>
      </c>
    </row>
    <row r="1365" spans="1:19" x14ac:dyDescent="0.25">
      <c r="A1365" s="1">
        <v>1360</v>
      </c>
      <c r="B1365" s="1" t="s">
        <v>2</v>
      </c>
      <c r="C1365" s="1" t="str">
        <f>IF($B1365 = "Production Item", _xlfn.XLOOKUP($A1365, 'Instrument Table'!$J:$J, 'Instrument Table'!$B:$B, $C1364), IF($B1365 = "Service Item", _xlfn.XLOOKUP($A1365, 'Instrument Table'!$I:$I, 'Instrument Table'!$B:$B, $C1364), _xlfn.XLOOKUP($A1365, 'Instrument Table'!$H:$H, 'Instrument Table'!$B:$B, $C1364)))</f>
        <v>Acoustic Guitar</v>
      </c>
      <c r="D1365" s="1" t="str">
        <f>VLOOKUP($C1365, 'Instrument Table'!$B:$C, 2, FALSE)</f>
        <v>Strings</v>
      </c>
      <c r="E1365" s="1">
        <f t="shared" si="126"/>
        <v>1</v>
      </c>
      <c r="F1365" s="1">
        <f>_xlfn.XLOOKUP($C1365, 'Instrument Table'!$B:$B, 'Instrument Table'!$A:$A, "")</f>
        <v>24</v>
      </c>
      <c r="G1365" s="1" t="str">
        <f>TEXT(IF($B1365 = "Retail Item", IF((ROW($A1365) - 4504 - _xlfn.XMATCH($C1365, $C$4506:$C$5005, 0, 1)) &lt;= VLOOKUP($C1365, 'Instrument Table'!$B:$D, 3, FALSE), ROW($A1365) - 4504 - _xlfn.XMATCH($C1365, $C$4506:$C$5005, 0, 1), 0), 0), "00")</f>
        <v>00</v>
      </c>
      <c r="H1365" s="1" t="str">
        <f t="shared" si="127"/>
        <v>009</v>
      </c>
      <c r="I1365" s="1" t="str">
        <f t="shared" si="128"/>
        <v>12400-009</v>
      </c>
      <c r="J1365" s="1" t="str">
        <f t="shared" si="129"/>
        <v>Acoustic guitar production item #009</v>
      </c>
      <c r="K1365" s="1" t="str">
        <f>IF(SUM(COUNTIFS(I:I, I1365)) &gt; 1, "DUPLICATE", "UNIQUE")</f>
        <v>UNIQUE</v>
      </c>
      <c r="L1365" s="18">
        <v>0</v>
      </c>
      <c r="M1365" s="28">
        <v>69</v>
      </c>
      <c r="N1365" s="6">
        <v>4</v>
      </c>
      <c r="O1365" s="30">
        <f t="shared" si="130"/>
        <v>0</v>
      </c>
      <c r="P1365" s="30">
        <f t="shared" si="131"/>
        <v>276</v>
      </c>
      <c r="Q1365" s="1">
        <f>COUNTIFS($P:$P, "&gt;" &amp; $P1365) + 1</f>
        <v>4242</v>
      </c>
      <c r="R1365" s="63">
        <f>(COUNTIFS($P:$P, "&gt;" &amp; $P1365) + 1) / (COUNTA($I:$I) - 1)</f>
        <v>0.84840000000000004</v>
      </c>
      <c r="S1365" s="23">
        <f>SUMIFS($P:$P, $Q:$Q, "&lt;" &amp; $Q1365)</f>
        <v>186492897</v>
      </c>
    </row>
    <row r="1366" spans="1:19" x14ac:dyDescent="0.25">
      <c r="A1366" s="1">
        <v>1361</v>
      </c>
      <c r="B1366" s="1" t="s">
        <v>2</v>
      </c>
      <c r="C1366" s="1" t="str">
        <f>IF($B1366 = "Production Item", _xlfn.XLOOKUP($A1366, 'Instrument Table'!$J:$J, 'Instrument Table'!$B:$B, $C1365), IF($B1366 = "Service Item", _xlfn.XLOOKUP($A1366, 'Instrument Table'!$I:$I, 'Instrument Table'!$B:$B, $C1365), _xlfn.XLOOKUP($A1366, 'Instrument Table'!$H:$H, 'Instrument Table'!$B:$B, $C1365)))</f>
        <v>Acoustic Guitar</v>
      </c>
      <c r="D1366" s="1" t="str">
        <f>VLOOKUP($C1366, 'Instrument Table'!$B:$C, 2, FALSE)</f>
        <v>Strings</v>
      </c>
      <c r="E1366" s="1">
        <f t="shared" si="126"/>
        <v>1</v>
      </c>
      <c r="F1366" s="1">
        <f>_xlfn.XLOOKUP($C1366, 'Instrument Table'!$B:$B, 'Instrument Table'!$A:$A, "")</f>
        <v>24</v>
      </c>
      <c r="G1366" s="1" t="str">
        <f>TEXT(IF($B1366 = "Retail Item", IF((ROW($A1366) - 4504 - _xlfn.XMATCH($C1366, $C$4506:$C$5005, 0, 1)) &lt;= VLOOKUP($C1366, 'Instrument Table'!$B:$D, 3, FALSE), ROW($A1366) - 4504 - _xlfn.XMATCH($C1366, $C$4506:$C$5005, 0, 1), 0), 0), "00")</f>
        <v>00</v>
      </c>
      <c r="H1366" s="1" t="str">
        <f t="shared" si="127"/>
        <v>010</v>
      </c>
      <c r="I1366" s="1" t="str">
        <f t="shared" si="128"/>
        <v>12400-010</v>
      </c>
      <c r="J1366" s="1" t="str">
        <f t="shared" si="129"/>
        <v>Acoustic guitar production item #010</v>
      </c>
      <c r="K1366" s="1" t="str">
        <f>IF(SUM(COUNTIFS(I:I, I1366)) &gt; 1, "DUPLICATE", "UNIQUE")</f>
        <v>UNIQUE</v>
      </c>
      <c r="L1366" s="18">
        <v>1</v>
      </c>
      <c r="M1366" s="28">
        <v>100</v>
      </c>
      <c r="N1366" s="6">
        <v>4</v>
      </c>
      <c r="O1366" s="30">
        <f t="shared" si="130"/>
        <v>100</v>
      </c>
      <c r="P1366" s="30">
        <f t="shared" si="131"/>
        <v>400</v>
      </c>
      <c r="Q1366" s="1">
        <f>COUNTIFS($P:$P, "&gt;" &amp; $P1366) + 1</f>
        <v>4090</v>
      </c>
      <c r="R1366" s="63">
        <f>(COUNTIFS($P:$P, "&gt;" &amp; $P1366) + 1) / (COUNTA($I:$I) - 1)</f>
        <v>0.81799999999999995</v>
      </c>
      <c r="S1366" s="23">
        <f>SUMIFS($P:$P, $Q:$Q, "&lt;" &amp; $Q1366)</f>
        <v>186440882</v>
      </c>
    </row>
    <row r="1367" spans="1:19" x14ac:dyDescent="0.25">
      <c r="A1367" s="1">
        <v>1362</v>
      </c>
      <c r="B1367" s="1" t="s">
        <v>2</v>
      </c>
      <c r="C1367" s="1" t="str">
        <f>IF($B1367 = "Production Item", _xlfn.XLOOKUP($A1367, 'Instrument Table'!$J:$J, 'Instrument Table'!$B:$B, $C1366), IF($B1367 = "Service Item", _xlfn.XLOOKUP($A1367, 'Instrument Table'!$I:$I, 'Instrument Table'!$B:$B, $C1366), _xlfn.XLOOKUP($A1367, 'Instrument Table'!$H:$H, 'Instrument Table'!$B:$B, $C1366)))</f>
        <v>Acoustic Guitar</v>
      </c>
      <c r="D1367" s="1" t="str">
        <f>VLOOKUP($C1367, 'Instrument Table'!$B:$C, 2, FALSE)</f>
        <v>Strings</v>
      </c>
      <c r="E1367" s="1">
        <f t="shared" si="126"/>
        <v>1</v>
      </c>
      <c r="F1367" s="1">
        <f>_xlfn.XLOOKUP($C1367, 'Instrument Table'!$B:$B, 'Instrument Table'!$A:$A, "")</f>
        <v>24</v>
      </c>
      <c r="G1367" s="1" t="str">
        <f>TEXT(IF($B1367 = "Retail Item", IF((ROW($A1367) - 4504 - _xlfn.XMATCH($C1367, $C$4506:$C$5005, 0, 1)) &lt;= VLOOKUP($C1367, 'Instrument Table'!$B:$D, 3, FALSE), ROW($A1367) - 4504 - _xlfn.XMATCH($C1367, $C$4506:$C$5005, 0, 1), 0), 0), "00")</f>
        <v>00</v>
      </c>
      <c r="H1367" s="1" t="str">
        <f t="shared" si="127"/>
        <v>011</v>
      </c>
      <c r="I1367" s="1" t="str">
        <f t="shared" si="128"/>
        <v>12400-011</v>
      </c>
      <c r="J1367" s="1" t="str">
        <f t="shared" si="129"/>
        <v>Acoustic guitar production item #011</v>
      </c>
      <c r="K1367" s="1" t="str">
        <f>IF(SUM(COUNTIFS(I:I, I1367)) &gt; 1, "DUPLICATE", "UNIQUE")</f>
        <v>UNIQUE</v>
      </c>
      <c r="L1367" s="18">
        <v>8</v>
      </c>
      <c r="M1367" s="28">
        <v>7</v>
      </c>
      <c r="N1367" s="6">
        <v>324</v>
      </c>
      <c r="O1367" s="30">
        <f t="shared" si="130"/>
        <v>56</v>
      </c>
      <c r="P1367" s="30">
        <f t="shared" si="131"/>
        <v>2268</v>
      </c>
      <c r="Q1367" s="1">
        <f>COUNTIFS($P:$P, "&gt;" &amp; $P1367) + 1</f>
        <v>3145</v>
      </c>
      <c r="R1367" s="63">
        <f>(COUNTIFS($P:$P, "&gt;" &amp; $P1367) + 1) / (COUNTA($I:$I) - 1)</f>
        <v>0.629</v>
      </c>
      <c r="S1367" s="23">
        <f>SUMIFS($P:$P, $Q:$Q, "&lt;" &amp; $Q1367)</f>
        <v>185286773</v>
      </c>
    </row>
    <row r="1368" spans="1:19" x14ac:dyDescent="0.25">
      <c r="A1368" s="1">
        <v>1363</v>
      </c>
      <c r="B1368" s="1" t="s">
        <v>2</v>
      </c>
      <c r="C1368" s="1" t="str">
        <f>IF($B1368 = "Production Item", _xlfn.XLOOKUP($A1368, 'Instrument Table'!$J:$J, 'Instrument Table'!$B:$B, $C1367), IF($B1368 = "Service Item", _xlfn.XLOOKUP($A1368, 'Instrument Table'!$I:$I, 'Instrument Table'!$B:$B, $C1367), _xlfn.XLOOKUP($A1368, 'Instrument Table'!$H:$H, 'Instrument Table'!$B:$B, $C1367)))</f>
        <v>Acoustic Guitar</v>
      </c>
      <c r="D1368" s="1" t="str">
        <f>VLOOKUP($C1368, 'Instrument Table'!$B:$C, 2, FALSE)</f>
        <v>Strings</v>
      </c>
      <c r="E1368" s="1">
        <f t="shared" si="126"/>
        <v>1</v>
      </c>
      <c r="F1368" s="1">
        <f>_xlfn.XLOOKUP($C1368, 'Instrument Table'!$B:$B, 'Instrument Table'!$A:$A, "")</f>
        <v>24</v>
      </c>
      <c r="G1368" s="1" t="str">
        <f>TEXT(IF($B1368 = "Retail Item", IF((ROW($A1368) - 4504 - _xlfn.XMATCH($C1368, $C$4506:$C$5005, 0, 1)) &lt;= VLOOKUP($C1368, 'Instrument Table'!$B:$D, 3, FALSE), ROW($A1368) - 4504 - _xlfn.XMATCH($C1368, $C$4506:$C$5005, 0, 1), 0), 0), "00")</f>
        <v>00</v>
      </c>
      <c r="H1368" s="1" t="str">
        <f t="shared" si="127"/>
        <v>012</v>
      </c>
      <c r="I1368" s="1" t="str">
        <f t="shared" si="128"/>
        <v>12400-012</v>
      </c>
      <c r="J1368" s="1" t="str">
        <f t="shared" si="129"/>
        <v>Acoustic guitar production item #012</v>
      </c>
      <c r="K1368" s="1" t="str">
        <f>IF(SUM(COUNTIFS(I:I, I1368)) &gt; 1, "DUPLICATE", "UNIQUE")</f>
        <v>UNIQUE</v>
      </c>
      <c r="L1368" s="18">
        <v>1</v>
      </c>
      <c r="M1368" s="28">
        <v>86</v>
      </c>
      <c r="N1368" s="6">
        <v>25</v>
      </c>
      <c r="O1368" s="30">
        <f t="shared" si="130"/>
        <v>86</v>
      </c>
      <c r="P1368" s="30">
        <f t="shared" si="131"/>
        <v>2150</v>
      </c>
      <c r="Q1368" s="1">
        <f>COUNTIFS($P:$P, "&gt;" &amp; $P1368) + 1</f>
        <v>3188</v>
      </c>
      <c r="R1368" s="63">
        <f>(COUNTIFS($P:$P, "&gt;" &amp; $P1368) + 1) / (COUNTA($I:$I) - 1)</f>
        <v>0.63759999999999994</v>
      </c>
      <c r="S1368" s="23">
        <f>SUMIFS($P:$P, $Q:$Q, "&lt;" &amp; $Q1368)</f>
        <v>185382156</v>
      </c>
    </row>
    <row r="1369" spans="1:19" x14ac:dyDescent="0.25">
      <c r="A1369" s="1">
        <v>1364</v>
      </c>
      <c r="B1369" s="1" t="s">
        <v>2</v>
      </c>
      <c r="C1369" s="1" t="str">
        <f>IF($B1369 = "Production Item", _xlfn.XLOOKUP($A1369, 'Instrument Table'!$J:$J, 'Instrument Table'!$B:$B, $C1368), IF($B1369 = "Service Item", _xlfn.XLOOKUP($A1369, 'Instrument Table'!$I:$I, 'Instrument Table'!$B:$B, $C1368), _xlfn.XLOOKUP($A1369, 'Instrument Table'!$H:$H, 'Instrument Table'!$B:$B, $C1368)))</f>
        <v>Acoustic Guitar</v>
      </c>
      <c r="D1369" s="1" t="str">
        <f>VLOOKUP($C1369, 'Instrument Table'!$B:$C, 2, FALSE)</f>
        <v>Strings</v>
      </c>
      <c r="E1369" s="1">
        <f t="shared" si="126"/>
        <v>1</v>
      </c>
      <c r="F1369" s="1">
        <f>_xlfn.XLOOKUP($C1369, 'Instrument Table'!$B:$B, 'Instrument Table'!$A:$A, "")</f>
        <v>24</v>
      </c>
      <c r="G1369" s="1" t="str">
        <f>TEXT(IF($B1369 = "Retail Item", IF((ROW($A1369) - 4504 - _xlfn.XMATCH($C1369, $C$4506:$C$5005, 0, 1)) &lt;= VLOOKUP($C1369, 'Instrument Table'!$B:$D, 3, FALSE), ROW($A1369) - 4504 - _xlfn.XMATCH($C1369, $C$4506:$C$5005, 0, 1), 0), 0), "00")</f>
        <v>00</v>
      </c>
      <c r="H1369" s="1" t="str">
        <f t="shared" si="127"/>
        <v>013</v>
      </c>
      <c r="I1369" s="1" t="str">
        <f t="shared" si="128"/>
        <v>12400-013</v>
      </c>
      <c r="J1369" s="1" t="str">
        <f t="shared" si="129"/>
        <v>Acoustic guitar production item #013</v>
      </c>
      <c r="K1369" s="1" t="str">
        <f>IF(SUM(COUNTIFS(I:I, I1369)) &gt; 1, "DUPLICATE", "UNIQUE")</f>
        <v>UNIQUE</v>
      </c>
      <c r="L1369" s="18">
        <v>1</v>
      </c>
      <c r="M1369" s="28">
        <v>19</v>
      </c>
      <c r="N1369" s="6">
        <v>49</v>
      </c>
      <c r="O1369" s="30">
        <f t="shared" si="130"/>
        <v>19</v>
      </c>
      <c r="P1369" s="30">
        <f t="shared" si="131"/>
        <v>931</v>
      </c>
      <c r="Q1369" s="1">
        <f>COUNTIFS($P:$P, "&gt;" &amp; $P1369) + 1</f>
        <v>3710</v>
      </c>
      <c r="R1369" s="63">
        <f>(COUNTIFS($P:$P, "&gt;" &amp; $P1369) + 1) / (COUNTA($I:$I) - 1)</f>
        <v>0.74199999999999999</v>
      </c>
      <c r="S1369" s="23">
        <f>SUMIFS($P:$P, $Q:$Q, "&lt;" &amp; $Q1369)</f>
        <v>186188329</v>
      </c>
    </row>
    <row r="1370" spans="1:19" x14ac:dyDescent="0.25">
      <c r="A1370" s="1">
        <v>1365</v>
      </c>
      <c r="B1370" s="1" t="s">
        <v>2</v>
      </c>
      <c r="C1370" s="1" t="str">
        <f>IF($B1370 = "Production Item", _xlfn.XLOOKUP($A1370, 'Instrument Table'!$J:$J, 'Instrument Table'!$B:$B, $C1369), IF($B1370 = "Service Item", _xlfn.XLOOKUP($A1370, 'Instrument Table'!$I:$I, 'Instrument Table'!$B:$B, $C1369), _xlfn.XLOOKUP($A1370, 'Instrument Table'!$H:$H, 'Instrument Table'!$B:$B, $C1369)))</f>
        <v>Acoustic Guitar</v>
      </c>
      <c r="D1370" s="1" t="str">
        <f>VLOOKUP($C1370, 'Instrument Table'!$B:$C, 2, FALSE)</f>
        <v>Strings</v>
      </c>
      <c r="E1370" s="1">
        <f t="shared" si="126"/>
        <v>1</v>
      </c>
      <c r="F1370" s="1">
        <f>_xlfn.XLOOKUP($C1370, 'Instrument Table'!$B:$B, 'Instrument Table'!$A:$A, "")</f>
        <v>24</v>
      </c>
      <c r="G1370" s="1" t="str">
        <f>TEXT(IF($B1370 = "Retail Item", IF((ROW($A1370) - 4504 - _xlfn.XMATCH($C1370, $C$4506:$C$5005, 0, 1)) &lt;= VLOOKUP($C1370, 'Instrument Table'!$B:$D, 3, FALSE), ROW($A1370) - 4504 - _xlfn.XMATCH($C1370, $C$4506:$C$5005, 0, 1), 0), 0), "00")</f>
        <v>00</v>
      </c>
      <c r="H1370" s="1" t="str">
        <f t="shared" si="127"/>
        <v>014</v>
      </c>
      <c r="I1370" s="1" t="str">
        <f t="shared" si="128"/>
        <v>12400-014</v>
      </c>
      <c r="J1370" s="1" t="str">
        <f t="shared" si="129"/>
        <v>Acoustic guitar production item #014</v>
      </c>
      <c r="K1370" s="1" t="str">
        <f>IF(SUM(COUNTIFS(I:I, I1370)) &gt; 1, "DUPLICATE", "UNIQUE")</f>
        <v>UNIQUE</v>
      </c>
      <c r="L1370" s="18">
        <v>0</v>
      </c>
      <c r="M1370" s="28">
        <v>81</v>
      </c>
      <c r="N1370" s="6">
        <v>25</v>
      </c>
      <c r="O1370" s="30">
        <f t="shared" si="130"/>
        <v>0</v>
      </c>
      <c r="P1370" s="30">
        <f t="shared" si="131"/>
        <v>2025</v>
      </c>
      <c r="Q1370" s="1">
        <f>COUNTIFS($P:$P, "&gt;" &amp; $P1370) + 1</f>
        <v>3241</v>
      </c>
      <c r="R1370" s="63">
        <f>(COUNTIFS($P:$P, "&gt;" &amp; $P1370) + 1) / (COUNTA($I:$I) - 1)</f>
        <v>0.6482</v>
      </c>
      <c r="S1370" s="23">
        <f>SUMIFS($P:$P, $Q:$Q, "&lt;" &amp; $Q1370)</f>
        <v>185492863</v>
      </c>
    </row>
    <row r="1371" spans="1:19" x14ac:dyDescent="0.25">
      <c r="A1371" s="1">
        <v>1366</v>
      </c>
      <c r="B1371" s="1" t="s">
        <v>2</v>
      </c>
      <c r="C1371" s="1" t="str">
        <f>IF($B1371 = "Production Item", _xlfn.XLOOKUP($A1371, 'Instrument Table'!$J:$J, 'Instrument Table'!$B:$B, $C1370), IF($B1371 = "Service Item", _xlfn.XLOOKUP($A1371, 'Instrument Table'!$I:$I, 'Instrument Table'!$B:$B, $C1370), _xlfn.XLOOKUP($A1371, 'Instrument Table'!$H:$H, 'Instrument Table'!$B:$B, $C1370)))</f>
        <v>Acoustic Guitar</v>
      </c>
      <c r="D1371" s="1" t="str">
        <f>VLOOKUP($C1371, 'Instrument Table'!$B:$C, 2, FALSE)</f>
        <v>Strings</v>
      </c>
      <c r="E1371" s="1">
        <f t="shared" si="126"/>
        <v>1</v>
      </c>
      <c r="F1371" s="1">
        <f>_xlfn.XLOOKUP($C1371, 'Instrument Table'!$B:$B, 'Instrument Table'!$A:$A, "")</f>
        <v>24</v>
      </c>
      <c r="G1371" s="1" t="str">
        <f>TEXT(IF($B1371 = "Retail Item", IF((ROW($A1371) - 4504 - _xlfn.XMATCH($C1371, $C$4506:$C$5005, 0, 1)) &lt;= VLOOKUP($C1371, 'Instrument Table'!$B:$D, 3, FALSE), ROW($A1371) - 4504 - _xlfn.XMATCH($C1371, $C$4506:$C$5005, 0, 1), 0), 0), "00")</f>
        <v>00</v>
      </c>
      <c r="H1371" s="1" t="str">
        <f t="shared" si="127"/>
        <v>015</v>
      </c>
      <c r="I1371" s="1" t="str">
        <f t="shared" si="128"/>
        <v>12400-015</v>
      </c>
      <c r="J1371" s="1" t="str">
        <f t="shared" si="129"/>
        <v>Acoustic guitar production item #015</v>
      </c>
      <c r="K1371" s="1" t="str">
        <f>IF(SUM(COUNTIFS(I:I, I1371)) &gt; 1, "DUPLICATE", "UNIQUE")</f>
        <v>UNIQUE</v>
      </c>
      <c r="L1371" s="18">
        <v>8</v>
      </c>
      <c r="M1371" s="28">
        <v>4</v>
      </c>
      <c r="N1371" s="6">
        <v>256</v>
      </c>
      <c r="O1371" s="30">
        <f t="shared" si="130"/>
        <v>32</v>
      </c>
      <c r="P1371" s="30">
        <f t="shared" si="131"/>
        <v>1024</v>
      </c>
      <c r="Q1371" s="1">
        <f>COUNTIFS($P:$P, "&gt;" &amp; $P1371) + 1</f>
        <v>3667</v>
      </c>
      <c r="R1371" s="63">
        <f>(COUNTIFS($P:$P, "&gt;" &amp; $P1371) + 1) / (COUNTA($I:$I) - 1)</f>
        <v>0.73340000000000005</v>
      </c>
      <c r="S1371" s="23">
        <f>SUMIFS($P:$P, $Q:$Q, "&lt;" &amp; $Q1371)</f>
        <v>186145961</v>
      </c>
    </row>
    <row r="1372" spans="1:19" x14ac:dyDescent="0.25">
      <c r="A1372" s="1">
        <v>1367</v>
      </c>
      <c r="B1372" s="1" t="s">
        <v>2</v>
      </c>
      <c r="C1372" s="1" t="str">
        <f>IF($B1372 = "Production Item", _xlfn.XLOOKUP($A1372, 'Instrument Table'!$J:$J, 'Instrument Table'!$B:$B, $C1371), IF($B1372 = "Service Item", _xlfn.XLOOKUP($A1372, 'Instrument Table'!$I:$I, 'Instrument Table'!$B:$B, $C1371), _xlfn.XLOOKUP($A1372, 'Instrument Table'!$H:$H, 'Instrument Table'!$B:$B, $C1371)))</f>
        <v>Acoustic Guitar</v>
      </c>
      <c r="D1372" s="1" t="str">
        <f>VLOOKUP($C1372, 'Instrument Table'!$B:$C, 2, FALSE)</f>
        <v>Strings</v>
      </c>
      <c r="E1372" s="1">
        <f t="shared" si="126"/>
        <v>1</v>
      </c>
      <c r="F1372" s="1">
        <f>_xlfn.XLOOKUP($C1372, 'Instrument Table'!$B:$B, 'Instrument Table'!$A:$A, "")</f>
        <v>24</v>
      </c>
      <c r="G1372" s="1" t="str">
        <f>TEXT(IF($B1372 = "Retail Item", IF((ROW($A1372) - 4504 - _xlfn.XMATCH($C1372, $C$4506:$C$5005, 0, 1)) &lt;= VLOOKUP($C1372, 'Instrument Table'!$B:$D, 3, FALSE), ROW($A1372) - 4504 - _xlfn.XMATCH($C1372, $C$4506:$C$5005, 0, 1), 0), 0), "00")</f>
        <v>00</v>
      </c>
      <c r="H1372" s="1" t="str">
        <f t="shared" si="127"/>
        <v>016</v>
      </c>
      <c r="I1372" s="1" t="str">
        <f t="shared" si="128"/>
        <v>12400-016</v>
      </c>
      <c r="J1372" s="1" t="str">
        <f t="shared" si="129"/>
        <v>Acoustic guitar production item #016</v>
      </c>
      <c r="K1372" s="1" t="str">
        <f>IF(SUM(COUNTIFS(I:I, I1372)) &gt; 1, "DUPLICATE", "UNIQUE")</f>
        <v>UNIQUE</v>
      </c>
      <c r="L1372" s="18">
        <v>2</v>
      </c>
      <c r="M1372" s="28">
        <v>1</v>
      </c>
      <c r="N1372" s="6">
        <v>400</v>
      </c>
      <c r="O1372" s="30">
        <f t="shared" si="130"/>
        <v>2</v>
      </c>
      <c r="P1372" s="30">
        <f t="shared" si="131"/>
        <v>400</v>
      </c>
      <c r="Q1372" s="1">
        <f>COUNTIFS($P:$P, "&gt;" &amp; $P1372) + 1</f>
        <v>4090</v>
      </c>
      <c r="R1372" s="63">
        <f>(COUNTIFS($P:$P, "&gt;" &amp; $P1372) + 1) / (COUNTA($I:$I) - 1)</f>
        <v>0.81799999999999995</v>
      </c>
      <c r="S1372" s="23">
        <f>SUMIFS($P:$P, $Q:$Q, "&lt;" &amp; $Q1372)</f>
        <v>186440882</v>
      </c>
    </row>
    <row r="1373" spans="1:19" x14ac:dyDescent="0.25">
      <c r="A1373" s="1">
        <v>1368</v>
      </c>
      <c r="B1373" s="1" t="s">
        <v>2</v>
      </c>
      <c r="C1373" s="1" t="str">
        <f>IF($B1373 = "Production Item", _xlfn.XLOOKUP($A1373, 'Instrument Table'!$J:$J, 'Instrument Table'!$B:$B, $C1372), IF($B1373 = "Service Item", _xlfn.XLOOKUP($A1373, 'Instrument Table'!$I:$I, 'Instrument Table'!$B:$B, $C1372), _xlfn.XLOOKUP($A1373, 'Instrument Table'!$H:$H, 'Instrument Table'!$B:$B, $C1372)))</f>
        <v>Acoustic Guitar</v>
      </c>
      <c r="D1373" s="1" t="str">
        <f>VLOOKUP($C1373, 'Instrument Table'!$B:$C, 2, FALSE)</f>
        <v>Strings</v>
      </c>
      <c r="E1373" s="1">
        <f t="shared" si="126"/>
        <v>1</v>
      </c>
      <c r="F1373" s="1">
        <f>_xlfn.XLOOKUP($C1373, 'Instrument Table'!$B:$B, 'Instrument Table'!$A:$A, "")</f>
        <v>24</v>
      </c>
      <c r="G1373" s="1" t="str">
        <f>TEXT(IF($B1373 = "Retail Item", IF((ROW($A1373) - 4504 - _xlfn.XMATCH($C1373, $C$4506:$C$5005, 0, 1)) &lt;= VLOOKUP($C1373, 'Instrument Table'!$B:$D, 3, FALSE), ROW($A1373) - 4504 - _xlfn.XMATCH($C1373, $C$4506:$C$5005, 0, 1), 0), 0), "00")</f>
        <v>00</v>
      </c>
      <c r="H1373" s="1" t="str">
        <f t="shared" si="127"/>
        <v>017</v>
      </c>
      <c r="I1373" s="1" t="str">
        <f t="shared" si="128"/>
        <v>12400-017</v>
      </c>
      <c r="J1373" s="1" t="str">
        <f t="shared" si="129"/>
        <v>Acoustic guitar production item #017</v>
      </c>
      <c r="K1373" s="1" t="str">
        <f>IF(SUM(COUNTIFS(I:I, I1373)) &gt; 1, "DUPLICATE", "UNIQUE")</f>
        <v>UNIQUE</v>
      </c>
      <c r="L1373" s="18">
        <v>2</v>
      </c>
      <c r="M1373" s="28">
        <v>92</v>
      </c>
      <c r="N1373" s="6">
        <v>169</v>
      </c>
      <c r="O1373" s="30">
        <f t="shared" si="130"/>
        <v>184</v>
      </c>
      <c r="P1373" s="30">
        <f t="shared" si="131"/>
        <v>15548</v>
      </c>
      <c r="Q1373" s="1">
        <f>COUNTIFS($P:$P, "&gt;" &amp; $P1373) + 1</f>
        <v>1312</v>
      </c>
      <c r="R1373" s="63">
        <f>(COUNTIFS($P:$P, "&gt;" &amp; $P1373) + 1) / (COUNTA($I:$I) - 1)</f>
        <v>0.26240000000000002</v>
      </c>
      <c r="S1373" s="23">
        <f>SUMIFS($P:$P, $Q:$Q, "&lt;" &amp; $Q1373)</f>
        <v>172161319</v>
      </c>
    </row>
    <row r="1374" spans="1:19" x14ac:dyDescent="0.25">
      <c r="A1374" s="1">
        <v>1369</v>
      </c>
      <c r="B1374" s="1" t="s">
        <v>2</v>
      </c>
      <c r="C1374" s="1" t="str">
        <f>IF($B1374 = "Production Item", _xlfn.XLOOKUP($A1374, 'Instrument Table'!$J:$J, 'Instrument Table'!$B:$B, $C1373), IF($B1374 = "Service Item", _xlfn.XLOOKUP($A1374, 'Instrument Table'!$I:$I, 'Instrument Table'!$B:$B, $C1373), _xlfn.XLOOKUP($A1374, 'Instrument Table'!$H:$H, 'Instrument Table'!$B:$B, $C1373)))</f>
        <v>Acoustic Guitar</v>
      </c>
      <c r="D1374" s="1" t="str">
        <f>VLOOKUP($C1374, 'Instrument Table'!$B:$C, 2, FALSE)</f>
        <v>Strings</v>
      </c>
      <c r="E1374" s="1">
        <f t="shared" si="126"/>
        <v>1</v>
      </c>
      <c r="F1374" s="1">
        <f>_xlfn.XLOOKUP($C1374, 'Instrument Table'!$B:$B, 'Instrument Table'!$A:$A, "")</f>
        <v>24</v>
      </c>
      <c r="G1374" s="1" t="str">
        <f>TEXT(IF($B1374 = "Retail Item", IF((ROW($A1374) - 4504 - _xlfn.XMATCH($C1374, $C$4506:$C$5005, 0, 1)) &lt;= VLOOKUP($C1374, 'Instrument Table'!$B:$D, 3, FALSE), ROW($A1374) - 4504 - _xlfn.XMATCH($C1374, $C$4506:$C$5005, 0, 1), 0), 0), "00")</f>
        <v>00</v>
      </c>
      <c r="H1374" s="1" t="str">
        <f t="shared" si="127"/>
        <v>018</v>
      </c>
      <c r="I1374" s="1" t="str">
        <f t="shared" si="128"/>
        <v>12400-018</v>
      </c>
      <c r="J1374" s="1" t="str">
        <f t="shared" si="129"/>
        <v>Acoustic guitar production item #018</v>
      </c>
      <c r="K1374" s="1" t="str">
        <f>IF(SUM(COUNTIFS(I:I, I1374)) &gt; 1, "DUPLICATE", "UNIQUE")</f>
        <v>UNIQUE</v>
      </c>
      <c r="L1374" s="18">
        <v>1</v>
      </c>
      <c r="M1374" s="28">
        <v>19</v>
      </c>
      <c r="N1374" s="6">
        <v>144</v>
      </c>
      <c r="O1374" s="30">
        <f t="shared" si="130"/>
        <v>19</v>
      </c>
      <c r="P1374" s="30">
        <f t="shared" si="131"/>
        <v>2736</v>
      </c>
      <c r="Q1374" s="1">
        <f>COUNTIFS($P:$P, "&gt;" &amp; $P1374) + 1</f>
        <v>2976</v>
      </c>
      <c r="R1374" s="63">
        <f>(COUNTIFS($P:$P, "&gt;" &amp; $P1374) + 1) / (COUNTA($I:$I) - 1)</f>
        <v>0.59519999999999995</v>
      </c>
      <c r="S1374" s="23">
        <f>SUMIFS($P:$P, $Q:$Q, "&lt;" &amp; $Q1374)</f>
        <v>184867590</v>
      </c>
    </row>
    <row r="1375" spans="1:19" x14ac:dyDescent="0.25">
      <c r="A1375" s="1">
        <v>1370</v>
      </c>
      <c r="B1375" s="1" t="s">
        <v>2</v>
      </c>
      <c r="C1375" s="1" t="str">
        <f>IF($B1375 = "Production Item", _xlfn.XLOOKUP($A1375, 'Instrument Table'!$J:$J, 'Instrument Table'!$B:$B, $C1374), IF($B1375 = "Service Item", _xlfn.XLOOKUP($A1375, 'Instrument Table'!$I:$I, 'Instrument Table'!$B:$B, $C1374), _xlfn.XLOOKUP($A1375, 'Instrument Table'!$H:$H, 'Instrument Table'!$B:$B, $C1374)))</f>
        <v>Acoustic Guitar</v>
      </c>
      <c r="D1375" s="1" t="str">
        <f>VLOOKUP($C1375, 'Instrument Table'!$B:$C, 2, FALSE)</f>
        <v>Strings</v>
      </c>
      <c r="E1375" s="1">
        <f t="shared" si="126"/>
        <v>1</v>
      </c>
      <c r="F1375" s="1">
        <f>_xlfn.XLOOKUP($C1375, 'Instrument Table'!$B:$B, 'Instrument Table'!$A:$A, "")</f>
        <v>24</v>
      </c>
      <c r="G1375" s="1" t="str">
        <f>TEXT(IF($B1375 = "Retail Item", IF((ROW($A1375) - 4504 - _xlfn.XMATCH($C1375, $C$4506:$C$5005, 0, 1)) &lt;= VLOOKUP($C1375, 'Instrument Table'!$B:$D, 3, FALSE), ROW($A1375) - 4504 - _xlfn.XMATCH($C1375, $C$4506:$C$5005, 0, 1), 0), 0), "00")</f>
        <v>00</v>
      </c>
      <c r="H1375" s="1" t="str">
        <f t="shared" si="127"/>
        <v>019</v>
      </c>
      <c r="I1375" s="1" t="str">
        <f t="shared" si="128"/>
        <v>12400-019</v>
      </c>
      <c r="J1375" s="1" t="str">
        <f t="shared" si="129"/>
        <v>Acoustic guitar production item #019</v>
      </c>
      <c r="K1375" s="1" t="str">
        <f>IF(SUM(COUNTIFS(I:I, I1375)) &gt; 1, "DUPLICATE", "UNIQUE")</f>
        <v>UNIQUE</v>
      </c>
      <c r="L1375" s="18">
        <v>1</v>
      </c>
      <c r="M1375" s="28">
        <v>91</v>
      </c>
      <c r="N1375" s="6">
        <v>36</v>
      </c>
      <c r="O1375" s="30">
        <f t="shared" si="130"/>
        <v>91</v>
      </c>
      <c r="P1375" s="30">
        <f t="shared" si="131"/>
        <v>3276</v>
      </c>
      <c r="Q1375" s="1">
        <f>COUNTIFS($P:$P, "&gt;" &amp; $P1375) + 1</f>
        <v>2835</v>
      </c>
      <c r="R1375" s="63">
        <f>(COUNTIFS($P:$P, "&gt;" &amp; $P1375) + 1) / (COUNTA($I:$I) - 1)</f>
        <v>0.56699999999999995</v>
      </c>
      <c r="S1375" s="23">
        <f>SUMIFS($P:$P, $Q:$Q, "&lt;" &amp; $Q1375)</f>
        <v>184443116</v>
      </c>
    </row>
    <row r="1376" spans="1:19" x14ac:dyDescent="0.25">
      <c r="A1376" s="1">
        <v>1371</v>
      </c>
      <c r="B1376" s="1" t="s">
        <v>2</v>
      </c>
      <c r="C1376" s="1" t="str">
        <f>IF($B1376 = "Production Item", _xlfn.XLOOKUP($A1376, 'Instrument Table'!$J:$J, 'Instrument Table'!$B:$B, $C1375), IF($B1376 = "Service Item", _xlfn.XLOOKUP($A1376, 'Instrument Table'!$I:$I, 'Instrument Table'!$B:$B, $C1375), _xlfn.XLOOKUP($A1376, 'Instrument Table'!$H:$H, 'Instrument Table'!$B:$B, $C1375)))</f>
        <v>Acoustic Guitar</v>
      </c>
      <c r="D1376" s="1" t="str">
        <f>VLOOKUP($C1376, 'Instrument Table'!$B:$C, 2, FALSE)</f>
        <v>Strings</v>
      </c>
      <c r="E1376" s="1">
        <f t="shared" si="126"/>
        <v>1</v>
      </c>
      <c r="F1376" s="1">
        <f>_xlfn.XLOOKUP($C1376, 'Instrument Table'!$B:$B, 'Instrument Table'!$A:$A, "")</f>
        <v>24</v>
      </c>
      <c r="G1376" s="1" t="str">
        <f>TEXT(IF($B1376 = "Retail Item", IF((ROW($A1376) - 4504 - _xlfn.XMATCH($C1376, $C$4506:$C$5005, 0, 1)) &lt;= VLOOKUP($C1376, 'Instrument Table'!$B:$D, 3, FALSE), ROW($A1376) - 4504 - _xlfn.XMATCH($C1376, $C$4506:$C$5005, 0, 1), 0), 0), "00")</f>
        <v>00</v>
      </c>
      <c r="H1376" s="1" t="str">
        <f t="shared" si="127"/>
        <v>020</v>
      </c>
      <c r="I1376" s="1" t="str">
        <f t="shared" si="128"/>
        <v>12400-020</v>
      </c>
      <c r="J1376" s="1" t="str">
        <f t="shared" si="129"/>
        <v>Acoustic guitar production item #020</v>
      </c>
      <c r="K1376" s="1" t="str">
        <f>IF(SUM(COUNTIFS(I:I, I1376)) &gt; 1, "DUPLICATE", "UNIQUE")</f>
        <v>UNIQUE</v>
      </c>
      <c r="L1376" s="18">
        <v>1</v>
      </c>
      <c r="M1376" s="28">
        <v>54</v>
      </c>
      <c r="N1376" s="6">
        <v>169</v>
      </c>
      <c r="O1376" s="30">
        <f t="shared" si="130"/>
        <v>54</v>
      </c>
      <c r="P1376" s="30">
        <f t="shared" si="131"/>
        <v>9126</v>
      </c>
      <c r="Q1376" s="1">
        <f>COUNTIFS($P:$P, "&gt;" &amp; $P1376) + 1</f>
        <v>1858</v>
      </c>
      <c r="R1376" s="63">
        <f>(COUNTIFS($P:$P, "&gt;" &amp; $P1376) + 1) / (COUNTA($I:$I) - 1)</f>
        <v>0.37159999999999999</v>
      </c>
      <c r="S1376" s="23">
        <f>SUMIFS($P:$P, $Q:$Q, "&lt;" &amp; $Q1376)</f>
        <v>178787496</v>
      </c>
    </row>
    <row r="1377" spans="1:19" x14ac:dyDescent="0.25">
      <c r="A1377" s="1">
        <v>1372</v>
      </c>
      <c r="B1377" s="1" t="s">
        <v>2</v>
      </c>
      <c r="C1377" s="1" t="str">
        <f>IF($B1377 = "Production Item", _xlfn.XLOOKUP($A1377, 'Instrument Table'!$J:$J, 'Instrument Table'!$B:$B, $C1376), IF($B1377 = "Service Item", _xlfn.XLOOKUP($A1377, 'Instrument Table'!$I:$I, 'Instrument Table'!$B:$B, $C1376), _xlfn.XLOOKUP($A1377, 'Instrument Table'!$H:$H, 'Instrument Table'!$B:$B, $C1376)))</f>
        <v>Acoustic Guitar</v>
      </c>
      <c r="D1377" s="1" t="str">
        <f>VLOOKUP($C1377, 'Instrument Table'!$B:$C, 2, FALSE)</f>
        <v>Strings</v>
      </c>
      <c r="E1377" s="1">
        <f t="shared" si="126"/>
        <v>1</v>
      </c>
      <c r="F1377" s="1">
        <f>_xlfn.XLOOKUP($C1377, 'Instrument Table'!$B:$B, 'Instrument Table'!$A:$A, "")</f>
        <v>24</v>
      </c>
      <c r="G1377" s="1" t="str">
        <f>TEXT(IF($B1377 = "Retail Item", IF((ROW($A1377) - 4504 - _xlfn.XMATCH($C1377, $C$4506:$C$5005, 0, 1)) &lt;= VLOOKUP($C1377, 'Instrument Table'!$B:$D, 3, FALSE), ROW($A1377) - 4504 - _xlfn.XMATCH($C1377, $C$4506:$C$5005, 0, 1), 0), 0), "00")</f>
        <v>00</v>
      </c>
      <c r="H1377" s="1" t="str">
        <f t="shared" si="127"/>
        <v>021</v>
      </c>
      <c r="I1377" s="1" t="str">
        <f t="shared" si="128"/>
        <v>12400-021</v>
      </c>
      <c r="J1377" s="1" t="str">
        <f t="shared" si="129"/>
        <v>Acoustic guitar production item #021</v>
      </c>
      <c r="K1377" s="1" t="str">
        <f>IF(SUM(COUNTIFS(I:I, I1377)) &gt; 1, "DUPLICATE", "UNIQUE")</f>
        <v>UNIQUE</v>
      </c>
      <c r="L1377" s="18">
        <v>1</v>
      </c>
      <c r="M1377" s="28">
        <v>62</v>
      </c>
      <c r="N1377" s="6">
        <v>4</v>
      </c>
      <c r="O1377" s="30">
        <f t="shared" si="130"/>
        <v>62</v>
      </c>
      <c r="P1377" s="30">
        <f t="shared" si="131"/>
        <v>248</v>
      </c>
      <c r="Q1377" s="1">
        <f>COUNTIFS($P:$P, "&gt;" &amp; $P1377) + 1</f>
        <v>4277</v>
      </c>
      <c r="R1377" s="63">
        <f>(COUNTIFS($P:$P, "&gt;" &amp; $P1377) + 1) / (COUNTA($I:$I) - 1)</f>
        <v>0.85540000000000005</v>
      </c>
      <c r="S1377" s="23">
        <f>SUMIFS($P:$P, $Q:$Q, "&lt;" &amp; $Q1377)</f>
        <v>186502027</v>
      </c>
    </row>
    <row r="1378" spans="1:19" x14ac:dyDescent="0.25">
      <c r="A1378" s="1">
        <v>1373</v>
      </c>
      <c r="B1378" s="1" t="s">
        <v>2</v>
      </c>
      <c r="C1378" s="1" t="str">
        <f>IF($B1378 = "Production Item", _xlfn.XLOOKUP($A1378, 'Instrument Table'!$J:$J, 'Instrument Table'!$B:$B, $C1377), IF($B1378 = "Service Item", _xlfn.XLOOKUP($A1378, 'Instrument Table'!$I:$I, 'Instrument Table'!$B:$B, $C1377), _xlfn.XLOOKUP($A1378, 'Instrument Table'!$H:$H, 'Instrument Table'!$B:$B, $C1377)))</f>
        <v>Acoustic Guitar</v>
      </c>
      <c r="D1378" s="1" t="str">
        <f>VLOOKUP($C1378, 'Instrument Table'!$B:$C, 2, FALSE)</f>
        <v>Strings</v>
      </c>
      <c r="E1378" s="1">
        <f t="shared" si="126"/>
        <v>1</v>
      </c>
      <c r="F1378" s="1">
        <f>_xlfn.XLOOKUP($C1378, 'Instrument Table'!$B:$B, 'Instrument Table'!$A:$A, "")</f>
        <v>24</v>
      </c>
      <c r="G1378" s="1" t="str">
        <f>TEXT(IF($B1378 = "Retail Item", IF((ROW($A1378) - 4504 - _xlfn.XMATCH($C1378, $C$4506:$C$5005, 0, 1)) &lt;= VLOOKUP($C1378, 'Instrument Table'!$B:$D, 3, FALSE), ROW($A1378) - 4504 - _xlfn.XMATCH($C1378, $C$4506:$C$5005, 0, 1), 0), 0), "00")</f>
        <v>00</v>
      </c>
      <c r="H1378" s="1" t="str">
        <f t="shared" si="127"/>
        <v>022</v>
      </c>
      <c r="I1378" s="1" t="str">
        <f t="shared" si="128"/>
        <v>12400-022</v>
      </c>
      <c r="J1378" s="1" t="str">
        <f t="shared" si="129"/>
        <v>Acoustic guitar production item #022</v>
      </c>
      <c r="K1378" s="1" t="str">
        <f>IF(SUM(COUNTIFS(I:I, I1378)) &gt; 1, "DUPLICATE", "UNIQUE")</f>
        <v>UNIQUE</v>
      </c>
      <c r="L1378" s="18">
        <v>1</v>
      </c>
      <c r="M1378" s="28">
        <v>76</v>
      </c>
      <c r="N1378" s="6">
        <v>225</v>
      </c>
      <c r="O1378" s="30">
        <f t="shared" si="130"/>
        <v>76</v>
      </c>
      <c r="P1378" s="30">
        <f t="shared" si="131"/>
        <v>17100</v>
      </c>
      <c r="Q1378" s="1">
        <f>COUNTIFS($P:$P, "&gt;" &amp; $P1378) + 1</f>
        <v>1209</v>
      </c>
      <c r="R1378" s="63">
        <f>(COUNTIFS($P:$P, "&gt;" &amp; $P1378) + 1) / (COUNTA($I:$I) - 1)</f>
        <v>0.24179999999999999</v>
      </c>
      <c r="S1378" s="23">
        <f>SUMIFS($P:$P, $Q:$Q, "&lt;" &amp; $Q1378)</f>
        <v>170481357</v>
      </c>
    </row>
    <row r="1379" spans="1:19" x14ac:dyDescent="0.25">
      <c r="A1379" s="1">
        <v>1374</v>
      </c>
      <c r="B1379" s="1" t="s">
        <v>2</v>
      </c>
      <c r="C1379" s="1" t="str">
        <f>IF($B1379 = "Production Item", _xlfn.XLOOKUP($A1379, 'Instrument Table'!$J:$J, 'Instrument Table'!$B:$B, $C1378), IF($B1379 = "Service Item", _xlfn.XLOOKUP($A1379, 'Instrument Table'!$I:$I, 'Instrument Table'!$B:$B, $C1378), _xlfn.XLOOKUP($A1379, 'Instrument Table'!$H:$H, 'Instrument Table'!$B:$B, $C1378)))</f>
        <v>Acoustic Guitar</v>
      </c>
      <c r="D1379" s="1" t="str">
        <f>VLOOKUP($C1379, 'Instrument Table'!$B:$C, 2, FALSE)</f>
        <v>Strings</v>
      </c>
      <c r="E1379" s="1">
        <f t="shared" si="126"/>
        <v>1</v>
      </c>
      <c r="F1379" s="1">
        <f>_xlfn.XLOOKUP($C1379, 'Instrument Table'!$B:$B, 'Instrument Table'!$A:$A, "")</f>
        <v>24</v>
      </c>
      <c r="G1379" s="1" t="str">
        <f>TEXT(IF($B1379 = "Retail Item", IF((ROW($A1379) - 4504 - _xlfn.XMATCH($C1379, $C$4506:$C$5005, 0, 1)) &lt;= VLOOKUP($C1379, 'Instrument Table'!$B:$D, 3, FALSE), ROW($A1379) - 4504 - _xlfn.XMATCH($C1379, $C$4506:$C$5005, 0, 1), 0), 0), "00")</f>
        <v>00</v>
      </c>
      <c r="H1379" s="1" t="str">
        <f t="shared" si="127"/>
        <v>023</v>
      </c>
      <c r="I1379" s="1" t="str">
        <f t="shared" si="128"/>
        <v>12400-023</v>
      </c>
      <c r="J1379" s="1" t="str">
        <f t="shared" si="129"/>
        <v>Acoustic guitar production item #023</v>
      </c>
      <c r="K1379" s="1" t="str">
        <f>IF(SUM(COUNTIFS(I:I, I1379)) &gt; 1, "DUPLICATE", "UNIQUE")</f>
        <v>UNIQUE</v>
      </c>
      <c r="L1379" s="18">
        <v>32</v>
      </c>
      <c r="M1379" s="28">
        <v>38</v>
      </c>
      <c r="N1379" s="6">
        <v>100</v>
      </c>
      <c r="O1379" s="30">
        <f t="shared" si="130"/>
        <v>1216</v>
      </c>
      <c r="P1379" s="30">
        <f t="shared" si="131"/>
        <v>3800</v>
      </c>
      <c r="Q1379" s="1">
        <f>COUNTIFS($P:$P, "&gt;" &amp; $P1379) + 1</f>
        <v>2699</v>
      </c>
      <c r="R1379" s="63">
        <f>(COUNTIFS($P:$P, "&gt;" &amp; $P1379) + 1) / (COUNTA($I:$I) - 1)</f>
        <v>0.53979999999999995</v>
      </c>
      <c r="S1379" s="23">
        <f>SUMIFS($P:$P, $Q:$Q, "&lt;" &amp; $Q1379)</f>
        <v>183962933</v>
      </c>
    </row>
    <row r="1380" spans="1:19" x14ac:dyDescent="0.25">
      <c r="A1380" s="1">
        <v>1375</v>
      </c>
      <c r="B1380" s="1" t="s">
        <v>2</v>
      </c>
      <c r="C1380" s="1" t="str">
        <f>IF($B1380 = "Production Item", _xlfn.XLOOKUP($A1380, 'Instrument Table'!$J:$J, 'Instrument Table'!$B:$B, $C1379), IF($B1380 = "Service Item", _xlfn.XLOOKUP($A1380, 'Instrument Table'!$I:$I, 'Instrument Table'!$B:$B, $C1379), _xlfn.XLOOKUP($A1380, 'Instrument Table'!$H:$H, 'Instrument Table'!$B:$B, $C1379)))</f>
        <v>Acoustic Guitar</v>
      </c>
      <c r="D1380" s="1" t="str">
        <f>VLOOKUP($C1380, 'Instrument Table'!$B:$C, 2, FALSE)</f>
        <v>Strings</v>
      </c>
      <c r="E1380" s="1">
        <f t="shared" si="126"/>
        <v>1</v>
      </c>
      <c r="F1380" s="1">
        <f>_xlfn.XLOOKUP($C1380, 'Instrument Table'!$B:$B, 'Instrument Table'!$A:$A, "")</f>
        <v>24</v>
      </c>
      <c r="G1380" s="1" t="str">
        <f>TEXT(IF($B1380 = "Retail Item", IF((ROW($A1380) - 4504 - _xlfn.XMATCH($C1380, $C$4506:$C$5005, 0, 1)) &lt;= VLOOKUP($C1380, 'Instrument Table'!$B:$D, 3, FALSE), ROW($A1380) - 4504 - _xlfn.XMATCH($C1380, $C$4506:$C$5005, 0, 1), 0), 0), "00")</f>
        <v>00</v>
      </c>
      <c r="H1380" s="1" t="str">
        <f t="shared" si="127"/>
        <v>024</v>
      </c>
      <c r="I1380" s="1" t="str">
        <f t="shared" si="128"/>
        <v>12400-024</v>
      </c>
      <c r="J1380" s="1" t="str">
        <f t="shared" si="129"/>
        <v>Acoustic guitar production item #024</v>
      </c>
      <c r="K1380" s="1" t="str">
        <f>IF(SUM(COUNTIFS(I:I, I1380)) &gt; 1, "DUPLICATE", "UNIQUE")</f>
        <v>UNIQUE</v>
      </c>
      <c r="L1380" s="18">
        <v>1</v>
      </c>
      <c r="M1380" s="28">
        <v>65</v>
      </c>
      <c r="N1380" s="6">
        <v>16</v>
      </c>
      <c r="O1380" s="30">
        <f t="shared" si="130"/>
        <v>65</v>
      </c>
      <c r="P1380" s="30">
        <f t="shared" si="131"/>
        <v>1040</v>
      </c>
      <c r="Q1380" s="1">
        <f>COUNTIFS($P:$P, "&gt;" &amp; $P1380) + 1</f>
        <v>3666</v>
      </c>
      <c r="R1380" s="63">
        <f>(COUNTIFS($P:$P, "&gt;" &amp; $P1380) + 1) / (COUNTA($I:$I) - 1)</f>
        <v>0.73319999999999996</v>
      </c>
      <c r="S1380" s="23">
        <f>SUMIFS($P:$P, $Q:$Q, "&lt;" &amp; $Q1380)</f>
        <v>186144921</v>
      </c>
    </row>
    <row r="1381" spans="1:19" x14ac:dyDescent="0.25">
      <c r="A1381" s="1">
        <v>1376</v>
      </c>
      <c r="B1381" s="1" t="s">
        <v>2</v>
      </c>
      <c r="C1381" s="1" t="str">
        <f>IF($B1381 = "Production Item", _xlfn.XLOOKUP($A1381, 'Instrument Table'!$J:$J, 'Instrument Table'!$B:$B, $C1380), IF($B1381 = "Service Item", _xlfn.XLOOKUP($A1381, 'Instrument Table'!$I:$I, 'Instrument Table'!$B:$B, $C1380), _xlfn.XLOOKUP($A1381, 'Instrument Table'!$H:$H, 'Instrument Table'!$B:$B, $C1380)))</f>
        <v>Acoustic Guitar</v>
      </c>
      <c r="D1381" s="1" t="str">
        <f>VLOOKUP($C1381, 'Instrument Table'!$B:$C, 2, FALSE)</f>
        <v>Strings</v>
      </c>
      <c r="E1381" s="1">
        <f t="shared" si="126"/>
        <v>1</v>
      </c>
      <c r="F1381" s="1">
        <f>_xlfn.XLOOKUP($C1381, 'Instrument Table'!$B:$B, 'Instrument Table'!$A:$A, "")</f>
        <v>24</v>
      </c>
      <c r="G1381" s="1" t="str">
        <f>TEXT(IF($B1381 = "Retail Item", IF((ROW($A1381) - 4504 - _xlfn.XMATCH($C1381, $C$4506:$C$5005, 0, 1)) &lt;= VLOOKUP($C1381, 'Instrument Table'!$B:$D, 3, FALSE), ROW($A1381) - 4504 - _xlfn.XMATCH($C1381, $C$4506:$C$5005, 0, 1), 0), 0), "00")</f>
        <v>00</v>
      </c>
      <c r="H1381" s="1" t="str">
        <f t="shared" si="127"/>
        <v>025</v>
      </c>
      <c r="I1381" s="1" t="str">
        <f t="shared" si="128"/>
        <v>12400-025</v>
      </c>
      <c r="J1381" s="1" t="str">
        <f t="shared" si="129"/>
        <v>Acoustic guitar production item #025</v>
      </c>
      <c r="K1381" s="1" t="str">
        <f>IF(SUM(COUNTIFS(I:I, I1381)) &gt; 1, "DUPLICATE", "UNIQUE")</f>
        <v>UNIQUE</v>
      </c>
      <c r="L1381" s="18">
        <v>1</v>
      </c>
      <c r="M1381" s="28">
        <v>67</v>
      </c>
      <c r="N1381" s="6">
        <v>25</v>
      </c>
      <c r="O1381" s="30">
        <f t="shared" si="130"/>
        <v>67</v>
      </c>
      <c r="P1381" s="30">
        <f t="shared" si="131"/>
        <v>1675</v>
      </c>
      <c r="Q1381" s="1">
        <f>COUNTIFS($P:$P, "&gt;" &amp; $P1381) + 1</f>
        <v>3378</v>
      </c>
      <c r="R1381" s="63">
        <f>(COUNTIFS($P:$P, "&gt;" &amp; $P1381) + 1) / (COUNTA($I:$I) - 1)</f>
        <v>0.67559999999999998</v>
      </c>
      <c r="S1381" s="23">
        <f>SUMIFS($P:$P, $Q:$Q, "&lt;" &amp; $Q1381)</f>
        <v>185748834</v>
      </c>
    </row>
    <row r="1382" spans="1:19" x14ac:dyDescent="0.25">
      <c r="A1382" s="1">
        <v>1377</v>
      </c>
      <c r="B1382" s="1" t="s">
        <v>2</v>
      </c>
      <c r="C1382" s="1" t="str">
        <f>IF($B1382 = "Production Item", _xlfn.XLOOKUP($A1382, 'Instrument Table'!$J:$J, 'Instrument Table'!$B:$B, $C1381), IF($B1382 = "Service Item", _xlfn.XLOOKUP($A1382, 'Instrument Table'!$I:$I, 'Instrument Table'!$B:$B, $C1381), _xlfn.XLOOKUP($A1382, 'Instrument Table'!$H:$H, 'Instrument Table'!$B:$B, $C1381)))</f>
        <v>Acoustic Guitar</v>
      </c>
      <c r="D1382" s="1" t="str">
        <f>VLOOKUP($C1382, 'Instrument Table'!$B:$C, 2, FALSE)</f>
        <v>Strings</v>
      </c>
      <c r="E1382" s="1">
        <f t="shared" si="126"/>
        <v>1</v>
      </c>
      <c r="F1382" s="1">
        <f>_xlfn.XLOOKUP($C1382, 'Instrument Table'!$B:$B, 'Instrument Table'!$A:$A, "")</f>
        <v>24</v>
      </c>
      <c r="G1382" s="1" t="str">
        <f>TEXT(IF($B1382 = "Retail Item", IF((ROW($A1382) - 4504 - _xlfn.XMATCH($C1382, $C$4506:$C$5005, 0, 1)) &lt;= VLOOKUP($C1382, 'Instrument Table'!$B:$D, 3, FALSE), ROW($A1382) - 4504 - _xlfn.XMATCH($C1382, $C$4506:$C$5005, 0, 1), 0), 0), "00")</f>
        <v>00</v>
      </c>
      <c r="H1382" s="1" t="str">
        <f t="shared" si="127"/>
        <v>026</v>
      </c>
      <c r="I1382" s="1" t="str">
        <f t="shared" si="128"/>
        <v>12400-026</v>
      </c>
      <c r="J1382" s="1" t="str">
        <f t="shared" si="129"/>
        <v>Acoustic guitar production item #026</v>
      </c>
      <c r="K1382" s="1" t="str">
        <f>IF(SUM(COUNTIFS(I:I, I1382)) &gt; 1, "DUPLICATE", "UNIQUE")</f>
        <v>UNIQUE</v>
      </c>
      <c r="L1382" s="18">
        <v>16</v>
      </c>
      <c r="M1382" s="28">
        <v>63</v>
      </c>
      <c r="N1382" s="6">
        <v>64</v>
      </c>
      <c r="O1382" s="30">
        <f t="shared" si="130"/>
        <v>1008</v>
      </c>
      <c r="P1382" s="30">
        <f t="shared" si="131"/>
        <v>4032</v>
      </c>
      <c r="Q1382" s="1">
        <f>COUNTIFS($P:$P, "&gt;" &amp; $P1382) + 1</f>
        <v>2648</v>
      </c>
      <c r="R1382" s="63">
        <f>(COUNTIFS($P:$P, "&gt;" &amp; $P1382) + 1) / (COUNTA($I:$I) - 1)</f>
        <v>0.52959999999999996</v>
      </c>
      <c r="S1382" s="23">
        <f>SUMIFS($P:$P, $Q:$Q, "&lt;" &amp; $Q1382)</f>
        <v>183762934</v>
      </c>
    </row>
    <row r="1383" spans="1:19" x14ac:dyDescent="0.25">
      <c r="A1383" s="1">
        <v>1378</v>
      </c>
      <c r="B1383" s="1" t="s">
        <v>2</v>
      </c>
      <c r="C1383" s="1" t="str">
        <f>IF($B1383 = "Production Item", _xlfn.XLOOKUP($A1383, 'Instrument Table'!$J:$J, 'Instrument Table'!$B:$B, $C1382), IF($B1383 = "Service Item", _xlfn.XLOOKUP($A1383, 'Instrument Table'!$I:$I, 'Instrument Table'!$B:$B, $C1382), _xlfn.XLOOKUP($A1383, 'Instrument Table'!$H:$H, 'Instrument Table'!$B:$B, $C1382)))</f>
        <v>Acoustic Guitar</v>
      </c>
      <c r="D1383" s="1" t="str">
        <f>VLOOKUP($C1383, 'Instrument Table'!$B:$C, 2, FALSE)</f>
        <v>Strings</v>
      </c>
      <c r="E1383" s="1">
        <f t="shared" si="126"/>
        <v>1</v>
      </c>
      <c r="F1383" s="1">
        <f>_xlfn.XLOOKUP($C1383, 'Instrument Table'!$B:$B, 'Instrument Table'!$A:$A, "")</f>
        <v>24</v>
      </c>
      <c r="G1383" s="1" t="str">
        <f>TEXT(IF($B1383 = "Retail Item", IF((ROW($A1383) - 4504 - _xlfn.XMATCH($C1383, $C$4506:$C$5005, 0, 1)) &lt;= VLOOKUP($C1383, 'Instrument Table'!$B:$D, 3, FALSE), ROW($A1383) - 4504 - _xlfn.XMATCH($C1383, $C$4506:$C$5005, 0, 1), 0), 0), "00")</f>
        <v>00</v>
      </c>
      <c r="H1383" s="1" t="str">
        <f t="shared" si="127"/>
        <v>027</v>
      </c>
      <c r="I1383" s="1" t="str">
        <f t="shared" si="128"/>
        <v>12400-027</v>
      </c>
      <c r="J1383" s="1" t="str">
        <f t="shared" si="129"/>
        <v>Acoustic guitar production item #027</v>
      </c>
      <c r="K1383" s="1" t="str">
        <f>IF(SUM(COUNTIFS(I:I, I1383)) &gt; 1, "DUPLICATE", "UNIQUE")</f>
        <v>UNIQUE</v>
      </c>
      <c r="L1383" s="18">
        <v>4</v>
      </c>
      <c r="M1383" s="28">
        <v>80</v>
      </c>
      <c r="N1383" s="6">
        <v>121</v>
      </c>
      <c r="O1383" s="30">
        <f t="shared" si="130"/>
        <v>320</v>
      </c>
      <c r="P1383" s="30">
        <f t="shared" si="131"/>
        <v>9680</v>
      </c>
      <c r="Q1383" s="1">
        <f>COUNTIFS($P:$P, "&gt;" &amp; $P1383) + 1</f>
        <v>1802</v>
      </c>
      <c r="R1383" s="63">
        <f>(COUNTIFS($P:$P, "&gt;" &amp; $P1383) + 1) / (COUNTA($I:$I) - 1)</f>
        <v>0.3604</v>
      </c>
      <c r="S1383" s="23">
        <f>SUMIFS($P:$P, $Q:$Q, "&lt;" &amp; $Q1383)</f>
        <v>178260708</v>
      </c>
    </row>
    <row r="1384" spans="1:19" x14ac:dyDescent="0.25">
      <c r="A1384" s="1">
        <v>1379</v>
      </c>
      <c r="B1384" s="1" t="s">
        <v>2</v>
      </c>
      <c r="C1384" s="1" t="str">
        <f>IF($B1384 = "Production Item", _xlfn.XLOOKUP($A1384, 'Instrument Table'!$J:$J, 'Instrument Table'!$B:$B, $C1383), IF($B1384 = "Service Item", _xlfn.XLOOKUP($A1384, 'Instrument Table'!$I:$I, 'Instrument Table'!$B:$B, $C1383), _xlfn.XLOOKUP($A1384, 'Instrument Table'!$H:$H, 'Instrument Table'!$B:$B, $C1383)))</f>
        <v>Acoustic Guitar</v>
      </c>
      <c r="D1384" s="1" t="str">
        <f>VLOOKUP($C1384, 'Instrument Table'!$B:$C, 2, FALSE)</f>
        <v>Strings</v>
      </c>
      <c r="E1384" s="1">
        <f t="shared" si="126"/>
        <v>1</v>
      </c>
      <c r="F1384" s="1">
        <f>_xlfn.XLOOKUP($C1384, 'Instrument Table'!$B:$B, 'Instrument Table'!$A:$A, "")</f>
        <v>24</v>
      </c>
      <c r="G1384" s="1" t="str">
        <f>TEXT(IF($B1384 = "Retail Item", IF((ROW($A1384) - 4504 - _xlfn.XMATCH($C1384, $C$4506:$C$5005, 0, 1)) &lt;= VLOOKUP($C1384, 'Instrument Table'!$B:$D, 3, FALSE), ROW($A1384) - 4504 - _xlfn.XMATCH($C1384, $C$4506:$C$5005, 0, 1), 0), 0), "00")</f>
        <v>00</v>
      </c>
      <c r="H1384" s="1" t="str">
        <f t="shared" si="127"/>
        <v>028</v>
      </c>
      <c r="I1384" s="1" t="str">
        <f t="shared" si="128"/>
        <v>12400-028</v>
      </c>
      <c r="J1384" s="1" t="str">
        <f t="shared" si="129"/>
        <v>Acoustic guitar production item #028</v>
      </c>
      <c r="K1384" s="1" t="str">
        <f>IF(SUM(COUNTIFS(I:I, I1384)) &gt; 1, "DUPLICATE", "UNIQUE")</f>
        <v>UNIQUE</v>
      </c>
      <c r="L1384" s="18">
        <v>32</v>
      </c>
      <c r="M1384" s="28">
        <v>53</v>
      </c>
      <c r="N1384" s="6">
        <v>49</v>
      </c>
      <c r="O1384" s="30">
        <f t="shared" si="130"/>
        <v>1696</v>
      </c>
      <c r="P1384" s="30">
        <f t="shared" si="131"/>
        <v>2597</v>
      </c>
      <c r="Q1384" s="1">
        <f>COUNTIFS($P:$P, "&gt;" &amp; $P1384) + 1</f>
        <v>3010</v>
      </c>
      <c r="R1384" s="63">
        <f>(COUNTIFS($P:$P, "&gt;" &amp; $P1384) + 1) / (COUNTA($I:$I) - 1)</f>
        <v>0.60199999999999998</v>
      </c>
      <c r="S1384" s="23">
        <f>SUMIFS($P:$P, $Q:$Q, "&lt;" &amp; $Q1384)</f>
        <v>184958272</v>
      </c>
    </row>
    <row r="1385" spans="1:19" x14ac:dyDescent="0.25">
      <c r="A1385" s="1">
        <v>1380</v>
      </c>
      <c r="B1385" s="1" t="s">
        <v>2</v>
      </c>
      <c r="C1385" s="1" t="str">
        <f>IF($B1385 = "Production Item", _xlfn.XLOOKUP($A1385, 'Instrument Table'!$J:$J, 'Instrument Table'!$B:$B, $C1384), IF($B1385 = "Service Item", _xlfn.XLOOKUP($A1385, 'Instrument Table'!$I:$I, 'Instrument Table'!$B:$B, $C1384), _xlfn.XLOOKUP($A1385, 'Instrument Table'!$H:$H, 'Instrument Table'!$B:$B, $C1384)))</f>
        <v>Acoustic Guitar</v>
      </c>
      <c r="D1385" s="1" t="str">
        <f>VLOOKUP($C1385, 'Instrument Table'!$B:$C, 2, FALSE)</f>
        <v>Strings</v>
      </c>
      <c r="E1385" s="1">
        <f t="shared" si="126"/>
        <v>1</v>
      </c>
      <c r="F1385" s="1">
        <f>_xlfn.XLOOKUP($C1385, 'Instrument Table'!$B:$B, 'Instrument Table'!$A:$A, "")</f>
        <v>24</v>
      </c>
      <c r="G1385" s="1" t="str">
        <f>TEXT(IF($B1385 = "Retail Item", IF((ROW($A1385) - 4504 - _xlfn.XMATCH($C1385, $C$4506:$C$5005, 0, 1)) &lt;= VLOOKUP($C1385, 'Instrument Table'!$B:$D, 3, FALSE), ROW($A1385) - 4504 - _xlfn.XMATCH($C1385, $C$4506:$C$5005, 0, 1), 0), 0), "00")</f>
        <v>00</v>
      </c>
      <c r="H1385" s="1" t="str">
        <f t="shared" si="127"/>
        <v>029</v>
      </c>
      <c r="I1385" s="1" t="str">
        <f t="shared" si="128"/>
        <v>12400-029</v>
      </c>
      <c r="J1385" s="1" t="str">
        <f t="shared" si="129"/>
        <v>Acoustic guitar production item #029</v>
      </c>
      <c r="K1385" s="1" t="str">
        <f>IF(SUM(COUNTIFS(I:I, I1385)) &gt; 1, "DUPLICATE", "UNIQUE")</f>
        <v>UNIQUE</v>
      </c>
      <c r="L1385" s="18">
        <v>0</v>
      </c>
      <c r="M1385" s="28">
        <v>36</v>
      </c>
      <c r="N1385" s="6">
        <v>256</v>
      </c>
      <c r="O1385" s="30">
        <f t="shared" si="130"/>
        <v>0</v>
      </c>
      <c r="P1385" s="30">
        <f t="shared" si="131"/>
        <v>9216</v>
      </c>
      <c r="Q1385" s="1">
        <f>COUNTIFS($P:$P, "&gt;" &amp; $P1385) + 1</f>
        <v>1850</v>
      </c>
      <c r="R1385" s="63">
        <f>(COUNTIFS($P:$P, "&gt;" &amp; $P1385) + 1) / (COUNTA($I:$I) - 1)</f>
        <v>0.37</v>
      </c>
      <c r="S1385" s="23">
        <f>SUMIFS($P:$P, $Q:$Q, "&lt;" &amp; $Q1385)</f>
        <v>178713824</v>
      </c>
    </row>
    <row r="1386" spans="1:19" x14ac:dyDescent="0.25">
      <c r="A1386" s="1">
        <v>1381</v>
      </c>
      <c r="B1386" s="1" t="s">
        <v>2</v>
      </c>
      <c r="C1386" s="1" t="str">
        <f>IF($B1386 = "Production Item", _xlfn.XLOOKUP($A1386, 'Instrument Table'!$J:$J, 'Instrument Table'!$B:$B, $C1385), IF($B1386 = "Service Item", _xlfn.XLOOKUP($A1386, 'Instrument Table'!$I:$I, 'Instrument Table'!$B:$B, $C1385), _xlfn.XLOOKUP($A1386, 'Instrument Table'!$H:$H, 'Instrument Table'!$B:$B, $C1385)))</f>
        <v>Acoustic Guitar</v>
      </c>
      <c r="D1386" s="1" t="str">
        <f>VLOOKUP($C1386, 'Instrument Table'!$B:$C, 2, FALSE)</f>
        <v>Strings</v>
      </c>
      <c r="E1386" s="1">
        <f t="shared" si="126"/>
        <v>1</v>
      </c>
      <c r="F1386" s="1">
        <f>_xlfn.XLOOKUP($C1386, 'Instrument Table'!$B:$B, 'Instrument Table'!$A:$A, "")</f>
        <v>24</v>
      </c>
      <c r="G1386" s="1" t="str">
        <f>TEXT(IF($B1386 = "Retail Item", IF((ROW($A1386) - 4504 - _xlfn.XMATCH($C1386, $C$4506:$C$5005, 0, 1)) &lt;= VLOOKUP($C1386, 'Instrument Table'!$B:$D, 3, FALSE), ROW($A1386) - 4504 - _xlfn.XMATCH($C1386, $C$4506:$C$5005, 0, 1), 0), 0), "00")</f>
        <v>00</v>
      </c>
      <c r="H1386" s="1" t="str">
        <f t="shared" si="127"/>
        <v>030</v>
      </c>
      <c r="I1386" s="1" t="str">
        <f t="shared" si="128"/>
        <v>12400-030</v>
      </c>
      <c r="J1386" s="1" t="str">
        <f t="shared" si="129"/>
        <v>Acoustic guitar production item #030</v>
      </c>
      <c r="K1386" s="1" t="str">
        <f>IF(SUM(COUNTIFS(I:I, I1386)) &gt; 1, "DUPLICATE", "UNIQUE")</f>
        <v>UNIQUE</v>
      </c>
      <c r="L1386" s="18">
        <v>1</v>
      </c>
      <c r="M1386" s="28">
        <v>80</v>
      </c>
      <c r="N1386" s="6">
        <v>49</v>
      </c>
      <c r="O1386" s="30">
        <f t="shared" si="130"/>
        <v>80</v>
      </c>
      <c r="P1386" s="30">
        <f t="shared" si="131"/>
        <v>3920</v>
      </c>
      <c r="Q1386" s="1">
        <f>COUNTIFS($P:$P, "&gt;" &amp; $P1386) + 1</f>
        <v>2667</v>
      </c>
      <c r="R1386" s="63">
        <f>(COUNTIFS($P:$P, "&gt;" &amp; $P1386) + 1) / (COUNTA($I:$I) - 1)</f>
        <v>0.53339999999999999</v>
      </c>
      <c r="S1386" s="23">
        <f>SUMIFS($P:$P, $Q:$Q, "&lt;" &amp; $Q1386)</f>
        <v>183838824</v>
      </c>
    </row>
    <row r="1387" spans="1:19" x14ac:dyDescent="0.25">
      <c r="A1387" s="1">
        <v>1382</v>
      </c>
      <c r="B1387" s="1" t="s">
        <v>2</v>
      </c>
      <c r="C1387" s="1" t="str">
        <f>IF($B1387 = "Production Item", _xlfn.XLOOKUP($A1387, 'Instrument Table'!$J:$J, 'Instrument Table'!$B:$B, $C1386), IF($B1387 = "Service Item", _xlfn.XLOOKUP($A1387, 'Instrument Table'!$I:$I, 'Instrument Table'!$B:$B, $C1386), _xlfn.XLOOKUP($A1387, 'Instrument Table'!$H:$H, 'Instrument Table'!$B:$B, $C1386)))</f>
        <v>Acoustic Guitar</v>
      </c>
      <c r="D1387" s="1" t="str">
        <f>VLOOKUP($C1387, 'Instrument Table'!$B:$C, 2, FALSE)</f>
        <v>Strings</v>
      </c>
      <c r="E1387" s="1">
        <f t="shared" si="126"/>
        <v>1</v>
      </c>
      <c r="F1387" s="1">
        <f>_xlfn.XLOOKUP($C1387, 'Instrument Table'!$B:$B, 'Instrument Table'!$A:$A, "")</f>
        <v>24</v>
      </c>
      <c r="G1387" s="1" t="str">
        <f>TEXT(IF($B1387 = "Retail Item", IF((ROW($A1387) - 4504 - _xlfn.XMATCH($C1387, $C$4506:$C$5005, 0, 1)) &lt;= VLOOKUP($C1387, 'Instrument Table'!$B:$D, 3, FALSE), ROW($A1387) - 4504 - _xlfn.XMATCH($C1387, $C$4506:$C$5005, 0, 1), 0), 0), "00")</f>
        <v>00</v>
      </c>
      <c r="H1387" s="1" t="str">
        <f t="shared" si="127"/>
        <v>031</v>
      </c>
      <c r="I1387" s="1" t="str">
        <f t="shared" si="128"/>
        <v>12400-031</v>
      </c>
      <c r="J1387" s="1" t="str">
        <f t="shared" si="129"/>
        <v>Acoustic guitar production item #031</v>
      </c>
      <c r="K1387" s="1" t="str">
        <f>IF(SUM(COUNTIFS(I:I, I1387)) &gt; 1, "DUPLICATE", "UNIQUE")</f>
        <v>UNIQUE</v>
      </c>
      <c r="L1387" s="18">
        <v>2</v>
      </c>
      <c r="M1387" s="28">
        <v>9</v>
      </c>
      <c r="N1387" s="6">
        <v>225</v>
      </c>
      <c r="O1387" s="30">
        <f t="shared" si="130"/>
        <v>18</v>
      </c>
      <c r="P1387" s="30">
        <f t="shared" si="131"/>
        <v>2025</v>
      </c>
      <c r="Q1387" s="1">
        <f>COUNTIFS($P:$P, "&gt;" &amp; $P1387) + 1</f>
        <v>3241</v>
      </c>
      <c r="R1387" s="63">
        <f>(COUNTIFS($P:$P, "&gt;" &amp; $P1387) + 1) / (COUNTA($I:$I) - 1)</f>
        <v>0.6482</v>
      </c>
      <c r="S1387" s="23">
        <f>SUMIFS($P:$P, $Q:$Q, "&lt;" &amp; $Q1387)</f>
        <v>185492863</v>
      </c>
    </row>
    <row r="1388" spans="1:19" x14ac:dyDescent="0.25">
      <c r="A1388" s="1">
        <v>1383</v>
      </c>
      <c r="B1388" s="1" t="s">
        <v>2</v>
      </c>
      <c r="C1388" s="1" t="str">
        <f>IF($B1388 = "Production Item", _xlfn.XLOOKUP($A1388, 'Instrument Table'!$J:$J, 'Instrument Table'!$B:$B, $C1387), IF($B1388 = "Service Item", _xlfn.XLOOKUP($A1388, 'Instrument Table'!$I:$I, 'Instrument Table'!$B:$B, $C1387), _xlfn.XLOOKUP($A1388, 'Instrument Table'!$H:$H, 'Instrument Table'!$B:$B, $C1387)))</f>
        <v>Acoustic Guitar</v>
      </c>
      <c r="D1388" s="1" t="str">
        <f>VLOOKUP($C1388, 'Instrument Table'!$B:$C, 2, FALSE)</f>
        <v>Strings</v>
      </c>
      <c r="E1388" s="1">
        <f t="shared" si="126"/>
        <v>1</v>
      </c>
      <c r="F1388" s="1">
        <f>_xlfn.XLOOKUP($C1388, 'Instrument Table'!$B:$B, 'Instrument Table'!$A:$A, "")</f>
        <v>24</v>
      </c>
      <c r="G1388" s="1" t="str">
        <f>TEXT(IF($B1388 = "Retail Item", IF((ROW($A1388) - 4504 - _xlfn.XMATCH($C1388, $C$4506:$C$5005, 0, 1)) &lt;= VLOOKUP($C1388, 'Instrument Table'!$B:$D, 3, FALSE), ROW($A1388) - 4504 - _xlfn.XMATCH($C1388, $C$4506:$C$5005, 0, 1), 0), 0), "00")</f>
        <v>00</v>
      </c>
      <c r="H1388" s="1" t="str">
        <f t="shared" si="127"/>
        <v>032</v>
      </c>
      <c r="I1388" s="1" t="str">
        <f t="shared" si="128"/>
        <v>12400-032</v>
      </c>
      <c r="J1388" s="1" t="str">
        <f t="shared" si="129"/>
        <v>Acoustic guitar production item #032</v>
      </c>
      <c r="K1388" s="1" t="str">
        <f>IF(SUM(COUNTIFS(I:I, I1388)) &gt; 1, "DUPLICATE", "UNIQUE")</f>
        <v>UNIQUE</v>
      </c>
      <c r="L1388" s="18">
        <v>0</v>
      </c>
      <c r="M1388" s="28">
        <v>34</v>
      </c>
      <c r="N1388" s="6">
        <v>400</v>
      </c>
      <c r="O1388" s="30">
        <f t="shared" si="130"/>
        <v>0</v>
      </c>
      <c r="P1388" s="30">
        <f t="shared" si="131"/>
        <v>13600</v>
      </c>
      <c r="Q1388" s="1">
        <f>COUNTIFS($P:$P, "&gt;" &amp; $P1388) + 1</f>
        <v>1450</v>
      </c>
      <c r="R1388" s="63">
        <f>(COUNTIFS($P:$P, "&gt;" &amp; $P1388) + 1) / (COUNTA($I:$I) - 1)</f>
        <v>0.28999999999999998</v>
      </c>
      <c r="S1388" s="23">
        <f>SUMIFS($P:$P, $Q:$Q, "&lt;" &amp; $Q1388)</f>
        <v>174173105</v>
      </c>
    </row>
    <row r="1389" spans="1:19" x14ac:dyDescent="0.25">
      <c r="A1389" s="1">
        <v>1384</v>
      </c>
      <c r="B1389" s="1" t="s">
        <v>2</v>
      </c>
      <c r="C1389" s="1" t="str">
        <f>IF($B1389 = "Production Item", _xlfn.XLOOKUP($A1389, 'Instrument Table'!$J:$J, 'Instrument Table'!$B:$B, $C1388), IF($B1389 = "Service Item", _xlfn.XLOOKUP($A1389, 'Instrument Table'!$I:$I, 'Instrument Table'!$B:$B, $C1388), _xlfn.XLOOKUP($A1389, 'Instrument Table'!$H:$H, 'Instrument Table'!$B:$B, $C1388)))</f>
        <v>Acoustic Guitar</v>
      </c>
      <c r="D1389" s="1" t="str">
        <f>VLOOKUP($C1389, 'Instrument Table'!$B:$C, 2, FALSE)</f>
        <v>Strings</v>
      </c>
      <c r="E1389" s="1">
        <f t="shared" si="126"/>
        <v>1</v>
      </c>
      <c r="F1389" s="1">
        <f>_xlfn.XLOOKUP($C1389, 'Instrument Table'!$B:$B, 'Instrument Table'!$A:$A, "")</f>
        <v>24</v>
      </c>
      <c r="G1389" s="1" t="str">
        <f>TEXT(IF($B1389 = "Retail Item", IF((ROW($A1389) - 4504 - _xlfn.XMATCH($C1389, $C$4506:$C$5005, 0, 1)) &lt;= VLOOKUP($C1389, 'Instrument Table'!$B:$D, 3, FALSE), ROW($A1389) - 4504 - _xlfn.XMATCH($C1389, $C$4506:$C$5005, 0, 1), 0), 0), "00")</f>
        <v>00</v>
      </c>
      <c r="H1389" s="1" t="str">
        <f t="shared" si="127"/>
        <v>033</v>
      </c>
      <c r="I1389" s="1" t="str">
        <f t="shared" si="128"/>
        <v>12400-033</v>
      </c>
      <c r="J1389" s="1" t="str">
        <f t="shared" si="129"/>
        <v>Acoustic guitar production item #033</v>
      </c>
      <c r="K1389" s="1" t="str">
        <f>IF(SUM(COUNTIFS(I:I, I1389)) &gt; 1, "DUPLICATE", "UNIQUE")</f>
        <v>UNIQUE</v>
      </c>
      <c r="L1389" s="18">
        <v>2</v>
      </c>
      <c r="M1389" s="28">
        <v>62</v>
      </c>
      <c r="N1389" s="6">
        <v>256</v>
      </c>
      <c r="O1389" s="30">
        <f t="shared" si="130"/>
        <v>124</v>
      </c>
      <c r="P1389" s="30">
        <f t="shared" si="131"/>
        <v>15872</v>
      </c>
      <c r="Q1389" s="1">
        <f>COUNTIFS($P:$P, "&gt;" &amp; $P1389) + 1</f>
        <v>1291</v>
      </c>
      <c r="R1389" s="63">
        <f>(COUNTIFS($P:$P, "&gt;" &amp; $P1389) + 1) / (COUNTA($I:$I) - 1)</f>
        <v>0.25819999999999999</v>
      </c>
      <c r="S1389" s="23">
        <f>SUMIFS($P:$P, $Q:$Q, "&lt;" &amp; $Q1389)</f>
        <v>171831793</v>
      </c>
    </row>
    <row r="1390" spans="1:19" x14ac:dyDescent="0.25">
      <c r="A1390" s="1">
        <v>1385</v>
      </c>
      <c r="B1390" s="1" t="s">
        <v>2</v>
      </c>
      <c r="C1390" s="1" t="str">
        <f>IF($B1390 = "Production Item", _xlfn.XLOOKUP($A1390, 'Instrument Table'!$J:$J, 'Instrument Table'!$B:$B, $C1389), IF($B1390 = "Service Item", _xlfn.XLOOKUP($A1390, 'Instrument Table'!$I:$I, 'Instrument Table'!$B:$B, $C1389), _xlfn.XLOOKUP($A1390, 'Instrument Table'!$H:$H, 'Instrument Table'!$B:$B, $C1389)))</f>
        <v>Acoustic Guitar</v>
      </c>
      <c r="D1390" s="1" t="str">
        <f>VLOOKUP($C1390, 'Instrument Table'!$B:$C, 2, FALSE)</f>
        <v>Strings</v>
      </c>
      <c r="E1390" s="1">
        <f t="shared" si="126"/>
        <v>1</v>
      </c>
      <c r="F1390" s="1">
        <f>_xlfn.XLOOKUP($C1390, 'Instrument Table'!$B:$B, 'Instrument Table'!$A:$A, "")</f>
        <v>24</v>
      </c>
      <c r="G1390" s="1" t="str">
        <f>TEXT(IF($B1390 = "Retail Item", IF((ROW($A1390) - 4504 - _xlfn.XMATCH($C1390, $C$4506:$C$5005, 0, 1)) &lt;= VLOOKUP($C1390, 'Instrument Table'!$B:$D, 3, FALSE), ROW($A1390) - 4504 - _xlfn.XMATCH($C1390, $C$4506:$C$5005, 0, 1), 0), 0), "00")</f>
        <v>00</v>
      </c>
      <c r="H1390" s="1" t="str">
        <f t="shared" si="127"/>
        <v>034</v>
      </c>
      <c r="I1390" s="1" t="str">
        <f t="shared" si="128"/>
        <v>12400-034</v>
      </c>
      <c r="J1390" s="1" t="str">
        <f t="shared" si="129"/>
        <v>Acoustic guitar production item #034</v>
      </c>
      <c r="K1390" s="1" t="str">
        <f>IF(SUM(COUNTIFS(I:I, I1390)) &gt; 1, "DUPLICATE", "UNIQUE")</f>
        <v>UNIQUE</v>
      </c>
      <c r="L1390" s="18">
        <v>1</v>
      </c>
      <c r="M1390" s="28">
        <v>96</v>
      </c>
      <c r="N1390" s="6">
        <v>225</v>
      </c>
      <c r="O1390" s="30">
        <f t="shared" si="130"/>
        <v>96</v>
      </c>
      <c r="P1390" s="30">
        <f t="shared" si="131"/>
        <v>21600</v>
      </c>
      <c r="Q1390" s="1">
        <f>COUNTIFS($P:$P, "&gt;" &amp; $P1390) + 1</f>
        <v>977</v>
      </c>
      <c r="R1390" s="63">
        <f>(COUNTIFS($P:$P, "&gt;" &amp; $P1390) + 1) / (COUNTA($I:$I) - 1)</f>
        <v>0.19539999999999999</v>
      </c>
      <c r="S1390" s="23">
        <f>SUMIFS($P:$P, $Q:$Q, "&lt;" &amp; $Q1390)</f>
        <v>165999482</v>
      </c>
    </row>
    <row r="1391" spans="1:19" x14ac:dyDescent="0.25">
      <c r="A1391" s="1">
        <v>1386</v>
      </c>
      <c r="B1391" s="1" t="s">
        <v>2</v>
      </c>
      <c r="C1391" s="1" t="str">
        <f>IF($B1391 = "Production Item", _xlfn.XLOOKUP($A1391, 'Instrument Table'!$J:$J, 'Instrument Table'!$B:$B, $C1390), IF($B1391 = "Service Item", _xlfn.XLOOKUP($A1391, 'Instrument Table'!$I:$I, 'Instrument Table'!$B:$B, $C1390), _xlfn.XLOOKUP($A1391, 'Instrument Table'!$H:$H, 'Instrument Table'!$B:$B, $C1390)))</f>
        <v>Acoustic Guitar</v>
      </c>
      <c r="D1391" s="1" t="str">
        <f>VLOOKUP($C1391, 'Instrument Table'!$B:$C, 2, FALSE)</f>
        <v>Strings</v>
      </c>
      <c r="E1391" s="1">
        <f t="shared" si="126"/>
        <v>1</v>
      </c>
      <c r="F1391" s="1">
        <f>_xlfn.XLOOKUP($C1391, 'Instrument Table'!$B:$B, 'Instrument Table'!$A:$A, "")</f>
        <v>24</v>
      </c>
      <c r="G1391" s="1" t="str">
        <f>TEXT(IF($B1391 = "Retail Item", IF((ROW($A1391) - 4504 - _xlfn.XMATCH($C1391, $C$4506:$C$5005, 0, 1)) &lt;= VLOOKUP($C1391, 'Instrument Table'!$B:$D, 3, FALSE), ROW($A1391) - 4504 - _xlfn.XMATCH($C1391, $C$4506:$C$5005, 0, 1), 0), 0), "00")</f>
        <v>00</v>
      </c>
      <c r="H1391" s="1" t="str">
        <f t="shared" si="127"/>
        <v>035</v>
      </c>
      <c r="I1391" s="1" t="str">
        <f t="shared" si="128"/>
        <v>12400-035</v>
      </c>
      <c r="J1391" s="1" t="str">
        <f t="shared" si="129"/>
        <v>Acoustic guitar production item #035</v>
      </c>
      <c r="K1391" s="1" t="str">
        <f>IF(SUM(COUNTIFS(I:I, I1391)) &gt; 1, "DUPLICATE", "UNIQUE")</f>
        <v>UNIQUE</v>
      </c>
      <c r="L1391" s="18">
        <v>4</v>
      </c>
      <c r="M1391" s="28">
        <v>50</v>
      </c>
      <c r="N1391" s="6">
        <v>361</v>
      </c>
      <c r="O1391" s="30">
        <f t="shared" si="130"/>
        <v>200</v>
      </c>
      <c r="P1391" s="30">
        <f t="shared" si="131"/>
        <v>18050</v>
      </c>
      <c r="Q1391" s="1">
        <f>COUNTIFS($P:$P, "&gt;" &amp; $P1391) + 1</f>
        <v>1161</v>
      </c>
      <c r="R1391" s="63">
        <f>(COUNTIFS($P:$P, "&gt;" &amp; $P1391) + 1) / (COUNTA($I:$I) - 1)</f>
        <v>0.23219999999999999</v>
      </c>
      <c r="S1391" s="23">
        <f>SUMIFS($P:$P, $Q:$Q, "&lt;" &amp; $Q1391)</f>
        <v>169636628</v>
      </c>
    </row>
    <row r="1392" spans="1:19" x14ac:dyDescent="0.25">
      <c r="A1392" s="1">
        <v>1387</v>
      </c>
      <c r="B1392" s="1" t="s">
        <v>2</v>
      </c>
      <c r="C1392" s="1" t="str">
        <f>IF($B1392 = "Production Item", _xlfn.XLOOKUP($A1392, 'Instrument Table'!$J:$J, 'Instrument Table'!$B:$B, $C1391), IF($B1392 = "Service Item", _xlfn.XLOOKUP($A1392, 'Instrument Table'!$I:$I, 'Instrument Table'!$B:$B, $C1391), _xlfn.XLOOKUP($A1392, 'Instrument Table'!$H:$H, 'Instrument Table'!$B:$B, $C1391)))</f>
        <v>Acoustic Guitar</v>
      </c>
      <c r="D1392" s="1" t="str">
        <f>VLOOKUP($C1392, 'Instrument Table'!$B:$C, 2, FALSE)</f>
        <v>Strings</v>
      </c>
      <c r="E1392" s="1">
        <f t="shared" si="126"/>
        <v>1</v>
      </c>
      <c r="F1392" s="1">
        <f>_xlfn.XLOOKUP($C1392, 'Instrument Table'!$B:$B, 'Instrument Table'!$A:$A, "")</f>
        <v>24</v>
      </c>
      <c r="G1392" s="1" t="str">
        <f>TEXT(IF($B1392 = "Retail Item", IF((ROW($A1392) - 4504 - _xlfn.XMATCH($C1392, $C$4506:$C$5005, 0, 1)) &lt;= VLOOKUP($C1392, 'Instrument Table'!$B:$D, 3, FALSE), ROW($A1392) - 4504 - _xlfn.XMATCH($C1392, $C$4506:$C$5005, 0, 1), 0), 0), "00")</f>
        <v>00</v>
      </c>
      <c r="H1392" s="1" t="str">
        <f t="shared" si="127"/>
        <v>036</v>
      </c>
      <c r="I1392" s="1" t="str">
        <f t="shared" si="128"/>
        <v>12400-036</v>
      </c>
      <c r="J1392" s="1" t="str">
        <f t="shared" si="129"/>
        <v>Acoustic guitar production item #036</v>
      </c>
      <c r="K1392" s="1" t="str">
        <f>IF(SUM(COUNTIFS(I:I, I1392)) &gt; 1, "DUPLICATE", "UNIQUE")</f>
        <v>UNIQUE</v>
      </c>
      <c r="L1392" s="18">
        <v>1</v>
      </c>
      <c r="M1392" s="28">
        <v>98</v>
      </c>
      <c r="N1392" s="6">
        <v>0</v>
      </c>
      <c r="O1392" s="30">
        <f t="shared" si="130"/>
        <v>98</v>
      </c>
      <c r="P1392" s="30">
        <f t="shared" si="131"/>
        <v>0</v>
      </c>
      <c r="Q1392" s="1">
        <f>COUNTIFS($P:$P, "&gt;" &amp; $P1392) + 1</f>
        <v>4746</v>
      </c>
      <c r="R1392" s="63">
        <f>(COUNTIFS($P:$P, "&gt;" &amp; $P1392) + 1) / (COUNTA($I:$I) - 1)</f>
        <v>0.94920000000000004</v>
      </c>
      <c r="S1392" s="23">
        <f>SUMIFS($P:$P, $Q:$Q, "&lt;" &amp; $Q1392)</f>
        <v>186547861</v>
      </c>
    </row>
    <row r="1393" spans="1:19" x14ac:dyDescent="0.25">
      <c r="A1393" s="1">
        <v>1388</v>
      </c>
      <c r="B1393" s="1" t="s">
        <v>2</v>
      </c>
      <c r="C1393" s="1" t="str">
        <f>IF($B1393 = "Production Item", _xlfn.XLOOKUP($A1393, 'Instrument Table'!$J:$J, 'Instrument Table'!$B:$B, $C1392), IF($B1393 = "Service Item", _xlfn.XLOOKUP($A1393, 'Instrument Table'!$I:$I, 'Instrument Table'!$B:$B, $C1392), _xlfn.XLOOKUP($A1393, 'Instrument Table'!$H:$H, 'Instrument Table'!$B:$B, $C1392)))</f>
        <v>Acoustic Guitar</v>
      </c>
      <c r="D1393" s="1" t="str">
        <f>VLOOKUP($C1393, 'Instrument Table'!$B:$C, 2, FALSE)</f>
        <v>Strings</v>
      </c>
      <c r="E1393" s="1">
        <f t="shared" si="126"/>
        <v>1</v>
      </c>
      <c r="F1393" s="1">
        <f>_xlfn.XLOOKUP($C1393, 'Instrument Table'!$B:$B, 'Instrument Table'!$A:$A, "")</f>
        <v>24</v>
      </c>
      <c r="G1393" s="1" t="str">
        <f>TEXT(IF($B1393 = "Retail Item", IF((ROW($A1393) - 4504 - _xlfn.XMATCH($C1393, $C$4506:$C$5005, 0, 1)) &lt;= VLOOKUP($C1393, 'Instrument Table'!$B:$D, 3, FALSE), ROW($A1393) - 4504 - _xlfn.XMATCH($C1393, $C$4506:$C$5005, 0, 1), 0), 0), "00")</f>
        <v>00</v>
      </c>
      <c r="H1393" s="1" t="str">
        <f t="shared" si="127"/>
        <v>037</v>
      </c>
      <c r="I1393" s="1" t="str">
        <f t="shared" si="128"/>
        <v>12400-037</v>
      </c>
      <c r="J1393" s="1" t="str">
        <f t="shared" si="129"/>
        <v>Acoustic guitar production item #037</v>
      </c>
      <c r="K1393" s="1" t="str">
        <f>IF(SUM(COUNTIFS(I:I, I1393)) &gt; 1, "DUPLICATE", "UNIQUE")</f>
        <v>UNIQUE</v>
      </c>
      <c r="L1393" s="18">
        <v>0</v>
      </c>
      <c r="M1393" s="28">
        <v>9</v>
      </c>
      <c r="N1393" s="6">
        <v>9</v>
      </c>
      <c r="O1393" s="30">
        <f t="shared" si="130"/>
        <v>0</v>
      </c>
      <c r="P1393" s="30">
        <f t="shared" si="131"/>
        <v>81</v>
      </c>
      <c r="Q1393" s="1">
        <f>COUNTIFS($P:$P, "&gt;" &amp; $P1393) + 1</f>
        <v>4505</v>
      </c>
      <c r="R1393" s="63">
        <f>(COUNTIFS($P:$P, "&gt;" &amp; $P1393) + 1) / (COUNTA($I:$I) - 1)</f>
        <v>0.90100000000000002</v>
      </c>
      <c r="S1393" s="23">
        <f>SUMIFS($P:$P, $Q:$Q, "&lt;" &amp; $Q1393)</f>
        <v>186537273</v>
      </c>
    </row>
    <row r="1394" spans="1:19" x14ac:dyDescent="0.25">
      <c r="A1394" s="1">
        <v>1389</v>
      </c>
      <c r="B1394" s="1" t="s">
        <v>2</v>
      </c>
      <c r="C1394" s="1" t="str">
        <f>IF($B1394 = "Production Item", _xlfn.XLOOKUP($A1394, 'Instrument Table'!$J:$J, 'Instrument Table'!$B:$B, $C1393), IF($B1394 = "Service Item", _xlfn.XLOOKUP($A1394, 'Instrument Table'!$I:$I, 'Instrument Table'!$B:$B, $C1393), _xlfn.XLOOKUP($A1394, 'Instrument Table'!$H:$H, 'Instrument Table'!$B:$B, $C1393)))</f>
        <v>Acoustic Guitar</v>
      </c>
      <c r="D1394" s="1" t="str">
        <f>VLOOKUP($C1394, 'Instrument Table'!$B:$C, 2, FALSE)</f>
        <v>Strings</v>
      </c>
      <c r="E1394" s="1">
        <f t="shared" si="126"/>
        <v>1</v>
      </c>
      <c r="F1394" s="1">
        <f>_xlfn.XLOOKUP($C1394, 'Instrument Table'!$B:$B, 'Instrument Table'!$A:$A, "")</f>
        <v>24</v>
      </c>
      <c r="G1394" s="1" t="str">
        <f>TEXT(IF($B1394 = "Retail Item", IF((ROW($A1394) - 4504 - _xlfn.XMATCH($C1394, $C$4506:$C$5005, 0, 1)) &lt;= VLOOKUP($C1394, 'Instrument Table'!$B:$D, 3, FALSE), ROW($A1394) - 4504 - _xlfn.XMATCH($C1394, $C$4506:$C$5005, 0, 1), 0), 0), "00")</f>
        <v>00</v>
      </c>
      <c r="H1394" s="1" t="str">
        <f t="shared" si="127"/>
        <v>038</v>
      </c>
      <c r="I1394" s="1" t="str">
        <f t="shared" si="128"/>
        <v>12400-038</v>
      </c>
      <c r="J1394" s="1" t="str">
        <f t="shared" si="129"/>
        <v>Acoustic guitar production item #038</v>
      </c>
      <c r="K1394" s="1" t="str">
        <f>IF(SUM(COUNTIFS(I:I, I1394)) &gt; 1, "DUPLICATE", "UNIQUE")</f>
        <v>UNIQUE</v>
      </c>
      <c r="L1394" s="18">
        <v>1</v>
      </c>
      <c r="M1394" s="28">
        <v>8</v>
      </c>
      <c r="N1394" s="6">
        <v>361</v>
      </c>
      <c r="O1394" s="30">
        <f t="shared" si="130"/>
        <v>8</v>
      </c>
      <c r="P1394" s="30">
        <f t="shared" si="131"/>
        <v>2888</v>
      </c>
      <c r="Q1394" s="1">
        <f>COUNTIFS($P:$P, "&gt;" &amp; $P1394) + 1</f>
        <v>2938</v>
      </c>
      <c r="R1394" s="63">
        <f>(COUNTIFS($P:$P, "&gt;" &amp; $P1394) + 1) / (COUNTA($I:$I) - 1)</f>
        <v>0.58760000000000001</v>
      </c>
      <c r="S1394" s="23">
        <f>SUMIFS($P:$P, $Q:$Q, "&lt;" &amp; $Q1394)</f>
        <v>184760537</v>
      </c>
    </row>
    <row r="1395" spans="1:19" x14ac:dyDescent="0.25">
      <c r="A1395" s="1">
        <v>1390</v>
      </c>
      <c r="B1395" s="1" t="s">
        <v>2</v>
      </c>
      <c r="C1395" s="1" t="str">
        <f>IF($B1395 = "Production Item", _xlfn.XLOOKUP($A1395, 'Instrument Table'!$J:$J, 'Instrument Table'!$B:$B, $C1394), IF($B1395 = "Service Item", _xlfn.XLOOKUP($A1395, 'Instrument Table'!$I:$I, 'Instrument Table'!$B:$B, $C1394), _xlfn.XLOOKUP($A1395, 'Instrument Table'!$H:$H, 'Instrument Table'!$B:$B, $C1394)))</f>
        <v>Acoustic Guitar</v>
      </c>
      <c r="D1395" s="1" t="str">
        <f>VLOOKUP($C1395, 'Instrument Table'!$B:$C, 2, FALSE)</f>
        <v>Strings</v>
      </c>
      <c r="E1395" s="1">
        <f t="shared" si="126"/>
        <v>1</v>
      </c>
      <c r="F1395" s="1">
        <f>_xlfn.XLOOKUP($C1395, 'Instrument Table'!$B:$B, 'Instrument Table'!$A:$A, "")</f>
        <v>24</v>
      </c>
      <c r="G1395" s="1" t="str">
        <f>TEXT(IF($B1395 = "Retail Item", IF((ROW($A1395) - 4504 - _xlfn.XMATCH($C1395, $C$4506:$C$5005, 0, 1)) &lt;= VLOOKUP($C1395, 'Instrument Table'!$B:$D, 3, FALSE), ROW($A1395) - 4504 - _xlfn.XMATCH($C1395, $C$4506:$C$5005, 0, 1), 0), 0), "00")</f>
        <v>00</v>
      </c>
      <c r="H1395" s="1" t="str">
        <f t="shared" si="127"/>
        <v>039</v>
      </c>
      <c r="I1395" s="1" t="str">
        <f t="shared" si="128"/>
        <v>12400-039</v>
      </c>
      <c r="J1395" s="1" t="str">
        <f t="shared" si="129"/>
        <v>Acoustic guitar production item #039</v>
      </c>
      <c r="K1395" s="1" t="str">
        <f>IF(SUM(COUNTIFS(I:I, I1395)) &gt; 1, "DUPLICATE", "UNIQUE")</f>
        <v>UNIQUE</v>
      </c>
      <c r="L1395" s="18">
        <v>0</v>
      </c>
      <c r="M1395" s="28">
        <v>13</v>
      </c>
      <c r="N1395" s="6">
        <v>169</v>
      </c>
      <c r="O1395" s="30">
        <f t="shared" si="130"/>
        <v>0</v>
      </c>
      <c r="P1395" s="30">
        <f t="shared" si="131"/>
        <v>2197</v>
      </c>
      <c r="Q1395" s="1">
        <f>COUNTIFS($P:$P, "&gt;" &amp; $P1395) + 1</f>
        <v>3172</v>
      </c>
      <c r="R1395" s="63">
        <f>(COUNTIFS($P:$P, "&gt;" &amp; $P1395) + 1) / (COUNTA($I:$I) - 1)</f>
        <v>0.63439999999999996</v>
      </c>
      <c r="S1395" s="23">
        <f>SUMIFS($P:$P, $Q:$Q, "&lt;" &amp; $Q1395)</f>
        <v>185347395</v>
      </c>
    </row>
    <row r="1396" spans="1:19" x14ac:dyDescent="0.25">
      <c r="A1396" s="1">
        <v>1391</v>
      </c>
      <c r="B1396" s="1" t="s">
        <v>2</v>
      </c>
      <c r="C1396" s="1" t="str">
        <f>IF($B1396 = "Production Item", _xlfn.XLOOKUP($A1396, 'Instrument Table'!$J:$J, 'Instrument Table'!$B:$B, $C1395), IF($B1396 = "Service Item", _xlfn.XLOOKUP($A1396, 'Instrument Table'!$I:$I, 'Instrument Table'!$B:$B, $C1395), _xlfn.XLOOKUP($A1396, 'Instrument Table'!$H:$H, 'Instrument Table'!$B:$B, $C1395)))</f>
        <v>Acoustic Guitar</v>
      </c>
      <c r="D1396" s="1" t="str">
        <f>VLOOKUP($C1396, 'Instrument Table'!$B:$C, 2, FALSE)</f>
        <v>Strings</v>
      </c>
      <c r="E1396" s="1">
        <f t="shared" si="126"/>
        <v>1</v>
      </c>
      <c r="F1396" s="1">
        <f>_xlfn.XLOOKUP($C1396, 'Instrument Table'!$B:$B, 'Instrument Table'!$A:$A, "")</f>
        <v>24</v>
      </c>
      <c r="G1396" s="1" t="str">
        <f>TEXT(IF($B1396 = "Retail Item", IF((ROW($A1396) - 4504 - _xlfn.XMATCH($C1396, $C$4506:$C$5005, 0, 1)) &lt;= VLOOKUP($C1396, 'Instrument Table'!$B:$D, 3, FALSE), ROW($A1396) - 4504 - _xlfn.XMATCH($C1396, $C$4506:$C$5005, 0, 1), 0), 0), "00")</f>
        <v>00</v>
      </c>
      <c r="H1396" s="1" t="str">
        <f t="shared" si="127"/>
        <v>040</v>
      </c>
      <c r="I1396" s="1" t="str">
        <f t="shared" si="128"/>
        <v>12400-040</v>
      </c>
      <c r="J1396" s="1" t="str">
        <f t="shared" si="129"/>
        <v>Acoustic guitar production item #040</v>
      </c>
      <c r="K1396" s="1" t="str">
        <f>IF(SUM(COUNTIFS(I:I, I1396)) &gt; 1, "DUPLICATE", "UNIQUE")</f>
        <v>UNIQUE</v>
      </c>
      <c r="L1396" s="18">
        <v>0</v>
      </c>
      <c r="M1396" s="28">
        <v>74</v>
      </c>
      <c r="N1396" s="6">
        <v>225</v>
      </c>
      <c r="O1396" s="30">
        <f t="shared" si="130"/>
        <v>0</v>
      </c>
      <c r="P1396" s="30">
        <f t="shared" si="131"/>
        <v>16650</v>
      </c>
      <c r="Q1396" s="1">
        <f>COUNTIFS($P:$P, "&gt;" &amp; $P1396) + 1</f>
        <v>1238</v>
      </c>
      <c r="R1396" s="63">
        <f>(COUNTIFS($P:$P, "&gt;" &amp; $P1396) + 1) / (COUNTA($I:$I) - 1)</f>
        <v>0.24759999999999999</v>
      </c>
      <c r="S1396" s="23">
        <f>SUMIFS($P:$P, $Q:$Q, "&lt;" &amp; $Q1396)</f>
        <v>170970724</v>
      </c>
    </row>
    <row r="1397" spans="1:19" x14ac:dyDescent="0.25">
      <c r="A1397" s="1">
        <v>1392</v>
      </c>
      <c r="B1397" s="1" t="s">
        <v>2</v>
      </c>
      <c r="C1397" s="1" t="str">
        <f>IF($B1397 = "Production Item", _xlfn.XLOOKUP($A1397, 'Instrument Table'!$J:$J, 'Instrument Table'!$B:$B, $C1396), IF($B1397 = "Service Item", _xlfn.XLOOKUP($A1397, 'Instrument Table'!$I:$I, 'Instrument Table'!$B:$B, $C1396), _xlfn.XLOOKUP($A1397, 'Instrument Table'!$H:$H, 'Instrument Table'!$B:$B, $C1396)))</f>
        <v>Acoustic Guitar</v>
      </c>
      <c r="D1397" s="1" t="str">
        <f>VLOOKUP($C1397, 'Instrument Table'!$B:$C, 2, FALSE)</f>
        <v>Strings</v>
      </c>
      <c r="E1397" s="1">
        <f t="shared" si="126"/>
        <v>1</v>
      </c>
      <c r="F1397" s="1">
        <f>_xlfn.XLOOKUP($C1397, 'Instrument Table'!$B:$B, 'Instrument Table'!$A:$A, "")</f>
        <v>24</v>
      </c>
      <c r="G1397" s="1" t="str">
        <f>TEXT(IF($B1397 = "Retail Item", IF((ROW($A1397) - 4504 - _xlfn.XMATCH($C1397, $C$4506:$C$5005, 0, 1)) &lt;= VLOOKUP($C1397, 'Instrument Table'!$B:$D, 3, FALSE), ROW($A1397) - 4504 - _xlfn.XMATCH($C1397, $C$4506:$C$5005, 0, 1), 0), 0), "00")</f>
        <v>00</v>
      </c>
      <c r="H1397" s="1" t="str">
        <f t="shared" si="127"/>
        <v>041</v>
      </c>
      <c r="I1397" s="1" t="str">
        <f t="shared" si="128"/>
        <v>12400-041</v>
      </c>
      <c r="J1397" s="1" t="str">
        <f t="shared" si="129"/>
        <v>Acoustic guitar production item #041</v>
      </c>
      <c r="K1397" s="1" t="str">
        <f>IF(SUM(COUNTIFS(I:I, I1397)) &gt; 1, "DUPLICATE", "UNIQUE")</f>
        <v>UNIQUE</v>
      </c>
      <c r="L1397" s="18">
        <v>4</v>
      </c>
      <c r="M1397" s="28">
        <v>83</v>
      </c>
      <c r="N1397" s="6">
        <v>64</v>
      </c>
      <c r="O1397" s="30">
        <f t="shared" si="130"/>
        <v>332</v>
      </c>
      <c r="P1397" s="30">
        <f t="shared" si="131"/>
        <v>5312</v>
      </c>
      <c r="Q1397" s="1">
        <f>COUNTIFS($P:$P, "&gt;" &amp; $P1397) + 1</f>
        <v>2385</v>
      </c>
      <c r="R1397" s="63">
        <f>(COUNTIFS($P:$P, "&gt;" &amp; $P1397) + 1) / (COUNTA($I:$I) - 1)</f>
        <v>0.47699999999999998</v>
      </c>
      <c r="S1397" s="23">
        <f>SUMIFS($P:$P, $Q:$Q, "&lt;" &amp; $Q1397)</f>
        <v>182537429</v>
      </c>
    </row>
    <row r="1398" spans="1:19" x14ac:dyDescent="0.25">
      <c r="A1398" s="1">
        <v>1393</v>
      </c>
      <c r="B1398" s="1" t="s">
        <v>2</v>
      </c>
      <c r="C1398" s="1" t="str">
        <f>IF($B1398 = "Production Item", _xlfn.XLOOKUP($A1398, 'Instrument Table'!$J:$J, 'Instrument Table'!$B:$B, $C1397), IF($B1398 = "Service Item", _xlfn.XLOOKUP($A1398, 'Instrument Table'!$I:$I, 'Instrument Table'!$B:$B, $C1397), _xlfn.XLOOKUP($A1398, 'Instrument Table'!$H:$H, 'Instrument Table'!$B:$B, $C1397)))</f>
        <v>Acoustic Guitar</v>
      </c>
      <c r="D1398" s="1" t="str">
        <f>VLOOKUP($C1398, 'Instrument Table'!$B:$C, 2, FALSE)</f>
        <v>Strings</v>
      </c>
      <c r="E1398" s="1">
        <f t="shared" si="126"/>
        <v>1</v>
      </c>
      <c r="F1398" s="1">
        <f>_xlfn.XLOOKUP($C1398, 'Instrument Table'!$B:$B, 'Instrument Table'!$A:$A, "")</f>
        <v>24</v>
      </c>
      <c r="G1398" s="1" t="str">
        <f>TEXT(IF($B1398 = "Retail Item", IF((ROW($A1398) - 4504 - _xlfn.XMATCH($C1398, $C$4506:$C$5005, 0, 1)) &lt;= VLOOKUP($C1398, 'Instrument Table'!$B:$D, 3, FALSE), ROW($A1398) - 4504 - _xlfn.XMATCH($C1398, $C$4506:$C$5005, 0, 1), 0), 0), "00")</f>
        <v>00</v>
      </c>
      <c r="H1398" s="1" t="str">
        <f t="shared" si="127"/>
        <v>042</v>
      </c>
      <c r="I1398" s="1" t="str">
        <f t="shared" si="128"/>
        <v>12400-042</v>
      </c>
      <c r="J1398" s="1" t="str">
        <f t="shared" si="129"/>
        <v>Acoustic guitar production item #042</v>
      </c>
      <c r="K1398" s="1" t="str">
        <f>IF(SUM(COUNTIFS(I:I, I1398)) &gt; 1, "DUPLICATE", "UNIQUE")</f>
        <v>UNIQUE</v>
      </c>
      <c r="L1398" s="18">
        <v>0</v>
      </c>
      <c r="M1398" s="28">
        <v>33</v>
      </c>
      <c r="N1398" s="6">
        <v>49</v>
      </c>
      <c r="O1398" s="30">
        <f t="shared" si="130"/>
        <v>0</v>
      </c>
      <c r="P1398" s="30">
        <f t="shared" si="131"/>
        <v>1617</v>
      </c>
      <c r="Q1398" s="1">
        <f>COUNTIFS($P:$P, "&gt;" &amp; $P1398) + 1</f>
        <v>3399</v>
      </c>
      <c r="R1398" s="63">
        <f>(COUNTIFS($P:$P, "&gt;" &amp; $P1398) + 1) / (COUNTA($I:$I) - 1)</f>
        <v>0.67979999999999996</v>
      </c>
      <c r="S1398" s="23">
        <f>SUMIFS($P:$P, $Q:$Q, "&lt;" &amp; $Q1398)</f>
        <v>185783389</v>
      </c>
    </row>
    <row r="1399" spans="1:19" x14ac:dyDescent="0.25">
      <c r="A1399" s="1">
        <v>1394</v>
      </c>
      <c r="B1399" s="1" t="s">
        <v>2</v>
      </c>
      <c r="C1399" s="1" t="str">
        <f>IF($B1399 = "Production Item", _xlfn.XLOOKUP($A1399, 'Instrument Table'!$J:$J, 'Instrument Table'!$B:$B, $C1398), IF($B1399 = "Service Item", _xlfn.XLOOKUP($A1399, 'Instrument Table'!$I:$I, 'Instrument Table'!$B:$B, $C1398), _xlfn.XLOOKUP($A1399, 'Instrument Table'!$H:$H, 'Instrument Table'!$B:$B, $C1398)))</f>
        <v>Acoustic Guitar</v>
      </c>
      <c r="D1399" s="1" t="str">
        <f>VLOOKUP($C1399, 'Instrument Table'!$B:$C, 2, FALSE)</f>
        <v>Strings</v>
      </c>
      <c r="E1399" s="1">
        <f t="shared" si="126"/>
        <v>1</v>
      </c>
      <c r="F1399" s="1">
        <f>_xlfn.XLOOKUP($C1399, 'Instrument Table'!$B:$B, 'Instrument Table'!$A:$A, "")</f>
        <v>24</v>
      </c>
      <c r="G1399" s="1" t="str">
        <f>TEXT(IF($B1399 = "Retail Item", IF((ROW($A1399) - 4504 - _xlfn.XMATCH($C1399, $C$4506:$C$5005, 0, 1)) &lt;= VLOOKUP($C1399, 'Instrument Table'!$B:$D, 3, FALSE), ROW($A1399) - 4504 - _xlfn.XMATCH($C1399, $C$4506:$C$5005, 0, 1), 0), 0), "00")</f>
        <v>00</v>
      </c>
      <c r="H1399" s="1" t="str">
        <f t="shared" si="127"/>
        <v>043</v>
      </c>
      <c r="I1399" s="1" t="str">
        <f t="shared" si="128"/>
        <v>12400-043</v>
      </c>
      <c r="J1399" s="1" t="str">
        <f t="shared" si="129"/>
        <v>Acoustic guitar production item #043</v>
      </c>
      <c r="K1399" s="1" t="str">
        <f>IF(SUM(COUNTIFS(I:I, I1399)) &gt; 1, "DUPLICATE", "UNIQUE")</f>
        <v>UNIQUE</v>
      </c>
      <c r="L1399" s="18">
        <v>16</v>
      </c>
      <c r="M1399" s="28">
        <v>60</v>
      </c>
      <c r="N1399" s="6">
        <v>400</v>
      </c>
      <c r="O1399" s="30">
        <f t="shared" si="130"/>
        <v>960</v>
      </c>
      <c r="P1399" s="30">
        <f t="shared" si="131"/>
        <v>24000</v>
      </c>
      <c r="Q1399" s="1">
        <f>COUNTIFS($P:$P, "&gt;" &amp; $P1399) + 1</f>
        <v>869</v>
      </c>
      <c r="R1399" s="63">
        <f>(COUNTIFS($P:$P, "&gt;" &amp; $P1399) + 1) / (COUNTA($I:$I) - 1)</f>
        <v>0.17380000000000001</v>
      </c>
      <c r="S1399" s="23">
        <f>SUMIFS($P:$P, $Q:$Q, "&lt;" &amp; $Q1399)</f>
        <v>163547085</v>
      </c>
    </row>
    <row r="1400" spans="1:19" x14ac:dyDescent="0.25">
      <c r="A1400" s="1">
        <v>1395</v>
      </c>
      <c r="B1400" s="1" t="s">
        <v>2</v>
      </c>
      <c r="C1400" s="1" t="str">
        <f>IF($B1400 = "Production Item", _xlfn.XLOOKUP($A1400, 'Instrument Table'!$J:$J, 'Instrument Table'!$B:$B, $C1399), IF($B1400 = "Service Item", _xlfn.XLOOKUP($A1400, 'Instrument Table'!$I:$I, 'Instrument Table'!$B:$B, $C1399), _xlfn.XLOOKUP($A1400, 'Instrument Table'!$H:$H, 'Instrument Table'!$B:$B, $C1399)))</f>
        <v>Acoustic Guitar</v>
      </c>
      <c r="D1400" s="1" t="str">
        <f>VLOOKUP($C1400, 'Instrument Table'!$B:$C, 2, FALSE)</f>
        <v>Strings</v>
      </c>
      <c r="E1400" s="1">
        <f t="shared" si="126"/>
        <v>1</v>
      </c>
      <c r="F1400" s="1">
        <f>_xlfn.XLOOKUP($C1400, 'Instrument Table'!$B:$B, 'Instrument Table'!$A:$A, "")</f>
        <v>24</v>
      </c>
      <c r="G1400" s="1" t="str">
        <f>TEXT(IF($B1400 = "Retail Item", IF((ROW($A1400) - 4504 - _xlfn.XMATCH($C1400, $C$4506:$C$5005, 0, 1)) &lt;= VLOOKUP($C1400, 'Instrument Table'!$B:$D, 3, FALSE), ROW($A1400) - 4504 - _xlfn.XMATCH($C1400, $C$4506:$C$5005, 0, 1), 0), 0), "00")</f>
        <v>00</v>
      </c>
      <c r="H1400" s="1" t="str">
        <f t="shared" si="127"/>
        <v>044</v>
      </c>
      <c r="I1400" s="1" t="str">
        <f t="shared" si="128"/>
        <v>12400-044</v>
      </c>
      <c r="J1400" s="1" t="str">
        <f t="shared" si="129"/>
        <v>Acoustic guitar production item #044</v>
      </c>
      <c r="K1400" s="1" t="str">
        <f>IF(SUM(COUNTIFS(I:I, I1400)) &gt; 1, "DUPLICATE", "UNIQUE")</f>
        <v>UNIQUE</v>
      </c>
      <c r="L1400" s="18">
        <v>0</v>
      </c>
      <c r="M1400" s="28">
        <v>82</v>
      </c>
      <c r="N1400" s="6">
        <v>289</v>
      </c>
      <c r="O1400" s="30">
        <f t="shared" si="130"/>
        <v>0</v>
      </c>
      <c r="P1400" s="30">
        <f t="shared" si="131"/>
        <v>23698</v>
      </c>
      <c r="Q1400" s="1">
        <f>COUNTIFS($P:$P, "&gt;" &amp; $P1400) + 1</f>
        <v>883</v>
      </c>
      <c r="R1400" s="63">
        <f>(COUNTIFS($P:$P, "&gt;" &amp; $P1400) + 1) / (COUNTA($I:$I) - 1)</f>
        <v>0.17660000000000001</v>
      </c>
      <c r="S1400" s="23">
        <f>SUMIFS($P:$P, $Q:$Q, "&lt;" &amp; $Q1400)</f>
        <v>163882652</v>
      </c>
    </row>
    <row r="1401" spans="1:19" x14ac:dyDescent="0.25">
      <c r="A1401" s="1">
        <v>1396</v>
      </c>
      <c r="B1401" s="1" t="s">
        <v>2</v>
      </c>
      <c r="C1401" s="1" t="str">
        <f>IF($B1401 = "Production Item", _xlfn.XLOOKUP($A1401, 'Instrument Table'!$J:$J, 'Instrument Table'!$B:$B, $C1400), IF($B1401 = "Service Item", _xlfn.XLOOKUP($A1401, 'Instrument Table'!$I:$I, 'Instrument Table'!$B:$B, $C1400), _xlfn.XLOOKUP($A1401, 'Instrument Table'!$H:$H, 'Instrument Table'!$B:$B, $C1400)))</f>
        <v>Acoustic Guitar</v>
      </c>
      <c r="D1401" s="1" t="str">
        <f>VLOOKUP($C1401, 'Instrument Table'!$B:$C, 2, FALSE)</f>
        <v>Strings</v>
      </c>
      <c r="E1401" s="1">
        <f t="shared" si="126"/>
        <v>1</v>
      </c>
      <c r="F1401" s="1">
        <f>_xlfn.XLOOKUP($C1401, 'Instrument Table'!$B:$B, 'Instrument Table'!$A:$A, "")</f>
        <v>24</v>
      </c>
      <c r="G1401" s="1" t="str">
        <f>TEXT(IF($B1401 = "Retail Item", IF((ROW($A1401) - 4504 - _xlfn.XMATCH($C1401, $C$4506:$C$5005, 0, 1)) &lt;= VLOOKUP($C1401, 'Instrument Table'!$B:$D, 3, FALSE), ROW($A1401) - 4504 - _xlfn.XMATCH($C1401, $C$4506:$C$5005, 0, 1), 0), 0), "00")</f>
        <v>00</v>
      </c>
      <c r="H1401" s="1" t="str">
        <f t="shared" si="127"/>
        <v>045</v>
      </c>
      <c r="I1401" s="1" t="str">
        <f t="shared" si="128"/>
        <v>12400-045</v>
      </c>
      <c r="J1401" s="1" t="str">
        <f t="shared" si="129"/>
        <v>Acoustic guitar production item #045</v>
      </c>
      <c r="K1401" s="1" t="str">
        <f>IF(SUM(COUNTIFS(I:I, I1401)) &gt; 1, "DUPLICATE", "UNIQUE")</f>
        <v>UNIQUE</v>
      </c>
      <c r="L1401" s="18">
        <v>0</v>
      </c>
      <c r="M1401" s="28">
        <v>85</v>
      </c>
      <c r="N1401" s="6">
        <v>289</v>
      </c>
      <c r="O1401" s="30">
        <f t="shared" si="130"/>
        <v>0</v>
      </c>
      <c r="P1401" s="30">
        <f t="shared" si="131"/>
        <v>24565</v>
      </c>
      <c r="Q1401" s="1">
        <f>COUNTIFS($P:$P, "&gt;" &amp; $P1401) + 1</f>
        <v>847</v>
      </c>
      <c r="R1401" s="63">
        <f>(COUNTIFS($P:$P, "&gt;" &amp; $P1401) + 1) / (COUNTA($I:$I) - 1)</f>
        <v>0.1694</v>
      </c>
      <c r="S1401" s="23">
        <f>SUMIFS($P:$P, $Q:$Q, "&lt;" &amp; $Q1401)</f>
        <v>163009892</v>
      </c>
    </row>
    <row r="1402" spans="1:19" x14ac:dyDescent="0.25">
      <c r="A1402" s="1">
        <v>1397</v>
      </c>
      <c r="B1402" s="1" t="s">
        <v>2</v>
      </c>
      <c r="C1402" s="1" t="str">
        <f>IF($B1402 = "Production Item", _xlfn.XLOOKUP($A1402, 'Instrument Table'!$J:$J, 'Instrument Table'!$B:$B, $C1401), IF($B1402 = "Service Item", _xlfn.XLOOKUP($A1402, 'Instrument Table'!$I:$I, 'Instrument Table'!$B:$B, $C1401), _xlfn.XLOOKUP($A1402, 'Instrument Table'!$H:$H, 'Instrument Table'!$B:$B, $C1401)))</f>
        <v>Acoustic Guitar</v>
      </c>
      <c r="D1402" s="1" t="str">
        <f>VLOOKUP($C1402, 'Instrument Table'!$B:$C, 2, FALSE)</f>
        <v>Strings</v>
      </c>
      <c r="E1402" s="1">
        <f t="shared" si="126"/>
        <v>1</v>
      </c>
      <c r="F1402" s="1">
        <f>_xlfn.XLOOKUP($C1402, 'Instrument Table'!$B:$B, 'Instrument Table'!$A:$A, "")</f>
        <v>24</v>
      </c>
      <c r="G1402" s="1" t="str">
        <f>TEXT(IF($B1402 = "Retail Item", IF((ROW($A1402) - 4504 - _xlfn.XMATCH($C1402, $C$4506:$C$5005, 0, 1)) &lt;= VLOOKUP($C1402, 'Instrument Table'!$B:$D, 3, FALSE), ROW($A1402) - 4504 - _xlfn.XMATCH($C1402, $C$4506:$C$5005, 0, 1), 0), 0), "00")</f>
        <v>00</v>
      </c>
      <c r="H1402" s="1" t="str">
        <f t="shared" si="127"/>
        <v>046</v>
      </c>
      <c r="I1402" s="1" t="str">
        <f t="shared" si="128"/>
        <v>12400-046</v>
      </c>
      <c r="J1402" s="1" t="str">
        <f t="shared" si="129"/>
        <v>Acoustic guitar production item #046</v>
      </c>
      <c r="K1402" s="1" t="str">
        <f>IF(SUM(COUNTIFS(I:I, I1402)) &gt; 1, "DUPLICATE", "UNIQUE")</f>
        <v>UNIQUE</v>
      </c>
      <c r="L1402" s="18">
        <v>2</v>
      </c>
      <c r="M1402" s="28">
        <v>54</v>
      </c>
      <c r="N1402" s="6">
        <v>49</v>
      </c>
      <c r="O1402" s="30">
        <f t="shared" si="130"/>
        <v>108</v>
      </c>
      <c r="P1402" s="30">
        <f t="shared" si="131"/>
        <v>2646</v>
      </c>
      <c r="Q1402" s="1">
        <f>COUNTIFS($P:$P, "&gt;" &amp; $P1402) + 1</f>
        <v>2999</v>
      </c>
      <c r="R1402" s="63">
        <f>(COUNTIFS($P:$P, "&gt;" &amp; $P1402) + 1) / (COUNTA($I:$I) - 1)</f>
        <v>0.5998</v>
      </c>
      <c r="S1402" s="23">
        <f>SUMIFS($P:$P, $Q:$Q, "&lt;" &amp; $Q1402)</f>
        <v>184929454</v>
      </c>
    </row>
    <row r="1403" spans="1:19" x14ac:dyDescent="0.25">
      <c r="A1403" s="1">
        <v>1398</v>
      </c>
      <c r="B1403" s="1" t="s">
        <v>2</v>
      </c>
      <c r="C1403" s="1" t="str">
        <f>IF($B1403 = "Production Item", _xlfn.XLOOKUP($A1403, 'Instrument Table'!$J:$J, 'Instrument Table'!$B:$B, $C1402), IF($B1403 = "Service Item", _xlfn.XLOOKUP($A1403, 'Instrument Table'!$I:$I, 'Instrument Table'!$B:$B, $C1402), _xlfn.XLOOKUP($A1403, 'Instrument Table'!$H:$H, 'Instrument Table'!$B:$B, $C1402)))</f>
        <v>Acoustic Guitar</v>
      </c>
      <c r="D1403" s="1" t="str">
        <f>VLOOKUP($C1403, 'Instrument Table'!$B:$C, 2, FALSE)</f>
        <v>Strings</v>
      </c>
      <c r="E1403" s="1">
        <f t="shared" si="126"/>
        <v>1</v>
      </c>
      <c r="F1403" s="1">
        <f>_xlfn.XLOOKUP($C1403, 'Instrument Table'!$B:$B, 'Instrument Table'!$A:$A, "")</f>
        <v>24</v>
      </c>
      <c r="G1403" s="1" t="str">
        <f>TEXT(IF($B1403 = "Retail Item", IF((ROW($A1403) - 4504 - _xlfn.XMATCH($C1403, $C$4506:$C$5005, 0, 1)) &lt;= VLOOKUP($C1403, 'Instrument Table'!$B:$D, 3, FALSE), ROW($A1403) - 4504 - _xlfn.XMATCH($C1403, $C$4506:$C$5005, 0, 1), 0), 0), "00")</f>
        <v>00</v>
      </c>
      <c r="H1403" s="1" t="str">
        <f t="shared" si="127"/>
        <v>047</v>
      </c>
      <c r="I1403" s="1" t="str">
        <f t="shared" si="128"/>
        <v>12400-047</v>
      </c>
      <c r="J1403" s="1" t="str">
        <f t="shared" si="129"/>
        <v>Acoustic guitar production item #047</v>
      </c>
      <c r="K1403" s="1" t="str">
        <f>IF(SUM(COUNTIFS(I:I, I1403)) &gt; 1, "DUPLICATE", "UNIQUE")</f>
        <v>UNIQUE</v>
      </c>
      <c r="L1403" s="18">
        <v>1</v>
      </c>
      <c r="M1403" s="28">
        <v>62</v>
      </c>
      <c r="N1403" s="6">
        <v>169</v>
      </c>
      <c r="O1403" s="30">
        <f t="shared" si="130"/>
        <v>62</v>
      </c>
      <c r="P1403" s="30">
        <f t="shared" si="131"/>
        <v>10478</v>
      </c>
      <c r="Q1403" s="1">
        <f>COUNTIFS($P:$P, "&gt;" &amp; $P1403) + 1</f>
        <v>1730</v>
      </c>
      <c r="R1403" s="63">
        <f>(COUNTIFS($P:$P, "&gt;" &amp; $P1403) + 1) / (COUNTA($I:$I) - 1)</f>
        <v>0.34599999999999997</v>
      </c>
      <c r="S1403" s="23">
        <f>SUMIFS($P:$P, $Q:$Q, "&lt;" &amp; $Q1403)</f>
        <v>177534117</v>
      </c>
    </row>
    <row r="1404" spans="1:19" x14ac:dyDescent="0.25">
      <c r="A1404" s="1">
        <v>1399</v>
      </c>
      <c r="B1404" s="1" t="s">
        <v>2</v>
      </c>
      <c r="C1404" s="1" t="str">
        <f>IF($B1404 = "Production Item", _xlfn.XLOOKUP($A1404, 'Instrument Table'!$J:$J, 'Instrument Table'!$B:$B, $C1403), IF($B1404 = "Service Item", _xlfn.XLOOKUP($A1404, 'Instrument Table'!$I:$I, 'Instrument Table'!$B:$B, $C1403), _xlfn.XLOOKUP($A1404, 'Instrument Table'!$H:$H, 'Instrument Table'!$B:$B, $C1403)))</f>
        <v>Acoustic Guitar</v>
      </c>
      <c r="D1404" s="1" t="str">
        <f>VLOOKUP($C1404, 'Instrument Table'!$B:$C, 2, FALSE)</f>
        <v>Strings</v>
      </c>
      <c r="E1404" s="1">
        <f t="shared" si="126"/>
        <v>1</v>
      </c>
      <c r="F1404" s="1">
        <f>_xlfn.XLOOKUP($C1404, 'Instrument Table'!$B:$B, 'Instrument Table'!$A:$A, "")</f>
        <v>24</v>
      </c>
      <c r="G1404" s="1" t="str">
        <f>TEXT(IF($B1404 = "Retail Item", IF((ROW($A1404) - 4504 - _xlfn.XMATCH($C1404, $C$4506:$C$5005, 0, 1)) &lt;= VLOOKUP($C1404, 'Instrument Table'!$B:$D, 3, FALSE), ROW($A1404) - 4504 - _xlfn.XMATCH($C1404, $C$4506:$C$5005, 0, 1), 0), 0), "00")</f>
        <v>00</v>
      </c>
      <c r="H1404" s="1" t="str">
        <f t="shared" si="127"/>
        <v>048</v>
      </c>
      <c r="I1404" s="1" t="str">
        <f t="shared" si="128"/>
        <v>12400-048</v>
      </c>
      <c r="J1404" s="1" t="str">
        <f t="shared" si="129"/>
        <v>Acoustic guitar production item #048</v>
      </c>
      <c r="K1404" s="1" t="str">
        <f>IF(SUM(COUNTIFS(I:I, I1404)) &gt; 1, "DUPLICATE", "UNIQUE")</f>
        <v>UNIQUE</v>
      </c>
      <c r="L1404" s="18">
        <v>0</v>
      </c>
      <c r="M1404" s="28">
        <v>38</v>
      </c>
      <c r="N1404" s="6">
        <v>25</v>
      </c>
      <c r="O1404" s="30">
        <f t="shared" si="130"/>
        <v>0</v>
      </c>
      <c r="P1404" s="30">
        <f t="shared" si="131"/>
        <v>950</v>
      </c>
      <c r="Q1404" s="1">
        <f>COUNTIFS($P:$P, "&gt;" &amp; $P1404) + 1</f>
        <v>3703</v>
      </c>
      <c r="R1404" s="63">
        <f>(COUNTIFS($P:$P, "&gt;" &amp; $P1404) + 1) / (COUNTA($I:$I) - 1)</f>
        <v>0.74060000000000004</v>
      </c>
      <c r="S1404" s="23">
        <f>SUMIFS($P:$P, $Q:$Q, "&lt;" &amp; $Q1404)</f>
        <v>186181718</v>
      </c>
    </row>
    <row r="1405" spans="1:19" x14ac:dyDescent="0.25">
      <c r="A1405" s="1">
        <v>1400</v>
      </c>
      <c r="B1405" s="1" t="s">
        <v>2</v>
      </c>
      <c r="C1405" s="1" t="str">
        <f>IF($B1405 = "Production Item", _xlfn.XLOOKUP($A1405, 'Instrument Table'!$J:$J, 'Instrument Table'!$B:$B, $C1404), IF($B1405 = "Service Item", _xlfn.XLOOKUP($A1405, 'Instrument Table'!$I:$I, 'Instrument Table'!$B:$B, $C1404), _xlfn.XLOOKUP($A1405, 'Instrument Table'!$H:$H, 'Instrument Table'!$B:$B, $C1404)))</f>
        <v>Acoustic Guitar</v>
      </c>
      <c r="D1405" s="1" t="str">
        <f>VLOOKUP($C1405, 'Instrument Table'!$B:$C, 2, FALSE)</f>
        <v>Strings</v>
      </c>
      <c r="E1405" s="1">
        <f t="shared" si="126"/>
        <v>1</v>
      </c>
      <c r="F1405" s="1">
        <f>_xlfn.XLOOKUP($C1405, 'Instrument Table'!$B:$B, 'Instrument Table'!$A:$A, "")</f>
        <v>24</v>
      </c>
      <c r="G1405" s="1" t="str">
        <f>TEXT(IF($B1405 = "Retail Item", IF((ROW($A1405) - 4504 - _xlfn.XMATCH($C1405, $C$4506:$C$5005, 0, 1)) &lt;= VLOOKUP($C1405, 'Instrument Table'!$B:$D, 3, FALSE), ROW($A1405) - 4504 - _xlfn.XMATCH($C1405, $C$4506:$C$5005, 0, 1), 0), 0), "00")</f>
        <v>00</v>
      </c>
      <c r="H1405" s="1" t="str">
        <f t="shared" si="127"/>
        <v>049</v>
      </c>
      <c r="I1405" s="1" t="str">
        <f t="shared" si="128"/>
        <v>12400-049</v>
      </c>
      <c r="J1405" s="1" t="str">
        <f t="shared" si="129"/>
        <v>Acoustic guitar production item #049</v>
      </c>
      <c r="K1405" s="1" t="str">
        <f>IF(SUM(COUNTIFS(I:I, I1405)) &gt; 1, "DUPLICATE", "UNIQUE")</f>
        <v>UNIQUE</v>
      </c>
      <c r="L1405" s="18">
        <v>4</v>
      </c>
      <c r="M1405" s="28">
        <v>20</v>
      </c>
      <c r="N1405" s="6">
        <v>9</v>
      </c>
      <c r="O1405" s="30">
        <f t="shared" si="130"/>
        <v>80</v>
      </c>
      <c r="P1405" s="30">
        <f t="shared" si="131"/>
        <v>180</v>
      </c>
      <c r="Q1405" s="1">
        <f>COUNTIFS($P:$P, "&gt;" &amp; $P1405) + 1</f>
        <v>4352</v>
      </c>
      <c r="R1405" s="63">
        <f>(COUNTIFS($P:$P, "&gt;" &amp; $P1405) + 1) / (COUNTA($I:$I) - 1)</f>
        <v>0.87039999999999995</v>
      </c>
      <c r="S1405" s="23">
        <f>SUMIFS($P:$P, $Q:$Q, "&lt;" &amp; $Q1405)</f>
        <v>186517952</v>
      </c>
    </row>
    <row r="1406" spans="1:19" x14ac:dyDescent="0.25">
      <c r="A1406" s="1">
        <v>1401</v>
      </c>
      <c r="B1406" s="1" t="s">
        <v>2</v>
      </c>
      <c r="C1406" s="1" t="str">
        <f>IF($B1406 = "Production Item", _xlfn.XLOOKUP($A1406, 'Instrument Table'!$J:$J, 'Instrument Table'!$B:$B, $C1405), IF($B1406 = "Service Item", _xlfn.XLOOKUP($A1406, 'Instrument Table'!$I:$I, 'Instrument Table'!$B:$B, $C1405), _xlfn.XLOOKUP($A1406, 'Instrument Table'!$H:$H, 'Instrument Table'!$B:$B, $C1405)))</f>
        <v>Acoustic Guitar</v>
      </c>
      <c r="D1406" s="1" t="str">
        <f>VLOOKUP($C1406, 'Instrument Table'!$B:$C, 2, FALSE)</f>
        <v>Strings</v>
      </c>
      <c r="E1406" s="1">
        <f t="shared" si="126"/>
        <v>1</v>
      </c>
      <c r="F1406" s="1">
        <f>_xlfn.XLOOKUP($C1406, 'Instrument Table'!$B:$B, 'Instrument Table'!$A:$A, "")</f>
        <v>24</v>
      </c>
      <c r="G1406" s="1" t="str">
        <f>TEXT(IF($B1406 = "Retail Item", IF((ROW($A1406) - 4504 - _xlfn.XMATCH($C1406, $C$4506:$C$5005, 0, 1)) &lt;= VLOOKUP($C1406, 'Instrument Table'!$B:$D, 3, FALSE), ROW($A1406) - 4504 - _xlfn.XMATCH($C1406, $C$4506:$C$5005, 0, 1), 0), 0), "00")</f>
        <v>00</v>
      </c>
      <c r="H1406" s="1" t="str">
        <f t="shared" si="127"/>
        <v>050</v>
      </c>
      <c r="I1406" s="1" t="str">
        <f t="shared" si="128"/>
        <v>12400-050</v>
      </c>
      <c r="J1406" s="1" t="str">
        <f t="shared" si="129"/>
        <v>Acoustic guitar production item #050</v>
      </c>
      <c r="K1406" s="1" t="str">
        <f>IF(SUM(COUNTIFS(I:I, I1406)) &gt; 1, "DUPLICATE", "UNIQUE")</f>
        <v>UNIQUE</v>
      </c>
      <c r="L1406" s="18">
        <v>1</v>
      </c>
      <c r="M1406" s="28">
        <v>17</v>
      </c>
      <c r="N1406" s="6">
        <v>100</v>
      </c>
      <c r="O1406" s="30">
        <f t="shared" si="130"/>
        <v>17</v>
      </c>
      <c r="P1406" s="30">
        <f t="shared" si="131"/>
        <v>1700</v>
      </c>
      <c r="Q1406" s="1">
        <f>COUNTIFS($P:$P, "&gt;" &amp; $P1406) + 1</f>
        <v>3370</v>
      </c>
      <c r="R1406" s="63">
        <f>(COUNTIFS($P:$P, "&gt;" &amp; $P1406) + 1) / (COUNTA($I:$I) - 1)</f>
        <v>0.67400000000000004</v>
      </c>
      <c r="S1406" s="23">
        <f>SUMIFS($P:$P, $Q:$Q, "&lt;" &amp; $Q1406)</f>
        <v>185735274</v>
      </c>
    </row>
    <row r="1407" spans="1:19" x14ac:dyDescent="0.25">
      <c r="A1407" s="1">
        <v>1402</v>
      </c>
      <c r="B1407" s="1" t="s">
        <v>2</v>
      </c>
      <c r="C1407" s="1" t="str">
        <f>IF($B1407 = "Production Item", _xlfn.XLOOKUP($A1407, 'Instrument Table'!$J:$J, 'Instrument Table'!$B:$B, $C1406), IF($B1407 = "Service Item", _xlfn.XLOOKUP($A1407, 'Instrument Table'!$I:$I, 'Instrument Table'!$B:$B, $C1406), _xlfn.XLOOKUP($A1407, 'Instrument Table'!$H:$H, 'Instrument Table'!$B:$B, $C1406)))</f>
        <v>Acoustic Guitar</v>
      </c>
      <c r="D1407" s="1" t="str">
        <f>VLOOKUP($C1407, 'Instrument Table'!$B:$C, 2, FALSE)</f>
        <v>Strings</v>
      </c>
      <c r="E1407" s="1">
        <f t="shared" si="126"/>
        <v>1</v>
      </c>
      <c r="F1407" s="1">
        <f>_xlfn.XLOOKUP($C1407, 'Instrument Table'!$B:$B, 'Instrument Table'!$A:$A, "")</f>
        <v>24</v>
      </c>
      <c r="G1407" s="1" t="str">
        <f>TEXT(IF($B1407 = "Retail Item", IF((ROW($A1407) - 4504 - _xlfn.XMATCH($C1407, $C$4506:$C$5005, 0, 1)) &lt;= VLOOKUP($C1407, 'Instrument Table'!$B:$D, 3, FALSE), ROW($A1407) - 4504 - _xlfn.XMATCH($C1407, $C$4506:$C$5005, 0, 1), 0), 0), "00")</f>
        <v>00</v>
      </c>
      <c r="H1407" s="1" t="str">
        <f t="shared" si="127"/>
        <v>051</v>
      </c>
      <c r="I1407" s="1" t="str">
        <f t="shared" si="128"/>
        <v>12400-051</v>
      </c>
      <c r="J1407" s="1" t="str">
        <f t="shared" si="129"/>
        <v>Acoustic guitar production item #051</v>
      </c>
      <c r="K1407" s="1" t="str">
        <f>IF(SUM(COUNTIFS(I:I, I1407)) &gt; 1, "DUPLICATE", "UNIQUE")</f>
        <v>UNIQUE</v>
      </c>
      <c r="L1407" s="18">
        <v>1</v>
      </c>
      <c r="M1407" s="28">
        <v>66</v>
      </c>
      <c r="N1407" s="6">
        <v>64</v>
      </c>
      <c r="O1407" s="30">
        <f t="shared" si="130"/>
        <v>66</v>
      </c>
      <c r="P1407" s="30">
        <f t="shared" si="131"/>
        <v>4224</v>
      </c>
      <c r="Q1407" s="1">
        <f>COUNTIFS($P:$P, "&gt;" &amp; $P1407) + 1</f>
        <v>2605</v>
      </c>
      <c r="R1407" s="63">
        <f>(COUNTIFS($P:$P, "&gt;" &amp; $P1407) + 1) / (COUNTA($I:$I) - 1)</f>
        <v>0.52100000000000002</v>
      </c>
      <c r="S1407" s="23">
        <f>SUMIFS($P:$P, $Q:$Q, "&lt;" &amp; $Q1407)</f>
        <v>183584543</v>
      </c>
    </row>
    <row r="1408" spans="1:19" x14ac:dyDescent="0.25">
      <c r="A1408" s="1">
        <v>1403</v>
      </c>
      <c r="B1408" s="1" t="s">
        <v>2</v>
      </c>
      <c r="C1408" s="1" t="str">
        <f>IF($B1408 = "Production Item", _xlfn.XLOOKUP($A1408, 'Instrument Table'!$J:$J, 'Instrument Table'!$B:$B, $C1407), IF($B1408 = "Service Item", _xlfn.XLOOKUP($A1408, 'Instrument Table'!$I:$I, 'Instrument Table'!$B:$B, $C1407), _xlfn.XLOOKUP($A1408, 'Instrument Table'!$H:$H, 'Instrument Table'!$B:$B, $C1407)))</f>
        <v>Acoustic Guitar</v>
      </c>
      <c r="D1408" s="1" t="str">
        <f>VLOOKUP($C1408, 'Instrument Table'!$B:$C, 2, FALSE)</f>
        <v>Strings</v>
      </c>
      <c r="E1408" s="1">
        <f t="shared" si="126"/>
        <v>1</v>
      </c>
      <c r="F1408" s="1">
        <f>_xlfn.XLOOKUP($C1408, 'Instrument Table'!$B:$B, 'Instrument Table'!$A:$A, "")</f>
        <v>24</v>
      </c>
      <c r="G1408" s="1" t="str">
        <f>TEXT(IF($B1408 = "Retail Item", IF((ROW($A1408) - 4504 - _xlfn.XMATCH($C1408, $C$4506:$C$5005, 0, 1)) &lt;= VLOOKUP($C1408, 'Instrument Table'!$B:$D, 3, FALSE), ROW($A1408) - 4504 - _xlfn.XMATCH($C1408, $C$4506:$C$5005, 0, 1), 0), 0), "00")</f>
        <v>00</v>
      </c>
      <c r="H1408" s="1" t="str">
        <f t="shared" si="127"/>
        <v>052</v>
      </c>
      <c r="I1408" s="1" t="str">
        <f t="shared" si="128"/>
        <v>12400-052</v>
      </c>
      <c r="J1408" s="1" t="str">
        <f t="shared" si="129"/>
        <v>Acoustic guitar production item #052</v>
      </c>
      <c r="K1408" s="1" t="str">
        <f>IF(SUM(COUNTIFS(I:I, I1408)) &gt; 1, "DUPLICATE", "UNIQUE")</f>
        <v>UNIQUE</v>
      </c>
      <c r="L1408" s="18">
        <v>0</v>
      </c>
      <c r="M1408" s="28">
        <v>58</v>
      </c>
      <c r="N1408" s="6">
        <v>25</v>
      </c>
      <c r="O1408" s="30">
        <f t="shared" si="130"/>
        <v>0</v>
      </c>
      <c r="P1408" s="30">
        <f t="shared" si="131"/>
        <v>1450</v>
      </c>
      <c r="Q1408" s="1">
        <f>COUNTIFS($P:$P, "&gt;" &amp; $P1408) + 1</f>
        <v>3487</v>
      </c>
      <c r="R1408" s="63">
        <f>(COUNTIFS($P:$P, "&gt;" &amp; $P1408) + 1) / (COUNTA($I:$I) - 1)</f>
        <v>0.69740000000000002</v>
      </c>
      <c r="S1408" s="23">
        <f>SUMIFS($P:$P, $Q:$Q, "&lt;" &amp; $Q1408)</f>
        <v>185918722</v>
      </c>
    </row>
    <row r="1409" spans="1:19" x14ac:dyDescent="0.25">
      <c r="A1409" s="1">
        <v>1404</v>
      </c>
      <c r="B1409" s="1" t="s">
        <v>2</v>
      </c>
      <c r="C1409" s="1" t="str">
        <f>IF($B1409 = "Production Item", _xlfn.XLOOKUP($A1409, 'Instrument Table'!$J:$J, 'Instrument Table'!$B:$B, $C1408), IF($B1409 = "Service Item", _xlfn.XLOOKUP($A1409, 'Instrument Table'!$I:$I, 'Instrument Table'!$B:$B, $C1408), _xlfn.XLOOKUP($A1409, 'Instrument Table'!$H:$H, 'Instrument Table'!$B:$B, $C1408)))</f>
        <v>Acoustic Guitar</v>
      </c>
      <c r="D1409" s="1" t="str">
        <f>VLOOKUP($C1409, 'Instrument Table'!$B:$C, 2, FALSE)</f>
        <v>Strings</v>
      </c>
      <c r="E1409" s="1">
        <f t="shared" si="126"/>
        <v>1</v>
      </c>
      <c r="F1409" s="1">
        <f>_xlfn.XLOOKUP($C1409, 'Instrument Table'!$B:$B, 'Instrument Table'!$A:$A, "")</f>
        <v>24</v>
      </c>
      <c r="G1409" s="1" t="str">
        <f>TEXT(IF($B1409 = "Retail Item", IF((ROW($A1409) - 4504 - _xlfn.XMATCH($C1409, $C$4506:$C$5005, 0, 1)) &lt;= VLOOKUP($C1409, 'Instrument Table'!$B:$D, 3, FALSE), ROW($A1409) - 4504 - _xlfn.XMATCH($C1409, $C$4506:$C$5005, 0, 1), 0), 0), "00")</f>
        <v>00</v>
      </c>
      <c r="H1409" s="1" t="str">
        <f t="shared" si="127"/>
        <v>053</v>
      </c>
      <c r="I1409" s="1" t="str">
        <f t="shared" si="128"/>
        <v>12400-053</v>
      </c>
      <c r="J1409" s="1" t="str">
        <f t="shared" si="129"/>
        <v>Acoustic guitar production item #053</v>
      </c>
      <c r="K1409" s="1" t="str">
        <f>IF(SUM(COUNTIFS(I:I, I1409)) &gt; 1, "DUPLICATE", "UNIQUE")</f>
        <v>UNIQUE</v>
      </c>
      <c r="L1409" s="18">
        <v>1</v>
      </c>
      <c r="M1409" s="28">
        <v>8</v>
      </c>
      <c r="N1409" s="6">
        <v>256</v>
      </c>
      <c r="O1409" s="30">
        <f t="shared" si="130"/>
        <v>8</v>
      </c>
      <c r="P1409" s="30">
        <f t="shared" si="131"/>
        <v>2048</v>
      </c>
      <c r="Q1409" s="1">
        <f>COUNTIFS($P:$P, "&gt;" &amp; $P1409) + 1</f>
        <v>3234</v>
      </c>
      <c r="R1409" s="63">
        <f>(COUNTIFS($P:$P, "&gt;" &amp; $P1409) + 1) / (COUNTA($I:$I) - 1)</f>
        <v>0.64680000000000004</v>
      </c>
      <c r="S1409" s="23">
        <f>SUMIFS($P:$P, $Q:$Q, "&lt;" &amp; $Q1409)</f>
        <v>185478555</v>
      </c>
    </row>
    <row r="1410" spans="1:19" x14ac:dyDescent="0.25">
      <c r="A1410" s="1">
        <v>1405</v>
      </c>
      <c r="B1410" s="1" t="s">
        <v>2</v>
      </c>
      <c r="C1410" s="1" t="str">
        <f>IF($B1410 = "Production Item", _xlfn.XLOOKUP($A1410, 'Instrument Table'!$J:$J, 'Instrument Table'!$B:$B, $C1409), IF($B1410 = "Service Item", _xlfn.XLOOKUP($A1410, 'Instrument Table'!$I:$I, 'Instrument Table'!$B:$B, $C1409), _xlfn.XLOOKUP($A1410, 'Instrument Table'!$H:$H, 'Instrument Table'!$B:$B, $C1409)))</f>
        <v>Acoustic Guitar</v>
      </c>
      <c r="D1410" s="1" t="str">
        <f>VLOOKUP($C1410, 'Instrument Table'!$B:$C, 2, FALSE)</f>
        <v>Strings</v>
      </c>
      <c r="E1410" s="1">
        <f t="shared" si="126"/>
        <v>1</v>
      </c>
      <c r="F1410" s="1">
        <f>_xlfn.XLOOKUP($C1410, 'Instrument Table'!$B:$B, 'Instrument Table'!$A:$A, "")</f>
        <v>24</v>
      </c>
      <c r="G1410" s="1" t="str">
        <f>TEXT(IF($B1410 = "Retail Item", IF((ROW($A1410) - 4504 - _xlfn.XMATCH($C1410, $C$4506:$C$5005, 0, 1)) &lt;= VLOOKUP($C1410, 'Instrument Table'!$B:$D, 3, FALSE), ROW($A1410) - 4504 - _xlfn.XMATCH($C1410, $C$4506:$C$5005, 0, 1), 0), 0), "00")</f>
        <v>00</v>
      </c>
      <c r="H1410" s="1" t="str">
        <f t="shared" si="127"/>
        <v>054</v>
      </c>
      <c r="I1410" s="1" t="str">
        <f t="shared" si="128"/>
        <v>12400-054</v>
      </c>
      <c r="J1410" s="1" t="str">
        <f t="shared" si="129"/>
        <v>Acoustic guitar production item #054</v>
      </c>
      <c r="K1410" s="1" t="str">
        <f>IF(SUM(COUNTIFS(I:I, I1410)) &gt; 1, "DUPLICATE", "UNIQUE")</f>
        <v>UNIQUE</v>
      </c>
      <c r="L1410" s="18">
        <v>2</v>
      </c>
      <c r="M1410" s="28">
        <v>90</v>
      </c>
      <c r="N1410" s="6">
        <v>49</v>
      </c>
      <c r="O1410" s="30">
        <f t="shared" si="130"/>
        <v>180</v>
      </c>
      <c r="P1410" s="30">
        <f t="shared" si="131"/>
        <v>4410</v>
      </c>
      <c r="Q1410" s="1">
        <f>COUNTIFS($P:$P, "&gt;" &amp; $P1410) + 1</f>
        <v>2564</v>
      </c>
      <c r="R1410" s="63">
        <f>(COUNTIFS($P:$P, "&gt;" &amp; $P1410) + 1) / (COUNTA($I:$I) - 1)</f>
        <v>0.51280000000000003</v>
      </c>
      <c r="S1410" s="23">
        <f>SUMIFS($P:$P, $Q:$Q, "&lt;" &amp; $Q1410)</f>
        <v>183407444</v>
      </c>
    </row>
    <row r="1411" spans="1:19" x14ac:dyDescent="0.25">
      <c r="A1411" s="1">
        <v>1406</v>
      </c>
      <c r="B1411" s="1" t="s">
        <v>2</v>
      </c>
      <c r="C1411" s="1" t="str">
        <f>IF($B1411 = "Production Item", _xlfn.XLOOKUP($A1411, 'Instrument Table'!$J:$J, 'Instrument Table'!$B:$B, $C1410), IF($B1411 = "Service Item", _xlfn.XLOOKUP($A1411, 'Instrument Table'!$I:$I, 'Instrument Table'!$B:$B, $C1410), _xlfn.XLOOKUP($A1411, 'Instrument Table'!$H:$H, 'Instrument Table'!$B:$B, $C1410)))</f>
        <v>Acoustic Guitar</v>
      </c>
      <c r="D1411" s="1" t="str">
        <f>VLOOKUP($C1411, 'Instrument Table'!$B:$C, 2, FALSE)</f>
        <v>Strings</v>
      </c>
      <c r="E1411" s="1">
        <f t="shared" si="126"/>
        <v>1</v>
      </c>
      <c r="F1411" s="1">
        <f>_xlfn.XLOOKUP($C1411, 'Instrument Table'!$B:$B, 'Instrument Table'!$A:$A, "")</f>
        <v>24</v>
      </c>
      <c r="G1411" s="1" t="str">
        <f>TEXT(IF($B1411 = "Retail Item", IF((ROW($A1411) - 4504 - _xlfn.XMATCH($C1411, $C$4506:$C$5005, 0, 1)) &lt;= VLOOKUP($C1411, 'Instrument Table'!$B:$D, 3, FALSE), ROW($A1411) - 4504 - _xlfn.XMATCH($C1411, $C$4506:$C$5005, 0, 1), 0), 0), "00")</f>
        <v>00</v>
      </c>
      <c r="H1411" s="1" t="str">
        <f t="shared" si="127"/>
        <v>055</v>
      </c>
      <c r="I1411" s="1" t="str">
        <f t="shared" si="128"/>
        <v>12400-055</v>
      </c>
      <c r="J1411" s="1" t="str">
        <f t="shared" si="129"/>
        <v>Acoustic guitar production item #055</v>
      </c>
      <c r="K1411" s="1" t="str">
        <f>IF(SUM(COUNTIFS(I:I, I1411)) &gt; 1, "DUPLICATE", "UNIQUE")</f>
        <v>UNIQUE</v>
      </c>
      <c r="L1411" s="18">
        <v>2</v>
      </c>
      <c r="M1411" s="28">
        <v>5</v>
      </c>
      <c r="N1411" s="6">
        <v>361</v>
      </c>
      <c r="O1411" s="30">
        <f t="shared" si="130"/>
        <v>10</v>
      </c>
      <c r="P1411" s="30">
        <f t="shared" si="131"/>
        <v>1805</v>
      </c>
      <c r="Q1411" s="1">
        <f>COUNTIFS($P:$P, "&gt;" &amp; $P1411) + 1</f>
        <v>3328</v>
      </c>
      <c r="R1411" s="63">
        <f>(COUNTIFS($P:$P, "&gt;" &amp; $P1411) + 1) / (COUNTA($I:$I) - 1)</f>
        <v>0.66559999999999997</v>
      </c>
      <c r="S1411" s="23">
        <f>SUMIFS($P:$P, $Q:$Q, "&lt;" &amp; $Q1411)</f>
        <v>185660956</v>
      </c>
    </row>
    <row r="1412" spans="1:19" x14ac:dyDescent="0.25">
      <c r="A1412" s="1">
        <v>1407</v>
      </c>
      <c r="B1412" s="1" t="s">
        <v>2</v>
      </c>
      <c r="C1412" s="1" t="str">
        <f>IF($B1412 = "Production Item", _xlfn.XLOOKUP($A1412, 'Instrument Table'!$J:$J, 'Instrument Table'!$B:$B, $C1411), IF($B1412 = "Service Item", _xlfn.XLOOKUP($A1412, 'Instrument Table'!$I:$I, 'Instrument Table'!$B:$B, $C1411), _xlfn.XLOOKUP($A1412, 'Instrument Table'!$H:$H, 'Instrument Table'!$B:$B, $C1411)))</f>
        <v>Acoustic Guitar</v>
      </c>
      <c r="D1412" s="1" t="str">
        <f>VLOOKUP($C1412, 'Instrument Table'!$B:$C, 2, FALSE)</f>
        <v>Strings</v>
      </c>
      <c r="E1412" s="1">
        <f t="shared" si="126"/>
        <v>1</v>
      </c>
      <c r="F1412" s="1">
        <f>_xlfn.XLOOKUP($C1412, 'Instrument Table'!$B:$B, 'Instrument Table'!$A:$A, "")</f>
        <v>24</v>
      </c>
      <c r="G1412" s="1" t="str">
        <f>TEXT(IF($B1412 = "Retail Item", IF((ROW($A1412) - 4504 - _xlfn.XMATCH($C1412, $C$4506:$C$5005, 0, 1)) &lt;= VLOOKUP($C1412, 'Instrument Table'!$B:$D, 3, FALSE), ROW($A1412) - 4504 - _xlfn.XMATCH($C1412, $C$4506:$C$5005, 0, 1), 0), 0), "00")</f>
        <v>00</v>
      </c>
      <c r="H1412" s="1" t="str">
        <f t="shared" si="127"/>
        <v>056</v>
      </c>
      <c r="I1412" s="1" t="str">
        <f t="shared" si="128"/>
        <v>12400-056</v>
      </c>
      <c r="J1412" s="1" t="str">
        <f t="shared" si="129"/>
        <v>Acoustic guitar production item #056</v>
      </c>
      <c r="K1412" s="1" t="str">
        <f>IF(SUM(COUNTIFS(I:I, I1412)) &gt; 1, "DUPLICATE", "UNIQUE")</f>
        <v>UNIQUE</v>
      </c>
      <c r="L1412" s="18">
        <v>0</v>
      </c>
      <c r="M1412" s="28">
        <v>43</v>
      </c>
      <c r="N1412" s="6">
        <v>361</v>
      </c>
      <c r="O1412" s="30">
        <f t="shared" si="130"/>
        <v>0</v>
      </c>
      <c r="P1412" s="30">
        <f t="shared" si="131"/>
        <v>15523</v>
      </c>
      <c r="Q1412" s="1">
        <f>COUNTIFS($P:$P, "&gt;" &amp; $P1412) + 1</f>
        <v>1317</v>
      </c>
      <c r="R1412" s="63">
        <f>(COUNTIFS($P:$P, "&gt;" &amp; $P1412) + 1) / (COUNTA($I:$I) - 1)</f>
        <v>0.26340000000000002</v>
      </c>
      <c r="S1412" s="23">
        <f>SUMIFS($P:$P, $Q:$Q, "&lt;" &amp; $Q1412)</f>
        <v>172238990</v>
      </c>
    </row>
    <row r="1413" spans="1:19" x14ac:dyDescent="0.25">
      <c r="A1413" s="1">
        <v>1408</v>
      </c>
      <c r="B1413" s="1" t="s">
        <v>2</v>
      </c>
      <c r="C1413" s="1" t="str">
        <f>IF($B1413 = "Production Item", _xlfn.XLOOKUP($A1413, 'Instrument Table'!$J:$J, 'Instrument Table'!$B:$B, $C1412), IF($B1413 = "Service Item", _xlfn.XLOOKUP($A1413, 'Instrument Table'!$I:$I, 'Instrument Table'!$B:$B, $C1412), _xlfn.XLOOKUP($A1413, 'Instrument Table'!$H:$H, 'Instrument Table'!$B:$B, $C1412)))</f>
        <v>Acoustic Guitar</v>
      </c>
      <c r="D1413" s="1" t="str">
        <f>VLOOKUP($C1413, 'Instrument Table'!$B:$C, 2, FALSE)</f>
        <v>Strings</v>
      </c>
      <c r="E1413" s="1">
        <f t="shared" si="126"/>
        <v>1</v>
      </c>
      <c r="F1413" s="1">
        <f>_xlfn.XLOOKUP($C1413, 'Instrument Table'!$B:$B, 'Instrument Table'!$A:$A, "")</f>
        <v>24</v>
      </c>
      <c r="G1413" s="1" t="str">
        <f>TEXT(IF($B1413 = "Retail Item", IF((ROW($A1413) - 4504 - _xlfn.XMATCH($C1413, $C$4506:$C$5005, 0, 1)) &lt;= VLOOKUP($C1413, 'Instrument Table'!$B:$D, 3, FALSE), ROW($A1413) - 4504 - _xlfn.XMATCH($C1413, $C$4506:$C$5005, 0, 1), 0), 0), "00")</f>
        <v>00</v>
      </c>
      <c r="H1413" s="1" t="str">
        <f t="shared" si="127"/>
        <v>057</v>
      </c>
      <c r="I1413" s="1" t="str">
        <f t="shared" si="128"/>
        <v>12400-057</v>
      </c>
      <c r="J1413" s="1" t="str">
        <f t="shared" si="129"/>
        <v>Acoustic guitar production item #057</v>
      </c>
      <c r="K1413" s="1" t="str">
        <f>IF(SUM(COUNTIFS(I:I, I1413)) &gt; 1, "DUPLICATE", "UNIQUE")</f>
        <v>UNIQUE</v>
      </c>
      <c r="L1413" s="18">
        <v>0</v>
      </c>
      <c r="M1413" s="28">
        <v>81</v>
      </c>
      <c r="N1413" s="6">
        <v>25</v>
      </c>
      <c r="O1413" s="30">
        <f t="shared" si="130"/>
        <v>0</v>
      </c>
      <c r="P1413" s="30">
        <f t="shared" si="131"/>
        <v>2025</v>
      </c>
      <c r="Q1413" s="1">
        <f>COUNTIFS($P:$P, "&gt;" &amp; $P1413) + 1</f>
        <v>3241</v>
      </c>
      <c r="R1413" s="63">
        <f>(COUNTIFS($P:$P, "&gt;" &amp; $P1413) + 1) / (COUNTA($I:$I) - 1)</f>
        <v>0.6482</v>
      </c>
      <c r="S1413" s="23">
        <f>SUMIFS($P:$P, $Q:$Q, "&lt;" &amp; $Q1413)</f>
        <v>185492863</v>
      </c>
    </row>
    <row r="1414" spans="1:19" x14ac:dyDescent="0.25">
      <c r="A1414" s="1">
        <v>1409</v>
      </c>
      <c r="B1414" s="1" t="s">
        <v>2</v>
      </c>
      <c r="C1414" s="1" t="str">
        <f>IF($B1414 = "Production Item", _xlfn.XLOOKUP($A1414, 'Instrument Table'!$J:$J, 'Instrument Table'!$B:$B, $C1413), IF($B1414 = "Service Item", _xlfn.XLOOKUP($A1414, 'Instrument Table'!$I:$I, 'Instrument Table'!$B:$B, $C1413), _xlfn.XLOOKUP($A1414, 'Instrument Table'!$H:$H, 'Instrument Table'!$B:$B, $C1413)))</f>
        <v>Acoustic Guitar</v>
      </c>
      <c r="D1414" s="1" t="str">
        <f>VLOOKUP($C1414, 'Instrument Table'!$B:$C, 2, FALSE)</f>
        <v>Strings</v>
      </c>
      <c r="E1414" s="1">
        <f t="shared" si="126"/>
        <v>1</v>
      </c>
      <c r="F1414" s="1">
        <f>_xlfn.XLOOKUP($C1414, 'Instrument Table'!$B:$B, 'Instrument Table'!$A:$A, "")</f>
        <v>24</v>
      </c>
      <c r="G1414" s="1" t="str">
        <f>TEXT(IF($B1414 = "Retail Item", IF((ROW($A1414) - 4504 - _xlfn.XMATCH($C1414, $C$4506:$C$5005, 0, 1)) &lt;= VLOOKUP($C1414, 'Instrument Table'!$B:$D, 3, FALSE), ROW($A1414) - 4504 - _xlfn.XMATCH($C1414, $C$4506:$C$5005, 0, 1), 0), 0), "00")</f>
        <v>00</v>
      </c>
      <c r="H1414" s="1" t="str">
        <f t="shared" si="127"/>
        <v>058</v>
      </c>
      <c r="I1414" s="1" t="str">
        <f t="shared" si="128"/>
        <v>12400-058</v>
      </c>
      <c r="J1414" s="1" t="str">
        <f t="shared" si="129"/>
        <v>Acoustic guitar production item #058</v>
      </c>
      <c r="K1414" s="1" t="str">
        <f>IF(SUM(COUNTIFS(I:I, I1414)) &gt; 1, "DUPLICATE", "UNIQUE")</f>
        <v>UNIQUE</v>
      </c>
      <c r="L1414" s="18">
        <v>32</v>
      </c>
      <c r="M1414" s="28">
        <v>40</v>
      </c>
      <c r="N1414" s="6">
        <v>196</v>
      </c>
      <c r="O1414" s="30">
        <f t="shared" si="130"/>
        <v>1280</v>
      </c>
      <c r="P1414" s="30">
        <f t="shared" si="131"/>
        <v>7840</v>
      </c>
      <c r="Q1414" s="1">
        <f>COUNTIFS($P:$P, "&gt;" &amp; $P1414) + 1</f>
        <v>2009</v>
      </c>
      <c r="R1414" s="63">
        <f>(COUNTIFS($P:$P, "&gt;" &amp; $P1414) + 1) / (COUNTA($I:$I) - 1)</f>
        <v>0.40179999999999999</v>
      </c>
      <c r="S1414" s="23">
        <f>SUMIFS($P:$P, $Q:$Q, "&lt;" &amp; $Q1414)</f>
        <v>180067447</v>
      </c>
    </row>
    <row r="1415" spans="1:19" x14ac:dyDescent="0.25">
      <c r="A1415" s="1">
        <v>1410</v>
      </c>
      <c r="B1415" s="1" t="s">
        <v>2</v>
      </c>
      <c r="C1415" s="1" t="str">
        <f>IF($B1415 = "Production Item", _xlfn.XLOOKUP($A1415, 'Instrument Table'!$J:$J, 'Instrument Table'!$B:$B, $C1414), IF($B1415 = "Service Item", _xlfn.XLOOKUP($A1415, 'Instrument Table'!$I:$I, 'Instrument Table'!$B:$B, $C1414), _xlfn.XLOOKUP($A1415, 'Instrument Table'!$H:$H, 'Instrument Table'!$B:$B, $C1414)))</f>
        <v>Acoustic Guitar</v>
      </c>
      <c r="D1415" s="1" t="str">
        <f>VLOOKUP($C1415, 'Instrument Table'!$B:$C, 2, FALSE)</f>
        <v>Strings</v>
      </c>
      <c r="E1415" s="1">
        <f t="shared" ref="E1415:E1478" si="132">IF($B1415 = "Production Item", 1, IF($B1415 = "Service Item", 2, IF($B1415 = "Retail Item", 3, "")))</f>
        <v>1</v>
      </c>
      <c r="F1415" s="1">
        <f>_xlfn.XLOOKUP($C1415, 'Instrument Table'!$B:$B, 'Instrument Table'!$A:$A, "")</f>
        <v>24</v>
      </c>
      <c r="G1415" s="1" t="str">
        <f>TEXT(IF($B1415 = "Retail Item", IF((ROW($A1415) - 4504 - _xlfn.XMATCH($C1415, $C$4506:$C$5005, 0, 1)) &lt;= VLOOKUP($C1415, 'Instrument Table'!$B:$D, 3, FALSE), ROW($A1415) - 4504 - _xlfn.XMATCH($C1415, $C$4506:$C$5005, 0, 1), 0), 0), "00")</f>
        <v>00</v>
      </c>
      <c r="H1415" s="1" t="str">
        <f t="shared" ref="H1415:H1478" si="133">TEXT(IF($E1415 &amp; $F1415 &amp; $G1415 = $E1414 &amp; $F1414 &amp; $G1414, 1 + H1414, 0), "000")</f>
        <v>059</v>
      </c>
      <c r="I1415" s="1" t="str">
        <f t="shared" ref="I1415:I1478" si="134" xml:space="preserve"> _xlfn.CONCAT($E1415, $F1415, $G1415, "-", H1415)</f>
        <v>12400-059</v>
      </c>
      <c r="J1415" s="1" t="str">
        <f t="shared" ref="J1415:J1478" si="135">LEFT($C1415, 1) &amp; LOWER(RIGHT($C1415, LEN($C1415) - 1)) &amp; IF(AND($G1415 &lt;&gt; "00", $B1415 = "Retail Item"), " model #" &amp; $G1415, " " &amp; LOWER($B1415) &amp; " #" &amp; $H1415)</f>
        <v>Acoustic guitar production item #059</v>
      </c>
      <c r="K1415" s="1" t="str">
        <f>IF(SUM(COUNTIFS(I:I, I1415)) &gt; 1, "DUPLICATE", "UNIQUE")</f>
        <v>UNIQUE</v>
      </c>
      <c r="L1415" s="18">
        <v>32</v>
      </c>
      <c r="M1415" s="28">
        <v>25</v>
      </c>
      <c r="N1415" s="6">
        <v>49</v>
      </c>
      <c r="O1415" s="30">
        <f t="shared" ref="O1415:O1478" si="136">$L1415 * $M1415</f>
        <v>800</v>
      </c>
      <c r="P1415" s="30">
        <f t="shared" ref="P1415:P1478" si="137">$N1415 * $M1415</f>
        <v>1225</v>
      </c>
      <c r="Q1415" s="1">
        <f>COUNTIFS($P:$P, "&gt;" &amp; $P1415) + 1</f>
        <v>3588</v>
      </c>
      <c r="R1415" s="63">
        <f>(COUNTIFS($P:$P, "&gt;" &amp; $P1415) + 1) / (COUNTA($I:$I) - 1)</f>
        <v>0.71760000000000002</v>
      </c>
      <c r="S1415" s="23">
        <f>SUMIFS($P:$P, $Q:$Q, "&lt;" &amp; $Q1415)</f>
        <v>186055108</v>
      </c>
    </row>
    <row r="1416" spans="1:19" x14ac:dyDescent="0.25">
      <c r="A1416" s="1">
        <v>1411</v>
      </c>
      <c r="B1416" s="1" t="s">
        <v>2</v>
      </c>
      <c r="C1416" s="1" t="str">
        <f>IF($B1416 = "Production Item", _xlfn.XLOOKUP($A1416, 'Instrument Table'!$J:$J, 'Instrument Table'!$B:$B, $C1415), IF($B1416 = "Service Item", _xlfn.XLOOKUP($A1416, 'Instrument Table'!$I:$I, 'Instrument Table'!$B:$B, $C1415), _xlfn.XLOOKUP($A1416, 'Instrument Table'!$H:$H, 'Instrument Table'!$B:$B, $C1415)))</f>
        <v>Acoustic Guitar</v>
      </c>
      <c r="D1416" s="1" t="str">
        <f>VLOOKUP($C1416, 'Instrument Table'!$B:$C, 2, FALSE)</f>
        <v>Strings</v>
      </c>
      <c r="E1416" s="1">
        <f t="shared" si="132"/>
        <v>1</v>
      </c>
      <c r="F1416" s="1">
        <f>_xlfn.XLOOKUP($C1416, 'Instrument Table'!$B:$B, 'Instrument Table'!$A:$A, "")</f>
        <v>24</v>
      </c>
      <c r="G1416" s="1" t="str">
        <f>TEXT(IF($B1416 = "Retail Item", IF((ROW($A1416) - 4504 - _xlfn.XMATCH($C1416, $C$4506:$C$5005, 0, 1)) &lt;= VLOOKUP($C1416, 'Instrument Table'!$B:$D, 3, FALSE), ROW($A1416) - 4504 - _xlfn.XMATCH($C1416, $C$4506:$C$5005, 0, 1), 0), 0), "00")</f>
        <v>00</v>
      </c>
      <c r="H1416" s="1" t="str">
        <f t="shared" si="133"/>
        <v>060</v>
      </c>
      <c r="I1416" s="1" t="str">
        <f t="shared" si="134"/>
        <v>12400-060</v>
      </c>
      <c r="J1416" s="1" t="str">
        <f t="shared" si="135"/>
        <v>Acoustic guitar production item #060</v>
      </c>
      <c r="K1416" s="1" t="str">
        <f>IF(SUM(COUNTIFS(I:I, I1416)) &gt; 1, "DUPLICATE", "UNIQUE")</f>
        <v>UNIQUE</v>
      </c>
      <c r="L1416" s="18">
        <v>1</v>
      </c>
      <c r="M1416" s="28">
        <v>52</v>
      </c>
      <c r="N1416" s="6">
        <v>25</v>
      </c>
      <c r="O1416" s="30">
        <f t="shared" si="136"/>
        <v>52</v>
      </c>
      <c r="P1416" s="30">
        <f t="shared" si="137"/>
        <v>1300</v>
      </c>
      <c r="Q1416" s="1">
        <f>COUNTIFS($P:$P, "&gt;" &amp; $P1416) + 1</f>
        <v>3560</v>
      </c>
      <c r="R1416" s="63">
        <f>(COUNTIFS($P:$P, "&gt;" &amp; $P1416) + 1) / (COUNTA($I:$I) - 1)</f>
        <v>0.71199999999999997</v>
      </c>
      <c r="S1416" s="23">
        <f>SUMIFS($P:$P, $Q:$Q, "&lt;" &amp; $Q1416)</f>
        <v>186019328</v>
      </c>
    </row>
    <row r="1417" spans="1:19" x14ac:dyDescent="0.25">
      <c r="A1417" s="1">
        <v>1412</v>
      </c>
      <c r="B1417" s="1" t="s">
        <v>2</v>
      </c>
      <c r="C1417" s="1" t="str">
        <f>IF($B1417 = "Production Item", _xlfn.XLOOKUP($A1417, 'Instrument Table'!$J:$J, 'Instrument Table'!$B:$B, $C1416), IF($B1417 = "Service Item", _xlfn.XLOOKUP($A1417, 'Instrument Table'!$I:$I, 'Instrument Table'!$B:$B, $C1416), _xlfn.XLOOKUP($A1417, 'Instrument Table'!$H:$H, 'Instrument Table'!$B:$B, $C1416)))</f>
        <v>Acoustic Guitar</v>
      </c>
      <c r="D1417" s="1" t="str">
        <f>VLOOKUP($C1417, 'Instrument Table'!$B:$C, 2, FALSE)</f>
        <v>Strings</v>
      </c>
      <c r="E1417" s="1">
        <f t="shared" si="132"/>
        <v>1</v>
      </c>
      <c r="F1417" s="1">
        <f>_xlfn.XLOOKUP($C1417, 'Instrument Table'!$B:$B, 'Instrument Table'!$A:$A, "")</f>
        <v>24</v>
      </c>
      <c r="G1417" s="1" t="str">
        <f>TEXT(IF($B1417 = "Retail Item", IF((ROW($A1417) - 4504 - _xlfn.XMATCH($C1417, $C$4506:$C$5005, 0, 1)) &lt;= VLOOKUP($C1417, 'Instrument Table'!$B:$D, 3, FALSE), ROW($A1417) - 4504 - _xlfn.XMATCH($C1417, $C$4506:$C$5005, 0, 1), 0), 0), "00")</f>
        <v>00</v>
      </c>
      <c r="H1417" s="1" t="str">
        <f t="shared" si="133"/>
        <v>061</v>
      </c>
      <c r="I1417" s="1" t="str">
        <f t="shared" si="134"/>
        <v>12400-061</v>
      </c>
      <c r="J1417" s="1" t="str">
        <f t="shared" si="135"/>
        <v>Acoustic guitar production item #061</v>
      </c>
      <c r="K1417" s="1" t="str">
        <f>IF(SUM(COUNTIFS(I:I, I1417)) &gt; 1, "DUPLICATE", "UNIQUE")</f>
        <v>UNIQUE</v>
      </c>
      <c r="L1417" s="18">
        <v>4</v>
      </c>
      <c r="M1417" s="28">
        <v>35</v>
      </c>
      <c r="N1417" s="6">
        <v>16</v>
      </c>
      <c r="O1417" s="30">
        <f t="shared" si="136"/>
        <v>140</v>
      </c>
      <c r="P1417" s="30">
        <f t="shared" si="137"/>
        <v>560</v>
      </c>
      <c r="Q1417" s="1">
        <f>COUNTIFS($P:$P, "&gt;" &amp; $P1417) + 1</f>
        <v>3974</v>
      </c>
      <c r="R1417" s="63">
        <f>(COUNTIFS($P:$P, "&gt;" &amp; $P1417) + 1) / (COUNTA($I:$I) - 1)</f>
        <v>0.79479999999999995</v>
      </c>
      <c r="S1417" s="23">
        <f>SUMIFS($P:$P, $Q:$Q, "&lt;" &amp; $Q1417)</f>
        <v>186384141</v>
      </c>
    </row>
    <row r="1418" spans="1:19" x14ac:dyDescent="0.25">
      <c r="A1418" s="1">
        <v>1413</v>
      </c>
      <c r="B1418" s="1" t="s">
        <v>2</v>
      </c>
      <c r="C1418" s="1" t="str">
        <f>IF($B1418 = "Production Item", _xlfn.XLOOKUP($A1418, 'Instrument Table'!$J:$J, 'Instrument Table'!$B:$B, $C1417), IF($B1418 = "Service Item", _xlfn.XLOOKUP($A1418, 'Instrument Table'!$I:$I, 'Instrument Table'!$B:$B, $C1417), _xlfn.XLOOKUP($A1418, 'Instrument Table'!$H:$H, 'Instrument Table'!$B:$B, $C1417)))</f>
        <v>Acoustic Guitar</v>
      </c>
      <c r="D1418" s="1" t="str">
        <f>VLOOKUP($C1418, 'Instrument Table'!$B:$C, 2, FALSE)</f>
        <v>Strings</v>
      </c>
      <c r="E1418" s="1">
        <f t="shared" si="132"/>
        <v>1</v>
      </c>
      <c r="F1418" s="1">
        <f>_xlfn.XLOOKUP($C1418, 'Instrument Table'!$B:$B, 'Instrument Table'!$A:$A, "")</f>
        <v>24</v>
      </c>
      <c r="G1418" s="1" t="str">
        <f>TEXT(IF($B1418 = "Retail Item", IF((ROW($A1418) - 4504 - _xlfn.XMATCH($C1418, $C$4506:$C$5005, 0, 1)) &lt;= VLOOKUP($C1418, 'Instrument Table'!$B:$D, 3, FALSE), ROW($A1418) - 4504 - _xlfn.XMATCH($C1418, $C$4506:$C$5005, 0, 1), 0), 0), "00")</f>
        <v>00</v>
      </c>
      <c r="H1418" s="1" t="str">
        <f t="shared" si="133"/>
        <v>062</v>
      </c>
      <c r="I1418" s="1" t="str">
        <f t="shared" si="134"/>
        <v>12400-062</v>
      </c>
      <c r="J1418" s="1" t="str">
        <f t="shared" si="135"/>
        <v>Acoustic guitar production item #062</v>
      </c>
      <c r="K1418" s="1" t="str">
        <f>IF(SUM(COUNTIFS(I:I, I1418)) &gt; 1, "DUPLICATE", "UNIQUE")</f>
        <v>UNIQUE</v>
      </c>
      <c r="L1418" s="18">
        <v>1</v>
      </c>
      <c r="M1418" s="28">
        <v>3</v>
      </c>
      <c r="N1418" s="6">
        <v>64</v>
      </c>
      <c r="O1418" s="30">
        <f t="shared" si="136"/>
        <v>3</v>
      </c>
      <c r="P1418" s="30">
        <f t="shared" si="137"/>
        <v>192</v>
      </c>
      <c r="Q1418" s="1">
        <f>COUNTIFS($P:$P, "&gt;" &amp; $P1418) + 1</f>
        <v>4340</v>
      </c>
      <c r="R1418" s="63">
        <f>(COUNTIFS($P:$P, "&gt;" &amp; $P1418) + 1) / (COUNTA($I:$I) - 1)</f>
        <v>0.86799999999999999</v>
      </c>
      <c r="S1418" s="23">
        <f>SUMIFS($P:$P, $Q:$Q, "&lt;" &amp; $Q1418)</f>
        <v>186515669</v>
      </c>
    </row>
    <row r="1419" spans="1:19" x14ac:dyDescent="0.25">
      <c r="A1419" s="1">
        <v>1414</v>
      </c>
      <c r="B1419" s="1" t="s">
        <v>2</v>
      </c>
      <c r="C1419" s="1" t="str">
        <f>IF($B1419 = "Production Item", _xlfn.XLOOKUP($A1419, 'Instrument Table'!$J:$J, 'Instrument Table'!$B:$B, $C1418), IF($B1419 = "Service Item", _xlfn.XLOOKUP($A1419, 'Instrument Table'!$I:$I, 'Instrument Table'!$B:$B, $C1418), _xlfn.XLOOKUP($A1419, 'Instrument Table'!$H:$H, 'Instrument Table'!$B:$B, $C1418)))</f>
        <v>Acoustic Guitar</v>
      </c>
      <c r="D1419" s="1" t="str">
        <f>VLOOKUP($C1419, 'Instrument Table'!$B:$C, 2, FALSE)</f>
        <v>Strings</v>
      </c>
      <c r="E1419" s="1">
        <f t="shared" si="132"/>
        <v>1</v>
      </c>
      <c r="F1419" s="1">
        <f>_xlfn.XLOOKUP($C1419, 'Instrument Table'!$B:$B, 'Instrument Table'!$A:$A, "")</f>
        <v>24</v>
      </c>
      <c r="G1419" s="1" t="str">
        <f>TEXT(IF($B1419 = "Retail Item", IF((ROW($A1419) - 4504 - _xlfn.XMATCH($C1419, $C$4506:$C$5005, 0, 1)) &lt;= VLOOKUP($C1419, 'Instrument Table'!$B:$D, 3, FALSE), ROW($A1419) - 4504 - _xlfn.XMATCH($C1419, $C$4506:$C$5005, 0, 1), 0), 0), "00")</f>
        <v>00</v>
      </c>
      <c r="H1419" s="1" t="str">
        <f t="shared" si="133"/>
        <v>063</v>
      </c>
      <c r="I1419" s="1" t="str">
        <f t="shared" si="134"/>
        <v>12400-063</v>
      </c>
      <c r="J1419" s="1" t="str">
        <f t="shared" si="135"/>
        <v>Acoustic guitar production item #063</v>
      </c>
      <c r="K1419" s="1" t="str">
        <f>IF(SUM(COUNTIFS(I:I, I1419)) &gt; 1, "DUPLICATE", "UNIQUE")</f>
        <v>UNIQUE</v>
      </c>
      <c r="L1419" s="18">
        <v>1</v>
      </c>
      <c r="M1419" s="28">
        <v>65</v>
      </c>
      <c r="N1419" s="6">
        <v>4</v>
      </c>
      <c r="O1419" s="30">
        <f t="shared" si="136"/>
        <v>65</v>
      </c>
      <c r="P1419" s="30">
        <f t="shared" si="137"/>
        <v>260</v>
      </c>
      <c r="Q1419" s="1">
        <f>COUNTIFS($P:$P, "&gt;" &amp; $P1419) + 1</f>
        <v>4256</v>
      </c>
      <c r="R1419" s="63">
        <f>(COUNTIFS($P:$P, "&gt;" &amp; $P1419) + 1) / (COUNTA($I:$I) - 1)</f>
        <v>0.85119999999999996</v>
      </c>
      <c r="S1419" s="23">
        <f>SUMIFS($P:$P, $Q:$Q, "&lt;" &amp; $Q1419)</f>
        <v>186496671</v>
      </c>
    </row>
    <row r="1420" spans="1:19" x14ac:dyDescent="0.25">
      <c r="A1420" s="1">
        <v>1415</v>
      </c>
      <c r="B1420" s="1" t="s">
        <v>2</v>
      </c>
      <c r="C1420" s="1" t="str">
        <f>IF($B1420 = "Production Item", _xlfn.XLOOKUP($A1420, 'Instrument Table'!$J:$J, 'Instrument Table'!$B:$B, $C1419), IF($B1420 = "Service Item", _xlfn.XLOOKUP($A1420, 'Instrument Table'!$I:$I, 'Instrument Table'!$B:$B, $C1419), _xlfn.XLOOKUP($A1420, 'Instrument Table'!$H:$H, 'Instrument Table'!$B:$B, $C1419)))</f>
        <v>Acoustic Guitar</v>
      </c>
      <c r="D1420" s="1" t="str">
        <f>VLOOKUP($C1420, 'Instrument Table'!$B:$C, 2, FALSE)</f>
        <v>Strings</v>
      </c>
      <c r="E1420" s="1">
        <f t="shared" si="132"/>
        <v>1</v>
      </c>
      <c r="F1420" s="1">
        <f>_xlfn.XLOOKUP($C1420, 'Instrument Table'!$B:$B, 'Instrument Table'!$A:$A, "")</f>
        <v>24</v>
      </c>
      <c r="G1420" s="1" t="str">
        <f>TEXT(IF($B1420 = "Retail Item", IF((ROW($A1420) - 4504 - _xlfn.XMATCH($C1420, $C$4506:$C$5005, 0, 1)) &lt;= VLOOKUP($C1420, 'Instrument Table'!$B:$D, 3, FALSE), ROW($A1420) - 4504 - _xlfn.XMATCH($C1420, $C$4506:$C$5005, 0, 1), 0), 0), "00")</f>
        <v>00</v>
      </c>
      <c r="H1420" s="1" t="str">
        <f t="shared" si="133"/>
        <v>064</v>
      </c>
      <c r="I1420" s="1" t="str">
        <f t="shared" si="134"/>
        <v>12400-064</v>
      </c>
      <c r="J1420" s="1" t="str">
        <f t="shared" si="135"/>
        <v>Acoustic guitar production item #064</v>
      </c>
      <c r="K1420" s="1" t="str">
        <f>IF(SUM(COUNTIFS(I:I, I1420)) &gt; 1, "DUPLICATE", "UNIQUE")</f>
        <v>UNIQUE</v>
      </c>
      <c r="L1420" s="18">
        <v>1</v>
      </c>
      <c r="M1420" s="28">
        <v>9</v>
      </c>
      <c r="N1420" s="6">
        <v>0</v>
      </c>
      <c r="O1420" s="30">
        <f t="shared" si="136"/>
        <v>9</v>
      </c>
      <c r="P1420" s="30">
        <f t="shared" si="137"/>
        <v>0</v>
      </c>
      <c r="Q1420" s="1">
        <f>COUNTIFS($P:$P, "&gt;" &amp; $P1420) + 1</f>
        <v>4746</v>
      </c>
      <c r="R1420" s="63">
        <f>(COUNTIFS($P:$P, "&gt;" &amp; $P1420) + 1) / (COUNTA($I:$I) - 1)</f>
        <v>0.94920000000000004</v>
      </c>
      <c r="S1420" s="23">
        <f>SUMIFS($P:$P, $Q:$Q, "&lt;" &amp; $Q1420)</f>
        <v>186547861</v>
      </c>
    </row>
    <row r="1421" spans="1:19" x14ac:dyDescent="0.25">
      <c r="A1421" s="1">
        <v>1416</v>
      </c>
      <c r="B1421" s="1" t="s">
        <v>2</v>
      </c>
      <c r="C1421" s="1" t="str">
        <f>IF($B1421 = "Production Item", _xlfn.XLOOKUP($A1421, 'Instrument Table'!$J:$J, 'Instrument Table'!$B:$B, $C1420), IF($B1421 = "Service Item", _xlfn.XLOOKUP($A1421, 'Instrument Table'!$I:$I, 'Instrument Table'!$B:$B, $C1420), _xlfn.XLOOKUP($A1421, 'Instrument Table'!$H:$H, 'Instrument Table'!$B:$B, $C1420)))</f>
        <v>Acoustic Guitar</v>
      </c>
      <c r="D1421" s="1" t="str">
        <f>VLOOKUP($C1421, 'Instrument Table'!$B:$C, 2, FALSE)</f>
        <v>Strings</v>
      </c>
      <c r="E1421" s="1">
        <f t="shared" si="132"/>
        <v>1</v>
      </c>
      <c r="F1421" s="1">
        <f>_xlfn.XLOOKUP($C1421, 'Instrument Table'!$B:$B, 'Instrument Table'!$A:$A, "")</f>
        <v>24</v>
      </c>
      <c r="G1421" s="1" t="str">
        <f>TEXT(IF($B1421 = "Retail Item", IF((ROW($A1421) - 4504 - _xlfn.XMATCH($C1421, $C$4506:$C$5005, 0, 1)) &lt;= VLOOKUP($C1421, 'Instrument Table'!$B:$D, 3, FALSE), ROW($A1421) - 4504 - _xlfn.XMATCH($C1421, $C$4506:$C$5005, 0, 1), 0), 0), "00")</f>
        <v>00</v>
      </c>
      <c r="H1421" s="1" t="str">
        <f t="shared" si="133"/>
        <v>065</v>
      </c>
      <c r="I1421" s="1" t="str">
        <f t="shared" si="134"/>
        <v>12400-065</v>
      </c>
      <c r="J1421" s="1" t="str">
        <f t="shared" si="135"/>
        <v>Acoustic guitar production item #065</v>
      </c>
      <c r="K1421" s="1" t="str">
        <f>IF(SUM(COUNTIFS(I:I, I1421)) &gt; 1, "DUPLICATE", "UNIQUE")</f>
        <v>UNIQUE</v>
      </c>
      <c r="L1421" s="18">
        <v>0</v>
      </c>
      <c r="M1421" s="28">
        <v>66</v>
      </c>
      <c r="N1421" s="6">
        <v>9</v>
      </c>
      <c r="O1421" s="30">
        <f t="shared" si="136"/>
        <v>0</v>
      </c>
      <c r="P1421" s="30">
        <f t="shared" si="137"/>
        <v>594</v>
      </c>
      <c r="Q1421" s="1">
        <f>COUNTIFS($P:$P, "&gt;" &amp; $P1421) + 1</f>
        <v>3943</v>
      </c>
      <c r="R1421" s="63">
        <f>(COUNTIFS($P:$P, "&gt;" &amp; $P1421) + 1) / (COUNTA($I:$I) - 1)</f>
        <v>0.78859999999999997</v>
      </c>
      <c r="S1421" s="23">
        <f>SUMIFS($P:$P, $Q:$Q, "&lt;" &amp; $Q1421)</f>
        <v>186366101</v>
      </c>
    </row>
    <row r="1422" spans="1:19" x14ac:dyDescent="0.25">
      <c r="A1422" s="1">
        <v>1417</v>
      </c>
      <c r="B1422" s="1" t="s">
        <v>2</v>
      </c>
      <c r="C1422" s="1" t="str">
        <f>IF($B1422 = "Production Item", _xlfn.XLOOKUP($A1422, 'Instrument Table'!$J:$J, 'Instrument Table'!$B:$B, $C1421), IF($B1422 = "Service Item", _xlfn.XLOOKUP($A1422, 'Instrument Table'!$I:$I, 'Instrument Table'!$B:$B, $C1421), _xlfn.XLOOKUP($A1422, 'Instrument Table'!$H:$H, 'Instrument Table'!$B:$B, $C1421)))</f>
        <v>Acoustic Guitar</v>
      </c>
      <c r="D1422" s="1" t="str">
        <f>VLOOKUP($C1422, 'Instrument Table'!$B:$C, 2, FALSE)</f>
        <v>Strings</v>
      </c>
      <c r="E1422" s="1">
        <f t="shared" si="132"/>
        <v>1</v>
      </c>
      <c r="F1422" s="1">
        <f>_xlfn.XLOOKUP($C1422, 'Instrument Table'!$B:$B, 'Instrument Table'!$A:$A, "")</f>
        <v>24</v>
      </c>
      <c r="G1422" s="1" t="str">
        <f>TEXT(IF($B1422 = "Retail Item", IF((ROW($A1422) - 4504 - _xlfn.XMATCH($C1422, $C$4506:$C$5005, 0, 1)) &lt;= VLOOKUP($C1422, 'Instrument Table'!$B:$D, 3, FALSE), ROW($A1422) - 4504 - _xlfn.XMATCH($C1422, $C$4506:$C$5005, 0, 1), 0), 0), "00")</f>
        <v>00</v>
      </c>
      <c r="H1422" s="1" t="str">
        <f t="shared" si="133"/>
        <v>066</v>
      </c>
      <c r="I1422" s="1" t="str">
        <f t="shared" si="134"/>
        <v>12400-066</v>
      </c>
      <c r="J1422" s="1" t="str">
        <f t="shared" si="135"/>
        <v>Acoustic guitar production item #066</v>
      </c>
      <c r="K1422" s="1" t="str">
        <f>IF(SUM(COUNTIFS(I:I, I1422)) &gt; 1, "DUPLICATE", "UNIQUE")</f>
        <v>UNIQUE</v>
      </c>
      <c r="L1422" s="18">
        <v>0</v>
      </c>
      <c r="M1422" s="28">
        <v>7</v>
      </c>
      <c r="N1422" s="6">
        <v>4</v>
      </c>
      <c r="O1422" s="30">
        <f t="shared" si="136"/>
        <v>0</v>
      </c>
      <c r="P1422" s="30">
        <f t="shared" si="137"/>
        <v>28</v>
      </c>
      <c r="Q1422" s="1">
        <f>COUNTIFS($P:$P, "&gt;" &amp; $P1422) + 1</f>
        <v>4673</v>
      </c>
      <c r="R1422" s="63">
        <f>(COUNTIFS($P:$P, "&gt;" &amp; $P1422) + 1) / (COUNTA($I:$I) - 1)</f>
        <v>0.93459999999999999</v>
      </c>
      <c r="S1422" s="23">
        <f>SUMIFS($P:$P, $Q:$Q, "&lt;" &amp; $Q1422)</f>
        <v>186546776</v>
      </c>
    </row>
    <row r="1423" spans="1:19" x14ac:dyDescent="0.25">
      <c r="A1423" s="1">
        <v>1418</v>
      </c>
      <c r="B1423" s="1" t="s">
        <v>2</v>
      </c>
      <c r="C1423" s="1" t="str">
        <f>IF($B1423 = "Production Item", _xlfn.XLOOKUP($A1423, 'Instrument Table'!$J:$J, 'Instrument Table'!$B:$B, $C1422), IF($B1423 = "Service Item", _xlfn.XLOOKUP($A1423, 'Instrument Table'!$I:$I, 'Instrument Table'!$B:$B, $C1422), _xlfn.XLOOKUP($A1423, 'Instrument Table'!$H:$H, 'Instrument Table'!$B:$B, $C1422)))</f>
        <v>Acoustic Guitar</v>
      </c>
      <c r="D1423" s="1" t="str">
        <f>VLOOKUP($C1423, 'Instrument Table'!$B:$C, 2, FALSE)</f>
        <v>Strings</v>
      </c>
      <c r="E1423" s="1">
        <f t="shared" si="132"/>
        <v>1</v>
      </c>
      <c r="F1423" s="1">
        <f>_xlfn.XLOOKUP($C1423, 'Instrument Table'!$B:$B, 'Instrument Table'!$A:$A, "")</f>
        <v>24</v>
      </c>
      <c r="G1423" s="1" t="str">
        <f>TEXT(IF($B1423 = "Retail Item", IF((ROW($A1423) - 4504 - _xlfn.XMATCH($C1423, $C$4506:$C$5005, 0, 1)) &lt;= VLOOKUP($C1423, 'Instrument Table'!$B:$D, 3, FALSE), ROW($A1423) - 4504 - _xlfn.XMATCH($C1423, $C$4506:$C$5005, 0, 1), 0), 0), "00")</f>
        <v>00</v>
      </c>
      <c r="H1423" s="1" t="str">
        <f t="shared" si="133"/>
        <v>067</v>
      </c>
      <c r="I1423" s="1" t="str">
        <f t="shared" si="134"/>
        <v>12400-067</v>
      </c>
      <c r="J1423" s="1" t="str">
        <f t="shared" si="135"/>
        <v>Acoustic guitar production item #067</v>
      </c>
      <c r="K1423" s="1" t="str">
        <f>IF(SUM(COUNTIFS(I:I, I1423)) &gt; 1, "DUPLICATE", "UNIQUE")</f>
        <v>UNIQUE</v>
      </c>
      <c r="L1423" s="18">
        <v>4</v>
      </c>
      <c r="M1423" s="28">
        <v>10</v>
      </c>
      <c r="N1423" s="6">
        <v>100</v>
      </c>
      <c r="O1423" s="30">
        <f t="shared" si="136"/>
        <v>40</v>
      </c>
      <c r="P1423" s="30">
        <f t="shared" si="137"/>
        <v>1000</v>
      </c>
      <c r="Q1423" s="1">
        <f>COUNTIFS($P:$P, "&gt;" &amp; $P1423) + 1</f>
        <v>3679</v>
      </c>
      <c r="R1423" s="63">
        <f>(COUNTIFS($P:$P, "&gt;" &amp; $P1423) + 1) / (COUNTA($I:$I) - 1)</f>
        <v>0.73580000000000001</v>
      </c>
      <c r="S1423" s="23">
        <f>SUMIFS($P:$P, $Q:$Q, "&lt;" &amp; $Q1423)</f>
        <v>186158143</v>
      </c>
    </row>
    <row r="1424" spans="1:19" x14ac:dyDescent="0.25">
      <c r="A1424" s="1">
        <v>1419</v>
      </c>
      <c r="B1424" s="1" t="s">
        <v>2</v>
      </c>
      <c r="C1424" s="1" t="str">
        <f>IF($B1424 = "Production Item", _xlfn.XLOOKUP($A1424, 'Instrument Table'!$J:$J, 'Instrument Table'!$B:$B, $C1423), IF($B1424 = "Service Item", _xlfn.XLOOKUP($A1424, 'Instrument Table'!$I:$I, 'Instrument Table'!$B:$B, $C1423), _xlfn.XLOOKUP($A1424, 'Instrument Table'!$H:$H, 'Instrument Table'!$B:$B, $C1423)))</f>
        <v>Acoustic Guitar</v>
      </c>
      <c r="D1424" s="1" t="str">
        <f>VLOOKUP($C1424, 'Instrument Table'!$B:$C, 2, FALSE)</f>
        <v>Strings</v>
      </c>
      <c r="E1424" s="1">
        <f t="shared" si="132"/>
        <v>1</v>
      </c>
      <c r="F1424" s="1">
        <f>_xlfn.XLOOKUP($C1424, 'Instrument Table'!$B:$B, 'Instrument Table'!$A:$A, "")</f>
        <v>24</v>
      </c>
      <c r="G1424" s="1" t="str">
        <f>TEXT(IF($B1424 = "Retail Item", IF((ROW($A1424) - 4504 - _xlfn.XMATCH($C1424, $C$4506:$C$5005, 0, 1)) &lt;= VLOOKUP($C1424, 'Instrument Table'!$B:$D, 3, FALSE), ROW($A1424) - 4504 - _xlfn.XMATCH($C1424, $C$4506:$C$5005, 0, 1), 0), 0), "00")</f>
        <v>00</v>
      </c>
      <c r="H1424" s="1" t="str">
        <f t="shared" si="133"/>
        <v>068</v>
      </c>
      <c r="I1424" s="1" t="str">
        <f t="shared" si="134"/>
        <v>12400-068</v>
      </c>
      <c r="J1424" s="1" t="str">
        <f t="shared" si="135"/>
        <v>Acoustic guitar production item #068</v>
      </c>
      <c r="K1424" s="1" t="str">
        <f>IF(SUM(COUNTIFS(I:I, I1424)) &gt; 1, "DUPLICATE", "UNIQUE")</f>
        <v>UNIQUE</v>
      </c>
      <c r="L1424" s="18">
        <v>16</v>
      </c>
      <c r="M1424" s="28">
        <v>56</v>
      </c>
      <c r="N1424" s="6">
        <v>289</v>
      </c>
      <c r="O1424" s="30">
        <f t="shared" si="136"/>
        <v>896</v>
      </c>
      <c r="P1424" s="30">
        <f t="shared" si="137"/>
        <v>16184</v>
      </c>
      <c r="Q1424" s="1">
        <f>COUNTIFS($P:$P, "&gt;" &amp; $P1424) + 1</f>
        <v>1268</v>
      </c>
      <c r="R1424" s="63">
        <f>(COUNTIFS($P:$P, "&gt;" &amp; $P1424) + 1) / (COUNTA($I:$I) - 1)</f>
        <v>0.25359999999999999</v>
      </c>
      <c r="S1424" s="23">
        <f>SUMIFS($P:$P, $Q:$Q, "&lt;" &amp; $Q1424)</f>
        <v>171462914</v>
      </c>
    </row>
    <row r="1425" spans="1:19" x14ac:dyDescent="0.25">
      <c r="A1425" s="1">
        <v>1420</v>
      </c>
      <c r="B1425" s="1" t="s">
        <v>2</v>
      </c>
      <c r="C1425" s="1" t="str">
        <f>IF($B1425 = "Production Item", _xlfn.XLOOKUP($A1425, 'Instrument Table'!$J:$J, 'Instrument Table'!$B:$B, $C1424), IF($B1425 = "Service Item", _xlfn.XLOOKUP($A1425, 'Instrument Table'!$I:$I, 'Instrument Table'!$B:$B, $C1424), _xlfn.XLOOKUP($A1425, 'Instrument Table'!$H:$H, 'Instrument Table'!$B:$B, $C1424)))</f>
        <v>Acoustic Guitar</v>
      </c>
      <c r="D1425" s="1" t="str">
        <f>VLOOKUP($C1425, 'Instrument Table'!$B:$C, 2, FALSE)</f>
        <v>Strings</v>
      </c>
      <c r="E1425" s="1">
        <f t="shared" si="132"/>
        <v>1</v>
      </c>
      <c r="F1425" s="1">
        <f>_xlfn.XLOOKUP($C1425, 'Instrument Table'!$B:$B, 'Instrument Table'!$A:$A, "")</f>
        <v>24</v>
      </c>
      <c r="G1425" s="1" t="str">
        <f>TEXT(IF($B1425 = "Retail Item", IF((ROW($A1425) - 4504 - _xlfn.XMATCH($C1425, $C$4506:$C$5005, 0, 1)) &lt;= VLOOKUP($C1425, 'Instrument Table'!$B:$D, 3, FALSE), ROW($A1425) - 4504 - _xlfn.XMATCH($C1425, $C$4506:$C$5005, 0, 1), 0), 0), "00")</f>
        <v>00</v>
      </c>
      <c r="H1425" s="1" t="str">
        <f t="shared" si="133"/>
        <v>069</v>
      </c>
      <c r="I1425" s="1" t="str">
        <f t="shared" si="134"/>
        <v>12400-069</v>
      </c>
      <c r="J1425" s="1" t="str">
        <f t="shared" si="135"/>
        <v>Acoustic guitar production item #069</v>
      </c>
      <c r="K1425" s="1" t="str">
        <f>IF(SUM(COUNTIFS(I:I, I1425)) &gt; 1, "DUPLICATE", "UNIQUE")</f>
        <v>UNIQUE</v>
      </c>
      <c r="L1425" s="18">
        <v>0</v>
      </c>
      <c r="M1425" s="28">
        <v>68</v>
      </c>
      <c r="N1425" s="6">
        <v>400</v>
      </c>
      <c r="O1425" s="30">
        <f t="shared" si="136"/>
        <v>0</v>
      </c>
      <c r="P1425" s="30">
        <f t="shared" si="137"/>
        <v>27200</v>
      </c>
      <c r="Q1425" s="1">
        <f>COUNTIFS($P:$P, "&gt;" &amp; $P1425) + 1</f>
        <v>744</v>
      </c>
      <c r="R1425" s="63">
        <f>(COUNTIFS($P:$P, "&gt;" &amp; $P1425) + 1) / (COUNTA($I:$I) - 1)</f>
        <v>0.14879999999999999</v>
      </c>
      <c r="S1425" s="23">
        <f>SUMIFS($P:$P, $Q:$Q, "&lt;" &amp; $Q1425)</f>
        <v>160342430</v>
      </c>
    </row>
    <row r="1426" spans="1:19" x14ac:dyDescent="0.25">
      <c r="A1426" s="1">
        <v>1421</v>
      </c>
      <c r="B1426" s="1" t="s">
        <v>2</v>
      </c>
      <c r="C1426" s="1" t="str">
        <f>IF($B1426 = "Production Item", _xlfn.XLOOKUP($A1426, 'Instrument Table'!$J:$J, 'Instrument Table'!$B:$B, $C1425), IF($B1426 = "Service Item", _xlfn.XLOOKUP($A1426, 'Instrument Table'!$I:$I, 'Instrument Table'!$B:$B, $C1425), _xlfn.XLOOKUP($A1426, 'Instrument Table'!$H:$H, 'Instrument Table'!$B:$B, $C1425)))</f>
        <v>Acoustic Guitar</v>
      </c>
      <c r="D1426" s="1" t="str">
        <f>VLOOKUP($C1426, 'Instrument Table'!$B:$C, 2, FALSE)</f>
        <v>Strings</v>
      </c>
      <c r="E1426" s="1">
        <f t="shared" si="132"/>
        <v>1</v>
      </c>
      <c r="F1426" s="1">
        <f>_xlfn.XLOOKUP($C1426, 'Instrument Table'!$B:$B, 'Instrument Table'!$A:$A, "")</f>
        <v>24</v>
      </c>
      <c r="G1426" s="1" t="str">
        <f>TEXT(IF($B1426 = "Retail Item", IF((ROW($A1426) - 4504 - _xlfn.XMATCH($C1426, $C$4506:$C$5005, 0, 1)) &lt;= VLOOKUP($C1426, 'Instrument Table'!$B:$D, 3, FALSE), ROW($A1426) - 4504 - _xlfn.XMATCH($C1426, $C$4506:$C$5005, 0, 1), 0), 0), "00")</f>
        <v>00</v>
      </c>
      <c r="H1426" s="1" t="str">
        <f t="shared" si="133"/>
        <v>070</v>
      </c>
      <c r="I1426" s="1" t="str">
        <f t="shared" si="134"/>
        <v>12400-070</v>
      </c>
      <c r="J1426" s="1" t="str">
        <f t="shared" si="135"/>
        <v>Acoustic guitar production item #070</v>
      </c>
      <c r="K1426" s="1" t="str">
        <f>IF(SUM(COUNTIFS(I:I, I1426)) &gt; 1, "DUPLICATE", "UNIQUE")</f>
        <v>UNIQUE</v>
      </c>
      <c r="L1426" s="18">
        <v>8</v>
      </c>
      <c r="M1426" s="28">
        <v>86</v>
      </c>
      <c r="N1426" s="6">
        <v>36</v>
      </c>
      <c r="O1426" s="30">
        <f t="shared" si="136"/>
        <v>688</v>
      </c>
      <c r="P1426" s="30">
        <f t="shared" si="137"/>
        <v>3096</v>
      </c>
      <c r="Q1426" s="1">
        <f>COUNTIFS($P:$P, "&gt;" &amp; $P1426) + 1</f>
        <v>2879</v>
      </c>
      <c r="R1426" s="63">
        <f>(COUNTIFS($P:$P, "&gt;" &amp; $P1426) + 1) / (COUNTA($I:$I) - 1)</f>
        <v>0.57579999999999998</v>
      </c>
      <c r="S1426" s="23">
        <f>SUMIFS($P:$P, $Q:$Q, "&lt;" &amp; $Q1426)</f>
        <v>184583902</v>
      </c>
    </row>
    <row r="1427" spans="1:19" x14ac:dyDescent="0.25">
      <c r="A1427" s="1">
        <v>1422</v>
      </c>
      <c r="B1427" s="1" t="s">
        <v>2</v>
      </c>
      <c r="C1427" s="1" t="str">
        <f>IF($B1427 = "Production Item", _xlfn.XLOOKUP($A1427, 'Instrument Table'!$J:$J, 'Instrument Table'!$B:$B, $C1426), IF($B1427 = "Service Item", _xlfn.XLOOKUP($A1427, 'Instrument Table'!$I:$I, 'Instrument Table'!$B:$B, $C1426), _xlfn.XLOOKUP($A1427, 'Instrument Table'!$H:$H, 'Instrument Table'!$B:$B, $C1426)))</f>
        <v>Acoustic Guitar</v>
      </c>
      <c r="D1427" s="1" t="str">
        <f>VLOOKUP($C1427, 'Instrument Table'!$B:$C, 2, FALSE)</f>
        <v>Strings</v>
      </c>
      <c r="E1427" s="1">
        <f t="shared" si="132"/>
        <v>1</v>
      </c>
      <c r="F1427" s="1">
        <f>_xlfn.XLOOKUP($C1427, 'Instrument Table'!$B:$B, 'Instrument Table'!$A:$A, "")</f>
        <v>24</v>
      </c>
      <c r="G1427" s="1" t="str">
        <f>TEXT(IF($B1427 = "Retail Item", IF((ROW($A1427) - 4504 - _xlfn.XMATCH($C1427, $C$4506:$C$5005, 0, 1)) &lt;= VLOOKUP($C1427, 'Instrument Table'!$B:$D, 3, FALSE), ROW($A1427) - 4504 - _xlfn.XMATCH($C1427, $C$4506:$C$5005, 0, 1), 0), 0), "00")</f>
        <v>00</v>
      </c>
      <c r="H1427" s="1" t="str">
        <f t="shared" si="133"/>
        <v>071</v>
      </c>
      <c r="I1427" s="1" t="str">
        <f t="shared" si="134"/>
        <v>12400-071</v>
      </c>
      <c r="J1427" s="1" t="str">
        <f t="shared" si="135"/>
        <v>Acoustic guitar production item #071</v>
      </c>
      <c r="K1427" s="1" t="str">
        <f>IF(SUM(COUNTIFS(I:I, I1427)) &gt; 1, "DUPLICATE", "UNIQUE")</f>
        <v>UNIQUE</v>
      </c>
      <c r="L1427" s="18">
        <v>32</v>
      </c>
      <c r="M1427" s="28">
        <v>24</v>
      </c>
      <c r="N1427" s="6">
        <v>25</v>
      </c>
      <c r="O1427" s="30">
        <f t="shared" si="136"/>
        <v>768</v>
      </c>
      <c r="P1427" s="30">
        <f t="shared" si="137"/>
        <v>600</v>
      </c>
      <c r="Q1427" s="1">
        <f>COUNTIFS($P:$P, "&gt;" &amp; $P1427) + 1</f>
        <v>3936</v>
      </c>
      <c r="R1427" s="63">
        <f>(COUNTIFS($P:$P, "&gt;" &amp; $P1427) + 1) / (COUNTA($I:$I) - 1)</f>
        <v>0.78720000000000001</v>
      </c>
      <c r="S1427" s="23">
        <f>SUMIFS($P:$P, $Q:$Q, "&lt;" &amp; $Q1427)</f>
        <v>186361902</v>
      </c>
    </row>
    <row r="1428" spans="1:19" x14ac:dyDescent="0.25">
      <c r="A1428" s="1">
        <v>1423</v>
      </c>
      <c r="B1428" s="1" t="s">
        <v>2</v>
      </c>
      <c r="C1428" s="1" t="str">
        <f>IF($B1428 = "Production Item", _xlfn.XLOOKUP($A1428, 'Instrument Table'!$J:$J, 'Instrument Table'!$B:$B, $C1427), IF($B1428 = "Service Item", _xlfn.XLOOKUP($A1428, 'Instrument Table'!$I:$I, 'Instrument Table'!$B:$B, $C1427), _xlfn.XLOOKUP($A1428, 'Instrument Table'!$H:$H, 'Instrument Table'!$B:$B, $C1427)))</f>
        <v>Acoustic Guitar</v>
      </c>
      <c r="D1428" s="1" t="str">
        <f>VLOOKUP($C1428, 'Instrument Table'!$B:$C, 2, FALSE)</f>
        <v>Strings</v>
      </c>
      <c r="E1428" s="1">
        <f t="shared" si="132"/>
        <v>1</v>
      </c>
      <c r="F1428" s="1">
        <f>_xlfn.XLOOKUP($C1428, 'Instrument Table'!$B:$B, 'Instrument Table'!$A:$A, "")</f>
        <v>24</v>
      </c>
      <c r="G1428" s="1" t="str">
        <f>TEXT(IF($B1428 = "Retail Item", IF((ROW($A1428) - 4504 - _xlfn.XMATCH($C1428, $C$4506:$C$5005, 0, 1)) &lt;= VLOOKUP($C1428, 'Instrument Table'!$B:$D, 3, FALSE), ROW($A1428) - 4504 - _xlfn.XMATCH($C1428, $C$4506:$C$5005, 0, 1), 0), 0), "00")</f>
        <v>00</v>
      </c>
      <c r="H1428" s="1" t="str">
        <f t="shared" si="133"/>
        <v>072</v>
      </c>
      <c r="I1428" s="1" t="str">
        <f t="shared" si="134"/>
        <v>12400-072</v>
      </c>
      <c r="J1428" s="1" t="str">
        <f t="shared" si="135"/>
        <v>Acoustic guitar production item #072</v>
      </c>
      <c r="K1428" s="1" t="str">
        <f>IF(SUM(COUNTIFS(I:I, I1428)) &gt; 1, "DUPLICATE", "UNIQUE")</f>
        <v>UNIQUE</v>
      </c>
      <c r="L1428" s="18">
        <v>0</v>
      </c>
      <c r="M1428" s="28">
        <v>72</v>
      </c>
      <c r="N1428" s="6">
        <v>169</v>
      </c>
      <c r="O1428" s="30">
        <f t="shared" si="136"/>
        <v>0</v>
      </c>
      <c r="P1428" s="30">
        <f t="shared" si="137"/>
        <v>12168</v>
      </c>
      <c r="Q1428" s="1">
        <f>COUNTIFS($P:$P, "&gt;" &amp; $P1428) + 1</f>
        <v>1560</v>
      </c>
      <c r="R1428" s="63">
        <f>(COUNTIFS($P:$P, "&gt;" &amp; $P1428) + 1) / (COUNTA($I:$I) - 1)</f>
        <v>0.312</v>
      </c>
      <c r="S1428" s="23">
        <f>SUMIFS($P:$P, $Q:$Q, "&lt;" &amp; $Q1428)</f>
        <v>175597882</v>
      </c>
    </row>
    <row r="1429" spans="1:19" x14ac:dyDescent="0.25">
      <c r="A1429" s="1">
        <v>1424</v>
      </c>
      <c r="B1429" s="1" t="s">
        <v>2</v>
      </c>
      <c r="C1429" s="1" t="str">
        <f>IF($B1429 = "Production Item", _xlfn.XLOOKUP($A1429, 'Instrument Table'!$J:$J, 'Instrument Table'!$B:$B, $C1428), IF($B1429 = "Service Item", _xlfn.XLOOKUP($A1429, 'Instrument Table'!$I:$I, 'Instrument Table'!$B:$B, $C1428), _xlfn.XLOOKUP($A1429, 'Instrument Table'!$H:$H, 'Instrument Table'!$B:$B, $C1428)))</f>
        <v>Acoustic Guitar</v>
      </c>
      <c r="D1429" s="1" t="str">
        <f>VLOOKUP($C1429, 'Instrument Table'!$B:$C, 2, FALSE)</f>
        <v>Strings</v>
      </c>
      <c r="E1429" s="1">
        <f t="shared" si="132"/>
        <v>1</v>
      </c>
      <c r="F1429" s="1">
        <f>_xlfn.XLOOKUP($C1429, 'Instrument Table'!$B:$B, 'Instrument Table'!$A:$A, "")</f>
        <v>24</v>
      </c>
      <c r="G1429" s="1" t="str">
        <f>TEXT(IF($B1429 = "Retail Item", IF((ROW($A1429) - 4504 - _xlfn.XMATCH($C1429, $C$4506:$C$5005, 0, 1)) &lt;= VLOOKUP($C1429, 'Instrument Table'!$B:$D, 3, FALSE), ROW($A1429) - 4504 - _xlfn.XMATCH($C1429, $C$4506:$C$5005, 0, 1), 0), 0), "00")</f>
        <v>00</v>
      </c>
      <c r="H1429" s="1" t="str">
        <f t="shared" si="133"/>
        <v>073</v>
      </c>
      <c r="I1429" s="1" t="str">
        <f t="shared" si="134"/>
        <v>12400-073</v>
      </c>
      <c r="J1429" s="1" t="str">
        <f t="shared" si="135"/>
        <v>Acoustic guitar production item #073</v>
      </c>
      <c r="K1429" s="1" t="str">
        <f>IF(SUM(COUNTIFS(I:I, I1429)) &gt; 1, "DUPLICATE", "UNIQUE")</f>
        <v>UNIQUE</v>
      </c>
      <c r="L1429" s="18">
        <v>1</v>
      </c>
      <c r="M1429" s="28">
        <v>28</v>
      </c>
      <c r="N1429" s="6">
        <v>324</v>
      </c>
      <c r="O1429" s="30">
        <f t="shared" si="136"/>
        <v>28</v>
      </c>
      <c r="P1429" s="30">
        <f t="shared" si="137"/>
        <v>9072</v>
      </c>
      <c r="Q1429" s="1">
        <f>COUNTIFS($P:$P, "&gt;" &amp; $P1429) + 1</f>
        <v>1865</v>
      </c>
      <c r="R1429" s="63">
        <f>(COUNTIFS($P:$P, "&gt;" &amp; $P1429) + 1) / (COUNTA($I:$I) - 1)</f>
        <v>0.373</v>
      </c>
      <c r="S1429" s="23">
        <f>SUMIFS($P:$P, $Q:$Q, "&lt;" &amp; $Q1429)</f>
        <v>178851300</v>
      </c>
    </row>
    <row r="1430" spans="1:19" x14ac:dyDescent="0.25">
      <c r="A1430" s="1">
        <v>1425</v>
      </c>
      <c r="B1430" s="1" t="s">
        <v>2</v>
      </c>
      <c r="C1430" s="1" t="str">
        <f>IF($B1430 = "Production Item", _xlfn.XLOOKUP($A1430, 'Instrument Table'!$J:$J, 'Instrument Table'!$B:$B, $C1429), IF($B1430 = "Service Item", _xlfn.XLOOKUP($A1430, 'Instrument Table'!$I:$I, 'Instrument Table'!$B:$B, $C1429), _xlfn.XLOOKUP($A1430, 'Instrument Table'!$H:$H, 'Instrument Table'!$B:$B, $C1429)))</f>
        <v>Acoustic Guitar</v>
      </c>
      <c r="D1430" s="1" t="str">
        <f>VLOOKUP($C1430, 'Instrument Table'!$B:$C, 2, FALSE)</f>
        <v>Strings</v>
      </c>
      <c r="E1430" s="1">
        <f t="shared" si="132"/>
        <v>1</v>
      </c>
      <c r="F1430" s="1">
        <f>_xlfn.XLOOKUP($C1430, 'Instrument Table'!$B:$B, 'Instrument Table'!$A:$A, "")</f>
        <v>24</v>
      </c>
      <c r="G1430" s="1" t="str">
        <f>TEXT(IF($B1430 = "Retail Item", IF((ROW($A1430) - 4504 - _xlfn.XMATCH($C1430, $C$4506:$C$5005, 0, 1)) &lt;= VLOOKUP($C1430, 'Instrument Table'!$B:$D, 3, FALSE), ROW($A1430) - 4504 - _xlfn.XMATCH($C1430, $C$4506:$C$5005, 0, 1), 0), 0), "00")</f>
        <v>00</v>
      </c>
      <c r="H1430" s="1" t="str">
        <f t="shared" si="133"/>
        <v>074</v>
      </c>
      <c r="I1430" s="1" t="str">
        <f t="shared" si="134"/>
        <v>12400-074</v>
      </c>
      <c r="J1430" s="1" t="str">
        <f t="shared" si="135"/>
        <v>Acoustic guitar production item #074</v>
      </c>
      <c r="K1430" s="1" t="str">
        <f>IF(SUM(COUNTIFS(I:I, I1430)) &gt; 1, "DUPLICATE", "UNIQUE")</f>
        <v>UNIQUE</v>
      </c>
      <c r="L1430" s="18">
        <v>0</v>
      </c>
      <c r="M1430" s="28">
        <v>26</v>
      </c>
      <c r="N1430" s="6">
        <v>196</v>
      </c>
      <c r="O1430" s="30">
        <f t="shared" si="136"/>
        <v>0</v>
      </c>
      <c r="P1430" s="30">
        <f t="shared" si="137"/>
        <v>5096</v>
      </c>
      <c r="Q1430" s="1">
        <f>COUNTIFS($P:$P, "&gt;" &amp; $P1430) + 1</f>
        <v>2430</v>
      </c>
      <c r="R1430" s="63">
        <f>(COUNTIFS($P:$P, "&gt;" &amp; $P1430) + 1) / (COUNTA($I:$I) - 1)</f>
        <v>0.48599999999999999</v>
      </c>
      <c r="S1430" s="23">
        <f>SUMIFS($P:$P, $Q:$Q, "&lt;" &amp; $Q1430)</f>
        <v>182771537</v>
      </c>
    </row>
    <row r="1431" spans="1:19" x14ac:dyDescent="0.25">
      <c r="A1431" s="1">
        <v>1426</v>
      </c>
      <c r="B1431" s="1" t="s">
        <v>2</v>
      </c>
      <c r="C1431" s="1" t="str">
        <f>IF($B1431 = "Production Item", _xlfn.XLOOKUP($A1431, 'Instrument Table'!$J:$J, 'Instrument Table'!$B:$B, $C1430), IF($B1431 = "Service Item", _xlfn.XLOOKUP($A1431, 'Instrument Table'!$I:$I, 'Instrument Table'!$B:$B, $C1430), _xlfn.XLOOKUP($A1431, 'Instrument Table'!$H:$H, 'Instrument Table'!$B:$B, $C1430)))</f>
        <v>Acoustic Guitar</v>
      </c>
      <c r="D1431" s="1" t="str">
        <f>VLOOKUP($C1431, 'Instrument Table'!$B:$C, 2, FALSE)</f>
        <v>Strings</v>
      </c>
      <c r="E1431" s="1">
        <f t="shared" si="132"/>
        <v>1</v>
      </c>
      <c r="F1431" s="1">
        <f>_xlfn.XLOOKUP($C1431, 'Instrument Table'!$B:$B, 'Instrument Table'!$A:$A, "")</f>
        <v>24</v>
      </c>
      <c r="G1431" s="1" t="str">
        <f>TEXT(IF($B1431 = "Retail Item", IF((ROW($A1431) - 4504 - _xlfn.XMATCH($C1431, $C$4506:$C$5005, 0, 1)) &lt;= VLOOKUP($C1431, 'Instrument Table'!$B:$D, 3, FALSE), ROW($A1431) - 4504 - _xlfn.XMATCH($C1431, $C$4506:$C$5005, 0, 1), 0), 0), "00")</f>
        <v>00</v>
      </c>
      <c r="H1431" s="1" t="str">
        <f t="shared" si="133"/>
        <v>075</v>
      </c>
      <c r="I1431" s="1" t="str">
        <f t="shared" si="134"/>
        <v>12400-075</v>
      </c>
      <c r="J1431" s="1" t="str">
        <f t="shared" si="135"/>
        <v>Acoustic guitar production item #075</v>
      </c>
      <c r="K1431" s="1" t="str">
        <f>IF(SUM(COUNTIFS(I:I, I1431)) &gt; 1, "DUPLICATE", "UNIQUE")</f>
        <v>UNIQUE</v>
      </c>
      <c r="L1431" s="18">
        <v>1</v>
      </c>
      <c r="M1431" s="28">
        <v>51</v>
      </c>
      <c r="N1431" s="6">
        <v>144</v>
      </c>
      <c r="O1431" s="30">
        <f t="shared" si="136"/>
        <v>51</v>
      </c>
      <c r="P1431" s="30">
        <f t="shared" si="137"/>
        <v>7344</v>
      </c>
      <c r="Q1431" s="1">
        <f>COUNTIFS($P:$P, "&gt;" &amp; $P1431) + 1</f>
        <v>2092</v>
      </c>
      <c r="R1431" s="63">
        <f>(COUNTIFS($P:$P, "&gt;" &amp; $P1431) + 1) / (COUNTA($I:$I) - 1)</f>
        <v>0.41839999999999999</v>
      </c>
      <c r="S1431" s="23">
        <f>SUMIFS($P:$P, $Q:$Q, "&lt;" &amp; $Q1431)</f>
        <v>180700193</v>
      </c>
    </row>
    <row r="1432" spans="1:19" x14ac:dyDescent="0.25">
      <c r="A1432" s="1">
        <v>1427</v>
      </c>
      <c r="B1432" s="1" t="s">
        <v>2</v>
      </c>
      <c r="C1432" s="1" t="str">
        <f>IF($B1432 = "Production Item", _xlfn.XLOOKUP($A1432, 'Instrument Table'!$J:$J, 'Instrument Table'!$B:$B, $C1431), IF($B1432 = "Service Item", _xlfn.XLOOKUP($A1432, 'Instrument Table'!$I:$I, 'Instrument Table'!$B:$B, $C1431), _xlfn.XLOOKUP($A1432, 'Instrument Table'!$H:$H, 'Instrument Table'!$B:$B, $C1431)))</f>
        <v>Acoustic Guitar</v>
      </c>
      <c r="D1432" s="1" t="str">
        <f>VLOOKUP($C1432, 'Instrument Table'!$B:$C, 2, FALSE)</f>
        <v>Strings</v>
      </c>
      <c r="E1432" s="1">
        <f t="shared" si="132"/>
        <v>1</v>
      </c>
      <c r="F1432" s="1">
        <f>_xlfn.XLOOKUP($C1432, 'Instrument Table'!$B:$B, 'Instrument Table'!$A:$A, "")</f>
        <v>24</v>
      </c>
      <c r="G1432" s="1" t="str">
        <f>TEXT(IF($B1432 = "Retail Item", IF((ROW($A1432) - 4504 - _xlfn.XMATCH($C1432, $C$4506:$C$5005, 0, 1)) &lt;= VLOOKUP($C1432, 'Instrument Table'!$B:$D, 3, FALSE), ROW($A1432) - 4504 - _xlfn.XMATCH($C1432, $C$4506:$C$5005, 0, 1), 0), 0), "00")</f>
        <v>00</v>
      </c>
      <c r="H1432" s="1" t="str">
        <f t="shared" si="133"/>
        <v>076</v>
      </c>
      <c r="I1432" s="1" t="str">
        <f t="shared" si="134"/>
        <v>12400-076</v>
      </c>
      <c r="J1432" s="1" t="str">
        <f t="shared" si="135"/>
        <v>Acoustic guitar production item #076</v>
      </c>
      <c r="K1432" s="1" t="str">
        <f>IF(SUM(COUNTIFS(I:I, I1432)) &gt; 1, "DUPLICATE", "UNIQUE")</f>
        <v>UNIQUE</v>
      </c>
      <c r="L1432" s="18">
        <v>4</v>
      </c>
      <c r="M1432" s="28">
        <v>59</v>
      </c>
      <c r="N1432" s="6">
        <v>1</v>
      </c>
      <c r="O1432" s="30">
        <f t="shared" si="136"/>
        <v>236</v>
      </c>
      <c r="P1432" s="30">
        <f t="shared" si="137"/>
        <v>59</v>
      </c>
      <c r="Q1432" s="1">
        <f>COUNTIFS($P:$P, "&gt;" &amp; $P1432) + 1</f>
        <v>4583</v>
      </c>
      <c r="R1432" s="63">
        <f>(COUNTIFS($P:$P, "&gt;" &amp; $P1432) + 1) / (COUNTA($I:$I) - 1)</f>
        <v>0.91659999999999997</v>
      </c>
      <c r="S1432" s="23">
        <f>SUMIFS($P:$P, $Q:$Q, "&lt;" &amp; $Q1432)</f>
        <v>186542736</v>
      </c>
    </row>
    <row r="1433" spans="1:19" x14ac:dyDescent="0.25">
      <c r="A1433" s="1">
        <v>1428</v>
      </c>
      <c r="B1433" s="1" t="s">
        <v>2</v>
      </c>
      <c r="C1433" s="1" t="str">
        <f>IF($B1433 = "Production Item", _xlfn.XLOOKUP($A1433, 'Instrument Table'!$J:$J, 'Instrument Table'!$B:$B, $C1432), IF($B1433 = "Service Item", _xlfn.XLOOKUP($A1433, 'Instrument Table'!$I:$I, 'Instrument Table'!$B:$B, $C1432), _xlfn.XLOOKUP($A1433, 'Instrument Table'!$H:$H, 'Instrument Table'!$B:$B, $C1432)))</f>
        <v>Acoustic Guitar</v>
      </c>
      <c r="D1433" s="1" t="str">
        <f>VLOOKUP($C1433, 'Instrument Table'!$B:$C, 2, FALSE)</f>
        <v>Strings</v>
      </c>
      <c r="E1433" s="1">
        <f t="shared" si="132"/>
        <v>1</v>
      </c>
      <c r="F1433" s="1">
        <f>_xlfn.XLOOKUP($C1433, 'Instrument Table'!$B:$B, 'Instrument Table'!$A:$A, "")</f>
        <v>24</v>
      </c>
      <c r="G1433" s="1" t="str">
        <f>TEXT(IF($B1433 = "Retail Item", IF((ROW($A1433) - 4504 - _xlfn.XMATCH($C1433, $C$4506:$C$5005, 0, 1)) &lt;= VLOOKUP($C1433, 'Instrument Table'!$B:$D, 3, FALSE), ROW($A1433) - 4504 - _xlfn.XMATCH($C1433, $C$4506:$C$5005, 0, 1), 0), 0), "00")</f>
        <v>00</v>
      </c>
      <c r="H1433" s="1" t="str">
        <f t="shared" si="133"/>
        <v>077</v>
      </c>
      <c r="I1433" s="1" t="str">
        <f t="shared" si="134"/>
        <v>12400-077</v>
      </c>
      <c r="J1433" s="1" t="str">
        <f t="shared" si="135"/>
        <v>Acoustic guitar production item #077</v>
      </c>
      <c r="K1433" s="1" t="str">
        <f>IF(SUM(COUNTIFS(I:I, I1433)) &gt; 1, "DUPLICATE", "UNIQUE")</f>
        <v>UNIQUE</v>
      </c>
      <c r="L1433" s="18">
        <v>0</v>
      </c>
      <c r="M1433" s="28">
        <v>70</v>
      </c>
      <c r="N1433" s="6">
        <v>49</v>
      </c>
      <c r="O1433" s="30">
        <f t="shared" si="136"/>
        <v>0</v>
      </c>
      <c r="P1433" s="30">
        <f t="shared" si="137"/>
        <v>3430</v>
      </c>
      <c r="Q1433" s="1">
        <f>COUNTIFS($P:$P, "&gt;" &amp; $P1433) + 1</f>
        <v>2794</v>
      </c>
      <c r="R1433" s="63">
        <f>(COUNTIFS($P:$P, "&gt;" &amp; $P1433) + 1) / (COUNTA($I:$I) - 1)</f>
        <v>0.55879999999999996</v>
      </c>
      <c r="S1433" s="23">
        <f>SUMIFS($P:$P, $Q:$Q, "&lt;" &amp; $Q1433)</f>
        <v>184305371</v>
      </c>
    </row>
    <row r="1434" spans="1:19" x14ac:dyDescent="0.25">
      <c r="A1434" s="1">
        <v>1429</v>
      </c>
      <c r="B1434" s="1" t="s">
        <v>2</v>
      </c>
      <c r="C1434" s="1" t="str">
        <f>IF($B1434 = "Production Item", _xlfn.XLOOKUP($A1434, 'Instrument Table'!$J:$J, 'Instrument Table'!$B:$B, $C1433), IF($B1434 = "Service Item", _xlfn.XLOOKUP($A1434, 'Instrument Table'!$I:$I, 'Instrument Table'!$B:$B, $C1433), _xlfn.XLOOKUP($A1434, 'Instrument Table'!$H:$H, 'Instrument Table'!$B:$B, $C1433)))</f>
        <v>Acoustic Guitar</v>
      </c>
      <c r="D1434" s="1" t="str">
        <f>VLOOKUP($C1434, 'Instrument Table'!$B:$C, 2, FALSE)</f>
        <v>Strings</v>
      </c>
      <c r="E1434" s="1">
        <f t="shared" si="132"/>
        <v>1</v>
      </c>
      <c r="F1434" s="1">
        <f>_xlfn.XLOOKUP($C1434, 'Instrument Table'!$B:$B, 'Instrument Table'!$A:$A, "")</f>
        <v>24</v>
      </c>
      <c r="G1434" s="1" t="str">
        <f>TEXT(IF($B1434 = "Retail Item", IF((ROW($A1434) - 4504 - _xlfn.XMATCH($C1434, $C$4506:$C$5005, 0, 1)) &lt;= VLOOKUP($C1434, 'Instrument Table'!$B:$D, 3, FALSE), ROW($A1434) - 4504 - _xlfn.XMATCH($C1434, $C$4506:$C$5005, 0, 1), 0), 0), "00")</f>
        <v>00</v>
      </c>
      <c r="H1434" s="1" t="str">
        <f t="shared" si="133"/>
        <v>078</v>
      </c>
      <c r="I1434" s="1" t="str">
        <f t="shared" si="134"/>
        <v>12400-078</v>
      </c>
      <c r="J1434" s="1" t="str">
        <f t="shared" si="135"/>
        <v>Acoustic guitar production item #078</v>
      </c>
      <c r="K1434" s="1" t="str">
        <f>IF(SUM(COUNTIFS(I:I, I1434)) &gt; 1, "DUPLICATE", "UNIQUE")</f>
        <v>UNIQUE</v>
      </c>
      <c r="L1434" s="18">
        <v>1</v>
      </c>
      <c r="M1434" s="28">
        <v>38</v>
      </c>
      <c r="N1434" s="6">
        <v>196</v>
      </c>
      <c r="O1434" s="30">
        <f t="shared" si="136"/>
        <v>38</v>
      </c>
      <c r="P1434" s="30">
        <f t="shared" si="137"/>
        <v>7448</v>
      </c>
      <c r="Q1434" s="1">
        <f>COUNTIFS($P:$P, "&gt;" &amp; $P1434) + 1</f>
        <v>2074</v>
      </c>
      <c r="R1434" s="63">
        <f>(COUNTIFS($P:$P, "&gt;" &amp; $P1434) + 1) / (COUNTA($I:$I) - 1)</f>
        <v>0.4148</v>
      </c>
      <c r="S1434" s="23">
        <f>SUMIFS($P:$P, $Q:$Q, "&lt;" &amp; $Q1434)</f>
        <v>180566795</v>
      </c>
    </row>
    <row r="1435" spans="1:19" x14ac:dyDescent="0.25">
      <c r="A1435" s="1">
        <v>1430</v>
      </c>
      <c r="B1435" s="1" t="s">
        <v>2</v>
      </c>
      <c r="C1435" s="1" t="str">
        <f>IF($B1435 = "Production Item", _xlfn.XLOOKUP($A1435, 'Instrument Table'!$J:$J, 'Instrument Table'!$B:$B, $C1434), IF($B1435 = "Service Item", _xlfn.XLOOKUP($A1435, 'Instrument Table'!$I:$I, 'Instrument Table'!$B:$B, $C1434), _xlfn.XLOOKUP($A1435, 'Instrument Table'!$H:$H, 'Instrument Table'!$B:$B, $C1434)))</f>
        <v>Acoustic Guitar</v>
      </c>
      <c r="D1435" s="1" t="str">
        <f>VLOOKUP($C1435, 'Instrument Table'!$B:$C, 2, FALSE)</f>
        <v>Strings</v>
      </c>
      <c r="E1435" s="1">
        <f t="shared" si="132"/>
        <v>1</v>
      </c>
      <c r="F1435" s="1">
        <f>_xlfn.XLOOKUP($C1435, 'Instrument Table'!$B:$B, 'Instrument Table'!$A:$A, "")</f>
        <v>24</v>
      </c>
      <c r="G1435" s="1" t="str">
        <f>TEXT(IF($B1435 = "Retail Item", IF((ROW($A1435) - 4504 - _xlfn.XMATCH($C1435, $C$4506:$C$5005, 0, 1)) &lt;= VLOOKUP($C1435, 'Instrument Table'!$B:$D, 3, FALSE), ROW($A1435) - 4504 - _xlfn.XMATCH($C1435, $C$4506:$C$5005, 0, 1), 0), 0), "00")</f>
        <v>00</v>
      </c>
      <c r="H1435" s="1" t="str">
        <f t="shared" si="133"/>
        <v>079</v>
      </c>
      <c r="I1435" s="1" t="str">
        <f t="shared" si="134"/>
        <v>12400-079</v>
      </c>
      <c r="J1435" s="1" t="str">
        <f t="shared" si="135"/>
        <v>Acoustic guitar production item #079</v>
      </c>
      <c r="K1435" s="1" t="str">
        <f>IF(SUM(COUNTIFS(I:I, I1435)) &gt; 1, "DUPLICATE", "UNIQUE")</f>
        <v>UNIQUE</v>
      </c>
      <c r="L1435" s="18">
        <v>8</v>
      </c>
      <c r="M1435" s="28">
        <v>1</v>
      </c>
      <c r="N1435" s="6">
        <v>144</v>
      </c>
      <c r="O1435" s="30">
        <f t="shared" si="136"/>
        <v>8</v>
      </c>
      <c r="P1435" s="30">
        <f t="shared" si="137"/>
        <v>144</v>
      </c>
      <c r="Q1435" s="1">
        <f>COUNTIFS($P:$P, "&gt;" &amp; $P1435) + 1</f>
        <v>4399</v>
      </c>
      <c r="R1435" s="63">
        <f>(COUNTIFS($P:$P, "&gt;" &amp; $P1435) + 1) / (COUNTA($I:$I) - 1)</f>
        <v>0.87980000000000003</v>
      </c>
      <c r="S1435" s="23">
        <f>SUMIFS($P:$P, $Q:$Q, "&lt;" &amp; $Q1435)</f>
        <v>186525866</v>
      </c>
    </row>
    <row r="1436" spans="1:19" x14ac:dyDescent="0.25">
      <c r="A1436" s="1">
        <v>1431</v>
      </c>
      <c r="B1436" s="1" t="s">
        <v>2</v>
      </c>
      <c r="C1436" s="1" t="str">
        <f>IF($B1436 = "Production Item", _xlfn.XLOOKUP($A1436, 'Instrument Table'!$J:$J, 'Instrument Table'!$B:$B, $C1435), IF($B1436 = "Service Item", _xlfn.XLOOKUP($A1436, 'Instrument Table'!$I:$I, 'Instrument Table'!$B:$B, $C1435), _xlfn.XLOOKUP($A1436, 'Instrument Table'!$H:$H, 'Instrument Table'!$B:$B, $C1435)))</f>
        <v>Acoustic Guitar</v>
      </c>
      <c r="D1436" s="1" t="str">
        <f>VLOOKUP($C1436, 'Instrument Table'!$B:$C, 2, FALSE)</f>
        <v>Strings</v>
      </c>
      <c r="E1436" s="1">
        <f t="shared" si="132"/>
        <v>1</v>
      </c>
      <c r="F1436" s="1">
        <f>_xlfn.XLOOKUP($C1436, 'Instrument Table'!$B:$B, 'Instrument Table'!$A:$A, "")</f>
        <v>24</v>
      </c>
      <c r="G1436" s="1" t="str">
        <f>TEXT(IF($B1436 = "Retail Item", IF((ROW($A1436) - 4504 - _xlfn.XMATCH($C1436, $C$4506:$C$5005, 0, 1)) &lt;= VLOOKUP($C1436, 'Instrument Table'!$B:$D, 3, FALSE), ROW($A1436) - 4504 - _xlfn.XMATCH($C1436, $C$4506:$C$5005, 0, 1), 0), 0), "00")</f>
        <v>00</v>
      </c>
      <c r="H1436" s="1" t="str">
        <f t="shared" si="133"/>
        <v>080</v>
      </c>
      <c r="I1436" s="1" t="str">
        <f t="shared" si="134"/>
        <v>12400-080</v>
      </c>
      <c r="J1436" s="1" t="str">
        <f t="shared" si="135"/>
        <v>Acoustic guitar production item #080</v>
      </c>
      <c r="K1436" s="1" t="str">
        <f>IF(SUM(COUNTIFS(I:I, I1436)) &gt; 1, "DUPLICATE", "UNIQUE")</f>
        <v>UNIQUE</v>
      </c>
      <c r="L1436" s="18">
        <v>1</v>
      </c>
      <c r="M1436" s="28">
        <v>51</v>
      </c>
      <c r="N1436" s="6">
        <v>81</v>
      </c>
      <c r="O1436" s="30">
        <f t="shared" si="136"/>
        <v>51</v>
      </c>
      <c r="P1436" s="30">
        <f t="shared" si="137"/>
        <v>4131</v>
      </c>
      <c r="Q1436" s="1">
        <f>COUNTIFS($P:$P, "&gt;" &amp; $P1436) + 1</f>
        <v>2625</v>
      </c>
      <c r="R1436" s="63">
        <f>(COUNTIFS($P:$P, "&gt;" &amp; $P1436) + 1) / (COUNTA($I:$I) - 1)</f>
        <v>0.52500000000000002</v>
      </c>
      <c r="S1436" s="23">
        <f>SUMIFS($P:$P, $Q:$Q, "&lt;" &amp; $Q1436)</f>
        <v>183668650</v>
      </c>
    </row>
    <row r="1437" spans="1:19" x14ac:dyDescent="0.25">
      <c r="A1437" s="1">
        <v>1432</v>
      </c>
      <c r="B1437" s="1" t="s">
        <v>2</v>
      </c>
      <c r="C1437" s="1" t="str">
        <f>IF($B1437 = "Production Item", _xlfn.XLOOKUP($A1437, 'Instrument Table'!$J:$J, 'Instrument Table'!$B:$B, $C1436), IF($B1437 = "Service Item", _xlfn.XLOOKUP($A1437, 'Instrument Table'!$I:$I, 'Instrument Table'!$B:$B, $C1436), _xlfn.XLOOKUP($A1437, 'Instrument Table'!$H:$H, 'Instrument Table'!$B:$B, $C1436)))</f>
        <v>Acoustic Guitar</v>
      </c>
      <c r="D1437" s="1" t="str">
        <f>VLOOKUP($C1437, 'Instrument Table'!$B:$C, 2, FALSE)</f>
        <v>Strings</v>
      </c>
      <c r="E1437" s="1">
        <f t="shared" si="132"/>
        <v>1</v>
      </c>
      <c r="F1437" s="1">
        <f>_xlfn.XLOOKUP($C1437, 'Instrument Table'!$B:$B, 'Instrument Table'!$A:$A, "")</f>
        <v>24</v>
      </c>
      <c r="G1437" s="1" t="str">
        <f>TEXT(IF($B1437 = "Retail Item", IF((ROW($A1437) - 4504 - _xlfn.XMATCH($C1437, $C$4506:$C$5005, 0, 1)) &lt;= VLOOKUP($C1437, 'Instrument Table'!$B:$D, 3, FALSE), ROW($A1437) - 4504 - _xlfn.XMATCH($C1437, $C$4506:$C$5005, 0, 1), 0), 0), "00")</f>
        <v>00</v>
      </c>
      <c r="H1437" s="1" t="str">
        <f t="shared" si="133"/>
        <v>081</v>
      </c>
      <c r="I1437" s="1" t="str">
        <f t="shared" si="134"/>
        <v>12400-081</v>
      </c>
      <c r="J1437" s="1" t="str">
        <f t="shared" si="135"/>
        <v>Acoustic guitar production item #081</v>
      </c>
      <c r="K1437" s="1" t="str">
        <f>IF(SUM(COUNTIFS(I:I, I1437)) &gt; 1, "DUPLICATE", "UNIQUE")</f>
        <v>UNIQUE</v>
      </c>
      <c r="L1437" s="18">
        <v>0</v>
      </c>
      <c r="M1437" s="28">
        <v>66</v>
      </c>
      <c r="N1437" s="6">
        <v>4</v>
      </c>
      <c r="O1437" s="30">
        <f t="shared" si="136"/>
        <v>0</v>
      </c>
      <c r="P1437" s="30">
        <f t="shared" si="137"/>
        <v>264</v>
      </c>
      <c r="Q1437" s="1">
        <f>COUNTIFS($P:$P, "&gt;" &amp; $P1437) + 1</f>
        <v>4251</v>
      </c>
      <c r="R1437" s="63">
        <f>(COUNTIFS($P:$P, "&gt;" &amp; $P1437) + 1) / (COUNTA($I:$I) - 1)</f>
        <v>0.85019999999999996</v>
      </c>
      <c r="S1437" s="23">
        <f>SUMIFS($P:$P, $Q:$Q, "&lt;" &amp; $Q1437)</f>
        <v>186495358</v>
      </c>
    </row>
    <row r="1438" spans="1:19" x14ac:dyDescent="0.25">
      <c r="A1438" s="1">
        <v>1433</v>
      </c>
      <c r="B1438" s="1" t="s">
        <v>2</v>
      </c>
      <c r="C1438" s="1" t="str">
        <f>IF($B1438 = "Production Item", _xlfn.XLOOKUP($A1438, 'Instrument Table'!$J:$J, 'Instrument Table'!$B:$B, $C1437), IF($B1438 = "Service Item", _xlfn.XLOOKUP($A1438, 'Instrument Table'!$I:$I, 'Instrument Table'!$B:$B, $C1437), _xlfn.XLOOKUP($A1438, 'Instrument Table'!$H:$H, 'Instrument Table'!$B:$B, $C1437)))</f>
        <v>Acoustic Guitar</v>
      </c>
      <c r="D1438" s="1" t="str">
        <f>VLOOKUP($C1438, 'Instrument Table'!$B:$C, 2, FALSE)</f>
        <v>Strings</v>
      </c>
      <c r="E1438" s="1">
        <f t="shared" si="132"/>
        <v>1</v>
      </c>
      <c r="F1438" s="1">
        <f>_xlfn.XLOOKUP($C1438, 'Instrument Table'!$B:$B, 'Instrument Table'!$A:$A, "")</f>
        <v>24</v>
      </c>
      <c r="G1438" s="1" t="str">
        <f>TEXT(IF($B1438 = "Retail Item", IF((ROW($A1438) - 4504 - _xlfn.XMATCH($C1438, $C$4506:$C$5005, 0, 1)) &lt;= VLOOKUP($C1438, 'Instrument Table'!$B:$D, 3, FALSE), ROW($A1438) - 4504 - _xlfn.XMATCH($C1438, $C$4506:$C$5005, 0, 1), 0), 0), "00")</f>
        <v>00</v>
      </c>
      <c r="H1438" s="1" t="str">
        <f t="shared" si="133"/>
        <v>082</v>
      </c>
      <c r="I1438" s="1" t="str">
        <f t="shared" si="134"/>
        <v>12400-082</v>
      </c>
      <c r="J1438" s="1" t="str">
        <f t="shared" si="135"/>
        <v>Acoustic guitar production item #082</v>
      </c>
      <c r="K1438" s="1" t="str">
        <f>IF(SUM(COUNTIFS(I:I, I1438)) &gt; 1, "DUPLICATE", "UNIQUE")</f>
        <v>UNIQUE</v>
      </c>
      <c r="L1438" s="18">
        <v>1</v>
      </c>
      <c r="M1438" s="28">
        <v>89</v>
      </c>
      <c r="N1438" s="6">
        <v>0</v>
      </c>
      <c r="O1438" s="30">
        <f t="shared" si="136"/>
        <v>89</v>
      </c>
      <c r="P1438" s="30">
        <f t="shared" si="137"/>
        <v>0</v>
      </c>
      <c r="Q1438" s="1">
        <f>COUNTIFS($P:$P, "&gt;" &amp; $P1438) + 1</f>
        <v>4746</v>
      </c>
      <c r="R1438" s="63">
        <f>(COUNTIFS($P:$P, "&gt;" &amp; $P1438) + 1) / (COUNTA($I:$I) - 1)</f>
        <v>0.94920000000000004</v>
      </c>
      <c r="S1438" s="23">
        <f>SUMIFS($P:$P, $Q:$Q, "&lt;" &amp; $Q1438)</f>
        <v>186547861</v>
      </c>
    </row>
    <row r="1439" spans="1:19" x14ac:dyDescent="0.25">
      <c r="A1439" s="1">
        <v>1434</v>
      </c>
      <c r="B1439" s="1" t="s">
        <v>2</v>
      </c>
      <c r="C1439" s="1" t="str">
        <f>IF($B1439 = "Production Item", _xlfn.XLOOKUP($A1439, 'Instrument Table'!$J:$J, 'Instrument Table'!$B:$B, $C1438), IF($B1439 = "Service Item", _xlfn.XLOOKUP($A1439, 'Instrument Table'!$I:$I, 'Instrument Table'!$B:$B, $C1438), _xlfn.XLOOKUP($A1439, 'Instrument Table'!$H:$H, 'Instrument Table'!$B:$B, $C1438)))</f>
        <v>Acoustic Guitar</v>
      </c>
      <c r="D1439" s="1" t="str">
        <f>VLOOKUP($C1439, 'Instrument Table'!$B:$C, 2, FALSE)</f>
        <v>Strings</v>
      </c>
      <c r="E1439" s="1">
        <f t="shared" si="132"/>
        <v>1</v>
      </c>
      <c r="F1439" s="1">
        <f>_xlfn.XLOOKUP($C1439, 'Instrument Table'!$B:$B, 'Instrument Table'!$A:$A, "")</f>
        <v>24</v>
      </c>
      <c r="G1439" s="1" t="str">
        <f>TEXT(IF($B1439 = "Retail Item", IF((ROW($A1439) - 4504 - _xlfn.XMATCH($C1439, $C$4506:$C$5005, 0, 1)) &lt;= VLOOKUP($C1439, 'Instrument Table'!$B:$D, 3, FALSE), ROW($A1439) - 4504 - _xlfn.XMATCH($C1439, $C$4506:$C$5005, 0, 1), 0), 0), "00")</f>
        <v>00</v>
      </c>
      <c r="H1439" s="1" t="str">
        <f t="shared" si="133"/>
        <v>083</v>
      </c>
      <c r="I1439" s="1" t="str">
        <f t="shared" si="134"/>
        <v>12400-083</v>
      </c>
      <c r="J1439" s="1" t="str">
        <f t="shared" si="135"/>
        <v>Acoustic guitar production item #083</v>
      </c>
      <c r="K1439" s="1" t="str">
        <f>IF(SUM(COUNTIFS(I:I, I1439)) &gt; 1, "DUPLICATE", "UNIQUE")</f>
        <v>UNIQUE</v>
      </c>
      <c r="L1439" s="18">
        <v>1</v>
      </c>
      <c r="M1439" s="28">
        <v>52</v>
      </c>
      <c r="N1439" s="6">
        <v>0</v>
      </c>
      <c r="O1439" s="30">
        <f t="shared" si="136"/>
        <v>52</v>
      </c>
      <c r="P1439" s="30">
        <f t="shared" si="137"/>
        <v>0</v>
      </c>
      <c r="Q1439" s="1">
        <f>COUNTIFS($P:$P, "&gt;" &amp; $P1439) + 1</f>
        <v>4746</v>
      </c>
      <c r="R1439" s="63">
        <f>(COUNTIFS($P:$P, "&gt;" &amp; $P1439) + 1) / (COUNTA($I:$I) - 1)</f>
        <v>0.94920000000000004</v>
      </c>
      <c r="S1439" s="23">
        <f>SUMIFS($P:$P, $Q:$Q, "&lt;" &amp; $Q1439)</f>
        <v>186547861</v>
      </c>
    </row>
    <row r="1440" spans="1:19" x14ac:dyDescent="0.25">
      <c r="A1440" s="1">
        <v>1435</v>
      </c>
      <c r="B1440" s="1" t="s">
        <v>2</v>
      </c>
      <c r="C1440" s="1" t="str">
        <f>IF($B1440 = "Production Item", _xlfn.XLOOKUP($A1440, 'Instrument Table'!$J:$J, 'Instrument Table'!$B:$B, $C1439), IF($B1440 = "Service Item", _xlfn.XLOOKUP($A1440, 'Instrument Table'!$I:$I, 'Instrument Table'!$B:$B, $C1439), _xlfn.XLOOKUP($A1440, 'Instrument Table'!$H:$H, 'Instrument Table'!$B:$B, $C1439)))</f>
        <v>Acoustic Guitar</v>
      </c>
      <c r="D1440" s="1" t="str">
        <f>VLOOKUP($C1440, 'Instrument Table'!$B:$C, 2, FALSE)</f>
        <v>Strings</v>
      </c>
      <c r="E1440" s="1">
        <f t="shared" si="132"/>
        <v>1</v>
      </c>
      <c r="F1440" s="1">
        <f>_xlfn.XLOOKUP($C1440, 'Instrument Table'!$B:$B, 'Instrument Table'!$A:$A, "")</f>
        <v>24</v>
      </c>
      <c r="G1440" s="1" t="str">
        <f>TEXT(IF($B1440 = "Retail Item", IF((ROW($A1440) - 4504 - _xlfn.XMATCH($C1440, $C$4506:$C$5005, 0, 1)) &lt;= VLOOKUP($C1440, 'Instrument Table'!$B:$D, 3, FALSE), ROW($A1440) - 4504 - _xlfn.XMATCH($C1440, $C$4506:$C$5005, 0, 1), 0), 0), "00")</f>
        <v>00</v>
      </c>
      <c r="H1440" s="1" t="str">
        <f t="shared" si="133"/>
        <v>084</v>
      </c>
      <c r="I1440" s="1" t="str">
        <f t="shared" si="134"/>
        <v>12400-084</v>
      </c>
      <c r="J1440" s="1" t="str">
        <f t="shared" si="135"/>
        <v>Acoustic guitar production item #084</v>
      </c>
      <c r="K1440" s="1" t="str">
        <f>IF(SUM(COUNTIFS(I:I, I1440)) &gt; 1, "DUPLICATE", "UNIQUE")</f>
        <v>UNIQUE</v>
      </c>
      <c r="L1440" s="18">
        <v>32</v>
      </c>
      <c r="M1440" s="28">
        <v>23</v>
      </c>
      <c r="N1440" s="6">
        <v>144</v>
      </c>
      <c r="O1440" s="30">
        <f t="shared" si="136"/>
        <v>736</v>
      </c>
      <c r="P1440" s="30">
        <f t="shared" si="137"/>
        <v>3312</v>
      </c>
      <c r="Q1440" s="1">
        <f>COUNTIFS($P:$P, "&gt;" &amp; $P1440) + 1</f>
        <v>2826</v>
      </c>
      <c r="R1440" s="63">
        <f>(COUNTIFS($P:$P, "&gt;" &amp; $P1440) + 1) / (COUNTA($I:$I) - 1)</f>
        <v>0.56520000000000004</v>
      </c>
      <c r="S1440" s="23">
        <f>SUMIFS($P:$P, $Q:$Q, "&lt;" &amp; $Q1440)</f>
        <v>184413337</v>
      </c>
    </row>
    <row r="1441" spans="1:19" x14ac:dyDescent="0.25">
      <c r="A1441" s="1">
        <v>1436</v>
      </c>
      <c r="B1441" s="1" t="s">
        <v>2</v>
      </c>
      <c r="C1441" s="1" t="str">
        <f>IF($B1441 = "Production Item", _xlfn.XLOOKUP($A1441, 'Instrument Table'!$J:$J, 'Instrument Table'!$B:$B, $C1440), IF($B1441 = "Service Item", _xlfn.XLOOKUP($A1441, 'Instrument Table'!$I:$I, 'Instrument Table'!$B:$B, $C1440), _xlfn.XLOOKUP($A1441, 'Instrument Table'!$H:$H, 'Instrument Table'!$B:$B, $C1440)))</f>
        <v>Acoustic Guitar</v>
      </c>
      <c r="D1441" s="1" t="str">
        <f>VLOOKUP($C1441, 'Instrument Table'!$B:$C, 2, FALSE)</f>
        <v>Strings</v>
      </c>
      <c r="E1441" s="1">
        <f t="shared" si="132"/>
        <v>1</v>
      </c>
      <c r="F1441" s="1">
        <f>_xlfn.XLOOKUP($C1441, 'Instrument Table'!$B:$B, 'Instrument Table'!$A:$A, "")</f>
        <v>24</v>
      </c>
      <c r="G1441" s="1" t="str">
        <f>TEXT(IF($B1441 = "Retail Item", IF((ROW($A1441) - 4504 - _xlfn.XMATCH($C1441, $C$4506:$C$5005, 0, 1)) &lt;= VLOOKUP($C1441, 'Instrument Table'!$B:$D, 3, FALSE), ROW($A1441) - 4504 - _xlfn.XMATCH($C1441, $C$4506:$C$5005, 0, 1), 0), 0), "00")</f>
        <v>00</v>
      </c>
      <c r="H1441" s="1" t="str">
        <f t="shared" si="133"/>
        <v>085</v>
      </c>
      <c r="I1441" s="1" t="str">
        <f t="shared" si="134"/>
        <v>12400-085</v>
      </c>
      <c r="J1441" s="1" t="str">
        <f t="shared" si="135"/>
        <v>Acoustic guitar production item #085</v>
      </c>
      <c r="K1441" s="1" t="str">
        <f>IF(SUM(COUNTIFS(I:I, I1441)) &gt; 1, "DUPLICATE", "UNIQUE")</f>
        <v>UNIQUE</v>
      </c>
      <c r="L1441" s="18">
        <v>4</v>
      </c>
      <c r="M1441" s="28">
        <v>62</v>
      </c>
      <c r="N1441" s="6">
        <v>1</v>
      </c>
      <c r="O1441" s="30">
        <f t="shared" si="136"/>
        <v>248</v>
      </c>
      <c r="P1441" s="30">
        <f t="shared" si="137"/>
        <v>62</v>
      </c>
      <c r="Q1441" s="1">
        <f>COUNTIFS($P:$P, "&gt;" &amp; $P1441) + 1</f>
        <v>4574</v>
      </c>
      <c r="R1441" s="63">
        <f>(COUNTIFS($P:$P, "&gt;" &amp; $P1441) + 1) / (COUNTA($I:$I) - 1)</f>
        <v>0.91479999999999995</v>
      </c>
      <c r="S1441" s="23">
        <f>SUMIFS($P:$P, $Q:$Q, "&lt;" &amp; $Q1441)</f>
        <v>186542188</v>
      </c>
    </row>
    <row r="1442" spans="1:19" x14ac:dyDescent="0.25">
      <c r="A1442" s="1">
        <v>1437</v>
      </c>
      <c r="B1442" s="1" t="s">
        <v>2</v>
      </c>
      <c r="C1442" s="1" t="str">
        <f>IF($B1442 = "Production Item", _xlfn.XLOOKUP($A1442, 'Instrument Table'!$J:$J, 'Instrument Table'!$B:$B, $C1441), IF($B1442 = "Service Item", _xlfn.XLOOKUP($A1442, 'Instrument Table'!$I:$I, 'Instrument Table'!$B:$B, $C1441), _xlfn.XLOOKUP($A1442, 'Instrument Table'!$H:$H, 'Instrument Table'!$B:$B, $C1441)))</f>
        <v>Acoustic Guitar</v>
      </c>
      <c r="D1442" s="1" t="str">
        <f>VLOOKUP($C1442, 'Instrument Table'!$B:$C, 2, FALSE)</f>
        <v>Strings</v>
      </c>
      <c r="E1442" s="1">
        <f t="shared" si="132"/>
        <v>1</v>
      </c>
      <c r="F1442" s="1">
        <f>_xlfn.XLOOKUP($C1442, 'Instrument Table'!$B:$B, 'Instrument Table'!$A:$A, "")</f>
        <v>24</v>
      </c>
      <c r="G1442" s="1" t="str">
        <f>TEXT(IF($B1442 = "Retail Item", IF((ROW($A1442) - 4504 - _xlfn.XMATCH($C1442, $C$4506:$C$5005, 0, 1)) &lt;= VLOOKUP($C1442, 'Instrument Table'!$B:$D, 3, FALSE), ROW($A1442) - 4504 - _xlfn.XMATCH($C1442, $C$4506:$C$5005, 0, 1), 0), 0), "00")</f>
        <v>00</v>
      </c>
      <c r="H1442" s="1" t="str">
        <f t="shared" si="133"/>
        <v>086</v>
      </c>
      <c r="I1442" s="1" t="str">
        <f t="shared" si="134"/>
        <v>12400-086</v>
      </c>
      <c r="J1442" s="1" t="str">
        <f t="shared" si="135"/>
        <v>Acoustic guitar production item #086</v>
      </c>
      <c r="K1442" s="1" t="str">
        <f>IF(SUM(COUNTIFS(I:I, I1442)) &gt; 1, "DUPLICATE", "UNIQUE")</f>
        <v>UNIQUE</v>
      </c>
      <c r="L1442" s="18">
        <v>0</v>
      </c>
      <c r="M1442" s="28">
        <v>50</v>
      </c>
      <c r="N1442" s="6">
        <v>0</v>
      </c>
      <c r="O1442" s="30">
        <f t="shared" si="136"/>
        <v>0</v>
      </c>
      <c r="P1442" s="30">
        <f t="shared" si="137"/>
        <v>0</v>
      </c>
      <c r="Q1442" s="1">
        <f>COUNTIFS($P:$P, "&gt;" &amp; $P1442) + 1</f>
        <v>4746</v>
      </c>
      <c r="R1442" s="63">
        <f>(COUNTIFS($P:$P, "&gt;" &amp; $P1442) + 1) / (COUNTA($I:$I) - 1)</f>
        <v>0.94920000000000004</v>
      </c>
      <c r="S1442" s="23">
        <f>SUMIFS($P:$P, $Q:$Q, "&lt;" &amp; $Q1442)</f>
        <v>186547861</v>
      </c>
    </row>
    <row r="1443" spans="1:19" x14ac:dyDescent="0.25">
      <c r="A1443" s="1">
        <v>1438</v>
      </c>
      <c r="B1443" s="1" t="s">
        <v>2</v>
      </c>
      <c r="C1443" s="1" t="str">
        <f>IF($B1443 = "Production Item", _xlfn.XLOOKUP($A1443, 'Instrument Table'!$J:$J, 'Instrument Table'!$B:$B, $C1442), IF($B1443 = "Service Item", _xlfn.XLOOKUP($A1443, 'Instrument Table'!$I:$I, 'Instrument Table'!$B:$B, $C1442), _xlfn.XLOOKUP($A1443, 'Instrument Table'!$H:$H, 'Instrument Table'!$B:$B, $C1442)))</f>
        <v>Acoustic Guitar</v>
      </c>
      <c r="D1443" s="1" t="str">
        <f>VLOOKUP($C1443, 'Instrument Table'!$B:$C, 2, FALSE)</f>
        <v>Strings</v>
      </c>
      <c r="E1443" s="1">
        <f t="shared" si="132"/>
        <v>1</v>
      </c>
      <c r="F1443" s="1">
        <f>_xlfn.XLOOKUP($C1443, 'Instrument Table'!$B:$B, 'Instrument Table'!$A:$A, "")</f>
        <v>24</v>
      </c>
      <c r="G1443" s="1" t="str">
        <f>TEXT(IF($B1443 = "Retail Item", IF((ROW($A1443) - 4504 - _xlfn.XMATCH($C1443, $C$4506:$C$5005, 0, 1)) &lt;= VLOOKUP($C1443, 'Instrument Table'!$B:$D, 3, FALSE), ROW($A1443) - 4504 - _xlfn.XMATCH($C1443, $C$4506:$C$5005, 0, 1), 0), 0), "00")</f>
        <v>00</v>
      </c>
      <c r="H1443" s="1" t="str">
        <f t="shared" si="133"/>
        <v>087</v>
      </c>
      <c r="I1443" s="1" t="str">
        <f t="shared" si="134"/>
        <v>12400-087</v>
      </c>
      <c r="J1443" s="1" t="str">
        <f t="shared" si="135"/>
        <v>Acoustic guitar production item #087</v>
      </c>
      <c r="K1443" s="1" t="str">
        <f>IF(SUM(COUNTIFS(I:I, I1443)) &gt; 1, "DUPLICATE", "UNIQUE")</f>
        <v>UNIQUE</v>
      </c>
      <c r="L1443" s="18">
        <v>16</v>
      </c>
      <c r="M1443" s="28">
        <v>94</v>
      </c>
      <c r="N1443" s="6">
        <v>49</v>
      </c>
      <c r="O1443" s="30">
        <f t="shared" si="136"/>
        <v>1504</v>
      </c>
      <c r="P1443" s="30">
        <f t="shared" si="137"/>
        <v>4606</v>
      </c>
      <c r="Q1443" s="1">
        <f>COUNTIFS($P:$P, "&gt;" &amp; $P1443) + 1</f>
        <v>2521</v>
      </c>
      <c r="R1443" s="63">
        <f>(COUNTIFS($P:$P, "&gt;" &amp; $P1443) + 1) / (COUNTA($I:$I) - 1)</f>
        <v>0.50419999999999998</v>
      </c>
      <c r="S1443" s="23">
        <f>SUMIFS($P:$P, $Q:$Q, "&lt;" &amp; $Q1443)</f>
        <v>183213023</v>
      </c>
    </row>
    <row r="1444" spans="1:19" x14ac:dyDescent="0.25">
      <c r="A1444" s="1">
        <v>1439</v>
      </c>
      <c r="B1444" s="1" t="s">
        <v>2</v>
      </c>
      <c r="C1444" s="1" t="str">
        <f>IF($B1444 = "Production Item", _xlfn.XLOOKUP($A1444, 'Instrument Table'!$J:$J, 'Instrument Table'!$B:$B, $C1443), IF($B1444 = "Service Item", _xlfn.XLOOKUP($A1444, 'Instrument Table'!$I:$I, 'Instrument Table'!$B:$B, $C1443), _xlfn.XLOOKUP($A1444, 'Instrument Table'!$H:$H, 'Instrument Table'!$B:$B, $C1443)))</f>
        <v>Acoustic Guitar</v>
      </c>
      <c r="D1444" s="1" t="str">
        <f>VLOOKUP($C1444, 'Instrument Table'!$B:$C, 2, FALSE)</f>
        <v>Strings</v>
      </c>
      <c r="E1444" s="1">
        <f t="shared" si="132"/>
        <v>1</v>
      </c>
      <c r="F1444" s="1">
        <f>_xlfn.XLOOKUP($C1444, 'Instrument Table'!$B:$B, 'Instrument Table'!$A:$A, "")</f>
        <v>24</v>
      </c>
      <c r="G1444" s="1" t="str">
        <f>TEXT(IF($B1444 = "Retail Item", IF((ROW($A1444) - 4504 - _xlfn.XMATCH($C1444, $C$4506:$C$5005, 0, 1)) &lt;= VLOOKUP($C1444, 'Instrument Table'!$B:$D, 3, FALSE), ROW($A1444) - 4504 - _xlfn.XMATCH($C1444, $C$4506:$C$5005, 0, 1), 0), 0), "00")</f>
        <v>00</v>
      </c>
      <c r="H1444" s="1" t="str">
        <f t="shared" si="133"/>
        <v>088</v>
      </c>
      <c r="I1444" s="1" t="str">
        <f t="shared" si="134"/>
        <v>12400-088</v>
      </c>
      <c r="J1444" s="1" t="str">
        <f t="shared" si="135"/>
        <v>Acoustic guitar production item #088</v>
      </c>
      <c r="K1444" s="1" t="str">
        <f>IF(SUM(COUNTIFS(I:I, I1444)) &gt; 1, "DUPLICATE", "UNIQUE")</f>
        <v>UNIQUE</v>
      </c>
      <c r="L1444" s="18">
        <v>8</v>
      </c>
      <c r="M1444" s="28">
        <v>74</v>
      </c>
      <c r="N1444" s="6">
        <v>4</v>
      </c>
      <c r="O1444" s="30">
        <f t="shared" si="136"/>
        <v>592</v>
      </c>
      <c r="P1444" s="30">
        <f t="shared" si="137"/>
        <v>296</v>
      </c>
      <c r="Q1444" s="1">
        <f>COUNTIFS($P:$P, "&gt;" &amp; $P1444) + 1</f>
        <v>4223</v>
      </c>
      <c r="R1444" s="63">
        <f>(COUNTIFS($P:$P, "&gt;" &amp; $P1444) + 1) / (COUNTA($I:$I) - 1)</f>
        <v>0.84460000000000002</v>
      </c>
      <c r="S1444" s="23">
        <f>SUMIFS($P:$P, $Q:$Q, "&lt;" &amp; $Q1444)</f>
        <v>186487421</v>
      </c>
    </row>
    <row r="1445" spans="1:19" x14ac:dyDescent="0.25">
      <c r="A1445" s="1">
        <v>1440</v>
      </c>
      <c r="B1445" s="1" t="s">
        <v>2</v>
      </c>
      <c r="C1445" s="1" t="str">
        <f>IF($B1445 = "Production Item", _xlfn.XLOOKUP($A1445, 'Instrument Table'!$J:$J, 'Instrument Table'!$B:$B, $C1444), IF($B1445 = "Service Item", _xlfn.XLOOKUP($A1445, 'Instrument Table'!$I:$I, 'Instrument Table'!$B:$B, $C1444), _xlfn.XLOOKUP($A1445, 'Instrument Table'!$H:$H, 'Instrument Table'!$B:$B, $C1444)))</f>
        <v>Acoustic Guitar</v>
      </c>
      <c r="D1445" s="1" t="str">
        <f>VLOOKUP($C1445, 'Instrument Table'!$B:$C, 2, FALSE)</f>
        <v>Strings</v>
      </c>
      <c r="E1445" s="1">
        <f t="shared" si="132"/>
        <v>1</v>
      </c>
      <c r="F1445" s="1">
        <f>_xlfn.XLOOKUP($C1445, 'Instrument Table'!$B:$B, 'Instrument Table'!$A:$A, "")</f>
        <v>24</v>
      </c>
      <c r="G1445" s="1" t="str">
        <f>TEXT(IF($B1445 = "Retail Item", IF((ROW($A1445) - 4504 - _xlfn.XMATCH($C1445, $C$4506:$C$5005, 0, 1)) &lt;= VLOOKUP($C1445, 'Instrument Table'!$B:$D, 3, FALSE), ROW($A1445) - 4504 - _xlfn.XMATCH($C1445, $C$4506:$C$5005, 0, 1), 0), 0), "00")</f>
        <v>00</v>
      </c>
      <c r="H1445" s="1" t="str">
        <f t="shared" si="133"/>
        <v>089</v>
      </c>
      <c r="I1445" s="1" t="str">
        <f t="shared" si="134"/>
        <v>12400-089</v>
      </c>
      <c r="J1445" s="1" t="str">
        <f t="shared" si="135"/>
        <v>Acoustic guitar production item #089</v>
      </c>
      <c r="K1445" s="1" t="str">
        <f>IF(SUM(COUNTIFS(I:I, I1445)) &gt; 1, "DUPLICATE", "UNIQUE")</f>
        <v>UNIQUE</v>
      </c>
      <c r="L1445" s="18">
        <v>16</v>
      </c>
      <c r="M1445" s="28">
        <v>6</v>
      </c>
      <c r="N1445" s="6">
        <v>225</v>
      </c>
      <c r="O1445" s="30">
        <f t="shared" si="136"/>
        <v>96</v>
      </c>
      <c r="P1445" s="30">
        <f t="shared" si="137"/>
        <v>1350</v>
      </c>
      <c r="Q1445" s="1">
        <f>COUNTIFS($P:$P, "&gt;" &amp; $P1445) + 1</f>
        <v>3536</v>
      </c>
      <c r="R1445" s="63">
        <f>(COUNTIFS($P:$P, "&gt;" &amp; $P1445) + 1) / (COUNTA($I:$I) - 1)</f>
        <v>0.70720000000000005</v>
      </c>
      <c r="S1445" s="23">
        <f>SUMIFS($P:$P, $Q:$Q, "&lt;" &amp; $Q1445)</f>
        <v>185987313</v>
      </c>
    </row>
    <row r="1446" spans="1:19" x14ac:dyDescent="0.25">
      <c r="A1446" s="1">
        <v>1441</v>
      </c>
      <c r="B1446" s="1" t="s">
        <v>2</v>
      </c>
      <c r="C1446" s="1" t="str">
        <f>IF($B1446 = "Production Item", _xlfn.XLOOKUP($A1446, 'Instrument Table'!$J:$J, 'Instrument Table'!$B:$B, $C1445), IF($B1446 = "Service Item", _xlfn.XLOOKUP($A1446, 'Instrument Table'!$I:$I, 'Instrument Table'!$B:$B, $C1445), _xlfn.XLOOKUP($A1446, 'Instrument Table'!$H:$H, 'Instrument Table'!$B:$B, $C1445)))</f>
        <v>Acoustic Guitar</v>
      </c>
      <c r="D1446" s="1" t="str">
        <f>VLOOKUP($C1446, 'Instrument Table'!$B:$C, 2, FALSE)</f>
        <v>Strings</v>
      </c>
      <c r="E1446" s="1">
        <f t="shared" si="132"/>
        <v>1</v>
      </c>
      <c r="F1446" s="1">
        <f>_xlfn.XLOOKUP($C1446, 'Instrument Table'!$B:$B, 'Instrument Table'!$A:$A, "")</f>
        <v>24</v>
      </c>
      <c r="G1446" s="1" t="str">
        <f>TEXT(IF($B1446 = "Retail Item", IF((ROW($A1446) - 4504 - _xlfn.XMATCH($C1446, $C$4506:$C$5005, 0, 1)) &lt;= VLOOKUP($C1446, 'Instrument Table'!$B:$D, 3, FALSE), ROW($A1446) - 4504 - _xlfn.XMATCH($C1446, $C$4506:$C$5005, 0, 1), 0), 0), "00")</f>
        <v>00</v>
      </c>
      <c r="H1446" s="1" t="str">
        <f t="shared" si="133"/>
        <v>090</v>
      </c>
      <c r="I1446" s="1" t="str">
        <f t="shared" si="134"/>
        <v>12400-090</v>
      </c>
      <c r="J1446" s="1" t="str">
        <f t="shared" si="135"/>
        <v>Acoustic guitar production item #090</v>
      </c>
      <c r="K1446" s="1" t="str">
        <f>IF(SUM(COUNTIFS(I:I, I1446)) &gt; 1, "DUPLICATE", "UNIQUE")</f>
        <v>UNIQUE</v>
      </c>
      <c r="L1446" s="18">
        <v>0</v>
      </c>
      <c r="M1446" s="28">
        <v>24</v>
      </c>
      <c r="N1446" s="6">
        <v>196</v>
      </c>
      <c r="O1446" s="30">
        <f t="shared" si="136"/>
        <v>0</v>
      </c>
      <c r="P1446" s="30">
        <f t="shared" si="137"/>
        <v>4704</v>
      </c>
      <c r="Q1446" s="1">
        <f>COUNTIFS($P:$P, "&gt;" &amp; $P1446) + 1</f>
        <v>2500</v>
      </c>
      <c r="R1446" s="63">
        <f>(COUNTIFS($P:$P, "&gt;" &amp; $P1446) + 1) / (COUNTA($I:$I) - 1)</f>
        <v>0.5</v>
      </c>
      <c r="S1446" s="23">
        <f>SUMIFS($P:$P, $Q:$Q, "&lt;" &amp; $Q1446)</f>
        <v>183115244</v>
      </c>
    </row>
    <row r="1447" spans="1:19" x14ac:dyDescent="0.25">
      <c r="A1447" s="1">
        <v>1442</v>
      </c>
      <c r="B1447" s="1" t="s">
        <v>2</v>
      </c>
      <c r="C1447" s="1" t="str">
        <f>IF($B1447 = "Production Item", _xlfn.XLOOKUP($A1447, 'Instrument Table'!$J:$J, 'Instrument Table'!$B:$B, $C1446), IF($B1447 = "Service Item", _xlfn.XLOOKUP($A1447, 'Instrument Table'!$I:$I, 'Instrument Table'!$B:$B, $C1446), _xlfn.XLOOKUP($A1447, 'Instrument Table'!$H:$H, 'Instrument Table'!$B:$B, $C1446)))</f>
        <v>Acoustic Guitar</v>
      </c>
      <c r="D1447" s="1" t="str">
        <f>VLOOKUP($C1447, 'Instrument Table'!$B:$C, 2, FALSE)</f>
        <v>Strings</v>
      </c>
      <c r="E1447" s="1">
        <f t="shared" si="132"/>
        <v>1</v>
      </c>
      <c r="F1447" s="1">
        <f>_xlfn.XLOOKUP($C1447, 'Instrument Table'!$B:$B, 'Instrument Table'!$A:$A, "")</f>
        <v>24</v>
      </c>
      <c r="G1447" s="1" t="str">
        <f>TEXT(IF($B1447 = "Retail Item", IF((ROW($A1447) - 4504 - _xlfn.XMATCH($C1447, $C$4506:$C$5005, 0, 1)) &lt;= VLOOKUP($C1447, 'Instrument Table'!$B:$D, 3, FALSE), ROW($A1447) - 4504 - _xlfn.XMATCH($C1447, $C$4506:$C$5005, 0, 1), 0), 0), "00")</f>
        <v>00</v>
      </c>
      <c r="H1447" s="1" t="str">
        <f t="shared" si="133"/>
        <v>091</v>
      </c>
      <c r="I1447" s="1" t="str">
        <f t="shared" si="134"/>
        <v>12400-091</v>
      </c>
      <c r="J1447" s="1" t="str">
        <f t="shared" si="135"/>
        <v>Acoustic guitar production item #091</v>
      </c>
      <c r="K1447" s="1" t="str">
        <f>IF(SUM(COUNTIFS(I:I, I1447)) &gt; 1, "DUPLICATE", "UNIQUE")</f>
        <v>UNIQUE</v>
      </c>
      <c r="L1447" s="18">
        <v>0</v>
      </c>
      <c r="M1447" s="28">
        <v>27</v>
      </c>
      <c r="N1447" s="6">
        <v>225</v>
      </c>
      <c r="O1447" s="30">
        <f t="shared" si="136"/>
        <v>0</v>
      </c>
      <c r="P1447" s="30">
        <f t="shared" si="137"/>
        <v>6075</v>
      </c>
      <c r="Q1447" s="1">
        <f>COUNTIFS($P:$P, "&gt;" &amp; $P1447) + 1</f>
        <v>2248</v>
      </c>
      <c r="R1447" s="63">
        <f>(COUNTIFS($P:$P, "&gt;" &amp; $P1447) + 1) / (COUNTA($I:$I) - 1)</f>
        <v>0.4496</v>
      </c>
      <c r="S1447" s="23">
        <f>SUMIFS($P:$P, $Q:$Q, "&lt;" &amp; $Q1447)</f>
        <v>181754966</v>
      </c>
    </row>
    <row r="1448" spans="1:19" x14ac:dyDescent="0.25">
      <c r="A1448" s="1">
        <v>1443</v>
      </c>
      <c r="B1448" s="1" t="s">
        <v>2</v>
      </c>
      <c r="C1448" s="1" t="str">
        <f>IF($B1448 = "Production Item", _xlfn.XLOOKUP($A1448, 'Instrument Table'!$J:$J, 'Instrument Table'!$B:$B, $C1447), IF($B1448 = "Service Item", _xlfn.XLOOKUP($A1448, 'Instrument Table'!$I:$I, 'Instrument Table'!$B:$B, $C1447), _xlfn.XLOOKUP($A1448, 'Instrument Table'!$H:$H, 'Instrument Table'!$B:$B, $C1447)))</f>
        <v>Acoustic Guitar</v>
      </c>
      <c r="D1448" s="1" t="str">
        <f>VLOOKUP($C1448, 'Instrument Table'!$B:$C, 2, FALSE)</f>
        <v>Strings</v>
      </c>
      <c r="E1448" s="1">
        <f t="shared" si="132"/>
        <v>1</v>
      </c>
      <c r="F1448" s="1">
        <f>_xlfn.XLOOKUP($C1448, 'Instrument Table'!$B:$B, 'Instrument Table'!$A:$A, "")</f>
        <v>24</v>
      </c>
      <c r="G1448" s="1" t="str">
        <f>TEXT(IF($B1448 = "Retail Item", IF((ROW($A1448) - 4504 - _xlfn.XMATCH($C1448, $C$4506:$C$5005, 0, 1)) &lt;= VLOOKUP($C1448, 'Instrument Table'!$B:$D, 3, FALSE), ROW($A1448) - 4504 - _xlfn.XMATCH($C1448, $C$4506:$C$5005, 0, 1), 0), 0), "00")</f>
        <v>00</v>
      </c>
      <c r="H1448" s="1" t="str">
        <f t="shared" si="133"/>
        <v>092</v>
      </c>
      <c r="I1448" s="1" t="str">
        <f t="shared" si="134"/>
        <v>12400-092</v>
      </c>
      <c r="J1448" s="1" t="str">
        <f t="shared" si="135"/>
        <v>Acoustic guitar production item #092</v>
      </c>
      <c r="K1448" s="1" t="str">
        <f>IF(SUM(COUNTIFS(I:I, I1448)) &gt; 1, "DUPLICATE", "UNIQUE")</f>
        <v>UNIQUE</v>
      </c>
      <c r="L1448" s="18">
        <v>0</v>
      </c>
      <c r="M1448" s="28">
        <v>34</v>
      </c>
      <c r="N1448" s="6">
        <v>324</v>
      </c>
      <c r="O1448" s="30">
        <f t="shared" si="136"/>
        <v>0</v>
      </c>
      <c r="P1448" s="30">
        <f t="shared" si="137"/>
        <v>11016</v>
      </c>
      <c r="Q1448" s="1">
        <f>COUNTIFS($P:$P, "&gt;" &amp; $P1448) + 1</f>
        <v>1677</v>
      </c>
      <c r="R1448" s="63">
        <f>(COUNTIFS($P:$P, "&gt;" &amp; $P1448) + 1) / (COUNTA($I:$I) - 1)</f>
        <v>0.33539999999999998</v>
      </c>
      <c r="S1448" s="23">
        <f>SUMIFS($P:$P, $Q:$Q, "&lt;" &amp; $Q1448)</f>
        <v>176961534</v>
      </c>
    </row>
    <row r="1449" spans="1:19" x14ac:dyDescent="0.25">
      <c r="A1449" s="1">
        <v>1444</v>
      </c>
      <c r="B1449" s="1" t="s">
        <v>2</v>
      </c>
      <c r="C1449" s="1" t="str">
        <f>IF($B1449 = "Production Item", _xlfn.XLOOKUP($A1449, 'Instrument Table'!$J:$J, 'Instrument Table'!$B:$B, $C1448), IF($B1449 = "Service Item", _xlfn.XLOOKUP($A1449, 'Instrument Table'!$I:$I, 'Instrument Table'!$B:$B, $C1448), _xlfn.XLOOKUP($A1449, 'Instrument Table'!$H:$H, 'Instrument Table'!$B:$B, $C1448)))</f>
        <v>Acoustic Guitar</v>
      </c>
      <c r="D1449" s="1" t="str">
        <f>VLOOKUP($C1449, 'Instrument Table'!$B:$C, 2, FALSE)</f>
        <v>Strings</v>
      </c>
      <c r="E1449" s="1">
        <f t="shared" si="132"/>
        <v>1</v>
      </c>
      <c r="F1449" s="1">
        <f>_xlfn.XLOOKUP($C1449, 'Instrument Table'!$B:$B, 'Instrument Table'!$A:$A, "")</f>
        <v>24</v>
      </c>
      <c r="G1449" s="1" t="str">
        <f>TEXT(IF($B1449 = "Retail Item", IF((ROW($A1449) - 4504 - _xlfn.XMATCH($C1449, $C$4506:$C$5005, 0, 1)) &lt;= VLOOKUP($C1449, 'Instrument Table'!$B:$D, 3, FALSE), ROW($A1449) - 4504 - _xlfn.XMATCH($C1449, $C$4506:$C$5005, 0, 1), 0), 0), "00")</f>
        <v>00</v>
      </c>
      <c r="H1449" s="1" t="str">
        <f t="shared" si="133"/>
        <v>093</v>
      </c>
      <c r="I1449" s="1" t="str">
        <f t="shared" si="134"/>
        <v>12400-093</v>
      </c>
      <c r="J1449" s="1" t="str">
        <f t="shared" si="135"/>
        <v>Acoustic guitar production item #093</v>
      </c>
      <c r="K1449" s="1" t="str">
        <f>IF(SUM(COUNTIFS(I:I, I1449)) &gt; 1, "DUPLICATE", "UNIQUE")</f>
        <v>UNIQUE</v>
      </c>
      <c r="L1449" s="18">
        <v>0</v>
      </c>
      <c r="M1449" s="28">
        <v>30</v>
      </c>
      <c r="N1449" s="6">
        <v>324</v>
      </c>
      <c r="O1449" s="30">
        <f t="shared" si="136"/>
        <v>0</v>
      </c>
      <c r="P1449" s="30">
        <f t="shared" si="137"/>
        <v>9720</v>
      </c>
      <c r="Q1449" s="1">
        <f>COUNTIFS($P:$P, "&gt;" &amp; $P1449) + 1</f>
        <v>1795</v>
      </c>
      <c r="R1449" s="63">
        <f>(COUNTIFS($P:$P, "&gt;" &amp; $P1449) + 1) / (COUNTA($I:$I) - 1)</f>
        <v>0.35899999999999999</v>
      </c>
      <c r="S1449" s="23">
        <f>SUMIFS($P:$P, $Q:$Q, "&lt;" &amp; $Q1449)</f>
        <v>178192728</v>
      </c>
    </row>
    <row r="1450" spans="1:19" x14ac:dyDescent="0.25">
      <c r="A1450" s="1">
        <v>1445</v>
      </c>
      <c r="B1450" s="1" t="s">
        <v>2</v>
      </c>
      <c r="C1450" s="1" t="str">
        <f>IF($B1450 = "Production Item", _xlfn.XLOOKUP($A1450, 'Instrument Table'!$J:$J, 'Instrument Table'!$B:$B, $C1449), IF($B1450 = "Service Item", _xlfn.XLOOKUP($A1450, 'Instrument Table'!$I:$I, 'Instrument Table'!$B:$B, $C1449), _xlfn.XLOOKUP($A1450, 'Instrument Table'!$H:$H, 'Instrument Table'!$B:$B, $C1449)))</f>
        <v>Acoustic Guitar</v>
      </c>
      <c r="D1450" s="1" t="str">
        <f>VLOOKUP($C1450, 'Instrument Table'!$B:$C, 2, FALSE)</f>
        <v>Strings</v>
      </c>
      <c r="E1450" s="1">
        <f t="shared" si="132"/>
        <v>1</v>
      </c>
      <c r="F1450" s="1">
        <f>_xlfn.XLOOKUP($C1450, 'Instrument Table'!$B:$B, 'Instrument Table'!$A:$A, "")</f>
        <v>24</v>
      </c>
      <c r="G1450" s="1" t="str">
        <f>TEXT(IF($B1450 = "Retail Item", IF((ROW($A1450) - 4504 - _xlfn.XMATCH($C1450, $C$4506:$C$5005, 0, 1)) &lt;= VLOOKUP($C1450, 'Instrument Table'!$B:$D, 3, FALSE), ROW($A1450) - 4504 - _xlfn.XMATCH($C1450, $C$4506:$C$5005, 0, 1), 0), 0), "00")</f>
        <v>00</v>
      </c>
      <c r="H1450" s="1" t="str">
        <f t="shared" si="133"/>
        <v>094</v>
      </c>
      <c r="I1450" s="1" t="str">
        <f t="shared" si="134"/>
        <v>12400-094</v>
      </c>
      <c r="J1450" s="1" t="str">
        <f t="shared" si="135"/>
        <v>Acoustic guitar production item #094</v>
      </c>
      <c r="K1450" s="1" t="str">
        <f>IF(SUM(COUNTIFS(I:I, I1450)) &gt; 1, "DUPLICATE", "UNIQUE")</f>
        <v>UNIQUE</v>
      </c>
      <c r="L1450" s="18">
        <v>32</v>
      </c>
      <c r="M1450" s="28">
        <v>51</v>
      </c>
      <c r="N1450" s="6">
        <v>225</v>
      </c>
      <c r="O1450" s="30">
        <f t="shared" si="136"/>
        <v>1632</v>
      </c>
      <c r="P1450" s="30">
        <f t="shared" si="137"/>
        <v>11475</v>
      </c>
      <c r="Q1450" s="1">
        <f>COUNTIFS($P:$P, "&gt;" &amp; $P1450) + 1</f>
        <v>1643</v>
      </c>
      <c r="R1450" s="63">
        <f>(COUNTIFS($P:$P, "&gt;" &amp; $P1450) + 1) / (COUNTA($I:$I) - 1)</f>
        <v>0.3286</v>
      </c>
      <c r="S1450" s="23">
        <f>SUMIFS($P:$P, $Q:$Q, "&lt;" &amp; $Q1450)</f>
        <v>176578082</v>
      </c>
    </row>
    <row r="1451" spans="1:19" x14ac:dyDescent="0.25">
      <c r="A1451" s="1">
        <v>1446</v>
      </c>
      <c r="B1451" s="1" t="s">
        <v>2</v>
      </c>
      <c r="C1451" s="1" t="str">
        <f>IF($B1451 = "Production Item", _xlfn.XLOOKUP($A1451, 'Instrument Table'!$J:$J, 'Instrument Table'!$B:$B, $C1450), IF($B1451 = "Service Item", _xlfn.XLOOKUP($A1451, 'Instrument Table'!$I:$I, 'Instrument Table'!$B:$B, $C1450), _xlfn.XLOOKUP($A1451, 'Instrument Table'!$H:$H, 'Instrument Table'!$B:$B, $C1450)))</f>
        <v>Acoustic Guitar</v>
      </c>
      <c r="D1451" s="1" t="str">
        <f>VLOOKUP($C1451, 'Instrument Table'!$B:$C, 2, FALSE)</f>
        <v>Strings</v>
      </c>
      <c r="E1451" s="1">
        <f t="shared" si="132"/>
        <v>1</v>
      </c>
      <c r="F1451" s="1">
        <f>_xlfn.XLOOKUP($C1451, 'Instrument Table'!$B:$B, 'Instrument Table'!$A:$A, "")</f>
        <v>24</v>
      </c>
      <c r="G1451" s="1" t="str">
        <f>TEXT(IF($B1451 = "Retail Item", IF((ROW($A1451) - 4504 - _xlfn.XMATCH($C1451, $C$4506:$C$5005, 0, 1)) &lt;= VLOOKUP($C1451, 'Instrument Table'!$B:$D, 3, FALSE), ROW($A1451) - 4504 - _xlfn.XMATCH($C1451, $C$4506:$C$5005, 0, 1), 0), 0), "00")</f>
        <v>00</v>
      </c>
      <c r="H1451" s="1" t="str">
        <f t="shared" si="133"/>
        <v>095</v>
      </c>
      <c r="I1451" s="1" t="str">
        <f t="shared" si="134"/>
        <v>12400-095</v>
      </c>
      <c r="J1451" s="1" t="str">
        <f t="shared" si="135"/>
        <v>Acoustic guitar production item #095</v>
      </c>
      <c r="K1451" s="1" t="str">
        <f>IF(SUM(COUNTIFS(I:I, I1451)) &gt; 1, "DUPLICATE", "UNIQUE")</f>
        <v>UNIQUE</v>
      </c>
      <c r="L1451" s="18">
        <v>16</v>
      </c>
      <c r="M1451" s="28">
        <v>52</v>
      </c>
      <c r="N1451" s="6">
        <v>225</v>
      </c>
      <c r="O1451" s="30">
        <f t="shared" si="136"/>
        <v>832</v>
      </c>
      <c r="P1451" s="30">
        <f t="shared" si="137"/>
        <v>11700</v>
      </c>
      <c r="Q1451" s="1">
        <f>COUNTIFS($P:$P, "&gt;" &amp; $P1451) + 1</f>
        <v>1603</v>
      </c>
      <c r="R1451" s="63">
        <f>(COUNTIFS($P:$P, "&gt;" &amp; $P1451) + 1) / (COUNTA($I:$I) - 1)</f>
        <v>0.3206</v>
      </c>
      <c r="S1451" s="23">
        <f>SUMIFS($P:$P, $Q:$Q, "&lt;" &amp; $Q1451)</f>
        <v>176113924</v>
      </c>
    </row>
    <row r="1452" spans="1:19" x14ac:dyDescent="0.25">
      <c r="A1452" s="1">
        <v>1447</v>
      </c>
      <c r="B1452" s="1" t="s">
        <v>2</v>
      </c>
      <c r="C1452" s="1" t="str">
        <f>IF($B1452 = "Production Item", _xlfn.XLOOKUP($A1452, 'Instrument Table'!$J:$J, 'Instrument Table'!$B:$B, $C1451), IF($B1452 = "Service Item", _xlfn.XLOOKUP($A1452, 'Instrument Table'!$I:$I, 'Instrument Table'!$B:$B, $C1451), _xlfn.XLOOKUP($A1452, 'Instrument Table'!$H:$H, 'Instrument Table'!$B:$B, $C1451)))</f>
        <v>Acoustic Guitar</v>
      </c>
      <c r="D1452" s="1" t="str">
        <f>VLOOKUP($C1452, 'Instrument Table'!$B:$C, 2, FALSE)</f>
        <v>Strings</v>
      </c>
      <c r="E1452" s="1">
        <f t="shared" si="132"/>
        <v>1</v>
      </c>
      <c r="F1452" s="1">
        <f>_xlfn.XLOOKUP($C1452, 'Instrument Table'!$B:$B, 'Instrument Table'!$A:$A, "")</f>
        <v>24</v>
      </c>
      <c r="G1452" s="1" t="str">
        <f>TEXT(IF($B1452 = "Retail Item", IF((ROW($A1452) - 4504 - _xlfn.XMATCH($C1452, $C$4506:$C$5005, 0, 1)) &lt;= VLOOKUP($C1452, 'Instrument Table'!$B:$D, 3, FALSE), ROW($A1452) - 4504 - _xlfn.XMATCH($C1452, $C$4506:$C$5005, 0, 1), 0), 0), "00")</f>
        <v>00</v>
      </c>
      <c r="H1452" s="1" t="str">
        <f t="shared" si="133"/>
        <v>096</v>
      </c>
      <c r="I1452" s="1" t="str">
        <f t="shared" si="134"/>
        <v>12400-096</v>
      </c>
      <c r="J1452" s="1" t="str">
        <f t="shared" si="135"/>
        <v>Acoustic guitar production item #096</v>
      </c>
      <c r="K1452" s="1" t="str">
        <f>IF(SUM(COUNTIFS(I:I, I1452)) &gt; 1, "DUPLICATE", "UNIQUE")</f>
        <v>UNIQUE</v>
      </c>
      <c r="L1452" s="18">
        <v>0</v>
      </c>
      <c r="M1452" s="28">
        <v>85</v>
      </c>
      <c r="N1452" s="6">
        <v>361</v>
      </c>
      <c r="O1452" s="30">
        <f t="shared" si="136"/>
        <v>0</v>
      </c>
      <c r="P1452" s="30">
        <f t="shared" si="137"/>
        <v>30685</v>
      </c>
      <c r="Q1452" s="1">
        <f>COUNTIFS($P:$P, "&gt;" &amp; $P1452) + 1</f>
        <v>679</v>
      </c>
      <c r="R1452" s="63">
        <f>(COUNTIFS($P:$P, "&gt;" &amp; $P1452) + 1) / (COUNTA($I:$I) - 1)</f>
        <v>0.1358</v>
      </c>
      <c r="S1452" s="23">
        <f>SUMIFS($P:$P, $Q:$Q, "&lt;" &amp; $Q1452)</f>
        <v>158454634</v>
      </c>
    </row>
    <row r="1453" spans="1:19" x14ac:dyDescent="0.25">
      <c r="A1453" s="1">
        <v>1448</v>
      </c>
      <c r="B1453" s="1" t="s">
        <v>2</v>
      </c>
      <c r="C1453" s="1" t="str">
        <f>IF($B1453 = "Production Item", _xlfn.XLOOKUP($A1453, 'Instrument Table'!$J:$J, 'Instrument Table'!$B:$B, $C1452), IF($B1453 = "Service Item", _xlfn.XLOOKUP($A1453, 'Instrument Table'!$I:$I, 'Instrument Table'!$B:$B, $C1452), _xlfn.XLOOKUP($A1453, 'Instrument Table'!$H:$H, 'Instrument Table'!$B:$B, $C1452)))</f>
        <v>Acoustic Guitar</v>
      </c>
      <c r="D1453" s="1" t="str">
        <f>VLOOKUP($C1453, 'Instrument Table'!$B:$C, 2, FALSE)</f>
        <v>Strings</v>
      </c>
      <c r="E1453" s="1">
        <f t="shared" si="132"/>
        <v>1</v>
      </c>
      <c r="F1453" s="1">
        <f>_xlfn.XLOOKUP($C1453, 'Instrument Table'!$B:$B, 'Instrument Table'!$A:$A, "")</f>
        <v>24</v>
      </c>
      <c r="G1453" s="1" t="str">
        <f>TEXT(IF($B1453 = "Retail Item", IF((ROW($A1453) - 4504 - _xlfn.XMATCH($C1453, $C$4506:$C$5005, 0, 1)) &lt;= VLOOKUP($C1453, 'Instrument Table'!$B:$D, 3, FALSE), ROW($A1453) - 4504 - _xlfn.XMATCH($C1453, $C$4506:$C$5005, 0, 1), 0), 0), "00")</f>
        <v>00</v>
      </c>
      <c r="H1453" s="1" t="str">
        <f t="shared" si="133"/>
        <v>097</v>
      </c>
      <c r="I1453" s="1" t="str">
        <f t="shared" si="134"/>
        <v>12400-097</v>
      </c>
      <c r="J1453" s="1" t="str">
        <f t="shared" si="135"/>
        <v>Acoustic guitar production item #097</v>
      </c>
      <c r="K1453" s="1" t="str">
        <f>IF(SUM(COUNTIFS(I:I, I1453)) &gt; 1, "DUPLICATE", "UNIQUE")</f>
        <v>UNIQUE</v>
      </c>
      <c r="L1453" s="18">
        <v>0</v>
      </c>
      <c r="M1453" s="28">
        <v>15</v>
      </c>
      <c r="N1453" s="6">
        <v>36</v>
      </c>
      <c r="O1453" s="30">
        <f t="shared" si="136"/>
        <v>0</v>
      </c>
      <c r="P1453" s="30">
        <f t="shared" si="137"/>
        <v>540</v>
      </c>
      <c r="Q1453" s="1">
        <f>COUNTIFS($P:$P, "&gt;" &amp; $P1453) + 1</f>
        <v>3988</v>
      </c>
      <c r="R1453" s="63">
        <f>(COUNTIFS($P:$P, "&gt;" &amp; $P1453) + 1) / (COUNTA($I:$I) - 1)</f>
        <v>0.79759999999999998</v>
      </c>
      <c r="S1453" s="23">
        <f>SUMIFS($P:$P, $Q:$Q, "&lt;" &amp; $Q1453)</f>
        <v>186391860</v>
      </c>
    </row>
    <row r="1454" spans="1:19" x14ac:dyDescent="0.25">
      <c r="A1454" s="1">
        <v>1449</v>
      </c>
      <c r="B1454" s="1" t="s">
        <v>2</v>
      </c>
      <c r="C1454" s="1" t="str">
        <f>IF($B1454 = "Production Item", _xlfn.XLOOKUP($A1454, 'Instrument Table'!$J:$J, 'Instrument Table'!$B:$B, $C1453), IF($B1454 = "Service Item", _xlfn.XLOOKUP($A1454, 'Instrument Table'!$I:$I, 'Instrument Table'!$B:$B, $C1453), _xlfn.XLOOKUP($A1454, 'Instrument Table'!$H:$H, 'Instrument Table'!$B:$B, $C1453)))</f>
        <v>Acoustic Guitar</v>
      </c>
      <c r="D1454" s="1" t="str">
        <f>VLOOKUP($C1454, 'Instrument Table'!$B:$C, 2, FALSE)</f>
        <v>Strings</v>
      </c>
      <c r="E1454" s="1">
        <f t="shared" si="132"/>
        <v>1</v>
      </c>
      <c r="F1454" s="1">
        <f>_xlfn.XLOOKUP($C1454, 'Instrument Table'!$B:$B, 'Instrument Table'!$A:$A, "")</f>
        <v>24</v>
      </c>
      <c r="G1454" s="1" t="str">
        <f>TEXT(IF($B1454 = "Retail Item", IF((ROW($A1454) - 4504 - _xlfn.XMATCH($C1454, $C$4506:$C$5005, 0, 1)) &lt;= VLOOKUP($C1454, 'Instrument Table'!$B:$D, 3, FALSE), ROW($A1454) - 4504 - _xlfn.XMATCH($C1454, $C$4506:$C$5005, 0, 1), 0), 0), "00")</f>
        <v>00</v>
      </c>
      <c r="H1454" s="1" t="str">
        <f t="shared" si="133"/>
        <v>098</v>
      </c>
      <c r="I1454" s="1" t="str">
        <f t="shared" si="134"/>
        <v>12400-098</v>
      </c>
      <c r="J1454" s="1" t="str">
        <f t="shared" si="135"/>
        <v>Acoustic guitar production item #098</v>
      </c>
      <c r="K1454" s="1" t="str">
        <f>IF(SUM(COUNTIFS(I:I, I1454)) &gt; 1, "DUPLICATE", "UNIQUE")</f>
        <v>UNIQUE</v>
      </c>
      <c r="L1454" s="18">
        <v>0</v>
      </c>
      <c r="M1454" s="28">
        <v>59</v>
      </c>
      <c r="N1454" s="6">
        <v>361</v>
      </c>
      <c r="O1454" s="30">
        <f t="shared" si="136"/>
        <v>0</v>
      </c>
      <c r="P1454" s="30">
        <f t="shared" si="137"/>
        <v>21299</v>
      </c>
      <c r="Q1454" s="1">
        <f>COUNTIFS($P:$P, "&gt;" &amp; $P1454) + 1</f>
        <v>991</v>
      </c>
      <c r="R1454" s="63">
        <f>(COUNTIFS($P:$P, "&gt;" &amp; $P1454) + 1) / (COUNTA($I:$I) - 1)</f>
        <v>0.19819999999999999</v>
      </c>
      <c r="S1454" s="23">
        <f>SUMIFS($P:$P, $Q:$Q, "&lt;" &amp; $Q1454)</f>
        <v>166300051</v>
      </c>
    </row>
    <row r="1455" spans="1:19" x14ac:dyDescent="0.25">
      <c r="A1455" s="1">
        <v>1450</v>
      </c>
      <c r="B1455" s="1" t="s">
        <v>2</v>
      </c>
      <c r="C1455" s="1" t="str">
        <f>IF($B1455 = "Production Item", _xlfn.XLOOKUP($A1455, 'Instrument Table'!$J:$J, 'Instrument Table'!$B:$B, $C1454), IF($B1455 = "Service Item", _xlfn.XLOOKUP($A1455, 'Instrument Table'!$I:$I, 'Instrument Table'!$B:$B, $C1454), _xlfn.XLOOKUP($A1455, 'Instrument Table'!$H:$H, 'Instrument Table'!$B:$B, $C1454)))</f>
        <v>Acoustic Guitar</v>
      </c>
      <c r="D1455" s="1" t="str">
        <f>VLOOKUP($C1455, 'Instrument Table'!$B:$C, 2, FALSE)</f>
        <v>Strings</v>
      </c>
      <c r="E1455" s="1">
        <f t="shared" si="132"/>
        <v>1</v>
      </c>
      <c r="F1455" s="1">
        <f>_xlfn.XLOOKUP($C1455, 'Instrument Table'!$B:$B, 'Instrument Table'!$A:$A, "")</f>
        <v>24</v>
      </c>
      <c r="G1455" s="1" t="str">
        <f>TEXT(IF($B1455 = "Retail Item", IF((ROW($A1455) - 4504 - _xlfn.XMATCH($C1455, $C$4506:$C$5005, 0, 1)) &lt;= VLOOKUP($C1455, 'Instrument Table'!$B:$D, 3, FALSE), ROW($A1455) - 4504 - _xlfn.XMATCH($C1455, $C$4506:$C$5005, 0, 1), 0), 0), "00")</f>
        <v>00</v>
      </c>
      <c r="H1455" s="1" t="str">
        <f t="shared" si="133"/>
        <v>099</v>
      </c>
      <c r="I1455" s="1" t="str">
        <f t="shared" si="134"/>
        <v>12400-099</v>
      </c>
      <c r="J1455" s="1" t="str">
        <f t="shared" si="135"/>
        <v>Acoustic guitar production item #099</v>
      </c>
      <c r="K1455" s="1" t="str">
        <f>IF(SUM(COUNTIFS(I:I, I1455)) &gt; 1, "DUPLICATE", "UNIQUE")</f>
        <v>UNIQUE</v>
      </c>
      <c r="L1455" s="18">
        <v>1</v>
      </c>
      <c r="M1455" s="28">
        <v>96</v>
      </c>
      <c r="N1455" s="6">
        <v>25</v>
      </c>
      <c r="O1455" s="30">
        <f t="shared" si="136"/>
        <v>96</v>
      </c>
      <c r="P1455" s="30">
        <f t="shared" si="137"/>
        <v>2400</v>
      </c>
      <c r="Q1455" s="1">
        <f>COUNTIFS($P:$P, "&gt;" &amp; $P1455) + 1</f>
        <v>3090</v>
      </c>
      <c r="R1455" s="63">
        <f>(COUNTIFS($P:$P, "&gt;" &amp; $P1455) + 1) / (COUNTA($I:$I) - 1)</f>
        <v>0.61799999999999999</v>
      </c>
      <c r="S1455" s="23">
        <f>SUMIFS($P:$P, $Q:$Q, "&lt;" &amp; $Q1455)</f>
        <v>185158622</v>
      </c>
    </row>
    <row r="1456" spans="1:19" x14ac:dyDescent="0.25">
      <c r="A1456" s="1">
        <v>1451</v>
      </c>
      <c r="B1456" s="1" t="s">
        <v>2</v>
      </c>
      <c r="C1456" s="1" t="str">
        <f>IF($B1456 = "Production Item", _xlfn.XLOOKUP($A1456, 'Instrument Table'!$J:$J, 'Instrument Table'!$B:$B, $C1455), IF($B1456 = "Service Item", _xlfn.XLOOKUP($A1456, 'Instrument Table'!$I:$I, 'Instrument Table'!$B:$B, $C1455), _xlfn.XLOOKUP($A1456, 'Instrument Table'!$H:$H, 'Instrument Table'!$B:$B, $C1455)))</f>
        <v>Acoustic Guitar</v>
      </c>
      <c r="D1456" s="1" t="str">
        <f>VLOOKUP($C1456, 'Instrument Table'!$B:$C, 2, FALSE)</f>
        <v>Strings</v>
      </c>
      <c r="E1456" s="1">
        <f t="shared" si="132"/>
        <v>1</v>
      </c>
      <c r="F1456" s="1">
        <f>_xlfn.XLOOKUP($C1456, 'Instrument Table'!$B:$B, 'Instrument Table'!$A:$A, "")</f>
        <v>24</v>
      </c>
      <c r="G1456" s="1" t="str">
        <f>TEXT(IF($B1456 = "Retail Item", IF((ROW($A1456) - 4504 - _xlfn.XMATCH($C1456, $C$4506:$C$5005, 0, 1)) &lt;= VLOOKUP($C1456, 'Instrument Table'!$B:$D, 3, FALSE), ROW($A1456) - 4504 - _xlfn.XMATCH($C1456, $C$4506:$C$5005, 0, 1), 0), 0), "00")</f>
        <v>00</v>
      </c>
      <c r="H1456" s="1" t="str">
        <f t="shared" si="133"/>
        <v>100</v>
      </c>
      <c r="I1456" s="1" t="str">
        <f t="shared" si="134"/>
        <v>12400-100</v>
      </c>
      <c r="J1456" s="1" t="str">
        <f t="shared" si="135"/>
        <v>Acoustic guitar production item #100</v>
      </c>
      <c r="K1456" s="1" t="str">
        <f>IF(SUM(COUNTIFS(I:I, I1456)) &gt; 1, "DUPLICATE", "UNIQUE")</f>
        <v>UNIQUE</v>
      </c>
      <c r="L1456" s="18">
        <v>16</v>
      </c>
      <c r="M1456" s="28">
        <v>14</v>
      </c>
      <c r="N1456" s="6">
        <v>225</v>
      </c>
      <c r="O1456" s="30">
        <f t="shared" si="136"/>
        <v>224</v>
      </c>
      <c r="P1456" s="30">
        <f t="shared" si="137"/>
        <v>3150</v>
      </c>
      <c r="Q1456" s="1">
        <f>COUNTIFS($P:$P, "&gt;" &amp; $P1456) + 1</f>
        <v>2869</v>
      </c>
      <c r="R1456" s="63">
        <f>(COUNTIFS($P:$P, "&gt;" &amp; $P1456) + 1) / (COUNTA($I:$I) - 1)</f>
        <v>0.57379999999999998</v>
      </c>
      <c r="S1456" s="23">
        <f>SUMIFS($P:$P, $Q:$Q, "&lt;" &amp; $Q1456)</f>
        <v>184552484</v>
      </c>
    </row>
    <row r="1457" spans="1:19" x14ac:dyDescent="0.25">
      <c r="A1457" s="1">
        <v>1452</v>
      </c>
      <c r="B1457" s="1" t="s">
        <v>2</v>
      </c>
      <c r="C1457" s="1" t="str">
        <f>IF($B1457 = "Production Item", _xlfn.XLOOKUP($A1457, 'Instrument Table'!$J:$J, 'Instrument Table'!$B:$B, $C1456), IF($B1457 = "Service Item", _xlfn.XLOOKUP($A1457, 'Instrument Table'!$I:$I, 'Instrument Table'!$B:$B, $C1456), _xlfn.XLOOKUP($A1457, 'Instrument Table'!$H:$H, 'Instrument Table'!$B:$B, $C1456)))</f>
        <v>Acoustic Guitar</v>
      </c>
      <c r="D1457" s="1" t="str">
        <f>VLOOKUP($C1457, 'Instrument Table'!$B:$C, 2, FALSE)</f>
        <v>Strings</v>
      </c>
      <c r="E1457" s="1">
        <f t="shared" si="132"/>
        <v>1</v>
      </c>
      <c r="F1457" s="1">
        <f>_xlfn.XLOOKUP($C1457, 'Instrument Table'!$B:$B, 'Instrument Table'!$A:$A, "")</f>
        <v>24</v>
      </c>
      <c r="G1457" s="1" t="str">
        <f>TEXT(IF($B1457 = "Retail Item", IF((ROW($A1457) - 4504 - _xlfn.XMATCH($C1457, $C$4506:$C$5005, 0, 1)) &lt;= VLOOKUP($C1457, 'Instrument Table'!$B:$D, 3, FALSE), ROW($A1457) - 4504 - _xlfn.XMATCH($C1457, $C$4506:$C$5005, 0, 1), 0), 0), "00")</f>
        <v>00</v>
      </c>
      <c r="H1457" s="1" t="str">
        <f t="shared" si="133"/>
        <v>101</v>
      </c>
      <c r="I1457" s="1" t="str">
        <f t="shared" si="134"/>
        <v>12400-101</v>
      </c>
      <c r="J1457" s="1" t="str">
        <f t="shared" si="135"/>
        <v>Acoustic guitar production item #101</v>
      </c>
      <c r="K1457" s="1" t="str">
        <f>IF(SUM(COUNTIFS(I:I, I1457)) &gt; 1, "DUPLICATE", "UNIQUE")</f>
        <v>UNIQUE</v>
      </c>
      <c r="L1457" s="18">
        <v>0</v>
      </c>
      <c r="M1457" s="28">
        <v>50</v>
      </c>
      <c r="N1457" s="6">
        <v>9</v>
      </c>
      <c r="O1457" s="30">
        <f t="shared" si="136"/>
        <v>0</v>
      </c>
      <c r="P1457" s="30">
        <f t="shared" si="137"/>
        <v>450</v>
      </c>
      <c r="Q1457" s="1">
        <f>COUNTIFS($P:$P, "&gt;" &amp; $P1457) + 1</f>
        <v>4054</v>
      </c>
      <c r="R1457" s="63">
        <f>(COUNTIFS($P:$P, "&gt;" &amp; $P1457) + 1) / (COUNTA($I:$I) - 1)</f>
        <v>0.81079999999999997</v>
      </c>
      <c r="S1457" s="23">
        <f>SUMIFS($P:$P, $Q:$Q, "&lt;" &amp; $Q1457)</f>
        <v>186425250</v>
      </c>
    </row>
    <row r="1458" spans="1:19" x14ac:dyDescent="0.25">
      <c r="A1458" s="1">
        <v>1453</v>
      </c>
      <c r="B1458" s="1" t="s">
        <v>2</v>
      </c>
      <c r="C1458" s="1" t="str">
        <f>IF($B1458 = "Production Item", _xlfn.XLOOKUP($A1458, 'Instrument Table'!$J:$J, 'Instrument Table'!$B:$B, $C1457), IF($B1458 = "Service Item", _xlfn.XLOOKUP($A1458, 'Instrument Table'!$I:$I, 'Instrument Table'!$B:$B, $C1457), _xlfn.XLOOKUP($A1458, 'Instrument Table'!$H:$H, 'Instrument Table'!$B:$B, $C1457)))</f>
        <v>Acoustic Guitar</v>
      </c>
      <c r="D1458" s="1" t="str">
        <f>VLOOKUP($C1458, 'Instrument Table'!$B:$C, 2, FALSE)</f>
        <v>Strings</v>
      </c>
      <c r="E1458" s="1">
        <f t="shared" si="132"/>
        <v>1</v>
      </c>
      <c r="F1458" s="1">
        <f>_xlfn.XLOOKUP($C1458, 'Instrument Table'!$B:$B, 'Instrument Table'!$A:$A, "")</f>
        <v>24</v>
      </c>
      <c r="G1458" s="1" t="str">
        <f>TEXT(IF($B1458 = "Retail Item", IF((ROW($A1458) - 4504 - _xlfn.XMATCH($C1458, $C$4506:$C$5005, 0, 1)) &lt;= VLOOKUP($C1458, 'Instrument Table'!$B:$D, 3, FALSE), ROW($A1458) - 4504 - _xlfn.XMATCH($C1458, $C$4506:$C$5005, 0, 1), 0), 0), "00")</f>
        <v>00</v>
      </c>
      <c r="H1458" s="1" t="str">
        <f t="shared" si="133"/>
        <v>102</v>
      </c>
      <c r="I1458" s="1" t="str">
        <f t="shared" si="134"/>
        <v>12400-102</v>
      </c>
      <c r="J1458" s="1" t="str">
        <f t="shared" si="135"/>
        <v>Acoustic guitar production item #102</v>
      </c>
      <c r="K1458" s="1" t="str">
        <f>IF(SUM(COUNTIFS(I:I, I1458)) &gt; 1, "DUPLICATE", "UNIQUE")</f>
        <v>UNIQUE</v>
      </c>
      <c r="L1458" s="18">
        <v>1</v>
      </c>
      <c r="M1458" s="28">
        <v>19</v>
      </c>
      <c r="N1458" s="6">
        <v>361</v>
      </c>
      <c r="O1458" s="30">
        <f t="shared" si="136"/>
        <v>19</v>
      </c>
      <c r="P1458" s="30">
        <f t="shared" si="137"/>
        <v>6859</v>
      </c>
      <c r="Q1458" s="1">
        <f>COUNTIFS($P:$P, "&gt;" &amp; $P1458) + 1</f>
        <v>2160</v>
      </c>
      <c r="R1458" s="63">
        <f>(COUNTIFS($P:$P, "&gt;" &amp; $P1458) + 1) / (COUNTA($I:$I) - 1)</f>
        <v>0.432</v>
      </c>
      <c r="S1458" s="23">
        <f>SUMIFS($P:$P, $Q:$Q, "&lt;" &amp; $Q1458)</f>
        <v>181182448</v>
      </c>
    </row>
    <row r="1459" spans="1:19" x14ac:dyDescent="0.25">
      <c r="A1459" s="1">
        <v>1454</v>
      </c>
      <c r="B1459" s="1" t="s">
        <v>2</v>
      </c>
      <c r="C1459" s="1" t="str">
        <f>IF($B1459 = "Production Item", _xlfn.XLOOKUP($A1459, 'Instrument Table'!$J:$J, 'Instrument Table'!$B:$B, $C1458), IF($B1459 = "Service Item", _xlfn.XLOOKUP($A1459, 'Instrument Table'!$I:$I, 'Instrument Table'!$B:$B, $C1458), _xlfn.XLOOKUP($A1459, 'Instrument Table'!$H:$H, 'Instrument Table'!$B:$B, $C1458)))</f>
        <v>Acoustic Guitar</v>
      </c>
      <c r="D1459" s="1" t="str">
        <f>VLOOKUP($C1459, 'Instrument Table'!$B:$C, 2, FALSE)</f>
        <v>Strings</v>
      </c>
      <c r="E1459" s="1">
        <f t="shared" si="132"/>
        <v>1</v>
      </c>
      <c r="F1459" s="1">
        <f>_xlfn.XLOOKUP($C1459, 'Instrument Table'!$B:$B, 'Instrument Table'!$A:$A, "")</f>
        <v>24</v>
      </c>
      <c r="G1459" s="1" t="str">
        <f>TEXT(IF($B1459 = "Retail Item", IF((ROW($A1459) - 4504 - _xlfn.XMATCH($C1459, $C$4506:$C$5005, 0, 1)) &lt;= VLOOKUP($C1459, 'Instrument Table'!$B:$D, 3, FALSE), ROW($A1459) - 4504 - _xlfn.XMATCH($C1459, $C$4506:$C$5005, 0, 1), 0), 0), "00")</f>
        <v>00</v>
      </c>
      <c r="H1459" s="1" t="str">
        <f t="shared" si="133"/>
        <v>103</v>
      </c>
      <c r="I1459" s="1" t="str">
        <f t="shared" si="134"/>
        <v>12400-103</v>
      </c>
      <c r="J1459" s="1" t="str">
        <f t="shared" si="135"/>
        <v>Acoustic guitar production item #103</v>
      </c>
      <c r="K1459" s="1" t="str">
        <f>IF(SUM(COUNTIFS(I:I, I1459)) &gt; 1, "DUPLICATE", "UNIQUE")</f>
        <v>UNIQUE</v>
      </c>
      <c r="L1459" s="18">
        <v>0</v>
      </c>
      <c r="M1459" s="28">
        <v>7</v>
      </c>
      <c r="N1459" s="6">
        <v>256</v>
      </c>
      <c r="O1459" s="30">
        <f t="shared" si="136"/>
        <v>0</v>
      </c>
      <c r="P1459" s="30">
        <f t="shared" si="137"/>
        <v>1792</v>
      </c>
      <c r="Q1459" s="1">
        <f>COUNTIFS($P:$P, "&gt;" &amp; $P1459) + 1</f>
        <v>3339</v>
      </c>
      <c r="R1459" s="63">
        <f>(COUNTIFS($P:$P, "&gt;" &amp; $P1459) + 1) / (COUNTA($I:$I) - 1)</f>
        <v>0.66779999999999995</v>
      </c>
      <c r="S1459" s="23">
        <f>SUMIFS($P:$P, $Q:$Q, "&lt;" &amp; $Q1459)</f>
        <v>185680781</v>
      </c>
    </row>
    <row r="1460" spans="1:19" x14ac:dyDescent="0.25">
      <c r="A1460" s="1">
        <v>1455</v>
      </c>
      <c r="B1460" s="1" t="s">
        <v>2</v>
      </c>
      <c r="C1460" s="1" t="str">
        <f>IF($B1460 = "Production Item", _xlfn.XLOOKUP($A1460, 'Instrument Table'!$J:$J, 'Instrument Table'!$B:$B, $C1459), IF($B1460 = "Service Item", _xlfn.XLOOKUP($A1460, 'Instrument Table'!$I:$I, 'Instrument Table'!$B:$B, $C1459), _xlfn.XLOOKUP($A1460, 'Instrument Table'!$H:$H, 'Instrument Table'!$B:$B, $C1459)))</f>
        <v>Acoustic Guitar</v>
      </c>
      <c r="D1460" s="1" t="str">
        <f>VLOOKUP($C1460, 'Instrument Table'!$B:$C, 2, FALSE)</f>
        <v>Strings</v>
      </c>
      <c r="E1460" s="1">
        <f t="shared" si="132"/>
        <v>1</v>
      </c>
      <c r="F1460" s="1">
        <f>_xlfn.XLOOKUP($C1460, 'Instrument Table'!$B:$B, 'Instrument Table'!$A:$A, "")</f>
        <v>24</v>
      </c>
      <c r="G1460" s="1" t="str">
        <f>TEXT(IF($B1460 = "Retail Item", IF((ROW($A1460) - 4504 - _xlfn.XMATCH($C1460, $C$4506:$C$5005, 0, 1)) &lt;= VLOOKUP($C1460, 'Instrument Table'!$B:$D, 3, FALSE), ROW($A1460) - 4504 - _xlfn.XMATCH($C1460, $C$4506:$C$5005, 0, 1), 0), 0), "00")</f>
        <v>00</v>
      </c>
      <c r="H1460" s="1" t="str">
        <f t="shared" si="133"/>
        <v>104</v>
      </c>
      <c r="I1460" s="1" t="str">
        <f t="shared" si="134"/>
        <v>12400-104</v>
      </c>
      <c r="J1460" s="1" t="str">
        <f t="shared" si="135"/>
        <v>Acoustic guitar production item #104</v>
      </c>
      <c r="K1460" s="1" t="str">
        <f>IF(SUM(COUNTIFS(I:I, I1460)) &gt; 1, "DUPLICATE", "UNIQUE")</f>
        <v>UNIQUE</v>
      </c>
      <c r="L1460" s="18">
        <v>1</v>
      </c>
      <c r="M1460" s="28">
        <v>3</v>
      </c>
      <c r="N1460" s="6">
        <v>16</v>
      </c>
      <c r="O1460" s="30">
        <f t="shared" si="136"/>
        <v>3</v>
      </c>
      <c r="P1460" s="30">
        <f t="shared" si="137"/>
        <v>48</v>
      </c>
      <c r="Q1460" s="1">
        <f>COUNTIFS($P:$P, "&gt;" &amp; $P1460) + 1</f>
        <v>4621</v>
      </c>
      <c r="R1460" s="63">
        <f>(COUNTIFS($P:$P, "&gt;" &amp; $P1460) + 1) / (COUNTA($I:$I) - 1)</f>
        <v>0.92420000000000002</v>
      </c>
      <c r="S1460" s="23">
        <f>SUMIFS($P:$P, $Q:$Q, "&lt;" &amp; $Q1460)</f>
        <v>186544781</v>
      </c>
    </row>
    <row r="1461" spans="1:19" x14ac:dyDescent="0.25">
      <c r="A1461" s="1">
        <v>1456</v>
      </c>
      <c r="B1461" s="1" t="s">
        <v>2</v>
      </c>
      <c r="C1461" s="1" t="str">
        <f>IF($B1461 = "Production Item", _xlfn.XLOOKUP($A1461, 'Instrument Table'!$J:$J, 'Instrument Table'!$B:$B, $C1460), IF($B1461 = "Service Item", _xlfn.XLOOKUP($A1461, 'Instrument Table'!$I:$I, 'Instrument Table'!$B:$B, $C1460), _xlfn.XLOOKUP($A1461, 'Instrument Table'!$H:$H, 'Instrument Table'!$B:$B, $C1460)))</f>
        <v>Acoustic Guitar</v>
      </c>
      <c r="D1461" s="1" t="str">
        <f>VLOOKUP($C1461, 'Instrument Table'!$B:$C, 2, FALSE)</f>
        <v>Strings</v>
      </c>
      <c r="E1461" s="1">
        <f t="shared" si="132"/>
        <v>1</v>
      </c>
      <c r="F1461" s="1">
        <f>_xlfn.XLOOKUP($C1461, 'Instrument Table'!$B:$B, 'Instrument Table'!$A:$A, "")</f>
        <v>24</v>
      </c>
      <c r="G1461" s="1" t="str">
        <f>TEXT(IF($B1461 = "Retail Item", IF((ROW($A1461) - 4504 - _xlfn.XMATCH($C1461, $C$4506:$C$5005, 0, 1)) &lt;= VLOOKUP($C1461, 'Instrument Table'!$B:$D, 3, FALSE), ROW($A1461) - 4504 - _xlfn.XMATCH($C1461, $C$4506:$C$5005, 0, 1), 0), 0), "00")</f>
        <v>00</v>
      </c>
      <c r="H1461" s="1" t="str">
        <f t="shared" si="133"/>
        <v>105</v>
      </c>
      <c r="I1461" s="1" t="str">
        <f t="shared" si="134"/>
        <v>12400-105</v>
      </c>
      <c r="J1461" s="1" t="str">
        <f t="shared" si="135"/>
        <v>Acoustic guitar production item #105</v>
      </c>
      <c r="K1461" s="1" t="str">
        <f>IF(SUM(COUNTIFS(I:I, I1461)) &gt; 1, "DUPLICATE", "UNIQUE")</f>
        <v>UNIQUE</v>
      </c>
      <c r="L1461" s="18">
        <v>1</v>
      </c>
      <c r="M1461" s="28">
        <v>38</v>
      </c>
      <c r="N1461" s="6">
        <v>25</v>
      </c>
      <c r="O1461" s="30">
        <f t="shared" si="136"/>
        <v>38</v>
      </c>
      <c r="P1461" s="30">
        <f t="shared" si="137"/>
        <v>950</v>
      </c>
      <c r="Q1461" s="1">
        <f>COUNTIFS($P:$P, "&gt;" &amp; $P1461) + 1</f>
        <v>3703</v>
      </c>
      <c r="R1461" s="63">
        <f>(COUNTIFS($P:$P, "&gt;" &amp; $P1461) + 1) / (COUNTA($I:$I) - 1)</f>
        <v>0.74060000000000004</v>
      </c>
      <c r="S1461" s="23">
        <f>SUMIFS($P:$P, $Q:$Q, "&lt;" &amp; $Q1461)</f>
        <v>186181718</v>
      </c>
    </row>
    <row r="1462" spans="1:19" x14ac:dyDescent="0.25">
      <c r="A1462" s="1">
        <v>1457</v>
      </c>
      <c r="B1462" s="1" t="s">
        <v>2</v>
      </c>
      <c r="C1462" s="1" t="str">
        <f>IF($B1462 = "Production Item", _xlfn.XLOOKUP($A1462, 'Instrument Table'!$J:$J, 'Instrument Table'!$B:$B, $C1461), IF($B1462 = "Service Item", _xlfn.XLOOKUP($A1462, 'Instrument Table'!$I:$I, 'Instrument Table'!$B:$B, $C1461), _xlfn.XLOOKUP($A1462, 'Instrument Table'!$H:$H, 'Instrument Table'!$B:$B, $C1461)))</f>
        <v>Acoustic Guitar</v>
      </c>
      <c r="D1462" s="1" t="str">
        <f>VLOOKUP($C1462, 'Instrument Table'!$B:$C, 2, FALSE)</f>
        <v>Strings</v>
      </c>
      <c r="E1462" s="1">
        <f t="shared" si="132"/>
        <v>1</v>
      </c>
      <c r="F1462" s="1">
        <f>_xlfn.XLOOKUP($C1462, 'Instrument Table'!$B:$B, 'Instrument Table'!$A:$A, "")</f>
        <v>24</v>
      </c>
      <c r="G1462" s="1" t="str">
        <f>TEXT(IF($B1462 = "Retail Item", IF((ROW($A1462) - 4504 - _xlfn.XMATCH($C1462, $C$4506:$C$5005, 0, 1)) &lt;= VLOOKUP($C1462, 'Instrument Table'!$B:$D, 3, FALSE), ROW($A1462) - 4504 - _xlfn.XMATCH($C1462, $C$4506:$C$5005, 0, 1), 0), 0), "00")</f>
        <v>00</v>
      </c>
      <c r="H1462" s="1" t="str">
        <f t="shared" si="133"/>
        <v>106</v>
      </c>
      <c r="I1462" s="1" t="str">
        <f t="shared" si="134"/>
        <v>12400-106</v>
      </c>
      <c r="J1462" s="1" t="str">
        <f t="shared" si="135"/>
        <v>Acoustic guitar production item #106</v>
      </c>
      <c r="K1462" s="1" t="str">
        <f>IF(SUM(COUNTIFS(I:I, I1462)) &gt; 1, "DUPLICATE", "UNIQUE")</f>
        <v>UNIQUE</v>
      </c>
      <c r="L1462" s="18">
        <v>1</v>
      </c>
      <c r="M1462" s="28">
        <v>77</v>
      </c>
      <c r="N1462" s="6">
        <v>256</v>
      </c>
      <c r="O1462" s="30">
        <f t="shared" si="136"/>
        <v>77</v>
      </c>
      <c r="P1462" s="30">
        <f t="shared" si="137"/>
        <v>19712</v>
      </c>
      <c r="Q1462" s="1">
        <f>COUNTIFS($P:$P, "&gt;" &amp; $P1462) + 1</f>
        <v>1070</v>
      </c>
      <c r="R1462" s="63">
        <f>(COUNTIFS($P:$P, "&gt;" &amp; $P1462) + 1) / (COUNTA($I:$I) - 1)</f>
        <v>0.214</v>
      </c>
      <c r="S1462" s="23">
        <f>SUMIFS($P:$P, $Q:$Q, "&lt;" &amp; $Q1462)</f>
        <v>167921769</v>
      </c>
    </row>
    <row r="1463" spans="1:19" x14ac:dyDescent="0.25">
      <c r="A1463" s="1">
        <v>1458</v>
      </c>
      <c r="B1463" s="1" t="s">
        <v>2</v>
      </c>
      <c r="C1463" s="1" t="str">
        <f>IF($B1463 = "Production Item", _xlfn.XLOOKUP($A1463, 'Instrument Table'!$J:$J, 'Instrument Table'!$B:$B, $C1462), IF($B1463 = "Service Item", _xlfn.XLOOKUP($A1463, 'Instrument Table'!$I:$I, 'Instrument Table'!$B:$B, $C1462), _xlfn.XLOOKUP($A1463, 'Instrument Table'!$H:$H, 'Instrument Table'!$B:$B, $C1462)))</f>
        <v>Acoustic Guitar</v>
      </c>
      <c r="D1463" s="1" t="str">
        <f>VLOOKUP($C1463, 'Instrument Table'!$B:$C, 2, FALSE)</f>
        <v>Strings</v>
      </c>
      <c r="E1463" s="1">
        <f t="shared" si="132"/>
        <v>1</v>
      </c>
      <c r="F1463" s="1">
        <f>_xlfn.XLOOKUP($C1463, 'Instrument Table'!$B:$B, 'Instrument Table'!$A:$A, "")</f>
        <v>24</v>
      </c>
      <c r="G1463" s="1" t="str">
        <f>TEXT(IF($B1463 = "Retail Item", IF((ROW($A1463) - 4504 - _xlfn.XMATCH($C1463, $C$4506:$C$5005, 0, 1)) &lt;= VLOOKUP($C1463, 'Instrument Table'!$B:$D, 3, FALSE), ROW($A1463) - 4504 - _xlfn.XMATCH($C1463, $C$4506:$C$5005, 0, 1), 0), 0), "00")</f>
        <v>00</v>
      </c>
      <c r="H1463" s="1" t="str">
        <f t="shared" si="133"/>
        <v>107</v>
      </c>
      <c r="I1463" s="1" t="str">
        <f t="shared" si="134"/>
        <v>12400-107</v>
      </c>
      <c r="J1463" s="1" t="str">
        <f t="shared" si="135"/>
        <v>Acoustic guitar production item #107</v>
      </c>
      <c r="K1463" s="1" t="str">
        <f>IF(SUM(COUNTIFS(I:I, I1463)) &gt; 1, "DUPLICATE", "UNIQUE")</f>
        <v>UNIQUE</v>
      </c>
      <c r="L1463" s="18">
        <v>4</v>
      </c>
      <c r="M1463" s="28">
        <v>85</v>
      </c>
      <c r="N1463" s="6">
        <v>289</v>
      </c>
      <c r="O1463" s="30">
        <f t="shared" si="136"/>
        <v>340</v>
      </c>
      <c r="P1463" s="30">
        <f t="shared" si="137"/>
        <v>24565</v>
      </c>
      <c r="Q1463" s="1">
        <f>COUNTIFS($P:$P, "&gt;" &amp; $P1463) + 1</f>
        <v>847</v>
      </c>
      <c r="R1463" s="63">
        <f>(COUNTIFS($P:$P, "&gt;" &amp; $P1463) + 1) / (COUNTA($I:$I) - 1)</f>
        <v>0.1694</v>
      </c>
      <c r="S1463" s="23">
        <f>SUMIFS($P:$P, $Q:$Q, "&lt;" &amp; $Q1463)</f>
        <v>163009892</v>
      </c>
    </row>
    <row r="1464" spans="1:19" x14ac:dyDescent="0.25">
      <c r="A1464" s="1">
        <v>1459</v>
      </c>
      <c r="B1464" s="1" t="s">
        <v>2</v>
      </c>
      <c r="C1464" s="1" t="str">
        <f>IF($B1464 = "Production Item", _xlfn.XLOOKUP($A1464, 'Instrument Table'!$J:$J, 'Instrument Table'!$B:$B, $C1463), IF($B1464 = "Service Item", _xlfn.XLOOKUP($A1464, 'Instrument Table'!$I:$I, 'Instrument Table'!$B:$B, $C1463), _xlfn.XLOOKUP($A1464, 'Instrument Table'!$H:$H, 'Instrument Table'!$B:$B, $C1463)))</f>
        <v>Acoustic Guitar</v>
      </c>
      <c r="D1464" s="1" t="str">
        <f>VLOOKUP($C1464, 'Instrument Table'!$B:$C, 2, FALSE)</f>
        <v>Strings</v>
      </c>
      <c r="E1464" s="1">
        <f t="shared" si="132"/>
        <v>1</v>
      </c>
      <c r="F1464" s="1">
        <f>_xlfn.XLOOKUP($C1464, 'Instrument Table'!$B:$B, 'Instrument Table'!$A:$A, "")</f>
        <v>24</v>
      </c>
      <c r="G1464" s="1" t="str">
        <f>TEXT(IF($B1464 = "Retail Item", IF((ROW($A1464) - 4504 - _xlfn.XMATCH($C1464, $C$4506:$C$5005, 0, 1)) &lt;= VLOOKUP($C1464, 'Instrument Table'!$B:$D, 3, FALSE), ROW($A1464) - 4504 - _xlfn.XMATCH($C1464, $C$4506:$C$5005, 0, 1), 0), 0), "00")</f>
        <v>00</v>
      </c>
      <c r="H1464" s="1" t="str">
        <f t="shared" si="133"/>
        <v>108</v>
      </c>
      <c r="I1464" s="1" t="str">
        <f t="shared" si="134"/>
        <v>12400-108</v>
      </c>
      <c r="J1464" s="1" t="str">
        <f t="shared" si="135"/>
        <v>Acoustic guitar production item #108</v>
      </c>
      <c r="K1464" s="1" t="str">
        <f>IF(SUM(COUNTIFS(I:I, I1464)) &gt; 1, "DUPLICATE", "UNIQUE")</f>
        <v>UNIQUE</v>
      </c>
      <c r="L1464" s="18">
        <v>32</v>
      </c>
      <c r="M1464" s="28">
        <v>88</v>
      </c>
      <c r="N1464" s="6">
        <v>0</v>
      </c>
      <c r="O1464" s="30">
        <f t="shared" si="136"/>
        <v>2816</v>
      </c>
      <c r="P1464" s="30">
        <f t="shared" si="137"/>
        <v>0</v>
      </c>
      <c r="Q1464" s="1">
        <f>COUNTIFS($P:$P, "&gt;" &amp; $P1464) + 1</f>
        <v>4746</v>
      </c>
      <c r="R1464" s="63">
        <f>(COUNTIFS($P:$P, "&gt;" &amp; $P1464) + 1) / (COUNTA($I:$I) - 1)</f>
        <v>0.94920000000000004</v>
      </c>
      <c r="S1464" s="23">
        <f>SUMIFS($P:$P, $Q:$Q, "&lt;" &amp; $Q1464)</f>
        <v>186547861</v>
      </c>
    </row>
    <row r="1465" spans="1:19" x14ac:dyDescent="0.25">
      <c r="A1465" s="1">
        <v>1460</v>
      </c>
      <c r="B1465" s="1" t="s">
        <v>2</v>
      </c>
      <c r="C1465" s="1" t="str">
        <f>IF($B1465 = "Production Item", _xlfn.XLOOKUP($A1465, 'Instrument Table'!$J:$J, 'Instrument Table'!$B:$B, $C1464), IF($B1465 = "Service Item", _xlfn.XLOOKUP($A1465, 'Instrument Table'!$I:$I, 'Instrument Table'!$B:$B, $C1464), _xlfn.XLOOKUP($A1465, 'Instrument Table'!$H:$H, 'Instrument Table'!$B:$B, $C1464)))</f>
        <v>Acoustic Guitar</v>
      </c>
      <c r="D1465" s="1" t="str">
        <f>VLOOKUP($C1465, 'Instrument Table'!$B:$C, 2, FALSE)</f>
        <v>Strings</v>
      </c>
      <c r="E1465" s="1">
        <f t="shared" si="132"/>
        <v>1</v>
      </c>
      <c r="F1465" s="1">
        <f>_xlfn.XLOOKUP($C1465, 'Instrument Table'!$B:$B, 'Instrument Table'!$A:$A, "")</f>
        <v>24</v>
      </c>
      <c r="G1465" s="1" t="str">
        <f>TEXT(IF($B1465 = "Retail Item", IF((ROW($A1465) - 4504 - _xlfn.XMATCH($C1465, $C$4506:$C$5005, 0, 1)) &lt;= VLOOKUP($C1465, 'Instrument Table'!$B:$D, 3, FALSE), ROW($A1465) - 4504 - _xlfn.XMATCH($C1465, $C$4506:$C$5005, 0, 1), 0), 0), "00")</f>
        <v>00</v>
      </c>
      <c r="H1465" s="1" t="str">
        <f t="shared" si="133"/>
        <v>109</v>
      </c>
      <c r="I1465" s="1" t="str">
        <f t="shared" si="134"/>
        <v>12400-109</v>
      </c>
      <c r="J1465" s="1" t="str">
        <f t="shared" si="135"/>
        <v>Acoustic guitar production item #109</v>
      </c>
      <c r="K1465" s="1" t="str">
        <f>IF(SUM(COUNTIFS(I:I, I1465)) &gt; 1, "DUPLICATE", "UNIQUE")</f>
        <v>UNIQUE</v>
      </c>
      <c r="L1465" s="18">
        <v>2</v>
      </c>
      <c r="M1465" s="28">
        <v>83</v>
      </c>
      <c r="N1465" s="6">
        <v>400</v>
      </c>
      <c r="O1465" s="30">
        <f t="shared" si="136"/>
        <v>166</v>
      </c>
      <c r="P1465" s="30">
        <f t="shared" si="137"/>
        <v>33200</v>
      </c>
      <c r="Q1465" s="1">
        <f>COUNTIFS($P:$P, "&gt;" &amp; $P1465) + 1</f>
        <v>628</v>
      </c>
      <c r="R1465" s="63">
        <f>(COUNTIFS($P:$P, "&gt;" &amp; $P1465) + 1) / (COUNTA($I:$I) - 1)</f>
        <v>0.12559999999999999</v>
      </c>
      <c r="S1465" s="23">
        <f>SUMIFS($P:$P, $Q:$Q, "&lt;" &amp; $Q1465)</f>
        <v>156831389</v>
      </c>
    </row>
    <row r="1466" spans="1:19" x14ac:dyDescent="0.25">
      <c r="A1466" s="1">
        <v>1461</v>
      </c>
      <c r="B1466" s="1" t="s">
        <v>2</v>
      </c>
      <c r="C1466" s="1" t="str">
        <f>IF($B1466 = "Production Item", _xlfn.XLOOKUP($A1466, 'Instrument Table'!$J:$J, 'Instrument Table'!$B:$B, $C1465), IF($B1466 = "Service Item", _xlfn.XLOOKUP($A1466, 'Instrument Table'!$I:$I, 'Instrument Table'!$B:$B, $C1465), _xlfn.XLOOKUP($A1466, 'Instrument Table'!$H:$H, 'Instrument Table'!$B:$B, $C1465)))</f>
        <v>Acoustic Guitar</v>
      </c>
      <c r="D1466" s="1" t="str">
        <f>VLOOKUP($C1466, 'Instrument Table'!$B:$C, 2, FALSE)</f>
        <v>Strings</v>
      </c>
      <c r="E1466" s="1">
        <f t="shared" si="132"/>
        <v>1</v>
      </c>
      <c r="F1466" s="1">
        <f>_xlfn.XLOOKUP($C1466, 'Instrument Table'!$B:$B, 'Instrument Table'!$A:$A, "")</f>
        <v>24</v>
      </c>
      <c r="G1466" s="1" t="str">
        <f>TEXT(IF($B1466 = "Retail Item", IF((ROW($A1466) - 4504 - _xlfn.XMATCH($C1466, $C$4506:$C$5005, 0, 1)) &lt;= VLOOKUP($C1466, 'Instrument Table'!$B:$D, 3, FALSE), ROW($A1466) - 4504 - _xlfn.XMATCH($C1466, $C$4506:$C$5005, 0, 1), 0), 0), "00")</f>
        <v>00</v>
      </c>
      <c r="H1466" s="1" t="str">
        <f t="shared" si="133"/>
        <v>110</v>
      </c>
      <c r="I1466" s="1" t="str">
        <f t="shared" si="134"/>
        <v>12400-110</v>
      </c>
      <c r="J1466" s="1" t="str">
        <f t="shared" si="135"/>
        <v>Acoustic guitar production item #110</v>
      </c>
      <c r="K1466" s="1" t="str">
        <f>IF(SUM(COUNTIFS(I:I, I1466)) &gt; 1, "DUPLICATE", "UNIQUE")</f>
        <v>UNIQUE</v>
      </c>
      <c r="L1466" s="18">
        <v>1</v>
      </c>
      <c r="M1466" s="28">
        <v>63</v>
      </c>
      <c r="N1466" s="6">
        <v>324</v>
      </c>
      <c r="O1466" s="30">
        <f t="shared" si="136"/>
        <v>63</v>
      </c>
      <c r="P1466" s="30">
        <f t="shared" si="137"/>
        <v>20412</v>
      </c>
      <c r="Q1466" s="1">
        <f>COUNTIFS($P:$P, "&gt;" &amp; $P1466) + 1</f>
        <v>1040</v>
      </c>
      <c r="R1466" s="63">
        <f>(COUNTIFS($P:$P, "&gt;" &amp; $P1466) + 1) / (COUNTA($I:$I) - 1)</f>
        <v>0.20799999999999999</v>
      </c>
      <c r="S1466" s="23">
        <f>SUMIFS($P:$P, $Q:$Q, "&lt;" &amp; $Q1466)</f>
        <v>167319856</v>
      </c>
    </row>
    <row r="1467" spans="1:19" x14ac:dyDescent="0.25">
      <c r="A1467" s="1">
        <v>1462</v>
      </c>
      <c r="B1467" s="1" t="s">
        <v>2</v>
      </c>
      <c r="C1467" s="1" t="str">
        <f>IF($B1467 = "Production Item", _xlfn.XLOOKUP($A1467, 'Instrument Table'!$J:$J, 'Instrument Table'!$B:$B, $C1466), IF($B1467 = "Service Item", _xlfn.XLOOKUP($A1467, 'Instrument Table'!$I:$I, 'Instrument Table'!$B:$B, $C1466), _xlfn.XLOOKUP($A1467, 'Instrument Table'!$H:$H, 'Instrument Table'!$B:$B, $C1466)))</f>
        <v>Acoustic Guitar</v>
      </c>
      <c r="D1467" s="1" t="str">
        <f>VLOOKUP($C1467, 'Instrument Table'!$B:$C, 2, FALSE)</f>
        <v>Strings</v>
      </c>
      <c r="E1467" s="1">
        <f t="shared" si="132"/>
        <v>1</v>
      </c>
      <c r="F1467" s="1">
        <f>_xlfn.XLOOKUP($C1467, 'Instrument Table'!$B:$B, 'Instrument Table'!$A:$A, "")</f>
        <v>24</v>
      </c>
      <c r="G1467" s="1" t="str">
        <f>TEXT(IF($B1467 = "Retail Item", IF((ROW($A1467) - 4504 - _xlfn.XMATCH($C1467, $C$4506:$C$5005, 0, 1)) &lt;= VLOOKUP($C1467, 'Instrument Table'!$B:$D, 3, FALSE), ROW($A1467) - 4504 - _xlfn.XMATCH($C1467, $C$4506:$C$5005, 0, 1), 0), 0), "00")</f>
        <v>00</v>
      </c>
      <c r="H1467" s="1" t="str">
        <f t="shared" si="133"/>
        <v>111</v>
      </c>
      <c r="I1467" s="1" t="str">
        <f t="shared" si="134"/>
        <v>12400-111</v>
      </c>
      <c r="J1467" s="1" t="str">
        <f t="shared" si="135"/>
        <v>Acoustic guitar production item #111</v>
      </c>
      <c r="K1467" s="1" t="str">
        <f>IF(SUM(COUNTIFS(I:I, I1467)) &gt; 1, "DUPLICATE", "UNIQUE")</f>
        <v>UNIQUE</v>
      </c>
      <c r="L1467" s="18">
        <v>1</v>
      </c>
      <c r="M1467" s="28">
        <v>5</v>
      </c>
      <c r="N1467" s="6">
        <v>324</v>
      </c>
      <c r="O1467" s="30">
        <f t="shared" si="136"/>
        <v>5</v>
      </c>
      <c r="P1467" s="30">
        <f t="shared" si="137"/>
        <v>1620</v>
      </c>
      <c r="Q1467" s="1">
        <f>COUNTIFS($P:$P, "&gt;" &amp; $P1467) + 1</f>
        <v>3392</v>
      </c>
      <c r="R1467" s="63">
        <f>(COUNTIFS($P:$P, "&gt;" &amp; $P1467) + 1) / (COUNTA($I:$I) - 1)</f>
        <v>0.6784</v>
      </c>
      <c r="S1467" s="23">
        <f>SUMIFS($P:$P, $Q:$Q, "&lt;" &amp; $Q1467)</f>
        <v>185772049</v>
      </c>
    </row>
    <row r="1468" spans="1:19" x14ac:dyDescent="0.25">
      <c r="A1468" s="1">
        <v>1463</v>
      </c>
      <c r="B1468" s="1" t="s">
        <v>2</v>
      </c>
      <c r="C1468" s="1" t="str">
        <f>IF($B1468 = "Production Item", _xlfn.XLOOKUP($A1468, 'Instrument Table'!$J:$J, 'Instrument Table'!$B:$B, $C1467), IF($B1468 = "Service Item", _xlfn.XLOOKUP($A1468, 'Instrument Table'!$I:$I, 'Instrument Table'!$B:$B, $C1467), _xlfn.XLOOKUP($A1468, 'Instrument Table'!$H:$H, 'Instrument Table'!$B:$B, $C1467)))</f>
        <v>Acoustic Guitar</v>
      </c>
      <c r="D1468" s="1" t="str">
        <f>VLOOKUP($C1468, 'Instrument Table'!$B:$C, 2, FALSE)</f>
        <v>Strings</v>
      </c>
      <c r="E1468" s="1">
        <f t="shared" si="132"/>
        <v>1</v>
      </c>
      <c r="F1468" s="1">
        <f>_xlfn.XLOOKUP($C1468, 'Instrument Table'!$B:$B, 'Instrument Table'!$A:$A, "")</f>
        <v>24</v>
      </c>
      <c r="G1468" s="1" t="str">
        <f>TEXT(IF($B1468 = "Retail Item", IF((ROW($A1468) - 4504 - _xlfn.XMATCH($C1468, $C$4506:$C$5005, 0, 1)) &lt;= VLOOKUP($C1468, 'Instrument Table'!$B:$D, 3, FALSE), ROW($A1468) - 4504 - _xlfn.XMATCH($C1468, $C$4506:$C$5005, 0, 1), 0), 0), "00")</f>
        <v>00</v>
      </c>
      <c r="H1468" s="1" t="str">
        <f t="shared" si="133"/>
        <v>112</v>
      </c>
      <c r="I1468" s="1" t="str">
        <f t="shared" si="134"/>
        <v>12400-112</v>
      </c>
      <c r="J1468" s="1" t="str">
        <f t="shared" si="135"/>
        <v>Acoustic guitar production item #112</v>
      </c>
      <c r="K1468" s="1" t="str">
        <f>IF(SUM(COUNTIFS(I:I, I1468)) &gt; 1, "DUPLICATE", "UNIQUE")</f>
        <v>UNIQUE</v>
      </c>
      <c r="L1468" s="18">
        <v>32</v>
      </c>
      <c r="M1468" s="28">
        <v>56</v>
      </c>
      <c r="N1468" s="6">
        <v>4</v>
      </c>
      <c r="O1468" s="30">
        <f t="shared" si="136"/>
        <v>1792</v>
      </c>
      <c r="P1468" s="30">
        <f t="shared" si="137"/>
        <v>224</v>
      </c>
      <c r="Q1468" s="1">
        <f>COUNTIFS($P:$P, "&gt;" &amp; $P1468) + 1</f>
        <v>4297</v>
      </c>
      <c r="R1468" s="63">
        <f>(COUNTIFS($P:$P, "&gt;" &amp; $P1468) + 1) / (COUNTA($I:$I) - 1)</f>
        <v>0.85940000000000005</v>
      </c>
      <c r="S1468" s="23">
        <f>SUMIFS($P:$P, $Q:$Q, "&lt;" &amp; $Q1468)</f>
        <v>186506766</v>
      </c>
    </row>
    <row r="1469" spans="1:19" x14ac:dyDescent="0.25">
      <c r="A1469" s="1">
        <v>1464</v>
      </c>
      <c r="B1469" s="1" t="s">
        <v>2</v>
      </c>
      <c r="C1469" s="1" t="str">
        <f>IF($B1469 = "Production Item", _xlfn.XLOOKUP($A1469, 'Instrument Table'!$J:$J, 'Instrument Table'!$B:$B, $C1468), IF($B1469 = "Service Item", _xlfn.XLOOKUP($A1469, 'Instrument Table'!$I:$I, 'Instrument Table'!$B:$B, $C1468), _xlfn.XLOOKUP($A1469, 'Instrument Table'!$H:$H, 'Instrument Table'!$B:$B, $C1468)))</f>
        <v>Acoustic Guitar</v>
      </c>
      <c r="D1469" s="1" t="str">
        <f>VLOOKUP($C1469, 'Instrument Table'!$B:$C, 2, FALSE)</f>
        <v>Strings</v>
      </c>
      <c r="E1469" s="1">
        <f t="shared" si="132"/>
        <v>1</v>
      </c>
      <c r="F1469" s="1">
        <f>_xlfn.XLOOKUP($C1469, 'Instrument Table'!$B:$B, 'Instrument Table'!$A:$A, "")</f>
        <v>24</v>
      </c>
      <c r="G1469" s="1" t="str">
        <f>TEXT(IF($B1469 = "Retail Item", IF((ROW($A1469) - 4504 - _xlfn.XMATCH($C1469, $C$4506:$C$5005, 0, 1)) &lt;= VLOOKUP($C1469, 'Instrument Table'!$B:$D, 3, FALSE), ROW($A1469) - 4504 - _xlfn.XMATCH($C1469, $C$4506:$C$5005, 0, 1), 0), 0), "00")</f>
        <v>00</v>
      </c>
      <c r="H1469" s="1" t="str">
        <f t="shared" si="133"/>
        <v>113</v>
      </c>
      <c r="I1469" s="1" t="str">
        <f t="shared" si="134"/>
        <v>12400-113</v>
      </c>
      <c r="J1469" s="1" t="str">
        <f t="shared" si="135"/>
        <v>Acoustic guitar production item #113</v>
      </c>
      <c r="K1469" s="1" t="str">
        <f>IF(SUM(COUNTIFS(I:I, I1469)) &gt; 1, "DUPLICATE", "UNIQUE")</f>
        <v>UNIQUE</v>
      </c>
      <c r="L1469" s="18">
        <v>4</v>
      </c>
      <c r="M1469" s="28">
        <v>11</v>
      </c>
      <c r="N1469" s="6">
        <v>289</v>
      </c>
      <c r="O1469" s="30">
        <f t="shared" si="136"/>
        <v>44</v>
      </c>
      <c r="P1469" s="30">
        <f t="shared" si="137"/>
        <v>3179</v>
      </c>
      <c r="Q1469" s="1">
        <f>COUNTIFS($P:$P, "&gt;" &amp; $P1469) + 1</f>
        <v>2864</v>
      </c>
      <c r="R1469" s="63">
        <f>(COUNTIFS($P:$P, "&gt;" &amp; $P1469) + 1) / (COUNTA($I:$I) - 1)</f>
        <v>0.57279999999999998</v>
      </c>
      <c r="S1469" s="23">
        <f>SUMIFS($P:$P, $Q:$Q, "&lt;" &amp; $Q1469)</f>
        <v>184536611</v>
      </c>
    </row>
    <row r="1470" spans="1:19" x14ac:dyDescent="0.25">
      <c r="A1470" s="1">
        <v>1465</v>
      </c>
      <c r="B1470" s="1" t="s">
        <v>2</v>
      </c>
      <c r="C1470" s="1" t="str">
        <f>IF($B1470 = "Production Item", _xlfn.XLOOKUP($A1470, 'Instrument Table'!$J:$J, 'Instrument Table'!$B:$B, $C1469), IF($B1470 = "Service Item", _xlfn.XLOOKUP($A1470, 'Instrument Table'!$I:$I, 'Instrument Table'!$B:$B, $C1469), _xlfn.XLOOKUP($A1470, 'Instrument Table'!$H:$H, 'Instrument Table'!$B:$B, $C1469)))</f>
        <v>Acoustic Guitar</v>
      </c>
      <c r="D1470" s="1" t="str">
        <f>VLOOKUP($C1470, 'Instrument Table'!$B:$C, 2, FALSE)</f>
        <v>Strings</v>
      </c>
      <c r="E1470" s="1">
        <f t="shared" si="132"/>
        <v>1</v>
      </c>
      <c r="F1470" s="1">
        <f>_xlfn.XLOOKUP($C1470, 'Instrument Table'!$B:$B, 'Instrument Table'!$A:$A, "")</f>
        <v>24</v>
      </c>
      <c r="G1470" s="1" t="str">
        <f>TEXT(IF($B1470 = "Retail Item", IF((ROW($A1470) - 4504 - _xlfn.XMATCH($C1470, $C$4506:$C$5005, 0, 1)) &lt;= VLOOKUP($C1470, 'Instrument Table'!$B:$D, 3, FALSE), ROW($A1470) - 4504 - _xlfn.XMATCH($C1470, $C$4506:$C$5005, 0, 1), 0), 0), "00")</f>
        <v>00</v>
      </c>
      <c r="H1470" s="1" t="str">
        <f t="shared" si="133"/>
        <v>114</v>
      </c>
      <c r="I1470" s="1" t="str">
        <f t="shared" si="134"/>
        <v>12400-114</v>
      </c>
      <c r="J1470" s="1" t="str">
        <f t="shared" si="135"/>
        <v>Acoustic guitar production item #114</v>
      </c>
      <c r="K1470" s="1" t="str">
        <f>IF(SUM(COUNTIFS(I:I, I1470)) &gt; 1, "DUPLICATE", "UNIQUE")</f>
        <v>UNIQUE</v>
      </c>
      <c r="L1470" s="18">
        <v>2</v>
      </c>
      <c r="M1470" s="28">
        <v>4</v>
      </c>
      <c r="N1470" s="6">
        <v>400</v>
      </c>
      <c r="O1470" s="30">
        <f t="shared" si="136"/>
        <v>8</v>
      </c>
      <c r="P1470" s="30">
        <f t="shared" si="137"/>
        <v>1600</v>
      </c>
      <c r="Q1470" s="1">
        <f>COUNTIFS($P:$P, "&gt;" &amp; $P1470) + 1</f>
        <v>3401</v>
      </c>
      <c r="R1470" s="63">
        <f>(COUNTIFS($P:$P, "&gt;" &amp; $P1470) + 1) / (COUNTA($I:$I) - 1)</f>
        <v>0.68020000000000003</v>
      </c>
      <c r="S1470" s="23">
        <f>SUMIFS($P:$P, $Q:$Q, "&lt;" &amp; $Q1470)</f>
        <v>185786623</v>
      </c>
    </row>
    <row r="1471" spans="1:19" x14ac:dyDescent="0.25">
      <c r="A1471" s="1">
        <v>1466</v>
      </c>
      <c r="B1471" s="1" t="s">
        <v>2</v>
      </c>
      <c r="C1471" s="1" t="str">
        <f>IF($B1471 = "Production Item", _xlfn.XLOOKUP($A1471, 'Instrument Table'!$J:$J, 'Instrument Table'!$B:$B, $C1470), IF($B1471 = "Service Item", _xlfn.XLOOKUP($A1471, 'Instrument Table'!$I:$I, 'Instrument Table'!$B:$B, $C1470), _xlfn.XLOOKUP($A1471, 'Instrument Table'!$H:$H, 'Instrument Table'!$B:$B, $C1470)))</f>
        <v>Acoustic Guitar</v>
      </c>
      <c r="D1471" s="1" t="str">
        <f>VLOOKUP($C1471, 'Instrument Table'!$B:$C, 2, FALSE)</f>
        <v>Strings</v>
      </c>
      <c r="E1471" s="1">
        <f t="shared" si="132"/>
        <v>1</v>
      </c>
      <c r="F1471" s="1">
        <f>_xlfn.XLOOKUP($C1471, 'Instrument Table'!$B:$B, 'Instrument Table'!$A:$A, "")</f>
        <v>24</v>
      </c>
      <c r="G1471" s="1" t="str">
        <f>TEXT(IF($B1471 = "Retail Item", IF((ROW($A1471) - 4504 - _xlfn.XMATCH($C1471, $C$4506:$C$5005, 0, 1)) &lt;= VLOOKUP($C1471, 'Instrument Table'!$B:$D, 3, FALSE), ROW($A1471) - 4504 - _xlfn.XMATCH($C1471, $C$4506:$C$5005, 0, 1), 0), 0), "00")</f>
        <v>00</v>
      </c>
      <c r="H1471" s="1" t="str">
        <f t="shared" si="133"/>
        <v>115</v>
      </c>
      <c r="I1471" s="1" t="str">
        <f t="shared" si="134"/>
        <v>12400-115</v>
      </c>
      <c r="J1471" s="1" t="str">
        <f t="shared" si="135"/>
        <v>Acoustic guitar production item #115</v>
      </c>
      <c r="K1471" s="1" t="str">
        <f>IF(SUM(COUNTIFS(I:I, I1471)) &gt; 1, "DUPLICATE", "UNIQUE")</f>
        <v>UNIQUE</v>
      </c>
      <c r="L1471" s="18">
        <v>1</v>
      </c>
      <c r="M1471" s="28">
        <v>85</v>
      </c>
      <c r="N1471" s="6">
        <v>9</v>
      </c>
      <c r="O1471" s="30">
        <f t="shared" si="136"/>
        <v>85</v>
      </c>
      <c r="P1471" s="30">
        <f t="shared" si="137"/>
        <v>765</v>
      </c>
      <c r="Q1471" s="1">
        <f>COUNTIFS($P:$P, "&gt;" &amp; $P1471) + 1</f>
        <v>3822</v>
      </c>
      <c r="R1471" s="63">
        <f>(COUNTIFS($P:$P, "&gt;" &amp; $P1471) + 1) / (COUNTA($I:$I) - 1)</f>
        <v>0.76439999999999997</v>
      </c>
      <c r="S1471" s="23">
        <f>SUMIFS($P:$P, $Q:$Q, "&lt;" &amp; $Q1471)</f>
        <v>186282670</v>
      </c>
    </row>
    <row r="1472" spans="1:19" x14ac:dyDescent="0.25">
      <c r="A1472" s="1">
        <v>1467</v>
      </c>
      <c r="B1472" s="1" t="s">
        <v>2</v>
      </c>
      <c r="C1472" s="1" t="str">
        <f>IF($B1472 = "Production Item", _xlfn.XLOOKUP($A1472, 'Instrument Table'!$J:$J, 'Instrument Table'!$B:$B, $C1471), IF($B1472 = "Service Item", _xlfn.XLOOKUP($A1472, 'Instrument Table'!$I:$I, 'Instrument Table'!$B:$B, $C1471), _xlfn.XLOOKUP($A1472, 'Instrument Table'!$H:$H, 'Instrument Table'!$B:$B, $C1471)))</f>
        <v>Acoustic Guitar</v>
      </c>
      <c r="D1472" s="1" t="str">
        <f>VLOOKUP($C1472, 'Instrument Table'!$B:$C, 2, FALSE)</f>
        <v>Strings</v>
      </c>
      <c r="E1472" s="1">
        <f t="shared" si="132"/>
        <v>1</v>
      </c>
      <c r="F1472" s="1">
        <f>_xlfn.XLOOKUP($C1472, 'Instrument Table'!$B:$B, 'Instrument Table'!$A:$A, "")</f>
        <v>24</v>
      </c>
      <c r="G1472" s="1" t="str">
        <f>TEXT(IF($B1472 = "Retail Item", IF((ROW($A1472) - 4504 - _xlfn.XMATCH($C1472, $C$4506:$C$5005, 0, 1)) &lt;= VLOOKUP($C1472, 'Instrument Table'!$B:$D, 3, FALSE), ROW($A1472) - 4504 - _xlfn.XMATCH($C1472, $C$4506:$C$5005, 0, 1), 0), 0), "00")</f>
        <v>00</v>
      </c>
      <c r="H1472" s="1" t="str">
        <f t="shared" si="133"/>
        <v>116</v>
      </c>
      <c r="I1472" s="1" t="str">
        <f t="shared" si="134"/>
        <v>12400-116</v>
      </c>
      <c r="J1472" s="1" t="str">
        <f t="shared" si="135"/>
        <v>Acoustic guitar production item #116</v>
      </c>
      <c r="K1472" s="1" t="str">
        <f>IF(SUM(COUNTIFS(I:I, I1472)) &gt; 1, "DUPLICATE", "UNIQUE")</f>
        <v>UNIQUE</v>
      </c>
      <c r="L1472" s="18">
        <v>0</v>
      </c>
      <c r="M1472" s="28">
        <v>78</v>
      </c>
      <c r="N1472" s="6">
        <v>36</v>
      </c>
      <c r="O1472" s="30">
        <f t="shared" si="136"/>
        <v>0</v>
      </c>
      <c r="P1472" s="30">
        <f t="shared" si="137"/>
        <v>2808</v>
      </c>
      <c r="Q1472" s="1">
        <f>COUNTIFS($P:$P, "&gt;" &amp; $P1472) + 1</f>
        <v>2958</v>
      </c>
      <c r="R1472" s="63">
        <f>(COUNTIFS($P:$P, "&gt;" &amp; $P1472) + 1) / (COUNTA($I:$I) - 1)</f>
        <v>0.59160000000000001</v>
      </c>
      <c r="S1472" s="23">
        <f>SUMIFS($P:$P, $Q:$Q, "&lt;" &amp; $Q1472)</f>
        <v>184817725</v>
      </c>
    </row>
    <row r="1473" spans="1:19" x14ac:dyDescent="0.25">
      <c r="A1473" s="1">
        <v>1468</v>
      </c>
      <c r="B1473" s="1" t="s">
        <v>2</v>
      </c>
      <c r="C1473" s="1" t="str">
        <f>IF($B1473 = "Production Item", _xlfn.XLOOKUP($A1473, 'Instrument Table'!$J:$J, 'Instrument Table'!$B:$B, $C1472), IF($B1473 = "Service Item", _xlfn.XLOOKUP($A1473, 'Instrument Table'!$I:$I, 'Instrument Table'!$B:$B, $C1472), _xlfn.XLOOKUP($A1473, 'Instrument Table'!$H:$H, 'Instrument Table'!$B:$B, $C1472)))</f>
        <v>Acoustic Guitar</v>
      </c>
      <c r="D1473" s="1" t="str">
        <f>VLOOKUP($C1473, 'Instrument Table'!$B:$C, 2, FALSE)</f>
        <v>Strings</v>
      </c>
      <c r="E1473" s="1">
        <f t="shared" si="132"/>
        <v>1</v>
      </c>
      <c r="F1473" s="1">
        <f>_xlfn.XLOOKUP($C1473, 'Instrument Table'!$B:$B, 'Instrument Table'!$A:$A, "")</f>
        <v>24</v>
      </c>
      <c r="G1473" s="1" t="str">
        <f>TEXT(IF($B1473 = "Retail Item", IF((ROW($A1473) - 4504 - _xlfn.XMATCH($C1473, $C$4506:$C$5005, 0, 1)) &lt;= VLOOKUP($C1473, 'Instrument Table'!$B:$D, 3, FALSE), ROW($A1473) - 4504 - _xlfn.XMATCH($C1473, $C$4506:$C$5005, 0, 1), 0), 0), "00")</f>
        <v>00</v>
      </c>
      <c r="H1473" s="1" t="str">
        <f t="shared" si="133"/>
        <v>117</v>
      </c>
      <c r="I1473" s="1" t="str">
        <f t="shared" si="134"/>
        <v>12400-117</v>
      </c>
      <c r="J1473" s="1" t="str">
        <f t="shared" si="135"/>
        <v>Acoustic guitar production item #117</v>
      </c>
      <c r="K1473" s="1" t="str">
        <f>IF(SUM(COUNTIFS(I:I, I1473)) &gt; 1, "DUPLICATE", "UNIQUE")</f>
        <v>UNIQUE</v>
      </c>
      <c r="L1473" s="18">
        <v>8</v>
      </c>
      <c r="M1473" s="28">
        <v>71</v>
      </c>
      <c r="N1473" s="6">
        <v>256</v>
      </c>
      <c r="O1473" s="30">
        <f t="shared" si="136"/>
        <v>568</v>
      </c>
      <c r="P1473" s="30">
        <f t="shared" si="137"/>
        <v>18176</v>
      </c>
      <c r="Q1473" s="1">
        <f>COUNTIFS($P:$P, "&gt;" &amp; $P1473) + 1</f>
        <v>1155</v>
      </c>
      <c r="R1473" s="63">
        <f>(COUNTIFS($P:$P, "&gt;" &amp; $P1473) + 1) / (COUNTA($I:$I) - 1)</f>
        <v>0.23100000000000001</v>
      </c>
      <c r="S1473" s="23">
        <f>SUMIFS($P:$P, $Q:$Q, "&lt;" &amp; $Q1473)</f>
        <v>169527657</v>
      </c>
    </row>
    <row r="1474" spans="1:19" x14ac:dyDescent="0.25">
      <c r="A1474" s="1">
        <v>1469</v>
      </c>
      <c r="B1474" s="1" t="s">
        <v>2</v>
      </c>
      <c r="C1474" s="1" t="str">
        <f>IF($B1474 = "Production Item", _xlfn.XLOOKUP($A1474, 'Instrument Table'!$J:$J, 'Instrument Table'!$B:$B, $C1473), IF($B1474 = "Service Item", _xlfn.XLOOKUP($A1474, 'Instrument Table'!$I:$I, 'Instrument Table'!$B:$B, $C1473), _xlfn.XLOOKUP($A1474, 'Instrument Table'!$H:$H, 'Instrument Table'!$B:$B, $C1473)))</f>
        <v>Acoustic Guitar</v>
      </c>
      <c r="D1474" s="1" t="str">
        <f>VLOOKUP($C1474, 'Instrument Table'!$B:$C, 2, FALSE)</f>
        <v>Strings</v>
      </c>
      <c r="E1474" s="1">
        <f t="shared" si="132"/>
        <v>1</v>
      </c>
      <c r="F1474" s="1">
        <f>_xlfn.XLOOKUP($C1474, 'Instrument Table'!$B:$B, 'Instrument Table'!$A:$A, "")</f>
        <v>24</v>
      </c>
      <c r="G1474" s="1" t="str">
        <f>TEXT(IF($B1474 = "Retail Item", IF((ROW($A1474) - 4504 - _xlfn.XMATCH($C1474, $C$4506:$C$5005, 0, 1)) &lt;= VLOOKUP($C1474, 'Instrument Table'!$B:$D, 3, FALSE), ROW($A1474) - 4504 - _xlfn.XMATCH($C1474, $C$4506:$C$5005, 0, 1), 0), 0), "00")</f>
        <v>00</v>
      </c>
      <c r="H1474" s="1" t="str">
        <f t="shared" si="133"/>
        <v>118</v>
      </c>
      <c r="I1474" s="1" t="str">
        <f t="shared" si="134"/>
        <v>12400-118</v>
      </c>
      <c r="J1474" s="1" t="str">
        <f t="shared" si="135"/>
        <v>Acoustic guitar production item #118</v>
      </c>
      <c r="K1474" s="1" t="str">
        <f>IF(SUM(COUNTIFS(I:I, I1474)) &gt; 1, "DUPLICATE", "UNIQUE")</f>
        <v>UNIQUE</v>
      </c>
      <c r="L1474" s="18">
        <v>2</v>
      </c>
      <c r="M1474" s="28">
        <v>48</v>
      </c>
      <c r="N1474" s="6">
        <v>324</v>
      </c>
      <c r="O1474" s="30">
        <f t="shared" si="136"/>
        <v>96</v>
      </c>
      <c r="P1474" s="30">
        <f t="shared" si="137"/>
        <v>15552</v>
      </c>
      <c r="Q1474" s="1">
        <f>COUNTIFS($P:$P, "&gt;" &amp; $P1474) + 1</f>
        <v>1310</v>
      </c>
      <c r="R1474" s="63">
        <f>(COUNTIFS($P:$P, "&gt;" &amp; $P1474) + 1) / (COUNTA($I:$I) - 1)</f>
        <v>0.26200000000000001</v>
      </c>
      <c r="S1474" s="23">
        <f>SUMIFS($P:$P, $Q:$Q, "&lt;" &amp; $Q1474)</f>
        <v>172130215</v>
      </c>
    </row>
    <row r="1475" spans="1:19" x14ac:dyDescent="0.25">
      <c r="A1475" s="1">
        <v>1470</v>
      </c>
      <c r="B1475" s="1" t="s">
        <v>2</v>
      </c>
      <c r="C1475" s="1" t="str">
        <f>IF($B1475 = "Production Item", _xlfn.XLOOKUP($A1475, 'Instrument Table'!$J:$J, 'Instrument Table'!$B:$B, $C1474), IF($B1475 = "Service Item", _xlfn.XLOOKUP($A1475, 'Instrument Table'!$I:$I, 'Instrument Table'!$B:$B, $C1474), _xlfn.XLOOKUP($A1475, 'Instrument Table'!$H:$H, 'Instrument Table'!$B:$B, $C1474)))</f>
        <v>Acoustic Guitar</v>
      </c>
      <c r="D1475" s="1" t="str">
        <f>VLOOKUP($C1475, 'Instrument Table'!$B:$C, 2, FALSE)</f>
        <v>Strings</v>
      </c>
      <c r="E1475" s="1">
        <f t="shared" si="132"/>
        <v>1</v>
      </c>
      <c r="F1475" s="1">
        <f>_xlfn.XLOOKUP($C1475, 'Instrument Table'!$B:$B, 'Instrument Table'!$A:$A, "")</f>
        <v>24</v>
      </c>
      <c r="G1475" s="1" t="str">
        <f>TEXT(IF($B1475 = "Retail Item", IF((ROW($A1475) - 4504 - _xlfn.XMATCH($C1475, $C$4506:$C$5005, 0, 1)) &lt;= VLOOKUP($C1475, 'Instrument Table'!$B:$D, 3, FALSE), ROW($A1475) - 4504 - _xlfn.XMATCH($C1475, $C$4506:$C$5005, 0, 1), 0), 0), "00")</f>
        <v>00</v>
      </c>
      <c r="H1475" s="1" t="str">
        <f t="shared" si="133"/>
        <v>119</v>
      </c>
      <c r="I1475" s="1" t="str">
        <f t="shared" si="134"/>
        <v>12400-119</v>
      </c>
      <c r="J1475" s="1" t="str">
        <f t="shared" si="135"/>
        <v>Acoustic guitar production item #119</v>
      </c>
      <c r="K1475" s="1" t="str">
        <f>IF(SUM(COUNTIFS(I:I, I1475)) &gt; 1, "DUPLICATE", "UNIQUE")</f>
        <v>UNIQUE</v>
      </c>
      <c r="L1475" s="18">
        <v>0</v>
      </c>
      <c r="M1475" s="28">
        <v>80</v>
      </c>
      <c r="N1475" s="6">
        <v>16</v>
      </c>
      <c r="O1475" s="30">
        <f t="shared" si="136"/>
        <v>0</v>
      </c>
      <c r="P1475" s="30">
        <f t="shared" si="137"/>
        <v>1280</v>
      </c>
      <c r="Q1475" s="1">
        <f>COUNTIFS($P:$P, "&gt;" &amp; $P1475) + 1</f>
        <v>3569</v>
      </c>
      <c r="R1475" s="63">
        <f>(COUNTIFS($P:$P, "&gt;" &amp; $P1475) + 1) / (COUNTA($I:$I) - 1)</f>
        <v>0.71379999999999999</v>
      </c>
      <c r="S1475" s="23">
        <f>SUMIFS($P:$P, $Q:$Q, "&lt;" &amp; $Q1475)</f>
        <v>186031008</v>
      </c>
    </row>
    <row r="1476" spans="1:19" x14ac:dyDescent="0.25">
      <c r="A1476" s="1">
        <v>1471</v>
      </c>
      <c r="B1476" s="1" t="s">
        <v>2</v>
      </c>
      <c r="C1476" s="1" t="str">
        <f>IF($B1476 = "Production Item", _xlfn.XLOOKUP($A1476, 'Instrument Table'!$J:$J, 'Instrument Table'!$B:$B, $C1475), IF($B1476 = "Service Item", _xlfn.XLOOKUP($A1476, 'Instrument Table'!$I:$I, 'Instrument Table'!$B:$B, $C1475), _xlfn.XLOOKUP($A1476, 'Instrument Table'!$H:$H, 'Instrument Table'!$B:$B, $C1475)))</f>
        <v>Acoustic Guitar</v>
      </c>
      <c r="D1476" s="1" t="str">
        <f>VLOOKUP($C1476, 'Instrument Table'!$B:$C, 2, FALSE)</f>
        <v>Strings</v>
      </c>
      <c r="E1476" s="1">
        <f t="shared" si="132"/>
        <v>1</v>
      </c>
      <c r="F1476" s="1">
        <f>_xlfn.XLOOKUP($C1476, 'Instrument Table'!$B:$B, 'Instrument Table'!$A:$A, "")</f>
        <v>24</v>
      </c>
      <c r="G1476" s="1" t="str">
        <f>TEXT(IF($B1476 = "Retail Item", IF((ROW($A1476) - 4504 - _xlfn.XMATCH($C1476, $C$4506:$C$5005, 0, 1)) &lt;= VLOOKUP($C1476, 'Instrument Table'!$B:$D, 3, FALSE), ROW($A1476) - 4504 - _xlfn.XMATCH($C1476, $C$4506:$C$5005, 0, 1), 0), 0), "00")</f>
        <v>00</v>
      </c>
      <c r="H1476" s="1" t="str">
        <f t="shared" si="133"/>
        <v>120</v>
      </c>
      <c r="I1476" s="1" t="str">
        <f t="shared" si="134"/>
        <v>12400-120</v>
      </c>
      <c r="J1476" s="1" t="str">
        <f t="shared" si="135"/>
        <v>Acoustic guitar production item #120</v>
      </c>
      <c r="K1476" s="1" t="str">
        <f>IF(SUM(COUNTIFS(I:I, I1476)) &gt; 1, "DUPLICATE", "UNIQUE")</f>
        <v>UNIQUE</v>
      </c>
      <c r="L1476" s="18">
        <v>2</v>
      </c>
      <c r="M1476" s="28">
        <v>92</v>
      </c>
      <c r="N1476" s="6">
        <v>64</v>
      </c>
      <c r="O1476" s="30">
        <f t="shared" si="136"/>
        <v>184</v>
      </c>
      <c r="P1476" s="30">
        <f t="shared" si="137"/>
        <v>5888</v>
      </c>
      <c r="Q1476" s="1">
        <f>COUNTIFS($P:$P, "&gt;" &amp; $P1476) + 1</f>
        <v>2280</v>
      </c>
      <c r="R1476" s="63">
        <f>(COUNTIFS($P:$P, "&gt;" &amp; $P1476) + 1) / (COUNTA($I:$I) - 1)</f>
        <v>0.45600000000000002</v>
      </c>
      <c r="S1476" s="23">
        <f>SUMIFS($P:$P, $Q:$Q, "&lt;" &amp; $Q1476)</f>
        <v>181947420</v>
      </c>
    </row>
    <row r="1477" spans="1:19" x14ac:dyDescent="0.25">
      <c r="A1477" s="1">
        <v>1472</v>
      </c>
      <c r="B1477" s="1" t="s">
        <v>2</v>
      </c>
      <c r="C1477" s="1" t="str">
        <f>IF($B1477 = "Production Item", _xlfn.XLOOKUP($A1477, 'Instrument Table'!$J:$J, 'Instrument Table'!$B:$B, $C1476), IF($B1477 = "Service Item", _xlfn.XLOOKUP($A1477, 'Instrument Table'!$I:$I, 'Instrument Table'!$B:$B, $C1476), _xlfn.XLOOKUP($A1477, 'Instrument Table'!$H:$H, 'Instrument Table'!$B:$B, $C1476)))</f>
        <v>Acoustic Guitar</v>
      </c>
      <c r="D1477" s="1" t="str">
        <f>VLOOKUP($C1477, 'Instrument Table'!$B:$C, 2, FALSE)</f>
        <v>Strings</v>
      </c>
      <c r="E1477" s="1">
        <f t="shared" si="132"/>
        <v>1</v>
      </c>
      <c r="F1477" s="1">
        <f>_xlfn.XLOOKUP($C1477, 'Instrument Table'!$B:$B, 'Instrument Table'!$A:$A, "")</f>
        <v>24</v>
      </c>
      <c r="G1477" s="1" t="str">
        <f>TEXT(IF($B1477 = "Retail Item", IF((ROW($A1477) - 4504 - _xlfn.XMATCH($C1477, $C$4506:$C$5005, 0, 1)) &lt;= VLOOKUP($C1477, 'Instrument Table'!$B:$D, 3, FALSE), ROW($A1477) - 4504 - _xlfn.XMATCH($C1477, $C$4506:$C$5005, 0, 1), 0), 0), "00")</f>
        <v>00</v>
      </c>
      <c r="H1477" s="1" t="str">
        <f t="shared" si="133"/>
        <v>121</v>
      </c>
      <c r="I1477" s="1" t="str">
        <f t="shared" si="134"/>
        <v>12400-121</v>
      </c>
      <c r="J1477" s="1" t="str">
        <f t="shared" si="135"/>
        <v>Acoustic guitar production item #121</v>
      </c>
      <c r="K1477" s="1" t="str">
        <f>IF(SUM(COUNTIFS(I:I, I1477)) &gt; 1, "DUPLICATE", "UNIQUE")</f>
        <v>UNIQUE</v>
      </c>
      <c r="L1477" s="18">
        <v>0</v>
      </c>
      <c r="M1477" s="28">
        <v>67</v>
      </c>
      <c r="N1477" s="6">
        <v>64</v>
      </c>
      <c r="O1477" s="30">
        <f t="shared" si="136"/>
        <v>0</v>
      </c>
      <c r="P1477" s="30">
        <f t="shared" si="137"/>
        <v>4288</v>
      </c>
      <c r="Q1477" s="1">
        <f>COUNTIFS($P:$P, "&gt;" &amp; $P1477) + 1</f>
        <v>2593</v>
      </c>
      <c r="R1477" s="63">
        <f>(COUNTIFS($P:$P, "&gt;" &amp; $P1477) + 1) / (COUNTA($I:$I) - 1)</f>
        <v>0.51859999999999995</v>
      </c>
      <c r="S1477" s="23">
        <f>SUMIFS($P:$P, $Q:$Q, "&lt;" &amp; $Q1477)</f>
        <v>183533510</v>
      </c>
    </row>
    <row r="1478" spans="1:19" x14ac:dyDescent="0.25">
      <c r="A1478" s="1">
        <v>1473</v>
      </c>
      <c r="B1478" s="1" t="s">
        <v>2</v>
      </c>
      <c r="C1478" s="1" t="str">
        <f>IF($B1478 = "Production Item", _xlfn.XLOOKUP($A1478, 'Instrument Table'!$J:$J, 'Instrument Table'!$B:$B, $C1477), IF($B1478 = "Service Item", _xlfn.XLOOKUP($A1478, 'Instrument Table'!$I:$I, 'Instrument Table'!$B:$B, $C1477), _xlfn.XLOOKUP($A1478, 'Instrument Table'!$H:$H, 'Instrument Table'!$B:$B, $C1477)))</f>
        <v>Acoustic Guitar</v>
      </c>
      <c r="D1478" s="1" t="str">
        <f>VLOOKUP($C1478, 'Instrument Table'!$B:$C, 2, FALSE)</f>
        <v>Strings</v>
      </c>
      <c r="E1478" s="1">
        <f t="shared" si="132"/>
        <v>1</v>
      </c>
      <c r="F1478" s="1">
        <f>_xlfn.XLOOKUP($C1478, 'Instrument Table'!$B:$B, 'Instrument Table'!$A:$A, "")</f>
        <v>24</v>
      </c>
      <c r="G1478" s="1" t="str">
        <f>TEXT(IF($B1478 = "Retail Item", IF((ROW($A1478) - 4504 - _xlfn.XMATCH($C1478, $C$4506:$C$5005, 0, 1)) &lt;= VLOOKUP($C1478, 'Instrument Table'!$B:$D, 3, FALSE), ROW($A1478) - 4504 - _xlfn.XMATCH($C1478, $C$4506:$C$5005, 0, 1), 0), 0), "00")</f>
        <v>00</v>
      </c>
      <c r="H1478" s="1" t="str">
        <f t="shared" si="133"/>
        <v>122</v>
      </c>
      <c r="I1478" s="1" t="str">
        <f t="shared" si="134"/>
        <v>12400-122</v>
      </c>
      <c r="J1478" s="1" t="str">
        <f t="shared" si="135"/>
        <v>Acoustic guitar production item #122</v>
      </c>
      <c r="K1478" s="1" t="str">
        <f>IF(SUM(COUNTIFS(I:I, I1478)) &gt; 1, "DUPLICATE", "UNIQUE")</f>
        <v>UNIQUE</v>
      </c>
      <c r="L1478" s="18">
        <v>1</v>
      </c>
      <c r="M1478" s="28">
        <v>89</v>
      </c>
      <c r="N1478" s="6">
        <v>144</v>
      </c>
      <c r="O1478" s="30">
        <f t="shared" si="136"/>
        <v>89</v>
      </c>
      <c r="P1478" s="30">
        <f t="shared" si="137"/>
        <v>12816</v>
      </c>
      <c r="Q1478" s="1">
        <f>COUNTIFS($P:$P, "&gt;" &amp; $P1478) + 1</f>
        <v>1515</v>
      </c>
      <c r="R1478" s="63">
        <f>(COUNTIFS($P:$P, "&gt;" &amp; $P1478) + 1) / (COUNTA($I:$I) - 1)</f>
        <v>0.30299999999999999</v>
      </c>
      <c r="S1478" s="23">
        <f>SUMIFS($P:$P, $Q:$Q, "&lt;" &amp; $Q1478)</f>
        <v>175033465</v>
      </c>
    </row>
    <row r="1479" spans="1:19" x14ac:dyDescent="0.25">
      <c r="A1479" s="1">
        <v>1474</v>
      </c>
      <c r="B1479" s="1" t="s">
        <v>2</v>
      </c>
      <c r="C1479" s="1" t="str">
        <f>IF($B1479 = "Production Item", _xlfn.XLOOKUP($A1479, 'Instrument Table'!$J:$J, 'Instrument Table'!$B:$B, $C1478), IF($B1479 = "Service Item", _xlfn.XLOOKUP($A1479, 'Instrument Table'!$I:$I, 'Instrument Table'!$B:$B, $C1478), _xlfn.XLOOKUP($A1479, 'Instrument Table'!$H:$H, 'Instrument Table'!$B:$B, $C1478)))</f>
        <v>Acoustic Guitar</v>
      </c>
      <c r="D1479" s="1" t="str">
        <f>VLOOKUP($C1479, 'Instrument Table'!$B:$C, 2, FALSE)</f>
        <v>Strings</v>
      </c>
      <c r="E1479" s="1">
        <f t="shared" ref="E1479:E1542" si="138">IF($B1479 = "Production Item", 1, IF($B1479 = "Service Item", 2, IF($B1479 = "Retail Item", 3, "")))</f>
        <v>1</v>
      </c>
      <c r="F1479" s="1">
        <f>_xlfn.XLOOKUP($C1479, 'Instrument Table'!$B:$B, 'Instrument Table'!$A:$A, "")</f>
        <v>24</v>
      </c>
      <c r="G1479" s="1" t="str">
        <f>TEXT(IF($B1479 = "Retail Item", IF((ROW($A1479) - 4504 - _xlfn.XMATCH($C1479, $C$4506:$C$5005, 0, 1)) &lt;= VLOOKUP($C1479, 'Instrument Table'!$B:$D, 3, FALSE), ROW($A1479) - 4504 - _xlfn.XMATCH($C1479, $C$4506:$C$5005, 0, 1), 0), 0), "00")</f>
        <v>00</v>
      </c>
      <c r="H1479" s="1" t="str">
        <f t="shared" ref="H1479:H1542" si="139">TEXT(IF($E1479 &amp; $F1479 &amp; $G1479 = $E1478 &amp; $F1478 &amp; $G1478, 1 + H1478, 0), "000")</f>
        <v>123</v>
      </c>
      <c r="I1479" s="1" t="str">
        <f t="shared" ref="I1479:I1542" si="140" xml:space="preserve"> _xlfn.CONCAT($E1479, $F1479, $G1479, "-", H1479)</f>
        <v>12400-123</v>
      </c>
      <c r="J1479" s="1" t="str">
        <f t="shared" ref="J1479:J1542" si="141">LEFT($C1479, 1) &amp; LOWER(RIGHT($C1479, LEN($C1479) - 1)) &amp; IF(AND($G1479 &lt;&gt; "00", $B1479 = "Retail Item"), " model #" &amp; $G1479, " " &amp; LOWER($B1479) &amp; " #" &amp; $H1479)</f>
        <v>Acoustic guitar production item #123</v>
      </c>
      <c r="K1479" s="1" t="str">
        <f>IF(SUM(COUNTIFS(I:I, I1479)) &gt; 1, "DUPLICATE", "UNIQUE")</f>
        <v>UNIQUE</v>
      </c>
      <c r="L1479" s="18">
        <v>1</v>
      </c>
      <c r="M1479" s="28">
        <v>89</v>
      </c>
      <c r="N1479" s="6">
        <v>144</v>
      </c>
      <c r="O1479" s="30">
        <f t="shared" ref="O1479:O1542" si="142">$L1479 * $M1479</f>
        <v>89</v>
      </c>
      <c r="P1479" s="30">
        <f t="shared" ref="P1479:P1542" si="143">$N1479 * $M1479</f>
        <v>12816</v>
      </c>
      <c r="Q1479" s="1">
        <f>COUNTIFS($P:$P, "&gt;" &amp; $P1479) + 1</f>
        <v>1515</v>
      </c>
      <c r="R1479" s="63">
        <f>(COUNTIFS($P:$P, "&gt;" &amp; $P1479) + 1) / (COUNTA($I:$I) - 1)</f>
        <v>0.30299999999999999</v>
      </c>
      <c r="S1479" s="23">
        <f>SUMIFS($P:$P, $Q:$Q, "&lt;" &amp; $Q1479)</f>
        <v>175033465</v>
      </c>
    </row>
    <row r="1480" spans="1:19" x14ac:dyDescent="0.25">
      <c r="A1480" s="1">
        <v>1475</v>
      </c>
      <c r="B1480" s="1" t="s">
        <v>2</v>
      </c>
      <c r="C1480" s="1" t="str">
        <f>IF($B1480 = "Production Item", _xlfn.XLOOKUP($A1480, 'Instrument Table'!$J:$J, 'Instrument Table'!$B:$B, $C1479), IF($B1480 = "Service Item", _xlfn.XLOOKUP($A1480, 'Instrument Table'!$I:$I, 'Instrument Table'!$B:$B, $C1479), _xlfn.XLOOKUP($A1480, 'Instrument Table'!$H:$H, 'Instrument Table'!$B:$B, $C1479)))</f>
        <v>Acoustic Guitar</v>
      </c>
      <c r="D1480" s="1" t="str">
        <f>VLOOKUP($C1480, 'Instrument Table'!$B:$C, 2, FALSE)</f>
        <v>Strings</v>
      </c>
      <c r="E1480" s="1">
        <f t="shared" si="138"/>
        <v>1</v>
      </c>
      <c r="F1480" s="1">
        <f>_xlfn.XLOOKUP($C1480, 'Instrument Table'!$B:$B, 'Instrument Table'!$A:$A, "")</f>
        <v>24</v>
      </c>
      <c r="G1480" s="1" t="str">
        <f>TEXT(IF($B1480 = "Retail Item", IF((ROW($A1480) - 4504 - _xlfn.XMATCH($C1480, $C$4506:$C$5005, 0, 1)) &lt;= VLOOKUP($C1480, 'Instrument Table'!$B:$D, 3, FALSE), ROW($A1480) - 4504 - _xlfn.XMATCH($C1480, $C$4506:$C$5005, 0, 1), 0), 0), "00")</f>
        <v>00</v>
      </c>
      <c r="H1480" s="1" t="str">
        <f t="shared" si="139"/>
        <v>124</v>
      </c>
      <c r="I1480" s="1" t="str">
        <f t="shared" si="140"/>
        <v>12400-124</v>
      </c>
      <c r="J1480" s="1" t="str">
        <f t="shared" si="141"/>
        <v>Acoustic guitar production item #124</v>
      </c>
      <c r="K1480" s="1" t="str">
        <f>IF(SUM(COUNTIFS(I:I, I1480)) &gt; 1, "DUPLICATE", "UNIQUE")</f>
        <v>UNIQUE</v>
      </c>
      <c r="L1480" s="18">
        <v>32</v>
      </c>
      <c r="M1480" s="28">
        <v>46</v>
      </c>
      <c r="N1480" s="6">
        <v>144</v>
      </c>
      <c r="O1480" s="30">
        <f t="shared" si="142"/>
        <v>1472</v>
      </c>
      <c r="P1480" s="30">
        <f t="shared" si="143"/>
        <v>6624</v>
      </c>
      <c r="Q1480" s="1">
        <f>COUNTIFS($P:$P, "&gt;" &amp; $P1480) + 1</f>
        <v>2194</v>
      </c>
      <c r="R1480" s="63">
        <f>(COUNTIFS($P:$P, "&gt;" &amp; $P1480) + 1) / (COUNTA($I:$I) - 1)</f>
        <v>0.43880000000000002</v>
      </c>
      <c r="S1480" s="23">
        <f>SUMIFS($P:$P, $Q:$Q, "&lt;" &amp; $Q1480)</f>
        <v>181411831</v>
      </c>
    </row>
    <row r="1481" spans="1:19" x14ac:dyDescent="0.25">
      <c r="A1481" s="1">
        <v>1476</v>
      </c>
      <c r="B1481" s="1" t="s">
        <v>2</v>
      </c>
      <c r="C1481" s="1" t="str">
        <f>IF($B1481 = "Production Item", _xlfn.XLOOKUP($A1481, 'Instrument Table'!$J:$J, 'Instrument Table'!$B:$B, $C1480), IF($B1481 = "Service Item", _xlfn.XLOOKUP($A1481, 'Instrument Table'!$I:$I, 'Instrument Table'!$B:$B, $C1480), _xlfn.XLOOKUP($A1481, 'Instrument Table'!$H:$H, 'Instrument Table'!$B:$B, $C1480)))</f>
        <v>Acoustic Guitar</v>
      </c>
      <c r="D1481" s="1" t="str">
        <f>VLOOKUP($C1481, 'Instrument Table'!$B:$C, 2, FALSE)</f>
        <v>Strings</v>
      </c>
      <c r="E1481" s="1">
        <f t="shared" si="138"/>
        <v>1</v>
      </c>
      <c r="F1481" s="1">
        <f>_xlfn.XLOOKUP($C1481, 'Instrument Table'!$B:$B, 'Instrument Table'!$A:$A, "")</f>
        <v>24</v>
      </c>
      <c r="G1481" s="1" t="str">
        <f>TEXT(IF($B1481 = "Retail Item", IF((ROW($A1481) - 4504 - _xlfn.XMATCH($C1481, $C$4506:$C$5005, 0, 1)) &lt;= VLOOKUP($C1481, 'Instrument Table'!$B:$D, 3, FALSE), ROW($A1481) - 4504 - _xlfn.XMATCH($C1481, $C$4506:$C$5005, 0, 1), 0), 0), "00")</f>
        <v>00</v>
      </c>
      <c r="H1481" s="1" t="str">
        <f t="shared" si="139"/>
        <v>125</v>
      </c>
      <c r="I1481" s="1" t="str">
        <f t="shared" si="140"/>
        <v>12400-125</v>
      </c>
      <c r="J1481" s="1" t="str">
        <f t="shared" si="141"/>
        <v>Acoustic guitar production item #125</v>
      </c>
      <c r="K1481" s="1" t="str">
        <f>IF(SUM(COUNTIFS(I:I, I1481)) &gt; 1, "DUPLICATE", "UNIQUE")</f>
        <v>UNIQUE</v>
      </c>
      <c r="L1481" s="18">
        <v>0</v>
      </c>
      <c r="M1481" s="28">
        <v>18</v>
      </c>
      <c r="N1481" s="6">
        <v>1</v>
      </c>
      <c r="O1481" s="30">
        <f t="shared" si="142"/>
        <v>0</v>
      </c>
      <c r="P1481" s="30">
        <f t="shared" si="143"/>
        <v>18</v>
      </c>
      <c r="Q1481" s="1">
        <f>COUNTIFS($P:$P, "&gt;" &amp; $P1481) + 1</f>
        <v>4697</v>
      </c>
      <c r="R1481" s="63">
        <f>(COUNTIFS($P:$P, "&gt;" &amp; $P1481) + 1) / (COUNTA($I:$I) - 1)</f>
        <v>0.93940000000000001</v>
      </c>
      <c r="S1481" s="23">
        <f>SUMIFS($P:$P, $Q:$Q, "&lt;" &amp; $Q1481)</f>
        <v>186547339</v>
      </c>
    </row>
    <row r="1482" spans="1:19" x14ac:dyDescent="0.25">
      <c r="A1482" s="1">
        <v>1477</v>
      </c>
      <c r="B1482" s="1" t="s">
        <v>2</v>
      </c>
      <c r="C1482" s="1" t="str">
        <f>IF($B1482 = "Production Item", _xlfn.XLOOKUP($A1482, 'Instrument Table'!$J:$J, 'Instrument Table'!$B:$B, $C1481), IF($B1482 = "Service Item", _xlfn.XLOOKUP($A1482, 'Instrument Table'!$I:$I, 'Instrument Table'!$B:$B, $C1481), _xlfn.XLOOKUP($A1482, 'Instrument Table'!$H:$H, 'Instrument Table'!$B:$B, $C1481)))</f>
        <v>Acoustic Guitar</v>
      </c>
      <c r="D1482" s="1" t="str">
        <f>VLOOKUP($C1482, 'Instrument Table'!$B:$C, 2, FALSE)</f>
        <v>Strings</v>
      </c>
      <c r="E1482" s="1">
        <f t="shared" si="138"/>
        <v>1</v>
      </c>
      <c r="F1482" s="1">
        <f>_xlfn.XLOOKUP($C1482, 'Instrument Table'!$B:$B, 'Instrument Table'!$A:$A, "")</f>
        <v>24</v>
      </c>
      <c r="G1482" s="1" t="str">
        <f>TEXT(IF($B1482 = "Retail Item", IF((ROW($A1482) - 4504 - _xlfn.XMATCH($C1482, $C$4506:$C$5005, 0, 1)) &lt;= VLOOKUP($C1482, 'Instrument Table'!$B:$D, 3, FALSE), ROW($A1482) - 4504 - _xlfn.XMATCH($C1482, $C$4506:$C$5005, 0, 1), 0), 0), "00")</f>
        <v>00</v>
      </c>
      <c r="H1482" s="1" t="str">
        <f t="shared" si="139"/>
        <v>126</v>
      </c>
      <c r="I1482" s="1" t="str">
        <f t="shared" si="140"/>
        <v>12400-126</v>
      </c>
      <c r="J1482" s="1" t="str">
        <f t="shared" si="141"/>
        <v>Acoustic guitar production item #126</v>
      </c>
      <c r="K1482" s="1" t="str">
        <f>IF(SUM(COUNTIFS(I:I, I1482)) &gt; 1, "DUPLICATE", "UNIQUE")</f>
        <v>UNIQUE</v>
      </c>
      <c r="L1482" s="18">
        <v>0</v>
      </c>
      <c r="M1482" s="28">
        <v>59</v>
      </c>
      <c r="N1482" s="6">
        <v>36</v>
      </c>
      <c r="O1482" s="30">
        <f t="shared" si="142"/>
        <v>0</v>
      </c>
      <c r="P1482" s="30">
        <f t="shared" si="143"/>
        <v>2124</v>
      </c>
      <c r="Q1482" s="1">
        <f>COUNTIFS($P:$P, "&gt;" &amp; $P1482) + 1</f>
        <v>3194</v>
      </c>
      <c r="R1482" s="63">
        <f>(COUNTIFS($P:$P, "&gt;" &amp; $P1482) + 1) / (COUNTA($I:$I) - 1)</f>
        <v>0.63880000000000003</v>
      </c>
      <c r="S1482" s="23">
        <f>SUMIFS($P:$P, $Q:$Q, "&lt;" &amp; $Q1482)</f>
        <v>185394931</v>
      </c>
    </row>
    <row r="1483" spans="1:19" x14ac:dyDescent="0.25">
      <c r="A1483" s="1">
        <v>1478</v>
      </c>
      <c r="B1483" s="1" t="s">
        <v>2</v>
      </c>
      <c r="C1483" s="1" t="str">
        <f>IF($B1483 = "Production Item", _xlfn.XLOOKUP($A1483, 'Instrument Table'!$J:$J, 'Instrument Table'!$B:$B, $C1482), IF($B1483 = "Service Item", _xlfn.XLOOKUP($A1483, 'Instrument Table'!$I:$I, 'Instrument Table'!$B:$B, $C1482), _xlfn.XLOOKUP($A1483, 'Instrument Table'!$H:$H, 'Instrument Table'!$B:$B, $C1482)))</f>
        <v>Acoustic Guitar</v>
      </c>
      <c r="D1483" s="1" t="str">
        <f>VLOOKUP($C1483, 'Instrument Table'!$B:$C, 2, FALSE)</f>
        <v>Strings</v>
      </c>
      <c r="E1483" s="1">
        <f t="shared" si="138"/>
        <v>1</v>
      </c>
      <c r="F1483" s="1">
        <f>_xlfn.XLOOKUP($C1483, 'Instrument Table'!$B:$B, 'Instrument Table'!$A:$A, "")</f>
        <v>24</v>
      </c>
      <c r="G1483" s="1" t="str">
        <f>TEXT(IF($B1483 = "Retail Item", IF((ROW($A1483) - 4504 - _xlfn.XMATCH($C1483, $C$4506:$C$5005, 0, 1)) &lt;= VLOOKUP($C1483, 'Instrument Table'!$B:$D, 3, FALSE), ROW($A1483) - 4504 - _xlfn.XMATCH($C1483, $C$4506:$C$5005, 0, 1), 0), 0), "00")</f>
        <v>00</v>
      </c>
      <c r="H1483" s="1" t="str">
        <f t="shared" si="139"/>
        <v>127</v>
      </c>
      <c r="I1483" s="1" t="str">
        <f t="shared" si="140"/>
        <v>12400-127</v>
      </c>
      <c r="J1483" s="1" t="str">
        <f t="shared" si="141"/>
        <v>Acoustic guitar production item #127</v>
      </c>
      <c r="K1483" s="1" t="str">
        <f>IF(SUM(COUNTIFS(I:I, I1483)) &gt; 1, "DUPLICATE", "UNIQUE")</f>
        <v>UNIQUE</v>
      </c>
      <c r="L1483" s="18">
        <v>0</v>
      </c>
      <c r="M1483" s="28">
        <v>97</v>
      </c>
      <c r="N1483" s="6">
        <v>225</v>
      </c>
      <c r="O1483" s="30">
        <f t="shared" si="142"/>
        <v>0</v>
      </c>
      <c r="P1483" s="30">
        <f t="shared" si="143"/>
        <v>21825</v>
      </c>
      <c r="Q1483" s="1">
        <f>COUNTIFS($P:$P, "&gt;" &amp; $P1483) + 1</f>
        <v>961</v>
      </c>
      <c r="R1483" s="63">
        <f>(COUNTIFS($P:$P, "&gt;" &amp; $P1483) + 1) / (COUNTA($I:$I) - 1)</f>
        <v>0.19220000000000001</v>
      </c>
      <c r="S1483" s="23">
        <f>SUMIFS($P:$P, $Q:$Q, "&lt;" &amp; $Q1483)</f>
        <v>165651656</v>
      </c>
    </row>
    <row r="1484" spans="1:19" x14ac:dyDescent="0.25">
      <c r="A1484" s="1">
        <v>1479</v>
      </c>
      <c r="B1484" s="1" t="s">
        <v>2</v>
      </c>
      <c r="C1484" s="1" t="str">
        <f>IF($B1484 = "Production Item", _xlfn.XLOOKUP($A1484, 'Instrument Table'!$J:$J, 'Instrument Table'!$B:$B, $C1483), IF($B1484 = "Service Item", _xlfn.XLOOKUP($A1484, 'Instrument Table'!$I:$I, 'Instrument Table'!$B:$B, $C1483), _xlfn.XLOOKUP($A1484, 'Instrument Table'!$H:$H, 'Instrument Table'!$B:$B, $C1483)))</f>
        <v>Acoustic Guitar</v>
      </c>
      <c r="D1484" s="1" t="str">
        <f>VLOOKUP($C1484, 'Instrument Table'!$B:$C, 2, FALSE)</f>
        <v>Strings</v>
      </c>
      <c r="E1484" s="1">
        <f t="shared" si="138"/>
        <v>1</v>
      </c>
      <c r="F1484" s="1">
        <f>_xlfn.XLOOKUP($C1484, 'Instrument Table'!$B:$B, 'Instrument Table'!$A:$A, "")</f>
        <v>24</v>
      </c>
      <c r="G1484" s="1" t="str">
        <f>TEXT(IF($B1484 = "Retail Item", IF((ROW($A1484) - 4504 - _xlfn.XMATCH($C1484, $C$4506:$C$5005, 0, 1)) &lt;= VLOOKUP($C1484, 'Instrument Table'!$B:$D, 3, FALSE), ROW($A1484) - 4504 - _xlfn.XMATCH($C1484, $C$4506:$C$5005, 0, 1), 0), 0), "00")</f>
        <v>00</v>
      </c>
      <c r="H1484" s="1" t="str">
        <f t="shared" si="139"/>
        <v>128</v>
      </c>
      <c r="I1484" s="1" t="str">
        <f t="shared" si="140"/>
        <v>12400-128</v>
      </c>
      <c r="J1484" s="1" t="str">
        <f t="shared" si="141"/>
        <v>Acoustic guitar production item #128</v>
      </c>
      <c r="K1484" s="1" t="str">
        <f>IF(SUM(COUNTIFS(I:I, I1484)) &gt; 1, "DUPLICATE", "UNIQUE")</f>
        <v>UNIQUE</v>
      </c>
      <c r="L1484" s="18">
        <v>1</v>
      </c>
      <c r="M1484" s="28">
        <v>91</v>
      </c>
      <c r="N1484" s="6">
        <v>225</v>
      </c>
      <c r="O1484" s="30">
        <f t="shared" si="142"/>
        <v>91</v>
      </c>
      <c r="P1484" s="30">
        <f t="shared" si="143"/>
        <v>20475</v>
      </c>
      <c r="Q1484" s="1">
        <f>COUNTIFS($P:$P, "&gt;" &amp; $P1484) + 1</f>
        <v>1034</v>
      </c>
      <c r="R1484" s="63">
        <f>(COUNTIFS($P:$P, "&gt;" &amp; $P1484) + 1) / (COUNTA($I:$I) - 1)</f>
        <v>0.20680000000000001</v>
      </c>
      <c r="S1484" s="23">
        <f>SUMIFS($P:$P, $Q:$Q, "&lt;" &amp; $Q1484)</f>
        <v>167197006</v>
      </c>
    </row>
    <row r="1485" spans="1:19" x14ac:dyDescent="0.25">
      <c r="A1485" s="1">
        <v>1480</v>
      </c>
      <c r="B1485" s="1" t="s">
        <v>2</v>
      </c>
      <c r="C1485" s="1" t="str">
        <f>IF($B1485 = "Production Item", _xlfn.XLOOKUP($A1485, 'Instrument Table'!$J:$J, 'Instrument Table'!$B:$B, $C1484), IF($B1485 = "Service Item", _xlfn.XLOOKUP($A1485, 'Instrument Table'!$I:$I, 'Instrument Table'!$B:$B, $C1484), _xlfn.XLOOKUP($A1485, 'Instrument Table'!$H:$H, 'Instrument Table'!$B:$B, $C1484)))</f>
        <v>Acoustic Guitar</v>
      </c>
      <c r="D1485" s="1" t="str">
        <f>VLOOKUP($C1485, 'Instrument Table'!$B:$C, 2, FALSE)</f>
        <v>Strings</v>
      </c>
      <c r="E1485" s="1">
        <f t="shared" si="138"/>
        <v>1</v>
      </c>
      <c r="F1485" s="1">
        <f>_xlfn.XLOOKUP($C1485, 'Instrument Table'!$B:$B, 'Instrument Table'!$A:$A, "")</f>
        <v>24</v>
      </c>
      <c r="G1485" s="1" t="str">
        <f>TEXT(IF($B1485 = "Retail Item", IF((ROW($A1485) - 4504 - _xlfn.XMATCH($C1485, $C$4506:$C$5005, 0, 1)) &lt;= VLOOKUP($C1485, 'Instrument Table'!$B:$D, 3, FALSE), ROW($A1485) - 4504 - _xlfn.XMATCH($C1485, $C$4506:$C$5005, 0, 1), 0), 0), "00")</f>
        <v>00</v>
      </c>
      <c r="H1485" s="1" t="str">
        <f t="shared" si="139"/>
        <v>129</v>
      </c>
      <c r="I1485" s="1" t="str">
        <f t="shared" si="140"/>
        <v>12400-129</v>
      </c>
      <c r="J1485" s="1" t="str">
        <f t="shared" si="141"/>
        <v>Acoustic guitar production item #129</v>
      </c>
      <c r="K1485" s="1" t="str">
        <f>IF(SUM(COUNTIFS(I:I, I1485)) &gt; 1, "DUPLICATE", "UNIQUE")</f>
        <v>UNIQUE</v>
      </c>
      <c r="L1485" s="18">
        <v>8</v>
      </c>
      <c r="M1485" s="28">
        <v>6</v>
      </c>
      <c r="N1485" s="6">
        <v>256</v>
      </c>
      <c r="O1485" s="30">
        <f t="shared" si="142"/>
        <v>48</v>
      </c>
      <c r="P1485" s="30">
        <f t="shared" si="143"/>
        <v>1536</v>
      </c>
      <c r="Q1485" s="1">
        <f>COUNTIFS($P:$P, "&gt;" &amp; $P1485) + 1</f>
        <v>3444</v>
      </c>
      <c r="R1485" s="63">
        <f>(COUNTIFS($P:$P, "&gt;" &amp; $P1485) + 1) / (COUNTA($I:$I) - 1)</f>
        <v>0.68879999999999997</v>
      </c>
      <c r="S1485" s="23">
        <f>SUMIFS($P:$P, $Q:$Q, "&lt;" &amp; $Q1485)</f>
        <v>185854606</v>
      </c>
    </row>
    <row r="1486" spans="1:19" x14ac:dyDescent="0.25">
      <c r="A1486" s="1">
        <v>1481</v>
      </c>
      <c r="B1486" s="1" t="s">
        <v>2</v>
      </c>
      <c r="C1486" s="1" t="str">
        <f>IF($B1486 = "Production Item", _xlfn.XLOOKUP($A1486, 'Instrument Table'!$J:$J, 'Instrument Table'!$B:$B, $C1485), IF($B1486 = "Service Item", _xlfn.XLOOKUP($A1486, 'Instrument Table'!$I:$I, 'Instrument Table'!$B:$B, $C1485), _xlfn.XLOOKUP($A1486, 'Instrument Table'!$H:$H, 'Instrument Table'!$B:$B, $C1485)))</f>
        <v>Acoustic Guitar</v>
      </c>
      <c r="D1486" s="1" t="str">
        <f>VLOOKUP($C1486, 'Instrument Table'!$B:$C, 2, FALSE)</f>
        <v>Strings</v>
      </c>
      <c r="E1486" s="1">
        <f t="shared" si="138"/>
        <v>1</v>
      </c>
      <c r="F1486" s="1">
        <f>_xlfn.XLOOKUP($C1486, 'Instrument Table'!$B:$B, 'Instrument Table'!$A:$A, "")</f>
        <v>24</v>
      </c>
      <c r="G1486" s="1" t="str">
        <f>TEXT(IF($B1486 = "Retail Item", IF((ROW($A1486) - 4504 - _xlfn.XMATCH($C1486, $C$4506:$C$5005, 0, 1)) &lt;= VLOOKUP($C1486, 'Instrument Table'!$B:$D, 3, FALSE), ROW($A1486) - 4504 - _xlfn.XMATCH($C1486, $C$4506:$C$5005, 0, 1), 0), 0), "00")</f>
        <v>00</v>
      </c>
      <c r="H1486" s="1" t="str">
        <f t="shared" si="139"/>
        <v>130</v>
      </c>
      <c r="I1486" s="1" t="str">
        <f t="shared" si="140"/>
        <v>12400-130</v>
      </c>
      <c r="J1486" s="1" t="str">
        <f t="shared" si="141"/>
        <v>Acoustic guitar production item #130</v>
      </c>
      <c r="K1486" s="1" t="str">
        <f>IF(SUM(COUNTIFS(I:I, I1486)) &gt; 1, "DUPLICATE", "UNIQUE")</f>
        <v>UNIQUE</v>
      </c>
      <c r="L1486" s="18">
        <v>1</v>
      </c>
      <c r="M1486" s="28">
        <v>5</v>
      </c>
      <c r="N1486" s="6">
        <v>400</v>
      </c>
      <c r="O1486" s="30">
        <f t="shared" si="142"/>
        <v>5</v>
      </c>
      <c r="P1486" s="30">
        <f t="shared" si="143"/>
        <v>2000</v>
      </c>
      <c r="Q1486" s="1">
        <f>COUNTIFS($P:$P, "&gt;" &amp; $P1486) + 1</f>
        <v>3257</v>
      </c>
      <c r="R1486" s="63">
        <f>(COUNTIFS($P:$P, "&gt;" &amp; $P1486) + 1) / (COUNTA($I:$I) - 1)</f>
        <v>0.65139999999999998</v>
      </c>
      <c r="S1486" s="23">
        <f>SUMIFS($P:$P, $Q:$Q, "&lt;" &amp; $Q1486)</f>
        <v>185525191</v>
      </c>
    </row>
    <row r="1487" spans="1:19" x14ac:dyDescent="0.25">
      <c r="A1487" s="1">
        <v>1482</v>
      </c>
      <c r="B1487" s="1" t="s">
        <v>2</v>
      </c>
      <c r="C1487" s="1" t="str">
        <f>IF($B1487 = "Production Item", _xlfn.XLOOKUP($A1487, 'Instrument Table'!$J:$J, 'Instrument Table'!$B:$B, $C1486), IF($B1487 = "Service Item", _xlfn.XLOOKUP($A1487, 'Instrument Table'!$I:$I, 'Instrument Table'!$B:$B, $C1486), _xlfn.XLOOKUP($A1487, 'Instrument Table'!$H:$H, 'Instrument Table'!$B:$B, $C1486)))</f>
        <v>Acoustic Guitar</v>
      </c>
      <c r="D1487" s="1" t="str">
        <f>VLOOKUP($C1487, 'Instrument Table'!$B:$C, 2, FALSE)</f>
        <v>Strings</v>
      </c>
      <c r="E1487" s="1">
        <f t="shared" si="138"/>
        <v>1</v>
      </c>
      <c r="F1487" s="1">
        <f>_xlfn.XLOOKUP($C1487, 'Instrument Table'!$B:$B, 'Instrument Table'!$A:$A, "")</f>
        <v>24</v>
      </c>
      <c r="G1487" s="1" t="str">
        <f>TEXT(IF($B1487 = "Retail Item", IF((ROW($A1487) - 4504 - _xlfn.XMATCH($C1487, $C$4506:$C$5005, 0, 1)) &lt;= VLOOKUP($C1487, 'Instrument Table'!$B:$D, 3, FALSE), ROW($A1487) - 4504 - _xlfn.XMATCH($C1487, $C$4506:$C$5005, 0, 1), 0), 0), "00")</f>
        <v>00</v>
      </c>
      <c r="H1487" s="1" t="str">
        <f t="shared" si="139"/>
        <v>131</v>
      </c>
      <c r="I1487" s="1" t="str">
        <f t="shared" si="140"/>
        <v>12400-131</v>
      </c>
      <c r="J1487" s="1" t="str">
        <f t="shared" si="141"/>
        <v>Acoustic guitar production item #131</v>
      </c>
      <c r="K1487" s="1" t="str">
        <f>IF(SUM(COUNTIFS(I:I, I1487)) &gt; 1, "DUPLICATE", "UNIQUE")</f>
        <v>UNIQUE</v>
      </c>
      <c r="L1487" s="18">
        <v>2</v>
      </c>
      <c r="M1487" s="28">
        <v>10</v>
      </c>
      <c r="N1487" s="6">
        <v>324</v>
      </c>
      <c r="O1487" s="30">
        <f t="shared" si="142"/>
        <v>20</v>
      </c>
      <c r="P1487" s="30">
        <f t="shared" si="143"/>
        <v>3240</v>
      </c>
      <c r="Q1487" s="1">
        <f>COUNTIFS($P:$P, "&gt;" &amp; $P1487) + 1</f>
        <v>2839</v>
      </c>
      <c r="R1487" s="63">
        <f>(COUNTIFS($P:$P, "&gt;" &amp; $P1487) + 1) / (COUNTA($I:$I) - 1)</f>
        <v>0.56779999999999997</v>
      </c>
      <c r="S1487" s="23">
        <f>SUMIFS($P:$P, $Q:$Q, "&lt;" &amp; $Q1487)</f>
        <v>184456190</v>
      </c>
    </row>
    <row r="1488" spans="1:19" x14ac:dyDescent="0.25">
      <c r="A1488" s="1">
        <v>1483</v>
      </c>
      <c r="B1488" s="1" t="s">
        <v>2</v>
      </c>
      <c r="C1488" s="1" t="str">
        <f>IF($B1488 = "Production Item", _xlfn.XLOOKUP($A1488, 'Instrument Table'!$J:$J, 'Instrument Table'!$B:$B, $C1487), IF($B1488 = "Service Item", _xlfn.XLOOKUP($A1488, 'Instrument Table'!$I:$I, 'Instrument Table'!$B:$B, $C1487), _xlfn.XLOOKUP($A1488, 'Instrument Table'!$H:$H, 'Instrument Table'!$B:$B, $C1487)))</f>
        <v>Acoustic Guitar</v>
      </c>
      <c r="D1488" s="1" t="str">
        <f>VLOOKUP($C1488, 'Instrument Table'!$B:$C, 2, FALSE)</f>
        <v>Strings</v>
      </c>
      <c r="E1488" s="1">
        <f t="shared" si="138"/>
        <v>1</v>
      </c>
      <c r="F1488" s="1">
        <f>_xlfn.XLOOKUP($C1488, 'Instrument Table'!$B:$B, 'Instrument Table'!$A:$A, "")</f>
        <v>24</v>
      </c>
      <c r="G1488" s="1" t="str">
        <f>TEXT(IF($B1488 = "Retail Item", IF((ROW($A1488) - 4504 - _xlfn.XMATCH($C1488, $C$4506:$C$5005, 0, 1)) &lt;= VLOOKUP($C1488, 'Instrument Table'!$B:$D, 3, FALSE), ROW($A1488) - 4504 - _xlfn.XMATCH($C1488, $C$4506:$C$5005, 0, 1), 0), 0), "00")</f>
        <v>00</v>
      </c>
      <c r="H1488" s="1" t="str">
        <f t="shared" si="139"/>
        <v>132</v>
      </c>
      <c r="I1488" s="1" t="str">
        <f t="shared" si="140"/>
        <v>12400-132</v>
      </c>
      <c r="J1488" s="1" t="str">
        <f t="shared" si="141"/>
        <v>Acoustic guitar production item #132</v>
      </c>
      <c r="K1488" s="1" t="str">
        <f>IF(SUM(COUNTIFS(I:I, I1488)) &gt; 1, "DUPLICATE", "UNIQUE")</f>
        <v>UNIQUE</v>
      </c>
      <c r="L1488" s="18">
        <v>0</v>
      </c>
      <c r="M1488" s="28">
        <v>63</v>
      </c>
      <c r="N1488" s="6">
        <v>169</v>
      </c>
      <c r="O1488" s="30">
        <f t="shared" si="142"/>
        <v>0</v>
      </c>
      <c r="P1488" s="30">
        <f t="shared" si="143"/>
        <v>10647</v>
      </c>
      <c r="Q1488" s="1">
        <f>COUNTIFS($P:$P, "&gt;" &amp; $P1488) + 1</f>
        <v>1718</v>
      </c>
      <c r="R1488" s="63">
        <f>(COUNTIFS($P:$P, "&gt;" &amp; $P1488) + 1) / (COUNTA($I:$I) - 1)</f>
        <v>0.34360000000000002</v>
      </c>
      <c r="S1488" s="23">
        <f>SUMIFS($P:$P, $Q:$Q, "&lt;" &amp; $Q1488)</f>
        <v>177407092</v>
      </c>
    </row>
    <row r="1489" spans="1:19" x14ac:dyDescent="0.25">
      <c r="A1489" s="1">
        <v>1484</v>
      </c>
      <c r="B1489" s="1" t="s">
        <v>2</v>
      </c>
      <c r="C1489" s="1" t="str">
        <f>IF($B1489 = "Production Item", _xlfn.XLOOKUP($A1489, 'Instrument Table'!$J:$J, 'Instrument Table'!$B:$B, $C1488), IF($B1489 = "Service Item", _xlfn.XLOOKUP($A1489, 'Instrument Table'!$I:$I, 'Instrument Table'!$B:$B, $C1488), _xlfn.XLOOKUP($A1489, 'Instrument Table'!$H:$H, 'Instrument Table'!$B:$B, $C1488)))</f>
        <v>Acoustic Guitar</v>
      </c>
      <c r="D1489" s="1" t="str">
        <f>VLOOKUP($C1489, 'Instrument Table'!$B:$C, 2, FALSE)</f>
        <v>Strings</v>
      </c>
      <c r="E1489" s="1">
        <f t="shared" si="138"/>
        <v>1</v>
      </c>
      <c r="F1489" s="1">
        <f>_xlfn.XLOOKUP($C1489, 'Instrument Table'!$B:$B, 'Instrument Table'!$A:$A, "")</f>
        <v>24</v>
      </c>
      <c r="G1489" s="1" t="str">
        <f>TEXT(IF($B1489 = "Retail Item", IF((ROW($A1489) - 4504 - _xlfn.XMATCH($C1489, $C$4506:$C$5005, 0, 1)) &lt;= VLOOKUP($C1489, 'Instrument Table'!$B:$D, 3, FALSE), ROW($A1489) - 4504 - _xlfn.XMATCH($C1489, $C$4506:$C$5005, 0, 1), 0), 0), "00")</f>
        <v>00</v>
      </c>
      <c r="H1489" s="1" t="str">
        <f t="shared" si="139"/>
        <v>133</v>
      </c>
      <c r="I1489" s="1" t="str">
        <f t="shared" si="140"/>
        <v>12400-133</v>
      </c>
      <c r="J1489" s="1" t="str">
        <f t="shared" si="141"/>
        <v>Acoustic guitar production item #133</v>
      </c>
      <c r="K1489" s="1" t="str">
        <f>IF(SUM(COUNTIFS(I:I, I1489)) &gt; 1, "DUPLICATE", "UNIQUE")</f>
        <v>UNIQUE</v>
      </c>
      <c r="L1489" s="18">
        <v>0</v>
      </c>
      <c r="M1489" s="28">
        <v>51</v>
      </c>
      <c r="N1489" s="6">
        <v>81</v>
      </c>
      <c r="O1489" s="30">
        <f t="shared" si="142"/>
        <v>0</v>
      </c>
      <c r="P1489" s="30">
        <f t="shared" si="143"/>
        <v>4131</v>
      </c>
      <c r="Q1489" s="1">
        <f>COUNTIFS($P:$P, "&gt;" &amp; $P1489) + 1</f>
        <v>2625</v>
      </c>
      <c r="R1489" s="63">
        <f>(COUNTIFS($P:$P, "&gt;" &amp; $P1489) + 1) / (COUNTA($I:$I) - 1)</f>
        <v>0.52500000000000002</v>
      </c>
      <c r="S1489" s="23">
        <f>SUMIFS($P:$P, $Q:$Q, "&lt;" &amp; $Q1489)</f>
        <v>183668650</v>
      </c>
    </row>
    <row r="1490" spans="1:19" x14ac:dyDescent="0.25">
      <c r="A1490" s="1">
        <v>1485</v>
      </c>
      <c r="B1490" s="1" t="s">
        <v>2</v>
      </c>
      <c r="C1490" s="1" t="str">
        <f>IF($B1490 = "Production Item", _xlfn.XLOOKUP($A1490, 'Instrument Table'!$J:$J, 'Instrument Table'!$B:$B, $C1489), IF($B1490 = "Service Item", _xlfn.XLOOKUP($A1490, 'Instrument Table'!$I:$I, 'Instrument Table'!$B:$B, $C1489), _xlfn.XLOOKUP($A1490, 'Instrument Table'!$H:$H, 'Instrument Table'!$B:$B, $C1489)))</f>
        <v>Acoustic Guitar</v>
      </c>
      <c r="D1490" s="1" t="str">
        <f>VLOOKUP($C1490, 'Instrument Table'!$B:$C, 2, FALSE)</f>
        <v>Strings</v>
      </c>
      <c r="E1490" s="1">
        <f t="shared" si="138"/>
        <v>1</v>
      </c>
      <c r="F1490" s="1">
        <f>_xlfn.XLOOKUP($C1490, 'Instrument Table'!$B:$B, 'Instrument Table'!$A:$A, "")</f>
        <v>24</v>
      </c>
      <c r="G1490" s="1" t="str">
        <f>TEXT(IF($B1490 = "Retail Item", IF((ROW($A1490) - 4504 - _xlfn.XMATCH($C1490, $C$4506:$C$5005, 0, 1)) &lt;= VLOOKUP($C1490, 'Instrument Table'!$B:$D, 3, FALSE), ROW($A1490) - 4504 - _xlfn.XMATCH($C1490, $C$4506:$C$5005, 0, 1), 0), 0), "00")</f>
        <v>00</v>
      </c>
      <c r="H1490" s="1" t="str">
        <f t="shared" si="139"/>
        <v>134</v>
      </c>
      <c r="I1490" s="1" t="str">
        <f t="shared" si="140"/>
        <v>12400-134</v>
      </c>
      <c r="J1490" s="1" t="str">
        <f t="shared" si="141"/>
        <v>Acoustic guitar production item #134</v>
      </c>
      <c r="K1490" s="1" t="str">
        <f>IF(SUM(COUNTIFS(I:I, I1490)) &gt; 1, "DUPLICATE", "UNIQUE")</f>
        <v>UNIQUE</v>
      </c>
      <c r="L1490" s="18">
        <v>16</v>
      </c>
      <c r="M1490" s="28">
        <v>71</v>
      </c>
      <c r="N1490" s="6">
        <v>144</v>
      </c>
      <c r="O1490" s="30">
        <f t="shared" si="142"/>
        <v>1136</v>
      </c>
      <c r="P1490" s="30">
        <f t="shared" si="143"/>
        <v>10224</v>
      </c>
      <c r="Q1490" s="1">
        <f>COUNTIFS($P:$P, "&gt;" &amp; $P1490) + 1</f>
        <v>1758</v>
      </c>
      <c r="R1490" s="63">
        <f>(COUNTIFS($P:$P, "&gt;" &amp; $P1490) + 1) / (COUNTA($I:$I) - 1)</f>
        <v>0.35160000000000002</v>
      </c>
      <c r="S1490" s="23">
        <f>SUMIFS($P:$P, $Q:$Q, "&lt;" &amp; $Q1490)</f>
        <v>177824374</v>
      </c>
    </row>
    <row r="1491" spans="1:19" x14ac:dyDescent="0.25">
      <c r="A1491" s="1">
        <v>1486</v>
      </c>
      <c r="B1491" s="1" t="s">
        <v>2</v>
      </c>
      <c r="C1491" s="1" t="str">
        <f>IF($B1491 = "Production Item", _xlfn.XLOOKUP($A1491, 'Instrument Table'!$J:$J, 'Instrument Table'!$B:$B, $C1490), IF($B1491 = "Service Item", _xlfn.XLOOKUP($A1491, 'Instrument Table'!$I:$I, 'Instrument Table'!$B:$B, $C1490), _xlfn.XLOOKUP($A1491, 'Instrument Table'!$H:$H, 'Instrument Table'!$B:$B, $C1490)))</f>
        <v>Acoustic Guitar</v>
      </c>
      <c r="D1491" s="1" t="str">
        <f>VLOOKUP($C1491, 'Instrument Table'!$B:$C, 2, FALSE)</f>
        <v>Strings</v>
      </c>
      <c r="E1491" s="1">
        <f t="shared" si="138"/>
        <v>1</v>
      </c>
      <c r="F1491" s="1">
        <f>_xlfn.XLOOKUP($C1491, 'Instrument Table'!$B:$B, 'Instrument Table'!$A:$A, "")</f>
        <v>24</v>
      </c>
      <c r="G1491" s="1" t="str">
        <f>TEXT(IF($B1491 = "Retail Item", IF((ROW($A1491) - 4504 - _xlfn.XMATCH($C1491, $C$4506:$C$5005, 0, 1)) &lt;= VLOOKUP($C1491, 'Instrument Table'!$B:$D, 3, FALSE), ROW($A1491) - 4504 - _xlfn.XMATCH($C1491, $C$4506:$C$5005, 0, 1), 0), 0), "00")</f>
        <v>00</v>
      </c>
      <c r="H1491" s="1" t="str">
        <f t="shared" si="139"/>
        <v>135</v>
      </c>
      <c r="I1491" s="1" t="str">
        <f t="shared" si="140"/>
        <v>12400-135</v>
      </c>
      <c r="J1491" s="1" t="str">
        <f t="shared" si="141"/>
        <v>Acoustic guitar production item #135</v>
      </c>
      <c r="K1491" s="1" t="str">
        <f>IF(SUM(COUNTIFS(I:I, I1491)) &gt; 1, "DUPLICATE", "UNIQUE")</f>
        <v>UNIQUE</v>
      </c>
      <c r="L1491" s="18">
        <v>16</v>
      </c>
      <c r="M1491" s="28">
        <v>60</v>
      </c>
      <c r="N1491" s="6">
        <v>361</v>
      </c>
      <c r="O1491" s="30">
        <f t="shared" si="142"/>
        <v>960</v>
      </c>
      <c r="P1491" s="30">
        <f t="shared" si="143"/>
        <v>21660</v>
      </c>
      <c r="Q1491" s="1">
        <f>COUNTIFS($P:$P, "&gt;" &amp; $P1491) + 1</f>
        <v>973</v>
      </c>
      <c r="R1491" s="63">
        <f>(COUNTIFS($P:$P, "&gt;" &amp; $P1491) + 1) / (COUNTA($I:$I) - 1)</f>
        <v>0.1946</v>
      </c>
      <c r="S1491" s="23">
        <f>SUMIFS($P:$P, $Q:$Q, "&lt;" &amp; $Q1491)</f>
        <v>165912875</v>
      </c>
    </row>
    <row r="1492" spans="1:19" x14ac:dyDescent="0.25">
      <c r="A1492" s="1">
        <v>1487</v>
      </c>
      <c r="B1492" s="1" t="s">
        <v>2</v>
      </c>
      <c r="C1492" s="1" t="str">
        <f>IF($B1492 = "Production Item", _xlfn.XLOOKUP($A1492, 'Instrument Table'!$J:$J, 'Instrument Table'!$B:$B, $C1491), IF($B1492 = "Service Item", _xlfn.XLOOKUP($A1492, 'Instrument Table'!$I:$I, 'Instrument Table'!$B:$B, $C1491), _xlfn.XLOOKUP($A1492, 'Instrument Table'!$H:$H, 'Instrument Table'!$B:$B, $C1491)))</f>
        <v>Acoustic Guitar</v>
      </c>
      <c r="D1492" s="1" t="str">
        <f>VLOOKUP($C1492, 'Instrument Table'!$B:$C, 2, FALSE)</f>
        <v>Strings</v>
      </c>
      <c r="E1492" s="1">
        <f t="shared" si="138"/>
        <v>1</v>
      </c>
      <c r="F1492" s="1">
        <f>_xlfn.XLOOKUP($C1492, 'Instrument Table'!$B:$B, 'Instrument Table'!$A:$A, "")</f>
        <v>24</v>
      </c>
      <c r="G1492" s="1" t="str">
        <f>TEXT(IF($B1492 = "Retail Item", IF((ROW($A1492) - 4504 - _xlfn.XMATCH($C1492, $C$4506:$C$5005, 0, 1)) &lt;= VLOOKUP($C1492, 'Instrument Table'!$B:$D, 3, FALSE), ROW($A1492) - 4504 - _xlfn.XMATCH($C1492, $C$4506:$C$5005, 0, 1), 0), 0), "00")</f>
        <v>00</v>
      </c>
      <c r="H1492" s="1" t="str">
        <f t="shared" si="139"/>
        <v>136</v>
      </c>
      <c r="I1492" s="1" t="str">
        <f t="shared" si="140"/>
        <v>12400-136</v>
      </c>
      <c r="J1492" s="1" t="str">
        <f t="shared" si="141"/>
        <v>Acoustic guitar production item #136</v>
      </c>
      <c r="K1492" s="1" t="str">
        <f>IF(SUM(COUNTIFS(I:I, I1492)) &gt; 1, "DUPLICATE", "UNIQUE")</f>
        <v>UNIQUE</v>
      </c>
      <c r="L1492" s="18">
        <v>4</v>
      </c>
      <c r="M1492" s="28">
        <v>13</v>
      </c>
      <c r="N1492" s="6">
        <v>16</v>
      </c>
      <c r="O1492" s="30">
        <f t="shared" si="142"/>
        <v>52</v>
      </c>
      <c r="P1492" s="30">
        <f t="shared" si="143"/>
        <v>208</v>
      </c>
      <c r="Q1492" s="1">
        <f>COUNTIFS($P:$P, "&gt;" &amp; $P1492) + 1</f>
        <v>4309</v>
      </c>
      <c r="R1492" s="63">
        <f>(COUNTIFS($P:$P, "&gt;" &amp; $P1492) + 1) / (COUNTA($I:$I) - 1)</f>
        <v>0.86180000000000001</v>
      </c>
      <c r="S1492" s="23">
        <f>SUMIFS($P:$P, $Q:$Q, "&lt;" &amp; $Q1492)</f>
        <v>186509406</v>
      </c>
    </row>
    <row r="1493" spans="1:19" x14ac:dyDescent="0.25">
      <c r="A1493" s="1">
        <v>1488</v>
      </c>
      <c r="B1493" s="1" t="s">
        <v>2</v>
      </c>
      <c r="C1493" s="1" t="str">
        <f>IF($B1493 = "Production Item", _xlfn.XLOOKUP($A1493, 'Instrument Table'!$J:$J, 'Instrument Table'!$B:$B, $C1492), IF($B1493 = "Service Item", _xlfn.XLOOKUP($A1493, 'Instrument Table'!$I:$I, 'Instrument Table'!$B:$B, $C1492), _xlfn.XLOOKUP($A1493, 'Instrument Table'!$H:$H, 'Instrument Table'!$B:$B, $C1492)))</f>
        <v>Acoustic Guitar</v>
      </c>
      <c r="D1493" s="1" t="str">
        <f>VLOOKUP($C1493, 'Instrument Table'!$B:$C, 2, FALSE)</f>
        <v>Strings</v>
      </c>
      <c r="E1493" s="1">
        <f t="shared" si="138"/>
        <v>1</v>
      </c>
      <c r="F1493" s="1">
        <f>_xlfn.XLOOKUP($C1493, 'Instrument Table'!$B:$B, 'Instrument Table'!$A:$A, "")</f>
        <v>24</v>
      </c>
      <c r="G1493" s="1" t="str">
        <f>TEXT(IF($B1493 = "Retail Item", IF((ROW($A1493) - 4504 - _xlfn.XMATCH($C1493, $C$4506:$C$5005, 0, 1)) &lt;= VLOOKUP($C1493, 'Instrument Table'!$B:$D, 3, FALSE), ROW($A1493) - 4504 - _xlfn.XMATCH($C1493, $C$4506:$C$5005, 0, 1), 0), 0), "00")</f>
        <v>00</v>
      </c>
      <c r="H1493" s="1" t="str">
        <f t="shared" si="139"/>
        <v>137</v>
      </c>
      <c r="I1493" s="1" t="str">
        <f t="shared" si="140"/>
        <v>12400-137</v>
      </c>
      <c r="J1493" s="1" t="str">
        <f t="shared" si="141"/>
        <v>Acoustic guitar production item #137</v>
      </c>
      <c r="K1493" s="1" t="str">
        <f>IF(SUM(COUNTIFS(I:I, I1493)) &gt; 1, "DUPLICATE", "UNIQUE")</f>
        <v>UNIQUE</v>
      </c>
      <c r="L1493" s="18">
        <v>0</v>
      </c>
      <c r="M1493" s="28">
        <v>27</v>
      </c>
      <c r="N1493" s="6">
        <v>289</v>
      </c>
      <c r="O1493" s="30">
        <f t="shared" si="142"/>
        <v>0</v>
      </c>
      <c r="P1493" s="30">
        <f t="shared" si="143"/>
        <v>7803</v>
      </c>
      <c r="Q1493" s="1">
        <f>COUNTIFS($P:$P, "&gt;" &amp; $P1493) + 1</f>
        <v>2014</v>
      </c>
      <c r="R1493" s="63">
        <f>(COUNTIFS($P:$P, "&gt;" &amp; $P1493) + 1) / (COUNTA($I:$I) - 1)</f>
        <v>0.40279999999999999</v>
      </c>
      <c r="S1493" s="23">
        <f>SUMIFS($P:$P, $Q:$Q, "&lt;" &amp; $Q1493)</f>
        <v>180106623</v>
      </c>
    </row>
    <row r="1494" spans="1:19" x14ac:dyDescent="0.25">
      <c r="A1494" s="1">
        <v>1489</v>
      </c>
      <c r="B1494" s="1" t="s">
        <v>2</v>
      </c>
      <c r="C1494" s="1" t="str">
        <f>IF($B1494 = "Production Item", _xlfn.XLOOKUP($A1494, 'Instrument Table'!$J:$J, 'Instrument Table'!$B:$B, $C1493), IF($B1494 = "Service Item", _xlfn.XLOOKUP($A1494, 'Instrument Table'!$I:$I, 'Instrument Table'!$B:$B, $C1493), _xlfn.XLOOKUP($A1494, 'Instrument Table'!$H:$H, 'Instrument Table'!$B:$B, $C1493)))</f>
        <v>Acoustic Guitar</v>
      </c>
      <c r="D1494" s="1" t="str">
        <f>VLOOKUP($C1494, 'Instrument Table'!$B:$C, 2, FALSE)</f>
        <v>Strings</v>
      </c>
      <c r="E1494" s="1">
        <f t="shared" si="138"/>
        <v>1</v>
      </c>
      <c r="F1494" s="1">
        <f>_xlfn.XLOOKUP($C1494, 'Instrument Table'!$B:$B, 'Instrument Table'!$A:$A, "")</f>
        <v>24</v>
      </c>
      <c r="G1494" s="1" t="str">
        <f>TEXT(IF($B1494 = "Retail Item", IF((ROW($A1494) - 4504 - _xlfn.XMATCH($C1494, $C$4506:$C$5005, 0, 1)) &lt;= VLOOKUP($C1494, 'Instrument Table'!$B:$D, 3, FALSE), ROW($A1494) - 4504 - _xlfn.XMATCH($C1494, $C$4506:$C$5005, 0, 1), 0), 0), "00")</f>
        <v>00</v>
      </c>
      <c r="H1494" s="1" t="str">
        <f t="shared" si="139"/>
        <v>138</v>
      </c>
      <c r="I1494" s="1" t="str">
        <f t="shared" si="140"/>
        <v>12400-138</v>
      </c>
      <c r="J1494" s="1" t="str">
        <f t="shared" si="141"/>
        <v>Acoustic guitar production item #138</v>
      </c>
      <c r="K1494" s="1" t="str">
        <f>IF(SUM(COUNTIFS(I:I, I1494)) &gt; 1, "DUPLICATE", "UNIQUE")</f>
        <v>UNIQUE</v>
      </c>
      <c r="L1494" s="18">
        <v>0</v>
      </c>
      <c r="M1494" s="28">
        <v>69</v>
      </c>
      <c r="N1494" s="6">
        <v>361</v>
      </c>
      <c r="O1494" s="30">
        <f t="shared" si="142"/>
        <v>0</v>
      </c>
      <c r="P1494" s="30">
        <f t="shared" si="143"/>
        <v>24909</v>
      </c>
      <c r="Q1494" s="1">
        <f>COUNTIFS($P:$P, "&gt;" &amp; $P1494) + 1</f>
        <v>830</v>
      </c>
      <c r="R1494" s="63">
        <f>(COUNTIFS($P:$P, "&gt;" &amp; $P1494) + 1) / (COUNTA($I:$I) - 1)</f>
        <v>0.16600000000000001</v>
      </c>
      <c r="S1494" s="23">
        <f>SUMIFS($P:$P, $Q:$Q, "&lt;" &amp; $Q1494)</f>
        <v>162589419</v>
      </c>
    </row>
    <row r="1495" spans="1:19" x14ac:dyDescent="0.25">
      <c r="A1495" s="1">
        <v>1490</v>
      </c>
      <c r="B1495" s="1" t="s">
        <v>2</v>
      </c>
      <c r="C1495" s="1" t="str">
        <f>IF($B1495 = "Production Item", _xlfn.XLOOKUP($A1495, 'Instrument Table'!$J:$J, 'Instrument Table'!$B:$B, $C1494), IF($B1495 = "Service Item", _xlfn.XLOOKUP($A1495, 'Instrument Table'!$I:$I, 'Instrument Table'!$B:$B, $C1494), _xlfn.XLOOKUP($A1495, 'Instrument Table'!$H:$H, 'Instrument Table'!$B:$B, $C1494)))</f>
        <v>Acoustic Guitar</v>
      </c>
      <c r="D1495" s="1" t="str">
        <f>VLOOKUP($C1495, 'Instrument Table'!$B:$C, 2, FALSE)</f>
        <v>Strings</v>
      </c>
      <c r="E1495" s="1">
        <f t="shared" si="138"/>
        <v>1</v>
      </c>
      <c r="F1495" s="1">
        <f>_xlfn.XLOOKUP($C1495, 'Instrument Table'!$B:$B, 'Instrument Table'!$A:$A, "")</f>
        <v>24</v>
      </c>
      <c r="G1495" s="1" t="str">
        <f>TEXT(IF($B1495 = "Retail Item", IF((ROW($A1495) - 4504 - _xlfn.XMATCH($C1495, $C$4506:$C$5005, 0, 1)) &lt;= VLOOKUP($C1495, 'Instrument Table'!$B:$D, 3, FALSE), ROW($A1495) - 4504 - _xlfn.XMATCH($C1495, $C$4506:$C$5005, 0, 1), 0), 0), "00")</f>
        <v>00</v>
      </c>
      <c r="H1495" s="1" t="str">
        <f t="shared" si="139"/>
        <v>139</v>
      </c>
      <c r="I1495" s="1" t="str">
        <f t="shared" si="140"/>
        <v>12400-139</v>
      </c>
      <c r="J1495" s="1" t="str">
        <f t="shared" si="141"/>
        <v>Acoustic guitar production item #139</v>
      </c>
      <c r="K1495" s="1" t="str">
        <f>IF(SUM(COUNTIFS(I:I, I1495)) &gt; 1, "DUPLICATE", "UNIQUE")</f>
        <v>UNIQUE</v>
      </c>
      <c r="L1495" s="18">
        <v>1</v>
      </c>
      <c r="M1495" s="28">
        <v>37</v>
      </c>
      <c r="N1495" s="6">
        <v>361</v>
      </c>
      <c r="O1495" s="30">
        <f t="shared" si="142"/>
        <v>37</v>
      </c>
      <c r="P1495" s="30">
        <f t="shared" si="143"/>
        <v>13357</v>
      </c>
      <c r="Q1495" s="1">
        <f>COUNTIFS($P:$P, "&gt;" &amp; $P1495) + 1</f>
        <v>1468</v>
      </c>
      <c r="R1495" s="63">
        <f>(COUNTIFS($P:$P, "&gt;" &amp; $P1495) + 1) / (COUNTA($I:$I) - 1)</f>
        <v>0.29360000000000003</v>
      </c>
      <c r="S1495" s="23">
        <f>SUMIFS($P:$P, $Q:$Q, "&lt;" &amp; $Q1495)</f>
        <v>174416557</v>
      </c>
    </row>
    <row r="1496" spans="1:19" x14ac:dyDescent="0.25">
      <c r="A1496" s="1">
        <v>1491</v>
      </c>
      <c r="B1496" s="1" t="s">
        <v>2</v>
      </c>
      <c r="C1496" s="1" t="str">
        <f>IF($B1496 = "Production Item", _xlfn.XLOOKUP($A1496, 'Instrument Table'!$J:$J, 'Instrument Table'!$B:$B, $C1495), IF($B1496 = "Service Item", _xlfn.XLOOKUP($A1496, 'Instrument Table'!$I:$I, 'Instrument Table'!$B:$B, $C1495), _xlfn.XLOOKUP($A1496, 'Instrument Table'!$H:$H, 'Instrument Table'!$B:$B, $C1495)))</f>
        <v>Acoustic Guitar</v>
      </c>
      <c r="D1496" s="1" t="str">
        <f>VLOOKUP($C1496, 'Instrument Table'!$B:$C, 2, FALSE)</f>
        <v>Strings</v>
      </c>
      <c r="E1496" s="1">
        <f t="shared" si="138"/>
        <v>1</v>
      </c>
      <c r="F1496" s="1">
        <f>_xlfn.XLOOKUP($C1496, 'Instrument Table'!$B:$B, 'Instrument Table'!$A:$A, "")</f>
        <v>24</v>
      </c>
      <c r="G1496" s="1" t="str">
        <f>TEXT(IF($B1496 = "Retail Item", IF((ROW($A1496) - 4504 - _xlfn.XMATCH($C1496, $C$4506:$C$5005, 0, 1)) &lt;= VLOOKUP($C1496, 'Instrument Table'!$B:$D, 3, FALSE), ROW($A1496) - 4504 - _xlfn.XMATCH($C1496, $C$4506:$C$5005, 0, 1), 0), 0), "00")</f>
        <v>00</v>
      </c>
      <c r="H1496" s="1" t="str">
        <f t="shared" si="139"/>
        <v>140</v>
      </c>
      <c r="I1496" s="1" t="str">
        <f t="shared" si="140"/>
        <v>12400-140</v>
      </c>
      <c r="J1496" s="1" t="str">
        <f t="shared" si="141"/>
        <v>Acoustic guitar production item #140</v>
      </c>
      <c r="K1496" s="1" t="str">
        <f>IF(SUM(COUNTIFS(I:I, I1496)) &gt; 1, "DUPLICATE", "UNIQUE")</f>
        <v>UNIQUE</v>
      </c>
      <c r="L1496" s="18">
        <v>1</v>
      </c>
      <c r="M1496" s="28">
        <v>64</v>
      </c>
      <c r="N1496" s="6">
        <v>1</v>
      </c>
      <c r="O1496" s="30">
        <f t="shared" si="142"/>
        <v>64</v>
      </c>
      <c r="P1496" s="30">
        <f t="shared" si="143"/>
        <v>64</v>
      </c>
      <c r="Q1496" s="1">
        <f>COUNTIFS($P:$P, "&gt;" &amp; $P1496) + 1</f>
        <v>4553</v>
      </c>
      <c r="R1496" s="63">
        <f>(COUNTIFS($P:$P, "&gt;" &amp; $P1496) + 1) / (COUNTA($I:$I) - 1)</f>
        <v>0.91059999999999997</v>
      </c>
      <c r="S1496" s="23">
        <f>SUMIFS($P:$P, $Q:$Q, "&lt;" &amp; $Q1496)</f>
        <v>186540850</v>
      </c>
    </row>
    <row r="1497" spans="1:19" x14ac:dyDescent="0.25">
      <c r="A1497" s="1">
        <v>1492</v>
      </c>
      <c r="B1497" s="1" t="s">
        <v>2</v>
      </c>
      <c r="C1497" s="1" t="str">
        <f>IF($B1497 = "Production Item", _xlfn.XLOOKUP($A1497, 'Instrument Table'!$J:$J, 'Instrument Table'!$B:$B, $C1496), IF($B1497 = "Service Item", _xlfn.XLOOKUP($A1497, 'Instrument Table'!$I:$I, 'Instrument Table'!$B:$B, $C1496), _xlfn.XLOOKUP($A1497, 'Instrument Table'!$H:$H, 'Instrument Table'!$B:$B, $C1496)))</f>
        <v>Acoustic Guitar</v>
      </c>
      <c r="D1497" s="1" t="str">
        <f>VLOOKUP($C1497, 'Instrument Table'!$B:$C, 2, FALSE)</f>
        <v>Strings</v>
      </c>
      <c r="E1497" s="1">
        <f t="shared" si="138"/>
        <v>1</v>
      </c>
      <c r="F1497" s="1">
        <f>_xlfn.XLOOKUP($C1497, 'Instrument Table'!$B:$B, 'Instrument Table'!$A:$A, "")</f>
        <v>24</v>
      </c>
      <c r="G1497" s="1" t="str">
        <f>TEXT(IF($B1497 = "Retail Item", IF((ROW($A1497) - 4504 - _xlfn.XMATCH($C1497, $C$4506:$C$5005, 0, 1)) &lt;= VLOOKUP($C1497, 'Instrument Table'!$B:$D, 3, FALSE), ROW($A1497) - 4504 - _xlfn.XMATCH($C1497, $C$4506:$C$5005, 0, 1), 0), 0), "00")</f>
        <v>00</v>
      </c>
      <c r="H1497" s="1" t="str">
        <f t="shared" si="139"/>
        <v>141</v>
      </c>
      <c r="I1497" s="1" t="str">
        <f t="shared" si="140"/>
        <v>12400-141</v>
      </c>
      <c r="J1497" s="1" t="str">
        <f t="shared" si="141"/>
        <v>Acoustic guitar production item #141</v>
      </c>
      <c r="K1497" s="1" t="str">
        <f>IF(SUM(COUNTIFS(I:I, I1497)) &gt; 1, "DUPLICATE", "UNIQUE")</f>
        <v>UNIQUE</v>
      </c>
      <c r="L1497" s="18">
        <v>4</v>
      </c>
      <c r="M1497" s="28">
        <v>24</v>
      </c>
      <c r="N1497" s="6">
        <v>25</v>
      </c>
      <c r="O1497" s="30">
        <f t="shared" si="142"/>
        <v>96</v>
      </c>
      <c r="P1497" s="30">
        <f t="shared" si="143"/>
        <v>600</v>
      </c>
      <c r="Q1497" s="1">
        <f>COUNTIFS($P:$P, "&gt;" &amp; $P1497) + 1</f>
        <v>3936</v>
      </c>
      <c r="R1497" s="63">
        <f>(COUNTIFS($P:$P, "&gt;" &amp; $P1497) + 1) / (COUNTA($I:$I) - 1)</f>
        <v>0.78720000000000001</v>
      </c>
      <c r="S1497" s="23">
        <f>SUMIFS($P:$P, $Q:$Q, "&lt;" &amp; $Q1497)</f>
        <v>186361902</v>
      </c>
    </row>
    <row r="1498" spans="1:19" x14ac:dyDescent="0.25">
      <c r="A1498" s="1">
        <v>1493</v>
      </c>
      <c r="B1498" s="1" t="s">
        <v>2</v>
      </c>
      <c r="C1498" s="1" t="str">
        <f>IF($B1498 = "Production Item", _xlfn.XLOOKUP($A1498, 'Instrument Table'!$J:$J, 'Instrument Table'!$B:$B, $C1497), IF($B1498 = "Service Item", _xlfn.XLOOKUP($A1498, 'Instrument Table'!$I:$I, 'Instrument Table'!$B:$B, $C1497), _xlfn.XLOOKUP($A1498, 'Instrument Table'!$H:$H, 'Instrument Table'!$B:$B, $C1497)))</f>
        <v>Acoustic Guitar</v>
      </c>
      <c r="D1498" s="1" t="str">
        <f>VLOOKUP($C1498, 'Instrument Table'!$B:$C, 2, FALSE)</f>
        <v>Strings</v>
      </c>
      <c r="E1498" s="1">
        <f t="shared" si="138"/>
        <v>1</v>
      </c>
      <c r="F1498" s="1">
        <f>_xlfn.XLOOKUP($C1498, 'Instrument Table'!$B:$B, 'Instrument Table'!$A:$A, "")</f>
        <v>24</v>
      </c>
      <c r="G1498" s="1" t="str">
        <f>TEXT(IF($B1498 = "Retail Item", IF((ROW($A1498) - 4504 - _xlfn.XMATCH($C1498, $C$4506:$C$5005, 0, 1)) &lt;= VLOOKUP($C1498, 'Instrument Table'!$B:$D, 3, FALSE), ROW($A1498) - 4504 - _xlfn.XMATCH($C1498, $C$4506:$C$5005, 0, 1), 0), 0), "00")</f>
        <v>00</v>
      </c>
      <c r="H1498" s="1" t="str">
        <f t="shared" si="139"/>
        <v>142</v>
      </c>
      <c r="I1498" s="1" t="str">
        <f t="shared" si="140"/>
        <v>12400-142</v>
      </c>
      <c r="J1498" s="1" t="str">
        <f t="shared" si="141"/>
        <v>Acoustic guitar production item #142</v>
      </c>
      <c r="K1498" s="1" t="str">
        <f>IF(SUM(COUNTIFS(I:I, I1498)) &gt; 1, "DUPLICATE", "UNIQUE")</f>
        <v>UNIQUE</v>
      </c>
      <c r="L1498" s="18">
        <v>0</v>
      </c>
      <c r="M1498" s="28">
        <v>89</v>
      </c>
      <c r="N1498" s="6">
        <v>256</v>
      </c>
      <c r="O1498" s="30">
        <f t="shared" si="142"/>
        <v>0</v>
      </c>
      <c r="P1498" s="30">
        <f t="shared" si="143"/>
        <v>22784</v>
      </c>
      <c r="Q1498" s="1">
        <f>COUNTIFS($P:$P, "&gt;" &amp; $P1498) + 1</f>
        <v>915</v>
      </c>
      <c r="R1498" s="63">
        <f>(COUNTIFS($P:$P, "&gt;" &amp; $P1498) + 1) / (COUNTA($I:$I) - 1)</f>
        <v>0.183</v>
      </c>
      <c r="S1498" s="23">
        <f>SUMIFS($P:$P, $Q:$Q, "&lt;" &amp; $Q1498)</f>
        <v>164625098</v>
      </c>
    </row>
    <row r="1499" spans="1:19" x14ac:dyDescent="0.25">
      <c r="A1499" s="1">
        <v>1494</v>
      </c>
      <c r="B1499" s="1" t="s">
        <v>2</v>
      </c>
      <c r="C1499" s="1" t="str">
        <f>IF($B1499 = "Production Item", _xlfn.XLOOKUP($A1499, 'Instrument Table'!$J:$J, 'Instrument Table'!$B:$B, $C1498), IF($B1499 = "Service Item", _xlfn.XLOOKUP($A1499, 'Instrument Table'!$I:$I, 'Instrument Table'!$B:$B, $C1498), _xlfn.XLOOKUP($A1499, 'Instrument Table'!$H:$H, 'Instrument Table'!$B:$B, $C1498)))</f>
        <v>Acoustic Guitar</v>
      </c>
      <c r="D1499" s="1" t="str">
        <f>VLOOKUP($C1499, 'Instrument Table'!$B:$C, 2, FALSE)</f>
        <v>Strings</v>
      </c>
      <c r="E1499" s="1">
        <f t="shared" si="138"/>
        <v>1</v>
      </c>
      <c r="F1499" s="1">
        <f>_xlfn.XLOOKUP($C1499, 'Instrument Table'!$B:$B, 'Instrument Table'!$A:$A, "")</f>
        <v>24</v>
      </c>
      <c r="G1499" s="1" t="str">
        <f>TEXT(IF($B1499 = "Retail Item", IF((ROW($A1499) - 4504 - _xlfn.XMATCH($C1499, $C$4506:$C$5005, 0, 1)) &lt;= VLOOKUP($C1499, 'Instrument Table'!$B:$D, 3, FALSE), ROW($A1499) - 4504 - _xlfn.XMATCH($C1499, $C$4506:$C$5005, 0, 1), 0), 0), "00")</f>
        <v>00</v>
      </c>
      <c r="H1499" s="1" t="str">
        <f t="shared" si="139"/>
        <v>143</v>
      </c>
      <c r="I1499" s="1" t="str">
        <f t="shared" si="140"/>
        <v>12400-143</v>
      </c>
      <c r="J1499" s="1" t="str">
        <f t="shared" si="141"/>
        <v>Acoustic guitar production item #143</v>
      </c>
      <c r="K1499" s="1" t="str">
        <f>IF(SUM(COUNTIFS(I:I, I1499)) &gt; 1, "DUPLICATE", "UNIQUE")</f>
        <v>UNIQUE</v>
      </c>
      <c r="L1499" s="18">
        <v>0</v>
      </c>
      <c r="M1499" s="28">
        <v>59</v>
      </c>
      <c r="N1499" s="6">
        <v>49</v>
      </c>
      <c r="O1499" s="30">
        <f t="shared" si="142"/>
        <v>0</v>
      </c>
      <c r="P1499" s="30">
        <f t="shared" si="143"/>
        <v>2891</v>
      </c>
      <c r="Q1499" s="1">
        <f>COUNTIFS($P:$P, "&gt;" &amp; $P1499) + 1</f>
        <v>2935</v>
      </c>
      <c r="R1499" s="63">
        <f>(COUNTIFS($P:$P, "&gt;" &amp; $P1499) + 1) / (COUNTA($I:$I) - 1)</f>
        <v>0.58699999999999997</v>
      </c>
      <c r="S1499" s="23">
        <f>SUMIFS($P:$P, $Q:$Q, "&lt;" &amp; $Q1499)</f>
        <v>184751865</v>
      </c>
    </row>
    <row r="1500" spans="1:19" x14ac:dyDescent="0.25">
      <c r="A1500" s="1">
        <v>1495</v>
      </c>
      <c r="B1500" s="1" t="s">
        <v>2</v>
      </c>
      <c r="C1500" s="1" t="str">
        <f>IF($B1500 = "Production Item", _xlfn.XLOOKUP($A1500, 'Instrument Table'!$J:$J, 'Instrument Table'!$B:$B, $C1499), IF($B1500 = "Service Item", _xlfn.XLOOKUP($A1500, 'Instrument Table'!$I:$I, 'Instrument Table'!$B:$B, $C1499), _xlfn.XLOOKUP($A1500, 'Instrument Table'!$H:$H, 'Instrument Table'!$B:$B, $C1499)))</f>
        <v>Acoustic Guitar</v>
      </c>
      <c r="D1500" s="1" t="str">
        <f>VLOOKUP($C1500, 'Instrument Table'!$B:$C, 2, FALSE)</f>
        <v>Strings</v>
      </c>
      <c r="E1500" s="1">
        <f t="shared" si="138"/>
        <v>1</v>
      </c>
      <c r="F1500" s="1">
        <f>_xlfn.XLOOKUP($C1500, 'Instrument Table'!$B:$B, 'Instrument Table'!$A:$A, "")</f>
        <v>24</v>
      </c>
      <c r="G1500" s="1" t="str">
        <f>TEXT(IF($B1500 = "Retail Item", IF((ROW($A1500) - 4504 - _xlfn.XMATCH($C1500, $C$4506:$C$5005, 0, 1)) &lt;= VLOOKUP($C1500, 'Instrument Table'!$B:$D, 3, FALSE), ROW($A1500) - 4504 - _xlfn.XMATCH($C1500, $C$4506:$C$5005, 0, 1), 0), 0), "00")</f>
        <v>00</v>
      </c>
      <c r="H1500" s="1" t="str">
        <f t="shared" si="139"/>
        <v>144</v>
      </c>
      <c r="I1500" s="1" t="str">
        <f t="shared" si="140"/>
        <v>12400-144</v>
      </c>
      <c r="J1500" s="1" t="str">
        <f t="shared" si="141"/>
        <v>Acoustic guitar production item #144</v>
      </c>
      <c r="K1500" s="1" t="str">
        <f>IF(SUM(COUNTIFS(I:I, I1500)) &gt; 1, "DUPLICATE", "UNIQUE")</f>
        <v>UNIQUE</v>
      </c>
      <c r="L1500" s="18">
        <v>1</v>
      </c>
      <c r="M1500" s="28">
        <v>81</v>
      </c>
      <c r="N1500" s="6">
        <v>144</v>
      </c>
      <c r="O1500" s="30">
        <f t="shared" si="142"/>
        <v>81</v>
      </c>
      <c r="P1500" s="30">
        <f t="shared" si="143"/>
        <v>11664</v>
      </c>
      <c r="Q1500" s="1">
        <f>COUNTIFS($P:$P, "&gt;" &amp; $P1500) + 1</f>
        <v>1607</v>
      </c>
      <c r="R1500" s="63">
        <f>(COUNTIFS($P:$P, "&gt;" &amp; $P1500) + 1) / (COUNTA($I:$I) - 1)</f>
        <v>0.32140000000000002</v>
      </c>
      <c r="S1500" s="23">
        <f>SUMIFS($P:$P, $Q:$Q, "&lt;" &amp; $Q1500)</f>
        <v>176160715</v>
      </c>
    </row>
    <row r="1501" spans="1:19" x14ac:dyDescent="0.25">
      <c r="A1501" s="1">
        <v>1496</v>
      </c>
      <c r="B1501" s="1" t="s">
        <v>2</v>
      </c>
      <c r="C1501" s="1" t="str">
        <f>IF($B1501 = "Production Item", _xlfn.XLOOKUP($A1501, 'Instrument Table'!$J:$J, 'Instrument Table'!$B:$B, $C1500), IF($B1501 = "Service Item", _xlfn.XLOOKUP($A1501, 'Instrument Table'!$I:$I, 'Instrument Table'!$B:$B, $C1500), _xlfn.XLOOKUP($A1501, 'Instrument Table'!$H:$H, 'Instrument Table'!$B:$B, $C1500)))</f>
        <v>Acoustic Guitar</v>
      </c>
      <c r="D1501" s="1" t="str">
        <f>VLOOKUP($C1501, 'Instrument Table'!$B:$C, 2, FALSE)</f>
        <v>Strings</v>
      </c>
      <c r="E1501" s="1">
        <f t="shared" si="138"/>
        <v>1</v>
      </c>
      <c r="F1501" s="1">
        <f>_xlfn.XLOOKUP($C1501, 'Instrument Table'!$B:$B, 'Instrument Table'!$A:$A, "")</f>
        <v>24</v>
      </c>
      <c r="G1501" s="1" t="str">
        <f>TEXT(IF($B1501 = "Retail Item", IF((ROW($A1501) - 4504 - _xlfn.XMATCH($C1501, $C$4506:$C$5005, 0, 1)) &lt;= VLOOKUP($C1501, 'Instrument Table'!$B:$D, 3, FALSE), ROW($A1501) - 4504 - _xlfn.XMATCH($C1501, $C$4506:$C$5005, 0, 1), 0), 0), "00")</f>
        <v>00</v>
      </c>
      <c r="H1501" s="1" t="str">
        <f t="shared" si="139"/>
        <v>145</v>
      </c>
      <c r="I1501" s="1" t="str">
        <f t="shared" si="140"/>
        <v>12400-145</v>
      </c>
      <c r="J1501" s="1" t="str">
        <f t="shared" si="141"/>
        <v>Acoustic guitar production item #145</v>
      </c>
      <c r="K1501" s="1" t="str">
        <f>IF(SUM(COUNTIFS(I:I, I1501)) &gt; 1, "DUPLICATE", "UNIQUE")</f>
        <v>UNIQUE</v>
      </c>
      <c r="L1501" s="18">
        <v>1</v>
      </c>
      <c r="M1501" s="28">
        <v>54</v>
      </c>
      <c r="N1501" s="6">
        <v>4</v>
      </c>
      <c r="O1501" s="30">
        <f t="shared" si="142"/>
        <v>54</v>
      </c>
      <c r="P1501" s="30">
        <f t="shared" si="143"/>
        <v>216</v>
      </c>
      <c r="Q1501" s="1">
        <f>COUNTIFS($P:$P, "&gt;" &amp; $P1501) + 1</f>
        <v>4305</v>
      </c>
      <c r="R1501" s="63">
        <f>(COUNTIFS($P:$P, "&gt;" &amp; $P1501) + 1) / (COUNTA($I:$I) - 1)</f>
        <v>0.86099999999999999</v>
      </c>
      <c r="S1501" s="23">
        <f>SUMIFS($P:$P, $Q:$Q, "&lt;" &amp; $Q1501)</f>
        <v>186508546</v>
      </c>
    </row>
    <row r="1502" spans="1:19" x14ac:dyDescent="0.25">
      <c r="A1502" s="1">
        <v>1497</v>
      </c>
      <c r="B1502" s="1" t="s">
        <v>2</v>
      </c>
      <c r="C1502" s="1" t="str">
        <f>IF($B1502 = "Production Item", _xlfn.XLOOKUP($A1502, 'Instrument Table'!$J:$J, 'Instrument Table'!$B:$B, $C1501), IF($B1502 = "Service Item", _xlfn.XLOOKUP($A1502, 'Instrument Table'!$I:$I, 'Instrument Table'!$B:$B, $C1501), _xlfn.XLOOKUP($A1502, 'Instrument Table'!$H:$H, 'Instrument Table'!$B:$B, $C1501)))</f>
        <v>Acoustic Guitar</v>
      </c>
      <c r="D1502" s="1" t="str">
        <f>VLOOKUP($C1502, 'Instrument Table'!$B:$C, 2, FALSE)</f>
        <v>Strings</v>
      </c>
      <c r="E1502" s="1">
        <f t="shared" si="138"/>
        <v>1</v>
      </c>
      <c r="F1502" s="1">
        <f>_xlfn.XLOOKUP($C1502, 'Instrument Table'!$B:$B, 'Instrument Table'!$A:$A, "")</f>
        <v>24</v>
      </c>
      <c r="G1502" s="1" t="str">
        <f>TEXT(IF($B1502 = "Retail Item", IF((ROW($A1502) - 4504 - _xlfn.XMATCH($C1502, $C$4506:$C$5005, 0, 1)) &lt;= VLOOKUP($C1502, 'Instrument Table'!$B:$D, 3, FALSE), ROW($A1502) - 4504 - _xlfn.XMATCH($C1502, $C$4506:$C$5005, 0, 1), 0), 0), "00")</f>
        <v>00</v>
      </c>
      <c r="H1502" s="1" t="str">
        <f t="shared" si="139"/>
        <v>146</v>
      </c>
      <c r="I1502" s="1" t="str">
        <f t="shared" si="140"/>
        <v>12400-146</v>
      </c>
      <c r="J1502" s="1" t="str">
        <f t="shared" si="141"/>
        <v>Acoustic guitar production item #146</v>
      </c>
      <c r="K1502" s="1" t="str">
        <f>IF(SUM(COUNTIFS(I:I, I1502)) &gt; 1, "DUPLICATE", "UNIQUE")</f>
        <v>UNIQUE</v>
      </c>
      <c r="L1502" s="18">
        <v>1</v>
      </c>
      <c r="M1502" s="28">
        <v>11</v>
      </c>
      <c r="N1502" s="6">
        <v>81</v>
      </c>
      <c r="O1502" s="30">
        <f t="shared" si="142"/>
        <v>11</v>
      </c>
      <c r="P1502" s="30">
        <f t="shared" si="143"/>
        <v>891</v>
      </c>
      <c r="Q1502" s="1">
        <f>COUNTIFS($P:$P, "&gt;" &amp; $P1502) + 1</f>
        <v>3730</v>
      </c>
      <c r="R1502" s="63">
        <f>(COUNTIFS($P:$P, "&gt;" &amp; $P1502) + 1) / (COUNTA($I:$I) - 1)</f>
        <v>0.746</v>
      </c>
      <c r="S1502" s="23">
        <f>SUMIFS($P:$P, $Q:$Q, "&lt;" &amp; $Q1502)</f>
        <v>186206579</v>
      </c>
    </row>
    <row r="1503" spans="1:19" x14ac:dyDescent="0.25">
      <c r="A1503" s="1">
        <v>1498</v>
      </c>
      <c r="B1503" s="1" t="s">
        <v>2</v>
      </c>
      <c r="C1503" s="1" t="str">
        <f>IF($B1503 = "Production Item", _xlfn.XLOOKUP($A1503, 'Instrument Table'!$J:$J, 'Instrument Table'!$B:$B, $C1502), IF($B1503 = "Service Item", _xlfn.XLOOKUP($A1503, 'Instrument Table'!$I:$I, 'Instrument Table'!$B:$B, $C1502), _xlfn.XLOOKUP($A1503, 'Instrument Table'!$H:$H, 'Instrument Table'!$B:$B, $C1502)))</f>
        <v>Acoustic Guitar</v>
      </c>
      <c r="D1503" s="1" t="str">
        <f>VLOOKUP($C1503, 'Instrument Table'!$B:$C, 2, FALSE)</f>
        <v>Strings</v>
      </c>
      <c r="E1503" s="1">
        <f t="shared" si="138"/>
        <v>1</v>
      </c>
      <c r="F1503" s="1">
        <f>_xlfn.XLOOKUP($C1503, 'Instrument Table'!$B:$B, 'Instrument Table'!$A:$A, "")</f>
        <v>24</v>
      </c>
      <c r="G1503" s="1" t="str">
        <f>TEXT(IF($B1503 = "Retail Item", IF((ROW($A1503) - 4504 - _xlfn.XMATCH($C1503, $C$4506:$C$5005, 0, 1)) &lt;= VLOOKUP($C1503, 'Instrument Table'!$B:$D, 3, FALSE), ROW($A1503) - 4504 - _xlfn.XMATCH($C1503, $C$4506:$C$5005, 0, 1), 0), 0), "00")</f>
        <v>00</v>
      </c>
      <c r="H1503" s="1" t="str">
        <f t="shared" si="139"/>
        <v>147</v>
      </c>
      <c r="I1503" s="1" t="str">
        <f t="shared" si="140"/>
        <v>12400-147</v>
      </c>
      <c r="J1503" s="1" t="str">
        <f t="shared" si="141"/>
        <v>Acoustic guitar production item #147</v>
      </c>
      <c r="K1503" s="1" t="str">
        <f>IF(SUM(COUNTIFS(I:I, I1503)) &gt; 1, "DUPLICATE", "UNIQUE")</f>
        <v>UNIQUE</v>
      </c>
      <c r="L1503" s="18">
        <v>8</v>
      </c>
      <c r="M1503" s="28">
        <v>36</v>
      </c>
      <c r="N1503" s="6">
        <v>81</v>
      </c>
      <c r="O1503" s="30">
        <f t="shared" si="142"/>
        <v>288</v>
      </c>
      <c r="P1503" s="30">
        <f t="shared" si="143"/>
        <v>2916</v>
      </c>
      <c r="Q1503" s="1">
        <f>COUNTIFS($P:$P, "&gt;" &amp; $P1503) + 1</f>
        <v>2925</v>
      </c>
      <c r="R1503" s="63">
        <f>(COUNTIFS($P:$P, "&gt;" &amp; $P1503) + 1) / (COUNTA($I:$I) - 1)</f>
        <v>0.58499999999999996</v>
      </c>
      <c r="S1503" s="23">
        <f>SUMIFS($P:$P, $Q:$Q, "&lt;" &amp; $Q1503)</f>
        <v>184722737</v>
      </c>
    </row>
    <row r="1504" spans="1:19" x14ac:dyDescent="0.25">
      <c r="A1504" s="1">
        <v>1499</v>
      </c>
      <c r="B1504" s="1" t="s">
        <v>2</v>
      </c>
      <c r="C1504" s="1" t="str">
        <f>IF($B1504 = "Production Item", _xlfn.XLOOKUP($A1504, 'Instrument Table'!$J:$J, 'Instrument Table'!$B:$B, $C1503), IF($B1504 = "Service Item", _xlfn.XLOOKUP($A1504, 'Instrument Table'!$I:$I, 'Instrument Table'!$B:$B, $C1503), _xlfn.XLOOKUP($A1504, 'Instrument Table'!$H:$H, 'Instrument Table'!$B:$B, $C1503)))</f>
        <v>Acoustic Guitar</v>
      </c>
      <c r="D1504" s="1" t="str">
        <f>VLOOKUP($C1504, 'Instrument Table'!$B:$C, 2, FALSE)</f>
        <v>Strings</v>
      </c>
      <c r="E1504" s="1">
        <f t="shared" si="138"/>
        <v>1</v>
      </c>
      <c r="F1504" s="1">
        <f>_xlfn.XLOOKUP($C1504, 'Instrument Table'!$B:$B, 'Instrument Table'!$A:$A, "")</f>
        <v>24</v>
      </c>
      <c r="G1504" s="1" t="str">
        <f>TEXT(IF($B1504 = "Retail Item", IF((ROW($A1504) - 4504 - _xlfn.XMATCH($C1504, $C$4506:$C$5005, 0, 1)) &lt;= VLOOKUP($C1504, 'Instrument Table'!$B:$D, 3, FALSE), ROW($A1504) - 4504 - _xlfn.XMATCH($C1504, $C$4506:$C$5005, 0, 1), 0), 0), "00")</f>
        <v>00</v>
      </c>
      <c r="H1504" s="1" t="str">
        <f t="shared" si="139"/>
        <v>148</v>
      </c>
      <c r="I1504" s="1" t="str">
        <f t="shared" si="140"/>
        <v>12400-148</v>
      </c>
      <c r="J1504" s="1" t="str">
        <f t="shared" si="141"/>
        <v>Acoustic guitar production item #148</v>
      </c>
      <c r="K1504" s="1" t="str">
        <f>IF(SUM(COUNTIFS(I:I, I1504)) &gt; 1, "DUPLICATE", "UNIQUE")</f>
        <v>UNIQUE</v>
      </c>
      <c r="L1504" s="18">
        <v>1</v>
      </c>
      <c r="M1504" s="28">
        <v>72</v>
      </c>
      <c r="N1504" s="6">
        <v>169</v>
      </c>
      <c r="O1504" s="30">
        <f t="shared" si="142"/>
        <v>72</v>
      </c>
      <c r="P1504" s="30">
        <f t="shared" si="143"/>
        <v>12168</v>
      </c>
      <c r="Q1504" s="1">
        <f>COUNTIFS($P:$P, "&gt;" &amp; $P1504) + 1</f>
        <v>1560</v>
      </c>
      <c r="R1504" s="63">
        <f>(COUNTIFS($P:$P, "&gt;" &amp; $P1504) + 1) / (COUNTA($I:$I) - 1)</f>
        <v>0.312</v>
      </c>
      <c r="S1504" s="23">
        <f>SUMIFS($P:$P, $Q:$Q, "&lt;" &amp; $Q1504)</f>
        <v>175597882</v>
      </c>
    </row>
    <row r="1505" spans="1:19" x14ac:dyDescent="0.25">
      <c r="A1505" s="1">
        <v>1500</v>
      </c>
      <c r="B1505" s="1" t="s">
        <v>2</v>
      </c>
      <c r="C1505" s="1" t="str">
        <f>IF($B1505 = "Production Item", _xlfn.XLOOKUP($A1505, 'Instrument Table'!$J:$J, 'Instrument Table'!$B:$B, $C1504), IF($B1505 = "Service Item", _xlfn.XLOOKUP($A1505, 'Instrument Table'!$I:$I, 'Instrument Table'!$B:$B, $C1504), _xlfn.XLOOKUP($A1505, 'Instrument Table'!$H:$H, 'Instrument Table'!$B:$B, $C1504)))</f>
        <v>Acoustic Guitar</v>
      </c>
      <c r="D1505" s="1" t="str">
        <f>VLOOKUP($C1505, 'Instrument Table'!$B:$C, 2, FALSE)</f>
        <v>Strings</v>
      </c>
      <c r="E1505" s="1">
        <f t="shared" si="138"/>
        <v>1</v>
      </c>
      <c r="F1505" s="1">
        <f>_xlfn.XLOOKUP($C1505, 'Instrument Table'!$B:$B, 'Instrument Table'!$A:$A, "")</f>
        <v>24</v>
      </c>
      <c r="G1505" s="1" t="str">
        <f>TEXT(IF($B1505 = "Retail Item", IF((ROW($A1505) - 4504 - _xlfn.XMATCH($C1505, $C$4506:$C$5005, 0, 1)) &lt;= VLOOKUP($C1505, 'Instrument Table'!$B:$D, 3, FALSE), ROW($A1505) - 4504 - _xlfn.XMATCH($C1505, $C$4506:$C$5005, 0, 1), 0), 0), "00")</f>
        <v>00</v>
      </c>
      <c r="H1505" s="1" t="str">
        <f t="shared" si="139"/>
        <v>149</v>
      </c>
      <c r="I1505" s="1" t="str">
        <f t="shared" si="140"/>
        <v>12400-149</v>
      </c>
      <c r="J1505" s="1" t="str">
        <f t="shared" si="141"/>
        <v>Acoustic guitar production item #149</v>
      </c>
      <c r="K1505" s="1" t="str">
        <f>IF(SUM(COUNTIFS(I:I, I1505)) &gt; 1, "DUPLICATE", "UNIQUE")</f>
        <v>UNIQUE</v>
      </c>
      <c r="L1505" s="18">
        <v>0</v>
      </c>
      <c r="M1505" s="28">
        <v>51</v>
      </c>
      <c r="N1505" s="6">
        <v>169</v>
      </c>
      <c r="O1505" s="30">
        <f t="shared" si="142"/>
        <v>0</v>
      </c>
      <c r="P1505" s="30">
        <f t="shared" si="143"/>
        <v>8619</v>
      </c>
      <c r="Q1505" s="1">
        <f>COUNTIFS($P:$P, "&gt;" &amp; $P1505) + 1</f>
        <v>1920</v>
      </c>
      <c r="R1505" s="63">
        <f>(COUNTIFS($P:$P, "&gt;" &amp; $P1505) + 1) / (COUNTA($I:$I) - 1)</f>
        <v>0.38400000000000001</v>
      </c>
      <c r="S1505" s="23">
        <f>SUMIFS($P:$P, $Q:$Q, "&lt;" &amp; $Q1505)</f>
        <v>179337593</v>
      </c>
    </row>
    <row r="1506" spans="1:19" x14ac:dyDescent="0.25">
      <c r="A1506" s="1">
        <v>1501</v>
      </c>
      <c r="B1506" s="1" t="s">
        <v>2</v>
      </c>
      <c r="C1506" s="1" t="str">
        <f>IF($B1506 = "Production Item", _xlfn.XLOOKUP($A1506, 'Instrument Table'!$J:$J, 'Instrument Table'!$B:$B, $C1505), IF($B1506 = "Service Item", _xlfn.XLOOKUP($A1506, 'Instrument Table'!$I:$I, 'Instrument Table'!$B:$B, $C1505), _xlfn.XLOOKUP($A1506, 'Instrument Table'!$H:$H, 'Instrument Table'!$B:$B, $C1505)))</f>
        <v>Acoustic Guitar</v>
      </c>
      <c r="D1506" s="1" t="str">
        <f>VLOOKUP($C1506, 'Instrument Table'!$B:$C, 2, FALSE)</f>
        <v>Strings</v>
      </c>
      <c r="E1506" s="1">
        <f t="shared" si="138"/>
        <v>1</v>
      </c>
      <c r="F1506" s="1">
        <f>_xlfn.XLOOKUP($C1506, 'Instrument Table'!$B:$B, 'Instrument Table'!$A:$A, "")</f>
        <v>24</v>
      </c>
      <c r="G1506" s="1" t="str">
        <f>TEXT(IF($B1506 = "Retail Item", IF((ROW($A1506) - 4504 - _xlfn.XMATCH($C1506, $C$4506:$C$5005, 0, 1)) &lt;= VLOOKUP($C1506, 'Instrument Table'!$B:$D, 3, FALSE), ROW($A1506) - 4504 - _xlfn.XMATCH($C1506, $C$4506:$C$5005, 0, 1), 0), 0), "00")</f>
        <v>00</v>
      </c>
      <c r="H1506" s="1" t="str">
        <f t="shared" si="139"/>
        <v>150</v>
      </c>
      <c r="I1506" s="1" t="str">
        <f t="shared" si="140"/>
        <v>12400-150</v>
      </c>
      <c r="J1506" s="1" t="str">
        <f t="shared" si="141"/>
        <v>Acoustic guitar production item #150</v>
      </c>
      <c r="K1506" s="1" t="str">
        <f>IF(SUM(COUNTIFS(I:I, I1506)) &gt; 1, "DUPLICATE", "UNIQUE")</f>
        <v>UNIQUE</v>
      </c>
      <c r="L1506" s="18">
        <v>0</v>
      </c>
      <c r="M1506" s="28">
        <v>42</v>
      </c>
      <c r="N1506" s="6">
        <v>361</v>
      </c>
      <c r="O1506" s="30">
        <f t="shared" si="142"/>
        <v>0</v>
      </c>
      <c r="P1506" s="30">
        <f t="shared" si="143"/>
        <v>15162</v>
      </c>
      <c r="Q1506" s="1">
        <f>COUNTIFS($P:$P, "&gt;" &amp; $P1506) + 1</f>
        <v>1339</v>
      </c>
      <c r="R1506" s="63">
        <f>(COUNTIFS($P:$P, "&gt;" &amp; $P1506) + 1) / (COUNTA($I:$I) - 1)</f>
        <v>0.26779999999999998</v>
      </c>
      <c r="S1506" s="23">
        <f>SUMIFS($P:$P, $Q:$Q, "&lt;" &amp; $Q1506)</f>
        <v>172576864</v>
      </c>
    </row>
    <row r="1507" spans="1:19" x14ac:dyDescent="0.25">
      <c r="A1507" s="1">
        <v>1502</v>
      </c>
      <c r="B1507" s="1" t="s">
        <v>2</v>
      </c>
      <c r="C1507" s="1" t="str">
        <f>IF($B1507 = "Production Item", _xlfn.XLOOKUP($A1507, 'Instrument Table'!$J:$J, 'Instrument Table'!$B:$B, $C1506), IF($B1507 = "Service Item", _xlfn.XLOOKUP($A1507, 'Instrument Table'!$I:$I, 'Instrument Table'!$B:$B, $C1506), _xlfn.XLOOKUP($A1507, 'Instrument Table'!$H:$H, 'Instrument Table'!$B:$B, $C1506)))</f>
        <v>Acoustic Guitar</v>
      </c>
      <c r="D1507" s="1" t="str">
        <f>VLOOKUP($C1507, 'Instrument Table'!$B:$C, 2, FALSE)</f>
        <v>Strings</v>
      </c>
      <c r="E1507" s="1">
        <f t="shared" si="138"/>
        <v>1</v>
      </c>
      <c r="F1507" s="1">
        <f>_xlfn.XLOOKUP($C1507, 'Instrument Table'!$B:$B, 'Instrument Table'!$A:$A, "")</f>
        <v>24</v>
      </c>
      <c r="G1507" s="1" t="str">
        <f>TEXT(IF($B1507 = "Retail Item", IF((ROW($A1507) - 4504 - _xlfn.XMATCH($C1507, $C$4506:$C$5005, 0, 1)) &lt;= VLOOKUP($C1507, 'Instrument Table'!$B:$D, 3, FALSE), ROW($A1507) - 4504 - _xlfn.XMATCH($C1507, $C$4506:$C$5005, 0, 1), 0), 0), "00")</f>
        <v>00</v>
      </c>
      <c r="H1507" s="1" t="str">
        <f t="shared" si="139"/>
        <v>151</v>
      </c>
      <c r="I1507" s="1" t="str">
        <f t="shared" si="140"/>
        <v>12400-151</v>
      </c>
      <c r="J1507" s="1" t="str">
        <f t="shared" si="141"/>
        <v>Acoustic guitar production item #151</v>
      </c>
      <c r="K1507" s="1" t="str">
        <f>IF(SUM(COUNTIFS(I:I, I1507)) &gt; 1, "DUPLICATE", "UNIQUE")</f>
        <v>UNIQUE</v>
      </c>
      <c r="L1507" s="18">
        <v>0</v>
      </c>
      <c r="M1507" s="28">
        <v>13</v>
      </c>
      <c r="N1507" s="6">
        <v>1</v>
      </c>
      <c r="O1507" s="30">
        <f t="shared" si="142"/>
        <v>0</v>
      </c>
      <c r="P1507" s="30">
        <f t="shared" si="143"/>
        <v>13</v>
      </c>
      <c r="Q1507" s="1">
        <f>COUNTIFS($P:$P, "&gt;" &amp; $P1507) + 1</f>
        <v>4714</v>
      </c>
      <c r="R1507" s="63">
        <f>(COUNTIFS($P:$P, "&gt;" &amp; $P1507) + 1) / (COUNTA($I:$I) - 1)</f>
        <v>0.94279999999999997</v>
      </c>
      <c r="S1507" s="23">
        <f>SUMIFS($P:$P, $Q:$Q, "&lt;" &amp; $Q1507)</f>
        <v>186547622</v>
      </c>
    </row>
    <row r="1508" spans="1:19" x14ac:dyDescent="0.25">
      <c r="A1508" s="1">
        <v>1503</v>
      </c>
      <c r="B1508" s="1" t="s">
        <v>2</v>
      </c>
      <c r="C1508" s="1" t="str">
        <f>IF($B1508 = "Production Item", _xlfn.XLOOKUP($A1508, 'Instrument Table'!$J:$J, 'Instrument Table'!$B:$B, $C1507), IF($B1508 = "Service Item", _xlfn.XLOOKUP($A1508, 'Instrument Table'!$I:$I, 'Instrument Table'!$B:$B, $C1507), _xlfn.XLOOKUP($A1508, 'Instrument Table'!$H:$H, 'Instrument Table'!$B:$B, $C1507)))</f>
        <v>Acoustic Guitar</v>
      </c>
      <c r="D1508" s="1" t="str">
        <f>VLOOKUP($C1508, 'Instrument Table'!$B:$C, 2, FALSE)</f>
        <v>Strings</v>
      </c>
      <c r="E1508" s="1">
        <f t="shared" si="138"/>
        <v>1</v>
      </c>
      <c r="F1508" s="1">
        <f>_xlfn.XLOOKUP($C1508, 'Instrument Table'!$B:$B, 'Instrument Table'!$A:$A, "")</f>
        <v>24</v>
      </c>
      <c r="G1508" s="1" t="str">
        <f>TEXT(IF($B1508 = "Retail Item", IF((ROW($A1508) - 4504 - _xlfn.XMATCH($C1508, $C$4506:$C$5005, 0, 1)) &lt;= VLOOKUP($C1508, 'Instrument Table'!$B:$D, 3, FALSE), ROW($A1508) - 4504 - _xlfn.XMATCH($C1508, $C$4506:$C$5005, 0, 1), 0), 0), "00")</f>
        <v>00</v>
      </c>
      <c r="H1508" s="1" t="str">
        <f t="shared" si="139"/>
        <v>152</v>
      </c>
      <c r="I1508" s="1" t="str">
        <f t="shared" si="140"/>
        <v>12400-152</v>
      </c>
      <c r="J1508" s="1" t="str">
        <f t="shared" si="141"/>
        <v>Acoustic guitar production item #152</v>
      </c>
      <c r="K1508" s="1" t="str">
        <f>IF(SUM(COUNTIFS(I:I, I1508)) &gt; 1, "DUPLICATE", "UNIQUE")</f>
        <v>UNIQUE</v>
      </c>
      <c r="L1508" s="18">
        <v>2</v>
      </c>
      <c r="M1508" s="28">
        <v>18</v>
      </c>
      <c r="N1508" s="6">
        <v>100</v>
      </c>
      <c r="O1508" s="30">
        <f t="shared" si="142"/>
        <v>36</v>
      </c>
      <c r="P1508" s="30">
        <f t="shared" si="143"/>
        <v>1800</v>
      </c>
      <c r="Q1508" s="1">
        <f>COUNTIFS($P:$P, "&gt;" &amp; $P1508) + 1</f>
        <v>3333</v>
      </c>
      <c r="R1508" s="63">
        <f>(COUNTIFS($P:$P, "&gt;" &amp; $P1508) + 1) / (COUNTA($I:$I) - 1)</f>
        <v>0.66659999999999997</v>
      </c>
      <c r="S1508" s="23">
        <f>SUMIFS($P:$P, $Q:$Q, "&lt;" &amp; $Q1508)</f>
        <v>185669981</v>
      </c>
    </row>
    <row r="1509" spans="1:19" x14ac:dyDescent="0.25">
      <c r="A1509" s="1">
        <v>1504</v>
      </c>
      <c r="B1509" s="1" t="s">
        <v>2</v>
      </c>
      <c r="C1509" s="1" t="str">
        <f>IF($B1509 = "Production Item", _xlfn.XLOOKUP($A1509, 'Instrument Table'!$J:$J, 'Instrument Table'!$B:$B, $C1508), IF($B1509 = "Service Item", _xlfn.XLOOKUP($A1509, 'Instrument Table'!$I:$I, 'Instrument Table'!$B:$B, $C1508), _xlfn.XLOOKUP($A1509, 'Instrument Table'!$H:$H, 'Instrument Table'!$B:$B, $C1508)))</f>
        <v>Acoustic Guitar</v>
      </c>
      <c r="D1509" s="1" t="str">
        <f>VLOOKUP($C1509, 'Instrument Table'!$B:$C, 2, FALSE)</f>
        <v>Strings</v>
      </c>
      <c r="E1509" s="1">
        <f t="shared" si="138"/>
        <v>1</v>
      </c>
      <c r="F1509" s="1">
        <f>_xlfn.XLOOKUP($C1509, 'Instrument Table'!$B:$B, 'Instrument Table'!$A:$A, "")</f>
        <v>24</v>
      </c>
      <c r="G1509" s="1" t="str">
        <f>TEXT(IF($B1509 = "Retail Item", IF((ROW($A1509) - 4504 - _xlfn.XMATCH($C1509, $C$4506:$C$5005, 0, 1)) &lt;= VLOOKUP($C1509, 'Instrument Table'!$B:$D, 3, FALSE), ROW($A1509) - 4504 - _xlfn.XMATCH($C1509, $C$4506:$C$5005, 0, 1), 0), 0), "00")</f>
        <v>00</v>
      </c>
      <c r="H1509" s="1" t="str">
        <f t="shared" si="139"/>
        <v>153</v>
      </c>
      <c r="I1509" s="1" t="str">
        <f t="shared" si="140"/>
        <v>12400-153</v>
      </c>
      <c r="J1509" s="1" t="str">
        <f t="shared" si="141"/>
        <v>Acoustic guitar production item #153</v>
      </c>
      <c r="K1509" s="1" t="str">
        <f>IF(SUM(COUNTIFS(I:I, I1509)) &gt; 1, "DUPLICATE", "UNIQUE")</f>
        <v>UNIQUE</v>
      </c>
      <c r="L1509" s="18">
        <v>1</v>
      </c>
      <c r="M1509" s="28">
        <v>17</v>
      </c>
      <c r="N1509" s="6">
        <v>169</v>
      </c>
      <c r="O1509" s="30">
        <f t="shared" si="142"/>
        <v>17</v>
      </c>
      <c r="P1509" s="30">
        <f t="shared" si="143"/>
        <v>2873</v>
      </c>
      <c r="Q1509" s="1">
        <f>COUNTIFS($P:$P, "&gt;" &amp; $P1509) + 1</f>
        <v>2944</v>
      </c>
      <c r="R1509" s="63">
        <f>(COUNTIFS($P:$P, "&gt;" &amp; $P1509) + 1) / (COUNTA($I:$I) - 1)</f>
        <v>0.58879999999999999</v>
      </c>
      <c r="S1509" s="23">
        <f>SUMIFS($P:$P, $Q:$Q, "&lt;" &amp; $Q1509)</f>
        <v>184777849</v>
      </c>
    </row>
    <row r="1510" spans="1:19" x14ac:dyDescent="0.25">
      <c r="A1510" s="1">
        <v>1505</v>
      </c>
      <c r="B1510" s="1" t="s">
        <v>2</v>
      </c>
      <c r="C1510" s="1" t="str">
        <f>IF($B1510 = "Production Item", _xlfn.XLOOKUP($A1510, 'Instrument Table'!$J:$J, 'Instrument Table'!$B:$B, $C1509), IF($B1510 = "Service Item", _xlfn.XLOOKUP($A1510, 'Instrument Table'!$I:$I, 'Instrument Table'!$B:$B, $C1509), _xlfn.XLOOKUP($A1510, 'Instrument Table'!$H:$H, 'Instrument Table'!$B:$B, $C1509)))</f>
        <v>Acoustic Guitar</v>
      </c>
      <c r="D1510" s="1" t="str">
        <f>VLOOKUP($C1510, 'Instrument Table'!$B:$C, 2, FALSE)</f>
        <v>Strings</v>
      </c>
      <c r="E1510" s="1">
        <f t="shared" si="138"/>
        <v>1</v>
      </c>
      <c r="F1510" s="1">
        <f>_xlfn.XLOOKUP($C1510, 'Instrument Table'!$B:$B, 'Instrument Table'!$A:$A, "")</f>
        <v>24</v>
      </c>
      <c r="G1510" s="1" t="str">
        <f>TEXT(IF($B1510 = "Retail Item", IF((ROW($A1510) - 4504 - _xlfn.XMATCH($C1510, $C$4506:$C$5005, 0, 1)) &lt;= VLOOKUP($C1510, 'Instrument Table'!$B:$D, 3, FALSE), ROW($A1510) - 4504 - _xlfn.XMATCH($C1510, $C$4506:$C$5005, 0, 1), 0), 0), "00")</f>
        <v>00</v>
      </c>
      <c r="H1510" s="1" t="str">
        <f t="shared" si="139"/>
        <v>154</v>
      </c>
      <c r="I1510" s="1" t="str">
        <f t="shared" si="140"/>
        <v>12400-154</v>
      </c>
      <c r="J1510" s="1" t="str">
        <f t="shared" si="141"/>
        <v>Acoustic guitar production item #154</v>
      </c>
      <c r="K1510" s="1" t="str">
        <f>IF(SUM(COUNTIFS(I:I, I1510)) &gt; 1, "DUPLICATE", "UNIQUE")</f>
        <v>UNIQUE</v>
      </c>
      <c r="L1510" s="18">
        <v>1</v>
      </c>
      <c r="M1510" s="28">
        <v>26</v>
      </c>
      <c r="N1510" s="6">
        <v>225</v>
      </c>
      <c r="O1510" s="30">
        <f t="shared" si="142"/>
        <v>26</v>
      </c>
      <c r="P1510" s="30">
        <f t="shared" si="143"/>
        <v>5850</v>
      </c>
      <c r="Q1510" s="1">
        <f>COUNTIFS($P:$P, "&gt;" &amp; $P1510) + 1</f>
        <v>2284</v>
      </c>
      <c r="R1510" s="63">
        <f>(COUNTIFS($P:$P, "&gt;" &amp; $P1510) + 1) / (COUNTA($I:$I) - 1)</f>
        <v>0.45679999999999998</v>
      </c>
      <c r="S1510" s="23">
        <f>SUMIFS($P:$P, $Q:$Q, "&lt;" &amp; $Q1510)</f>
        <v>181970956</v>
      </c>
    </row>
    <row r="1511" spans="1:19" x14ac:dyDescent="0.25">
      <c r="A1511" s="1">
        <v>1506</v>
      </c>
      <c r="B1511" s="1" t="s">
        <v>2</v>
      </c>
      <c r="C1511" s="1" t="str">
        <f>IF($B1511 = "Production Item", _xlfn.XLOOKUP($A1511, 'Instrument Table'!$J:$J, 'Instrument Table'!$B:$B, $C1510), IF($B1511 = "Service Item", _xlfn.XLOOKUP($A1511, 'Instrument Table'!$I:$I, 'Instrument Table'!$B:$B, $C1510), _xlfn.XLOOKUP($A1511, 'Instrument Table'!$H:$H, 'Instrument Table'!$B:$B, $C1510)))</f>
        <v>Acoustic Guitar</v>
      </c>
      <c r="D1511" s="1" t="str">
        <f>VLOOKUP($C1511, 'Instrument Table'!$B:$C, 2, FALSE)</f>
        <v>Strings</v>
      </c>
      <c r="E1511" s="1">
        <f t="shared" si="138"/>
        <v>1</v>
      </c>
      <c r="F1511" s="1">
        <f>_xlfn.XLOOKUP($C1511, 'Instrument Table'!$B:$B, 'Instrument Table'!$A:$A, "")</f>
        <v>24</v>
      </c>
      <c r="G1511" s="1" t="str">
        <f>TEXT(IF($B1511 = "Retail Item", IF((ROW($A1511) - 4504 - _xlfn.XMATCH($C1511, $C$4506:$C$5005, 0, 1)) &lt;= VLOOKUP($C1511, 'Instrument Table'!$B:$D, 3, FALSE), ROW($A1511) - 4504 - _xlfn.XMATCH($C1511, $C$4506:$C$5005, 0, 1), 0), 0), "00")</f>
        <v>00</v>
      </c>
      <c r="H1511" s="1" t="str">
        <f t="shared" si="139"/>
        <v>155</v>
      </c>
      <c r="I1511" s="1" t="str">
        <f t="shared" si="140"/>
        <v>12400-155</v>
      </c>
      <c r="J1511" s="1" t="str">
        <f t="shared" si="141"/>
        <v>Acoustic guitar production item #155</v>
      </c>
      <c r="K1511" s="1" t="str">
        <f>IF(SUM(COUNTIFS(I:I, I1511)) &gt; 1, "DUPLICATE", "UNIQUE")</f>
        <v>UNIQUE</v>
      </c>
      <c r="L1511" s="18">
        <v>0</v>
      </c>
      <c r="M1511" s="28">
        <v>38</v>
      </c>
      <c r="N1511" s="6">
        <v>49</v>
      </c>
      <c r="O1511" s="30">
        <f t="shared" si="142"/>
        <v>0</v>
      </c>
      <c r="P1511" s="30">
        <f t="shared" si="143"/>
        <v>1862</v>
      </c>
      <c r="Q1511" s="1">
        <f>COUNTIFS($P:$P, "&gt;" &amp; $P1511) + 1</f>
        <v>3314</v>
      </c>
      <c r="R1511" s="63">
        <f>(COUNTIFS($P:$P, "&gt;" &amp; $P1511) + 1) / (COUNTA($I:$I) - 1)</f>
        <v>0.66279999999999994</v>
      </c>
      <c r="S1511" s="23">
        <f>SUMIFS($P:$P, $Q:$Q, "&lt;" &amp; $Q1511)</f>
        <v>185635323</v>
      </c>
    </row>
    <row r="1512" spans="1:19" x14ac:dyDescent="0.25">
      <c r="A1512" s="1">
        <v>1507</v>
      </c>
      <c r="B1512" s="1" t="s">
        <v>2</v>
      </c>
      <c r="C1512" s="1" t="str">
        <f>IF($B1512 = "Production Item", _xlfn.XLOOKUP($A1512, 'Instrument Table'!$J:$J, 'Instrument Table'!$B:$B, $C1511), IF($B1512 = "Service Item", _xlfn.XLOOKUP($A1512, 'Instrument Table'!$I:$I, 'Instrument Table'!$B:$B, $C1511), _xlfn.XLOOKUP($A1512, 'Instrument Table'!$H:$H, 'Instrument Table'!$B:$B, $C1511)))</f>
        <v>Acoustic Guitar</v>
      </c>
      <c r="D1512" s="1" t="str">
        <f>VLOOKUP($C1512, 'Instrument Table'!$B:$C, 2, FALSE)</f>
        <v>Strings</v>
      </c>
      <c r="E1512" s="1">
        <f t="shared" si="138"/>
        <v>1</v>
      </c>
      <c r="F1512" s="1">
        <f>_xlfn.XLOOKUP($C1512, 'Instrument Table'!$B:$B, 'Instrument Table'!$A:$A, "")</f>
        <v>24</v>
      </c>
      <c r="G1512" s="1" t="str">
        <f>TEXT(IF($B1512 = "Retail Item", IF((ROW($A1512) - 4504 - _xlfn.XMATCH($C1512, $C$4506:$C$5005, 0, 1)) &lt;= VLOOKUP($C1512, 'Instrument Table'!$B:$D, 3, FALSE), ROW($A1512) - 4504 - _xlfn.XMATCH($C1512, $C$4506:$C$5005, 0, 1), 0), 0), "00")</f>
        <v>00</v>
      </c>
      <c r="H1512" s="1" t="str">
        <f t="shared" si="139"/>
        <v>156</v>
      </c>
      <c r="I1512" s="1" t="str">
        <f t="shared" si="140"/>
        <v>12400-156</v>
      </c>
      <c r="J1512" s="1" t="str">
        <f t="shared" si="141"/>
        <v>Acoustic guitar production item #156</v>
      </c>
      <c r="K1512" s="1" t="str">
        <f>IF(SUM(COUNTIFS(I:I, I1512)) &gt; 1, "DUPLICATE", "UNIQUE")</f>
        <v>UNIQUE</v>
      </c>
      <c r="L1512" s="18">
        <v>0</v>
      </c>
      <c r="M1512" s="28">
        <v>50</v>
      </c>
      <c r="N1512" s="6">
        <v>25</v>
      </c>
      <c r="O1512" s="30">
        <f t="shared" si="142"/>
        <v>0</v>
      </c>
      <c r="P1512" s="30">
        <f t="shared" si="143"/>
        <v>1250</v>
      </c>
      <c r="Q1512" s="1">
        <f>COUNTIFS($P:$P, "&gt;" &amp; $P1512) + 1</f>
        <v>3584</v>
      </c>
      <c r="R1512" s="63">
        <f>(COUNTIFS($P:$P, "&gt;" &amp; $P1512) + 1) / (COUNTA($I:$I) - 1)</f>
        <v>0.71679999999999999</v>
      </c>
      <c r="S1512" s="23">
        <f>SUMIFS($P:$P, $Q:$Q, "&lt;" &amp; $Q1512)</f>
        <v>186050130</v>
      </c>
    </row>
    <row r="1513" spans="1:19" x14ac:dyDescent="0.25">
      <c r="A1513" s="1">
        <v>1508</v>
      </c>
      <c r="B1513" s="1" t="s">
        <v>2</v>
      </c>
      <c r="C1513" s="1" t="str">
        <f>IF($B1513 = "Production Item", _xlfn.XLOOKUP($A1513, 'Instrument Table'!$J:$J, 'Instrument Table'!$B:$B, $C1512), IF($B1513 = "Service Item", _xlfn.XLOOKUP($A1513, 'Instrument Table'!$I:$I, 'Instrument Table'!$B:$B, $C1512), _xlfn.XLOOKUP($A1513, 'Instrument Table'!$H:$H, 'Instrument Table'!$B:$B, $C1512)))</f>
        <v>Acoustic Guitar</v>
      </c>
      <c r="D1513" s="1" t="str">
        <f>VLOOKUP($C1513, 'Instrument Table'!$B:$C, 2, FALSE)</f>
        <v>Strings</v>
      </c>
      <c r="E1513" s="1">
        <f t="shared" si="138"/>
        <v>1</v>
      </c>
      <c r="F1513" s="1">
        <f>_xlfn.XLOOKUP($C1513, 'Instrument Table'!$B:$B, 'Instrument Table'!$A:$A, "")</f>
        <v>24</v>
      </c>
      <c r="G1513" s="1" t="str">
        <f>TEXT(IF($B1513 = "Retail Item", IF((ROW($A1513) - 4504 - _xlfn.XMATCH($C1513, $C$4506:$C$5005, 0, 1)) &lt;= VLOOKUP($C1513, 'Instrument Table'!$B:$D, 3, FALSE), ROW($A1513) - 4504 - _xlfn.XMATCH($C1513, $C$4506:$C$5005, 0, 1), 0), 0), "00")</f>
        <v>00</v>
      </c>
      <c r="H1513" s="1" t="str">
        <f t="shared" si="139"/>
        <v>157</v>
      </c>
      <c r="I1513" s="1" t="str">
        <f t="shared" si="140"/>
        <v>12400-157</v>
      </c>
      <c r="J1513" s="1" t="str">
        <f t="shared" si="141"/>
        <v>Acoustic guitar production item #157</v>
      </c>
      <c r="K1513" s="1" t="str">
        <f>IF(SUM(COUNTIFS(I:I, I1513)) &gt; 1, "DUPLICATE", "UNIQUE")</f>
        <v>UNIQUE</v>
      </c>
      <c r="L1513" s="18">
        <v>1</v>
      </c>
      <c r="M1513" s="28">
        <v>15</v>
      </c>
      <c r="N1513" s="6">
        <v>4</v>
      </c>
      <c r="O1513" s="30">
        <f t="shared" si="142"/>
        <v>15</v>
      </c>
      <c r="P1513" s="30">
        <f t="shared" si="143"/>
        <v>60</v>
      </c>
      <c r="Q1513" s="1">
        <f>COUNTIFS($P:$P, "&gt;" &amp; $P1513) + 1</f>
        <v>4578</v>
      </c>
      <c r="R1513" s="63">
        <f>(COUNTIFS($P:$P, "&gt;" &amp; $P1513) + 1) / (COUNTA($I:$I) - 1)</f>
        <v>0.91559999999999997</v>
      </c>
      <c r="S1513" s="23">
        <f>SUMIFS($P:$P, $Q:$Q, "&lt;" &amp; $Q1513)</f>
        <v>186542436</v>
      </c>
    </row>
    <row r="1514" spans="1:19" x14ac:dyDescent="0.25">
      <c r="A1514" s="1">
        <v>1509</v>
      </c>
      <c r="B1514" s="1" t="s">
        <v>2</v>
      </c>
      <c r="C1514" s="1" t="str">
        <f>IF($B1514 = "Production Item", _xlfn.XLOOKUP($A1514, 'Instrument Table'!$J:$J, 'Instrument Table'!$B:$B, $C1513), IF($B1514 = "Service Item", _xlfn.XLOOKUP($A1514, 'Instrument Table'!$I:$I, 'Instrument Table'!$B:$B, $C1513), _xlfn.XLOOKUP($A1514, 'Instrument Table'!$H:$H, 'Instrument Table'!$B:$B, $C1513)))</f>
        <v>Acoustic Guitar</v>
      </c>
      <c r="D1514" s="1" t="str">
        <f>VLOOKUP($C1514, 'Instrument Table'!$B:$C, 2, FALSE)</f>
        <v>Strings</v>
      </c>
      <c r="E1514" s="1">
        <f t="shared" si="138"/>
        <v>1</v>
      </c>
      <c r="F1514" s="1">
        <f>_xlfn.XLOOKUP($C1514, 'Instrument Table'!$B:$B, 'Instrument Table'!$A:$A, "")</f>
        <v>24</v>
      </c>
      <c r="G1514" s="1" t="str">
        <f>TEXT(IF($B1514 = "Retail Item", IF((ROW($A1514) - 4504 - _xlfn.XMATCH($C1514, $C$4506:$C$5005, 0, 1)) &lt;= VLOOKUP($C1514, 'Instrument Table'!$B:$D, 3, FALSE), ROW($A1514) - 4504 - _xlfn.XMATCH($C1514, $C$4506:$C$5005, 0, 1), 0), 0), "00")</f>
        <v>00</v>
      </c>
      <c r="H1514" s="1" t="str">
        <f t="shared" si="139"/>
        <v>158</v>
      </c>
      <c r="I1514" s="1" t="str">
        <f t="shared" si="140"/>
        <v>12400-158</v>
      </c>
      <c r="J1514" s="1" t="str">
        <f t="shared" si="141"/>
        <v>Acoustic guitar production item #158</v>
      </c>
      <c r="K1514" s="1" t="str">
        <f>IF(SUM(COUNTIFS(I:I, I1514)) &gt; 1, "DUPLICATE", "UNIQUE")</f>
        <v>UNIQUE</v>
      </c>
      <c r="L1514" s="18">
        <v>0</v>
      </c>
      <c r="M1514" s="28">
        <v>90</v>
      </c>
      <c r="N1514" s="6">
        <v>4</v>
      </c>
      <c r="O1514" s="30">
        <f t="shared" si="142"/>
        <v>0</v>
      </c>
      <c r="P1514" s="30">
        <f t="shared" si="143"/>
        <v>360</v>
      </c>
      <c r="Q1514" s="1">
        <f>COUNTIFS($P:$P, "&gt;" &amp; $P1514) + 1</f>
        <v>4137</v>
      </c>
      <c r="R1514" s="63">
        <f>(COUNTIFS($P:$P, "&gt;" &amp; $P1514) + 1) / (COUNTA($I:$I) - 1)</f>
        <v>0.82740000000000002</v>
      </c>
      <c r="S1514" s="23">
        <f>SUMIFS($P:$P, $Q:$Q, "&lt;" &amp; $Q1514)</f>
        <v>186459069</v>
      </c>
    </row>
    <row r="1515" spans="1:19" x14ac:dyDescent="0.25">
      <c r="A1515" s="1">
        <v>1510</v>
      </c>
      <c r="B1515" s="1" t="s">
        <v>2</v>
      </c>
      <c r="C1515" s="1" t="str">
        <f>IF($B1515 = "Production Item", _xlfn.XLOOKUP($A1515, 'Instrument Table'!$J:$J, 'Instrument Table'!$B:$B, $C1514), IF($B1515 = "Service Item", _xlfn.XLOOKUP($A1515, 'Instrument Table'!$I:$I, 'Instrument Table'!$B:$B, $C1514), _xlfn.XLOOKUP($A1515, 'Instrument Table'!$H:$H, 'Instrument Table'!$B:$B, $C1514)))</f>
        <v>Acoustic Guitar</v>
      </c>
      <c r="D1515" s="1" t="str">
        <f>VLOOKUP($C1515, 'Instrument Table'!$B:$C, 2, FALSE)</f>
        <v>Strings</v>
      </c>
      <c r="E1515" s="1">
        <f t="shared" si="138"/>
        <v>1</v>
      </c>
      <c r="F1515" s="1">
        <f>_xlfn.XLOOKUP($C1515, 'Instrument Table'!$B:$B, 'Instrument Table'!$A:$A, "")</f>
        <v>24</v>
      </c>
      <c r="G1515" s="1" t="str">
        <f>TEXT(IF($B1515 = "Retail Item", IF((ROW($A1515) - 4504 - _xlfn.XMATCH($C1515, $C$4506:$C$5005, 0, 1)) &lt;= VLOOKUP($C1515, 'Instrument Table'!$B:$D, 3, FALSE), ROW($A1515) - 4504 - _xlfn.XMATCH($C1515, $C$4506:$C$5005, 0, 1), 0), 0), "00")</f>
        <v>00</v>
      </c>
      <c r="H1515" s="1" t="str">
        <f t="shared" si="139"/>
        <v>159</v>
      </c>
      <c r="I1515" s="1" t="str">
        <f t="shared" si="140"/>
        <v>12400-159</v>
      </c>
      <c r="J1515" s="1" t="str">
        <f t="shared" si="141"/>
        <v>Acoustic guitar production item #159</v>
      </c>
      <c r="K1515" s="1" t="str">
        <f>IF(SUM(COUNTIFS(I:I, I1515)) &gt; 1, "DUPLICATE", "UNIQUE")</f>
        <v>UNIQUE</v>
      </c>
      <c r="L1515" s="18">
        <v>0</v>
      </c>
      <c r="M1515" s="28">
        <v>40</v>
      </c>
      <c r="N1515" s="6">
        <v>324</v>
      </c>
      <c r="O1515" s="30">
        <f t="shared" si="142"/>
        <v>0</v>
      </c>
      <c r="P1515" s="30">
        <f t="shared" si="143"/>
        <v>12960</v>
      </c>
      <c r="Q1515" s="1">
        <f>COUNTIFS($P:$P, "&gt;" &amp; $P1515) + 1</f>
        <v>1501</v>
      </c>
      <c r="R1515" s="63">
        <f>(COUNTIFS($P:$P, "&gt;" &amp; $P1515) + 1) / (COUNTA($I:$I) - 1)</f>
        <v>0.30020000000000002</v>
      </c>
      <c r="S1515" s="23">
        <f>SUMIFS($P:$P, $Q:$Q, "&lt;" &amp; $Q1515)</f>
        <v>174852763</v>
      </c>
    </row>
    <row r="1516" spans="1:19" x14ac:dyDescent="0.25">
      <c r="A1516" s="1">
        <v>1511</v>
      </c>
      <c r="B1516" s="1" t="s">
        <v>2</v>
      </c>
      <c r="C1516" s="1" t="str">
        <f>IF($B1516 = "Production Item", _xlfn.XLOOKUP($A1516, 'Instrument Table'!$J:$J, 'Instrument Table'!$B:$B, $C1515), IF($B1516 = "Service Item", _xlfn.XLOOKUP($A1516, 'Instrument Table'!$I:$I, 'Instrument Table'!$B:$B, $C1515), _xlfn.XLOOKUP($A1516, 'Instrument Table'!$H:$H, 'Instrument Table'!$B:$B, $C1515)))</f>
        <v>Acoustic Guitar</v>
      </c>
      <c r="D1516" s="1" t="str">
        <f>VLOOKUP($C1516, 'Instrument Table'!$B:$C, 2, FALSE)</f>
        <v>Strings</v>
      </c>
      <c r="E1516" s="1">
        <f t="shared" si="138"/>
        <v>1</v>
      </c>
      <c r="F1516" s="1">
        <f>_xlfn.XLOOKUP($C1516, 'Instrument Table'!$B:$B, 'Instrument Table'!$A:$A, "")</f>
        <v>24</v>
      </c>
      <c r="G1516" s="1" t="str">
        <f>TEXT(IF($B1516 = "Retail Item", IF((ROW($A1516) - 4504 - _xlfn.XMATCH($C1516, $C$4506:$C$5005, 0, 1)) &lt;= VLOOKUP($C1516, 'Instrument Table'!$B:$D, 3, FALSE), ROW($A1516) - 4504 - _xlfn.XMATCH($C1516, $C$4506:$C$5005, 0, 1), 0), 0), "00")</f>
        <v>00</v>
      </c>
      <c r="H1516" s="1" t="str">
        <f t="shared" si="139"/>
        <v>160</v>
      </c>
      <c r="I1516" s="1" t="str">
        <f t="shared" si="140"/>
        <v>12400-160</v>
      </c>
      <c r="J1516" s="1" t="str">
        <f t="shared" si="141"/>
        <v>Acoustic guitar production item #160</v>
      </c>
      <c r="K1516" s="1" t="str">
        <f>IF(SUM(COUNTIFS(I:I, I1516)) &gt; 1, "DUPLICATE", "UNIQUE")</f>
        <v>UNIQUE</v>
      </c>
      <c r="L1516" s="18">
        <v>1</v>
      </c>
      <c r="M1516" s="28">
        <v>23</v>
      </c>
      <c r="N1516" s="6">
        <v>169</v>
      </c>
      <c r="O1516" s="30">
        <f t="shared" si="142"/>
        <v>23</v>
      </c>
      <c r="P1516" s="30">
        <f t="shared" si="143"/>
        <v>3887</v>
      </c>
      <c r="Q1516" s="1">
        <f>COUNTIFS($P:$P, "&gt;" &amp; $P1516) + 1</f>
        <v>2684</v>
      </c>
      <c r="R1516" s="63">
        <f>(COUNTIFS($P:$P, "&gt;" &amp; $P1516) + 1) / (COUNTA($I:$I) - 1)</f>
        <v>0.53680000000000005</v>
      </c>
      <c r="S1516" s="23">
        <f>SUMIFS($P:$P, $Q:$Q, "&lt;" &amp; $Q1516)</f>
        <v>183905232</v>
      </c>
    </row>
    <row r="1517" spans="1:19" x14ac:dyDescent="0.25">
      <c r="A1517" s="1">
        <v>1512</v>
      </c>
      <c r="B1517" s="1" t="s">
        <v>2</v>
      </c>
      <c r="C1517" s="1" t="str">
        <f>IF($B1517 = "Production Item", _xlfn.XLOOKUP($A1517, 'Instrument Table'!$J:$J, 'Instrument Table'!$B:$B, $C1516), IF($B1517 = "Service Item", _xlfn.XLOOKUP($A1517, 'Instrument Table'!$I:$I, 'Instrument Table'!$B:$B, $C1516), _xlfn.XLOOKUP($A1517, 'Instrument Table'!$H:$H, 'Instrument Table'!$B:$B, $C1516)))</f>
        <v>Acoustic Guitar</v>
      </c>
      <c r="D1517" s="1" t="str">
        <f>VLOOKUP($C1517, 'Instrument Table'!$B:$C, 2, FALSE)</f>
        <v>Strings</v>
      </c>
      <c r="E1517" s="1">
        <f t="shared" si="138"/>
        <v>1</v>
      </c>
      <c r="F1517" s="1">
        <f>_xlfn.XLOOKUP($C1517, 'Instrument Table'!$B:$B, 'Instrument Table'!$A:$A, "")</f>
        <v>24</v>
      </c>
      <c r="G1517" s="1" t="str">
        <f>TEXT(IF($B1517 = "Retail Item", IF((ROW($A1517) - 4504 - _xlfn.XMATCH($C1517, $C$4506:$C$5005, 0, 1)) &lt;= VLOOKUP($C1517, 'Instrument Table'!$B:$D, 3, FALSE), ROW($A1517) - 4504 - _xlfn.XMATCH($C1517, $C$4506:$C$5005, 0, 1), 0), 0), "00")</f>
        <v>00</v>
      </c>
      <c r="H1517" s="1" t="str">
        <f t="shared" si="139"/>
        <v>161</v>
      </c>
      <c r="I1517" s="1" t="str">
        <f t="shared" si="140"/>
        <v>12400-161</v>
      </c>
      <c r="J1517" s="1" t="str">
        <f t="shared" si="141"/>
        <v>Acoustic guitar production item #161</v>
      </c>
      <c r="K1517" s="1" t="str">
        <f>IF(SUM(COUNTIFS(I:I, I1517)) &gt; 1, "DUPLICATE", "UNIQUE")</f>
        <v>UNIQUE</v>
      </c>
      <c r="L1517" s="18">
        <v>0</v>
      </c>
      <c r="M1517" s="28">
        <v>32</v>
      </c>
      <c r="N1517" s="6">
        <v>36</v>
      </c>
      <c r="O1517" s="30">
        <f t="shared" si="142"/>
        <v>0</v>
      </c>
      <c r="P1517" s="30">
        <f t="shared" si="143"/>
        <v>1152</v>
      </c>
      <c r="Q1517" s="1">
        <f>COUNTIFS($P:$P, "&gt;" &amp; $P1517) + 1</f>
        <v>3621</v>
      </c>
      <c r="R1517" s="63">
        <f>(COUNTIFS($P:$P, "&gt;" &amp; $P1517) + 1) / (COUNTA($I:$I) - 1)</f>
        <v>0.72419999999999995</v>
      </c>
      <c r="S1517" s="23">
        <f>SUMIFS($P:$P, $Q:$Q, "&lt;" &amp; $Q1517)</f>
        <v>186094880</v>
      </c>
    </row>
    <row r="1518" spans="1:19" x14ac:dyDescent="0.25">
      <c r="A1518" s="1">
        <v>1513</v>
      </c>
      <c r="B1518" s="1" t="s">
        <v>2</v>
      </c>
      <c r="C1518" s="1" t="str">
        <f>IF($B1518 = "Production Item", _xlfn.XLOOKUP($A1518, 'Instrument Table'!$J:$J, 'Instrument Table'!$B:$B, $C1517), IF($B1518 = "Service Item", _xlfn.XLOOKUP($A1518, 'Instrument Table'!$I:$I, 'Instrument Table'!$B:$B, $C1517), _xlfn.XLOOKUP($A1518, 'Instrument Table'!$H:$H, 'Instrument Table'!$B:$B, $C1517)))</f>
        <v>Acoustic Guitar</v>
      </c>
      <c r="D1518" s="1" t="str">
        <f>VLOOKUP($C1518, 'Instrument Table'!$B:$C, 2, FALSE)</f>
        <v>Strings</v>
      </c>
      <c r="E1518" s="1">
        <f t="shared" si="138"/>
        <v>1</v>
      </c>
      <c r="F1518" s="1">
        <f>_xlfn.XLOOKUP($C1518, 'Instrument Table'!$B:$B, 'Instrument Table'!$A:$A, "")</f>
        <v>24</v>
      </c>
      <c r="G1518" s="1" t="str">
        <f>TEXT(IF($B1518 = "Retail Item", IF((ROW($A1518) - 4504 - _xlfn.XMATCH($C1518, $C$4506:$C$5005, 0, 1)) &lt;= VLOOKUP($C1518, 'Instrument Table'!$B:$D, 3, FALSE), ROW($A1518) - 4504 - _xlfn.XMATCH($C1518, $C$4506:$C$5005, 0, 1), 0), 0), "00")</f>
        <v>00</v>
      </c>
      <c r="H1518" s="1" t="str">
        <f t="shared" si="139"/>
        <v>162</v>
      </c>
      <c r="I1518" s="1" t="str">
        <f t="shared" si="140"/>
        <v>12400-162</v>
      </c>
      <c r="J1518" s="1" t="str">
        <f t="shared" si="141"/>
        <v>Acoustic guitar production item #162</v>
      </c>
      <c r="K1518" s="1" t="str">
        <f>IF(SUM(COUNTIFS(I:I, I1518)) &gt; 1, "DUPLICATE", "UNIQUE")</f>
        <v>UNIQUE</v>
      </c>
      <c r="L1518" s="18">
        <v>1</v>
      </c>
      <c r="M1518" s="28">
        <v>58</v>
      </c>
      <c r="N1518" s="6">
        <v>9</v>
      </c>
      <c r="O1518" s="30">
        <f t="shared" si="142"/>
        <v>58</v>
      </c>
      <c r="P1518" s="30">
        <f t="shared" si="143"/>
        <v>522</v>
      </c>
      <c r="Q1518" s="1">
        <f>COUNTIFS($P:$P, "&gt;" &amp; $P1518) + 1</f>
        <v>4002</v>
      </c>
      <c r="R1518" s="63">
        <f>(COUNTIFS($P:$P, "&gt;" &amp; $P1518) + 1) / (COUNTA($I:$I) - 1)</f>
        <v>0.8004</v>
      </c>
      <c r="S1518" s="23">
        <f>SUMIFS($P:$P, $Q:$Q, "&lt;" &amp; $Q1518)</f>
        <v>186399352</v>
      </c>
    </row>
    <row r="1519" spans="1:19" x14ac:dyDescent="0.25">
      <c r="A1519" s="1">
        <v>1514</v>
      </c>
      <c r="B1519" s="1" t="s">
        <v>2</v>
      </c>
      <c r="C1519" s="1" t="str">
        <f>IF($B1519 = "Production Item", _xlfn.XLOOKUP($A1519, 'Instrument Table'!$J:$J, 'Instrument Table'!$B:$B, $C1518), IF($B1519 = "Service Item", _xlfn.XLOOKUP($A1519, 'Instrument Table'!$I:$I, 'Instrument Table'!$B:$B, $C1518), _xlfn.XLOOKUP($A1519, 'Instrument Table'!$H:$H, 'Instrument Table'!$B:$B, $C1518)))</f>
        <v>Acoustic Guitar</v>
      </c>
      <c r="D1519" s="1" t="str">
        <f>VLOOKUP($C1519, 'Instrument Table'!$B:$C, 2, FALSE)</f>
        <v>Strings</v>
      </c>
      <c r="E1519" s="1">
        <f t="shared" si="138"/>
        <v>1</v>
      </c>
      <c r="F1519" s="1">
        <f>_xlfn.XLOOKUP($C1519, 'Instrument Table'!$B:$B, 'Instrument Table'!$A:$A, "")</f>
        <v>24</v>
      </c>
      <c r="G1519" s="1" t="str">
        <f>TEXT(IF($B1519 = "Retail Item", IF((ROW($A1519) - 4504 - _xlfn.XMATCH($C1519, $C$4506:$C$5005, 0, 1)) &lt;= VLOOKUP($C1519, 'Instrument Table'!$B:$D, 3, FALSE), ROW($A1519) - 4504 - _xlfn.XMATCH($C1519, $C$4506:$C$5005, 0, 1), 0), 0), "00")</f>
        <v>00</v>
      </c>
      <c r="H1519" s="1" t="str">
        <f t="shared" si="139"/>
        <v>163</v>
      </c>
      <c r="I1519" s="1" t="str">
        <f t="shared" si="140"/>
        <v>12400-163</v>
      </c>
      <c r="J1519" s="1" t="str">
        <f t="shared" si="141"/>
        <v>Acoustic guitar production item #163</v>
      </c>
      <c r="K1519" s="1" t="str">
        <f>IF(SUM(COUNTIFS(I:I, I1519)) &gt; 1, "DUPLICATE", "UNIQUE")</f>
        <v>UNIQUE</v>
      </c>
      <c r="L1519" s="18">
        <v>4</v>
      </c>
      <c r="M1519" s="28">
        <v>48</v>
      </c>
      <c r="N1519" s="6">
        <v>144</v>
      </c>
      <c r="O1519" s="30">
        <f t="shared" si="142"/>
        <v>192</v>
      </c>
      <c r="P1519" s="30">
        <f t="shared" si="143"/>
        <v>6912</v>
      </c>
      <c r="Q1519" s="1">
        <f>COUNTIFS($P:$P, "&gt;" &amp; $P1519) + 1</f>
        <v>2145</v>
      </c>
      <c r="R1519" s="63">
        <f>(COUNTIFS($P:$P, "&gt;" &amp; $P1519) + 1) / (COUNTA($I:$I) - 1)</f>
        <v>0.42899999999999999</v>
      </c>
      <c r="S1519" s="23">
        <f>SUMIFS($P:$P, $Q:$Q, "&lt;" &amp; $Q1519)</f>
        <v>181079109</v>
      </c>
    </row>
    <row r="1520" spans="1:19" x14ac:dyDescent="0.25">
      <c r="A1520" s="1">
        <v>1515</v>
      </c>
      <c r="B1520" s="1" t="s">
        <v>2</v>
      </c>
      <c r="C1520" s="1" t="str">
        <f>IF($B1520 = "Production Item", _xlfn.XLOOKUP($A1520, 'Instrument Table'!$J:$J, 'Instrument Table'!$B:$B, $C1519), IF($B1520 = "Service Item", _xlfn.XLOOKUP($A1520, 'Instrument Table'!$I:$I, 'Instrument Table'!$B:$B, $C1519), _xlfn.XLOOKUP($A1520, 'Instrument Table'!$H:$H, 'Instrument Table'!$B:$B, $C1519)))</f>
        <v>Acoustic Guitar</v>
      </c>
      <c r="D1520" s="1" t="str">
        <f>VLOOKUP($C1520, 'Instrument Table'!$B:$C, 2, FALSE)</f>
        <v>Strings</v>
      </c>
      <c r="E1520" s="1">
        <f t="shared" si="138"/>
        <v>1</v>
      </c>
      <c r="F1520" s="1">
        <f>_xlfn.XLOOKUP($C1520, 'Instrument Table'!$B:$B, 'Instrument Table'!$A:$A, "")</f>
        <v>24</v>
      </c>
      <c r="G1520" s="1" t="str">
        <f>TEXT(IF($B1520 = "Retail Item", IF((ROW($A1520) - 4504 - _xlfn.XMATCH($C1520, $C$4506:$C$5005, 0, 1)) &lt;= VLOOKUP($C1520, 'Instrument Table'!$B:$D, 3, FALSE), ROW($A1520) - 4504 - _xlfn.XMATCH($C1520, $C$4506:$C$5005, 0, 1), 0), 0), "00")</f>
        <v>00</v>
      </c>
      <c r="H1520" s="1" t="str">
        <f t="shared" si="139"/>
        <v>164</v>
      </c>
      <c r="I1520" s="1" t="str">
        <f t="shared" si="140"/>
        <v>12400-164</v>
      </c>
      <c r="J1520" s="1" t="str">
        <f t="shared" si="141"/>
        <v>Acoustic guitar production item #164</v>
      </c>
      <c r="K1520" s="1" t="str">
        <f>IF(SUM(COUNTIFS(I:I, I1520)) &gt; 1, "DUPLICATE", "UNIQUE")</f>
        <v>UNIQUE</v>
      </c>
      <c r="L1520" s="18">
        <v>1</v>
      </c>
      <c r="M1520" s="28">
        <v>84</v>
      </c>
      <c r="N1520" s="6">
        <v>25</v>
      </c>
      <c r="O1520" s="30">
        <f t="shared" si="142"/>
        <v>84</v>
      </c>
      <c r="P1520" s="30">
        <f t="shared" si="143"/>
        <v>2100</v>
      </c>
      <c r="Q1520" s="1">
        <f>COUNTIFS($P:$P, "&gt;" &amp; $P1520) + 1</f>
        <v>3207</v>
      </c>
      <c r="R1520" s="63">
        <f>(COUNTIFS($P:$P, "&gt;" &amp; $P1520) + 1) / (COUNTA($I:$I) - 1)</f>
        <v>0.64139999999999997</v>
      </c>
      <c r="S1520" s="23">
        <f>SUMIFS($P:$P, $Q:$Q, "&lt;" &amp; $Q1520)</f>
        <v>185422450</v>
      </c>
    </row>
    <row r="1521" spans="1:19" x14ac:dyDescent="0.25">
      <c r="A1521" s="1">
        <v>1516</v>
      </c>
      <c r="B1521" s="1" t="s">
        <v>2</v>
      </c>
      <c r="C1521" s="1" t="str">
        <f>IF($B1521 = "Production Item", _xlfn.XLOOKUP($A1521, 'Instrument Table'!$J:$J, 'Instrument Table'!$B:$B, $C1520), IF($B1521 = "Service Item", _xlfn.XLOOKUP($A1521, 'Instrument Table'!$I:$I, 'Instrument Table'!$B:$B, $C1520), _xlfn.XLOOKUP($A1521, 'Instrument Table'!$H:$H, 'Instrument Table'!$B:$B, $C1520)))</f>
        <v>Acoustic Guitar</v>
      </c>
      <c r="D1521" s="1" t="str">
        <f>VLOOKUP($C1521, 'Instrument Table'!$B:$C, 2, FALSE)</f>
        <v>Strings</v>
      </c>
      <c r="E1521" s="1">
        <f t="shared" si="138"/>
        <v>1</v>
      </c>
      <c r="F1521" s="1">
        <f>_xlfn.XLOOKUP($C1521, 'Instrument Table'!$B:$B, 'Instrument Table'!$A:$A, "")</f>
        <v>24</v>
      </c>
      <c r="G1521" s="1" t="str">
        <f>TEXT(IF($B1521 = "Retail Item", IF((ROW($A1521) - 4504 - _xlfn.XMATCH($C1521, $C$4506:$C$5005, 0, 1)) &lt;= VLOOKUP($C1521, 'Instrument Table'!$B:$D, 3, FALSE), ROW($A1521) - 4504 - _xlfn.XMATCH($C1521, $C$4506:$C$5005, 0, 1), 0), 0), "00")</f>
        <v>00</v>
      </c>
      <c r="H1521" s="1" t="str">
        <f t="shared" si="139"/>
        <v>165</v>
      </c>
      <c r="I1521" s="1" t="str">
        <f t="shared" si="140"/>
        <v>12400-165</v>
      </c>
      <c r="J1521" s="1" t="str">
        <f t="shared" si="141"/>
        <v>Acoustic guitar production item #165</v>
      </c>
      <c r="K1521" s="1" t="str">
        <f>IF(SUM(COUNTIFS(I:I, I1521)) &gt; 1, "DUPLICATE", "UNIQUE")</f>
        <v>UNIQUE</v>
      </c>
      <c r="L1521" s="18">
        <v>1</v>
      </c>
      <c r="M1521" s="28">
        <v>36</v>
      </c>
      <c r="N1521" s="6">
        <v>4</v>
      </c>
      <c r="O1521" s="30">
        <f t="shared" si="142"/>
        <v>36</v>
      </c>
      <c r="P1521" s="30">
        <f t="shared" si="143"/>
        <v>144</v>
      </c>
      <c r="Q1521" s="1">
        <f>COUNTIFS($P:$P, "&gt;" &amp; $P1521) + 1</f>
        <v>4399</v>
      </c>
      <c r="R1521" s="63">
        <f>(COUNTIFS($P:$P, "&gt;" &amp; $P1521) + 1) / (COUNTA($I:$I) - 1)</f>
        <v>0.87980000000000003</v>
      </c>
      <c r="S1521" s="23">
        <f>SUMIFS($P:$P, $Q:$Q, "&lt;" &amp; $Q1521)</f>
        <v>186525866</v>
      </c>
    </row>
    <row r="1522" spans="1:19" x14ac:dyDescent="0.25">
      <c r="A1522" s="1">
        <v>1517</v>
      </c>
      <c r="B1522" s="1" t="s">
        <v>2</v>
      </c>
      <c r="C1522" s="1" t="str">
        <f>IF($B1522 = "Production Item", _xlfn.XLOOKUP($A1522, 'Instrument Table'!$J:$J, 'Instrument Table'!$B:$B, $C1521), IF($B1522 = "Service Item", _xlfn.XLOOKUP($A1522, 'Instrument Table'!$I:$I, 'Instrument Table'!$B:$B, $C1521), _xlfn.XLOOKUP($A1522, 'Instrument Table'!$H:$H, 'Instrument Table'!$B:$B, $C1521)))</f>
        <v>Acoustic Guitar</v>
      </c>
      <c r="D1522" s="1" t="str">
        <f>VLOOKUP($C1522, 'Instrument Table'!$B:$C, 2, FALSE)</f>
        <v>Strings</v>
      </c>
      <c r="E1522" s="1">
        <f t="shared" si="138"/>
        <v>1</v>
      </c>
      <c r="F1522" s="1">
        <f>_xlfn.XLOOKUP($C1522, 'Instrument Table'!$B:$B, 'Instrument Table'!$A:$A, "")</f>
        <v>24</v>
      </c>
      <c r="G1522" s="1" t="str">
        <f>TEXT(IF($B1522 = "Retail Item", IF((ROW($A1522) - 4504 - _xlfn.XMATCH($C1522, $C$4506:$C$5005, 0, 1)) &lt;= VLOOKUP($C1522, 'Instrument Table'!$B:$D, 3, FALSE), ROW($A1522) - 4504 - _xlfn.XMATCH($C1522, $C$4506:$C$5005, 0, 1), 0), 0), "00")</f>
        <v>00</v>
      </c>
      <c r="H1522" s="1" t="str">
        <f t="shared" si="139"/>
        <v>166</v>
      </c>
      <c r="I1522" s="1" t="str">
        <f t="shared" si="140"/>
        <v>12400-166</v>
      </c>
      <c r="J1522" s="1" t="str">
        <f t="shared" si="141"/>
        <v>Acoustic guitar production item #166</v>
      </c>
      <c r="K1522" s="1" t="str">
        <f>IF(SUM(COUNTIFS(I:I, I1522)) &gt; 1, "DUPLICATE", "UNIQUE")</f>
        <v>UNIQUE</v>
      </c>
      <c r="L1522" s="18">
        <v>0</v>
      </c>
      <c r="M1522" s="28">
        <v>81</v>
      </c>
      <c r="N1522" s="6">
        <v>49</v>
      </c>
      <c r="O1522" s="30">
        <f t="shared" si="142"/>
        <v>0</v>
      </c>
      <c r="P1522" s="30">
        <f t="shared" si="143"/>
        <v>3969</v>
      </c>
      <c r="Q1522" s="1">
        <f>COUNTIFS($P:$P, "&gt;" &amp; $P1522) + 1</f>
        <v>2661</v>
      </c>
      <c r="R1522" s="63">
        <f>(COUNTIFS($P:$P, "&gt;" &amp; $P1522) + 1) / (COUNTA($I:$I) - 1)</f>
        <v>0.53220000000000001</v>
      </c>
      <c r="S1522" s="23">
        <f>SUMIFS($P:$P, $Q:$Q, "&lt;" &amp; $Q1522)</f>
        <v>183815040</v>
      </c>
    </row>
    <row r="1523" spans="1:19" x14ac:dyDescent="0.25">
      <c r="A1523" s="1">
        <v>1518</v>
      </c>
      <c r="B1523" s="1" t="s">
        <v>2</v>
      </c>
      <c r="C1523" s="1" t="str">
        <f>IF($B1523 = "Production Item", _xlfn.XLOOKUP($A1523, 'Instrument Table'!$J:$J, 'Instrument Table'!$B:$B, $C1522), IF($B1523 = "Service Item", _xlfn.XLOOKUP($A1523, 'Instrument Table'!$I:$I, 'Instrument Table'!$B:$B, $C1522), _xlfn.XLOOKUP($A1523, 'Instrument Table'!$H:$H, 'Instrument Table'!$B:$B, $C1522)))</f>
        <v>Acoustic Guitar</v>
      </c>
      <c r="D1523" s="1" t="str">
        <f>VLOOKUP($C1523, 'Instrument Table'!$B:$C, 2, FALSE)</f>
        <v>Strings</v>
      </c>
      <c r="E1523" s="1">
        <f t="shared" si="138"/>
        <v>1</v>
      </c>
      <c r="F1523" s="1">
        <f>_xlfn.XLOOKUP($C1523, 'Instrument Table'!$B:$B, 'Instrument Table'!$A:$A, "")</f>
        <v>24</v>
      </c>
      <c r="G1523" s="1" t="str">
        <f>TEXT(IF($B1523 = "Retail Item", IF((ROW($A1523) - 4504 - _xlfn.XMATCH($C1523, $C$4506:$C$5005, 0, 1)) &lt;= VLOOKUP($C1523, 'Instrument Table'!$B:$D, 3, FALSE), ROW($A1523) - 4504 - _xlfn.XMATCH($C1523, $C$4506:$C$5005, 0, 1), 0), 0), "00")</f>
        <v>00</v>
      </c>
      <c r="H1523" s="1" t="str">
        <f t="shared" si="139"/>
        <v>167</v>
      </c>
      <c r="I1523" s="1" t="str">
        <f t="shared" si="140"/>
        <v>12400-167</v>
      </c>
      <c r="J1523" s="1" t="str">
        <f t="shared" si="141"/>
        <v>Acoustic guitar production item #167</v>
      </c>
      <c r="K1523" s="1" t="str">
        <f>IF(SUM(COUNTIFS(I:I, I1523)) &gt; 1, "DUPLICATE", "UNIQUE")</f>
        <v>UNIQUE</v>
      </c>
      <c r="L1523" s="18">
        <v>32</v>
      </c>
      <c r="M1523" s="28">
        <v>73</v>
      </c>
      <c r="N1523" s="6">
        <v>100</v>
      </c>
      <c r="O1523" s="30">
        <f t="shared" si="142"/>
        <v>2336</v>
      </c>
      <c r="P1523" s="30">
        <f t="shared" si="143"/>
        <v>7300</v>
      </c>
      <c r="Q1523" s="1">
        <f>COUNTIFS($P:$P, "&gt;" &amp; $P1523) + 1</f>
        <v>2095</v>
      </c>
      <c r="R1523" s="63">
        <f>(COUNTIFS($P:$P, "&gt;" &amp; $P1523) + 1) / (COUNTA($I:$I) - 1)</f>
        <v>0.41899999999999998</v>
      </c>
      <c r="S1523" s="23">
        <f>SUMIFS($P:$P, $Q:$Q, "&lt;" &amp; $Q1523)</f>
        <v>180722217</v>
      </c>
    </row>
    <row r="1524" spans="1:19" x14ac:dyDescent="0.25">
      <c r="A1524" s="1">
        <v>1519</v>
      </c>
      <c r="B1524" s="1" t="s">
        <v>2</v>
      </c>
      <c r="C1524" s="1" t="str">
        <f>IF($B1524 = "Production Item", _xlfn.XLOOKUP($A1524, 'Instrument Table'!$J:$J, 'Instrument Table'!$B:$B, $C1523), IF($B1524 = "Service Item", _xlfn.XLOOKUP($A1524, 'Instrument Table'!$I:$I, 'Instrument Table'!$B:$B, $C1523), _xlfn.XLOOKUP($A1524, 'Instrument Table'!$H:$H, 'Instrument Table'!$B:$B, $C1523)))</f>
        <v>Acoustic Guitar</v>
      </c>
      <c r="D1524" s="1" t="str">
        <f>VLOOKUP($C1524, 'Instrument Table'!$B:$C, 2, FALSE)</f>
        <v>Strings</v>
      </c>
      <c r="E1524" s="1">
        <f t="shared" si="138"/>
        <v>1</v>
      </c>
      <c r="F1524" s="1">
        <f>_xlfn.XLOOKUP($C1524, 'Instrument Table'!$B:$B, 'Instrument Table'!$A:$A, "")</f>
        <v>24</v>
      </c>
      <c r="G1524" s="1" t="str">
        <f>TEXT(IF($B1524 = "Retail Item", IF((ROW($A1524) - 4504 - _xlfn.XMATCH($C1524, $C$4506:$C$5005, 0, 1)) &lt;= VLOOKUP($C1524, 'Instrument Table'!$B:$D, 3, FALSE), ROW($A1524) - 4504 - _xlfn.XMATCH($C1524, $C$4506:$C$5005, 0, 1), 0), 0), "00")</f>
        <v>00</v>
      </c>
      <c r="H1524" s="1" t="str">
        <f t="shared" si="139"/>
        <v>168</v>
      </c>
      <c r="I1524" s="1" t="str">
        <f t="shared" si="140"/>
        <v>12400-168</v>
      </c>
      <c r="J1524" s="1" t="str">
        <f t="shared" si="141"/>
        <v>Acoustic guitar production item #168</v>
      </c>
      <c r="K1524" s="1" t="str">
        <f>IF(SUM(COUNTIFS(I:I, I1524)) &gt; 1, "DUPLICATE", "UNIQUE")</f>
        <v>UNIQUE</v>
      </c>
      <c r="L1524" s="18">
        <v>2</v>
      </c>
      <c r="M1524" s="28">
        <v>35</v>
      </c>
      <c r="N1524" s="6">
        <v>4</v>
      </c>
      <c r="O1524" s="30">
        <f t="shared" si="142"/>
        <v>70</v>
      </c>
      <c r="P1524" s="30">
        <f t="shared" si="143"/>
        <v>140</v>
      </c>
      <c r="Q1524" s="1">
        <f>COUNTIFS($P:$P, "&gt;" &amp; $P1524) + 1</f>
        <v>4408</v>
      </c>
      <c r="R1524" s="63">
        <f>(COUNTIFS($P:$P, "&gt;" &amp; $P1524) + 1) / (COUNTA($I:$I) - 1)</f>
        <v>0.88160000000000005</v>
      </c>
      <c r="S1524" s="23">
        <f>SUMIFS($P:$P, $Q:$Q, "&lt;" &amp; $Q1524)</f>
        <v>186527160</v>
      </c>
    </row>
    <row r="1525" spans="1:19" x14ac:dyDescent="0.25">
      <c r="A1525" s="1">
        <v>1520</v>
      </c>
      <c r="B1525" s="1" t="s">
        <v>2</v>
      </c>
      <c r="C1525" s="1" t="str">
        <f>IF($B1525 = "Production Item", _xlfn.XLOOKUP($A1525, 'Instrument Table'!$J:$J, 'Instrument Table'!$B:$B, $C1524), IF($B1525 = "Service Item", _xlfn.XLOOKUP($A1525, 'Instrument Table'!$I:$I, 'Instrument Table'!$B:$B, $C1524), _xlfn.XLOOKUP($A1525, 'Instrument Table'!$H:$H, 'Instrument Table'!$B:$B, $C1524)))</f>
        <v>Acoustic Guitar</v>
      </c>
      <c r="D1525" s="1" t="str">
        <f>VLOOKUP($C1525, 'Instrument Table'!$B:$C, 2, FALSE)</f>
        <v>Strings</v>
      </c>
      <c r="E1525" s="1">
        <f t="shared" si="138"/>
        <v>1</v>
      </c>
      <c r="F1525" s="1">
        <f>_xlfn.XLOOKUP($C1525, 'Instrument Table'!$B:$B, 'Instrument Table'!$A:$A, "")</f>
        <v>24</v>
      </c>
      <c r="G1525" s="1" t="str">
        <f>TEXT(IF($B1525 = "Retail Item", IF((ROW($A1525) - 4504 - _xlfn.XMATCH($C1525, $C$4506:$C$5005, 0, 1)) &lt;= VLOOKUP($C1525, 'Instrument Table'!$B:$D, 3, FALSE), ROW($A1525) - 4504 - _xlfn.XMATCH($C1525, $C$4506:$C$5005, 0, 1), 0), 0), "00")</f>
        <v>00</v>
      </c>
      <c r="H1525" s="1" t="str">
        <f t="shared" si="139"/>
        <v>169</v>
      </c>
      <c r="I1525" s="1" t="str">
        <f t="shared" si="140"/>
        <v>12400-169</v>
      </c>
      <c r="J1525" s="1" t="str">
        <f t="shared" si="141"/>
        <v>Acoustic guitar production item #169</v>
      </c>
      <c r="K1525" s="1" t="str">
        <f>IF(SUM(COUNTIFS(I:I, I1525)) &gt; 1, "DUPLICATE", "UNIQUE")</f>
        <v>UNIQUE</v>
      </c>
      <c r="L1525" s="18">
        <v>32</v>
      </c>
      <c r="M1525" s="28">
        <v>62</v>
      </c>
      <c r="N1525" s="6">
        <v>1</v>
      </c>
      <c r="O1525" s="30">
        <f t="shared" si="142"/>
        <v>1984</v>
      </c>
      <c r="P1525" s="30">
        <f t="shared" si="143"/>
        <v>62</v>
      </c>
      <c r="Q1525" s="1">
        <f>COUNTIFS($P:$P, "&gt;" &amp; $P1525) + 1</f>
        <v>4574</v>
      </c>
      <c r="R1525" s="63">
        <f>(COUNTIFS($P:$P, "&gt;" &amp; $P1525) + 1) / (COUNTA($I:$I) - 1)</f>
        <v>0.91479999999999995</v>
      </c>
      <c r="S1525" s="23">
        <f>SUMIFS($P:$P, $Q:$Q, "&lt;" &amp; $Q1525)</f>
        <v>186542188</v>
      </c>
    </row>
    <row r="1526" spans="1:19" x14ac:dyDescent="0.25">
      <c r="A1526" s="1">
        <v>1521</v>
      </c>
      <c r="B1526" s="1" t="s">
        <v>2</v>
      </c>
      <c r="C1526" s="1" t="str">
        <f>IF($B1526 = "Production Item", _xlfn.XLOOKUP($A1526, 'Instrument Table'!$J:$J, 'Instrument Table'!$B:$B, $C1525), IF($B1526 = "Service Item", _xlfn.XLOOKUP($A1526, 'Instrument Table'!$I:$I, 'Instrument Table'!$B:$B, $C1525), _xlfn.XLOOKUP($A1526, 'Instrument Table'!$H:$H, 'Instrument Table'!$B:$B, $C1525)))</f>
        <v>Acoustic Guitar</v>
      </c>
      <c r="D1526" s="1" t="str">
        <f>VLOOKUP($C1526, 'Instrument Table'!$B:$C, 2, FALSE)</f>
        <v>Strings</v>
      </c>
      <c r="E1526" s="1">
        <f t="shared" si="138"/>
        <v>1</v>
      </c>
      <c r="F1526" s="1">
        <f>_xlfn.XLOOKUP($C1526, 'Instrument Table'!$B:$B, 'Instrument Table'!$A:$A, "")</f>
        <v>24</v>
      </c>
      <c r="G1526" s="1" t="str">
        <f>TEXT(IF($B1526 = "Retail Item", IF((ROW($A1526) - 4504 - _xlfn.XMATCH($C1526, $C$4506:$C$5005, 0, 1)) &lt;= VLOOKUP($C1526, 'Instrument Table'!$B:$D, 3, FALSE), ROW($A1526) - 4504 - _xlfn.XMATCH($C1526, $C$4506:$C$5005, 0, 1), 0), 0), "00")</f>
        <v>00</v>
      </c>
      <c r="H1526" s="1" t="str">
        <f t="shared" si="139"/>
        <v>170</v>
      </c>
      <c r="I1526" s="1" t="str">
        <f t="shared" si="140"/>
        <v>12400-170</v>
      </c>
      <c r="J1526" s="1" t="str">
        <f t="shared" si="141"/>
        <v>Acoustic guitar production item #170</v>
      </c>
      <c r="K1526" s="1" t="str">
        <f>IF(SUM(COUNTIFS(I:I, I1526)) &gt; 1, "DUPLICATE", "UNIQUE")</f>
        <v>UNIQUE</v>
      </c>
      <c r="L1526" s="18">
        <v>4</v>
      </c>
      <c r="M1526" s="28">
        <v>69</v>
      </c>
      <c r="N1526" s="6">
        <v>0</v>
      </c>
      <c r="O1526" s="30">
        <f t="shared" si="142"/>
        <v>276</v>
      </c>
      <c r="P1526" s="30">
        <f t="shared" si="143"/>
        <v>0</v>
      </c>
      <c r="Q1526" s="1">
        <f>COUNTIFS($P:$P, "&gt;" &amp; $P1526) + 1</f>
        <v>4746</v>
      </c>
      <c r="R1526" s="63">
        <f>(COUNTIFS($P:$P, "&gt;" &amp; $P1526) + 1) / (COUNTA($I:$I) - 1)</f>
        <v>0.94920000000000004</v>
      </c>
      <c r="S1526" s="23">
        <f>SUMIFS($P:$P, $Q:$Q, "&lt;" &amp; $Q1526)</f>
        <v>186547861</v>
      </c>
    </row>
    <row r="1527" spans="1:19" x14ac:dyDescent="0.25">
      <c r="A1527" s="1">
        <v>1522</v>
      </c>
      <c r="B1527" s="1" t="s">
        <v>2</v>
      </c>
      <c r="C1527" s="1" t="str">
        <f>IF($B1527 = "Production Item", _xlfn.XLOOKUP($A1527, 'Instrument Table'!$J:$J, 'Instrument Table'!$B:$B, $C1526), IF($B1527 = "Service Item", _xlfn.XLOOKUP($A1527, 'Instrument Table'!$I:$I, 'Instrument Table'!$B:$B, $C1526), _xlfn.XLOOKUP($A1527, 'Instrument Table'!$H:$H, 'Instrument Table'!$B:$B, $C1526)))</f>
        <v>Acoustic Guitar</v>
      </c>
      <c r="D1527" s="1" t="str">
        <f>VLOOKUP($C1527, 'Instrument Table'!$B:$C, 2, FALSE)</f>
        <v>Strings</v>
      </c>
      <c r="E1527" s="1">
        <f t="shared" si="138"/>
        <v>1</v>
      </c>
      <c r="F1527" s="1">
        <f>_xlfn.XLOOKUP($C1527, 'Instrument Table'!$B:$B, 'Instrument Table'!$A:$A, "")</f>
        <v>24</v>
      </c>
      <c r="G1527" s="1" t="str">
        <f>TEXT(IF($B1527 = "Retail Item", IF((ROW($A1527) - 4504 - _xlfn.XMATCH($C1527, $C$4506:$C$5005, 0, 1)) &lt;= VLOOKUP($C1527, 'Instrument Table'!$B:$D, 3, FALSE), ROW($A1527) - 4504 - _xlfn.XMATCH($C1527, $C$4506:$C$5005, 0, 1), 0), 0), "00")</f>
        <v>00</v>
      </c>
      <c r="H1527" s="1" t="str">
        <f t="shared" si="139"/>
        <v>171</v>
      </c>
      <c r="I1527" s="1" t="str">
        <f t="shared" si="140"/>
        <v>12400-171</v>
      </c>
      <c r="J1527" s="1" t="str">
        <f t="shared" si="141"/>
        <v>Acoustic guitar production item #171</v>
      </c>
      <c r="K1527" s="1" t="str">
        <f>IF(SUM(COUNTIFS(I:I, I1527)) &gt; 1, "DUPLICATE", "UNIQUE")</f>
        <v>UNIQUE</v>
      </c>
      <c r="L1527" s="18">
        <v>8</v>
      </c>
      <c r="M1527" s="28">
        <v>60</v>
      </c>
      <c r="N1527" s="6">
        <v>81</v>
      </c>
      <c r="O1527" s="30">
        <f t="shared" si="142"/>
        <v>480</v>
      </c>
      <c r="P1527" s="30">
        <f t="shared" si="143"/>
        <v>4860</v>
      </c>
      <c r="Q1527" s="1">
        <f>COUNTIFS($P:$P, "&gt;" &amp; $P1527) + 1</f>
        <v>2474</v>
      </c>
      <c r="R1527" s="63">
        <f>(COUNTIFS($P:$P, "&gt;" &amp; $P1527) + 1) / (COUNTA($I:$I) - 1)</f>
        <v>0.49480000000000002</v>
      </c>
      <c r="S1527" s="23">
        <f>SUMIFS($P:$P, $Q:$Q, "&lt;" &amp; $Q1527)</f>
        <v>182990510</v>
      </c>
    </row>
    <row r="1528" spans="1:19" x14ac:dyDescent="0.25">
      <c r="A1528" s="1">
        <v>1523</v>
      </c>
      <c r="B1528" s="1" t="s">
        <v>2</v>
      </c>
      <c r="C1528" s="1" t="str">
        <f>IF($B1528 = "Production Item", _xlfn.XLOOKUP($A1528, 'Instrument Table'!$J:$J, 'Instrument Table'!$B:$B, $C1527), IF($B1528 = "Service Item", _xlfn.XLOOKUP($A1528, 'Instrument Table'!$I:$I, 'Instrument Table'!$B:$B, $C1527), _xlfn.XLOOKUP($A1528, 'Instrument Table'!$H:$H, 'Instrument Table'!$B:$B, $C1527)))</f>
        <v>Acoustic Guitar</v>
      </c>
      <c r="D1528" s="1" t="str">
        <f>VLOOKUP($C1528, 'Instrument Table'!$B:$C, 2, FALSE)</f>
        <v>Strings</v>
      </c>
      <c r="E1528" s="1">
        <f t="shared" si="138"/>
        <v>1</v>
      </c>
      <c r="F1528" s="1">
        <f>_xlfn.XLOOKUP($C1528, 'Instrument Table'!$B:$B, 'Instrument Table'!$A:$A, "")</f>
        <v>24</v>
      </c>
      <c r="G1528" s="1" t="str">
        <f>TEXT(IF($B1528 = "Retail Item", IF((ROW($A1528) - 4504 - _xlfn.XMATCH($C1528, $C$4506:$C$5005, 0, 1)) &lt;= VLOOKUP($C1528, 'Instrument Table'!$B:$D, 3, FALSE), ROW($A1528) - 4504 - _xlfn.XMATCH($C1528, $C$4506:$C$5005, 0, 1), 0), 0), "00")</f>
        <v>00</v>
      </c>
      <c r="H1528" s="1" t="str">
        <f t="shared" si="139"/>
        <v>172</v>
      </c>
      <c r="I1528" s="1" t="str">
        <f t="shared" si="140"/>
        <v>12400-172</v>
      </c>
      <c r="J1528" s="1" t="str">
        <f t="shared" si="141"/>
        <v>Acoustic guitar production item #172</v>
      </c>
      <c r="K1528" s="1" t="str">
        <f>IF(SUM(COUNTIFS(I:I, I1528)) &gt; 1, "DUPLICATE", "UNIQUE")</f>
        <v>UNIQUE</v>
      </c>
      <c r="L1528" s="18">
        <v>1</v>
      </c>
      <c r="M1528" s="28">
        <v>98</v>
      </c>
      <c r="N1528" s="6">
        <v>1</v>
      </c>
      <c r="O1528" s="30">
        <f t="shared" si="142"/>
        <v>98</v>
      </c>
      <c r="P1528" s="30">
        <f t="shared" si="143"/>
        <v>98</v>
      </c>
      <c r="Q1528" s="1">
        <f>COUNTIFS($P:$P, "&gt;" &amp; $P1528) + 1</f>
        <v>4460</v>
      </c>
      <c r="R1528" s="63">
        <f>(COUNTIFS($P:$P, "&gt;" &amp; $P1528) + 1) / (COUNTA($I:$I) - 1)</f>
        <v>0.89200000000000002</v>
      </c>
      <c r="S1528" s="23">
        <f>SUMIFS($P:$P, $Q:$Q, "&lt;" &amp; $Q1528)</f>
        <v>186533215</v>
      </c>
    </row>
    <row r="1529" spans="1:19" x14ac:dyDescent="0.25">
      <c r="A1529" s="1">
        <v>1524</v>
      </c>
      <c r="B1529" s="1" t="s">
        <v>2</v>
      </c>
      <c r="C1529" s="1" t="str">
        <f>IF($B1529 = "Production Item", _xlfn.XLOOKUP($A1529, 'Instrument Table'!$J:$J, 'Instrument Table'!$B:$B, $C1528), IF($B1529 = "Service Item", _xlfn.XLOOKUP($A1529, 'Instrument Table'!$I:$I, 'Instrument Table'!$B:$B, $C1528), _xlfn.XLOOKUP($A1529, 'Instrument Table'!$H:$H, 'Instrument Table'!$B:$B, $C1528)))</f>
        <v>Acoustic Guitar</v>
      </c>
      <c r="D1529" s="1" t="str">
        <f>VLOOKUP($C1529, 'Instrument Table'!$B:$C, 2, FALSE)</f>
        <v>Strings</v>
      </c>
      <c r="E1529" s="1">
        <f t="shared" si="138"/>
        <v>1</v>
      </c>
      <c r="F1529" s="1">
        <f>_xlfn.XLOOKUP($C1529, 'Instrument Table'!$B:$B, 'Instrument Table'!$A:$A, "")</f>
        <v>24</v>
      </c>
      <c r="G1529" s="1" t="str">
        <f>TEXT(IF($B1529 = "Retail Item", IF((ROW($A1529) - 4504 - _xlfn.XMATCH($C1529, $C$4506:$C$5005, 0, 1)) &lt;= VLOOKUP($C1529, 'Instrument Table'!$B:$D, 3, FALSE), ROW($A1529) - 4504 - _xlfn.XMATCH($C1529, $C$4506:$C$5005, 0, 1), 0), 0), "00")</f>
        <v>00</v>
      </c>
      <c r="H1529" s="1" t="str">
        <f t="shared" si="139"/>
        <v>173</v>
      </c>
      <c r="I1529" s="1" t="str">
        <f t="shared" si="140"/>
        <v>12400-173</v>
      </c>
      <c r="J1529" s="1" t="str">
        <f t="shared" si="141"/>
        <v>Acoustic guitar production item #173</v>
      </c>
      <c r="K1529" s="1" t="str">
        <f>IF(SUM(COUNTIFS(I:I, I1529)) &gt; 1, "DUPLICATE", "UNIQUE")</f>
        <v>UNIQUE</v>
      </c>
      <c r="L1529" s="18">
        <v>1</v>
      </c>
      <c r="M1529" s="28">
        <v>71</v>
      </c>
      <c r="N1529" s="6">
        <v>289</v>
      </c>
      <c r="O1529" s="30">
        <f t="shared" si="142"/>
        <v>71</v>
      </c>
      <c r="P1529" s="30">
        <f t="shared" si="143"/>
        <v>20519</v>
      </c>
      <c r="Q1529" s="1">
        <f>COUNTIFS($P:$P, "&gt;" &amp; $P1529) + 1</f>
        <v>1026</v>
      </c>
      <c r="R1529" s="63">
        <f>(COUNTIFS($P:$P, "&gt;" &amp; $P1529) + 1) / (COUNTA($I:$I) - 1)</f>
        <v>0.20519999999999999</v>
      </c>
      <c r="S1529" s="23">
        <f>SUMIFS($P:$P, $Q:$Q, "&lt;" &amp; $Q1529)</f>
        <v>167032975</v>
      </c>
    </row>
    <row r="1530" spans="1:19" x14ac:dyDescent="0.25">
      <c r="A1530" s="1">
        <v>1525</v>
      </c>
      <c r="B1530" s="1" t="s">
        <v>2</v>
      </c>
      <c r="C1530" s="1" t="str">
        <f>IF($B1530 = "Production Item", _xlfn.XLOOKUP($A1530, 'Instrument Table'!$J:$J, 'Instrument Table'!$B:$B, $C1529), IF($B1530 = "Service Item", _xlfn.XLOOKUP($A1530, 'Instrument Table'!$I:$I, 'Instrument Table'!$B:$B, $C1529), _xlfn.XLOOKUP($A1530, 'Instrument Table'!$H:$H, 'Instrument Table'!$B:$B, $C1529)))</f>
        <v>Acoustic Guitar</v>
      </c>
      <c r="D1530" s="1" t="str">
        <f>VLOOKUP($C1530, 'Instrument Table'!$B:$C, 2, FALSE)</f>
        <v>Strings</v>
      </c>
      <c r="E1530" s="1">
        <f t="shared" si="138"/>
        <v>1</v>
      </c>
      <c r="F1530" s="1">
        <f>_xlfn.XLOOKUP($C1530, 'Instrument Table'!$B:$B, 'Instrument Table'!$A:$A, "")</f>
        <v>24</v>
      </c>
      <c r="G1530" s="1" t="str">
        <f>TEXT(IF($B1530 = "Retail Item", IF((ROW($A1530) - 4504 - _xlfn.XMATCH($C1530, $C$4506:$C$5005, 0, 1)) &lt;= VLOOKUP($C1530, 'Instrument Table'!$B:$D, 3, FALSE), ROW($A1530) - 4504 - _xlfn.XMATCH($C1530, $C$4506:$C$5005, 0, 1), 0), 0), "00")</f>
        <v>00</v>
      </c>
      <c r="H1530" s="1" t="str">
        <f t="shared" si="139"/>
        <v>174</v>
      </c>
      <c r="I1530" s="1" t="str">
        <f t="shared" si="140"/>
        <v>12400-174</v>
      </c>
      <c r="J1530" s="1" t="str">
        <f t="shared" si="141"/>
        <v>Acoustic guitar production item #174</v>
      </c>
      <c r="K1530" s="1" t="str">
        <f>IF(SUM(COUNTIFS(I:I, I1530)) &gt; 1, "DUPLICATE", "UNIQUE")</f>
        <v>UNIQUE</v>
      </c>
      <c r="L1530" s="18">
        <v>0</v>
      </c>
      <c r="M1530" s="28">
        <v>43</v>
      </c>
      <c r="N1530" s="6">
        <v>16</v>
      </c>
      <c r="O1530" s="30">
        <f t="shared" si="142"/>
        <v>0</v>
      </c>
      <c r="P1530" s="30">
        <f t="shared" si="143"/>
        <v>688</v>
      </c>
      <c r="Q1530" s="1">
        <f>COUNTIFS($P:$P, "&gt;" &amp; $P1530) + 1</f>
        <v>3889</v>
      </c>
      <c r="R1530" s="63">
        <f>(COUNTIFS($P:$P, "&gt;" &amp; $P1530) + 1) / (COUNTA($I:$I) - 1)</f>
        <v>0.77780000000000005</v>
      </c>
      <c r="S1530" s="23">
        <f>SUMIFS($P:$P, $Q:$Q, "&lt;" &amp; $Q1530)</f>
        <v>186331386</v>
      </c>
    </row>
    <row r="1531" spans="1:19" x14ac:dyDescent="0.25">
      <c r="A1531" s="1">
        <v>1526</v>
      </c>
      <c r="B1531" s="1" t="s">
        <v>2</v>
      </c>
      <c r="C1531" s="1" t="str">
        <f>IF($B1531 = "Production Item", _xlfn.XLOOKUP($A1531, 'Instrument Table'!$J:$J, 'Instrument Table'!$B:$B, $C1530), IF($B1531 = "Service Item", _xlfn.XLOOKUP($A1531, 'Instrument Table'!$I:$I, 'Instrument Table'!$B:$B, $C1530), _xlfn.XLOOKUP($A1531, 'Instrument Table'!$H:$H, 'Instrument Table'!$B:$B, $C1530)))</f>
        <v>Acoustic Guitar</v>
      </c>
      <c r="D1531" s="1" t="str">
        <f>VLOOKUP($C1531, 'Instrument Table'!$B:$C, 2, FALSE)</f>
        <v>Strings</v>
      </c>
      <c r="E1531" s="1">
        <f t="shared" si="138"/>
        <v>1</v>
      </c>
      <c r="F1531" s="1">
        <f>_xlfn.XLOOKUP($C1531, 'Instrument Table'!$B:$B, 'Instrument Table'!$A:$A, "")</f>
        <v>24</v>
      </c>
      <c r="G1531" s="1" t="str">
        <f>TEXT(IF($B1531 = "Retail Item", IF((ROW($A1531) - 4504 - _xlfn.XMATCH($C1531, $C$4506:$C$5005, 0, 1)) &lt;= VLOOKUP($C1531, 'Instrument Table'!$B:$D, 3, FALSE), ROW($A1531) - 4504 - _xlfn.XMATCH($C1531, $C$4506:$C$5005, 0, 1), 0), 0), "00")</f>
        <v>00</v>
      </c>
      <c r="H1531" s="1" t="str">
        <f t="shared" si="139"/>
        <v>175</v>
      </c>
      <c r="I1531" s="1" t="str">
        <f t="shared" si="140"/>
        <v>12400-175</v>
      </c>
      <c r="J1531" s="1" t="str">
        <f t="shared" si="141"/>
        <v>Acoustic guitar production item #175</v>
      </c>
      <c r="K1531" s="1" t="str">
        <f>IF(SUM(COUNTIFS(I:I, I1531)) &gt; 1, "DUPLICATE", "UNIQUE")</f>
        <v>UNIQUE</v>
      </c>
      <c r="L1531" s="18">
        <v>1</v>
      </c>
      <c r="M1531" s="28">
        <v>19</v>
      </c>
      <c r="N1531" s="6">
        <v>100</v>
      </c>
      <c r="O1531" s="30">
        <f t="shared" si="142"/>
        <v>19</v>
      </c>
      <c r="P1531" s="30">
        <f t="shared" si="143"/>
        <v>1900</v>
      </c>
      <c r="Q1531" s="1">
        <f>COUNTIFS($P:$P, "&gt;" &amp; $P1531) + 1</f>
        <v>3297</v>
      </c>
      <c r="R1531" s="63">
        <f>(COUNTIFS($P:$P, "&gt;" &amp; $P1531) + 1) / (COUNTA($I:$I) - 1)</f>
        <v>0.65939999999999999</v>
      </c>
      <c r="S1531" s="23">
        <f>SUMIFS($P:$P, $Q:$Q, "&lt;" &amp; $Q1531)</f>
        <v>185603355</v>
      </c>
    </row>
    <row r="1532" spans="1:19" x14ac:dyDescent="0.25">
      <c r="A1532" s="1">
        <v>1527</v>
      </c>
      <c r="B1532" s="1" t="s">
        <v>2</v>
      </c>
      <c r="C1532" s="1" t="str">
        <f>IF($B1532 = "Production Item", _xlfn.XLOOKUP($A1532, 'Instrument Table'!$J:$J, 'Instrument Table'!$B:$B, $C1531), IF($B1532 = "Service Item", _xlfn.XLOOKUP($A1532, 'Instrument Table'!$I:$I, 'Instrument Table'!$B:$B, $C1531), _xlfn.XLOOKUP($A1532, 'Instrument Table'!$H:$H, 'Instrument Table'!$B:$B, $C1531)))</f>
        <v>Acoustic Guitar</v>
      </c>
      <c r="D1532" s="1" t="str">
        <f>VLOOKUP($C1532, 'Instrument Table'!$B:$C, 2, FALSE)</f>
        <v>Strings</v>
      </c>
      <c r="E1532" s="1">
        <f t="shared" si="138"/>
        <v>1</v>
      </c>
      <c r="F1532" s="1">
        <f>_xlfn.XLOOKUP($C1532, 'Instrument Table'!$B:$B, 'Instrument Table'!$A:$A, "")</f>
        <v>24</v>
      </c>
      <c r="G1532" s="1" t="str">
        <f>TEXT(IF($B1532 = "Retail Item", IF((ROW($A1532) - 4504 - _xlfn.XMATCH($C1532, $C$4506:$C$5005, 0, 1)) &lt;= VLOOKUP($C1532, 'Instrument Table'!$B:$D, 3, FALSE), ROW($A1532) - 4504 - _xlfn.XMATCH($C1532, $C$4506:$C$5005, 0, 1), 0), 0), "00")</f>
        <v>00</v>
      </c>
      <c r="H1532" s="1" t="str">
        <f t="shared" si="139"/>
        <v>176</v>
      </c>
      <c r="I1532" s="1" t="str">
        <f t="shared" si="140"/>
        <v>12400-176</v>
      </c>
      <c r="J1532" s="1" t="str">
        <f t="shared" si="141"/>
        <v>Acoustic guitar production item #176</v>
      </c>
      <c r="K1532" s="1" t="str">
        <f>IF(SUM(COUNTIFS(I:I, I1532)) &gt; 1, "DUPLICATE", "UNIQUE")</f>
        <v>UNIQUE</v>
      </c>
      <c r="L1532" s="18">
        <v>1</v>
      </c>
      <c r="M1532" s="28">
        <v>54</v>
      </c>
      <c r="N1532" s="6">
        <v>0</v>
      </c>
      <c r="O1532" s="30">
        <f t="shared" si="142"/>
        <v>54</v>
      </c>
      <c r="P1532" s="30">
        <f t="shared" si="143"/>
        <v>0</v>
      </c>
      <c r="Q1532" s="1">
        <f>COUNTIFS($P:$P, "&gt;" &amp; $P1532) + 1</f>
        <v>4746</v>
      </c>
      <c r="R1532" s="63">
        <f>(COUNTIFS($P:$P, "&gt;" &amp; $P1532) + 1) / (COUNTA($I:$I) - 1)</f>
        <v>0.94920000000000004</v>
      </c>
      <c r="S1532" s="23">
        <f>SUMIFS($P:$P, $Q:$Q, "&lt;" &amp; $Q1532)</f>
        <v>186547861</v>
      </c>
    </row>
    <row r="1533" spans="1:19" x14ac:dyDescent="0.25">
      <c r="A1533" s="1">
        <v>1528</v>
      </c>
      <c r="B1533" s="1" t="s">
        <v>2</v>
      </c>
      <c r="C1533" s="1" t="str">
        <f>IF($B1533 = "Production Item", _xlfn.XLOOKUP($A1533, 'Instrument Table'!$J:$J, 'Instrument Table'!$B:$B, $C1532), IF($B1533 = "Service Item", _xlfn.XLOOKUP($A1533, 'Instrument Table'!$I:$I, 'Instrument Table'!$B:$B, $C1532), _xlfn.XLOOKUP($A1533, 'Instrument Table'!$H:$H, 'Instrument Table'!$B:$B, $C1532)))</f>
        <v>Acoustic Guitar</v>
      </c>
      <c r="D1533" s="1" t="str">
        <f>VLOOKUP($C1533, 'Instrument Table'!$B:$C, 2, FALSE)</f>
        <v>Strings</v>
      </c>
      <c r="E1533" s="1">
        <f t="shared" si="138"/>
        <v>1</v>
      </c>
      <c r="F1533" s="1">
        <f>_xlfn.XLOOKUP($C1533, 'Instrument Table'!$B:$B, 'Instrument Table'!$A:$A, "")</f>
        <v>24</v>
      </c>
      <c r="G1533" s="1" t="str">
        <f>TEXT(IF($B1533 = "Retail Item", IF((ROW($A1533) - 4504 - _xlfn.XMATCH($C1533, $C$4506:$C$5005, 0, 1)) &lt;= VLOOKUP($C1533, 'Instrument Table'!$B:$D, 3, FALSE), ROW($A1533) - 4504 - _xlfn.XMATCH($C1533, $C$4506:$C$5005, 0, 1), 0), 0), "00")</f>
        <v>00</v>
      </c>
      <c r="H1533" s="1" t="str">
        <f t="shared" si="139"/>
        <v>177</v>
      </c>
      <c r="I1533" s="1" t="str">
        <f t="shared" si="140"/>
        <v>12400-177</v>
      </c>
      <c r="J1533" s="1" t="str">
        <f t="shared" si="141"/>
        <v>Acoustic guitar production item #177</v>
      </c>
      <c r="K1533" s="1" t="str">
        <f>IF(SUM(COUNTIFS(I:I, I1533)) &gt; 1, "DUPLICATE", "UNIQUE")</f>
        <v>UNIQUE</v>
      </c>
      <c r="L1533" s="18">
        <v>0</v>
      </c>
      <c r="M1533" s="28">
        <v>18</v>
      </c>
      <c r="N1533" s="6">
        <v>169</v>
      </c>
      <c r="O1533" s="30">
        <f t="shared" si="142"/>
        <v>0</v>
      </c>
      <c r="P1533" s="30">
        <f t="shared" si="143"/>
        <v>3042</v>
      </c>
      <c r="Q1533" s="1">
        <f>COUNTIFS($P:$P, "&gt;" &amp; $P1533) + 1</f>
        <v>2893</v>
      </c>
      <c r="R1533" s="63">
        <f>(COUNTIFS($P:$P, "&gt;" &amp; $P1533) + 1) / (COUNTA($I:$I) - 1)</f>
        <v>0.5786</v>
      </c>
      <c r="S1533" s="23">
        <f>SUMIFS($P:$P, $Q:$Q, "&lt;" &amp; $Q1533)</f>
        <v>184626973</v>
      </c>
    </row>
    <row r="1534" spans="1:19" x14ac:dyDescent="0.25">
      <c r="A1534" s="1">
        <v>1529</v>
      </c>
      <c r="B1534" s="1" t="s">
        <v>2</v>
      </c>
      <c r="C1534" s="1" t="str">
        <f>IF($B1534 = "Production Item", _xlfn.XLOOKUP($A1534, 'Instrument Table'!$J:$J, 'Instrument Table'!$B:$B, $C1533), IF($B1534 = "Service Item", _xlfn.XLOOKUP($A1534, 'Instrument Table'!$I:$I, 'Instrument Table'!$B:$B, $C1533), _xlfn.XLOOKUP($A1534, 'Instrument Table'!$H:$H, 'Instrument Table'!$B:$B, $C1533)))</f>
        <v>Acoustic Guitar</v>
      </c>
      <c r="D1534" s="1" t="str">
        <f>VLOOKUP($C1534, 'Instrument Table'!$B:$C, 2, FALSE)</f>
        <v>Strings</v>
      </c>
      <c r="E1534" s="1">
        <f t="shared" si="138"/>
        <v>1</v>
      </c>
      <c r="F1534" s="1">
        <f>_xlfn.XLOOKUP($C1534, 'Instrument Table'!$B:$B, 'Instrument Table'!$A:$A, "")</f>
        <v>24</v>
      </c>
      <c r="G1534" s="1" t="str">
        <f>TEXT(IF($B1534 = "Retail Item", IF((ROW($A1534) - 4504 - _xlfn.XMATCH($C1534, $C$4506:$C$5005, 0, 1)) &lt;= VLOOKUP($C1534, 'Instrument Table'!$B:$D, 3, FALSE), ROW($A1534) - 4504 - _xlfn.XMATCH($C1534, $C$4506:$C$5005, 0, 1), 0), 0), "00")</f>
        <v>00</v>
      </c>
      <c r="H1534" s="1" t="str">
        <f t="shared" si="139"/>
        <v>178</v>
      </c>
      <c r="I1534" s="1" t="str">
        <f t="shared" si="140"/>
        <v>12400-178</v>
      </c>
      <c r="J1534" s="1" t="str">
        <f t="shared" si="141"/>
        <v>Acoustic guitar production item #178</v>
      </c>
      <c r="K1534" s="1" t="str">
        <f>IF(SUM(COUNTIFS(I:I, I1534)) &gt; 1, "DUPLICATE", "UNIQUE")</f>
        <v>UNIQUE</v>
      </c>
      <c r="L1534" s="18">
        <v>32</v>
      </c>
      <c r="M1534" s="28">
        <v>11</v>
      </c>
      <c r="N1534" s="6">
        <v>121</v>
      </c>
      <c r="O1534" s="30">
        <f t="shared" si="142"/>
        <v>352</v>
      </c>
      <c r="P1534" s="30">
        <f t="shared" si="143"/>
        <v>1331</v>
      </c>
      <c r="Q1534" s="1">
        <f>COUNTIFS($P:$P, "&gt;" &amp; $P1534) + 1</f>
        <v>3548</v>
      </c>
      <c r="R1534" s="63">
        <f>(COUNTIFS($P:$P, "&gt;" &amp; $P1534) + 1) / (COUNTA($I:$I) - 1)</f>
        <v>0.70960000000000001</v>
      </c>
      <c r="S1534" s="23">
        <f>SUMIFS($P:$P, $Q:$Q, "&lt;" &amp; $Q1534)</f>
        <v>186003417</v>
      </c>
    </row>
    <row r="1535" spans="1:19" x14ac:dyDescent="0.25">
      <c r="A1535" s="1">
        <v>1530</v>
      </c>
      <c r="B1535" s="1" t="s">
        <v>2</v>
      </c>
      <c r="C1535" s="1" t="str">
        <f>IF($B1535 = "Production Item", _xlfn.XLOOKUP($A1535, 'Instrument Table'!$J:$J, 'Instrument Table'!$B:$B, $C1534), IF($B1535 = "Service Item", _xlfn.XLOOKUP($A1535, 'Instrument Table'!$I:$I, 'Instrument Table'!$B:$B, $C1534), _xlfn.XLOOKUP($A1535, 'Instrument Table'!$H:$H, 'Instrument Table'!$B:$B, $C1534)))</f>
        <v>Acoustic Guitar</v>
      </c>
      <c r="D1535" s="1" t="str">
        <f>VLOOKUP($C1535, 'Instrument Table'!$B:$C, 2, FALSE)</f>
        <v>Strings</v>
      </c>
      <c r="E1535" s="1">
        <f t="shared" si="138"/>
        <v>1</v>
      </c>
      <c r="F1535" s="1">
        <f>_xlfn.XLOOKUP($C1535, 'Instrument Table'!$B:$B, 'Instrument Table'!$A:$A, "")</f>
        <v>24</v>
      </c>
      <c r="G1535" s="1" t="str">
        <f>TEXT(IF($B1535 = "Retail Item", IF((ROW($A1535) - 4504 - _xlfn.XMATCH($C1535, $C$4506:$C$5005, 0, 1)) &lt;= VLOOKUP($C1535, 'Instrument Table'!$B:$D, 3, FALSE), ROW($A1535) - 4504 - _xlfn.XMATCH($C1535, $C$4506:$C$5005, 0, 1), 0), 0), "00")</f>
        <v>00</v>
      </c>
      <c r="H1535" s="1" t="str">
        <f t="shared" si="139"/>
        <v>179</v>
      </c>
      <c r="I1535" s="1" t="str">
        <f t="shared" si="140"/>
        <v>12400-179</v>
      </c>
      <c r="J1535" s="1" t="str">
        <f t="shared" si="141"/>
        <v>Acoustic guitar production item #179</v>
      </c>
      <c r="K1535" s="1" t="str">
        <f>IF(SUM(COUNTIFS(I:I, I1535)) &gt; 1, "DUPLICATE", "UNIQUE")</f>
        <v>UNIQUE</v>
      </c>
      <c r="L1535" s="18">
        <v>0</v>
      </c>
      <c r="M1535" s="28">
        <v>2</v>
      </c>
      <c r="N1535" s="6">
        <v>4</v>
      </c>
      <c r="O1535" s="30">
        <f t="shared" si="142"/>
        <v>0</v>
      </c>
      <c r="P1535" s="30">
        <f t="shared" si="143"/>
        <v>8</v>
      </c>
      <c r="Q1535" s="1">
        <f>COUNTIFS($P:$P, "&gt;" &amp; $P1535) + 1</f>
        <v>4729</v>
      </c>
      <c r="R1535" s="63">
        <f>(COUNTIFS($P:$P, "&gt;" &amp; $P1535) + 1) / (COUNTA($I:$I) - 1)</f>
        <v>0.94579999999999997</v>
      </c>
      <c r="S1535" s="23">
        <f>SUMIFS($P:$P, $Q:$Q, "&lt;" &amp; $Q1535)</f>
        <v>186547777</v>
      </c>
    </row>
    <row r="1536" spans="1:19" x14ac:dyDescent="0.25">
      <c r="A1536" s="1">
        <v>1531</v>
      </c>
      <c r="B1536" s="1" t="s">
        <v>2</v>
      </c>
      <c r="C1536" s="1" t="str">
        <f>IF($B1536 = "Production Item", _xlfn.XLOOKUP($A1536, 'Instrument Table'!$J:$J, 'Instrument Table'!$B:$B, $C1535), IF($B1536 = "Service Item", _xlfn.XLOOKUP($A1536, 'Instrument Table'!$I:$I, 'Instrument Table'!$B:$B, $C1535), _xlfn.XLOOKUP($A1536, 'Instrument Table'!$H:$H, 'Instrument Table'!$B:$B, $C1535)))</f>
        <v>Acoustic Guitar</v>
      </c>
      <c r="D1536" s="1" t="str">
        <f>VLOOKUP($C1536, 'Instrument Table'!$B:$C, 2, FALSE)</f>
        <v>Strings</v>
      </c>
      <c r="E1536" s="1">
        <f t="shared" si="138"/>
        <v>1</v>
      </c>
      <c r="F1536" s="1">
        <f>_xlfn.XLOOKUP($C1536, 'Instrument Table'!$B:$B, 'Instrument Table'!$A:$A, "")</f>
        <v>24</v>
      </c>
      <c r="G1536" s="1" t="str">
        <f>TEXT(IF($B1536 = "Retail Item", IF((ROW($A1536) - 4504 - _xlfn.XMATCH($C1536, $C$4506:$C$5005, 0, 1)) &lt;= VLOOKUP($C1536, 'Instrument Table'!$B:$D, 3, FALSE), ROW($A1536) - 4504 - _xlfn.XMATCH($C1536, $C$4506:$C$5005, 0, 1), 0), 0), "00")</f>
        <v>00</v>
      </c>
      <c r="H1536" s="1" t="str">
        <f t="shared" si="139"/>
        <v>180</v>
      </c>
      <c r="I1536" s="1" t="str">
        <f t="shared" si="140"/>
        <v>12400-180</v>
      </c>
      <c r="J1536" s="1" t="str">
        <f t="shared" si="141"/>
        <v>Acoustic guitar production item #180</v>
      </c>
      <c r="K1536" s="1" t="str">
        <f>IF(SUM(COUNTIFS(I:I, I1536)) &gt; 1, "DUPLICATE", "UNIQUE")</f>
        <v>UNIQUE</v>
      </c>
      <c r="L1536" s="18">
        <v>8</v>
      </c>
      <c r="M1536" s="28">
        <v>92</v>
      </c>
      <c r="N1536" s="6">
        <v>36</v>
      </c>
      <c r="O1536" s="30">
        <f t="shared" si="142"/>
        <v>736</v>
      </c>
      <c r="P1536" s="30">
        <f t="shared" si="143"/>
        <v>3312</v>
      </c>
      <c r="Q1536" s="1">
        <f>COUNTIFS($P:$P, "&gt;" &amp; $P1536) + 1</f>
        <v>2826</v>
      </c>
      <c r="R1536" s="63">
        <f>(COUNTIFS($P:$P, "&gt;" &amp; $P1536) + 1) / (COUNTA($I:$I) - 1)</f>
        <v>0.56520000000000004</v>
      </c>
      <c r="S1536" s="23">
        <f>SUMIFS($P:$P, $Q:$Q, "&lt;" &amp; $Q1536)</f>
        <v>184413337</v>
      </c>
    </row>
    <row r="1537" spans="1:19" x14ac:dyDescent="0.25">
      <c r="A1537" s="1">
        <v>1532</v>
      </c>
      <c r="B1537" s="1" t="s">
        <v>2</v>
      </c>
      <c r="C1537" s="1" t="str">
        <f>IF($B1537 = "Production Item", _xlfn.XLOOKUP($A1537, 'Instrument Table'!$J:$J, 'Instrument Table'!$B:$B, $C1536), IF($B1537 = "Service Item", _xlfn.XLOOKUP($A1537, 'Instrument Table'!$I:$I, 'Instrument Table'!$B:$B, $C1536), _xlfn.XLOOKUP($A1537, 'Instrument Table'!$H:$H, 'Instrument Table'!$B:$B, $C1536)))</f>
        <v>Acoustic Guitar</v>
      </c>
      <c r="D1537" s="1" t="str">
        <f>VLOOKUP($C1537, 'Instrument Table'!$B:$C, 2, FALSE)</f>
        <v>Strings</v>
      </c>
      <c r="E1537" s="1">
        <f t="shared" si="138"/>
        <v>1</v>
      </c>
      <c r="F1537" s="1">
        <f>_xlfn.XLOOKUP($C1537, 'Instrument Table'!$B:$B, 'Instrument Table'!$A:$A, "")</f>
        <v>24</v>
      </c>
      <c r="G1537" s="1" t="str">
        <f>TEXT(IF($B1537 = "Retail Item", IF((ROW($A1537) - 4504 - _xlfn.XMATCH($C1537, $C$4506:$C$5005, 0, 1)) &lt;= VLOOKUP($C1537, 'Instrument Table'!$B:$D, 3, FALSE), ROW($A1537) - 4504 - _xlfn.XMATCH($C1537, $C$4506:$C$5005, 0, 1), 0), 0), "00")</f>
        <v>00</v>
      </c>
      <c r="H1537" s="1" t="str">
        <f t="shared" si="139"/>
        <v>181</v>
      </c>
      <c r="I1537" s="1" t="str">
        <f t="shared" si="140"/>
        <v>12400-181</v>
      </c>
      <c r="J1537" s="1" t="str">
        <f t="shared" si="141"/>
        <v>Acoustic guitar production item #181</v>
      </c>
      <c r="K1537" s="1" t="str">
        <f>IF(SUM(COUNTIFS(I:I, I1537)) &gt; 1, "DUPLICATE", "UNIQUE")</f>
        <v>UNIQUE</v>
      </c>
      <c r="L1537" s="18">
        <v>16</v>
      </c>
      <c r="M1537" s="28">
        <v>25</v>
      </c>
      <c r="N1537" s="6">
        <v>64</v>
      </c>
      <c r="O1537" s="30">
        <f t="shared" si="142"/>
        <v>400</v>
      </c>
      <c r="P1537" s="30">
        <f t="shared" si="143"/>
        <v>1600</v>
      </c>
      <c r="Q1537" s="1">
        <f>COUNTIFS($P:$P, "&gt;" &amp; $P1537) + 1</f>
        <v>3401</v>
      </c>
      <c r="R1537" s="63">
        <f>(COUNTIFS($P:$P, "&gt;" &amp; $P1537) + 1) / (COUNTA($I:$I) - 1)</f>
        <v>0.68020000000000003</v>
      </c>
      <c r="S1537" s="23">
        <f>SUMIFS($P:$P, $Q:$Q, "&lt;" &amp; $Q1537)</f>
        <v>185786623</v>
      </c>
    </row>
    <row r="1538" spans="1:19" x14ac:dyDescent="0.25">
      <c r="A1538" s="1">
        <v>1533</v>
      </c>
      <c r="B1538" s="1" t="s">
        <v>2</v>
      </c>
      <c r="C1538" s="1" t="str">
        <f>IF($B1538 = "Production Item", _xlfn.XLOOKUP($A1538, 'Instrument Table'!$J:$J, 'Instrument Table'!$B:$B, $C1537), IF($B1538 = "Service Item", _xlfn.XLOOKUP($A1538, 'Instrument Table'!$I:$I, 'Instrument Table'!$B:$B, $C1537), _xlfn.XLOOKUP($A1538, 'Instrument Table'!$H:$H, 'Instrument Table'!$B:$B, $C1537)))</f>
        <v>Acoustic Guitar</v>
      </c>
      <c r="D1538" s="1" t="str">
        <f>VLOOKUP($C1538, 'Instrument Table'!$B:$C, 2, FALSE)</f>
        <v>Strings</v>
      </c>
      <c r="E1538" s="1">
        <f t="shared" si="138"/>
        <v>1</v>
      </c>
      <c r="F1538" s="1">
        <f>_xlfn.XLOOKUP($C1538, 'Instrument Table'!$B:$B, 'Instrument Table'!$A:$A, "")</f>
        <v>24</v>
      </c>
      <c r="G1538" s="1" t="str">
        <f>TEXT(IF($B1538 = "Retail Item", IF((ROW($A1538) - 4504 - _xlfn.XMATCH($C1538, $C$4506:$C$5005, 0, 1)) &lt;= VLOOKUP($C1538, 'Instrument Table'!$B:$D, 3, FALSE), ROW($A1538) - 4504 - _xlfn.XMATCH($C1538, $C$4506:$C$5005, 0, 1), 0), 0), "00")</f>
        <v>00</v>
      </c>
      <c r="H1538" s="1" t="str">
        <f t="shared" si="139"/>
        <v>182</v>
      </c>
      <c r="I1538" s="1" t="str">
        <f t="shared" si="140"/>
        <v>12400-182</v>
      </c>
      <c r="J1538" s="1" t="str">
        <f t="shared" si="141"/>
        <v>Acoustic guitar production item #182</v>
      </c>
      <c r="K1538" s="1" t="str">
        <f>IF(SUM(COUNTIFS(I:I, I1538)) &gt; 1, "DUPLICATE", "UNIQUE")</f>
        <v>UNIQUE</v>
      </c>
      <c r="L1538" s="18">
        <v>0</v>
      </c>
      <c r="M1538" s="28">
        <v>10</v>
      </c>
      <c r="N1538" s="6">
        <v>36</v>
      </c>
      <c r="O1538" s="30">
        <f t="shared" si="142"/>
        <v>0</v>
      </c>
      <c r="P1538" s="30">
        <f t="shared" si="143"/>
        <v>360</v>
      </c>
      <c r="Q1538" s="1">
        <f>COUNTIFS($P:$P, "&gt;" &amp; $P1538) + 1</f>
        <v>4137</v>
      </c>
      <c r="R1538" s="63">
        <f>(COUNTIFS($P:$P, "&gt;" &amp; $P1538) + 1) / (COUNTA($I:$I) - 1)</f>
        <v>0.82740000000000002</v>
      </c>
      <c r="S1538" s="23">
        <f>SUMIFS($P:$P, $Q:$Q, "&lt;" &amp; $Q1538)</f>
        <v>186459069</v>
      </c>
    </row>
    <row r="1539" spans="1:19" x14ac:dyDescent="0.25">
      <c r="A1539" s="1">
        <v>1534</v>
      </c>
      <c r="B1539" s="1" t="s">
        <v>2</v>
      </c>
      <c r="C1539" s="1" t="str">
        <f>IF($B1539 = "Production Item", _xlfn.XLOOKUP($A1539, 'Instrument Table'!$J:$J, 'Instrument Table'!$B:$B, $C1538), IF($B1539 = "Service Item", _xlfn.XLOOKUP($A1539, 'Instrument Table'!$I:$I, 'Instrument Table'!$B:$B, $C1538), _xlfn.XLOOKUP($A1539, 'Instrument Table'!$H:$H, 'Instrument Table'!$B:$B, $C1538)))</f>
        <v>Acoustic Guitar</v>
      </c>
      <c r="D1539" s="1" t="str">
        <f>VLOOKUP($C1539, 'Instrument Table'!$B:$C, 2, FALSE)</f>
        <v>Strings</v>
      </c>
      <c r="E1539" s="1">
        <f t="shared" si="138"/>
        <v>1</v>
      </c>
      <c r="F1539" s="1">
        <f>_xlfn.XLOOKUP($C1539, 'Instrument Table'!$B:$B, 'Instrument Table'!$A:$A, "")</f>
        <v>24</v>
      </c>
      <c r="G1539" s="1" t="str">
        <f>TEXT(IF($B1539 = "Retail Item", IF((ROW($A1539) - 4504 - _xlfn.XMATCH($C1539, $C$4506:$C$5005, 0, 1)) &lt;= VLOOKUP($C1539, 'Instrument Table'!$B:$D, 3, FALSE), ROW($A1539) - 4504 - _xlfn.XMATCH($C1539, $C$4506:$C$5005, 0, 1), 0), 0), "00")</f>
        <v>00</v>
      </c>
      <c r="H1539" s="1" t="str">
        <f t="shared" si="139"/>
        <v>183</v>
      </c>
      <c r="I1539" s="1" t="str">
        <f t="shared" si="140"/>
        <v>12400-183</v>
      </c>
      <c r="J1539" s="1" t="str">
        <f t="shared" si="141"/>
        <v>Acoustic guitar production item #183</v>
      </c>
      <c r="K1539" s="1" t="str">
        <f>IF(SUM(COUNTIFS(I:I, I1539)) &gt; 1, "DUPLICATE", "UNIQUE")</f>
        <v>UNIQUE</v>
      </c>
      <c r="L1539" s="18">
        <v>0</v>
      </c>
      <c r="M1539" s="28">
        <v>25</v>
      </c>
      <c r="N1539" s="6">
        <v>289</v>
      </c>
      <c r="O1539" s="30">
        <f t="shared" si="142"/>
        <v>0</v>
      </c>
      <c r="P1539" s="30">
        <f t="shared" si="143"/>
        <v>7225</v>
      </c>
      <c r="Q1539" s="1">
        <f>COUNTIFS($P:$P, "&gt;" &amp; $P1539) + 1</f>
        <v>2107</v>
      </c>
      <c r="R1539" s="63">
        <f>(COUNTIFS($P:$P, "&gt;" &amp; $P1539) + 1) / (COUNTA($I:$I) - 1)</f>
        <v>0.4214</v>
      </c>
      <c r="S1539" s="23">
        <f>SUMIFS($P:$P, $Q:$Q, "&lt;" &amp; $Q1539)</f>
        <v>180809507</v>
      </c>
    </row>
    <row r="1540" spans="1:19" x14ac:dyDescent="0.25">
      <c r="A1540" s="1">
        <v>1535</v>
      </c>
      <c r="B1540" s="1" t="s">
        <v>2</v>
      </c>
      <c r="C1540" s="1" t="str">
        <f>IF($B1540 = "Production Item", _xlfn.XLOOKUP($A1540, 'Instrument Table'!$J:$J, 'Instrument Table'!$B:$B, $C1539), IF($B1540 = "Service Item", _xlfn.XLOOKUP($A1540, 'Instrument Table'!$I:$I, 'Instrument Table'!$B:$B, $C1539), _xlfn.XLOOKUP($A1540, 'Instrument Table'!$H:$H, 'Instrument Table'!$B:$B, $C1539)))</f>
        <v>Acoustic Guitar</v>
      </c>
      <c r="D1540" s="1" t="str">
        <f>VLOOKUP($C1540, 'Instrument Table'!$B:$C, 2, FALSE)</f>
        <v>Strings</v>
      </c>
      <c r="E1540" s="1">
        <f t="shared" si="138"/>
        <v>1</v>
      </c>
      <c r="F1540" s="1">
        <f>_xlfn.XLOOKUP($C1540, 'Instrument Table'!$B:$B, 'Instrument Table'!$A:$A, "")</f>
        <v>24</v>
      </c>
      <c r="G1540" s="1" t="str">
        <f>TEXT(IF($B1540 = "Retail Item", IF((ROW($A1540) - 4504 - _xlfn.XMATCH($C1540, $C$4506:$C$5005, 0, 1)) &lt;= VLOOKUP($C1540, 'Instrument Table'!$B:$D, 3, FALSE), ROW($A1540) - 4504 - _xlfn.XMATCH($C1540, $C$4506:$C$5005, 0, 1), 0), 0), "00")</f>
        <v>00</v>
      </c>
      <c r="H1540" s="1" t="str">
        <f t="shared" si="139"/>
        <v>184</v>
      </c>
      <c r="I1540" s="1" t="str">
        <f t="shared" si="140"/>
        <v>12400-184</v>
      </c>
      <c r="J1540" s="1" t="str">
        <f t="shared" si="141"/>
        <v>Acoustic guitar production item #184</v>
      </c>
      <c r="K1540" s="1" t="str">
        <f>IF(SUM(COUNTIFS(I:I, I1540)) &gt; 1, "DUPLICATE", "UNIQUE")</f>
        <v>UNIQUE</v>
      </c>
      <c r="L1540" s="18">
        <v>0</v>
      </c>
      <c r="M1540" s="28">
        <v>44</v>
      </c>
      <c r="N1540" s="6">
        <v>49</v>
      </c>
      <c r="O1540" s="30">
        <f t="shared" si="142"/>
        <v>0</v>
      </c>
      <c r="P1540" s="30">
        <f t="shared" si="143"/>
        <v>2156</v>
      </c>
      <c r="Q1540" s="1">
        <f>COUNTIFS($P:$P, "&gt;" &amp; $P1540) + 1</f>
        <v>3184</v>
      </c>
      <c r="R1540" s="63">
        <f>(COUNTIFS($P:$P, "&gt;" &amp; $P1540) + 1) / (COUNTA($I:$I) - 1)</f>
        <v>0.63680000000000003</v>
      </c>
      <c r="S1540" s="23">
        <f>SUMIFS($P:$P, $Q:$Q, "&lt;" &amp; $Q1540)</f>
        <v>185373532</v>
      </c>
    </row>
    <row r="1541" spans="1:19" x14ac:dyDescent="0.25">
      <c r="A1541" s="1">
        <v>1536</v>
      </c>
      <c r="B1541" s="1" t="s">
        <v>2</v>
      </c>
      <c r="C1541" s="1" t="str">
        <f>IF($B1541 = "Production Item", _xlfn.XLOOKUP($A1541, 'Instrument Table'!$J:$J, 'Instrument Table'!$B:$B, $C1540), IF($B1541 = "Service Item", _xlfn.XLOOKUP($A1541, 'Instrument Table'!$I:$I, 'Instrument Table'!$B:$B, $C1540), _xlfn.XLOOKUP($A1541, 'Instrument Table'!$H:$H, 'Instrument Table'!$B:$B, $C1540)))</f>
        <v>Acoustic Guitar</v>
      </c>
      <c r="D1541" s="1" t="str">
        <f>VLOOKUP($C1541, 'Instrument Table'!$B:$C, 2, FALSE)</f>
        <v>Strings</v>
      </c>
      <c r="E1541" s="1">
        <f t="shared" si="138"/>
        <v>1</v>
      </c>
      <c r="F1541" s="1">
        <f>_xlfn.XLOOKUP($C1541, 'Instrument Table'!$B:$B, 'Instrument Table'!$A:$A, "")</f>
        <v>24</v>
      </c>
      <c r="G1541" s="1" t="str">
        <f>TEXT(IF($B1541 = "Retail Item", IF((ROW($A1541) - 4504 - _xlfn.XMATCH($C1541, $C$4506:$C$5005, 0, 1)) &lt;= VLOOKUP($C1541, 'Instrument Table'!$B:$D, 3, FALSE), ROW($A1541) - 4504 - _xlfn.XMATCH($C1541, $C$4506:$C$5005, 0, 1), 0), 0), "00")</f>
        <v>00</v>
      </c>
      <c r="H1541" s="1" t="str">
        <f t="shared" si="139"/>
        <v>185</v>
      </c>
      <c r="I1541" s="1" t="str">
        <f t="shared" si="140"/>
        <v>12400-185</v>
      </c>
      <c r="J1541" s="1" t="str">
        <f t="shared" si="141"/>
        <v>Acoustic guitar production item #185</v>
      </c>
      <c r="K1541" s="1" t="str">
        <f>IF(SUM(COUNTIFS(I:I, I1541)) &gt; 1, "DUPLICATE", "UNIQUE")</f>
        <v>UNIQUE</v>
      </c>
      <c r="L1541" s="18">
        <v>1</v>
      </c>
      <c r="M1541" s="28">
        <v>95</v>
      </c>
      <c r="N1541" s="6">
        <v>400</v>
      </c>
      <c r="O1541" s="30">
        <f t="shared" si="142"/>
        <v>95</v>
      </c>
      <c r="P1541" s="30">
        <f t="shared" si="143"/>
        <v>38000</v>
      </c>
      <c r="Q1541" s="1">
        <f>COUNTIFS($P:$P, "&gt;" &amp; $P1541) + 1</f>
        <v>572</v>
      </c>
      <c r="R1541" s="63">
        <f>(COUNTIFS($P:$P, "&gt;" &amp; $P1541) + 1) / (COUNTA($I:$I) - 1)</f>
        <v>0.1144</v>
      </c>
      <c r="S1541" s="23">
        <f>SUMIFS($P:$P, $Q:$Q, "&lt;" &amp; $Q1541)</f>
        <v>154844325</v>
      </c>
    </row>
    <row r="1542" spans="1:19" x14ac:dyDescent="0.25">
      <c r="A1542" s="1">
        <v>1537</v>
      </c>
      <c r="B1542" s="1" t="s">
        <v>2</v>
      </c>
      <c r="C1542" s="1" t="str">
        <f>IF($B1542 = "Production Item", _xlfn.XLOOKUP($A1542, 'Instrument Table'!$J:$J, 'Instrument Table'!$B:$B, $C1541), IF($B1542 = "Service Item", _xlfn.XLOOKUP($A1542, 'Instrument Table'!$I:$I, 'Instrument Table'!$B:$B, $C1541), _xlfn.XLOOKUP($A1542, 'Instrument Table'!$H:$H, 'Instrument Table'!$B:$B, $C1541)))</f>
        <v>Acoustic Guitar</v>
      </c>
      <c r="D1542" s="1" t="str">
        <f>VLOOKUP($C1542, 'Instrument Table'!$B:$C, 2, FALSE)</f>
        <v>Strings</v>
      </c>
      <c r="E1542" s="1">
        <f t="shared" si="138"/>
        <v>1</v>
      </c>
      <c r="F1542" s="1">
        <f>_xlfn.XLOOKUP($C1542, 'Instrument Table'!$B:$B, 'Instrument Table'!$A:$A, "")</f>
        <v>24</v>
      </c>
      <c r="G1542" s="1" t="str">
        <f>TEXT(IF($B1542 = "Retail Item", IF((ROW($A1542) - 4504 - _xlfn.XMATCH($C1542, $C$4506:$C$5005, 0, 1)) &lt;= VLOOKUP($C1542, 'Instrument Table'!$B:$D, 3, FALSE), ROW($A1542) - 4504 - _xlfn.XMATCH($C1542, $C$4506:$C$5005, 0, 1), 0), 0), "00")</f>
        <v>00</v>
      </c>
      <c r="H1542" s="1" t="str">
        <f t="shared" si="139"/>
        <v>186</v>
      </c>
      <c r="I1542" s="1" t="str">
        <f t="shared" si="140"/>
        <v>12400-186</v>
      </c>
      <c r="J1542" s="1" t="str">
        <f t="shared" si="141"/>
        <v>Acoustic guitar production item #186</v>
      </c>
      <c r="K1542" s="1" t="str">
        <f>IF(SUM(COUNTIFS(I:I, I1542)) &gt; 1, "DUPLICATE", "UNIQUE")</f>
        <v>UNIQUE</v>
      </c>
      <c r="L1542" s="18">
        <v>1</v>
      </c>
      <c r="M1542" s="28">
        <v>42</v>
      </c>
      <c r="N1542" s="6">
        <v>361</v>
      </c>
      <c r="O1542" s="30">
        <f t="shared" si="142"/>
        <v>42</v>
      </c>
      <c r="P1542" s="30">
        <f t="shared" si="143"/>
        <v>15162</v>
      </c>
      <c r="Q1542" s="1">
        <f>COUNTIFS($P:$P, "&gt;" &amp; $P1542) + 1</f>
        <v>1339</v>
      </c>
      <c r="R1542" s="63">
        <f>(COUNTIFS($P:$P, "&gt;" &amp; $P1542) + 1) / (COUNTA($I:$I) - 1)</f>
        <v>0.26779999999999998</v>
      </c>
      <c r="S1542" s="23">
        <f>SUMIFS($P:$P, $Q:$Q, "&lt;" &amp; $Q1542)</f>
        <v>172576864</v>
      </c>
    </row>
    <row r="1543" spans="1:19" x14ac:dyDescent="0.25">
      <c r="A1543" s="1">
        <v>1538</v>
      </c>
      <c r="B1543" s="1" t="s">
        <v>2</v>
      </c>
      <c r="C1543" s="1" t="str">
        <f>IF($B1543 = "Production Item", _xlfn.XLOOKUP($A1543, 'Instrument Table'!$J:$J, 'Instrument Table'!$B:$B, $C1542), IF($B1543 = "Service Item", _xlfn.XLOOKUP($A1543, 'Instrument Table'!$I:$I, 'Instrument Table'!$B:$B, $C1542), _xlfn.XLOOKUP($A1543, 'Instrument Table'!$H:$H, 'Instrument Table'!$B:$B, $C1542)))</f>
        <v>Acoustic Guitar</v>
      </c>
      <c r="D1543" s="1" t="str">
        <f>VLOOKUP($C1543, 'Instrument Table'!$B:$C, 2, FALSE)</f>
        <v>Strings</v>
      </c>
      <c r="E1543" s="1">
        <f t="shared" ref="E1543:E1606" si="144">IF($B1543 = "Production Item", 1, IF($B1543 = "Service Item", 2, IF($B1543 = "Retail Item", 3, "")))</f>
        <v>1</v>
      </c>
      <c r="F1543" s="1">
        <f>_xlfn.XLOOKUP($C1543, 'Instrument Table'!$B:$B, 'Instrument Table'!$A:$A, "")</f>
        <v>24</v>
      </c>
      <c r="G1543" s="1" t="str">
        <f>TEXT(IF($B1543 = "Retail Item", IF((ROW($A1543) - 4504 - _xlfn.XMATCH($C1543, $C$4506:$C$5005, 0, 1)) &lt;= VLOOKUP($C1543, 'Instrument Table'!$B:$D, 3, FALSE), ROW($A1543) - 4504 - _xlfn.XMATCH($C1543, $C$4506:$C$5005, 0, 1), 0), 0), "00")</f>
        <v>00</v>
      </c>
      <c r="H1543" s="1" t="str">
        <f t="shared" ref="H1543:H1606" si="145">TEXT(IF($E1543 &amp; $F1543 &amp; $G1543 = $E1542 &amp; $F1542 &amp; $G1542, 1 + H1542, 0), "000")</f>
        <v>187</v>
      </c>
      <c r="I1543" s="1" t="str">
        <f t="shared" ref="I1543:I1606" si="146" xml:space="preserve"> _xlfn.CONCAT($E1543, $F1543, $G1543, "-", H1543)</f>
        <v>12400-187</v>
      </c>
      <c r="J1543" s="1" t="str">
        <f t="shared" ref="J1543:J1606" si="147">LEFT($C1543, 1) &amp; LOWER(RIGHT($C1543, LEN($C1543) - 1)) &amp; IF(AND($G1543 &lt;&gt; "00", $B1543 = "Retail Item"), " model #" &amp; $G1543, " " &amp; LOWER($B1543) &amp; " #" &amp; $H1543)</f>
        <v>Acoustic guitar production item #187</v>
      </c>
      <c r="K1543" s="1" t="str">
        <f>IF(SUM(COUNTIFS(I:I, I1543)) &gt; 1, "DUPLICATE", "UNIQUE")</f>
        <v>UNIQUE</v>
      </c>
      <c r="L1543" s="18">
        <v>2</v>
      </c>
      <c r="M1543" s="28">
        <v>32</v>
      </c>
      <c r="N1543" s="6">
        <v>100</v>
      </c>
      <c r="O1543" s="30">
        <f t="shared" ref="O1543:O1606" si="148">$L1543 * $M1543</f>
        <v>64</v>
      </c>
      <c r="P1543" s="30">
        <f t="shared" ref="P1543:P1606" si="149">$N1543 * $M1543</f>
        <v>3200</v>
      </c>
      <c r="Q1543" s="1">
        <f>COUNTIFS($P:$P, "&gt;" &amp; $P1543) + 1</f>
        <v>2857</v>
      </c>
      <c r="R1543" s="63">
        <f>(COUNTIFS($P:$P, "&gt;" &amp; $P1543) + 1) / (COUNTA($I:$I) - 1)</f>
        <v>0.57140000000000002</v>
      </c>
      <c r="S1543" s="23">
        <f>SUMIFS($P:$P, $Q:$Q, "&lt;" &amp; $Q1543)</f>
        <v>184514256</v>
      </c>
    </row>
    <row r="1544" spans="1:19" x14ac:dyDescent="0.25">
      <c r="A1544" s="1">
        <v>1539</v>
      </c>
      <c r="B1544" s="1" t="s">
        <v>2</v>
      </c>
      <c r="C1544" s="1" t="str">
        <f>IF($B1544 = "Production Item", _xlfn.XLOOKUP($A1544, 'Instrument Table'!$J:$J, 'Instrument Table'!$B:$B, $C1543), IF($B1544 = "Service Item", _xlfn.XLOOKUP($A1544, 'Instrument Table'!$I:$I, 'Instrument Table'!$B:$B, $C1543), _xlfn.XLOOKUP($A1544, 'Instrument Table'!$H:$H, 'Instrument Table'!$B:$B, $C1543)))</f>
        <v>Acoustic Guitar</v>
      </c>
      <c r="D1544" s="1" t="str">
        <f>VLOOKUP($C1544, 'Instrument Table'!$B:$C, 2, FALSE)</f>
        <v>Strings</v>
      </c>
      <c r="E1544" s="1">
        <f t="shared" si="144"/>
        <v>1</v>
      </c>
      <c r="F1544" s="1">
        <f>_xlfn.XLOOKUP($C1544, 'Instrument Table'!$B:$B, 'Instrument Table'!$A:$A, "")</f>
        <v>24</v>
      </c>
      <c r="G1544" s="1" t="str">
        <f>TEXT(IF($B1544 = "Retail Item", IF((ROW($A1544) - 4504 - _xlfn.XMATCH($C1544, $C$4506:$C$5005, 0, 1)) &lt;= VLOOKUP($C1544, 'Instrument Table'!$B:$D, 3, FALSE), ROW($A1544) - 4504 - _xlfn.XMATCH($C1544, $C$4506:$C$5005, 0, 1), 0), 0), "00")</f>
        <v>00</v>
      </c>
      <c r="H1544" s="1" t="str">
        <f t="shared" si="145"/>
        <v>188</v>
      </c>
      <c r="I1544" s="1" t="str">
        <f t="shared" si="146"/>
        <v>12400-188</v>
      </c>
      <c r="J1544" s="1" t="str">
        <f t="shared" si="147"/>
        <v>Acoustic guitar production item #188</v>
      </c>
      <c r="K1544" s="1" t="str">
        <f>IF(SUM(COUNTIFS(I:I, I1544)) &gt; 1, "DUPLICATE", "UNIQUE")</f>
        <v>UNIQUE</v>
      </c>
      <c r="L1544" s="18">
        <v>32</v>
      </c>
      <c r="M1544" s="28">
        <v>62</v>
      </c>
      <c r="N1544" s="6">
        <v>144</v>
      </c>
      <c r="O1544" s="30">
        <f t="shared" si="148"/>
        <v>1984</v>
      </c>
      <c r="P1544" s="30">
        <f t="shared" si="149"/>
        <v>8928</v>
      </c>
      <c r="Q1544" s="1">
        <f>COUNTIFS($P:$P, "&gt;" &amp; $P1544) + 1</f>
        <v>1883</v>
      </c>
      <c r="R1544" s="63">
        <f>(COUNTIFS($P:$P, "&gt;" &amp; $P1544) + 1) / (COUNTA($I:$I) - 1)</f>
        <v>0.37659999999999999</v>
      </c>
      <c r="S1544" s="23">
        <f>SUMIFS($P:$P, $Q:$Q, "&lt;" &amp; $Q1544)</f>
        <v>179012771</v>
      </c>
    </row>
    <row r="1545" spans="1:19" x14ac:dyDescent="0.25">
      <c r="A1545" s="1">
        <v>1540</v>
      </c>
      <c r="B1545" s="1" t="s">
        <v>2</v>
      </c>
      <c r="C1545" s="1" t="str">
        <f>IF($B1545 = "Production Item", _xlfn.XLOOKUP($A1545, 'Instrument Table'!$J:$J, 'Instrument Table'!$B:$B, $C1544), IF($B1545 = "Service Item", _xlfn.XLOOKUP($A1545, 'Instrument Table'!$I:$I, 'Instrument Table'!$B:$B, $C1544), _xlfn.XLOOKUP($A1545, 'Instrument Table'!$H:$H, 'Instrument Table'!$B:$B, $C1544)))</f>
        <v>Acoustic Guitar</v>
      </c>
      <c r="D1545" s="1" t="str">
        <f>VLOOKUP($C1545, 'Instrument Table'!$B:$C, 2, FALSE)</f>
        <v>Strings</v>
      </c>
      <c r="E1545" s="1">
        <f t="shared" si="144"/>
        <v>1</v>
      </c>
      <c r="F1545" s="1">
        <f>_xlfn.XLOOKUP($C1545, 'Instrument Table'!$B:$B, 'Instrument Table'!$A:$A, "")</f>
        <v>24</v>
      </c>
      <c r="G1545" s="1" t="str">
        <f>TEXT(IF($B1545 = "Retail Item", IF((ROW($A1545) - 4504 - _xlfn.XMATCH($C1545, $C$4506:$C$5005, 0, 1)) &lt;= VLOOKUP($C1545, 'Instrument Table'!$B:$D, 3, FALSE), ROW($A1545) - 4504 - _xlfn.XMATCH($C1545, $C$4506:$C$5005, 0, 1), 0), 0), "00")</f>
        <v>00</v>
      </c>
      <c r="H1545" s="1" t="str">
        <f t="shared" si="145"/>
        <v>189</v>
      </c>
      <c r="I1545" s="1" t="str">
        <f t="shared" si="146"/>
        <v>12400-189</v>
      </c>
      <c r="J1545" s="1" t="str">
        <f t="shared" si="147"/>
        <v>Acoustic guitar production item #189</v>
      </c>
      <c r="K1545" s="1" t="str">
        <f>IF(SUM(COUNTIFS(I:I, I1545)) &gt; 1, "DUPLICATE", "UNIQUE")</f>
        <v>UNIQUE</v>
      </c>
      <c r="L1545" s="18">
        <v>0</v>
      </c>
      <c r="M1545" s="28">
        <v>80</v>
      </c>
      <c r="N1545" s="6">
        <v>16</v>
      </c>
      <c r="O1545" s="30">
        <f t="shared" si="148"/>
        <v>0</v>
      </c>
      <c r="P1545" s="30">
        <f t="shared" si="149"/>
        <v>1280</v>
      </c>
      <c r="Q1545" s="1">
        <f>COUNTIFS($P:$P, "&gt;" &amp; $P1545) + 1</f>
        <v>3569</v>
      </c>
      <c r="R1545" s="63">
        <f>(COUNTIFS($P:$P, "&gt;" &amp; $P1545) + 1) / (COUNTA($I:$I) - 1)</f>
        <v>0.71379999999999999</v>
      </c>
      <c r="S1545" s="23">
        <f>SUMIFS($P:$P, $Q:$Q, "&lt;" &amp; $Q1545)</f>
        <v>186031008</v>
      </c>
    </row>
    <row r="1546" spans="1:19" x14ac:dyDescent="0.25">
      <c r="A1546" s="1">
        <v>1541</v>
      </c>
      <c r="B1546" s="1" t="s">
        <v>2</v>
      </c>
      <c r="C1546" s="1" t="str">
        <f>IF($B1546 = "Production Item", _xlfn.XLOOKUP($A1546, 'Instrument Table'!$J:$J, 'Instrument Table'!$B:$B, $C1545), IF($B1546 = "Service Item", _xlfn.XLOOKUP($A1546, 'Instrument Table'!$I:$I, 'Instrument Table'!$B:$B, $C1545), _xlfn.XLOOKUP($A1546, 'Instrument Table'!$H:$H, 'Instrument Table'!$B:$B, $C1545)))</f>
        <v>Acoustic Guitar</v>
      </c>
      <c r="D1546" s="1" t="str">
        <f>VLOOKUP($C1546, 'Instrument Table'!$B:$C, 2, FALSE)</f>
        <v>Strings</v>
      </c>
      <c r="E1546" s="1">
        <f t="shared" si="144"/>
        <v>1</v>
      </c>
      <c r="F1546" s="1">
        <f>_xlfn.XLOOKUP($C1546, 'Instrument Table'!$B:$B, 'Instrument Table'!$A:$A, "")</f>
        <v>24</v>
      </c>
      <c r="G1546" s="1" t="str">
        <f>TEXT(IF($B1546 = "Retail Item", IF((ROW($A1546) - 4504 - _xlfn.XMATCH($C1546, $C$4506:$C$5005, 0, 1)) &lt;= VLOOKUP($C1546, 'Instrument Table'!$B:$D, 3, FALSE), ROW($A1546) - 4504 - _xlfn.XMATCH($C1546, $C$4506:$C$5005, 0, 1), 0), 0), "00")</f>
        <v>00</v>
      </c>
      <c r="H1546" s="1" t="str">
        <f t="shared" si="145"/>
        <v>190</v>
      </c>
      <c r="I1546" s="1" t="str">
        <f t="shared" si="146"/>
        <v>12400-190</v>
      </c>
      <c r="J1546" s="1" t="str">
        <f t="shared" si="147"/>
        <v>Acoustic guitar production item #190</v>
      </c>
      <c r="K1546" s="1" t="str">
        <f>IF(SUM(COUNTIFS(I:I, I1546)) &gt; 1, "DUPLICATE", "UNIQUE")</f>
        <v>UNIQUE</v>
      </c>
      <c r="L1546" s="18">
        <v>0</v>
      </c>
      <c r="M1546" s="28">
        <v>59</v>
      </c>
      <c r="N1546" s="6">
        <v>16</v>
      </c>
      <c r="O1546" s="30">
        <f t="shared" si="148"/>
        <v>0</v>
      </c>
      <c r="P1546" s="30">
        <f t="shared" si="149"/>
        <v>944</v>
      </c>
      <c r="Q1546" s="1">
        <f>COUNTIFS($P:$P, "&gt;" &amp; $P1546) + 1</f>
        <v>3707</v>
      </c>
      <c r="R1546" s="63">
        <f>(COUNTIFS($P:$P, "&gt;" &amp; $P1546) + 1) / (COUNTA($I:$I) - 1)</f>
        <v>0.74139999999999995</v>
      </c>
      <c r="S1546" s="23">
        <f>SUMIFS($P:$P, $Q:$Q, "&lt;" &amp; $Q1546)</f>
        <v>186185513</v>
      </c>
    </row>
    <row r="1547" spans="1:19" x14ac:dyDescent="0.25">
      <c r="A1547" s="1">
        <v>1542</v>
      </c>
      <c r="B1547" s="1" t="s">
        <v>2</v>
      </c>
      <c r="C1547" s="1" t="str">
        <f>IF($B1547 = "Production Item", _xlfn.XLOOKUP($A1547, 'Instrument Table'!$J:$J, 'Instrument Table'!$B:$B, $C1546), IF($B1547 = "Service Item", _xlfn.XLOOKUP($A1547, 'Instrument Table'!$I:$I, 'Instrument Table'!$B:$B, $C1546), _xlfn.XLOOKUP($A1547, 'Instrument Table'!$H:$H, 'Instrument Table'!$B:$B, $C1546)))</f>
        <v>Acoustic Guitar</v>
      </c>
      <c r="D1547" s="1" t="str">
        <f>VLOOKUP($C1547, 'Instrument Table'!$B:$C, 2, FALSE)</f>
        <v>Strings</v>
      </c>
      <c r="E1547" s="1">
        <f t="shared" si="144"/>
        <v>1</v>
      </c>
      <c r="F1547" s="1">
        <f>_xlfn.XLOOKUP($C1547, 'Instrument Table'!$B:$B, 'Instrument Table'!$A:$A, "")</f>
        <v>24</v>
      </c>
      <c r="G1547" s="1" t="str">
        <f>TEXT(IF($B1547 = "Retail Item", IF((ROW($A1547) - 4504 - _xlfn.XMATCH($C1547, $C$4506:$C$5005, 0, 1)) &lt;= VLOOKUP($C1547, 'Instrument Table'!$B:$D, 3, FALSE), ROW($A1547) - 4504 - _xlfn.XMATCH($C1547, $C$4506:$C$5005, 0, 1), 0), 0), "00")</f>
        <v>00</v>
      </c>
      <c r="H1547" s="1" t="str">
        <f t="shared" si="145"/>
        <v>191</v>
      </c>
      <c r="I1547" s="1" t="str">
        <f t="shared" si="146"/>
        <v>12400-191</v>
      </c>
      <c r="J1547" s="1" t="str">
        <f t="shared" si="147"/>
        <v>Acoustic guitar production item #191</v>
      </c>
      <c r="K1547" s="1" t="str">
        <f>IF(SUM(COUNTIFS(I:I, I1547)) &gt; 1, "DUPLICATE", "UNIQUE")</f>
        <v>UNIQUE</v>
      </c>
      <c r="L1547" s="18">
        <v>2</v>
      </c>
      <c r="M1547" s="28">
        <v>72</v>
      </c>
      <c r="N1547" s="6">
        <v>225</v>
      </c>
      <c r="O1547" s="30">
        <f t="shared" si="148"/>
        <v>144</v>
      </c>
      <c r="P1547" s="30">
        <f t="shared" si="149"/>
        <v>16200</v>
      </c>
      <c r="Q1547" s="1">
        <f>COUNTIFS($P:$P, "&gt;" &amp; $P1547) + 1</f>
        <v>1265</v>
      </c>
      <c r="R1547" s="63">
        <f>(COUNTIFS($P:$P, "&gt;" &amp; $P1547) + 1) / (COUNTA($I:$I) - 1)</f>
        <v>0.253</v>
      </c>
      <c r="S1547" s="23">
        <f>SUMIFS($P:$P, $Q:$Q, "&lt;" &amp; $Q1547)</f>
        <v>171414314</v>
      </c>
    </row>
    <row r="1548" spans="1:19" x14ac:dyDescent="0.25">
      <c r="A1548" s="1">
        <v>1543</v>
      </c>
      <c r="B1548" s="1" t="s">
        <v>2</v>
      </c>
      <c r="C1548" s="1" t="str">
        <f>IF($B1548 = "Production Item", _xlfn.XLOOKUP($A1548, 'Instrument Table'!$J:$J, 'Instrument Table'!$B:$B, $C1547), IF($B1548 = "Service Item", _xlfn.XLOOKUP($A1548, 'Instrument Table'!$I:$I, 'Instrument Table'!$B:$B, $C1547), _xlfn.XLOOKUP($A1548, 'Instrument Table'!$H:$H, 'Instrument Table'!$B:$B, $C1547)))</f>
        <v>Acoustic Guitar</v>
      </c>
      <c r="D1548" s="1" t="str">
        <f>VLOOKUP($C1548, 'Instrument Table'!$B:$C, 2, FALSE)</f>
        <v>Strings</v>
      </c>
      <c r="E1548" s="1">
        <f t="shared" si="144"/>
        <v>1</v>
      </c>
      <c r="F1548" s="1">
        <f>_xlfn.XLOOKUP($C1548, 'Instrument Table'!$B:$B, 'Instrument Table'!$A:$A, "")</f>
        <v>24</v>
      </c>
      <c r="G1548" s="1" t="str">
        <f>TEXT(IF($B1548 = "Retail Item", IF((ROW($A1548) - 4504 - _xlfn.XMATCH($C1548, $C$4506:$C$5005, 0, 1)) &lt;= VLOOKUP($C1548, 'Instrument Table'!$B:$D, 3, FALSE), ROW($A1548) - 4504 - _xlfn.XMATCH($C1548, $C$4506:$C$5005, 0, 1), 0), 0), "00")</f>
        <v>00</v>
      </c>
      <c r="H1548" s="1" t="str">
        <f t="shared" si="145"/>
        <v>192</v>
      </c>
      <c r="I1548" s="1" t="str">
        <f t="shared" si="146"/>
        <v>12400-192</v>
      </c>
      <c r="J1548" s="1" t="str">
        <f t="shared" si="147"/>
        <v>Acoustic guitar production item #192</v>
      </c>
      <c r="K1548" s="1" t="str">
        <f>IF(SUM(COUNTIFS(I:I, I1548)) &gt; 1, "DUPLICATE", "UNIQUE")</f>
        <v>UNIQUE</v>
      </c>
      <c r="L1548" s="18">
        <v>0</v>
      </c>
      <c r="M1548" s="28">
        <v>75</v>
      </c>
      <c r="N1548" s="6">
        <v>16</v>
      </c>
      <c r="O1548" s="30">
        <f t="shared" si="148"/>
        <v>0</v>
      </c>
      <c r="P1548" s="30">
        <f t="shared" si="149"/>
        <v>1200</v>
      </c>
      <c r="Q1548" s="1">
        <f>COUNTIFS($P:$P, "&gt;" &amp; $P1548) + 1</f>
        <v>3608</v>
      </c>
      <c r="R1548" s="63">
        <f>(COUNTIFS($P:$P, "&gt;" &amp; $P1548) + 1) / (COUNTA($I:$I) - 1)</f>
        <v>0.72160000000000002</v>
      </c>
      <c r="S1548" s="23">
        <f>SUMIFS($P:$P, $Q:$Q, "&lt;" &amp; $Q1548)</f>
        <v>186079438</v>
      </c>
    </row>
    <row r="1549" spans="1:19" x14ac:dyDescent="0.25">
      <c r="A1549" s="1">
        <v>1544</v>
      </c>
      <c r="B1549" s="1" t="s">
        <v>2</v>
      </c>
      <c r="C1549" s="1" t="str">
        <f>IF($B1549 = "Production Item", _xlfn.XLOOKUP($A1549, 'Instrument Table'!$J:$J, 'Instrument Table'!$B:$B, $C1548), IF($B1549 = "Service Item", _xlfn.XLOOKUP($A1549, 'Instrument Table'!$I:$I, 'Instrument Table'!$B:$B, $C1548), _xlfn.XLOOKUP($A1549, 'Instrument Table'!$H:$H, 'Instrument Table'!$B:$B, $C1548)))</f>
        <v>Acoustic Guitar</v>
      </c>
      <c r="D1549" s="1" t="str">
        <f>VLOOKUP($C1549, 'Instrument Table'!$B:$C, 2, FALSE)</f>
        <v>Strings</v>
      </c>
      <c r="E1549" s="1">
        <f t="shared" si="144"/>
        <v>1</v>
      </c>
      <c r="F1549" s="1">
        <f>_xlfn.XLOOKUP($C1549, 'Instrument Table'!$B:$B, 'Instrument Table'!$A:$A, "")</f>
        <v>24</v>
      </c>
      <c r="G1549" s="1" t="str">
        <f>TEXT(IF($B1549 = "Retail Item", IF((ROW($A1549) - 4504 - _xlfn.XMATCH($C1549, $C$4506:$C$5005, 0, 1)) &lt;= VLOOKUP($C1549, 'Instrument Table'!$B:$D, 3, FALSE), ROW($A1549) - 4504 - _xlfn.XMATCH($C1549, $C$4506:$C$5005, 0, 1), 0), 0), "00")</f>
        <v>00</v>
      </c>
      <c r="H1549" s="1" t="str">
        <f t="shared" si="145"/>
        <v>193</v>
      </c>
      <c r="I1549" s="1" t="str">
        <f t="shared" si="146"/>
        <v>12400-193</v>
      </c>
      <c r="J1549" s="1" t="str">
        <f t="shared" si="147"/>
        <v>Acoustic guitar production item #193</v>
      </c>
      <c r="K1549" s="1" t="str">
        <f>IF(SUM(COUNTIFS(I:I, I1549)) &gt; 1, "DUPLICATE", "UNIQUE")</f>
        <v>UNIQUE</v>
      </c>
      <c r="L1549" s="18">
        <v>32</v>
      </c>
      <c r="M1549" s="28">
        <v>28</v>
      </c>
      <c r="N1549" s="6">
        <v>400</v>
      </c>
      <c r="O1549" s="30">
        <f t="shared" si="148"/>
        <v>896</v>
      </c>
      <c r="P1549" s="30">
        <f t="shared" si="149"/>
        <v>11200</v>
      </c>
      <c r="Q1549" s="1">
        <f>COUNTIFS($P:$P, "&gt;" &amp; $P1549) + 1</f>
        <v>1667</v>
      </c>
      <c r="R1549" s="63">
        <f>(COUNTIFS($P:$P, "&gt;" &amp; $P1549) + 1) / (COUNTA($I:$I) - 1)</f>
        <v>0.33339999999999997</v>
      </c>
      <c r="S1549" s="23">
        <f>SUMIFS($P:$P, $Q:$Q, "&lt;" &amp; $Q1549)</f>
        <v>176849955</v>
      </c>
    </row>
    <row r="1550" spans="1:19" x14ac:dyDescent="0.25">
      <c r="A1550" s="1">
        <v>1545</v>
      </c>
      <c r="B1550" s="1" t="s">
        <v>2</v>
      </c>
      <c r="C1550" s="1" t="str">
        <f>IF($B1550 = "Production Item", _xlfn.XLOOKUP($A1550, 'Instrument Table'!$J:$J, 'Instrument Table'!$B:$B, $C1549), IF($B1550 = "Service Item", _xlfn.XLOOKUP($A1550, 'Instrument Table'!$I:$I, 'Instrument Table'!$B:$B, $C1549), _xlfn.XLOOKUP($A1550, 'Instrument Table'!$H:$H, 'Instrument Table'!$B:$B, $C1549)))</f>
        <v>Acoustic Guitar</v>
      </c>
      <c r="D1550" s="1" t="str">
        <f>VLOOKUP($C1550, 'Instrument Table'!$B:$C, 2, FALSE)</f>
        <v>Strings</v>
      </c>
      <c r="E1550" s="1">
        <f t="shared" si="144"/>
        <v>1</v>
      </c>
      <c r="F1550" s="1">
        <f>_xlfn.XLOOKUP($C1550, 'Instrument Table'!$B:$B, 'Instrument Table'!$A:$A, "")</f>
        <v>24</v>
      </c>
      <c r="G1550" s="1" t="str">
        <f>TEXT(IF($B1550 = "Retail Item", IF((ROW($A1550) - 4504 - _xlfn.XMATCH($C1550, $C$4506:$C$5005, 0, 1)) &lt;= VLOOKUP($C1550, 'Instrument Table'!$B:$D, 3, FALSE), ROW($A1550) - 4504 - _xlfn.XMATCH($C1550, $C$4506:$C$5005, 0, 1), 0), 0), "00")</f>
        <v>00</v>
      </c>
      <c r="H1550" s="1" t="str">
        <f t="shared" si="145"/>
        <v>194</v>
      </c>
      <c r="I1550" s="1" t="str">
        <f t="shared" si="146"/>
        <v>12400-194</v>
      </c>
      <c r="J1550" s="1" t="str">
        <f t="shared" si="147"/>
        <v>Acoustic guitar production item #194</v>
      </c>
      <c r="K1550" s="1" t="str">
        <f>IF(SUM(COUNTIFS(I:I, I1550)) &gt; 1, "DUPLICATE", "UNIQUE")</f>
        <v>UNIQUE</v>
      </c>
      <c r="L1550" s="18">
        <v>8</v>
      </c>
      <c r="M1550" s="28">
        <v>92</v>
      </c>
      <c r="N1550" s="6">
        <v>225</v>
      </c>
      <c r="O1550" s="30">
        <f t="shared" si="148"/>
        <v>736</v>
      </c>
      <c r="P1550" s="30">
        <f t="shared" si="149"/>
        <v>20700</v>
      </c>
      <c r="Q1550" s="1">
        <f>COUNTIFS($P:$P, "&gt;" &amp; $P1550) + 1</f>
        <v>1018</v>
      </c>
      <c r="R1550" s="63">
        <f>(COUNTIFS($P:$P, "&gt;" &amp; $P1550) + 1) / (COUNTA($I:$I) - 1)</f>
        <v>0.2036</v>
      </c>
      <c r="S1550" s="23">
        <f>SUMIFS($P:$P, $Q:$Q, "&lt;" &amp; $Q1550)</f>
        <v>166867897</v>
      </c>
    </row>
    <row r="1551" spans="1:19" x14ac:dyDescent="0.25">
      <c r="A1551" s="1">
        <v>1546</v>
      </c>
      <c r="B1551" s="1" t="s">
        <v>2</v>
      </c>
      <c r="C1551" s="1" t="str">
        <f>IF($B1551 = "Production Item", _xlfn.XLOOKUP($A1551, 'Instrument Table'!$J:$J, 'Instrument Table'!$B:$B, $C1550), IF($B1551 = "Service Item", _xlfn.XLOOKUP($A1551, 'Instrument Table'!$I:$I, 'Instrument Table'!$B:$B, $C1550), _xlfn.XLOOKUP($A1551, 'Instrument Table'!$H:$H, 'Instrument Table'!$B:$B, $C1550)))</f>
        <v>Acoustic Guitar</v>
      </c>
      <c r="D1551" s="1" t="str">
        <f>VLOOKUP($C1551, 'Instrument Table'!$B:$C, 2, FALSE)</f>
        <v>Strings</v>
      </c>
      <c r="E1551" s="1">
        <f t="shared" si="144"/>
        <v>1</v>
      </c>
      <c r="F1551" s="1">
        <f>_xlfn.XLOOKUP($C1551, 'Instrument Table'!$B:$B, 'Instrument Table'!$A:$A, "")</f>
        <v>24</v>
      </c>
      <c r="G1551" s="1" t="str">
        <f>TEXT(IF($B1551 = "Retail Item", IF((ROW($A1551) - 4504 - _xlfn.XMATCH($C1551, $C$4506:$C$5005, 0, 1)) &lt;= VLOOKUP($C1551, 'Instrument Table'!$B:$D, 3, FALSE), ROW($A1551) - 4504 - _xlfn.XMATCH($C1551, $C$4506:$C$5005, 0, 1), 0), 0), "00")</f>
        <v>00</v>
      </c>
      <c r="H1551" s="1" t="str">
        <f t="shared" si="145"/>
        <v>195</v>
      </c>
      <c r="I1551" s="1" t="str">
        <f t="shared" si="146"/>
        <v>12400-195</v>
      </c>
      <c r="J1551" s="1" t="str">
        <f t="shared" si="147"/>
        <v>Acoustic guitar production item #195</v>
      </c>
      <c r="K1551" s="1" t="str">
        <f>IF(SUM(COUNTIFS(I:I, I1551)) &gt; 1, "DUPLICATE", "UNIQUE")</f>
        <v>UNIQUE</v>
      </c>
      <c r="L1551" s="18">
        <v>4</v>
      </c>
      <c r="M1551" s="28">
        <v>34</v>
      </c>
      <c r="N1551" s="6">
        <v>16</v>
      </c>
      <c r="O1551" s="30">
        <f t="shared" si="148"/>
        <v>136</v>
      </c>
      <c r="P1551" s="30">
        <f t="shared" si="149"/>
        <v>544</v>
      </c>
      <c r="Q1551" s="1">
        <f>COUNTIFS($P:$P, "&gt;" &amp; $P1551) + 1</f>
        <v>3987</v>
      </c>
      <c r="R1551" s="63">
        <f>(COUNTIFS($P:$P, "&gt;" &amp; $P1551) + 1) / (COUNTA($I:$I) - 1)</f>
        <v>0.7974</v>
      </c>
      <c r="S1551" s="23">
        <f>SUMIFS($P:$P, $Q:$Q, "&lt;" &amp; $Q1551)</f>
        <v>186391316</v>
      </c>
    </row>
    <row r="1552" spans="1:19" x14ac:dyDescent="0.25">
      <c r="A1552" s="1">
        <v>1547</v>
      </c>
      <c r="B1552" s="1" t="s">
        <v>2</v>
      </c>
      <c r="C1552" s="1" t="str">
        <f>IF($B1552 = "Production Item", _xlfn.XLOOKUP($A1552, 'Instrument Table'!$J:$J, 'Instrument Table'!$B:$B, $C1551), IF($B1552 = "Service Item", _xlfn.XLOOKUP($A1552, 'Instrument Table'!$I:$I, 'Instrument Table'!$B:$B, $C1551), _xlfn.XLOOKUP($A1552, 'Instrument Table'!$H:$H, 'Instrument Table'!$B:$B, $C1551)))</f>
        <v>Acoustic Guitar</v>
      </c>
      <c r="D1552" s="1" t="str">
        <f>VLOOKUP($C1552, 'Instrument Table'!$B:$C, 2, FALSE)</f>
        <v>Strings</v>
      </c>
      <c r="E1552" s="1">
        <f t="shared" si="144"/>
        <v>1</v>
      </c>
      <c r="F1552" s="1">
        <f>_xlfn.XLOOKUP($C1552, 'Instrument Table'!$B:$B, 'Instrument Table'!$A:$A, "")</f>
        <v>24</v>
      </c>
      <c r="G1552" s="1" t="str">
        <f>TEXT(IF($B1552 = "Retail Item", IF((ROW($A1552) - 4504 - _xlfn.XMATCH($C1552, $C$4506:$C$5005, 0, 1)) &lt;= VLOOKUP($C1552, 'Instrument Table'!$B:$D, 3, FALSE), ROW($A1552) - 4504 - _xlfn.XMATCH($C1552, $C$4506:$C$5005, 0, 1), 0), 0), "00")</f>
        <v>00</v>
      </c>
      <c r="H1552" s="1" t="str">
        <f t="shared" si="145"/>
        <v>196</v>
      </c>
      <c r="I1552" s="1" t="str">
        <f t="shared" si="146"/>
        <v>12400-196</v>
      </c>
      <c r="J1552" s="1" t="str">
        <f t="shared" si="147"/>
        <v>Acoustic guitar production item #196</v>
      </c>
      <c r="K1552" s="1" t="str">
        <f>IF(SUM(COUNTIFS(I:I, I1552)) &gt; 1, "DUPLICATE", "UNIQUE")</f>
        <v>UNIQUE</v>
      </c>
      <c r="L1552" s="18">
        <v>0</v>
      </c>
      <c r="M1552" s="28">
        <v>54</v>
      </c>
      <c r="N1552" s="6">
        <v>25</v>
      </c>
      <c r="O1552" s="30">
        <f t="shared" si="148"/>
        <v>0</v>
      </c>
      <c r="P1552" s="30">
        <f t="shared" si="149"/>
        <v>1350</v>
      </c>
      <c r="Q1552" s="1">
        <f>COUNTIFS($P:$P, "&gt;" &amp; $P1552) + 1</f>
        <v>3536</v>
      </c>
      <c r="R1552" s="63">
        <f>(COUNTIFS($P:$P, "&gt;" &amp; $P1552) + 1) / (COUNTA($I:$I) - 1)</f>
        <v>0.70720000000000005</v>
      </c>
      <c r="S1552" s="23">
        <f>SUMIFS($P:$P, $Q:$Q, "&lt;" &amp; $Q1552)</f>
        <v>185987313</v>
      </c>
    </row>
    <row r="1553" spans="1:19" x14ac:dyDescent="0.25">
      <c r="A1553" s="1">
        <v>1548</v>
      </c>
      <c r="B1553" s="1" t="s">
        <v>2</v>
      </c>
      <c r="C1553" s="1" t="str">
        <f>IF($B1553 = "Production Item", _xlfn.XLOOKUP($A1553, 'Instrument Table'!$J:$J, 'Instrument Table'!$B:$B, $C1552), IF($B1553 = "Service Item", _xlfn.XLOOKUP($A1553, 'Instrument Table'!$I:$I, 'Instrument Table'!$B:$B, $C1552), _xlfn.XLOOKUP($A1553, 'Instrument Table'!$H:$H, 'Instrument Table'!$B:$B, $C1552)))</f>
        <v>Acoustic Guitar</v>
      </c>
      <c r="D1553" s="1" t="str">
        <f>VLOOKUP($C1553, 'Instrument Table'!$B:$C, 2, FALSE)</f>
        <v>Strings</v>
      </c>
      <c r="E1553" s="1">
        <f t="shared" si="144"/>
        <v>1</v>
      </c>
      <c r="F1553" s="1">
        <f>_xlfn.XLOOKUP($C1553, 'Instrument Table'!$B:$B, 'Instrument Table'!$A:$A, "")</f>
        <v>24</v>
      </c>
      <c r="G1553" s="1" t="str">
        <f>TEXT(IF($B1553 = "Retail Item", IF((ROW($A1553) - 4504 - _xlfn.XMATCH($C1553, $C$4506:$C$5005, 0, 1)) &lt;= VLOOKUP($C1553, 'Instrument Table'!$B:$D, 3, FALSE), ROW($A1553) - 4504 - _xlfn.XMATCH($C1553, $C$4506:$C$5005, 0, 1), 0), 0), "00")</f>
        <v>00</v>
      </c>
      <c r="H1553" s="1" t="str">
        <f t="shared" si="145"/>
        <v>197</v>
      </c>
      <c r="I1553" s="1" t="str">
        <f t="shared" si="146"/>
        <v>12400-197</v>
      </c>
      <c r="J1553" s="1" t="str">
        <f t="shared" si="147"/>
        <v>Acoustic guitar production item #197</v>
      </c>
      <c r="K1553" s="1" t="str">
        <f>IF(SUM(COUNTIFS(I:I, I1553)) &gt; 1, "DUPLICATE", "UNIQUE")</f>
        <v>UNIQUE</v>
      </c>
      <c r="L1553" s="18">
        <v>0</v>
      </c>
      <c r="M1553" s="28">
        <v>64</v>
      </c>
      <c r="N1553" s="6">
        <v>144</v>
      </c>
      <c r="O1553" s="30">
        <f t="shared" si="148"/>
        <v>0</v>
      </c>
      <c r="P1553" s="30">
        <f t="shared" si="149"/>
        <v>9216</v>
      </c>
      <c r="Q1553" s="1">
        <f>COUNTIFS($P:$P, "&gt;" &amp; $P1553) + 1</f>
        <v>1850</v>
      </c>
      <c r="R1553" s="63">
        <f>(COUNTIFS($P:$P, "&gt;" &amp; $P1553) + 1) / (COUNTA($I:$I) - 1)</f>
        <v>0.37</v>
      </c>
      <c r="S1553" s="23">
        <f>SUMIFS($P:$P, $Q:$Q, "&lt;" &amp; $Q1553)</f>
        <v>178713824</v>
      </c>
    </row>
    <row r="1554" spans="1:19" x14ac:dyDescent="0.25">
      <c r="A1554" s="1">
        <v>1549</v>
      </c>
      <c r="B1554" s="1" t="s">
        <v>2</v>
      </c>
      <c r="C1554" s="1" t="str">
        <f>IF($B1554 = "Production Item", _xlfn.XLOOKUP($A1554, 'Instrument Table'!$J:$J, 'Instrument Table'!$B:$B, $C1553), IF($B1554 = "Service Item", _xlfn.XLOOKUP($A1554, 'Instrument Table'!$I:$I, 'Instrument Table'!$B:$B, $C1553), _xlfn.XLOOKUP($A1554, 'Instrument Table'!$H:$H, 'Instrument Table'!$B:$B, $C1553)))</f>
        <v>Acoustic Guitar</v>
      </c>
      <c r="D1554" s="1" t="str">
        <f>VLOOKUP($C1554, 'Instrument Table'!$B:$C, 2, FALSE)</f>
        <v>Strings</v>
      </c>
      <c r="E1554" s="1">
        <f t="shared" si="144"/>
        <v>1</v>
      </c>
      <c r="F1554" s="1">
        <f>_xlfn.XLOOKUP($C1554, 'Instrument Table'!$B:$B, 'Instrument Table'!$A:$A, "")</f>
        <v>24</v>
      </c>
      <c r="G1554" s="1" t="str">
        <f>TEXT(IF($B1554 = "Retail Item", IF((ROW($A1554) - 4504 - _xlfn.XMATCH($C1554, $C$4506:$C$5005, 0, 1)) &lt;= VLOOKUP($C1554, 'Instrument Table'!$B:$D, 3, FALSE), ROW($A1554) - 4504 - _xlfn.XMATCH($C1554, $C$4506:$C$5005, 0, 1), 0), 0), "00")</f>
        <v>00</v>
      </c>
      <c r="H1554" s="1" t="str">
        <f t="shared" si="145"/>
        <v>198</v>
      </c>
      <c r="I1554" s="1" t="str">
        <f t="shared" si="146"/>
        <v>12400-198</v>
      </c>
      <c r="J1554" s="1" t="str">
        <f t="shared" si="147"/>
        <v>Acoustic guitar production item #198</v>
      </c>
      <c r="K1554" s="1" t="str">
        <f>IF(SUM(COUNTIFS(I:I, I1554)) &gt; 1, "DUPLICATE", "UNIQUE")</f>
        <v>UNIQUE</v>
      </c>
      <c r="L1554" s="18">
        <v>0</v>
      </c>
      <c r="M1554" s="28">
        <v>26</v>
      </c>
      <c r="N1554" s="6">
        <v>100</v>
      </c>
      <c r="O1554" s="30">
        <f t="shared" si="148"/>
        <v>0</v>
      </c>
      <c r="P1554" s="30">
        <f t="shared" si="149"/>
        <v>2600</v>
      </c>
      <c r="Q1554" s="1">
        <f>COUNTIFS($P:$P, "&gt;" &amp; $P1554) + 1</f>
        <v>3008</v>
      </c>
      <c r="R1554" s="63">
        <f>(COUNTIFS($P:$P, "&gt;" &amp; $P1554) + 1) / (COUNTA($I:$I) - 1)</f>
        <v>0.60160000000000002</v>
      </c>
      <c r="S1554" s="23">
        <f>SUMIFS($P:$P, $Q:$Q, "&lt;" &amp; $Q1554)</f>
        <v>184953072</v>
      </c>
    </row>
    <row r="1555" spans="1:19" x14ac:dyDescent="0.25">
      <c r="A1555" s="1">
        <v>1550</v>
      </c>
      <c r="B1555" s="1" t="s">
        <v>2</v>
      </c>
      <c r="C1555" s="1" t="str">
        <f>IF($B1555 = "Production Item", _xlfn.XLOOKUP($A1555, 'Instrument Table'!$J:$J, 'Instrument Table'!$B:$B, $C1554), IF($B1555 = "Service Item", _xlfn.XLOOKUP($A1555, 'Instrument Table'!$I:$I, 'Instrument Table'!$B:$B, $C1554), _xlfn.XLOOKUP($A1555, 'Instrument Table'!$H:$H, 'Instrument Table'!$B:$B, $C1554)))</f>
        <v>Acoustic Guitar</v>
      </c>
      <c r="D1555" s="1" t="str">
        <f>VLOOKUP($C1555, 'Instrument Table'!$B:$C, 2, FALSE)</f>
        <v>Strings</v>
      </c>
      <c r="E1555" s="1">
        <f t="shared" si="144"/>
        <v>1</v>
      </c>
      <c r="F1555" s="1">
        <f>_xlfn.XLOOKUP($C1555, 'Instrument Table'!$B:$B, 'Instrument Table'!$A:$A, "")</f>
        <v>24</v>
      </c>
      <c r="G1555" s="1" t="str">
        <f>TEXT(IF($B1555 = "Retail Item", IF((ROW($A1555) - 4504 - _xlfn.XMATCH($C1555, $C$4506:$C$5005, 0, 1)) &lt;= VLOOKUP($C1555, 'Instrument Table'!$B:$D, 3, FALSE), ROW($A1555) - 4504 - _xlfn.XMATCH($C1555, $C$4506:$C$5005, 0, 1), 0), 0), "00")</f>
        <v>00</v>
      </c>
      <c r="H1555" s="1" t="str">
        <f t="shared" si="145"/>
        <v>199</v>
      </c>
      <c r="I1555" s="1" t="str">
        <f t="shared" si="146"/>
        <v>12400-199</v>
      </c>
      <c r="J1555" s="1" t="str">
        <f t="shared" si="147"/>
        <v>Acoustic guitar production item #199</v>
      </c>
      <c r="K1555" s="1" t="str">
        <f>IF(SUM(COUNTIFS(I:I, I1555)) &gt; 1, "DUPLICATE", "UNIQUE")</f>
        <v>UNIQUE</v>
      </c>
      <c r="L1555" s="18">
        <v>1</v>
      </c>
      <c r="M1555" s="28">
        <v>92</v>
      </c>
      <c r="N1555" s="6">
        <v>324</v>
      </c>
      <c r="O1555" s="30">
        <f t="shared" si="148"/>
        <v>92</v>
      </c>
      <c r="P1555" s="30">
        <f t="shared" si="149"/>
        <v>29808</v>
      </c>
      <c r="Q1555" s="1">
        <f>COUNTIFS($P:$P, "&gt;" &amp; $P1555) + 1</f>
        <v>694</v>
      </c>
      <c r="R1555" s="63">
        <f>(COUNTIFS($P:$P, "&gt;" &amp; $P1555) + 1) / (COUNTA($I:$I) - 1)</f>
        <v>0.13880000000000001</v>
      </c>
      <c r="S1555" s="23">
        <f>SUMIFS($P:$P, $Q:$Q, "&lt;" &amp; $Q1555)</f>
        <v>158908468</v>
      </c>
    </row>
    <row r="1556" spans="1:19" x14ac:dyDescent="0.25">
      <c r="A1556" s="1">
        <v>1551</v>
      </c>
      <c r="B1556" s="1" t="s">
        <v>2</v>
      </c>
      <c r="C1556" s="1" t="str">
        <f>IF($B1556 = "Production Item", _xlfn.XLOOKUP($A1556, 'Instrument Table'!$J:$J, 'Instrument Table'!$B:$B, $C1555), IF($B1556 = "Service Item", _xlfn.XLOOKUP($A1556, 'Instrument Table'!$I:$I, 'Instrument Table'!$B:$B, $C1555), _xlfn.XLOOKUP($A1556, 'Instrument Table'!$H:$H, 'Instrument Table'!$B:$B, $C1555)))</f>
        <v>Electric Guitar</v>
      </c>
      <c r="D1556" s="1" t="str">
        <f>VLOOKUP($C1556, 'Instrument Table'!$B:$C, 2, FALSE)</f>
        <v>Strings</v>
      </c>
      <c r="E1556" s="1">
        <f t="shared" si="144"/>
        <v>1</v>
      </c>
      <c r="F1556" s="1">
        <f>_xlfn.XLOOKUP($C1556, 'Instrument Table'!$B:$B, 'Instrument Table'!$A:$A, "")</f>
        <v>25</v>
      </c>
      <c r="G1556" s="1" t="str">
        <f>TEXT(IF($B1556 = "Retail Item", IF((ROW($A1556) - 4504 - _xlfn.XMATCH($C1556, $C$4506:$C$5005, 0, 1)) &lt;= VLOOKUP($C1556, 'Instrument Table'!$B:$D, 3, FALSE), ROW($A1556) - 4504 - _xlfn.XMATCH($C1556, $C$4506:$C$5005, 0, 1), 0), 0), "00")</f>
        <v>00</v>
      </c>
      <c r="H1556" s="1" t="str">
        <f t="shared" si="145"/>
        <v>000</v>
      </c>
      <c r="I1556" s="1" t="str">
        <f t="shared" si="146"/>
        <v>12500-000</v>
      </c>
      <c r="J1556" s="1" t="str">
        <f t="shared" si="147"/>
        <v>Electric guitar production item #000</v>
      </c>
      <c r="K1556" s="1" t="str">
        <f>IF(SUM(COUNTIFS(I:I, I1556)) &gt; 1, "DUPLICATE", "UNIQUE")</f>
        <v>UNIQUE</v>
      </c>
      <c r="L1556" s="18">
        <v>1</v>
      </c>
      <c r="M1556" s="28">
        <v>17</v>
      </c>
      <c r="N1556" s="6">
        <v>324</v>
      </c>
      <c r="O1556" s="30">
        <f t="shared" si="148"/>
        <v>17</v>
      </c>
      <c r="P1556" s="30">
        <f t="shared" si="149"/>
        <v>5508</v>
      </c>
      <c r="Q1556" s="1">
        <f>COUNTIFS($P:$P, "&gt;" &amp; $P1556) + 1</f>
        <v>2346</v>
      </c>
      <c r="R1556" s="63">
        <f>(COUNTIFS($P:$P, "&gt;" &amp; $P1556) + 1) / (COUNTA($I:$I) - 1)</f>
        <v>0.46920000000000001</v>
      </c>
      <c r="S1556" s="23">
        <f>SUMIFS($P:$P, $Q:$Q, "&lt;" &amp; $Q1556)</f>
        <v>182325513</v>
      </c>
    </row>
    <row r="1557" spans="1:19" x14ac:dyDescent="0.25">
      <c r="A1557" s="1">
        <v>1552</v>
      </c>
      <c r="B1557" s="1" t="s">
        <v>2</v>
      </c>
      <c r="C1557" s="1" t="str">
        <f>IF($B1557 = "Production Item", _xlfn.XLOOKUP($A1557, 'Instrument Table'!$J:$J, 'Instrument Table'!$B:$B, $C1556), IF($B1557 = "Service Item", _xlfn.XLOOKUP($A1557, 'Instrument Table'!$I:$I, 'Instrument Table'!$B:$B, $C1556), _xlfn.XLOOKUP($A1557, 'Instrument Table'!$H:$H, 'Instrument Table'!$B:$B, $C1556)))</f>
        <v>Electric Guitar</v>
      </c>
      <c r="D1557" s="1" t="str">
        <f>VLOOKUP($C1557, 'Instrument Table'!$B:$C, 2, FALSE)</f>
        <v>Strings</v>
      </c>
      <c r="E1557" s="1">
        <f t="shared" si="144"/>
        <v>1</v>
      </c>
      <c r="F1557" s="1">
        <f>_xlfn.XLOOKUP($C1557, 'Instrument Table'!$B:$B, 'Instrument Table'!$A:$A, "")</f>
        <v>25</v>
      </c>
      <c r="G1557" s="1" t="str">
        <f>TEXT(IF($B1557 = "Retail Item", IF((ROW($A1557) - 4504 - _xlfn.XMATCH($C1557, $C$4506:$C$5005, 0, 1)) &lt;= VLOOKUP($C1557, 'Instrument Table'!$B:$D, 3, FALSE), ROW($A1557) - 4504 - _xlfn.XMATCH($C1557, $C$4506:$C$5005, 0, 1), 0), 0), "00")</f>
        <v>00</v>
      </c>
      <c r="H1557" s="1" t="str">
        <f t="shared" si="145"/>
        <v>001</v>
      </c>
      <c r="I1557" s="1" t="str">
        <f t="shared" si="146"/>
        <v>12500-001</v>
      </c>
      <c r="J1557" s="1" t="str">
        <f t="shared" si="147"/>
        <v>Electric guitar production item #001</v>
      </c>
      <c r="K1557" s="1" t="str">
        <f>IF(SUM(COUNTIFS(I:I, I1557)) &gt; 1, "DUPLICATE", "UNIQUE")</f>
        <v>UNIQUE</v>
      </c>
      <c r="L1557" s="18">
        <v>0</v>
      </c>
      <c r="M1557" s="28">
        <v>9</v>
      </c>
      <c r="N1557" s="6">
        <v>196</v>
      </c>
      <c r="O1557" s="30">
        <f t="shared" si="148"/>
        <v>0</v>
      </c>
      <c r="P1557" s="30">
        <f t="shared" si="149"/>
        <v>1764</v>
      </c>
      <c r="Q1557" s="1">
        <f>COUNTIFS($P:$P, "&gt;" &amp; $P1557) + 1</f>
        <v>3352</v>
      </c>
      <c r="R1557" s="63">
        <f>(COUNTIFS($P:$P, "&gt;" &amp; $P1557) + 1) / (COUNTA($I:$I) - 1)</f>
        <v>0.6704</v>
      </c>
      <c r="S1557" s="23">
        <f>SUMIFS($P:$P, $Q:$Q, "&lt;" &amp; $Q1557)</f>
        <v>185703990</v>
      </c>
    </row>
    <row r="1558" spans="1:19" x14ac:dyDescent="0.25">
      <c r="A1558" s="1">
        <v>1553</v>
      </c>
      <c r="B1558" s="1" t="s">
        <v>2</v>
      </c>
      <c r="C1558" s="1" t="str">
        <f>IF($B1558 = "Production Item", _xlfn.XLOOKUP($A1558, 'Instrument Table'!$J:$J, 'Instrument Table'!$B:$B, $C1557), IF($B1558 = "Service Item", _xlfn.XLOOKUP($A1558, 'Instrument Table'!$I:$I, 'Instrument Table'!$B:$B, $C1557), _xlfn.XLOOKUP($A1558, 'Instrument Table'!$H:$H, 'Instrument Table'!$B:$B, $C1557)))</f>
        <v>Electric Guitar</v>
      </c>
      <c r="D1558" s="1" t="str">
        <f>VLOOKUP($C1558, 'Instrument Table'!$B:$C, 2, FALSE)</f>
        <v>Strings</v>
      </c>
      <c r="E1558" s="1">
        <f t="shared" si="144"/>
        <v>1</v>
      </c>
      <c r="F1558" s="1">
        <f>_xlfn.XLOOKUP($C1558, 'Instrument Table'!$B:$B, 'Instrument Table'!$A:$A, "")</f>
        <v>25</v>
      </c>
      <c r="G1558" s="1" t="str">
        <f>TEXT(IF($B1558 = "Retail Item", IF((ROW($A1558) - 4504 - _xlfn.XMATCH($C1558, $C$4506:$C$5005, 0, 1)) &lt;= VLOOKUP($C1558, 'Instrument Table'!$B:$D, 3, FALSE), ROW($A1558) - 4504 - _xlfn.XMATCH($C1558, $C$4506:$C$5005, 0, 1), 0), 0), "00")</f>
        <v>00</v>
      </c>
      <c r="H1558" s="1" t="str">
        <f t="shared" si="145"/>
        <v>002</v>
      </c>
      <c r="I1558" s="1" t="str">
        <f t="shared" si="146"/>
        <v>12500-002</v>
      </c>
      <c r="J1558" s="1" t="str">
        <f t="shared" si="147"/>
        <v>Electric guitar production item #002</v>
      </c>
      <c r="K1558" s="1" t="str">
        <f>IF(SUM(COUNTIFS(I:I, I1558)) &gt; 1, "DUPLICATE", "UNIQUE")</f>
        <v>UNIQUE</v>
      </c>
      <c r="L1558" s="18">
        <v>1</v>
      </c>
      <c r="M1558" s="28">
        <v>39</v>
      </c>
      <c r="N1558" s="6">
        <v>361</v>
      </c>
      <c r="O1558" s="30">
        <f t="shared" si="148"/>
        <v>39</v>
      </c>
      <c r="P1558" s="30">
        <f t="shared" si="149"/>
        <v>14079</v>
      </c>
      <c r="Q1558" s="1">
        <f>COUNTIFS($P:$P, "&gt;" &amp; $P1558) + 1</f>
        <v>1414</v>
      </c>
      <c r="R1558" s="63">
        <f>(COUNTIFS($P:$P, "&gt;" &amp; $P1558) + 1) / (COUNTA($I:$I) - 1)</f>
        <v>0.2828</v>
      </c>
      <c r="S1558" s="23">
        <f>SUMIFS($P:$P, $Q:$Q, "&lt;" &amp; $Q1558)</f>
        <v>173674474</v>
      </c>
    </row>
    <row r="1559" spans="1:19" x14ac:dyDescent="0.25">
      <c r="A1559" s="1">
        <v>1554</v>
      </c>
      <c r="B1559" s="1" t="s">
        <v>2</v>
      </c>
      <c r="C1559" s="1" t="str">
        <f>IF($B1559 = "Production Item", _xlfn.XLOOKUP($A1559, 'Instrument Table'!$J:$J, 'Instrument Table'!$B:$B, $C1558), IF($B1559 = "Service Item", _xlfn.XLOOKUP($A1559, 'Instrument Table'!$I:$I, 'Instrument Table'!$B:$B, $C1558), _xlfn.XLOOKUP($A1559, 'Instrument Table'!$H:$H, 'Instrument Table'!$B:$B, $C1558)))</f>
        <v>Electric Guitar</v>
      </c>
      <c r="D1559" s="1" t="str">
        <f>VLOOKUP($C1559, 'Instrument Table'!$B:$C, 2, FALSE)</f>
        <v>Strings</v>
      </c>
      <c r="E1559" s="1">
        <f t="shared" si="144"/>
        <v>1</v>
      </c>
      <c r="F1559" s="1">
        <f>_xlfn.XLOOKUP($C1559, 'Instrument Table'!$B:$B, 'Instrument Table'!$A:$A, "")</f>
        <v>25</v>
      </c>
      <c r="G1559" s="1" t="str">
        <f>TEXT(IF($B1559 = "Retail Item", IF((ROW($A1559) - 4504 - _xlfn.XMATCH($C1559, $C$4506:$C$5005, 0, 1)) &lt;= VLOOKUP($C1559, 'Instrument Table'!$B:$D, 3, FALSE), ROW($A1559) - 4504 - _xlfn.XMATCH($C1559, $C$4506:$C$5005, 0, 1), 0), 0), "00")</f>
        <v>00</v>
      </c>
      <c r="H1559" s="1" t="str">
        <f t="shared" si="145"/>
        <v>003</v>
      </c>
      <c r="I1559" s="1" t="str">
        <f t="shared" si="146"/>
        <v>12500-003</v>
      </c>
      <c r="J1559" s="1" t="str">
        <f t="shared" si="147"/>
        <v>Electric guitar production item #003</v>
      </c>
      <c r="K1559" s="1" t="str">
        <f>IF(SUM(COUNTIFS(I:I, I1559)) &gt; 1, "DUPLICATE", "UNIQUE")</f>
        <v>UNIQUE</v>
      </c>
      <c r="L1559" s="18">
        <v>0</v>
      </c>
      <c r="M1559" s="28">
        <v>60</v>
      </c>
      <c r="N1559" s="6">
        <v>225</v>
      </c>
      <c r="O1559" s="30">
        <f t="shared" si="148"/>
        <v>0</v>
      </c>
      <c r="P1559" s="30">
        <f t="shared" si="149"/>
        <v>13500</v>
      </c>
      <c r="Q1559" s="1">
        <f>COUNTIFS($P:$P, "&gt;" &amp; $P1559) + 1</f>
        <v>1462</v>
      </c>
      <c r="R1559" s="63">
        <f>(COUNTIFS($P:$P, "&gt;" &amp; $P1559) + 1) / (COUNTA($I:$I) - 1)</f>
        <v>0.29239999999999999</v>
      </c>
      <c r="S1559" s="23">
        <f>SUMIFS($P:$P, $Q:$Q, "&lt;" &amp; $Q1559)</f>
        <v>174335881</v>
      </c>
    </row>
    <row r="1560" spans="1:19" x14ac:dyDescent="0.25">
      <c r="A1560" s="1">
        <v>1555</v>
      </c>
      <c r="B1560" s="1" t="s">
        <v>2</v>
      </c>
      <c r="C1560" s="1" t="str">
        <f>IF($B1560 = "Production Item", _xlfn.XLOOKUP($A1560, 'Instrument Table'!$J:$J, 'Instrument Table'!$B:$B, $C1559), IF($B1560 = "Service Item", _xlfn.XLOOKUP($A1560, 'Instrument Table'!$I:$I, 'Instrument Table'!$B:$B, $C1559), _xlfn.XLOOKUP($A1560, 'Instrument Table'!$H:$H, 'Instrument Table'!$B:$B, $C1559)))</f>
        <v>Electric Guitar</v>
      </c>
      <c r="D1560" s="1" t="str">
        <f>VLOOKUP($C1560, 'Instrument Table'!$B:$C, 2, FALSE)</f>
        <v>Strings</v>
      </c>
      <c r="E1560" s="1">
        <f t="shared" si="144"/>
        <v>1</v>
      </c>
      <c r="F1560" s="1">
        <f>_xlfn.XLOOKUP($C1560, 'Instrument Table'!$B:$B, 'Instrument Table'!$A:$A, "")</f>
        <v>25</v>
      </c>
      <c r="G1560" s="1" t="str">
        <f>TEXT(IF($B1560 = "Retail Item", IF((ROW($A1560) - 4504 - _xlfn.XMATCH($C1560, $C$4506:$C$5005, 0, 1)) &lt;= VLOOKUP($C1560, 'Instrument Table'!$B:$D, 3, FALSE), ROW($A1560) - 4504 - _xlfn.XMATCH($C1560, $C$4506:$C$5005, 0, 1), 0), 0), "00")</f>
        <v>00</v>
      </c>
      <c r="H1560" s="1" t="str">
        <f t="shared" si="145"/>
        <v>004</v>
      </c>
      <c r="I1560" s="1" t="str">
        <f t="shared" si="146"/>
        <v>12500-004</v>
      </c>
      <c r="J1560" s="1" t="str">
        <f t="shared" si="147"/>
        <v>Electric guitar production item #004</v>
      </c>
      <c r="K1560" s="1" t="str">
        <f>IF(SUM(COUNTIFS(I:I, I1560)) &gt; 1, "DUPLICATE", "UNIQUE")</f>
        <v>UNIQUE</v>
      </c>
      <c r="L1560" s="18">
        <v>16</v>
      </c>
      <c r="M1560" s="28">
        <v>67</v>
      </c>
      <c r="N1560" s="6">
        <v>25</v>
      </c>
      <c r="O1560" s="30">
        <f t="shared" si="148"/>
        <v>1072</v>
      </c>
      <c r="P1560" s="30">
        <f t="shared" si="149"/>
        <v>1675</v>
      </c>
      <c r="Q1560" s="1">
        <f>COUNTIFS($P:$P, "&gt;" &amp; $P1560) + 1</f>
        <v>3378</v>
      </c>
      <c r="R1560" s="63">
        <f>(COUNTIFS($P:$P, "&gt;" &amp; $P1560) + 1) / (COUNTA($I:$I) - 1)</f>
        <v>0.67559999999999998</v>
      </c>
      <c r="S1560" s="23">
        <f>SUMIFS($P:$P, $Q:$Q, "&lt;" &amp; $Q1560)</f>
        <v>185748834</v>
      </c>
    </row>
    <row r="1561" spans="1:19" x14ac:dyDescent="0.25">
      <c r="A1561" s="1">
        <v>1556</v>
      </c>
      <c r="B1561" s="1" t="s">
        <v>2</v>
      </c>
      <c r="C1561" s="1" t="str">
        <f>IF($B1561 = "Production Item", _xlfn.XLOOKUP($A1561, 'Instrument Table'!$J:$J, 'Instrument Table'!$B:$B, $C1560), IF($B1561 = "Service Item", _xlfn.XLOOKUP($A1561, 'Instrument Table'!$I:$I, 'Instrument Table'!$B:$B, $C1560), _xlfn.XLOOKUP($A1561, 'Instrument Table'!$H:$H, 'Instrument Table'!$B:$B, $C1560)))</f>
        <v>Electric Guitar</v>
      </c>
      <c r="D1561" s="1" t="str">
        <f>VLOOKUP($C1561, 'Instrument Table'!$B:$C, 2, FALSE)</f>
        <v>Strings</v>
      </c>
      <c r="E1561" s="1">
        <f t="shared" si="144"/>
        <v>1</v>
      </c>
      <c r="F1561" s="1">
        <f>_xlfn.XLOOKUP($C1561, 'Instrument Table'!$B:$B, 'Instrument Table'!$A:$A, "")</f>
        <v>25</v>
      </c>
      <c r="G1561" s="1" t="str">
        <f>TEXT(IF($B1561 = "Retail Item", IF((ROW($A1561) - 4504 - _xlfn.XMATCH($C1561, $C$4506:$C$5005, 0, 1)) &lt;= VLOOKUP($C1561, 'Instrument Table'!$B:$D, 3, FALSE), ROW($A1561) - 4504 - _xlfn.XMATCH($C1561, $C$4506:$C$5005, 0, 1), 0), 0), "00")</f>
        <v>00</v>
      </c>
      <c r="H1561" s="1" t="str">
        <f t="shared" si="145"/>
        <v>005</v>
      </c>
      <c r="I1561" s="1" t="str">
        <f t="shared" si="146"/>
        <v>12500-005</v>
      </c>
      <c r="J1561" s="1" t="str">
        <f t="shared" si="147"/>
        <v>Electric guitar production item #005</v>
      </c>
      <c r="K1561" s="1" t="str">
        <f>IF(SUM(COUNTIFS(I:I, I1561)) &gt; 1, "DUPLICATE", "UNIQUE")</f>
        <v>UNIQUE</v>
      </c>
      <c r="L1561" s="18">
        <v>32</v>
      </c>
      <c r="M1561" s="28">
        <v>29</v>
      </c>
      <c r="N1561" s="6">
        <v>81</v>
      </c>
      <c r="O1561" s="30">
        <f t="shared" si="148"/>
        <v>928</v>
      </c>
      <c r="P1561" s="30">
        <f t="shared" si="149"/>
        <v>2349</v>
      </c>
      <c r="Q1561" s="1">
        <f>COUNTIFS($P:$P, "&gt;" &amp; $P1561) + 1</f>
        <v>3107</v>
      </c>
      <c r="R1561" s="63">
        <f>(COUNTIFS($P:$P, "&gt;" &amp; $P1561) + 1) / (COUNTA($I:$I) - 1)</f>
        <v>0.62139999999999995</v>
      </c>
      <c r="S1561" s="23">
        <f>SUMIFS($P:$P, $Q:$Q, "&lt;" &amp; $Q1561)</f>
        <v>185198957</v>
      </c>
    </row>
    <row r="1562" spans="1:19" x14ac:dyDescent="0.25">
      <c r="A1562" s="1">
        <v>1557</v>
      </c>
      <c r="B1562" s="1" t="s">
        <v>2</v>
      </c>
      <c r="C1562" s="1" t="str">
        <f>IF($B1562 = "Production Item", _xlfn.XLOOKUP($A1562, 'Instrument Table'!$J:$J, 'Instrument Table'!$B:$B, $C1561), IF($B1562 = "Service Item", _xlfn.XLOOKUP($A1562, 'Instrument Table'!$I:$I, 'Instrument Table'!$B:$B, $C1561), _xlfn.XLOOKUP($A1562, 'Instrument Table'!$H:$H, 'Instrument Table'!$B:$B, $C1561)))</f>
        <v>Electric Guitar</v>
      </c>
      <c r="D1562" s="1" t="str">
        <f>VLOOKUP($C1562, 'Instrument Table'!$B:$C, 2, FALSE)</f>
        <v>Strings</v>
      </c>
      <c r="E1562" s="1">
        <f t="shared" si="144"/>
        <v>1</v>
      </c>
      <c r="F1562" s="1">
        <f>_xlfn.XLOOKUP($C1562, 'Instrument Table'!$B:$B, 'Instrument Table'!$A:$A, "")</f>
        <v>25</v>
      </c>
      <c r="G1562" s="1" t="str">
        <f>TEXT(IF($B1562 = "Retail Item", IF((ROW($A1562) - 4504 - _xlfn.XMATCH($C1562, $C$4506:$C$5005, 0, 1)) &lt;= VLOOKUP($C1562, 'Instrument Table'!$B:$D, 3, FALSE), ROW($A1562) - 4504 - _xlfn.XMATCH($C1562, $C$4506:$C$5005, 0, 1), 0), 0), "00")</f>
        <v>00</v>
      </c>
      <c r="H1562" s="1" t="str">
        <f t="shared" si="145"/>
        <v>006</v>
      </c>
      <c r="I1562" s="1" t="str">
        <f t="shared" si="146"/>
        <v>12500-006</v>
      </c>
      <c r="J1562" s="1" t="str">
        <f t="shared" si="147"/>
        <v>Electric guitar production item #006</v>
      </c>
      <c r="K1562" s="1" t="str">
        <f>IF(SUM(COUNTIFS(I:I, I1562)) &gt; 1, "DUPLICATE", "UNIQUE")</f>
        <v>UNIQUE</v>
      </c>
      <c r="L1562" s="18">
        <v>1</v>
      </c>
      <c r="M1562" s="28">
        <v>55</v>
      </c>
      <c r="N1562" s="6">
        <v>121</v>
      </c>
      <c r="O1562" s="30">
        <f t="shared" si="148"/>
        <v>55</v>
      </c>
      <c r="P1562" s="30">
        <f t="shared" si="149"/>
        <v>6655</v>
      </c>
      <c r="Q1562" s="1">
        <f>COUNTIFS($P:$P, "&gt;" &amp; $P1562) + 1</f>
        <v>2188</v>
      </c>
      <c r="R1562" s="63">
        <f>(COUNTIFS($P:$P, "&gt;" &amp; $P1562) + 1) / (COUNTA($I:$I) - 1)</f>
        <v>0.43759999999999999</v>
      </c>
      <c r="S1562" s="23">
        <f>SUMIFS($P:$P, $Q:$Q, "&lt;" &amp; $Q1562)</f>
        <v>181371952</v>
      </c>
    </row>
    <row r="1563" spans="1:19" x14ac:dyDescent="0.25">
      <c r="A1563" s="1">
        <v>1558</v>
      </c>
      <c r="B1563" s="1" t="s">
        <v>2</v>
      </c>
      <c r="C1563" s="1" t="str">
        <f>IF($B1563 = "Production Item", _xlfn.XLOOKUP($A1563, 'Instrument Table'!$J:$J, 'Instrument Table'!$B:$B, $C1562), IF($B1563 = "Service Item", _xlfn.XLOOKUP($A1563, 'Instrument Table'!$I:$I, 'Instrument Table'!$B:$B, $C1562), _xlfn.XLOOKUP($A1563, 'Instrument Table'!$H:$H, 'Instrument Table'!$B:$B, $C1562)))</f>
        <v>Electric Guitar</v>
      </c>
      <c r="D1563" s="1" t="str">
        <f>VLOOKUP($C1563, 'Instrument Table'!$B:$C, 2, FALSE)</f>
        <v>Strings</v>
      </c>
      <c r="E1563" s="1">
        <f t="shared" si="144"/>
        <v>1</v>
      </c>
      <c r="F1563" s="1">
        <f>_xlfn.XLOOKUP($C1563, 'Instrument Table'!$B:$B, 'Instrument Table'!$A:$A, "")</f>
        <v>25</v>
      </c>
      <c r="G1563" s="1" t="str">
        <f>TEXT(IF($B1563 = "Retail Item", IF((ROW($A1563) - 4504 - _xlfn.XMATCH($C1563, $C$4506:$C$5005, 0, 1)) &lt;= VLOOKUP($C1563, 'Instrument Table'!$B:$D, 3, FALSE), ROW($A1563) - 4504 - _xlfn.XMATCH($C1563, $C$4506:$C$5005, 0, 1), 0), 0), "00")</f>
        <v>00</v>
      </c>
      <c r="H1563" s="1" t="str">
        <f t="shared" si="145"/>
        <v>007</v>
      </c>
      <c r="I1563" s="1" t="str">
        <f t="shared" si="146"/>
        <v>12500-007</v>
      </c>
      <c r="J1563" s="1" t="str">
        <f t="shared" si="147"/>
        <v>Electric guitar production item #007</v>
      </c>
      <c r="K1563" s="1" t="str">
        <f>IF(SUM(COUNTIFS(I:I, I1563)) &gt; 1, "DUPLICATE", "UNIQUE")</f>
        <v>UNIQUE</v>
      </c>
      <c r="L1563" s="18">
        <v>0</v>
      </c>
      <c r="M1563" s="28">
        <v>66</v>
      </c>
      <c r="N1563" s="6">
        <v>144</v>
      </c>
      <c r="O1563" s="30">
        <f t="shared" si="148"/>
        <v>0</v>
      </c>
      <c r="P1563" s="30">
        <f t="shared" si="149"/>
        <v>9504</v>
      </c>
      <c r="Q1563" s="1">
        <f>COUNTIFS($P:$P, "&gt;" &amp; $P1563) + 1</f>
        <v>1815</v>
      </c>
      <c r="R1563" s="63">
        <f>(COUNTIFS($P:$P, "&gt;" &amp; $P1563) + 1) / (COUNTA($I:$I) - 1)</f>
        <v>0.36299999999999999</v>
      </c>
      <c r="S1563" s="23">
        <f>SUMIFS($P:$P, $Q:$Q, "&lt;" &amp; $Q1563)</f>
        <v>178385385</v>
      </c>
    </row>
    <row r="1564" spans="1:19" x14ac:dyDescent="0.25">
      <c r="A1564" s="1">
        <v>1559</v>
      </c>
      <c r="B1564" s="1" t="s">
        <v>2</v>
      </c>
      <c r="C1564" s="1" t="str">
        <f>IF($B1564 = "Production Item", _xlfn.XLOOKUP($A1564, 'Instrument Table'!$J:$J, 'Instrument Table'!$B:$B, $C1563), IF($B1564 = "Service Item", _xlfn.XLOOKUP($A1564, 'Instrument Table'!$I:$I, 'Instrument Table'!$B:$B, $C1563), _xlfn.XLOOKUP($A1564, 'Instrument Table'!$H:$H, 'Instrument Table'!$B:$B, $C1563)))</f>
        <v>Electric Guitar</v>
      </c>
      <c r="D1564" s="1" t="str">
        <f>VLOOKUP($C1564, 'Instrument Table'!$B:$C, 2, FALSE)</f>
        <v>Strings</v>
      </c>
      <c r="E1564" s="1">
        <f t="shared" si="144"/>
        <v>1</v>
      </c>
      <c r="F1564" s="1">
        <f>_xlfn.XLOOKUP($C1564, 'Instrument Table'!$B:$B, 'Instrument Table'!$A:$A, "")</f>
        <v>25</v>
      </c>
      <c r="G1564" s="1" t="str">
        <f>TEXT(IF($B1564 = "Retail Item", IF((ROW($A1564) - 4504 - _xlfn.XMATCH($C1564, $C$4506:$C$5005, 0, 1)) &lt;= VLOOKUP($C1564, 'Instrument Table'!$B:$D, 3, FALSE), ROW($A1564) - 4504 - _xlfn.XMATCH($C1564, $C$4506:$C$5005, 0, 1), 0), 0), "00")</f>
        <v>00</v>
      </c>
      <c r="H1564" s="1" t="str">
        <f t="shared" si="145"/>
        <v>008</v>
      </c>
      <c r="I1564" s="1" t="str">
        <f t="shared" si="146"/>
        <v>12500-008</v>
      </c>
      <c r="J1564" s="1" t="str">
        <f t="shared" si="147"/>
        <v>Electric guitar production item #008</v>
      </c>
      <c r="K1564" s="1" t="str">
        <f>IF(SUM(COUNTIFS(I:I, I1564)) &gt; 1, "DUPLICATE", "UNIQUE")</f>
        <v>UNIQUE</v>
      </c>
      <c r="L1564" s="18">
        <v>4</v>
      </c>
      <c r="M1564" s="28">
        <v>20</v>
      </c>
      <c r="N1564" s="6">
        <v>361</v>
      </c>
      <c r="O1564" s="30">
        <f t="shared" si="148"/>
        <v>80</v>
      </c>
      <c r="P1564" s="30">
        <f t="shared" si="149"/>
        <v>7220</v>
      </c>
      <c r="Q1564" s="1">
        <f>COUNTIFS($P:$P, "&gt;" &amp; $P1564) + 1</f>
        <v>2110</v>
      </c>
      <c r="R1564" s="63">
        <f>(COUNTIFS($P:$P, "&gt;" &amp; $P1564) + 1) / (COUNTA($I:$I) - 1)</f>
        <v>0.42199999999999999</v>
      </c>
      <c r="S1564" s="23">
        <f>SUMIFS($P:$P, $Q:$Q, "&lt;" &amp; $Q1564)</f>
        <v>180831182</v>
      </c>
    </row>
    <row r="1565" spans="1:19" x14ac:dyDescent="0.25">
      <c r="A1565" s="1">
        <v>1560</v>
      </c>
      <c r="B1565" s="1" t="s">
        <v>2</v>
      </c>
      <c r="C1565" s="1" t="str">
        <f>IF($B1565 = "Production Item", _xlfn.XLOOKUP($A1565, 'Instrument Table'!$J:$J, 'Instrument Table'!$B:$B, $C1564), IF($B1565 = "Service Item", _xlfn.XLOOKUP($A1565, 'Instrument Table'!$I:$I, 'Instrument Table'!$B:$B, $C1564), _xlfn.XLOOKUP($A1565, 'Instrument Table'!$H:$H, 'Instrument Table'!$B:$B, $C1564)))</f>
        <v>Electric Guitar</v>
      </c>
      <c r="D1565" s="1" t="str">
        <f>VLOOKUP($C1565, 'Instrument Table'!$B:$C, 2, FALSE)</f>
        <v>Strings</v>
      </c>
      <c r="E1565" s="1">
        <f t="shared" si="144"/>
        <v>1</v>
      </c>
      <c r="F1565" s="1">
        <f>_xlfn.XLOOKUP($C1565, 'Instrument Table'!$B:$B, 'Instrument Table'!$A:$A, "")</f>
        <v>25</v>
      </c>
      <c r="G1565" s="1" t="str">
        <f>TEXT(IF($B1565 = "Retail Item", IF((ROW($A1565) - 4504 - _xlfn.XMATCH($C1565, $C$4506:$C$5005, 0, 1)) &lt;= VLOOKUP($C1565, 'Instrument Table'!$B:$D, 3, FALSE), ROW($A1565) - 4504 - _xlfn.XMATCH($C1565, $C$4506:$C$5005, 0, 1), 0), 0), "00")</f>
        <v>00</v>
      </c>
      <c r="H1565" s="1" t="str">
        <f t="shared" si="145"/>
        <v>009</v>
      </c>
      <c r="I1565" s="1" t="str">
        <f t="shared" si="146"/>
        <v>12500-009</v>
      </c>
      <c r="J1565" s="1" t="str">
        <f t="shared" si="147"/>
        <v>Electric guitar production item #009</v>
      </c>
      <c r="K1565" s="1" t="str">
        <f>IF(SUM(COUNTIFS(I:I, I1565)) &gt; 1, "DUPLICATE", "UNIQUE")</f>
        <v>UNIQUE</v>
      </c>
      <c r="L1565" s="18">
        <v>0</v>
      </c>
      <c r="M1565" s="28">
        <v>86</v>
      </c>
      <c r="N1565" s="6">
        <v>400</v>
      </c>
      <c r="O1565" s="30">
        <f t="shared" si="148"/>
        <v>0</v>
      </c>
      <c r="P1565" s="30">
        <f t="shared" si="149"/>
        <v>34400</v>
      </c>
      <c r="Q1565" s="1">
        <f>COUNTIFS($P:$P, "&gt;" &amp; $P1565) + 1</f>
        <v>610</v>
      </c>
      <c r="R1565" s="63">
        <f>(COUNTIFS($P:$P, "&gt;" &amp; $P1565) + 1) / (COUNTA($I:$I) - 1)</f>
        <v>0.122</v>
      </c>
      <c r="S1565" s="23">
        <f>SUMIFS($P:$P, $Q:$Q, "&lt;" &amp; $Q1565)</f>
        <v>156219776</v>
      </c>
    </row>
    <row r="1566" spans="1:19" x14ac:dyDescent="0.25">
      <c r="A1566" s="1">
        <v>1561</v>
      </c>
      <c r="B1566" s="1" t="s">
        <v>2</v>
      </c>
      <c r="C1566" s="1" t="str">
        <f>IF($B1566 = "Production Item", _xlfn.XLOOKUP($A1566, 'Instrument Table'!$J:$J, 'Instrument Table'!$B:$B, $C1565), IF($B1566 = "Service Item", _xlfn.XLOOKUP($A1566, 'Instrument Table'!$I:$I, 'Instrument Table'!$B:$B, $C1565), _xlfn.XLOOKUP($A1566, 'Instrument Table'!$H:$H, 'Instrument Table'!$B:$B, $C1565)))</f>
        <v>Electric Guitar</v>
      </c>
      <c r="D1566" s="1" t="str">
        <f>VLOOKUP($C1566, 'Instrument Table'!$B:$C, 2, FALSE)</f>
        <v>Strings</v>
      </c>
      <c r="E1566" s="1">
        <f t="shared" si="144"/>
        <v>1</v>
      </c>
      <c r="F1566" s="1">
        <f>_xlfn.XLOOKUP($C1566, 'Instrument Table'!$B:$B, 'Instrument Table'!$A:$A, "")</f>
        <v>25</v>
      </c>
      <c r="G1566" s="1" t="str">
        <f>TEXT(IF($B1566 = "Retail Item", IF((ROW($A1566) - 4504 - _xlfn.XMATCH($C1566, $C$4506:$C$5005, 0, 1)) &lt;= VLOOKUP($C1566, 'Instrument Table'!$B:$D, 3, FALSE), ROW($A1566) - 4504 - _xlfn.XMATCH($C1566, $C$4506:$C$5005, 0, 1), 0), 0), "00")</f>
        <v>00</v>
      </c>
      <c r="H1566" s="1" t="str">
        <f t="shared" si="145"/>
        <v>010</v>
      </c>
      <c r="I1566" s="1" t="str">
        <f t="shared" si="146"/>
        <v>12500-010</v>
      </c>
      <c r="J1566" s="1" t="str">
        <f t="shared" si="147"/>
        <v>Electric guitar production item #010</v>
      </c>
      <c r="K1566" s="1" t="str">
        <f>IF(SUM(COUNTIFS(I:I, I1566)) &gt; 1, "DUPLICATE", "UNIQUE")</f>
        <v>UNIQUE</v>
      </c>
      <c r="L1566" s="18">
        <v>0</v>
      </c>
      <c r="M1566" s="28">
        <v>28</v>
      </c>
      <c r="N1566" s="6">
        <v>121</v>
      </c>
      <c r="O1566" s="30">
        <f t="shared" si="148"/>
        <v>0</v>
      </c>
      <c r="P1566" s="30">
        <f t="shared" si="149"/>
        <v>3388</v>
      </c>
      <c r="Q1566" s="1">
        <f>COUNTIFS($P:$P, "&gt;" &amp; $P1566) + 1</f>
        <v>2807</v>
      </c>
      <c r="R1566" s="63">
        <f>(COUNTIFS($P:$P, "&gt;" &amp; $P1566) + 1) / (COUNTA($I:$I) - 1)</f>
        <v>0.56140000000000001</v>
      </c>
      <c r="S1566" s="23">
        <f>SUMIFS($P:$P, $Q:$Q, "&lt;" &amp; $Q1566)</f>
        <v>184349691</v>
      </c>
    </row>
    <row r="1567" spans="1:19" x14ac:dyDescent="0.25">
      <c r="A1567" s="1">
        <v>1562</v>
      </c>
      <c r="B1567" s="1" t="s">
        <v>2</v>
      </c>
      <c r="C1567" s="1" t="str">
        <f>IF($B1567 = "Production Item", _xlfn.XLOOKUP($A1567, 'Instrument Table'!$J:$J, 'Instrument Table'!$B:$B, $C1566), IF($B1567 = "Service Item", _xlfn.XLOOKUP($A1567, 'Instrument Table'!$I:$I, 'Instrument Table'!$B:$B, $C1566), _xlfn.XLOOKUP($A1567, 'Instrument Table'!$H:$H, 'Instrument Table'!$B:$B, $C1566)))</f>
        <v>Electric Guitar</v>
      </c>
      <c r="D1567" s="1" t="str">
        <f>VLOOKUP($C1567, 'Instrument Table'!$B:$C, 2, FALSE)</f>
        <v>Strings</v>
      </c>
      <c r="E1567" s="1">
        <f t="shared" si="144"/>
        <v>1</v>
      </c>
      <c r="F1567" s="1">
        <f>_xlfn.XLOOKUP($C1567, 'Instrument Table'!$B:$B, 'Instrument Table'!$A:$A, "")</f>
        <v>25</v>
      </c>
      <c r="G1567" s="1" t="str">
        <f>TEXT(IF($B1567 = "Retail Item", IF((ROW($A1567) - 4504 - _xlfn.XMATCH($C1567, $C$4506:$C$5005, 0, 1)) &lt;= VLOOKUP($C1567, 'Instrument Table'!$B:$D, 3, FALSE), ROW($A1567) - 4504 - _xlfn.XMATCH($C1567, $C$4506:$C$5005, 0, 1), 0), 0), "00")</f>
        <v>00</v>
      </c>
      <c r="H1567" s="1" t="str">
        <f t="shared" si="145"/>
        <v>011</v>
      </c>
      <c r="I1567" s="1" t="str">
        <f t="shared" si="146"/>
        <v>12500-011</v>
      </c>
      <c r="J1567" s="1" t="str">
        <f t="shared" si="147"/>
        <v>Electric guitar production item #011</v>
      </c>
      <c r="K1567" s="1" t="str">
        <f>IF(SUM(COUNTIFS(I:I, I1567)) &gt; 1, "DUPLICATE", "UNIQUE")</f>
        <v>UNIQUE</v>
      </c>
      <c r="L1567" s="18">
        <v>0</v>
      </c>
      <c r="M1567" s="28">
        <v>25</v>
      </c>
      <c r="N1567" s="6">
        <v>196</v>
      </c>
      <c r="O1567" s="30">
        <f t="shared" si="148"/>
        <v>0</v>
      </c>
      <c r="P1567" s="30">
        <f t="shared" si="149"/>
        <v>4900</v>
      </c>
      <c r="Q1567" s="1">
        <f>COUNTIFS($P:$P, "&gt;" &amp; $P1567) + 1</f>
        <v>2465</v>
      </c>
      <c r="R1567" s="63">
        <f>(COUNTIFS($P:$P, "&gt;" &amp; $P1567) + 1) / (COUNTA($I:$I) - 1)</f>
        <v>0.49299999999999999</v>
      </c>
      <c r="S1567" s="23">
        <f>SUMIFS($P:$P, $Q:$Q, "&lt;" &amp; $Q1567)</f>
        <v>182946522</v>
      </c>
    </row>
    <row r="1568" spans="1:19" x14ac:dyDescent="0.25">
      <c r="A1568" s="1">
        <v>1563</v>
      </c>
      <c r="B1568" s="1" t="s">
        <v>2</v>
      </c>
      <c r="C1568" s="1" t="str">
        <f>IF($B1568 = "Production Item", _xlfn.XLOOKUP($A1568, 'Instrument Table'!$J:$J, 'Instrument Table'!$B:$B, $C1567), IF($B1568 = "Service Item", _xlfn.XLOOKUP($A1568, 'Instrument Table'!$I:$I, 'Instrument Table'!$B:$B, $C1567), _xlfn.XLOOKUP($A1568, 'Instrument Table'!$H:$H, 'Instrument Table'!$B:$B, $C1567)))</f>
        <v>Electric Guitar</v>
      </c>
      <c r="D1568" s="1" t="str">
        <f>VLOOKUP($C1568, 'Instrument Table'!$B:$C, 2, FALSE)</f>
        <v>Strings</v>
      </c>
      <c r="E1568" s="1">
        <f t="shared" si="144"/>
        <v>1</v>
      </c>
      <c r="F1568" s="1">
        <f>_xlfn.XLOOKUP($C1568, 'Instrument Table'!$B:$B, 'Instrument Table'!$A:$A, "")</f>
        <v>25</v>
      </c>
      <c r="G1568" s="1" t="str">
        <f>TEXT(IF($B1568 = "Retail Item", IF((ROW($A1568) - 4504 - _xlfn.XMATCH($C1568, $C$4506:$C$5005, 0, 1)) &lt;= VLOOKUP($C1568, 'Instrument Table'!$B:$D, 3, FALSE), ROW($A1568) - 4504 - _xlfn.XMATCH($C1568, $C$4506:$C$5005, 0, 1), 0), 0), "00")</f>
        <v>00</v>
      </c>
      <c r="H1568" s="1" t="str">
        <f t="shared" si="145"/>
        <v>012</v>
      </c>
      <c r="I1568" s="1" t="str">
        <f t="shared" si="146"/>
        <v>12500-012</v>
      </c>
      <c r="J1568" s="1" t="str">
        <f t="shared" si="147"/>
        <v>Electric guitar production item #012</v>
      </c>
      <c r="K1568" s="1" t="str">
        <f>IF(SUM(COUNTIFS(I:I, I1568)) &gt; 1, "DUPLICATE", "UNIQUE")</f>
        <v>UNIQUE</v>
      </c>
      <c r="L1568" s="18">
        <v>0</v>
      </c>
      <c r="M1568" s="28">
        <v>46</v>
      </c>
      <c r="N1568" s="6">
        <v>400</v>
      </c>
      <c r="O1568" s="30">
        <f t="shared" si="148"/>
        <v>0</v>
      </c>
      <c r="P1568" s="30">
        <f t="shared" si="149"/>
        <v>18400</v>
      </c>
      <c r="Q1568" s="1">
        <f>COUNTIFS($P:$P, "&gt;" &amp; $P1568) + 1</f>
        <v>1145</v>
      </c>
      <c r="R1568" s="63">
        <f>(COUNTIFS($P:$P, "&gt;" &amp; $P1568) + 1) / (COUNTA($I:$I) - 1)</f>
        <v>0.22900000000000001</v>
      </c>
      <c r="S1568" s="23">
        <f>SUMIFS($P:$P, $Q:$Q, "&lt;" &amp; $Q1568)</f>
        <v>169344813</v>
      </c>
    </row>
    <row r="1569" spans="1:19" x14ac:dyDescent="0.25">
      <c r="A1569" s="1">
        <v>1564</v>
      </c>
      <c r="B1569" s="1" t="s">
        <v>2</v>
      </c>
      <c r="C1569" s="1" t="str">
        <f>IF($B1569 = "Production Item", _xlfn.XLOOKUP($A1569, 'Instrument Table'!$J:$J, 'Instrument Table'!$B:$B, $C1568), IF($B1569 = "Service Item", _xlfn.XLOOKUP($A1569, 'Instrument Table'!$I:$I, 'Instrument Table'!$B:$B, $C1568), _xlfn.XLOOKUP($A1569, 'Instrument Table'!$H:$H, 'Instrument Table'!$B:$B, $C1568)))</f>
        <v>Electric Guitar</v>
      </c>
      <c r="D1569" s="1" t="str">
        <f>VLOOKUP($C1569, 'Instrument Table'!$B:$C, 2, FALSE)</f>
        <v>Strings</v>
      </c>
      <c r="E1569" s="1">
        <f t="shared" si="144"/>
        <v>1</v>
      </c>
      <c r="F1569" s="1">
        <f>_xlfn.XLOOKUP($C1569, 'Instrument Table'!$B:$B, 'Instrument Table'!$A:$A, "")</f>
        <v>25</v>
      </c>
      <c r="G1569" s="1" t="str">
        <f>TEXT(IF($B1569 = "Retail Item", IF((ROW($A1569) - 4504 - _xlfn.XMATCH($C1569, $C$4506:$C$5005, 0, 1)) &lt;= VLOOKUP($C1569, 'Instrument Table'!$B:$D, 3, FALSE), ROW($A1569) - 4504 - _xlfn.XMATCH($C1569, $C$4506:$C$5005, 0, 1), 0), 0), "00")</f>
        <v>00</v>
      </c>
      <c r="H1569" s="1" t="str">
        <f t="shared" si="145"/>
        <v>013</v>
      </c>
      <c r="I1569" s="1" t="str">
        <f t="shared" si="146"/>
        <v>12500-013</v>
      </c>
      <c r="J1569" s="1" t="str">
        <f t="shared" si="147"/>
        <v>Electric guitar production item #013</v>
      </c>
      <c r="K1569" s="1" t="str">
        <f>IF(SUM(COUNTIFS(I:I, I1569)) &gt; 1, "DUPLICATE", "UNIQUE")</f>
        <v>UNIQUE</v>
      </c>
      <c r="L1569" s="18">
        <v>2</v>
      </c>
      <c r="M1569" s="28">
        <v>19</v>
      </c>
      <c r="N1569" s="6">
        <v>36</v>
      </c>
      <c r="O1569" s="30">
        <f t="shared" si="148"/>
        <v>38</v>
      </c>
      <c r="P1569" s="30">
        <f t="shared" si="149"/>
        <v>684</v>
      </c>
      <c r="Q1569" s="1">
        <f>COUNTIFS($P:$P, "&gt;" &amp; $P1569) + 1</f>
        <v>3891</v>
      </c>
      <c r="R1569" s="63">
        <f>(COUNTIFS($P:$P, "&gt;" &amp; $P1569) + 1) / (COUNTA($I:$I) - 1)</f>
        <v>0.7782</v>
      </c>
      <c r="S1569" s="23">
        <f>SUMIFS($P:$P, $Q:$Q, "&lt;" &amp; $Q1569)</f>
        <v>186332760</v>
      </c>
    </row>
    <row r="1570" spans="1:19" x14ac:dyDescent="0.25">
      <c r="A1570" s="1">
        <v>1565</v>
      </c>
      <c r="B1570" s="1" t="s">
        <v>2</v>
      </c>
      <c r="C1570" s="1" t="str">
        <f>IF($B1570 = "Production Item", _xlfn.XLOOKUP($A1570, 'Instrument Table'!$J:$J, 'Instrument Table'!$B:$B, $C1569), IF($B1570 = "Service Item", _xlfn.XLOOKUP($A1570, 'Instrument Table'!$I:$I, 'Instrument Table'!$B:$B, $C1569), _xlfn.XLOOKUP($A1570, 'Instrument Table'!$H:$H, 'Instrument Table'!$B:$B, $C1569)))</f>
        <v>Electric Guitar</v>
      </c>
      <c r="D1570" s="1" t="str">
        <f>VLOOKUP($C1570, 'Instrument Table'!$B:$C, 2, FALSE)</f>
        <v>Strings</v>
      </c>
      <c r="E1570" s="1">
        <f t="shared" si="144"/>
        <v>1</v>
      </c>
      <c r="F1570" s="1">
        <f>_xlfn.XLOOKUP($C1570, 'Instrument Table'!$B:$B, 'Instrument Table'!$A:$A, "")</f>
        <v>25</v>
      </c>
      <c r="G1570" s="1" t="str">
        <f>TEXT(IF($B1570 = "Retail Item", IF((ROW($A1570) - 4504 - _xlfn.XMATCH($C1570, $C$4506:$C$5005, 0, 1)) &lt;= VLOOKUP($C1570, 'Instrument Table'!$B:$D, 3, FALSE), ROW($A1570) - 4504 - _xlfn.XMATCH($C1570, $C$4506:$C$5005, 0, 1), 0), 0), "00")</f>
        <v>00</v>
      </c>
      <c r="H1570" s="1" t="str">
        <f t="shared" si="145"/>
        <v>014</v>
      </c>
      <c r="I1570" s="1" t="str">
        <f t="shared" si="146"/>
        <v>12500-014</v>
      </c>
      <c r="J1570" s="1" t="str">
        <f t="shared" si="147"/>
        <v>Electric guitar production item #014</v>
      </c>
      <c r="K1570" s="1" t="str">
        <f>IF(SUM(COUNTIFS(I:I, I1570)) &gt; 1, "DUPLICATE", "UNIQUE")</f>
        <v>UNIQUE</v>
      </c>
      <c r="L1570" s="18">
        <v>1</v>
      </c>
      <c r="M1570" s="28">
        <v>61</v>
      </c>
      <c r="N1570" s="6">
        <v>144</v>
      </c>
      <c r="O1570" s="30">
        <f t="shared" si="148"/>
        <v>61</v>
      </c>
      <c r="P1570" s="30">
        <f t="shared" si="149"/>
        <v>8784</v>
      </c>
      <c r="Q1570" s="1">
        <f>COUNTIFS($P:$P, "&gt;" &amp; $P1570) + 1</f>
        <v>1900</v>
      </c>
      <c r="R1570" s="63">
        <f>(COUNTIFS($P:$P, "&gt;" &amp; $P1570) + 1) / (COUNTA($I:$I) - 1)</f>
        <v>0.38</v>
      </c>
      <c r="S1570" s="23">
        <f>SUMIFS($P:$P, $Q:$Q, "&lt;" &amp; $Q1570)</f>
        <v>179163527</v>
      </c>
    </row>
    <row r="1571" spans="1:19" x14ac:dyDescent="0.25">
      <c r="A1571" s="1">
        <v>1566</v>
      </c>
      <c r="B1571" s="1" t="s">
        <v>2</v>
      </c>
      <c r="C1571" s="1" t="str">
        <f>IF($B1571 = "Production Item", _xlfn.XLOOKUP($A1571, 'Instrument Table'!$J:$J, 'Instrument Table'!$B:$B, $C1570), IF($B1571 = "Service Item", _xlfn.XLOOKUP($A1571, 'Instrument Table'!$I:$I, 'Instrument Table'!$B:$B, $C1570), _xlfn.XLOOKUP($A1571, 'Instrument Table'!$H:$H, 'Instrument Table'!$B:$B, $C1570)))</f>
        <v>Electric Guitar</v>
      </c>
      <c r="D1571" s="1" t="str">
        <f>VLOOKUP($C1571, 'Instrument Table'!$B:$C, 2, FALSE)</f>
        <v>Strings</v>
      </c>
      <c r="E1571" s="1">
        <f t="shared" si="144"/>
        <v>1</v>
      </c>
      <c r="F1571" s="1">
        <f>_xlfn.XLOOKUP($C1571, 'Instrument Table'!$B:$B, 'Instrument Table'!$A:$A, "")</f>
        <v>25</v>
      </c>
      <c r="G1571" s="1" t="str">
        <f>TEXT(IF($B1571 = "Retail Item", IF((ROW($A1571) - 4504 - _xlfn.XMATCH($C1571, $C$4506:$C$5005, 0, 1)) &lt;= VLOOKUP($C1571, 'Instrument Table'!$B:$D, 3, FALSE), ROW($A1571) - 4504 - _xlfn.XMATCH($C1571, $C$4506:$C$5005, 0, 1), 0), 0), "00")</f>
        <v>00</v>
      </c>
      <c r="H1571" s="1" t="str">
        <f t="shared" si="145"/>
        <v>015</v>
      </c>
      <c r="I1571" s="1" t="str">
        <f t="shared" si="146"/>
        <v>12500-015</v>
      </c>
      <c r="J1571" s="1" t="str">
        <f t="shared" si="147"/>
        <v>Electric guitar production item #015</v>
      </c>
      <c r="K1571" s="1" t="str">
        <f>IF(SUM(COUNTIFS(I:I, I1571)) &gt; 1, "DUPLICATE", "UNIQUE")</f>
        <v>UNIQUE</v>
      </c>
      <c r="L1571" s="18">
        <v>1</v>
      </c>
      <c r="M1571" s="28">
        <v>23</v>
      </c>
      <c r="N1571" s="6">
        <v>100</v>
      </c>
      <c r="O1571" s="30">
        <f t="shared" si="148"/>
        <v>23</v>
      </c>
      <c r="P1571" s="30">
        <f t="shared" si="149"/>
        <v>2300</v>
      </c>
      <c r="Q1571" s="1">
        <f>COUNTIFS($P:$P, "&gt;" &amp; $P1571) + 1</f>
        <v>3131</v>
      </c>
      <c r="R1571" s="63">
        <f>(COUNTIFS($P:$P, "&gt;" &amp; $P1571) + 1) / (COUNTA($I:$I) - 1)</f>
        <v>0.62619999999999998</v>
      </c>
      <c r="S1571" s="23">
        <f>SUMIFS($P:$P, $Q:$Q, "&lt;" &amp; $Q1571)</f>
        <v>185254605</v>
      </c>
    </row>
    <row r="1572" spans="1:19" x14ac:dyDescent="0.25">
      <c r="A1572" s="1">
        <v>1567</v>
      </c>
      <c r="B1572" s="1" t="s">
        <v>2</v>
      </c>
      <c r="C1572" s="1" t="str">
        <f>IF($B1572 = "Production Item", _xlfn.XLOOKUP($A1572, 'Instrument Table'!$J:$J, 'Instrument Table'!$B:$B, $C1571), IF($B1572 = "Service Item", _xlfn.XLOOKUP($A1572, 'Instrument Table'!$I:$I, 'Instrument Table'!$B:$B, $C1571), _xlfn.XLOOKUP($A1572, 'Instrument Table'!$H:$H, 'Instrument Table'!$B:$B, $C1571)))</f>
        <v>Electric Guitar</v>
      </c>
      <c r="D1572" s="1" t="str">
        <f>VLOOKUP($C1572, 'Instrument Table'!$B:$C, 2, FALSE)</f>
        <v>Strings</v>
      </c>
      <c r="E1572" s="1">
        <f t="shared" si="144"/>
        <v>1</v>
      </c>
      <c r="F1572" s="1">
        <f>_xlfn.XLOOKUP($C1572, 'Instrument Table'!$B:$B, 'Instrument Table'!$A:$A, "")</f>
        <v>25</v>
      </c>
      <c r="G1572" s="1" t="str">
        <f>TEXT(IF($B1572 = "Retail Item", IF((ROW($A1572) - 4504 - _xlfn.XMATCH($C1572, $C$4506:$C$5005, 0, 1)) &lt;= VLOOKUP($C1572, 'Instrument Table'!$B:$D, 3, FALSE), ROW($A1572) - 4504 - _xlfn.XMATCH($C1572, $C$4506:$C$5005, 0, 1), 0), 0), "00")</f>
        <v>00</v>
      </c>
      <c r="H1572" s="1" t="str">
        <f t="shared" si="145"/>
        <v>016</v>
      </c>
      <c r="I1572" s="1" t="str">
        <f t="shared" si="146"/>
        <v>12500-016</v>
      </c>
      <c r="J1572" s="1" t="str">
        <f t="shared" si="147"/>
        <v>Electric guitar production item #016</v>
      </c>
      <c r="K1572" s="1" t="str">
        <f>IF(SUM(COUNTIFS(I:I, I1572)) &gt; 1, "DUPLICATE", "UNIQUE")</f>
        <v>UNIQUE</v>
      </c>
      <c r="L1572" s="18">
        <v>4</v>
      </c>
      <c r="M1572" s="28">
        <v>85</v>
      </c>
      <c r="N1572" s="6">
        <v>36</v>
      </c>
      <c r="O1572" s="30">
        <f t="shared" si="148"/>
        <v>340</v>
      </c>
      <c r="P1572" s="30">
        <f t="shared" si="149"/>
        <v>3060</v>
      </c>
      <c r="Q1572" s="1">
        <f>COUNTIFS($P:$P, "&gt;" &amp; $P1572) + 1</f>
        <v>2890</v>
      </c>
      <c r="R1572" s="63">
        <f>(COUNTIFS($P:$P, "&gt;" &amp; $P1572) + 1) / (COUNTA($I:$I) - 1)</f>
        <v>0.57799999999999996</v>
      </c>
      <c r="S1572" s="23">
        <f>SUMIFS($P:$P, $Q:$Q, "&lt;" &amp; $Q1572)</f>
        <v>184617793</v>
      </c>
    </row>
    <row r="1573" spans="1:19" x14ac:dyDescent="0.25">
      <c r="A1573" s="1">
        <v>1568</v>
      </c>
      <c r="B1573" s="1" t="s">
        <v>2</v>
      </c>
      <c r="C1573" s="1" t="str">
        <f>IF($B1573 = "Production Item", _xlfn.XLOOKUP($A1573, 'Instrument Table'!$J:$J, 'Instrument Table'!$B:$B, $C1572), IF($B1573 = "Service Item", _xlfn.XLOOKUP($A1573, 'Instrument Table'!$I:$I, 'Instrument Table'!$B:$B, $C1572), _xlfn.XLOOKUP($A1573, 'Instrument Table'!$H:$H, 'Instrument Table'!$B:$B, $C1572)))</f>
        <v>Electric Guitar</v>
      </c>
      <c r="D1573" s="1" t="str">
        <f>VLOOKUP($C1573, 'Instrument Table'!$B:$C, 2, FALSE)</f>
        <v>Strings</v>
      </c>
      <c r="E1573" s="1">
        <f t="shared" si="144"/>
        <v>1</v>
      </c>
      <c r="F1573" s="1">
        <f>_xlfn.XLOOKUP($C1573, 'Instrument Table'!$B:$B, 'Instrument Table'!$A:$A, "")</f>
        <v>25</v>
      </c>
      <c r="G1573" s="1" t="str">
        <f>TEXT(IF($B1573 = "Retail Item", IF((ROW($A1573) - 4504 - _xlfn.XMATCH($C1573, $C$4506:$C$5005, 0, 1)) &lt;= VLOOKUP($C1573, 'Instrument Table'!$B:$D, 3, FALSE), ROW($A1573) - 4504 - _xlfn.XMATCH($C1573, $C$4506:$C$5005, 0, 1), 0), 0), "00")</f>
        <v>00</v>
      </c>
      <c r="H1573" s="1" t="str">
        <f t="shared" si="145"/>
        <v>017</v>
      </c>
      <c r="I1573" s="1" t="str">
        <f t="shared" si="146"/>
        <v>12500-017</v>
      </c>
      <c r="J1573" s="1" t="str">
        <f t="shared" si="147"/>
        <v>Electric guitar production item #017</v>
      </c>
      <c r="K1573" s="1" t="str">
        <f>IF(SUM(COUNTIFS(I:I, I1573)) &gt; 1, "DUPLICATE", "UNIQUE")</f>
        <v>UNIQUE</v>
      </c>
      <c r="L1573" s="18">
        <v>1</v>
      </c>
      <c r="M1573" s="28">
        <v>40</v>
      </c>
      <c r="N1573" s="6">
        <v>324</v>
      </c>
      <c r="O1573" s="30">
        <f t="shared" si="148"/>
        <v>40</v>
      </c>
      <c r="P1573" s="30">
        <f t="shared" si="149"/>
        <v>12960</v>
      </c>
      <c r="Q1573" s="1">
        <f>COUNTIFS($P:$P, "&gt;" &amp; $P1573) + 1</f>
        <v>1501</v>
      </c>
      <c r="R1573" s="63">
        <f>(COUNTIFS($P:$P, "&gt;" &amp; $P1573) + 1) / (COUNTA($I:$I) - 1)</f>
        <v>0.30020000000000002</v>
      </c>
      <c r="S1573" s="23">
        <f>SUMIFS($P:$P, $Q:$Q, "&lt;" &amp; $Q1573)</f>
        <v>174852763</v>
      </c>
    </row>
    <row r="1574" spans="1:19" x14ac:dyDescent="0.25">
      <c r="A1574" s="1">
        <v>1569</v>
      </c>
      <c r="B1574" s="1" t="s">
        <v>2</v>
      </c>
      <c r="C1574" s="1" t="str">
        <f>IF($B1574 = "Production Item", _xlfn.XLOOKUP($A1574, 'Instrument Table'!$J:$J, 'Instrument Table'!$B:$B, $C1573), IF($B1574 = "Service Item", _xlfn.XLOOKUP($A1574, 'Instrument Table'!$I:$I, 'Instrument Table'!$B:$B, $C1573), _xlfn.XLOOKUP($A1574, 'Instrument Table'!$H:$H, 'Instrument Table'!$B:$B, $C1573)))</f>
        <v>Electric Guitar</v>
      </c>
      <c r="D1574" s="1" t="str">
        <f>VLOOKUP($C1574, 'Instrument Table'!$B:$C, 2, FALSE)</f>
        <v>Strings</v>
      </c>
      <c r="E1574" s="1">
        <f t="shared" si="144"/>
        <v>1</v>
      </c>
      <c r="F1574" s="1">
        <f>_xlfn.XLOOKUP($C1574, 'Instrument Table'!$B:$B, 'Instrument Table'!$A:$A, "")</f>
        <v>25</v>
      </c>
      <c r="G1574" s="1" t="str">
        <f>TEXT(IF($B1574 = "Retail Item", IF((ROW($A1574) - 4504 - _xlfn.XMATCH($C1574, $C$4506:$C$5005, 0, 1)) &lt;= VLOOKUP($C1574, 'Instrument Table'!$B:$D, 3, FALSE), ROW($A1574) - 4504 - _xlfn.XMATCH($C1574, $C$4506:$C$5005, 0, 1), 0), 0), "00")</f>
        <v>00</v>
      </c>
      <c r="H1574" s="1" t="str">
        <f t="shared" si="145"/>
        <v>018</v>
      </c>
      <c r="I1574" s="1" t="str">
        <f t="shared" si="146"/>
        <v>12500-018</v>
      </c>
      <c r="J1574" s="1" t="str">
        <f t="shared" si="147"/>
        <v>Electric guitar production item #018</v>
      </c>
      <c r="K1574" s="1" t="str">
        <f>IF(SUM(COUNTIFS(I:I, I1574)) &gt; 1, "DUPLICATE", "UNIQUE")</f>
        <v>UNIQUE</v>
      </c>
      <c r="L1574" s="18">
        <v>32</v>
      </c>
      <c r="M1574" s="28">
        <v>30</v>
      </c>
      <c r="N1574" s="6">
        <v>100</v>
      </c>
      <c r="O1574" s="30">
        <f t="shared" si="148"/>
        <v>960</v>
      </c>
      <c r="P1574" s="30">
        <f t="shared" si="149"/>
        <v>3000</v>
      </c>
      <c r="Q1574" s="1">
        <f>COUNTIFS($P:$P, "&gt;" &amp; $P1574) + 1</f>
        <v>2907</v>
      </c>
      <c r="R1574" s="63">
        <f>(COUNTIFS($P:$P, "&gt;" &amp; $P1574) + 1) / (COUNTA($I:$I) - 1)</f>
        <v>0.58140000000000003</v>
      </c>
      <c r="S1574" s="23">
        <f>SUMIFS($P:$P, $Q:$Q, "&lt;" &amp; $Q1574)</f>
        <v>184669418</v>
      </c>
    </row>
    <row r="1575" spans="1:19" x14ac:dyDescent="0.25">
      <c r="A1575" s="1">
        <v>1570</v>
      </c>
      <c r="B1575" s="1" t="s">
        <v>2</v>
      </c>
      <c r="C1575" s="1" t="str">
        <f>IF($B1575 = "Production Item", _xlfn.XLOOKUP($A1575, 'Instrument Table'!$J:$J, 'Instrument Table'!$B:$B, $C1574), IF($B1575 = "Service Item", _xlfn.XLOOKUP($A1575, 'Instrument Table'!$I:$I, 'Instrument Table'!$B:$B, $C1574), _xlfn.XLOOKUP($A1575, 'Instrument Table'!$H:$H, 'Instrument Table'!$B:$B, $C1574)))</f>
        <v>Electric Guitar</v>
      </c>
      <c r="D1575" s="1" t="str">
        <f>VLOOKUP($C1575, 'Instrument Table'!$B:$C, 2, FALSE)</f>
        <v>Strings</v>
      </c>
      <c r="E1575" s="1">
        <f t="shared" si="144"/>
        <v>1</v>
      </c>
      <c r="F1575" s="1">
        <f>_xlfn.XLOOKUP($C1575, 'Instrument Table'!$B:$B, 'Instrument Table'!$A:$A, "")</f>
        <v>25</v>
      </c>
      <c r="G1575" s="1" t="str">
        <f>TEXT(IF($B1575 = "Retail Item", IF((ROW($A1575) - 4504 - _xlfn.XMATCH($C1575, $C$4506:$C$5005, 0, 1)) &lt;= VLOOKUP($C1575, 'Instrument Table'!$B:$D, 3, FALSE), ROW($A1575) - 4504 - _xlfn.XMATCH($C1575, $C$4506:$C$5005, 0, 1), 0), 0), "00")</f>
        <v>00</v>
      </c>
      <c r="H1575" s="1" t="str">
        <f t="shared" si="145"/>
        <v>019</v>
      </c>
      <c r="I1575" s="1" t="str">
        <f t="shared" si="146"/>
        <v>12500-019</v>
      </c>
      <c r="J1575" s="1" t="str">
        <f t="shared" si="147"/>
        <v>Electric guitar production item #019</v>
      </c>
      <c r="K1575" s="1" t="str">
        <f>IF(SUM(COUNTIFS(I:I, I1575)) &gt; 1, "DUPLICATE", "UNIQUE")</f>
        <v>UNIQUE</v>
      </c>
      <c r="L1575" s="18">
        <v>0</v>
      </c>
      <c r="M1575" s="28">
        <v>96</v>
      </c>
      <c r="N1575" s="6">
        <v>36</v>
      </c>
      <c r="O1575" s="30">
        <f t="shared" si="148"/>
        <v>0</v>
      </c>
      <c r="P1575" s="30">
        <f t="shared" si="149"/>
        <v>3456</v>
      </c>
      <c r="Q1575" s="1">
        <f>COUNTIFS($P:$P, "&gt;" &amp; $P1575) + 1</f>
        <v>2787</v>
      </c>
      <c r="R1575" s="63">
        <f>(COUNTIFS($P:$P, "&gt;" &amp; $P1575) + 1) / (COUNTA($I:$I) - 1)</f>
        <v>0.55740000000000001</v>
      </c>
      <c r="S1575" s="23">
        <f>SUMIFS($P:$P, $Q:$Q, "&lt;" &amp; $Q1575)</f>
        <v>184281179</v>
      </c>
    </row>
    <row r="1576" spans="1:19" x14ac:dyDescent="0.25">
      <c r="A1576" s="1">
        <v>1571</v>
      </c>
      <c r="B1576" s="1" t="s">
        <v>2</v>
      </c>
      <c r="C1576" s="1" t="str">
        <f>IF($B1576 = "Production Item", _xlfn.XLOOKUP($A1576, 'Instrument Table'!$J:$J, 'Instrument Table'!$B:$B, $C1575), IF($B1576 = "Service Item", _xlfn.XLOOKUP($A1576, 'Instrument Table'!$I:$I, 'Instrument Table'!$B:$B, $C1575), _xlfn.XLOOKUP($A1576, 'Instrument Table'!$H:$H, 'Instrument Table'!$B:$B, $C1575)))</f>
        <v>Electric Guitar</v>
      </c>
      <c r="D1576" s="1" t="str">
        <f>VLOOKUP($C1576, 'Instrument Table'!$B:$C, 2, FALSE)</f>
        <v>Strings</v>
      </c>
      <c r="E1576" s="1">
        <f t="shared" si="144"/>
        <v>1</v>
      </c>
      <c r="F1576" s="1">
        <f>_xlfn.XLOOKUP($C1576, 'Instrument Table'!$B:$B, 'Instrument Table'!$A:$A, "")</f>
        <v>25</v>
      </c>
      <c r="G1576" s="1" t="str">
        <f>TEXT(IF($B1576 = "Retail Item", IF((ROW($A1576) - 4504 - _xlfn.XMATCH($C1576, $C$4506:$C$5005, 0, 1)) &lt;= VLOOKUP($C1576, 'Instrument Table'!$B:$D, 3, FALSE), ROW($A1576) - 4504 - _xlfn.XMATCH($C1576, $C$4506:$C$5005, 0, 1), 0), 0), "00")</f>
        <v>00</v>
      </c>
      <c r="H1576" s="1" t="str">
        <f t="shared" si="145"/>
        <v>020</v>
      </c>
      <c r="I1576" s="1" t="str">
        <f t="shared" si="146"/>
        <v>12500-020</v>
      </c>
      <c r="J1576" s="1" t="str">
        <f t="shared" si="147"/>
        <v>Electric guitar production item #020</v>
      </c>
      <c r="K1576" s="1" t="str">
        <f>IF(SUM(COUNTIFS(I:I, I1576)) &gt; 1, "DUPLICATE", "UNIQUE")</f>
        <v>UNIQUE</v>
      </c>
      <c r="L1576" s="18">
        <v>0</v>
      </c>
      <c r="M1576" s="28">
        <v>99</v>
      </c>
      <c r="N1576" s="6">
        <v>400</v>
      </c>
      <c r="O1576" s="30">
        <f t="shared" si="148"/>
        <v>0</v>
      </c>
      <c r="P1576" s="30">
        <f t="shared" si="149"/>
        <v>39600</v>
      </c>
      <c r="Q1576" s="1">
        <f>COUNTIFS($P:$P, "&gt;" &amp; $P1576) + 1</f>
        <v>560</v>
      </c>
      <c r="R1576" s="63">
        <f>(COUNTIFS($P:$P, "&gt;" &amp; $P1576) + 1) / (COUNTA($I:$I) - 1)</f>
        <v>0.112</v>
      </c>
      <c r="S1576" s="23">
        <f>SUMIFS($P:$P, $Q:$Q, "&lt;" &amp; $Q1576)</f>
        <v>154377034</v>
      </c>
    </row>
    <row r="1577" spans="1:19" x14ac:dyDescent="0.25">
      <c r="A1577" s="1">
        <v>1572</v>
      </c>
      <c r="B1577" s="1" t="s">
        <v>2</v>
      </c>
      <c r="C1577" s="1" t="str">
        <f>IF($B1577 = "Production Item", _xlfn.XLOOKUP($A1577, 'Instrument Table'!$J:$J, 'Instrument Table'!$B:$B, $C1576), IF($B1577 = "Service Item", _xlfn.XLOOKUP($A1577, 'Instrument Table'!$I:$I, 'Instrument Table'!$B:$B, $C1576), _xlfn.XLOOKUP($A1577, 'Instrument Table'!$H:$H, 'Instrument Table'!$B:$B, $C1576)))</f>
        <v>Electric Guitar</v>
      </c>
      <c r="D1577" s="1" t="str">
        <f>VLOOKUP($C1577, 'Instrument Table'!$B:$C, 2, FALSE)</f>
        <v>Strings</v>
      </c>
      <c r="E1577" s="1">
        <f t="shared" si="144"/>
        <v>1</v>
      </c>
      <c r="F1577" s="1">
        <f>_xlfn.XLOOKUP($C1577, 'Instrument Table'!$B:$B, 'Instrument Table'!$A:$A, "")</f>
        <v>25</v>
      </c>
      <c r="G1577" s="1" t="str">
        <f>TEXT(IF($B1577 = "Retail Item", IF((ROW($A1577) - 4504 - _xlfn.XMATCH($C1577, $C$4506:$C$5005, 0, 1)) &lt;= VLOOKUP($C1577, 'Instrument Table'!$B:$D, 3, FALSE), ROW($A1577) - 4504 - _xlfn.XMATCH($C1577, $C$4506:$C$5005, 0, 1), 0), 0), "00")</f>
        <v>00</v>
      </c>
      <c r="H1577" s="1" t="str">
        <f t="shared" si="145"/>
        <v>021</v>
      </c>
      <c r="I1577" s="1" t="str">
        <f t="shared" si="146"/>
        <v>12500-021</v>
      </c>
      <c r="J1577" s="1" t="str">
        <f t="shared" si="147"/>
        <v>Electric guitar production item #021</v>
      </c>
      <c r="K1577" s="1" t="str">
        <f>IF(SUM(COUNTIFS(I:I, I1577)) &gt; 1, "DUPLICATE", "UNIQUE")</f>
        <v>UNIQUE</v>
      </c>
      <c r="L1577" s="18">
        <v>1</v>
      </c>
      <c r="M1577" s="28">
        <v>49</v>
      </c>
      <c r="N1577" s="6">
        <v>361</v>
      </c>
      <c r="O1577" s="30">
        <f t="shared" si="148"/>
        <v>49</v>
      </c>
      <c r="P1577" s="30">
        <f t="shared" si="149"/>
        <v>17689</v>
      </c>
      <c r="Q1577" s="1">
        <f>COUNTIFS($P:$P, "&gt;" &amp; $P1577) + 1</f>
        <v>1175</v>
      </c>
      <c r="R1577" s="63">
        <f>(COUNTIFS($P:$P, "&gt;" &amp; $P1577) + 1) / (COUNTA($I:$I) - 1)</f>
        <v>0.23499999999999999</v>
      </c>
      <c r="S1577" s="23">
        <f>SUMIFS($P:$P, $Q:$Q, "&lt;" &amp; $Q1577)</f>
        <v>169887725</v>
      </c>
    </row>
    <row r="1578" spans="1:19" x14ac:dyDescent="0.25">
      <c r="A1578" s="1">
        <v>1573</v>
      </c>
      <c r="B1578" s="1" t="s">
        <v>2</v>
      </c>
      <c r="C1578" s="1" t="str">
        <f>IF($B1578 = "Production Item", _xlfn.XLOOKUP($A1578, 'Instrument Table'!$J:$J, 'Instrument Table'!$B:$B, $C1577), IF($B1578 = "Service Item", _xlfn.XLOOKUP($A1578, 'Instrument Table'!$I:$I, 'Instrument Table'!$B:$B, $C1577), _xlfn.XLOOKUP($A1578, 'Instrument Table'!$H:$H, 'Instrument Table'!$B:$B, $C1577)))</f>
        <v>Electric Guitar</v>
      </c>
      <c r="D1578" s="1" t="str">
        <f>VLOOKUP($C1578, 'Instrument Table'!$B:$C, 2, FALSE)</f>
        <v>Strings</v>
      </c>
      <c r="E1578" s="1">
        <f t="shared" si="144"/>
        <v>1</v>
      </c>
      <c r="F1578" s="1">
        <f>_xlfn.XLOOKUP($C1578, 'Instrument Table'!$B:$B, 'Instrument Table'!$A:$A, "")</f>
        <v>25</v>
      </c>
      <c r="G1578" s="1" t="str">
        <f>TEXT(IF($B1578 = "Retail Item", IF((ROW($A1578) - 4504 - _xlfn.XMATCH($C1578, $C$4506:$C$5005, 0, 1)) &lt;= VLOOKUP($C1578, 'Instrument Table'!$B:$D, 3, FALSE), ROW($A1578) - 4504 - _xlfn.XMATCH($C1578, $C$4506:$C$5005, 0, 1), 0), 0), "00")</f>
        <v>00</v>
      </c>
      <c r="H1578" s="1" t="str">
        <f t="shared" si="145"/>
        <v>022</v>
      </c>
      <c r="I1578" s="1" t="str">
        <f t="shared" si="146"/>
        <v>12500-022</v>
      </c>
      <c r="J1578" s="1" t="str">
        <f t="shared" si="147"/>
        <v>Electric guitar production item #022</v>
      </c>
      <c r="K1578" s="1" t="str">
        <f>IF(SUM(COUNTIFS(I:I, I1578)) &gt; 1, "DUPLICATE", "UNIQUE")</f>
        <v>UNIQUE</v>
      </c>
      <c r="L1578" s="18">
        <v>0</v>
      </c>
      <c r="M1578" s="28">
        <v>83</v>
      </c>
      <c r="N1578" s="6">
        <v>225</v>
      </c>
      <c r="O1578" s="30">
        <f t="shared" si="148"/>
        <v>0</v>
      </c>
      <c r="P1578" s="30">
        <f t="shared" si="149"/>
        <v>18675</v>
      </c>
      <c r="Q1578" s="1">
        <f>COUNTIFS($P:$P, "&gt;" &amp; $P1578) + 1</f>
        <v>1120</v>
      </c>
      <c r="R1578" s="63">
        <f>(COUNTIFS($P:$P, "&gt;" &amp; $P1578) + 1) / (COUNTA($I:$I) - 1)</f>
        <v>0.224</v>
      </c>
      <c r="S1578" s="23">
        <f>SUMIFS($P:$P, $Q:$Q, "&lt;" &amp; $Q1578)</f>
        <v>168881811</v>
      </c>
    </row>
    <row r="1579" spans="1:19" x14ac:dyDescent="0.25">
      <c r="A1579" s="1">
        <v>1574</v>
      </c>
      <c r="B1579" s="1" t="s">
        <v>2</v>
      </c>
      <c r="C1579" s="1" t="str">
        <f>IF($B1579 = "Production Item", _xlfn.XLOOKUP($A1579, 'Instrument Table'!$J:$J, 'Instrument Table'!$B:$B, $C1578), IF($B1579 = "Service Item", _xlfn.XLOOKUP($A1579, 'Instrument Table'!$I:$I, 'Instrument Table'!$B:$B, $C1578), _xlfn.XLOOKUP($A1579, 'Instrument Table'!$H:$H, 'Instrument Table'!$B:$B, $C1578)))</f>
        <v>Electric Guitar</v>
      </c>
      <c r="D1579" s="1" t="str">
        <f>VLOOKUP($C1579, 'Instrument Table'!$B:$C, 2, FALSE)</f>
        <v>Strings</v>
      </c>
      <c r="E1579" s="1">
        <f t="shared" si="144"/>
        <v>1</v>
      </c>
      <c r="F1579" s="1">
        <f>_xlfn.XLOOKUP($C1579, 'Instrument Table'!$B:$B, 'Instrument Table'!$A:$A, "")</f>
        <v>25</v>
      </c>
      <c r="G1579" s="1" t="str">
        <f>TEXT(IF($B1579 = "Retail Item", IF((ROW($A1579) - 4504 - _xlfn.XMATCH($C1579, $C$4506:$C$5005, 0, 1)) &lt;= VLOOKUP($C1579, 'Instrument Table'!$B:$D, 3, FALSE), ROW($A1579) - 4504 - _xlfn.XMATCH($C1579, $C$4506:$C$5005, 0, 1), 0), 0), "00")</f>
        <v>00</v>
      </c>
      <c r="H1579" s="1" t="str">
        <f t="shared" si="145"/>
        <v>023</v>
      </c>
      <c r="I1579" s="1" t="str">
        <f t="shared" si="146"/>
        <v>12500-023</v>
      </c>
      <c r="J1579" s="1" t="str">
        <f t="shared" si="147"/>
        <v>Electric guitar production item #023</v>
      </c>
      <c r="K1579" s="1" t="str">
        <f>IF(SUM(COUNTIFS(I:I, I1579)) &gt; 1, "DUPLICATE", "UNIQUE")</f>
        <v>UNIQUE</v>
      </c>
      <c r="L1579" s="18">
        <v>0</v>
      </c>
      <c r="M1579" s="28">
        <v>87</v>
      </c>
      <c r="N1579" s="6">
        <v>1</v>
      </c>
      <c r="O1579" s="30">
        <f t="shared" si="148"/>
        <v>0</v>
      </c>
      <c r="P1579" s="30">
        <f t="shared" si="149"/>
        <v>87</v>
      </c>
      <c r="Q1579" s="1">
        <f>COUNTIFS($P:$P, "&gt;" &amp; $P1579) + 1</f>
        <v>4491</v>
      </c>
      <c r="R1579" s="63">
        <f>(COUNTIFS($P:$P, "&gt;" &amp; $P1579) + 1) / (COUNTA($I:$I) - 1)</f>
        <v>0.8982</v>
      </c>
      <c r="S1579" s="23">
        <f>SUMIFS($P:$P, $Q:$Q, "&lt;" &amp; $Q1579)</f>
        <v>186536092</v>
      </c>
    </row>
    <row r="1580" spans="1:19" x14ac:dyDescent="0.25">
      <c r="A1580" s="1">
        <v>1575</v>
      </c>
      <c r="B1580" s="1" t="s">
        <v>2</v>
      </c>
      <c r="C1580" s="1" t="str">
        <f>IF($B1580 = "Production Item", _xlfn.XLOOKUP($A1580, 'Instrument Table'!$J:$J, 'Instrument Table'!$B:$B, $C1579), IF($B1580 = "Service Item", _xlfn.XLOOKUP($A1580, 'Instrument Table'!$I:$I, 'Instrument Table'!$B:$B, $C1579), _xlfn.XLOOKUP($A1580, 'Instrument Table'!$H:$H, 'Instrument Table'!$B:$B, $C1579)))</f>
        <v>Electric Guitar</v>
      </c>
      <c r="D1580" s="1" t="str">
        <f>VLOOKUP($C1580, 'Instrument Table'!$B:$C, 2, FALSE)</f>
        <v>Strings</v>
      </c>
      <c r="E1580" s="1">
        <f t="shared" si="144"/>
        <v>1</v>
      </c>
      <c r="F1580" s="1">
        <f>_xlfn.XLOOKUP($C1580, 'Instrument Table'!$B:$B, 'Instrument Table'!$A:$A, "")</f>
        <v>25</v>
      </c>
      <c r="G1580" s="1" t="str">
        <f>TEXT(IF($B1580 = "Retail Item", IF((ROW($A1580) - 4504 - _xlfn.XMATCH($C1580, $C$4506:$C$5005, 0, 1)) &lt;= VLOOKUP($C1580, 'Instrument Table'!$B:$D, 3, FALSE), ROW($A1580) - 4504 - _xlfn.XMATCH($C1580, $C$4506:$C$5005, 0, 1), 0), 0), "00")</f>
        <v>00</v>
      </c>
      <c r="H1580" s="1" t="str">
        <f t="shared" si="145"/>
        <v>024</v>
      </c>
      <c r="I1580" s="1" t="str">
        <f t="shared" si="146"/>
        <v>12500-024</v>
      </c>
      <c r="J1580" s="1" t="str">
        <f t="shared" si="147"/>
        <v>Electric guitar production item #024</v>
      </c>
      <c r="K1580" s="1" t="str">
        <f>IF(SUM(COUNTIFS(I:I, I1580)) &gt; 1, "DUPLICATE", "UNIQUE")</f>
        <v>UNIQUE</v>
      </c>
      <c r="L1580" s="18">
        <v>4</v>
      </c>
      <c r="M1580" s="28">
        <v>11</v>
      </c>
      <c r="N1580" s="6">
        <v>9</v>
      </c>
      <c r="O1580" s="30">
        <f t="shared" si="148"/>
        <v>44</v>
      </c>
      <c r="P1580" s="30">
        <f t="shared" si="149"/>
        <v>99</v>
      </c>
      <c r="Q1580" s="1">
        <f>COUNTIFS($P:$P, "&gt;" &amp; $P1580) + 1</f>
        <v>4457</v>
      </c>
      <c r="R1580" s="63">
        <f>(COUNTIFS($P:$P, "&gt;" &amp; $P1580) + 1) / (COUNTA($I:$I) - 1)</f>
        <v>0.89139999999999997</v>
      </c>
      <c r="S1580" s="23">
        <f>SUMIFS($P:$P, $Q:$Q, "&lt;" &amp; $Q1580)</f>
        <v>186532918</v>
      </c>
    </row>
    <row r="1581" spans="1:19" x14ac:dyDescent="0.25">
      <c r="A1581" s="1">
        <v>1576</v>
      </c>
      <c r="B1581" s="1" t="s">
        <v>2</v>
      </c>
      <c r="C1581" s="1" t="str">
        <f>IF($B1581 = "Production Item", _xlfn.XLOOKUP($A1581, 'Instrument Table'!$J:$J, 'Instrument Table'!$B:$B, $C1580), IF($B1581 = "Service Item", _xlfn.XLOOKUP($A1581, 'Instrument Table'!$I:$I, 'Instrument Table'!$B:$B, $C1580), _xlfn.XLOOKUP($A1581, 'Instrument Table'!$H:$H, 'Instrument Table'!$B:$B, $C1580)))</f>
        <v>Electric Guitar</v>
      </c>
      <c r="D1581" s="1" t="str">
        <f>VLOOKUP($C1581, 'Instrument Table'!$B:$C, 2, FALSE)</f>
        <v>Strings</v>
      </c>
      <c r="E1581" s="1">
        <f t="shared" si="144"/>
        <v>1</v>
      </c>
      <c r="F1581" s="1">
        <f>_xlfn.XLOOKUP($C1581, 'Instrument Table'!$B:$B, 'Instrument Table'!$A:$A, "")</f>
        <v>25</v>
      </c>
      <c r="G1581" s="1" t="str">
        <f>TEXT(IF($B1581 = "Retail Item", IF((ROW($A1581) - 4504 - _xlfn.XMATCH($C1581, $C$4506:$C$5005, 0, 1)) &lt;= VLOOKUP($C1581, 'Instrument Table'!$B:$D, 3, FALSE), ROW($A1581) - 4504 - _xlfn.XMATCH($C1581, $C$4506:$C$5005, 0, 1), 0), 0), "00")</f>
        <v>00</v>
      </c>
      <c r="H1581" s="1" t="str">
        <f t="shared" si="145"/>
        <v>025</v>
      </c>
      <c r="I1581" s="1" t="str">
        <f t="shared" si="146"/>
        <v>12500-025</v>
      </c>
      <c r="J1581" s="1" t="str">
        <f t="shared" si="147"/>
        <v>Electric guitar production item #025</v>
      </c>
      <c r="K1581" s="1" t="str">
        <f>IF(SUM(COUNTIFS(I:I, I1581)) &gt; 1, "DUPLICATE", "UNIQUE")</f>
        <v>UNIQUE</v>
      </c>
      <c r="L1581" s="18">
        <v>8</v>
      </c>
      <c r="M1581" s="28">
        <v>5</v>
      </c>
      <c r="N1581" s="6">
        <v>36</v>
      </c>
      <c r="O1581" s="30">
        <f t="shared" si="148"/>
        <v>40</v>
      </c>
      <c r="P1581" s="30">
        <f t="shared" si="149"/>
        <v>180</v>
      </c>
      <c r="Q1581" s="1">
        <f>COUNTIFS($P:$P, "&gt;" &amp; $P1581) + 1</f>
        <v>4352</v>
      </c>
      <c r="R1581" s="63">
        <f>(COUNTIFS($P:$P, "&gt;" &amp; $P1581) + 1) / (COUNTA($I:$I) - 1)</f>
        <v>0.87039999999999995</v>
      </c>
      <c r="S1581" s="23">
        <f>SUMIFS($P:$P, $Q:$Q, "&lt;" &amp; $Q1581)</f>
        <v>186517952</v>
      </c>
    </row>
    <row r="1582" spans="1:19" x14ac:dyDescent="0.25">
      <c r="A1582" s="1">
        <v>1577</v>
      </c>
      <c r="B1582" s="1" t="s">
        <v>2</v>
      </c>
      <c r="C1582" s="1" t="str">
        <f>IF($B1582 = "Production Item", _xlfn.XLOOKUP($A1582, 'Instrument Table'!$J:$J, 'Instrument Table'!$B:$B, $C1581), IF($B1582 = "Service Item", _xlfn.XLOOKUP($A1582, 'Instrument Table'!$I:$I, 'Instrument Table'!$B:$B, $C1581), _xlfn.XLOOKUP($A1582, 'Instrument Table'!$H:$H, 'Instrument Table'!$B:$B, $C1581)))</f>
        <v>Electric Guitar</v>
      </c>
      <c r="D1582" s="1" t="str">
        <f>VLOOKUP($C1582, 'Instrument Table'!$B:$C, 2, FALSE)</f>
        <v>Strings</v>
      </c>
      <c r="E1582" s="1">
        <f t="shared" si="144"/>
        <v>1</v>
      </c>
      <c r="F1582" s="1">
        <f>_xlfn.XLOOKUP($C1582, 'Instrument Table'!$B:$B, 'Instrument Table'!$A:$A, "")</f>
        <v>25</v>
      </c>
      <c r="G1582" s="1" t="str">
        <f>TEXT(IF($B1582 = "Retail Item", IF((ROW($A1582) - 4504 - _xlfn.XMATCH($C1582, $C$4506:$C$5005, 0, 1)) &lt;= VLOOKUP($C1582, 'Instrument Table'!$B:$D, 3, FALSE), ROW($A1582) - 4504 - _xlfn.XMATCH($C1582, $C$4506:$C$5005, 0, 1), 0), 0), "00")</f>
        <v>00</v>
      </c>
      <c r="H1582" s="1" t="str">
        <f t="shared" si="145"/>
        <v>026</v>
      </c>
      <c r="I1582" s="1" t="str">
        <f t="shared" si="146"/>
        <v>12500-026</v>
      </c>
      <c r="J1582" s="1" t="str">
        <f t="shared" si="147"/>
        <v>Electric guitar production item #026</v>
      </c>
      <c r="K1582" s="1" t="str">
        <f>IF(SUM(COUNTIFS(I:I, I1582)) &gt; 1, "DUPLICATE", "UNIQUE")</f>
        <v>UNIQUE</v>
      </c>
      <c r="L1582" s="18">
        <v>0</v>
      </c>
      <c r="M1582" s="28">
        <v>79</v>
      </c>
      <c r="N1582" s="6">
        <v>225</v>
      </c>
      <c r="O1582" s="30">
        <f t="shared" si="148"/>
        <v>0</v>
      </c>
      <c r="P1582" s="30">
        <f t="shared" si="149"/>
        <v>17775</v>
      </c>
      <c r="Q1582" s="1">
        <f>COUNTIFS($P:$P, "&gt;" &amp; $P1582) + 1</f>
        <v>1174</v>
      </c>
      <c r="R1582" s="63">
        <f>(COUNTIFS($P:$P, "&gt;" &amp; $P1582) + 1) / (COUNTA($I:$I) - 1)</f>
        <v>0.23480000000000001</v>
      </c>
      <c r="S1582" s="23">
        <f>SUMIFS($P:$P, $Q:$Q, "&lt;" &amp; $Q1582)</f>
        <v>169869950</v>
      </c>
    </row>
    <row r="1583" spans="1:19" x14ac:dyDescent="0.25">
      <c r="A1583" s="1">
        <v>1578</v>
      </c>
      <c r="B1583" s="1" t="s">
        <v>2</v>
      </c>
      <c r="C1583" s="1" t="str">
        <f>IF($B1583 = "Production Item", _xlfn.XLOOKUP($A1583, 'Instrument Table'!$J:$J, 'Instrument Table'!$B:$B, $C1582), IF($B1583 = "Service Item", _xlfn.XLOOKUP($A1583, 'Instrument Table'!$I:$I, 'Instrument Table'!$B:$B, $C1582), _xlfn.XLOOKUP($A1583, 'Instrument Table'!$H:$H, 'Instrument Table'!$B:$B, $C1582)))</f>
        <v>Electric Guitar</v>
      </c>
      <c r="D1583" s="1" t="str">
        <f>VLOOKUP($C1583, 'Instrument Table'!$B:$C, 2, FALSE)</f>
        <v>Strings</v>
      </c>
      <c r="E1583" s="1">
        <f t="shared" si="144"/>
        <v>1</v>
      </c>
      <c r="F1583" s="1">
        <f>_xlfn.XLOOKUP($C1583, 'Instrument Table'!$B:$B, 'Instrument Table'!$A:$A, "")</f>
        <v>25</v>
      </c>
      <c r="G1583" s="1" t="str">
        <f>TEXT(IF($B1583 = "Retail Item", IF((ROW($A1583) - 4504 - _xlfn.XMATCH($C1583, $C$4506:$C$5005, 0, 1)) &lt;= VLOOKUP($C1583, 'Instrument Table'!$B:$D, 3, FALSE), ROW($A1583) - 4504 - _xlfn.XMATCH($C1583, $C$4506:$C$5005, 0, 1), 0), 0), "00")</f>
        <v>00</v>
      </c>
      <c r="H1583" s="1" t="str">
        <f t="shared" si="145"/>
        <v>027</v>
      </c>
      <c r="I1583" s="1" t="str">
        <f t="shared" si="146"/>
        <v>12500-027</v>
      </c>
      <c r="J1583" s="1" t="str">
        <f t="shared" si="147"/>
        <v>Electric guitar production item #027</v>
      </c>
      <c r="K1583" s="1" t="str">
        <f>IF(SUM(COUNTIFS(I:I, I1583)) &gt; 1, "DUPLICATE", "UNIQUE")</f>
        <v>UNIQUE</v>
      </c>
      <c r="L1583" s="18">
        <v>4</v>
      </c>
      <c r="M1583" s="28">
        <v>8</v>
      </c>
      <c r="N1583" s="6">
        <v>361</v>
      </c>
      <c r="O1583" s="30">
        <f t="shared" si="148"/>
        <v>32</v>
      </c>
      <c r="P1583" s="30">
        <f t="shared" si="149"/>
        <v>2888</v>
      </c>
      <c r="Q1583" s="1">
        <f>COUNTIFS($P:$P, "&gt;" &amp; $P1583) + 1</f>
        <v>2938</v>
      </c>
      <c r="R1583" s="63">
        <f>(COUNTIFS($P:$P, "&gt;" &amp; $P1583) + 1) / (COUNTA($I:$I) - 1)</f>
        <v>0.58760000000000001</v>
      </c>
      <c r="S1583" s="23">
        <f>SUMIFS($P:$P, $Q:$Q, "&lt;" &amp; $Q1583)</f>
        <v>184760537</v>
      </c>
    </row>
    <row r="1584" spans="1:19" x14ac:dyDescent="0.25">
      <c r="A1584" s="1">
        <v>1579</v>
      </c>
      <c r="B1584" s="1" t="s">
        <v>2</v>
      </c>
      <c r="C1584" s="1" t="str">
        <f>IF($B1584 = "Production Item", _xlfn.XLOOKUP($A1584, 'Instrument Table'!$J:$J, 'Instrument Table'!$B:$B, $C1583), IF($B1584 = "Service Item", _xlfn.XLOOKUP($A1584, 'Instrument Table'!$I:$I, 'Instrument Table'!$B:$B, $C1583), _xlfn.XLOOKUP($A1584, 'Instrument Table'!$H:$H, 'Instrument Table'!$B:$B, $C1583)))</f>
        <v>Electric Guitar</v>
      </c>
      <c r="D1584" s="1" t="str">
        <f>VLOOKUP($C1584, 'Instrument Table'!$B:$C, 2, FALSE)</f>
        <v>Strings</v>
      </c>
      <c r="E1584" s="1">
        <f t="shared" si="144"/>
        <v>1</v>
      </c>
      <c r="F1584" s="1">
        <f>_xlfn.XLOOKUP($C1584, 'Instrument Table'!$B:$B, 'Instrument Table'!$A:$A, "")</f>
        <v>25</v>
      </c>
      <c r="G1584" s="1" t="str">
        <f>TEXT(IF($B1584 = "Retail Item", IF((ROW($A1584) - 4504 - _xlfn.XMATCH($C1584, $C$4506:$C$5005, 0, 1)) &lt;= VLOOKUP($C1584, 'Instrument Table'!$B:$D, 3, FALSE), ROW($A1584) - 4504 - _xlfn.XMATCH($C1584, $C$4506:$C$5005, 0, 1), 0), 0), "00")</f>
        <v>00</v>
      </c>
      <c r="H1584" s="1" t="str">
        <f t="shared" si="145"/>
        <v>028</v>
      </c>
      <c r="I1584" s="1" t="str">
        <f t="shared" si="146"/>
        <v>12500-028</v>
      </c>
      <c r="J1584" s="1" t="str">
        <f t="shared" si="147"/>
        <v>Electric guitar production item #028</v>
      </c>
      <c r="K1584" s="1" t="str">
        <f>IF(SUM(COUNTIFS(I:I, I1584)) &gt; 1, "DUPLICATE", "UNIQUE")</f>
        <v>UNIQUE</v>
      </c>
      <c r="L1584" s="18">
        <v>8</v>
      </c>
      <c r="M1584" s="28">
        <v>53</v>
      </c>
      <c r="N1584" s="6">
        <v>196</v>
      </c>
      <c r="O1584" s="30">
        <f t="shared" si="148"/>
        <v>424</v>
      </c>
      <c r="P1584" s="30">
        <f t="shared" si="149"/>
        <v>10388</v>
      </c>
      <c r="Q1584" s="1">
        <f>COUNTIFS($P:$P, "&gt;" &amp; $P1584) + 1</f>
        <v>1740</v>
      </c>
      <c r="R1584" s="63">
        <f>(COUNTIFS($P:$P, "&gt;" &amp; $P1584) + 1) / (COUNTA($I:$I) - 1)</f>
        <v>0.34799999999999998</v>
      </c>
      <c r="S1584" s="23">
        <f>SUMIFS($P:$P, $Q:$Q, "&lt;" &amp; $Q1584)</f>
        <v>177638592</v>
      </c>
    </row>
    <row r="1585" spans="1:19" x14ac:dyDescent="0.25">
      <c r="A1585" s="1">
        <v>1580</v>
      </c>
      <c r="B1585" s="1" t="s">
        <v>2</v>
      </c>
      <c r="C1585" s="1" t="str">
        <f>IF($B1585 = "Production Item", _xlfn.XLOOKUP($A1585, 'Instrument Table'!$J:$J, 'Instrument Table'!$B:$B, $C1584), IF($B1585 = "Service Item", _xlfn.XLOOKUP($A1585, 'Instrument Table'!$I:$I, 'Instrument Table'!$B:$B, $C1584), _xlfn.XLOOKUP($A1585, 'Instrument Table'!$H:$H, 'Instrument Table'!$B:$B, $C1584)))</f>
        <v>Electric Guitar</v>
      </c>
      <c r="D1585" s="1" t="str">
        <f>VLOOKUP($C1585, 'Instrument Table'!$B:$C, 2, FALSE)</f>
        <v>Strings</v>
      </c>
      <c r="E1585" s="1">
        <f t="shared" si="144"/>
        <v>1</v>
      </c>
      <c r="F1585" s="1">
        <f>_xlfn.XLOOKUP($C1585, 'Instrument Table'!$B:$B, 'Instrument Table'!$A:$A, "")</f>
        <v>25</v>
      </c>
      <c r="G1585" s="1" t="str">
        <f>TEXT(IF($B1585 = "Retail Item", IF((ROW($A1585) - 4504 - _xlfn.XMATCH($C1585, $C$4506:$C$5005, 0, 1)) &lt;= VLOOKUP($C1585, 'Instrument Table'!$B:$D, 3, FALSE), ROW($A1585) - 4504 - _xlfn.XMATCH($C1585, $C$4506:$C$5005, 0, 1), 0), 0), "00")</f>
        <v>00</v>
      </c>
      <c r="H1585" s="1" t="str">
        <f t="shared" si="145"/>
        <v>029</v>
      </c>
      <c r="I1585" s="1" t="str">
        <f t="shared" si="146"/>
        <v>12500-029</v>
      </c>
      <c r="J1585" s="1" t="str">
        <f t="shared" si="147"/>
        <v>Electric guitar production item #029</v>
      </c>
      <c r="K1585" s="1" t="str">
        <f>IF(SUM(COUNTIFS(I:I, I1585)) &gt; 1, "DUPLICATE", "UNIQUE")</f>
        <v>UNIQUE</v>
      </c>
      <c r="L1585" s="18">
        <v>1</v>
      </c>
      <c r="M1585" s="28">
        <v>71</v>
      </c>
      <c r="N1585" s="6">
        <v>1</v>
      </c>
      <c r="O1585" s="30">
        <f t="shared" si="148"/>
        <v>71</v>
      </c>
      <c r="P1585" s="30">
        <f t="shared" si="149"/>
        <v>71</v>
      </c>
      <c r="Q1585" s="1">
        <f>COUNTIFS($P:$P, "&gt;" &amp; $P1585) + 1</f>
        <v>4540</v>
      </c>
      <c r="R1585" s="63">
        <f>(COUNTIFS($P:$P, "&gt;" &amp; $P1585) + 1) / (COUNTA($I:$I) - 1)</f>
        <v>0.90800000000000003</v>
      </c>
      <c r="S1585" s="23">
        <f>SUMIFS($P:$P, $Q:$Q, "&lt;" &amp; $Q1585)</f>
        <v>186539970</v>
      </c>
    </row>
    <row r="1586" spans="1:19" x14ac:dyDescent="0.25">
      <c r="A1586" s="1">
        <v>1581</v>
      </c>
      <c r="B1586" s="1" t="s">
        <v>2</v>
      </c>
      <c r="C1586" s="1" t="str">
        <f>IF($B1586 = "Production Item", _xlfn.XLOOKUP($A1586, 'Instrument Table'!$J:$J, 'Instrument Table'!$B:$B, $C1585), IF($B1586 = "Service Item", _xlfn.XLOOKUP($A1586, 'Instrument Table'!$I:$I, 'Instrument Table'!$B:$B, $C1585), _xlfn.XLOOKUP($A1586, 'Instrument Table'!$H:$H, 'Instrument Table'!$B:$B, $C1585)))</f>
        <v>Electric Guitar</v>
      </c>
      <c r="D1586" s="1" t="str">
        <f>VLOOKUP($C1586, 'Instrument Table'!$B:$C, 2, FALSE)</f>
        <v>Strings</v>
      </c>
      <c r="E1586" s="1">
        <f t="shared" si="144"/>
        <v>1</v>
      </c>
      <c r="F1586" s="1">
        <f>_xlfn.XLOOKUP($C1586, 'Instrument Table'!$B:$B, 'Instrument Table'!$A:$A, "")</f>
        <v>25</v>
      </c>
      <c r="G1586" s="1" t="str">
        <f>TEXT(IF($B1586 = "Retail Item", IF((ROW($A1586) - 4504 - _xlfn.XMATCH($C1586, $C$4506:$C$5005, 0, 1)) &lt;= VLOOKUP($C1586, 'Instrument Table'!$B:$D, 3, FALSE), ROW($A1586) - 4504 - _xlfn.XMATCH($C1586, $C$4506:$C$5005, 0, 1), 0), 0), "00")</f>
        <v>00</v>
      </c>
      <c r="H1586" s="1" t="str">
        <f t="shared" si="145"/>
        <v>030</v>
      </c>
      <c r="I1586" s="1" t="str">
        <f t="shared" si="146"/>
        <v>12500-030</v>
      </c>
      <c r="J1586" s="1" t="str">
        <f t="shared" si="147"/>
        <v>Electric guitar production item #030</v>
      </c>
      <c r="K1586" s="1" t="str">
        <f>IF(SUM(COUNTIFS(I:I, I1586)) &gt; 1, "DUPLICATE", "UNIQUE")</f>
        <v>UNIQUE</v>
      </c>
      <c r="L1586" s="18">
        <v>1</v>
      </c>
      <c r="M1586" s="28">
        <v>51</v>
      </c>
      <c r="N1586" s="6">
        <v>4</v>
      </c>
      <c r="O1586" s="30">
        <f t="shared" si="148"/>
        <v>51</v>
      </c>
      <c r="P1586" s="30">
        <f t="shared" si="149"/>
        <v>204</v>
      </c>
      <c r="Q1586" s="1">
        <f>COUNTIFS($P:$P, "&gt;" &amp; $P1586) + 1</f>
        <v>4320</v>
      </c>
      <c r="R1586" s="63">
        <f>(COUNTIFS($P:$P, "&gt;" &amp; $P1586) + 1) / (COUNTA($I:$I) - 1)</f>
        <v>0.86399999999999999</v>
      </c>
      <c r="S1586" s="23">
        <f>SUMIFS($P:$P, $Q:$Q, "&lt;" &amp; $Q1586)</f>
        <v>186511689</v>
      </c>
    </row>
    <row r="1587" spans="1:19" x14ac:dyDescent="0.25">
      <c r="A1587" s="1">
        <v>1582</v>
      </c>
      <c r="B1587" s="1" t="s">
        <v>2</v>
      </c>
      <c r="C1587" s="1" t="str">
        <f>IF($B1587 = "Production Item", _xlfn.XLOOKUP($A1587, 'Instrument Table'!$J:$J, 'Instrument Table'!$B:$B, $C1586), IF($B1587 = "Service Item", _xlfn.XLOOKUP($A1587, 'Instrument Table'!$I:$I, 'Instrument Table'!$B:$B, $C1586), _xlfn.XLOOKUP($A1587, 'Instrument Table'!$H:$H, 'Instrument Table'!$B:$B, $C1586)))</f>
        <v>Electric Guitar</v>
      </c>
      <c r="D1587" s="1" t="str">
        <f>VLOOKUP($C1587, 'Instrument Table'!$B:$C, 2, FALSE)</f>
        <v>Strings</v>
      </c>
      <c r="E1587" s="1">
        <f t="shared" si="144"/>
        <v>1</v>
      </c>
      <c r="F1587" s="1">
        <f>_xlfn.XLOOKUP($C1587, 'Instrument Table'!$B:$B, 'Instrument Table'!$A:$A, "")</f>
        <v>25</v>
      </c>
      <c r="G1587" s="1" t="str">
        <f>TEXT(IF($B1587 = "Retail Item", IF((ROW($A1587) - 4504 - _xlfn.XMATCH($C1587, $C$4506:$C$5005, 0, 1)) &lt;= VLOOKUP($C1587, 'Instrument Table'!$B:$D, 3, FALSE), ROW($A1587) - 4504 - _xlfn.XMATCH($C1587, $C$4506:$C$5005, 0, 1), 0), 0), "00")</f>
        <v>00</v>
      </c>
      <c r="H1587" s="1" t="str">
        <f t="shared" si="145"/>
        <v>031</v>
      </c>
      <c r="I1587" s="1" t="str">
        <f t="shared" si="146"/>
        <v>12500-031</v>
      </c>
      <c r="J1587" s="1" t="str">
        <f t="shared" si="147"/>
        <v>Electric guitar production item #031</v>
      </c>
      <c r="K1587" s="1" t="str">
        <f>IF(SUM(COUNTIFS(I:I, I1587)) &gt; 1, "DUPLICATE", "UNIQUE")</f>
        <v>UNIQUE</v>
      </c>
      <c r="L1587" s="18">
        <v>1</v>
      </c>
      <c r="M1587" s="28">
        <v>2</v>
      </c>
      <c r="N1587" s="6">
        <v>49</v>
      </c>
      <c r="O1587" s="30">
        <f t="shared" si="148"/>
        <v>2</v>
      </c>
      <c r="P1587" s="30">
        <f t="shared" si="149"/>
        <v>98</v>
      </c>
      <c r="Q1587" s="1">
        <f>COUNTIFS($P:$P, "&gt;" &amp; $P1587) + 1</f>
        <v>4460</v>
      </c>
      <c r="R1587" s="63">
        <f>(COUNTIFS($P:$P, "&gt;" &amp; $P1587) + 1) / (COUNTA($I:$I) - 1)</f>
        <v>0.89200000000000002</v>
      </c>
      <c r="S1587" s="23">
        <f>SUMIFS($P:$P, $Q:$Q, "&lt;" &amp; $Q1587)</f>
        <v>186533215</v>
      </c>
    </row>
    <row r="1588" spans="1:19" x14ac:dyDescent="0.25">
      <c r="A1588" s="1">
        <v>1583</v>
      </c>
      <c r="B1588" s="1" t="s">
        <v>2</v>
      </c>
      <c r="C1588" s="1" t="str">
        <f>IF($B1588 = "Production Item", _xlfn.XLOOKUP($A1588, 'Instrument Table'!$J:$J, 'Instrument Table'!$B:$B, $C1587), IF($B1588 = "Service Item", _xlfn.XLOOKUP($A1588, 'Instrument Table'!$I:$I, 'Instrument Table'!$B:$B, $C1587), _xlfn.XLOOKUP($A1588, 'Instrument Table'!$H:$H, 'Instrument Table'!$B:$B, $C1587)))</f>
        <v>Electric Guitar</v>
      </c>
      <c r="D1588" s="1" t="str">
        <f>VLOOKUP($C1588, 'Instrument Table'!$B:$C, 2, FALSE)</f>
        <v>Strings</v>
      </c>
      <c r="E1588" s="1">
        <f t="shared" si="144"/>
        <v>1</v>
      </c>
      <c r="F1588" s="1">
        <f>_xlfn.XLOOKUP($C1588, 'Instrument Table'!$B:$B, 'Instrument Table'!$A:$A, "")</f>
        <v>25</v>
      </c>
      <c r="G1588" s="1" t="str">
        <f>TEXT(IF($B1588 = "Retail Item", IF((ROW($A1588) - 4504 - _xlfn.XMATCH($C1588, $C$4506:$C$5005, 0, 1)) &lt;= VLOOKUP($C1588, 'Instrument Table'!$B:$D, 3, FALSE), ROW($A1588) - 4504 - _xlfn.XMATCH($C1588, $C$4506:$C$5005, 0, 1), 0), 0), "00")</f>
        <v>00</v>
      </c>
      <c r="H1588" s="1" t="str">
        <f t="shared" si="145"/>
        <v>032</v>
      </c>
      <c r="I1588" s="1" t="str">
        <f t="shared" si="146"/>
        <v>12500-032</v>
      </c>
      <c r="J1588" s="1" t="str">
        <f t="shared" si="147"/>
        <v>Electric guitar production item #032</v>
      </c>
      <c r="K1588" s="1" t="str">
        <f>IF(SUM(COUNTIFS(I:I, I1588)) &gt; 1, "DUPLICATE", "UNIQUE")</f>
        <v>UNIQUE</v>
      </c>
      <c r="L1588" s="18">
        <v>1</v>
      </c>
      <c r="M1588" s="28">
        <v>53</v>
      </c>
      <c r="N1588" s="6">
        <v>361</v>
      </c>
      <c r="O1588" s="30">
        <f t="shared" si="148"/>
        <v>53</v>
      </c>
      <c r="P1588" s="30">
        <f t="shared" si="149"/>
        <v>19133</v>
      </c>
      <c r="Q1588" s="1">
        <f>COUNTIFS($P:$P, "&gt;" &amp; $P1588) + 1</f>
        <v>1094</v>
      </c>
      <c r="R1588" s="63">
        <f>(COUNTIFS($P:$P, "&gt;" &amp; $P1588) + 1) / (COUNTA($I:$I) - 1)</f>
        <v>0.21879999999999999</v>
      </c>
      <c r="S1588" s="23">
        <f>SUMIFS($P:$P, $Q:$Q, "&lt;" &amp; $Q1588)</f>
        <v>168389141</v>
      </c>
    </row>
    <row r="1589" spans="1:19" x14ac:dyDescent="0.25">
      <c r="A1589" s="1">
        <v>1584</v>
      </c>
      <c r="B1589" s="1" t="s">
        <v>2</v>
      </c>
      <c r="C1589" s="1" t="str">
        <f>IF($B1589 = "Production Item", _xlfn.XLOOKUP($A1589, 'Instrument Table'!$J:$J, 'Instrument Table'!$B:$B, $C1588), IF($B1589 = "Service Item", _xlfn.XLOOKUP($A1589, 'Instrument Table'!$I:$I, 'Instrument Table'!$B:$B, $C1588), _xlfn.XLOOKUP($A1589, 'Instrument Table'!$H:$H, 'Instrument Table'!$B:$B, $C1588)))</f>
        <v>Electric Guitar</v>
      </c>
      <c r="D1589" s="1" t="str">
        <f>VLOOKUP($C1589, 'Instrument Table'!$B:$C, 2, FALSE)</f>
        <v>Strings</v>
      </c>
      <c r="E1589" s="1">
        <f t="shared" si="144"/>
        <v>1</v>
      </c>
      <c r="F1589" s="1">
        <f>_xlfn.XLOOKUP($C1589, 'Instrument Table'!$B:$B, 'Instrument Table'!$A:$A, "")</f>
        <v>25</v>
      </c>
      <c r="G1589" s="1" t="str">
        <f>TEXT(IF($B1589 = "Retail Item", IF((ROW($A1589) - 4504 - _xlfn.XMATCH($C1589, $C$4506:$C$5005, 0, 1)) &lt;= VLOOKUP($C1589, 'Instrument Table'!$B:$D, 3, FALSE), ROW($A1589) - 4504 - _xlfn.XMATCH($C1589, $C$4506:$C$5005, 0, 1), 0), 0), "00")</f>
        <v>00</v>
      </c>
      <c r="H1589" s="1" t="str">
        <f t="shared" si="145"/>
        <v>033</v>
      </c>
      <c r="I1589" s="1" t="str">
        <f t="shared" si="146"/>
        <v>12500-033</v>
      </c>
      <c r="J1589" s="1" t="str">
        <f t="shared" si="147"/>
        <v>Electric guitar production item #033</v>
      </c>
      <c r="K1589" s="1" t="str">
        <f>IF(SUM(COUNTIFS(I:I, I1589)) &gt; 1, "DUPLICATE", "UNIQUE")</f>
        <v>UNIQUE</v>
      </c>
      <c r="L1589" s="18">
        <v>0</v>
      </c>
      <c r="M1589" s="28">
        <v>81</v>
      </c>
      <c r="N1589" s="6">
        <v>1</v>
      </c>
      <c r="O1589" s="30">
        <f t="shared" si="148"/>
        <v>0</v>
      </c>
      <c r="P1589" s="30">
        <f t="shared" si="149"/>
        <v>81</v>
      </c>
      <c r="Q1589" s="1">
        <f>COUNTIFS($P:$P, "&gt;" &amp; $P1589) + 1</f>
        <v>4505</v>
      </c>
      <c r="R1589" s="63">
        <f>(COUNTIFS($P:$P, "&gt;" &amp; $P1589) + 1) / (COUNTA($I:$I) - 1)</f>
        <v>0.90100000000000002</v>
      </c>
      <c r="S1589" s="23">
        <f>SUMIFS($P:$P, $Q:$Q, "&lt;" &amp; $Q1589)</f>
        <v>186537273</v>
      </c>
    </row>
    <row r="1590" spans="1:19" x14ac:dyDescent="0.25">
      <c r="A1590" s="1">
        <v>1585</v>
      </c>
      <c r="B1590" s="1" t="s">
        <v>2</v>
      </c>
      <c r="C1590" s="1" t="str">
        <f>IF($B1590 = "Production Item", _xlfn.XLOOKUP($A1590, 'Instrument Table'!$J:$J, 'Instrument Table'!$B:$B, $C1589), IF($B1590 = "Service Item", _xlfn.XLOOKUP($A1590, 'Instrument Table'!$I:$I, 'Instrument Table'!$B:$B, $C1589), _xlfn.XLOOKUP($A1590, 'Instrument Table'!$H:$H, 'Instrument Table'!$B:$B, $C1589)))</f>
        <v>Electric Guitar</v>
      </c>
      <c r="D1590" s="1" t="str">
        <f>VLOOKUP($C1590, 'Instrument Table'!$B:$C, 2, FALSE)</f>
        <v>Strings</v>
      </c>
      <c r="E1590" s="1">
        <f t="shared" si="144"/>
        <v>1</v>
      </c>
      <c r="F1590" s="1">
        <f>_xlfn.XLOOKUP($C1590, 'Instrument Table'!$B:$B, 'Instrument Table'!$A:$A, "")</f>
        <v>25</v>
      </c>
      <c r="G1590" s="1" t="str">
        <f>TEXT(IF($B1590 = "Retail Item", IF((ROW($A1590) - 4504 - _xlfn.XMATCH($C1590, $C$4506:$C$5005, 0, 1)) &lt;= VLOOKUP($C1590, 'Instrument Table'!$B:$D, 3, FALSE), ROW($A1590) - 4504 - _xlfn.XMATCH($C1590, $C$4506:$C$5005, 0, 1), 0), 0), "00")</f>
        <v>00</v>
      </c>
      <c r="H1590" s="1" t="str">
        <f t="shared" si="145"/>
        <v>034</v>
      </c>
      <c r="I1590" s="1" t="str">
        <f t="shared" si="146"/>
        <v>12500-034</v>
      </c>
      <c r="J1590" s="1" t="str">
        <f t="shared" si="147"/>
        <v>Electric guitar production item #034</v>
      </c>
      <c r="K1590" s="1" t="str">
        <f>IF(SUM(COUNTIFS(I:I, I1590)) &gt; 1, "DUPLICATE", "UNIQUE")</f>
        <v>UNIQUE</v>
      </c>
      <c r="L1590" s="18">
        <v>0</v>
      </c>
      <c r="M1590" s="28">
        <v>48</v>
      </c>
      <c r="N1590" s="6">
        <v>256</v>
      </c>
      <c r="O1590" s="30">
        <f t="shared" si="148"/>
        <v>0</v>
      </c>
      <c r="P1590" s="30">
        <f t="shared" si="149"/>
        <v>12288</v>
      </c>
      <c r="Q1590" s="1">
        <f>COUNTIFS($P:$P, "&gt;" &amp; $P1590) + 1</f>
        <v>1553</v>
      </c>
      <c r="R1590" s="63">
        <f>(COUNTIFS($P:$P, "&gt;" &amp; $P1590) + 1) / (COUNTA($I:$I) - 1)</f>
        <v>0.31059999999999999</v>
      </c>
      <c r="S1590" s="23">
        <f>SUMIFS($P:$P, $Q:$Q, "&lt;" &amp; $Q1590)</f>
        <v>175511990</v>
      </c>
    </row>
    <row r="1591" spans="1:19" x14ac:dyDescent="0.25">
      <c r="A1591" s="1">
        <v>1586</v>
      </c>
      <c r="B1591" s="1" t="s">
        <v>2</v>
      </c>
      <c r="C1591" s="1" t="str">
        <f>IF($B1591 = "Production Item", _xlfn.XLOOKUP($A1591, 'Instrument Table'!$J:$J, 'Instrument Table'!$B:$B, $C1590), IF($B1591 = "Service Item", _xlfn.XLOOKUP($A1591, 'Instrument Table'!$I:$I, 'Instrument Table'!$B:$B, $C1590), _xlfn.XLOOKUP($A1591, 'Instrument Table'!$H:$H, 'Instrument Table'!$B:$B, $C1590)))</f>
        <v>Electric Guitar</v>
      </c>
      <c r="D1591" s="1" t="str">
        <f>VLOOKUP($C1591, 'Instrument Table'!$B:$C, 2, FALSE)</f>
        <v>Strings</v>
      </c>
      <c r="E1591" s="1">
        <f t="shared" si="144"/>
        <v>1</v>
      </c>
      <c r="F1591" s="1">
        <f>_xlfn.XLOOKUP($C1591, 'Instrument Table'!$B:$B, 'Instrument Table'!$A:$A, "")</f>
        <v>25</v>
      </c>
      <c r="G1591" s="1" t="str">
        <f>TEXT(IF($B1591 = "Retail Item", IF((ROW($A1591) - 4504 - _xlfn.XMATCH($C1591, $C$4506:$C$5005, 0, 1)) &lt;= VLOOKUP($C1591, 'Instrument Table'!$B:$D, 3, FALSE), ROW($A1591) - 4504 - _xlfn.XMATCH($C1591, $C$4506:$C$5005, 0, 1), 0), 0), "00")</f>
        <v>00</v>
      </c>
      <c r="H1591" s="1" t="str">
        <f t="shared" si="145"/>
        <v>035</v>
      </c>
      <c r="I1591" s="1" t="str">
        <f t="shared" si="146"/>
        <v>12500-035</v>
      </c>
      <c r="J1591" s="1" t="str">
        <f t="shared" si="147"/>
        <v>Electric guitar production item #035</v>
      </c>
      <c r="K1591" s="1" t="str">
        <f>IF(SUM(COUNTIFS(I:I, I1591)) &gt; 1, "DUPLICATE", "UNIQUE")</f>
        <v>UNIQUE</v>
      </c>
      <c r="L1591" s="18">
        <v>1</v>
      </c>
      <c r="M1591" s="28">
        <v>67</v>
      </c>
      <c r="N1591" s="6">
        <v>169</v>
      </c>
      <c r="O1591" s="30">
        <f t="shared" si="148"/>
        <v>67</v>
      </c>
      <c r="P1591" s="30">
        <f t="shared" si="149"/>
        <v>11323</v>
      </c>
      <c r="Q1591" s="1">
        <f>COUNTIFS($P:$P, "&gt;" &amp; $P1591) + 1</f>
        <v>1654</v>
      </c>
      <c r="R1591" s="63">
        <f>(COUNTIFS($P:$P, "&gt;" &amp; $P1591) + 1) / (COUNTA($I:$I) - 1)</f>
        <v>0.33079999999999998</v>
      </c>
      <c r="S1591" s="23">
        <f>SUMIFS($P:$P, $Q:$Q, "&lt;" &amp; $Q1591)</f>
        <v>176703541</v>
      </c>
    </row>
    <row r="1592" spans="1:19" x14ac:dyDescent="0.25">
      <c r="A1592" s="1">
        <v>1587</v>
      </c>
      <c r="B1592" s="1" t="s">
        <v>2</v>
      </c>
      <c r="C1592" s="1" t="str">
        <f>IF($B1592 = "Production Item", _xlfn.XLOOKUP($A1592, 'Instrument Table'!$J:$J, 'Instrument Table'!$B:$B, $C1591), IF($B1592 = "Service Item", _xlfn.XLOOKUP($A1592, 'Instrument Table'!$I:$I, 'Instrument Table'!$B:$B, $C1591), _xlfn.XLOOKUP($A1592, 'Instrument Table'!$H:$H, 'Instrument Table'!$B:$B, $C1591)))</f>
        <v>Electric Guitar</v>
      </c>
      <c r="D1592" s="1" t="str">
        <f>VLOOKUP($C1592, 'Instrument Table'!$B:$C, 2, FALSE)</f>
        <v>Strings</v>
      </c>
      <c r="E1592" s="1">
        <f t="shared" si="144"/>
        <v>1</v>
      </c>
      <c r="F1592" s="1">
        <f>_xlfn.XLOOKUP($C1592, 'Instrument Table'!$B:$B, 'Instrument Table'!$A:$A, "")</f>
        <v>25</v>
      </c>
      <c r="G1592" s="1" t="str">
        <f>TEXT(IF($B1592 = "Retail Item", IF((ROW($A1592) - 4504 - _xlfn.XMATCH($C1592, $C$4506:$C$5005, 0, 1)) &lt;= VLOOKUP($C1592, 'Instrument Table'!$B:$D, 3, FALSE), ROW($A1592) - 4504 - _xlfn.XMATCH($C1592, $C$4506:$C$5005, 0, 1), 0), 0), "00")</f>
        <v>00</v>
      </c>
      <c r="H1592" s="1" t="str">
        <f t="shared" si="145"/>
        <v>036</v>
      </c>
      <c r="I1592" s="1" t="str">
        <f t="shared" si="146"/>
        <v>12500-036</v>
      </c>
      <c r="J1592" s="1" t="str">
        <f t="shared" si="147"/>
        <v>Electric guitar production item #036</v>
      </c>
      <c r="K1592" s="1" t="str">
        <f>IF(SUM(COUNTIFS(I:I, I1592)) &gt; 1, "DUPLICATE", "UNIQUE")</f>
        <v>UNIQUE</v>
      </c>
      <c r="L1592" s="18">
        <v>1</v>
      </c>
      <c r="M1592" s="28">
        <v>1</v>
      </c>
      <c r="N1592" s="6">
        <v>0</v>
      </c>
      <c r="O1592" s="30">
        <f t="shared" si="148"/>
        <v>1</v>
      </c>
      <c r="P1592" s="30">
        <f t="shared" si="149"/>
        <v>0</v>
      </c>
      <c r="Q1592" s="1">
        <f>COUNTIFS($P:$P, "&gt;" &amp; $P1592) + 1</f>
        <v>4746</v>
      </c>
      <c r="R1592" s="63">
        <f>(COUNTIFS($P:$P, "&gt;" &amp; $P1592) + 1) / (COUNTA($I:$I) - 1)</f>
        <v>0.94920000000000004</v>
      </c>
      <c r="S1592" s="23">
        <f>SUMIFS($P:$P, $Q:$Q, "&lt;" &amp; $Q1592)</f>
        <v>186547861</v>
      </c>
    </row>
    <row r="1593" spans="1:19" x14ac:dyDescent="0.25">
      <c r="A1593" s="1">
        <v>1588</v>
      </c>
      <c r="B1593" s="1" t="s">
        <v>2</v>
      </c>
      <c r="C1593" s="1" t="str">
        <f>IF($B1593 = "Production Item", _xlfn.XLOOKUP($A1593, 'Instrument Table'!$J:$J, 'Instrument Table'!$B:$B, $C1592), IF($B1593 = "Service Item", _xlfn.XLOOKUP($A1593, 'Instrument Table'!$I:$I, 'Instrument Table'!$B:$B, $C1592), _xlfn.XLOOKUP($A1593, 'Instrument Table'!$H:$H, 'Instrument Table'!$B:$B, $C1592)))</f>
        <v>Electric Guitar</v>
      </c>
      <c r="D1593" s="1" t="str">
        <f>VLOOKUP($C1593, 'Instrument Table'!$B:$C, 2, FALSE)</f>
        <v>Strings</v>
      </c>
      <c r="E1593" s="1">
        <f t="shared" si="144"/>
        <v>1</v>
      </c>
      <c r="F1593" s="1">
        <f>_xlfn.XLOOKUP($C1593, 'Instrument Table'!$B:$B, 'Instrument Table'!$A:$A, "")</f>
        <v>25</v>
      </c>
      <c r="G1593" s="1" t="str">
        <f>TEXT(IF($B1593 = "Retail Item", IF((ROW($A1593) - 4504 - _xlfn.XMATCH($C1593, $C$4506:$C$5005, 0, 1)) &lt;= VLOOKUP($C1593, 'Instrument Table'!$B:$D, 3, FALSE), ROW($A1593) - 4504 - _xlfn.XMATCH($C1593, $C$4506:$C$5005, 0, 1), 0), 0), "00")</f>
        <v>00</v>
      </c>
      <c r="H1593" s="1" t="str">
        <f t="shared" si="145"/>
        <v>037</v>
      </c>
      <c r="I1593" s="1" t="str">
        <f t="shared" si="146"/>
        <v>12500-037</v>
      </c>
      <c r="J1593" s="1" t="str">
        <f t="shared" si="147"/>
        <v>Electric guitar production item #037</v>
      </c>
      <c r="K1593" s="1" t="str">
        <f>IF(SUM(COUNTIFS(I:I, I1593)) &gt; 1, "DUPLICATE", "UNIQUE")</f>
        <v>UNIQUE</v>
      </c>
      <c r="L1593" s="18">
        <v>1</v>
      </c>
      <c r="M1593" s="28">
        <v>56</v>
      </c>
      <c r="N1593" s="6">
        <v>289</v>
      </c>
      <c r="O1593" s="30">
        <f t="shared" si="148"/>
        <v>56</v>
      </c>
      <c r="P1593" s="30">
        <f t="shared" si="149"/>
        <v>16184</v>
      </c>
      <c r="Q1593" s="1">
        <f>COUNTIFS($P:$P, "&gt;" &amp; $P1593) + 1</f>
        <v>1268</v>
      </c>
      <c r="R1593" s="63">
        <f>(COUNTIFS($P:$P, "&gt;" &amp; $P1593) + 1) / (COUNTA($I:$I) - 1)</f>
        <v>0.25359999999999999</v>
      </c>
      <c r="S1593" s="23">
        <f>SUMIFS($P:$P, $Q:$Q, "&lt;" &amp; $Q1593)</f>
        <v>171462914</v>
      </c>
    </row>
    <row r="1594" spans="1:19" x14ac:dyDescent="0.25">
      <c r="A1594" s="1">
        <v>1589</v>
      </c>
      <c r="B1594" s="1" t="s">
        <v>2</v>
      </c>
      <c r="C1594" s="1" t="str">
        <f>IF($B1594 = "Production Item", _xlfn.XLOOKUP($A1594, 'Instrument Table'!$J:$J, 'Instrument Table'!$B:$B, $C1593), IF($B1594 = "Service Item", _xlfn.XLOOKUP($A1594, 'Instrument Table'!$I:$I, 'Instrument Table'!$B:$B, $C1593), _xlfn.XLOOKUP($A1594, 'Instrument Table'!$H:$H, 'Instrument Table'!$B:$B, $C1593)))</f>
        <v>Electric Guitar</v>
      </c>
      <c r="D1594" s="1" t="str">
        <f>VLOOKUP($C1594, 'Instrument Table'!$B:$C, 2, FALSE)</f>
        <v>Strings</v>
      </c>
      <c r="E1594" s="1">
        <f t="shared" si="144"/>
        <v>1</v>
      </c>
      <c r="F1594" s="1">
        <f>_xlfn.XLOOKUP($C1594, 'Instrument Table'!$B:$B, 'Instrument Table'!$A:$A, "")</f>
        <v>25</v>
      </c>
      <c r="G1594" s="1" t="str">
        <f>TEXT(IF($B1594 = "Retail Item", IF((ROW($A1594) - 4504 - _xlfn.XMATCH($C1594, $C$4506:$C$5005, 0, 1)) &lt;= VLOOKUP($C1594, 'Instrument Table'!$B:$D, 3, FALSE), ROW($A1594) - 4504 - _xlfn.XMATCH($C1594, $C$4506:$C$5005, 0, 1), 0), 0), "00")</f>
        <v>00</v>
      </c>
      <c r="H1594" s="1" t="str">
        <f t="shared" si="145"/>
        <v>038</v>
      </c>
      <c r="I1594" s="1" t="str">
        <f t="shared" si="146"/>
        <v>12500-038</v>
      </c>
      <c r="J1594" s="1" t="str">
        <f t="shared" si="147"/>
        <v>Electric guitar production item #038</v>
      </c>
      <c r="K1594" s="1" t="str">
        <f>IF(SUM(COUNTIFS(I:I, I1594)) &gt; 1, "DUPLICATE", "UNIQUE")</f>
        <v>UNIQUE</v>
      </c>
      <c r="L1594" s="18">
        <v>1</v>
      </c>
      <c r="M1594" s="28">
        <v>96</v>
      </c>
      <c r="N1594" s="6">
        <v>121</v>
      </c>
      <c r="O1594" s="30">
        <f t="shared" si="148"/>
        <v>96</v>
      </c>
      <c r="P1594" s="30">
        <f t="shared" si="149"/>
        <v>11616</v>
      </c>
      <c r="Q1594" s="1">
        <f>COUNTIFS($P:$P, "&gt;" &amp; $P1594) + 1</f>
        <v>1620</v>
      </c>
      <c r="R1594" s="63">
        <f>(COUNTIFS($P:$P, "&gt;" &amp; $P1594) + 1) / (COUNTA($I:$I) - 1)</f>
        <v>0.32400000000000001</v>
      </c>
      <c r="S1594" s="23">
        <f>SUMIFS($P:$P, $Q:$Q, "&lt;" &amp; $Q1594)</f>
        <v>176312335</v>
      </c>
    </row>
    <row r="1595" spans="1:19" x14ac:dyDescent="0.25">
      <c r="A1595" s="1">
        <v>1590</v>
      </c>
      <c r="B1595" s="1" t="s">
        <v>2</v>
      </c>
      <c r="C1595" s="1" t="str">
        <f>IF($B1595 = "Production Item", _xlfn.XLOOKUP($A1595, 'Instrument Table'!$J:$J, 'Instrument Table'!$B:$B, $C1594), IF($B1595 = "Service Item", _xlfn.XLOOKUP($A1595, 'Instrument Table'!$I:$I, 'Instrument Table'!$B:$B, $C1594), _xlfn.XLOOKUP($A1595, 'Instrument Table'!$H:$H, 'Instrument Table'!$B:$B, $C1594)))</f>
        <v>Electric Guitar</v>
      </c>
      <c r="D1595" s="1" t="str">
        <f>VLOOKUP($C1595, 'Instrument Table'!$B:$C, 2, FALSE)</f>
        <v>Strings</v>
      </c>
      <c r="E1595" s="1">
        <f t="shared" si="144"/>
        <v>1</v>
      </c>
      <c r="F1595" s="1">
        <f>_xlfn.XLOOKUP($C1595, 'Instrument Table'!$B:$B, 'Instrument Table'!$A:$A, "")</f>
        <v>25</v>
      </c>
      <c r="G1595" s="1" t="str">
        <f>TEXT(IF($B1595 = "Retail Item", IF((ROW($A1595) - 4504 - _xlfn.XMATCH($C1595, $C$4506:$C$5005, 0, 1)) &lt;= VLOOKUP($C1595, 'Instrument Table'!$B:$D, 3, FALSE), ROW($A1595) - 4504 - _xlfn.XMATCH($C1595, $C$4506:$C$5005, 0, 1), 0), 0), "00")</f>
        <v>00</v>
      </c>
      <c r="H1595" s="1" t="str">
        <f t="shared" si="145"/>
        <v>039</v>
      </c>
      <c r="I1595" s="1" t="str">
        <f t="shared" si="146"/>
        <v>12500-039</v>
      </c>
      <c r="J1595" s="1" t="str">
        <f t="shared" si="147"/>
        <v>Electric guitar production item #039</v>
      </c>
      <c r="K1595" s="1" t="str">
        <f>IF(SUM(COUNTIFS(I:I, I1595)) &gt; 1, "DUPLICATE", "UNIQUE")</f>
        <v>UNIQUE</v>
      </c>
      <c r="L1595" s="18">
        <v>0</v>
      </c>
      <c r="M1595" s="28">
        <v>56</v>
      </c>
      <c r="N1595" s="6">
        <v>289</v>
      </c>
      <c r="O1595" s="30">
        <f t="shared" si="148"/>
        <v>0</v>
      </c>
      <c r="P1595" s="30">
        <f t="shared" si="149"/>
        <v>16184</v>
      </c>
      <c r="Q1595" s="1">
        <f>COUNTIFS($P:$P, "&gt;" &amp; $P1595) + 1</f>
        <v>1268</v>
      </c>
      <c r="R1595" s="63">
        <f>(COUNTIFS($P:$P, "&gt;" &amp; $P1595) + 1) / (COUNTA($I:$I) - 1)</f>
        <v>0.25359999999999999</v>
      </c>
      <c r="S1595" s="23">
        <f>SUMIFS($P:$P, $Q:$Q, "&lt;" &amp; $Q1595)</f>
        <v>171462914</v>
      </c>
    </row>
    <row r="1596" spans="1:19" x14ac:dyDescent="0.25">
      <c r="A1596" s="1">
        <v>1591</v>
      </c>
      <c r="B1596" s="1" t="s">
        <v>2</v>
      </c>
      <c r="C1596" s="1" t="str">
        <f>IF($B1596 = "Production Item", _xlfn.XLOOKUP($A1596, 'Instrument Table'!$J:$J, 'Instrument Table'!$B:$B, $C1595), IF($B1596 = "Service Item", _xlfn.XLOOKUP($A1596, 'Instrument Table'!$I:$I, 'Instrument Table'!$B:$B, $C1595), _xlfn.XLOOKUP($A1596, 'Instrument Table'!$H:$H, 'Instrument Table'!$B:$B, $C1595)))</f>
        <v>Electric Guitar</v>
      </c>
      <c r="D1596" s="1" t="str">
        <f>VLOOKUP($C1596, 'Instrument Table'!$B:$C, 2, FALSE)</f>
        <v>Strings</v>
      </c>
      <c r="E1596" s="1">
        <f t="shared" si="144"/>
        <v>1</v>
      </c>
      <c r="F1596" s="1">
        <f>_xlfn.XLOOKUP($C1596, 'Instrument Table'!$B:$B, 'Instrument Table'!$A:$A, "")</f>
        <v>25</v>
      </c>
      <c r="G1596" s="1" t="str">
        <f>TEXT(IF($B1596 = "Retail Item", IF((ROW($A1596) - 4504 - _xlfn.XMATCH($C1596, $C$4506:$C$5005, 0, 1)) &lt;= VLOOKUP($C1596, 'Instrument Table'!$B:$D, 3, FALSE), ROW($A1596) - 4504 - _xlfn.XMATCH($C1596, $C$4506:$C$5005, 0, 1), 0), 0), "00")</f>
        <v>00</v>
      </c>
      <c r="H1596" s="1" t="str">
        <f t="shared" si="145"/>
        <v>040</v>
      </c>
      <c r="I1596" s="1" t="str">
        <f t="shared" si="146"/>
        <v>12500-040</v>
      </c>
      <c r="J1596" s="1" t="str">
        <f t="shared" si="147"/>
        <v>Electric guitar production item #040</v>
      </c>
      <c r="K1596" s="1" t="str">
        <f>IF(SUM(COUNTIFS(I:I, I1596)) &gt; 1, "DUPLICATE", "UNIQUE")</f>
        <v>UNIQUE</v>
      </c>
      <c r="L1596" s="18">
        <v>0</v>
      </c>
      <c r="M1596" s="28">
        <v>20</v>
      </c>
      <c r="N1596" s="6">
        <v>0</v>
      </c>
      <c r="O1596" s="30">
        <f t="shared" si="148"/>
        <v>0</v>
      </c>
      <c r="P1596" s="30">
        <f t="shared" si="149"/>
        <v>0</v>
      </c>
      <c r="Q1596" s="1">
        <f>COUNTIFS($P:$P, "&gt;" &amp; $P1596) + 1</f>
        <v>4746</v>
      </c>
      <c r="R1596" s="63">
        <f>(COUNTIFS($P:$P, "&gt;" &amp; $P1596) + 1) / (COUNTA($I:$I) - 1)</f>
        <v>0.94920000000000004</v>
      </c>
      <c r="S1596" s="23">
        <f>SUMIFS($P:$P, $Q:$Q, "&lt;" &amp; $Q1596)</f>
        <v>186547861</v>
      </c>
    </row>
    <row r="1597" spans="1:19" x14ac:dyDescent="0.25">
      <c r="A1597" s="1">
        <v>1592</v>
      </c>
      <c r="B1597" s="1" t="s">
        <v>2</v>
      </c>
      <c r="C1597" s="1" t="str">
        <f>IF($B1597 = "Production Item", _xlfn.XLOOKUP($A1597, 'Instrument Table'!$J:$J, 'Instrument Table'!$B:$B, $C1596), IF($B1597 = "Service Item", _xlfn.XLOOKUP($A1597, 'Instrument Table'!$I:$I, 'Instrument Table'!$B:$B, $C1596), _xlfn.XLOOKUP($A1597, 'Instrument Table'!$H:$H, 'Instrument Table'!$B:$B, $C1596)))</f>
        <v>Electric Guitar</v>
      </c>
      <c r="D1597" s="1" t="str">
        <f>VLOOKUP($C1597, 'Instrument Table'!$B:$C, 2, FALSE)</f>
        <v>Strings</v>
      </c>
      <c r="E1597" s="1">
        <f t="shared" si="144"/>
        <v>1</v>
      </c>
      <c r="F1597" s="1">
        <f>_xlfn.XLOOKUP($C1597, 'Instrument Table'!$B:$B, 'Instrument Table'!$A:$A, "")</f>
        <v>25</v>
      </c>
      <c r="G1597" s="1" t="str">
        <f>TEXT(IF($B1597 = "Retail Item", IF((ROW($A1597) - 4504 - _xlfn.XMATCH($C1597, $C$4506:$C$5005, 0, 1)) &lt;= VLOOKUP($C1597, 'Instrument Table'!$B:$D, 3, FALSE), ROW($A1597) - 4504 - _xlfn.XMATCH($C1597, $C$4506:$C$5005, 0, 1), 0), 0), "00")</f>
        <v>00</v>
      </c>
      <c r="H1597" s="1" t="str">
        <f t="shared" si="145"/>
        <v>041</v>
      </c>
      <c r="I1597" s="1" t="str">
        <f t="shared" si="146"/>
        <v>12500-041</v>
      </c>
      <c r="J1597" s="1" t="str">
        <f t="shared" si="147"/>
        <v>Electric guitar production item #041</v>
      </c>
      <c r="K1597" s="1" t="str">
        <f>IF(SUM(COUNTIFS(I:I, I1597)) &gt; 1, "DUPLICATE", "UNIQUE")</f>
        <v>UNIQUE</v>
      </c>
      <c r="L1597" s="18">
        <v>1</v>
      </c>
      <c r="M1597" s="28">
        <v>24</v>
      </c>
      <c r="N1597" s="6">
        <v>324</v>
      </c>
      <c r="O1597" s="30">
        <f t="shared" si="148"/>
        <v>24</v>
      </c>
      <c r="P1597" s="30">
        <f t="shared" si="149"/>
        <v>7776</v>
      </c>
      <c r="Q1597" s="1">
        <f>COUNTIFS($P:$P, "&gt;" &amp; $P1597) + 1</f>
        <v>2019</v>
      </c>
      <c r="R1597" s="63">
        <f>(COUNTIFS($P:$P, "&gt;" &amp; $P1597) + 1) / (COUNTA($I:$I) - 1)</f>
        <v>0.40379999999999999</v>
      </c>
      <c r="S1597" s="23">
        <f>SUMIFS($P:$P, $Q:$Q, "&lt;" &amp; $Q1597)</f>
        <v>180145621</v>
      </c>
    </row>
    <row r="1598" spans="1:19" x14ac:dyDescent="0.25">
      <c r="A1598" s="1">
        <v>1593</v>
      </c>
      <c r="B1598" s="1" t="s">
        <v>2</v>
      </c>
      <c r="C1598" s="1" t="str">
        <f>IF($B1598 = "Production Item", _xlfn.XLOOKUP($A1598, 'Instrument Table'!$J:$J, 'Instrument Table'!$B:$B, $C1597), IF($B1598 = "Service Item", _xlfn.XLOOKUP($A1598, 'Instrument Table'!$I:$I, 'Instrument Table'!$B:$B, $C1597), _xlfn.XLOOKUP($A1598, 'Instrument Table'!$H:$H, 'Instrument Table'!$B:$B, $C1597)))</f>
        <v>Electric Guitar</v>
      </c>
      <c r="D1598" s="1" t="str">
        <f>VLOOKUP($C1598, 'Instrument Table'!$B:$C, 2, FALSE)</f>
        <v>Strings</v>
      </c>
      <c r="E1598" s="1">
        <f t="shared" si="144"/>
        <v>1</v>
      </c>
      <c r="F1598" s="1">
        <f>_xlfn.XLOOKUP($C1598, 'Instrument Table'!$B:$B, 'Instrument Table'!$A:$A, "")</f>
        <v>25</v>
      </c>
      <c r="G1598" s="1" t="str">
        <f>TEXT(IF($B1598 = "Retail Item", IF((ROW($A1598) - 4504 - _xlfn.XMATCH($C1598, $C$4506:$C$5005, 0, 1)) &lt;= VLOOKUP($C1598, 'Instrument Table'!$B:$D, 3, FALSE), ROW($A1598) - 4504 - _xlfn.XMATCH($C1598, $C$4506:$C$5005, 0, 1), 0), 0), "00")</f>
        <v>00</v>
      </c>
      <c r="H1598" s="1" t="str">
        <f t="shared" si="145"/>
        <v>042</v>
      </c>
      <c r="I1598" s="1" t="str">
        <f t="shared" si="146"/>
        <v>12500-042</v>
      </c>
      <c r="J1598" s="1" t="str">
        <f t="shared" si="147"/>
        <v>Electric guitar production item #042</v>
      </c>
      <c r="K1598" s="1" t="str">
        <f>IF(SUM(COUNTIFS(I:I, I1598)) &gt; 1, "DUPLICATE", "UNIQUE")</f>
        <v>UNIQUE</v>
      </c>
      <c r="L1598" s="18">
        <v>8</v>
      </c>
      <c r="M1598" s="28">
        <v>82</v>
      </c>
      <c r="N1598" s="6">
        <v>100</v>
      </c>
      <c r="O1598" s="30">
        <f t="shared" si="148"/>
        <v>656</v>
      </c>
      <c r="P1598" s="30">
        <f t="shared" si="149"/>
        <v>8200</v>
      </c>
      <c r="Q1598" s="1">
        <f>COUNTIFS($P:$P, "&gt;" &amp; $P1598) + 1</f>
        <v>1961</v>
      </c>
      <c r="R1598" s="63">
        <f>(COUNTIFS($P:$P, "&gt;" &amp; $P1598) + 1) / (COUNTA($I:$I) - 1)</f>
        <v>0.39219999999999999</v>
      </c>
      <c r="S1598" s="23">
        <f>SUMIFS($P:$P, $Q:$Q, "&lt;" &amp; $Q1598)</f>
        <v>179682141</v>
      </c>
    </row>
    <row r="1599" spans="1:19" x14ac:dyDescent="0.25">
      <c r="A1599" s="1">
        <v>1594</v>
      </c>
      <c r="B1599" s="1" t="s">
        <v>2</v>
      </c>
      <c r="C1599" s="1" t="str">
        <f>IF($B1599 = "Production Item", _xlfn.XLOOKUP($A1599, 'Instrument Table'!$J:$J, 'Instrument Table'!$B:$B, $C1598), IF($B1599 = "Service Item", _xlfn.XLOOKUP($A1599, 'Instrument Table'!$I:$I, 'Instrument Table'!$B:$B, $C1598), _xlfn.XLOOKUP($A1599, 'Instrument Table'!$H:$H, 'Instrument Table'!$B:$B, $C1598)))</f>
        <v>Electric Guitar</v>
      </c>
      <c r="D1599" s="1" t="str">
        <f>VLOOKUP($C1599, 'Instrument Table'!$B:$C, 2, FALSE)</f>
        <v>Strings</v>
      </c>
      <c r="E1599" s="1">
        <f t="shared" si="144"/>
        <v>1</v>
      </c>
      <c r="F1599" s="1">
        <f>_xlfn.XLOOKUP($C1599, 'Instrument Table'!$B:$B, 'Instrument Table'!$A:$A, "")</f>
        <v>25</v>
      </c>
      <c r="G1599" s="1" t="str">
        <f>TEXT(IF($B1599 = "Retail Item", IF((ROW($A1599) - 4504 - _xlfn.XMATCH($C1599, $C$4506:$C$5005, 0, 1)) &lt;= VLOOKUP($C1599, 'Instrument Table'!$B:$D, 3, FALSE), ROW($A1599) - 4504 - _xlfn.XMATCH($C1599, $C$4506:$C$5005, 0, 1), 0), 0), "00")</f>
        <v>00</v>
      </c>
      <c r="H1599" s="1" t="str">
        <f t="shared" si="145"/>
        <v>043</v>
      </c>
      <c r="I1599" s="1" t="str">
        <f t="shared" si="146"/>
        <v>12500-043</v>
      </c>
      <c r="J1599" s="1" t="str">
        <f t="shared" si="147"/>
        <v>Electric guitar production item #043</v>
      </c>
      <c r="K1599" s="1" t="str">
        <f>IF(SUM(COUNTIFS(I:I, I1599)) &gt; 1, "DUPLICATE", "UNIQUE")</f>
        <v>UNIQUE</v>
      </c>
      <c r="L1599" s="18">
        <v>16</v>
      </c>
      <c r="M1599" s="28">
        <v>89</v>
      </c>
      <c r="N1599" s="6">
        <v>36</v>
      </c>
      <c r="O1599" s="30">
        <f t="shared" si="148"/>
        <v>1424</v>
      </c>
      <c r="P1599" s="30">
        <f t="shared" si="149"/>
        <v>3204</v>
      </c>
      <c r="Q1599" s="1">
        <f>COUNTIFS($P:$P, "&gt;" &amp; $P1599) + 1</f>
        <v>2853</v>
      </c>
      <c r="R1599" s="63">
        <f>(COUNTIFS($P:$P, "&gt;" &amp; $P1599) + 1) / (COUNTA($I:$I) - 1)</f>
        <v>0.5706</v>
      </c>
      <c r="S1599" s="23">
        <f>SUMIFS($P:$P, $Q:$Q, "&lt;" &amp; $Q1599)</f>
        <v>184501440</v>
      </c>
    </row>
    <row r="1600" spans="1:19" x14ac:dyDescent="0.25">
      <c r="A1600" s="1">
        <v>1595</v>
      </c>
      <c r="B1600" s="1" t="s">
        <v>2</v>
      </c>
      <c r="C1600" s="1" t="str">
        <f>IF($B1600 = "Production Item", _xlfn.XLOOKUP($A1600, 'Instrument Table'!$J:$J, 'Instrument Table'!$B:$B, $C1599), IF($B1600 = "Service Item", _xlfn.XLOOKUP($A1600, 'Instrument Table'!$I:$I, 'Instrument Table'!$B:$B, $C1599), _xlfn.XLOOKUP($A1600, 'Instrument Table'!$H:$H, 'Instrument Table'!$B:$B, $C1599)))</f>
        <v>Electric Guitar</v>
      </c>
      <c r="D1600" s="1" t="str">
        <f>VLOOKUP($C1600, 'Instrument Table'!$B:$C, 2, FALSE)</f>
        <v>Strings</v>
      </c>
      <c r="E1600" s="1">
        <f t="shared" si="144"/>
        <v>1</v>
      </c>
      <c r="F1600" s="1">
        <f>_xlfn.XLOOKUP($C1600, 'Instrument Table'!$B:$B, 'Instrument Table'!$A:$A, "")</f>
        <v>25</v>
      </c>
      <c r="G1600" s="1" t="str">
        <f>TEXT(IF($B1600 = "Retail Item", IF((ROW($A1600) - 4504 - _xlfn.XMATCH($C1600, $C$4506:$C$5005, 0, 1)) &lt;= VLOOKUP($C1600, 'Instrument Table'!$B:$D, 3, FALSE), ROW($A1600) - 4504 - _xlfn.XMATCH($C1600, $C$4506:$C$5005, 0, 1), 0), 0), "00")</f>
        <v>00</v>
      </c>
      <c r="H1600" s="1" t="str">
        <f t="shared" si="145"/>
        <v>044</v>
      </c>
      <c r="I1600" s="1" t="str">
        <f t="shared" si="146"/>
        <v>12500-044</v>
      </c>
      <c r="J1600" s="1" t="str">
        <f t="shared" si="147"/>
        <v>Electric guitar production item #044</v>
      </c>
      <c r="K1600" s="1" t="str">
        <f>IF(SUM(COUNTIFS(I:I, I1600)) &gt; 1, "DUPLICATE", "UNIQUE")</f>
        <v>UNIQUE</v>
      </c>
      <c r="L1600" s="18">
        <v>2</v>
      </c>
      <c r="M1600" s="28">
        <v>10</v>
      </c>
      <c r="N1600" s="6">
        <v>36</v>
      </c>
      <c r="O1600" s="30">
        <f t="shared" si="148"/>
        <v>20</v>
      </c>
      <c r="P1600" s="30">
        <f t="shared" si="149"/>
        <v>360</v>
      </c>
      <c r="Q1600" s="1">
        <f>COUNTIFS($P:$P, "&gt;" &amp; $P1600) + 1</f>
        <v>4137</v>
      </c>
      <c r="R1600" s="63">
        <f>(COUNTIFS($P:$P, "&gt;" &amp; $P1600) + 1) / (COUNTA($I:$I) - 1)</f>
        <v>0.82740000000000002</v>
      </c>
      <c r="S1600" s="23">
        <f>SUMIFS($P:$P, $Q:$Q, "&lt;" &amp; $Q1600)</f>
        <v>186459069</v>
      </c>
    </row>
    <row r="1601" spans="1:19" x14ac:dyDescent="0.25">
      <c r="A1601" s="1">
        <v>1596</v>
      </c>
      <c r="B1601" s="1" t="s">
        <v>2</v>
      </c>
      <c r="C1601" s="1" t="str">
        <f>IF($B1601 = "Production Item", _xlfn.XLOOKUP($A1601, 'Instrument Table'!$J:$J, 'Instrument Table'!$B:$B, $C1600), IF($B1601 = "Service Item", _xlfn.XLOOKUP($A1601, 'Instrument Table'!$I:$I, 'Instrument Table'!$B:$B, $C1600), _xlfn.XLOOKUP($A1601, 'Instrument Table'!$H:$H, 'Instrument Table'!$B:$B, $C1600)))</f>
        <v>Electric Guitar</v>
      </c>
      <c r="D1601" s="1" t="str">
        <f>VLOOKUP($C1601, 'Instrument Table'!$B:$C, 2, FALSE)</f>
        <v>Strings</v>
      </c>
      <c r="E1601" s="1">
        <f t="shared" si="144"/>
        <v>1</v>
      </c>
      <c r="F1601" s="1">
        <f>_xlfn.XLOOKUP($C1601, 'Instrument Table'!$B:$B, 'Instrument Table'!$A:$A, "")</f>
        <v>25</v>
      </c>
      <c r="G1601" s="1" t="str">
        <f>TEXT(IF($B1601 = "Retail Item", IF((ROW($A1601) - 4504 - _xlfn.XMATCH($C1601, $C$4506:$C$5005, 0, 1)) &lt;= VLOOKUP($C1601, 'Instrument Table'!$B:$D, 3, FALSE), ROW($A1601) - 4504 - _xlfn.XMATCH($C1601, $C$4506:$C$5005, 0, 1), 0), 0), "00")</f>
        <v>00</v>
      </c>
      <c r="H1601" s="1" t="str">
        <f t="shared" si="145"/>
        <v>045</v>
      </c>
      <c r="I1601" s="1" t="str">
        <f t="shared" si="146"/>
        <v>12500-045</v>
      </c>
      <c r="J1601" s="1" t="str">
        <f t="shared" si="147"/>
        <v>Electric guitar production item #045</v>
      </c>
      <c r="K1601" s="1" t="str">
        <f>IF(SUM(COUNTIFS(I:I, I1601)) &gt; 1, "DUPLICATE", "UNIQUE")</f>
        <v>UNIQUE</v>
      </c>
      <c r="L1601" s="18">
        <v>1</v>
      </c>
      <c r="M1601" s="28">
        <v>53</v>
      </c>
      <c r="N1601" s="6">
        <v>36</v>
      </c>
      <c r="O1601" s="30">
        <f t="shared" si="148"/>
        <v>53</v>
      </c>
      <c r="P1601" s="30">
        <f t="shared" si="149"/>
        <v>1908</v>
      </c>
      <c r="Q1601" s="1">
        <f>COUNTIFS($P:$P, "&gt;" &amp; $P1601) + 1</f>
        <v>3294</v>
      </c>
      <c r="R1601" s="63">
        <f>(COUNTIFS($P:$P, "&gt;" &amp; $P1601) + 1) / (COUNTA($I:$I) - 1)</f>
        <v>0.65880000000000005</v>
      </c>
      <c r="S1601" s="23">
        <f>SUMIFS($P:$P, $Q:$Q, "&lt;" &amp; $Q1601)</f>
        <v>185597631</v>
      </c>
    </row>
    <row r="1602" spans="1:19" x14ac:dyDescent="0.25">
      <c r="A1602" s="1">
        <v>1597</v>
      </c>
      <c r="B1602" s="1" t="s">
        <v>2</v>
      </c>
      <c r="C1602" s="1" t="str">
        <f>IF($B1602 = "Production Item", _xlfn.XLOOKUP($A1602, 'Instrument Table'!$J:$J, 'Instrument Table'!$B:$B, $C1601), IF($B1602 = "Service Item", _xlfn.XLOOKUP($A1602, 'Instrument Table'!$I:$I, 'Instrument Table'!$B:$B, $C1601), _xlfn.XLOOKUP($A1602, 'Instrument Table'!$H:$H, 'Instrument Table'!$B:$B, $C1601)))</f>
        <v>Electric Guitar</v>
      </c>
      <c r="D1602" s="1" t="str">
        <f>VLOOKUP($C1602, 'Instrument Table'!$B:$C, 2, FALSE)</f>
        <v>Strings</v>
      </c>
      <c r="E1602" s="1">
        <f t="shared" si="144"/>
        <v>1</v>
      </c>
      <c r="F1602" s="1">
        <f>_xlfn.XLOOKUP($C1602, 'Instrument Table'!$B:$B, 'Instrument Table'!$A:$A, "")</f>
        <v>25</v>
      </c>
      <c r="G1602" s="1" t="str">
        <f>TEXT(IF($B1602 = "Retail Item", IF((ROW($A1602) - 4504 - _xlfn.XMATCH($C1602, $C$4506:$C$5005, 0, 1)) &lt;= VLOOKUP($C1602, 'Instrument Table'!$B:$D, 3, FALSE), ROW($A1602) - 4504 - _xlfn.XMATCH($C1602, $C$4506:$C$5005, 0, 1), 0), 0), "00")</f>
        <v>00</v>
      </c>
      <c r="H1602" s="1" t="str">
        <f t="shared" si="145"/>
        <v>046</v>
      </c>
      <c r="I1602" s="1" t="str">
        <f t="shared" si="146"/>
        <v>12500-046</v>
      </c>
      <c r="J1602" s="1" t="str">
        <f t="shared" si="147"/>
        <v>Electric guitar production item #046</v>
      </c>
      <c r="K1602" s="1" t="str">
        <f>IF(SUM(COUNTIFS(I:I, I1602)) &gt; 1, "DUPLICATE", "UNIQUE")</f>
        <v>UNIQUE</v>
      </c>
      <c r="L1602" s="18">
        <v>4</v>
      </c>
      <c r="M1602" s="28">
        <v>12</v>
      </c>
      <c r="N1602" s="6">
        <v>400</v>
      </c>
      <c r="O1602" s="30">
        <f t="shared" si="148"/>
        <v>48</v>
      </c>
      <c r="P1602" s="30">
        <f t="shared" si="149"/>
        <v>4800</v>
      </c>
      <c r="Q1602" s="1">
        <f>COUNTIFS($P:$P, "&gt;" &amp; $P1602) + 1</f>
        <v>2486</v>
      </c>
      <c r="R1602" s="63">
        <f>(COUNTIFS($P:$P, "&gt;" &amp; $P1602) + 1) / (COUNTA($I:$I) - 1)</f>
        <v>0.49719999999999998</v>
      </c>
      <c r="S1602" s="23">
        <f>SUMIFS($P:$P, $Q:$Q, "&lt;" &amp; $Q1602)</f>
        <v>183048530</v>
      </c>
    </row>
    <row r="1603" spans="1:19" x14ac:dyDescent="0.25">
      <c r="A1603" s="1">
        <v>1598</v>
      </c>
      <c r="B1603" s="1" t="s">
        <v>2</v>
      </c>
      <c r="C1603" s="1" t="str">
        <f>IF($B1603 = "Production Item", _xlfn.XLOOKUP($A1603, 'Instrument Table'!$J:$J, 'Instrument Table'!$B:$B, $C1602), IF($B1603 = "Service Item", _xlfn.XLOOKUP($A1603, 'Instrument Table'!$I:$I, 'Instrument Table'!$B:$B, $C1602), _xlfn.XLOOKUP($A1603, 'Instrument Table'!$H:$H, 'Instrument Table'!$B:$B, $C1602)))</f>
        <v>Electric Guitar</v>
      </c>
      <c r="D1603" s="1" t="str">
        <f>VLOOKUP($C1603, 'Instrument Table'!$B:$C, 2, FALSE)</f>
        <v>Strings</v>
      </c>
      <c r="E1603" s="1">
        <f t="shared" si="144"/>
        <v>1</v>
      </c>
      <c r="F1603" s="1">
        <f>_xlfn.XLOOKUP($C1603, 'Instrument Table'!$B:$B, 'Instrument Table'!$A:$A, "")</f>
        <v>25</v>
      </c>
      <c r="G1603" s="1" t="str">
        <f>TEXT(IF($B1603 = "Retail Item", IF((ROW($A1603) - 4504 - _xlfn.XMATCH($C1603, $C$4506:$C$5005, 0, 1)) &lt;= VLOOKUP($C1603, 'Instrument Table'!$B:$D, 3, FALSE), ROW($A1603) - 4504 - _xlfn.XMATCH($C1603, $C$4506:$C$5005, 0, 1), 0), 0), "00")</f>
        <v>00</v>
      </c>
      <c r="H1603" s="1" t="str">
        <f t="shared" si="145"/>
        <v>047</v>
      </c>
      <c r="I1603" s="1" t="str">
        <f t="shared" si="146"/>
        <v>12500-047</v>
      </c>
      <c r="J1603" s="1" t="str">
        <f t="shared" si="147"/>
        <v>Electric guitar production item #047</v>
      </c>
      <c r="K1603" s="1" t="str">
        <f>IF(SUM(COUNTIFS(I:I, I1603)) &gt; 1, "DUPLICATE", "UNIQUE")</f>
        <v>UNIQUE</v>
      </c>
      <c r="L1603" s="18">
        <v>0</v>
      </c>
      <c r="M1603" s="28">
        <v>56</v>
      </c>
      <c r="N1603" s="6">
        <v>64</v>
      </c>
      <c r="O1603" s="30">
        <f t="shared" si="148"/>
        <v>0</v>
      </c>
      <c r="P1603" s="30">
        <f t="shared" si="149"/>
        <v>3584</v>
      </c>
      <c r="Q1603" s="1">
        <f>COUNTIFS($P:$P, "&gt;" &amp; $P1603) + 1</f>
        <v>2747</v>
      </c>
      <c r="R1603" s="63">
        <f>(COUNTIFS($P:$P, "&gt;" &amp; $P1603) + 1) / (COUNTA($I:$I) - 1)</f>
        <v>0.5494</v>
      </c>
      <c r="S1603" s="23">
        <f>SUMIFS($P:$P, $Q:$Q, "&lt;" &amp; $Q1603)</f>
        <v>184140041</v>
      </c>
    </row>
    <row r="1604" spans="1:19" x14ac:dyDescent="0.25">
      <c r="A1604" s="1">
        <v>1599</v>
      </c>
      <c r="B1604" s="1" t="s">
        <v>2</v>
      </c>
      <c r="C1604" s="1" t="str">
        <f>IF($B1604 = "Production Item", _xlfn.XLOOKUP($A1604, 'Instrument Table'!$J:$J, 'Instrument Table'!$B:$B, $C1603), IF($B1604 = "Service Item", _xlfn.XLOOKUP($A1604, 'Instrument Table'!$I:$I, 'Instrument Table'!$B:$B, $C1603), _xlfn.XLOOKUP($A1604, 'Instrument Table'!$H:$H, 'Instrument Table'!$B:$B, $C1603)))</f>
        <v>Electric Guitar</v>
      </c>
      <c r="D1604" s="1" t="str">
        <f>VLOOKUP($C1604, 'Instrument Table'!$B:$C, 2, FALSE)</f>
        <v>Strings</v>
      </c>
      <c r="E1604" s="1">
        <f t="shared" si="144"/>
        <v>1</v>
      </c>
      <c r="F1604" s="1">
        <f>_xlfn.XLOOKUP($C1604, 'Instrument Table'!$B:$B, 'Instrument Table'!$A:$A, "")</f>
        <v>25</v>
      </c>
      <c r="G1604" s="1" t="str">
        <f>TEXT(IF($B1604 = "Retail Item", IF((ROW($A1604) - 4504 - _xlfn.XMATCH($C1604, $C$4506:$C$5005, 0, 1)) &lt;= VLOOKUP($C1604, 'Instrument Table'!$B:$D, 3, FALSE), ROW($A1604) - 4504 - _xlfn.XMATCH($C1604, $C$4506:$C$5005, 0, 1), 0), 0), "00")</f>
        <v>00</v>
      </c>
      <c r="H1604" s="1" t="str">
        <f t="shared" si="145"/>
        <v>048</v>
      </c>
      <c r="I1604" s="1" t="str">
        <f t="shared" si="146"/>
        <v>12500-048</v>
      </c>
      <c r="J1604" s="1" t="str">
        <f t="shared" si="147"/>
        <v>Electric guitar production item #048</v>
      </c>
      <c r="K1604" s="1" t="str">
        <f>IF(SUM(COUNTIFS(I:I, I1604)) &gt; 1, "DUPLICATE", "UNIQUE")</f>
        <v>UNIQUE</v>
      </c>
      <c r="L1604" s="18">
        <v>0</v>
      </c>
      <c r="M1604" s="28">
        <v>64</v>
      </c>
      <c r="N1604" s="6">
        <v>1</v>
      </c>
      <c r="O1604" s="30">
        <f t="shared" si="148"/>
        <v>0</v>
      </c>
      <c r="P1604" s="30">
        <f t="shared" si="149"/>
        <v>64</v>
      </c>
      <c r="Q1604" s="1">
        <f>COUNTIFS($P:$P, "&gt;" &amp; $P1604) + 1</f>
        <v>4553</v>
      </c>
      <c r="R1604" s="63">
        <f>(COUNTIFS($P:$P, "&gt;" &amp; $P1604) + 1) / (COUNTA($I:$I) - 1)</f>
        <v>0.91059999999999997</v>
      </c>
      <c r="S1604" s="23">
        <f>SUMIFS($P:$P, $Q:$Q, "&lt;" &amp; $Q1604)</f>
        <v>186540850</v>
      </c>
    </row>
    <row r="1605" spans="1:19" x14ac:dyDescent="0.25">
      <c r="A1605" s="1">
        <v>1600</v>
      </c>
      <c r="B1605" s="1" t="s">
        <v>2</v>
      </c>
      <c r="C1605" s="1" t="str">
        <f>IF($B1605 = "Production Item", _xlfn.XLOOKUP($A1605, 'Instrument Table'!$J:$J, 'Instrument Table'!$B:$B, $C1604), IF($B1605 = "Service Item", _xlfn.XLOOKUP($A1605, 'Instrument Table'!$I:$I, 'Instrument Table'!$B:$B, $C1604), _xlfn.XLOOKUP($A1605, 'Instrument Table'!$H:$H, 'Instrument Table'!$B:$B, $C1604)))</f>
        <v>Electric Guitar</v>
      </c>
      <c r="D1605" s="1" t="str">
        <f>VLOOKUP($C1605, 'Instrument Table'!$B:$C, 2, FALSE)</f>
        <v>Strings</v>
      </c>
      <c r="E1605" s="1">
        <f t="shared" si="144"/>
        <v>1</v>
      </c>
      <c r="F1605" s="1">
        <f>_xlfn.XLOOKUP($C1605, 'Instrument Table'!$B:$B, 'Instrument Table'!$A:$A, "")</f>
        <v>25</v>
      </c>
      <c r="G1605" s="1" t="str">
        <f>TEXT(IF($B1605 = "Retail Item", IF((ROW($A1605) - 4504 - _xlfn.XMATCH($C1605, $C$4506:$C$5005, 0, 1)) &lt;= VLOOKUP($C1605, 'Instrument Table'!$B:$D, 3, FALSE), ROW($A1605) - 4504 - _xlfn.XMATCH($C1605, $C$4506:$C$5005, 0, 1), 0), 0), "00")</f>
        <v>00</v>
      </c>
      <c r="H1605" s="1" t="str">
        <f t="shared" si="145"/>
        <v>049</v>
      </c>
      <c r="I1605" s="1" t="str">
        <f t="shared" si="146"/>
        <v>12500-049</v>
      </c>
      <c r="J1605" s="1" t="str">
        <f t="shared" si="147"/>
        <v>Electric guitar production item #049</v>
      </c>
      <c r="K1605" s="1" t="str">
        <f>IF(SUM(COUNTIFS(I:I, I1605)) &gt; 1, "DUPLICATE", "UNIQUE")</f>
        <v>UNIQUE</v>
      </c>
      <c r="L1605" s="18">
        <v>0</v>
      </c>
      <c r="M1605" s="28">
        <v>21</v>
      </c>
      <c r="N1605" s="6">
        <v>196</v>
      </c>
      <c r="O1605" s="30">
        <f t="shared" si="148"/>
        <v>0</v>
      </c>
      <c r="P1605" s="30">
        <f t="shared" si="149"/>
        <v>4116</v>
      </c>
      <c r="Q1605" s="1">
        <f>COUNTIFS($P:$P, "&gt;" &amp; $P1605) + 1</f>
        <v>2630</v>
      </c>
      <c r="R1605" s="63">
        <f>(COUNTIFS($P:$P, "&gt;" &amp; $P1605) + 1) / (COUNTA($I:$I) - 1)</f>
        <v>0.52600000000000002</v>
      </c>
      <c r="S1605" s="23">
        <f>SUMIFS($P:$P, $Q:$Q, "&lt;" &amp; $Q1605)</f>
        <v>183689305</v>
      </c>
    </row>
    <row r="1606" spans="1:19" x14ac:dyDescent="0.25">
      <c r="A1606" s="1">
        <v>1601</v>
      </c>
      <c r="B1606" s="1" t="s">
        <v>2</v>
      </c>
      <c r="C1606" s="1" t="str">
        <f>IF($B1606 = "Production Item", _xlfn.XLOOKUP($A1606, 'Instrument Table'!$J:$J, 'Instrument Table'!$B:$B, $C1605), IF($B1606 = "Service Item", _xlfn.XLOOKUP($A1606, 'Instrument Table'!$I:$I, 'Instrument Table'!$B:$B, $C1605), _xlfn.XLOOKUP($A1606, 'Instrument Table'!$H:$H, 'Instrument Table'!$B:$B, $C1605)))</f>
        <v>Electric Guitar</v>
      </c>
      <c r="D1606" s="1" t="str">
        <f>VLOOKUP($C1606, 'Instrument Table'!$B:$C, 2, FALSE)</f>
        <v>Strings</v>
      </c>
      <c r="E1606" s="1">
        <f t="shared" si="144"/>
        <v>1</v>
      </c>
      <c r="F1606" s="1">
        <f>_xlfn.XLOOKUP($C1606, 'Instrument Table'!$B:$B, 'Instrument Table'!$A:$A, "")</f>
        <v>25</v>
      </c>
      <c r="G1606" s="1" t="str">
        <f>TEXT(IF($B1606 = "Retail Item", IF((ROW($A1606) - 4504 - _xlfn.XMATCH($C1606, $C$4506:$C$5005, 0, 1)) &lt;= VLOOKUP($C1606, 'Instrument Table'!$B:$D, 3, FALSE), ROW($A1606) - 4504 - _xlfn.XMATCH($C1606, $C$4506:$C$5005, 0, 1), 0), 0), "00")</f>
        <v>00</v>
      </c>
      <c r="H1606" s="1" t="str">
        <f t="shared" si="145"/>
        <v>050</v>
      </c>
      <c r="I1606" s="1" t="str">
        <f t="shared" si="146"/>
        <v>12500-050</v>
      </c>
      <c r="J1606" s="1" t="str">
        <f t="shared" si="147"/>
        <v>Electric guitar production item #050</v>
      </c>
      <c r="K1606" s="1" t="str">
        <f>IF(SUM(COUNTIFS(I:I, I1606)) &gt; 1, "DUPLICATE", "UNIQUE")</f>
        <v>UNIQUE</v>
      </c>
      <c r="L1606" s="18">
        <v>32</v>
      </c>
      <c r="M1606" s="28">
        <v>32</v>
      </c>
      <c r="N1606" s="6">
        <v>121</v>
      </c>
      <c r="O1606" s="30">
        <f t="shared" si="148"/>
        <v>1024</v>
      </c>
      <c r="P1606" s="30">
        <f t="shared" si="149"/>
        <v>3872</v>
      </c>
      <c r="Q1606" s="1">
        <f>COUNTIFS($P:$P, "&gt;" &amp; $P1606) + 1</f>
        <v>2686</v>
      </c>
      <c r="R1606" s="63">
        <f>(COUNTIFS($P:$P, "&gt;" &amp; $P1606) + 1) / (COUNTA($I:$I) - 1)</f>
        <v>0.53720000000000001</v>
      </c>
      <c r="S1606" s="23">
        <f>SUMIFS($P:$P, $Q:$Q, "&lt;" &amp; $Q1606)</f>
        <v>183913006</v>
      </c>
    </row>
    <row r="1607" spans="1:19" x14ac:dyDescent="0.25">
      <c r="A1607" s="1">
        <v>1602</v>
      </c>
      <c r="B1607" s="1" t="s">
        <v>2</v>
      </c>
      <c r="C1607" s="1" t="str">
        <f>IF($B1607 = "Production Item", _xlfn.XLOOKUP($A1607, 'Instrument Table'!$J:$J, 'Instrument Table'!$B:$B, $C1606), IF($B1607 = "Service Item", _xlfn.XLOOKUP($A1607, 'Instrument Table'!$I:$I, 'Instrument Table'!$B:$B, $C1606), _xlfn.XLOOKUP($A1607, 'Instrument Table'!$H:$H, 'Instrument Table'!$B:$B, $C1606)))</f>
        <v>Electric Guitar</v>
      </c>
      <c r="D1607" s="1" t="str">
        <f>VLOOKUP($C1607, 'Instrument Table'!$B:$C, 2, FALSE)</f>
        <v>Strings</v>
      </c>
      <c r="E1607" s="1">
        <f t="shared" ref="E1607:E1670" si="150">IF($B1607 = "Production Item", 1, IF($B1607 = "Service Item", 2, IF($B1607 = "Retail Item", 3, "")))</f>
        <v>1</v>
      </c>
      <c r="F1607" s="1">
        <f>_xlfn.XLOOKUP($C1607, 'Instrument Table'!$B:$B, 'Instrument Table'!$A:$A, "")</f>
        <v>25</v>
      </c>
      <c r="G1607" s="1" t="str">
        <f>TEXT(IF($B1607 = "Retail Item", IF((ROW($A1607) - 4504 - _xlfn.XMATCH($C1607, $C$4506:$C$5005, 0, 1)) &lt;= VLOOKUP($C1607, 'Instrument Table'!$B:$D, 3, FALSE), ROW($A1607) - 4504 - _xlfn.XMATCH($C1607, $C$4506:$C$5005, 0, 1), 0), 0), "00")</f>
        <v>00</v>
      </c>
      <c r="H1607" s="1" t="str">
        <f t="shared" ref="H1607:H1670" si="151">TEXT(IF($E1607 &amp; $F1607 &amp; $G1607 = $E1606 &amp; $F1606 &amp; $G1606, 1 + H1606, 0), "000")</f>
        <v>051</v>
      </c>
      <c r="I1607" s="1" t="str">
        <f t="shared" ref="I1607:I1670" si="152" xml:space="preserve"> _xlfn.CONCAT($E1607, $F1607, $G1607, "-", H1607)</f>
        <v>12500-051</v>
      </c>
      <c r="J1607" s="1" t="str">
        <f t="shared" ref="J1607:J1670" si="153">LEFT($C1607, 1) &amp; LOWER(RIGHT($C1607, LEN($C1607) - 1)) &amp; IF(AND($G1607 &lt;&gt; "00", $B1607 = "Retail Item"), " model #" &amp; $G1607, " " &amp; LOWER($B1607) &amp; " #" &amp; $H1607)</f>
        <v>Electric guitar production item #051</v>
      </c>
      <c r="K1607" s="1" t="str">
        <f>IF(SUM(COUNTIFS(I:I, I1607)) &gt; 1, "DUPLICATE", "UNIQUE")</f>
        <v>UNIQUE</v>
      </c>
      <c r="L1607" s="18">
        <v>1</v>
      </c>
      <c r="M1607" s="28">
        <v>99</v>
      </c>
      <c r="N1607" s="6">
        <v>49</v>
      </c>
      <c r="O1607" s="30">
        <f t="shared" ref="O1607:O1670" si="154">$L1607 * $M1607</f>
        <v>99</v>
      </c>
      <c r="P1607" s="30">
        <f t="shared" ref="P1607:P1670" si="155">$N1607 * $M1607</f>
        <v>4851</v>
      </c>
      <c r="Q1607" s="1">
        <f>COUNTIFS($P:$P, "&gt;" &amp; $P1607) + 1</f>
        <v>2478</v>
      </c>
      <c r="R1607" s="63">
        <f>(COUNTIFS($P:$P, "&gt;" &amp; $P1607) + 1) / (COUNTA($I:$I) - 1)</f>
        <v>0.49559999999999998</v>
      </c>
      <c r="S1607" s="23">
        <f>SUMIFS($P:$P, $Q:$Q, "&lt;" &amp; $Q1607)</f>
        <v>183009950</v>
      </c>
    </row>
    <row r="1608" spans="1:19" x14ac:dyDescent="0.25">
      <c r="A1608" s="1">
        <v>1603</v>
      </c>
      <c r="B1608" s="1" t="s">
        <v>2</v>
      </c>
      <c r="C1608" s="1" t="str">
        <f>IF($B1608 = "Production Item", _xlfn.XLOOKUP($A1608, 'Instrument Table'!$J:$J, 'Instrument Table'!$B:$B, $C1607), IF($B1608 = "Service Item", _xlfn.XLOOKUP($A1608, 'Instrument Table'!$I:$I, 'Instrument Table'!$B:$B, $C1607), _xlfn.XLOOKUP($A1608, 'Instrument Table'!$H:$H, 'Instrument Table'!$B:$B, $C1607)))</f>
        <v>Electric Guitar</v>
      </c>
      <c r="D1608" s="1" t="str">
        <f>VLOOKUP($C1608, 'Instrument Table'!$B:$C, 2, FALSE)</f>
        <v>Strings</v>
      </c>
      <c r="E1608" s="1">
        <f t="shared" si="150"/>
        <v>1</v>
      </c>
      <c r="F1608" s="1">
        <f>_xlfn.XLOOKUP($C1608, 'Instrument Table'!$B:$B, 'Instrument Table'!$A:$A, "")</f>
        <v>25</v>
      </c>
      <c r="G1608" s="1" t="str">
        <f>TEXT(IF($B1608 = "Retail Item", IF((ROW($A1608) - 4504 - _xlfn.XMATCH($C1608, $C$4506:$C$5005, 0, 1)) &lt;= VLOOKUP($C1608, 'Instrument Table'!$B:$D, 3, FALSE), ROW($A1608) - 4504 - _xlfn.XMATCH($C1608, $C$4506:$C$5005, 0, 1), 0), 0), "00")</f>
        <v>00</v>
      </c>
      <c r="H1608" s="1" t="str">
        <f t="shared" si="151"/>
        <v>052</v>
      </c>
      <c r="I1608" s="1" t="str">
        <f t="shared" si="152"/>
        <v>12500-052</v>
      </c>
      <c r="J1608" s="1" t="str">
        <f t="shared" si="153"/>
        <v>Electric guitar production item #052</v>
      </c>
      <c r="K1608" s="1" t="str">
        <f>IF(SUM(COUNTIFS(I:I, I1608)) &gt; 1, "DUPLICATE", "UNIQUE")</f>
        <v>UNIQUE</v>
      </c>
      <c r="L1608" s="18">
        <v>4</v>
      </c>
      <c r="M1608" s="28">
        <v>75</v>
      </c>
      <c r="N1608" s="6">
        <v>400</v>
      </c>
      <c r="O1608" s="30">
        <f t="shared" si="154"/>
        <v>300</v>
      </c>
      <c r="P1608" s="30">
        <f t="shared" si="155"/>
        <v>30000</v>
      </c>
      <c r="Q1608" s="1">
        <f>COUNTIFS($P:$P, "&gt;" &amp; $P1608) + 1</f>
        <v>688</v>
      </c>
      <c r="R1608" s="63">
        <f>(COUNTIFS($P:$P, "&gt;" &amp; $P1608) + 1) / (COUNTA($I:$I) - 1)</f>
        <v>0.1376</v>
      </c>
      <c r="S1608" s="23">
        <f>SUMIFS($P:$P, $Q:$Q, "&lt;" &amp; $Q1608)</f>
        <v>158728505</v>
      </c>
    </row>
    <row r="1609" spans="1:19" x14ac:dyDescent="0.25">
      <c r="A1609" s="1">
        <v>1604</v>
      </c>
      <c r="B1609" s="1" t="s">
        <v>2</v>
      </c>
      <c r="C1609" s="1" t="str">
        <f>IF($B1609 = "Production Item", _xlfn.XLOOKUP($A1609, 'Instrument Table'!$J:$J, 'Instrument Table'!$B:$B, $C1608), IF($B1609 = "Service Item", _xlfn.XLOOKUP($A1609, 'Instrument Table'!$I:$I, 'Instrument Table'!$B:$B, $C1608), _xlfn.XLOOKUP($A1609, 'Instrument Table'!$H:$H, 'Instrument Table'!$B:$B, $C1608)))</f>
        <v>Electric Guitar</v>
      </c>
      <c r="D1609" s="1" t="str">
        <f>VLOOKUP($C1609, 'Instrument Table'!$B:$C, 2, FALSE)</f>
        <v>Strings</v>
      </c>
      <c r="E1609" s="1">
        <f t="shared" si="150"/>
        <v>1</v>
      </c>
      <c r="F1609" s="1">
        <f>_xlfn.XLOOKUP($C1609, 'Instrument Table'!$B:$B, 'Instrument Table'!$A:$A, "")</f>
        <v>25</v>
      </c>
      <c r="G1609" s="1" t="str">
        <f>TEXT(IF($B1609 = "Retail Item", IF((ROW($A1609) - 4504 - _xlfn.XMATCH($C1609, $C$4506:$C$5005, 0, 1)) &lt;= VLOOKUP($C1609, 'Instrument Table'!$B:$D, 3, FALSE), ROW($A1609) - 4504 - _xlfn.XMATCH($C1609, $C$4506:$C$5005, 0, 1), 0), 0), "00")</f>
        <v>00</v>
      </c>
      <c r="H1609" s="1" t="str">
        <f t="shared" si="151"/>
        <v>053</v>
      </c>
      <c r="I1609" s="1" t="str">
        <f t="shared" si="152"/>
        <v>12500-053</v>
      </c>
      <c r="J1609" s="1" t="str">
        <f t="shared" si="153"/>
        <v>Electric guitar production item #053</v>
      </c>
      <c r="K1609" s="1" t="str">
        <f>IF(SUM(COUNTIFS(I:I, I1609)) &gt; 1, "DUPLICATE", "UNIQUE")</f>
        <v>UNIQUE</v>
      </c>
      <c r="L1609" s="18">
        <v>0</v>
      </c>
      <c r="M1609" s="28">
        <v>37</v>
      </c>
      <c r="N1609" s="6">
        <v>361</v>
      </c>
      <c r="O1609" s="30">
        <f t="shared" si="154"/>
        <v>0</v>
      </c>
      <c r="P1609" s="30">
        <f t="shared" si="155"/>
        <v>13357</v>
      </c>
      <c r="Q1609" s="1">
        <f>COUNTIFS($P:$P, "&gt;" &amp; $P1609) + 1</f>
        <v>1468</v>
      </c>
      <c r="R1609" s="63">
        <f>(COUNTIFS($P:$P, "&gt;" &amp; $P1609) + 1) / (COUNTA($I:$I) - 1)</f>
        <v>0.29360000000000003</v>
      </c>
      <c r="S1609" s="23">
        <f>SUMIFS($P:$P, $Q:$Q, "&lt;" &amp; $Q1609)</f>
        <v>174416557</v>
      </c>
    </row>
    <row r="1610" spans="1:19" x14ac:dyDescent="0.25">
      <c r="A1610" s="1">
        <v>1605</v>
      </c>
      <c r="B1610" s="1" t="s">
        <v>2</v>
      </c>
      <c r="C1610" s="1" t="str">
        <f>IF($B1610 = "Production Item", _xlfn.XLOOKUP($A1610, 'Instrument Table'!$J:$J, 'Instrument Table'!$B:$B, $C1609), IF($B1610 = "Service Item", _xlfn.XLOOKUP($A1610, 'Instrument Table'!$I:$I, 'Instrument Table'!$B:$B, $C1609), _xlfn.XLOOKUP($A1610, 'Instrument Table'!$H:$H, 'Instrument Table'!$B:$B, $C1609)))</f>
        <v>Electric Guitar</v>
      </c>
      <c r="D1610" s="1" t="str">
        <f>VLOOKUP($C1610, 'Instrument Table'!$B:$C, 2, FALSE)</f>
        <v>Strings</v>
      </c>
      <c r="E1610" s="1">
        <f t="shared" si="150"/>
        <v>1</v>
      </c>
      <c r="F1610" s="1">
        <f>_xlfn.XLOOKUP($C1610, 'Instrument Table'!$B:$B, 'Instrument Table'!$A:$A, "")</f>
        <v>25</v>
      </c>
      <c r="G1610" s="1" t="str">
        <f>TEXT(IF($B1610 = "Retail Item", IF((ROW($A1610) - 4504 - _xlfn.XMATCH($C1610, $C$4506:$C$5005, 0, 1)) &lt;= VLOOKUP($C1610, 'Instrument Table'!$B:$D, 3, FALSE), ROW($A1610) - 4504 - _xlfn.XMATCH($C1610, $C$4506:$C$5005, 0, 1), 0), 0), "00")</f>
        <v>00</v>
      </c>
      <c r="H1610" s="1" t="str">
        <f t="shared" si="151"/>
        <v>054</v>
      </c>
      <c r="I1610" s="1" t="str">
        <f t="shared" si="152"/>
        <v>12500-054</v>
      </c>
      <c r="J1610" s="1" t="str">
        <f t="shared" si="153"/>
        <v>Electric guitar production item #054</v>
      </c>
      <c r="K1610" s="1" t="str">
        <f>IF(SUM(COUNTIFS(I:I, I1610)) &gt; 1, "DUPLICATE", "UNIQUE")</f>
        <v>UNIQUE</v>
      </c>
      <c r="L1610" s="18">
        <v>1</v>
      </c>
      <c r="M1610" s="28">
        <v>77</v>
      </c>
      <c r="N1610" s="6">
        <v>100</v>
      </c>
      <c r="O1610" s="30">
        <f t="shared" si="154"/>
        <v>77</v>
      </c>
      <c r="P1610" s="30">
        <f t="shared" si="155"/>
        <v>7700</v>
      </c>
      <c r="Q1610" s="1">
        <f>COUNTIFS($P:$P, "&gt;" &amp; $P1610) + 1</f>
        <v>2034</v>
      </c>
      <c r="R1610" s="63">
        <f>(COUNTIFS($P:$P, "&gt;" &amp; $P1610) + 1) / (COUNTA($I:$I) - 1)</f>
        <v>0.40679999999999999</v>
      </c>
      <c r="S1610" s="23">
        <f>SUMIFS($P:$P, $Q:$Q, "&lt;" &amp; $Q1610)</f>
        <v>180262179</v>
      </c>
    </row>
    <row r="1611" spans="1:19" x14ac:dyDescent="0.25">
      <c r="A1611" s="1">
        <v>1606</v>
      </c>
      <c r="B1611" s="1" t="s">
        <v>2</v>
      </c>
      <c r="C1611" s="1" t="str">
        <f>IF($B1611 = "Production Item", _xlfn.XLOOKUP($A1611, 'Instrument Table'!$J:$J, 'Instrument Table'!$B:$B, $C1610), IF($B1611 = "Service Item", _xlfn.XLOOKUP($A1611, 'Instrument Table'!$I:$I, 'Instrument Table'!$B:$B, $C1610), _xlfn.XLOOKUP($A1611, 'Instrument Table'!$H:$H, 'Instrument Table'!$B:$B, $C1610)))</f>
        <v>Electric Guitar</v>
      </c>
      <c r="D1611" s="1" t="str">
        <f>VLOOKUP($C1611, 'Instrument Table'!$B:$C, 2, FALSE)</f>
        <v>Strings</v>
      </c>
      <c r="E1611" s="1">
        <f t="shared" si="150"/>
        <v>1</v>
      </c>
      <c r="F1611" s="1">
        <f>_xlfn.XLOOKUP($C1611, 'Instrument Table'!$B:$B, 'Instrument Table'!$A:$A, "")</f>
        <v>25</v>
      </c>
      <c r="G1611" s="1" t="str">
        <f>TEXT(IF($B1611 = "Retail Item", IF((ROW($A1611) - 4504 - _xlfn.XMATCH($C1611, $C$4506:$C$5005, 0, 1)) &lt;= VLOOKUP($C1611, 'Instrument Table'!$B:$D, 3, FALSE), ROW($A1611) - 4504 - _xlfn.XMATCH($C1611, $C$4506:$C$5005, 0, 1), 0), 0), "00")</f>
        <v>00</v>
      </c>
      <c r="H1611" s="1" t="str">
        <f t="shared" si="151"/>
        <v>055</v>
      </c>
      <c r="I1611" s="1" t="str">
        <f t="shared" si="152"/>
        <v>12500-055</v>
      </c>
      <c r="J1611" s="1" t="str">
        <f t="shared" si="153"/>
        <v>Electric guitar production item #055</v>
      </c>
      <c r="K1611" s="1" t="str">
        <f>IF(SUM(COUNTIFS(I:I, I1611)) &gt; 1, "DUPLICATE", "UNIQUE")</f>
        <v>UNIQUE</v>
      </c>
      <c r="L1611" s="18">
        <v>0</v>
      </c>
      <c r="M1611" s="28">
        <v>53</v>
      </c>
      <c r="N1611" s="6">
        <v>64</v>
      </c>
      <c r="O1611" s="30">
        <f t="shared" si="154"/>
        <v>0</v>
      </c>
      <c r="P1611" s="30">
        <f t="shared" si="155"/>
        <v>3392</v>
      </c>
      <c r="Q1611" s="1">
        <f>COUNTIFS($P:$P, "&gt;" &amp; $P1611) + 1</f>
        <v>2804</v>
      </c>
      <c r="R1611" s="63">
        <f>(COUNTIFS($P:$P, "&gt;" &amp; $P1611) + 1) / (COUNTA($I:$I) - 1)</f>
        <v>0.56079999999999997</v>
      </c>
      <c r="S1611" s="23">
        <f>SUMIFS($P:$P, $Q:$Q, "&lt;" &amp; $Q1611)</f>
        <v>184339515</v>
      </c>
    </row>
    <row r="1612" spans="1:19" x14ac:dyDescent="0.25">
      <c r="A1612" s="1">
        <v>1607</v>
      </c>
      <c r="B1612" s="1" t="s">
        <v>2</v>
      </c>
      <c r="C1612" s="1" t="str">
        <f>IF($B1612 = "Production Item", _xlfn.XLOOKUP($A1612, 'Instrument Table'!$J:$J, 'Instrument Table'!$B:$B, $C1611), IF($B1612 = "Service Item", _xlfn.XLOOKUP($A1612, 'Instrument Table'!$I:$I, 'Instrument Table'!$B:$B, $C1611), _xlfn.XLOOKUP($A1612, 'Instrument Table'!$H:$H, 'Instrument Table'!$B:$B, $C1611)))</f>
        <v>Electric Guitar</v>
      </c>
      <c r="D1612" s="1" t="str">
        <f>VLOOKUP($C1612, 'Instrument Table'!$B:$C, 2, FALSE)</f>
        <v>Strings</v>
      </c>
      <c r="E1612" s="1">
        <f t="shared" si="150"/>
        <v>1</v>
      </c>
      <c r="F1612" s="1">
        <f>_xlfn.XLOOKUP($C1612, 'Instrument Table'!$B:$B, 'Instrument Table'!$A:$A, "")</f>
        <v>25</v>
      </c>
      <c r="G1612" s="1" t="str">
        <f>TEXT(IF($B1612 = "Retail Item", IF((ROW($A1612) - 4504 - _xlfn.XMATCH($C1612, $C$4506:$C$5005, 0, 1)) &lt;= VLOOKUP($C1612, 'Instrument Table'!$B:$D, 3, FALSE), ROW($A1612) - 4504 - _xlfn.XMATCH($C1612, $C$4506:$C$5005, 0, 1), 0), 0), "00")</f>
        <v>00</v>
      </c>
      <c r="H1612" s="1" t="str">
        <f t="shared" si="151"/>
        <v>056</v>
      </c>
      <c r="I1612" s="1" t="str">
        <f t="shared" si="152"/>
        <v>12500-056</v>
      </c>
      <c r="J1612" s="1" t="str">
        <f t="shared" si="153"/>
        <v>Electric guitar production item #056</v>
      </c>
      <c r="K1612" s="1" t="str">
        <f>IF(SUM(COUNTIFS(I:I, I1612)) &gt; 1, "DUPLICATE", "UNIQUE")</f>
        <v>UNIQUE</v>
      </c>
      <c r="L1612" s="18">
        <v>1</v>
      </c>
      <c r="M1612" s="28">
        <v>57</v>
      </c>
      <c r="N1612" s="6">
        <v>289</v>
      </c>
      <c r="O1612" s="30">
        <f t="shared" si="154"/>
        <v>57</v>
      </c>
      <c r="P1612" s="30">
        <f t="shared" si="155"/>
        <v>16473</v>
      </c>
      <c r="Q1612" s="1">
        <f>COUNTIFS($P:$P, "&gt;" &amp; $P1612) + 1</f>
        <v>1247</v>
      </c>
      <c r="R1612" s="63">
        <f>(COUNTIFS($P:$P, "&gt;" &amp; $P1612) + 1) / (COUNTA($I:$I) - 1)</f>
        <v>0.24940000000000001</v>
      </c>
      <c r="S1612" s="23">
        <f>SUMIFS($P:$P, $Q:$Q, "&lt;" &amp; $Q1612)</f>
        <v>171120042</v>
      </c>
    </row>
    <row r="1613" spans="1:19" x14ac:dyDescent="0.25">
      <c r="A1613" s="1">
        <v>1608</v>
      </c>
      <c r="B1613" s="1" t="s">
        <v>2</v>
      </c>
      <c r="C1613" s="1" t="str">
        <f>IF($B1613 = "Production Item", _xlfn.XLOOKUP($A1613, 'Instrument Table'!$J:$J, 'Instrument Table'!$B:$B, $C1612), IF($B1613 = "Service Item", _xlfn.XLOOKUP($A1613, 'Instrument Table'!$I:$I, 'Instrument Table'!$B:$B, $C1612), _xlfn.XLOOKUP($A1613, 'Instrument Table'!$H:$H, 'Instrument Table'!$B:$B, $C1612)))</f>
        <v>Electric Guitar</v>
      </c>
      <c r="D1613" s="1" t="str">
        <f>VLOOKUP($C1613, 'Instrument Table'!$B:$C, 2, FALSE)</f>
        <v>Strings</v>
      </c>
      <c r="E1613" s="1">
        <f t="shared" si="150"/>
        <v>1</v>
      </c>
      <c r="F1613" s="1">
        <f>_xlfn.XLOOKUP($C1613, 'Instrument Table'!$B:$B, 'Instrument Table'!$A:$A, "")</f>
        <v>25</v>
      </c>
      <c r="G1613" s="1" t="str">
        <f>TEXT(IF($B1613 = "Retail Item", IF((ROW($A1613) - 4504 - _xlfn.XMATCH($C1613, $C$4506:$C$5005, 0, 1)) &lt;= VLOOKUP($C1613, 'Instrument Table'!$B:$D, 3, FALSE), ROW($A1613) - 4504 - _xlfn.XMATCH($C1613, $C$4506:$C$5005, 0, 1), 0), 0), "00")</f>
        <v>00</v>
      </c>
      <c r="H1613" s="1" t="str">
        <f t="shared" si="151"/>
        <v>057</v>
      </c>
      <c r="I1613" s="1" t="str">
        <f t="shared" si="152"/>
        <v>12500-057</v>
      </c>
      <c r="J1613" s="1" t="str">
        <f t="shared" si="153"/>
        <v>Electric guitar production item #057</v>
      </c>
      <c r="K1613" s="1" t="str">
        <f>IF(SUM(COUNTIFS(I:I, I1613)) &gt; 1, "DUPLICATE", "UNIQUE")</f>
        <v>UNIQUE</v>
      </c>
      <c r="L1613" s="18">
        <v>1</v>
      </c>
      <c r="M1613" s="28">
        <v>34</v>
      </c>
      <c r="N1613" s="6">
        <v>361</v>
      </c>
      <c r="O1613" s="30">
        <f t="shared" si="154"/>
        <v>34</v>
      </c>
      <c r="P1613" s="30">
        <f t="shared" si="155"/>
        <v>12274</v>
      </c>
      <c r="Q1613" s="1">
        <f>COUNTIFS($P:$P, "&gt;" &amp; $P1613) + 1</f>
        <v>1556</v>
      </c>
      <c r="R1613" s="63">
        <f>(COUNTIFS($P:$P, "&gt;" &amp; $P1613) + 1) / (COUNTA($I:$I) - 1)</f>
        <v>0.31119999999999998</v>
      </c>
      <c r="S1613" s="23">
        <f>SUMIFS($P:$P, $Q:$Q, "&lt;" &amp; $Q1613)</f>
        <v>175548854</v>
      </c>
    </row>
    <row r="1614" spans="1:19" x14ac:dyDescent="0.25">
      <c r="A1614" s="1">
        <v>1609</v>
      </c>
      <c r="B1614" s="1" t="s">
        <v>2</v>
      </c>
      <c r="C1614" s="1" t="str">
        <f>IF($B1614 = "Production Item", _xlfn.XLOOKUP($A1614, 'Instrument Table'!$J:$J, 'Instrument Table'!$B:$B, $C1613), IF($B1614 = "Service Item", _xlfn.XLOOKUP($A1614, 'Instrument Table'!$I:$I, 'Instrument Table'!$B:$B, $C1613), _xlfn.XLOOKUP($A1614, 'Instrument Table'!$H:$H, 'Instrument Table'!$B:$B, $C1613)))</f>
        <v>Electric Guitar</v>
      </c>
      <c r="D1614" s="1" t="str">
        <f>VLOOKUP($C1614, 'Instrument Table'!$B:$C, 2, FALSE)</f>
        <v>Strings</v>
      </c>
      <c r="E1614" s="1">
        <f t="shared" si="150"/>
        <v>1</v>
      </c>
      <c r="F1614" s="1">
        <f>_xlfn.XLOOKUP($C1614, 'Instrument Table'!$B:$B, 'Instrument Table'!$A:$A, "")</f>
        <v>25</v>
      </c>
      <c r="G1614" s="1" t="str">
        <f>TEXT(IF($B1614 = "Retail Item", IF((ROW($A1614) - 4504 - _xlfn.XMATCH($C1614, $C$4506:$C$5005, 0, 1)) &lt;= VLOOKUP($C1614, 'Instrument Table'!$B:$D, 3, FALSE), ROW($A1614) - 4504 - _xlfn.XMATCH($C1614, $C$4506:$C$5005, 0, 1), 0), 0), "00")</f>
        <v>00</v>
      </c>
      <c r="H1614" s="1" t="str">
        <f t="shared" si="151"/>
        <v>058</v>
      </c>
      <c r="I1614" s="1" t="str">
        <f t="shared" si="152"/>
        <v>12500-058</v>
      </c>
      <c r="J1614" s="1" t="str">
        <f t="shared" si="153"/>
        <v>Electric guitar production item #058</v>
      </c>
      <c r="K1614" s="1" t="str">
        <f>IF(SUM(COUNTIFS(I:I, I1614)) &gt; 1, "DUPLICATE", "UNIQUE")</f>
        <v>UNIQUE</v>
      </c>
      <c r="L1614" s="18">
        <v>8</v>
      </c>
      <c r="M1614" s="28">
        <v>29</v>
      </c>
      <c r="N1614" s="6">
        <v>256</v>
      </c>
      <c r="O1614" s="30">
        <f t="shared" si="154"/>
        <v>232</v>
      </c>
      <c r="P1614" s="30">
        <f t="shared" si="155"/>
        <v>7424</v>
      </c>
      <c r="Q1614" s="1">
        <f>COUNTIFS($P:$P, "&gt;" &amp; $P1614) + 1</f>
        <v>2079</v>
      </c>
      <c r="R1614" s="63">
        <f>(COUNTIFS($P:$P, "&gt;" &amp; $P1614) + 1) / (COUNTA($I:$I) - 1)</f>
        <v>0.4158</v>
      </c>
      <c r="S1614" s="23">
        <f>SUMIFS($P:$P, $Q:$Q, "&lt;" &amp; $Q1614)</f>
        <v>180603977</v>
      </c>
    </row>
    <row r="1615" spans="1:19" x14ac:dyDescent="0.25">
      <c r="A1615" s="1">
        <v>1610</v>
      </c>
      <c r="B1615" s="1" t="s">
        <v>2</v>
      </c>
      <c r="C1615" s="1" t="str">
        <f>IF($B1615 = "Production Item", _xlfn.XLOOKUP($A1615, 'Instrument Table'!$J:$J, 'Instrument Table'!$B:$B, $C1614), IF($B1615 = "Service Item", _xlfn.XLOOKUP($A1615, 'Instrument Table'!$I:$I, 'Instrument Table'!$B:$B, $C1614), _xlfn.XLOOKUP($A1615, 'Instrument Table'!$H:$H, 'Instrument Table'!$B:$B, $C1614)))</f>
        <v>Electric Guitar</v>
      </c>
      <c r="D1615" s="1" t="str">
        <f>VLOOKUP($C1615, 'Instrument Table'!$B:$C, 2, FALSE)</f>
        <v>Strings</v>
      </c>
      <c r="E1615" s="1">
        <f t="shared" si="150"/>
        <v>1</v>
      </c>
      <c r="F1615" s="1">
        <f>_xlfn.XLOOKUP($C1615, 'Instrument Table'!$B:$B, 'Instrument Table'!$A:$A, "")</f>
        <v>25</v>
      </c>
      <c r="G1615" s="1" t="str">
        <f>TEXT(IF($B1615 = "Retail Item", IF((ROW($A1615) - 4504 - _xlfn.XMATCH($C1615, $C$4506:$C$5005, 0, 1)) &lt;= VLOOKUP($C1615, 'Instrument Table'!$B:$D, 3, FALSE), ROW($A1615) - 4504 - _xlfn.XMATCH($C1615, $C$4506:$C$5005, 0, 1), 0), 0), "00")</f>
        <v>00</v>
      </c>
      <c r="H1615" s="1" t="str">
        <f t="shared" si="151"/>
        <v>059</v>
      </c>
      <c r="I1615" s="1" t="str">
        <f t="shared" si="152"/>
        <v>12500-059</v>
      </c>
      <c r="J1615" s="1" t="str">
        <f t="shared" si="153"/>
        <v>Electric guitar production item #059</v>
      </c>
      <c r="K1615" s="1" t="str">
        <f>IF(SUM(COUNTIFS(I:I, I1615)) &gt; 1, "DUPLICATE", "UNIQUE")</f>
        <v>UNIQUE</v>
      </c>
      <c r="L1615" s="18">
        <v>1</v>
      </c>
      <c r="M1615" s="28">
        <v>89</v>
      </c>
      <c r="N1615" s="6">
        <v>361</v>
      </c>
      <c r="O1615" s="30">
        <f t="shared" si="154"/>
        <v>89</v>
      </c>
      <c r="P1615" s="30">
        <f t="shared" si="155"/>
        <v>32129</v>
      </c>
      <c r="Q1615" s="1">
        <f>COUNTIFS($P:$P, "&gt;" &amp; $P1615) + 1</f>
        <v>644</v>
      </c>
      <c r="R1615" s="63">
        <f>(COUNTIFS($P:$P, "&gt;" &amp; $P1615) + 1) / (COUNTA($I:$I) - 1)</f>
        <v>0.1288</v>
      </c>
      <c r="S1615" s="23">
        <f>SUMIFS($P:$P, $Q:$Q, "&lt;" &amp; $Q1615)</f>
        <v>157353040</v>
      </c>
    </row>
    <row r="1616" spans="1:19" x14ac:dyDescent="0.25">
      <c r="A1616" s="1">
        <v>1611</v>
      </c>
      <c r="B1616" s="1" t="s">
        <v>2</v>
      </c>
      <c r="C1616" s="1" t="str">
        <f>IF($B1616 = "Production Item", _xlfn.XLOOKUP($A1616, 'Instrument Table'!$J:$J, 'Instrument Table'!$B:$B, $C1615), IF($B1616 = "Service Item", _xlfn.XLOOKUP($A1616, 'Instrument Table'!$I:$I, 'Instrument Table'!$B:$B, $C1615), _xlfn.XLOOKUP($A1616, 'Instrument Table'!$H:$H, 'Instrument Table'!$B:$B, $C1615)))</f>
        <v>Electric Guitar</v>
      </c>
      <c r="D1616" s="1" t="str">
        <f>VLOOKUP($C1616, 'Instrument Table'!$B:$C, 2, FALSE)</f>
        <v>Strings</v>
      </c>
      <c r="E1616" s="1">
        <f t="shared" si="150"/>
        <v>1</v>
      </c>
      <c r="F1616" s="1">
        <f>_xlfn.XLOOKUP($C1616, 'Instrument Table'!$B:$B, 'Instrument Table'!$A:$A, "")</f>
        <v>25</v>
      </c>
      <c r="G1616" s="1" t="str">
        <f>TEXT(IF($B1616 = "Retail Item", IF((ROW($A1616) - 4504 - _xlfn.XMATCH($C1616, $C$4506:$C$5005, 0, 1)) &lt;= VLOOKUP($C1616, 'Instrument Table'!$B:$D, 3, FALSE), ROW($A1616) - 4504 - _xlfn.XMATCH($C1616, $C$4506:$C$5005, 0, 1), 0), 0), "00")</f>
        <v>00</v>
      </c>
      <c r="H1616" s="1" t="str">
        <f t="shared" si="151"/>
        <v>060</v>
      </c>
      <c r="I1616" s="1" t="str">
        <f t="shared" si="152"/>
        <v>12500-060</v>
      </c>
      <c r="J1616" s="1" t="str">
        <f t="shared" si="153"/>
        <v>Electric guitar production item #060</v>
      </c>
      <c r="K1616" s="1" t="str">
        <f>IF(SUM(COUNTIFS(I:I, I1616)) &gt; 1, "DUPLICATE", "UNIQUE")</f>
        <v>UNIQUE</v>
      </c>
      <c r="L1616" s="18">
        <v>1</v>
      </c>
      <c r="M1616" s="28">
        <v>73</v>
      </c>
      <c r="N1616" s="6">
        <v>144</v>
      </c>
      <c r="O1616" s="30">
        <f t="shared" si="154"/>
        <v>73</v>
      </c>
      <c r="P1616" s="30">
        <f t="shared" si="155"/>
        <v>10512</v>
      </c>
      <c r="Q1616" s="1">
        <f>COUNTIFS($P:$P, "&gt;" &amp; $P1616) + 1</f>
        <v>1726</v>
      </c>
      <c r="R1616" s="63">
        <f>(COUNTIFS($P:$P, "&gt;" &amp; $P1616) + 1) / (COUNTA($I:$I) - 1)</f>
        <v>0.34520000000000001</v>
      </c>
      <c r="S1616" s="23">
        <f>SUMIFS($P:$P, $Q:$Q, "&lt;" &amp; $Q1616)</f>
        <v>177492085</v>
      </c>
    </row>
    <row r="1617" spans="1:19" x14ac:dyDescent="0.25">
      <c r="A1617" s="1">
        <v>1612</v>
      </c>
      <c r="B1617" s="1" t="s">
        <v>2</v>
      </c>
      <c r="C1617" s="1" t="str">
        <f>IF($B1617 = "Production Item", _xlfn.XLOOKUP($A1617, 'Instrument Table'!$J:$J, 'Instrument Table'!$B:$B, $C1616), IF($B1617 = "Service Item", _xlfn.XLOOKUP($A1617, 'Instrument Table'!$I:$I, 'Instrument Table'!$B:$B, $C1616), _xlfn.XLOOKUP($A1617, 'Instrument Table'!$H:$H, 'Instrument Table'!$B:$B, $C1616)))</f>
        <v>Electric Guitar</v>
      </c>
      <c r="D1617" s="1" t="str">
        <f>VLOOKUP($C1617, 'Instrument Table'!$B:$C, 2, FALSE)</f>
        <v>Strings</v>
      </c>
      <c r="E1617" s="1">
        <f t="shared" si="150"/>
        <v>1</v>
      </c>
      <c r="F1617" s="1">
        <f>_xlfn.XLOOKUP($C1617, 'Instrument Table'!$B:$B, 'Instrument Table'!$A:$A, "")</f>
        <v>25</v>
      </c>
      <c r="G1617" s="1" t="str">
        <f>TEXT(IF($B1617 = "Retail Item", IF((ROW($A1617) - 4504 - _xlfn.XMATCH($C1617, $C$4506:$C$5005, 0, 1)) &lt;= VLOOKUP($C1617, 'Instrument Table'!$B:$D, 3, FALSE), ROW($A1617) - 4504 - _xlfn.XMATCH($C1617, $C$4506:$C$5005, 0, 1), 0), 0), "00")</f>
        <v>00</v>
      </c>
      <c r="H1617" s="1" t="str">
        <f t="shared" si="151"/>
        <v>061</v>
      </c>
      <c r="I1617" s="1" t="str">
        <f t="shared" si="152"/>
        <v>12500-061</v>
      </c>
      <c r="J1617" s="1" t="str">
        <f t="shared" si="153"/>
        <v>Electric guitar production item #061</v>
      </c>
      <c r="K1617" s="1" t="str">
        <f>IF(SUM(COUNTIFS(I:I, I1617)) &gt; 1, "DUPLICATE", "UNIQUE")</f>
        <v>UNIQUE</v>
      </c>
      <c r="L1617" s="18">
        <v>0</v>
      </c>
      <c r="M1617" s="28">
        <v>31</v>
      </c>
      <c r="N1617" s="6">
        <v>289</v>
      </c>
      <c r="O1617" s="30">
        <f t="shared" si="154"/>
        <v>0</v>
      </c>
      <c r="P1617" s="30">
        <f t="shared" si="155"/>
        <v>8959</v>
      </c>
      <c r="Q1617" s="1">
        <f>COUNTIFS($P:$P, "&gt;" &amp; $P1617) + 1</f>
        <v>1869</v>
      </c>
      <c r="R1617" s="63">
        <f>(COUNTIFS($P:$P, "&gt;" &amp; $P1617) + 1) / (COUNTA($I:$I) - 1)</f>
        <v>0.37380000000000002</v>
      </c>
      <c r="S1617" s="23">
        <f>SUMIFS($P:$P, $Q:$Q, "&lt;" &amp; $Q1617)</f>
        <v>178887373</v>
      </c>
    </row>
    <row r="1618" spans="1:19" x14ac:dyDescent="0.25">
      <c r="A1618" s="1">
        <v>1613</v>
      </c>
      <c r="B1618" s="1" t="s">
        <v>2</v>
      </c>
      <c r="C1618" s="1" t="str">
        <f>IF($B1618 = "Production Item", _xlfn.XLOOKUP($A1618, 'Instrument Table'!$J:$J, 'Instrument Table'!$B:$B, $C1617), IF($B1618 = "Service Item", _xlfn.XLOOKUP($A1618, 'Instrument Table'!$I:$I, 'Instrument Table'!$B:$B, $C1617), _xlfn.XLOOKUP($A1618, 'Instrument Table'!$H:$H, 'Instrument Table'!$B:$B, $C1617)))</f>
        <v>Electric Guitar</v>
      </c>
      <c r="D1618" s="1" t="str">
        <f>VLOOKUP($C1618, 'Instrument Table'!$B:$C, 2, FALSE)</f>
        <v>Strings</v>
      </c>
      <c r="E1618" s="1">
        <f t="shared" si="150"/>
        <v>1</v>
      </c>
      <c r="F1618" s="1">
        <f>_xlfn.XLOOKUP($C1618, 'Instrument Table'!$B:$B, 'Instrument Table'!$A:$A, "")</f>
        <v>25</v>
      </c>
      <c r="G1618" s="1" t="str">
        <f>TEXT(IF($B1618 = "Retail Item", IF((ROW($A1618) - 4504 - _xlfn.XMATCH($C1618, $C$4506:$C$5005, 0, 1)) &lt;= VLOOKUP($C1618, 'Instrument Table'!$B:$D, 3, FALSE), ROW($A1618) - 4504 - _xlfn.XMATCH($C1618, $C$4506:$C$5005, 0, 1), 0), 0), "00")</f>
        <v>00</v>
      </c>
      <c r="H1618" s="1" t="str">
        <f t="shared" si="151"/>
        <v>062</v>
      </c>
      <c r="I1618" s="1" t="str">
        <f t="shared" si="152"/>
        <v>12500-062</v>
      </c>
      <c r="J1618" s="1" t="str">
        <f t="shared" si="153"/>
        <v>Electric guitar production item #062</v>
      </c>
      <c r="K1618" s="1" t="str">
        <f>IF(SUM(COUNTIFS(I:I, I1618)) &gt; 1, "DUPLICATE", "UNIQUE")</f>
        <v>UNIQUE</v>
      </c>
      <c r="L1618" s="18">
        <v>32</v>
      </c>
      <c r="M1618" s="28">
        <v>9</v>
      </c>
      <c r="N1618" s="6">
        <v>9</v>
      </c>
      <c r="O1618" s="30">
        <f t="shared" si="154"/>
        <v>288</v>
      </c>
      <c r="P1618" s="30">
        <f t="shared" si="155"/>
        <v>81</v>
      </c>
      <c r="Q1618" s="1">
        <f>COUNTIFS($P:$P, "&gt;" &amp; $P1618) + 1</f>
        <v>4505</v>
      </c>
      <c r="R1618" s="63">
        <f>(COUNTIFS($P:$P, "&gt;" &amp; $P1618) + 1) / (COUNTA($I:$I) - 1)</f>
        <v>0.90100000000000002</v>
      </c>
      <c r="S1618" s="23">
        <f>SUMIFS($P:$P, $Q:$Q, "&lt;" &amp; $Q1618)</f>
        <v>186537273</v>
      </c>
    </row>
    <row r="1619" spans="1:19" x14ac:dyDescent="0.25">
      <c r="A1619" s="1">
        <v>1614</v>
      </c>
      <c r="B1619" s="1" t="s">
        <v>2</v>
      </c>
      <c r="C1619" s="1" t="str">
        <f>IF($B1619 = "Production Item", _xlfn.XLOOKUP($A1619, 'Instrument Table'!$J:$J, 'Instrument Table'!$B:$B, $C1618), IF($B1619 = "Service Item", _xlfn.XLOOKUP($A1619, 'Instrument Table'!$I:$I, 'Instrument Table'!$B:$B, $C1618), _xlfn.XLOOKUP($A1619, 'Instrument Table'!$H:$H, 'Instrument Table'!$B:$B, $C1618)))</f>
        <v>Electric Guitar</v>
      </c>
      <c r="D1619" s="1" t="str">
        <f>VLOOKUP($C1619, 'Instrument Table'!$B:$C, 2, FALSE)</f>
        <v>Strings</v>
      </c>
      <c r="E1619" s="1">
        <f t="shared" si="150"/>
        <v>1</v>
      </c>
      <c r="F1619" s="1">
        <f>_xlfn.XLOOKUP($C1619, 'Instrument Table'!$B:$B, 'Instrument Table'!$A:$A, "")</f>
        <v>25</v>
      </c>
      <c r="G1619" s="1" t="str">
        <f>TEXT(IF($B1619 = "Retail Item", IF((ROW($A1619) - 4504 - _xlfn.XMATCH($C1619, $C$4506:$C$5005, 0, 1)) &lt;= VLOOKUP($C1619, 'Instrument Table'!$B:$D, 3, FALSE), ROW($A1619) - 4504 - _xlfn.XMATCH($C1619, $C$4506:$C$5005, 0, 1), 0), 0), "00")</f>
        <v>00</v>
      </c>
      <c r="H1619" s="1" t="str">
        <f t="shared" si="151"/>
        <v>063</v>
      </c>
      <c r="I1619" s="1" t="str">
        <f t="shared" si="152"/>
        <v>12500-063</v>
      </c>
      <c r="J1619" s="1" t="str">
        <f t="shared" si="153"/>
        <v>Electric guitar production item #063</v>
      </c>
      <c r="K1619" s="1" t="str">
        <f>IF(SUM(COUNTIFS(I:I, I1619)) &gt; 1, "DUPLICATE", "UNIQUE")</f>
        <v>UNIQUE</v>
      </c>
      <c r="L1619" s="18">
        <v>8</v>
      </c>
      <c r="M1619" s="28">
        <v>77</v>
      </c>
      <c r="N1619" s="6">
        <v>400</v>
      </c>
      <c r="O1619" s="30">
        <f t="shared" si="154"/>
        <v>616</v>
      </c>
      <c r="P1619" s="30">
        <f t="shared" si="155"/>
        <v>30800</v>
      </c>
      <c r="Q1619" s="1">
        <f>COUNTIFS($P:$P, "&gt;" &amp; $P1619) + 1</f>
        <v>676</v>
      </c>
      <c r="R1619" s="63">
        <f>(COUNTIFS($P:$P, "&gt;" &amp; $P1619) + 1) / (COUNTA($I:$I) - 1)</f>
        <v>0.13519999999999999</v>
      </c>
      <c r="S1619" s="23">
        <f>SUMIFS($P:$P, $Q:$Q, "&lt;" &amp; $Q1619)</f>
        <v>158362274</v>
      </c>
    </row>
    <row r="1620" spans="1:19" x14ac:dyDescent="0.25">
      <c r="A1620" s="1">
        <v>1615</v>
      </c>
      <c r="B1620" s="1" t="s">
        <v>2</v>
      </c>
      <c r="C1620" s="1" t="str">
        <f>IF($B1620 = "Production Item", _xlfn.XLOOKUP($A1620, 'Instrument Table'!$J:$J, 'Instrument Table'!$B:$B, $C1619), IF($B1620 = "Service Item", _xlfn.XLOOKUP($A1620, 'Instrument Table'!$I:$I, 'Instrument Table'!$B:$B, $C1619), _xlfn.XLOOKUP($A1620, 'Instrument Table'!$H:$H, 'Instrument Table'!$B:$B, $C1619)))</f>
        <v>Electric Guitar</v>
      </c>
      <c r="D1620" s="1" t="str">
        <f>VLOOKUP($C1620, 'Instrument Table'!$B:$C, 2, FALSE)</f>
        <v>Strings</v>
      </c>
      <c r="E1620" s="1">
        <f t="shared" si="150"/>
        <v>1</v>
      </c>
      <c r="F1620" s="1">
        <f>_xlfn.XLOOKUP($C1620, 'Instrument Table'!$B:$B, 'Instrument Table'!$A:$A, "")</f>
        <v>25</v>
      </c>
      <c r="G1620" s="1" t="str">
        <f>TEXT(IF($B1620 = "Retail Item", IF((ROW($A1620) - 4504 - _xlfn.XMATCH($C1620, $C$4506:$C$5005, 0, 1)) &lt;= VLOOKUP($C1620, 'Instrument Table'!$B:$D, 3, FALSE), ROW($A1620) - 4504 - _xlfn.XMATCH($C1620, $C$4506:$C$5005, 0, 1), 0), 0), "00")</f>
        <v>00</v>
      </c>
      <c r="H1620" s="1" t="str">
        <f t="shared" si="151"/>
        <v>064</v>
      </c>
      <c r="I1620" s="1" t="str">
        <f t="shared" si="152"/>
        <v>12500-064</v>
      </c>
      <c r="J1620" s="1" t="str">
        <f t="shared" si="153"/>
        <v>Electric guitar production item #064</v>
      </c>
      <c r="K1620" s="1" t="str">
        <f>IF(SUM(COUNTIFS(I:I, I1620)) &gt; 1, "DUPLICATE", "UNIQUE")</f>
        <v>UNIQUE</v>
      </c>
      <c r="L1620" s="18">
        <v>16</v>
      </c>
      <c r="M1620" s="28">
        <v>75</v>
      </c>
      <c r="N1620" s="6">
        <v>400</v>
      </c>
      <c r="O1620" s="30">
        <f t="shared" si="154"/>
        <v>1200</v>
      </c>
      <c r="P1620" s="30">
        <f t="shared" si="155"/>
        <v>30000</v>
      </c>
      <c r="Q1620" s="1">
        <f>COUNTIFS($P:$P, "&gt;" &amp; $P1620) + 1</f>
        <v>688</v>
      </c>
      <c r="R1620" s="63">
        <f>(COUNTIFS($P:$P, "&gt;" &amp; $P1620) + 1) / (COUNTA($I:$I) - 1)</f>
        <v>0.1376</v>
      </c>
      <c r="S1620" s="23">
        <f>SUMIFS($P:$P, $Q:$Q, "&lt;" &amp; $Q1620)</f>
        <v>158728505</v>
      </c>
    </row>
    <row r="1621" spans="1:19" x14ac:dyDescent="0.25">
      <c r="A1621" s="1">
        <v>1616</v>
      </c>
      <c r="B1621" s="1" t="s">
        <v>2</v>
      </c>
      <c r="C1621" s="1" t="str">
        <f>IF($B1621 = "Production Item", _xlfn.XLOOKUP($A1621, 'Instrument Table'!$J:$J, 'Instrument Table'!$B:$B, $C1620), IF($B1621 = "Service Item", _xlfn.XLOOKUP($A1621, 'Instrument Table'!$I:$I, 'Instrument Table'!$B:$B, $C1620), _xlfn.XLOOKUP($A1621, 'Instrument Table'!$H:$H, 'Instrument Table'!$B:$B, $C1620)))</f>
        <v>Electric Guitar</v>
      </c>
      <c r="D1621" s="1" t="str">
        <f>VLOOKUP($C1621, 'Instrument Table'!$B:$C, 2, FALSE)</f>
        <v>Strings</v>
      </c>
      <c r="E1621" s="1">
        <f t="shared" si="150"/>
        <v>1</v>
      </c>
      <c r="F1621" s="1">
        <f>_xlfn.XLOOKUP($C1621, 'Instrument Table'!$B:$B, 'Instrument Table'!$A:$A, "")</f>
        <v>25</v>
      </c>
      <c r="G1621" s="1" t="str">
        <f>TEXT(IF($B1621 = "Retail Item", IF((ROW($A1621) - 4504 - _xlfn.XMATCH($C1621, $C$4506:$C$5005, 0, 1)) &lt;= VLOOKUP($C1621, 'Instrument Table'!$B:$D, 3, FALSE), ROW($A1621) - 4504 - _xlfn.XMATCH($C1621, $C$4506:$C$5005, 0, 1), 0), 0), "00")</f>
        <v>00</v>
      </c>
      <c r="H1621" s="1" t="str">
        <f t="shared" si="151"/>
        <v>065</v>
      </c>
      <c r="I1621" s="1" t="str">
        <f t="shared" si="152"/>
        <v>12500-065</v>
      </c>
      <c r="J1621" s="1" t="str">
        <f t="shared" si="153"/>
        <v>Electric guitar production item #065</v>
      </c>
      <c r="K1621" s="1" t="str">
        <f>IF(SUM(COUNTIFS(I:I, I1621)) &gt; 1, "DUPLICATE", "UNIQUE")</f>
        <v>UNIQUE</v>
      </c>
      <c r="L1621" s="18">
        <v>32</v>
      </c>
      <c r="M1621" s="28">
        <v>27</v>
      </c>
      <c r="N1621" s="6">
        <v>196</v>
      </c>
      <c r="O1621" s="30">
        <f t="shared" si="154"/>
        <v>864</v>
      </c>
      <c r="P1621" s="30">
        <f t="shared" si="155"/>
        <v>5292</v>
      </c>
      <c r="Q1621" s="1">
        <f>COUNTIFS($P:$P, "&gt;" &amp; $P1621) + 1</f>
        <v>2390</v>
      </c>
      <c r="R1621" s="63">
        <f>(COUNTIFS($P:$P, "&gt;" &amp; $P1621) + 1) / (COUNTA($I:$I) - 1)</f>
        <v>0.47799999999999998</v>
      </c>
      <c r="S1621" s="23">
        <f>SUMIFS($P:$P, $Q:$Q, "&lt;" &amp; $Q1621)</f>
        <v>182563941</v>
      </c>
    </row>
    <row r="1622" spans="1:19" x14ac:dyDescent="0.25">
      <c r="A1622" s="1">
        <v>1617</v>
      </c>
      <c r="B1622" s="1" t="s">
        <v>2</v>
      </c>
      <c r="C1622" s="1" t="str">
        <f>IF($B1622 = "Production Item", _xlfn.XLOOKUP($A1622, 'Instrument Table'!$J:$J, 'Instrument Table'!$B:$B, $C1621), IF($B1622 = "Service Item", _xlfn.XLOOKUP($A1622, 'Instrument Table'!$I:$I, 'Instrument Table'!$B:$B, $C1621), _xlfn.XLOOKUP($A1622, 'Instrument Table'!$H:$H, 'Instrument Table'!$B:$B, $C1621)))</f>
        <v>Electric Guitar</v>
      </c>
      <c r="D1622" s="1" t="str">
        <f>VLOOKUP($C1622, 'Instrument Table'!$B:$C, 2, FALSE)</f>
        <v>Strings</v>
      </c>
      <c r="E1622" s="1">
        <f t="shared" si="150"/>
        <v>1</v>
      </c>
      <c r="F1622" s="1">
        <f>_xlfn.XLOOKUP($C1622, 'Instrument Table'!$B:$B, 'Instrument Table'!$A:$A, "")</f>
        <v>25</v>
      </c>
      <c r="G1622" s="1" t="str">
        <f>TEXT(IF($B1622 = "Retail Item", IF((ROW($A1622) - 4504 - _xlfn.XMATCH($C1622, $C$4506:$C$5005, 0, 1)) &lt;= VLOOKUP($C1622, 'Instrument Table'!$B:$D, 3, FALSE), ROW($A1622) - 4504 - _xlfn.XMATCH($C1622, $C$4506:$C$5005, 0, 1), 0), 0), "00")</f>
        <v>00</v>
      </c>
      <c r="H1622" s="1" t="str">
        <f t="shared" si="151"/>
        <v>066</v>
      </c>
      <c r="I1622" s="1" t="str">
        <f t="shared" si="152"/>
        <v>12500-066</v>
      </c>
      <c r="J1622" s="1" t="str">
        <f t="shared" si="153"/>
        <v>Electric guitar production item #066</v>
      </c>
      <c r="K1622" s="1" t="str">
        <f>IF(SUM(COUNTIFS(I:I, I1622)) &gt; 1, "DUPLICATE", "UNIQUE")</f>
        <v>UNIQUE</v>
      </c>
      <c r="L1622" s="18">
        <v>2</v>
      </c>
      <c r="M1622" s="28">
        <v>64</v>
      </c>
      <c r="N1622" s="6">
        <v>0</v>
      </c>
      <c r="O1622" s="30">
        <f t="shared" si="154"/>
        <v>128</v>
      </c>
      <c r="P1622" s="30">
        <f t="shared" si="155"/>
        <v>0</v>
      </c>
      <c r="Q1622" s="1">
        <f>COUNTIFS($P:$P, "&gt;" &amp; $P1622) + 1</f>
        <v>4746</v>
      </c>
      <c r="R1622" s="63">
        <f>(COUNTIFS($P:$P, "&gt;" &amp; $P1622) + 1) / (COUNTA($I:$I) - 1)</f>
        <v>0.94920000000000004</v>
      </c>
      <c r="S1622" s="23">
        <f>SUMIFS($P:$P, $Q:$Q, "&lt;" &amp; $Q1622)</f>
        <v>186547861</v>
      </c>
    </row>
    <row r="1623" spans="1:19" x14ac:dyDescent="0.25">
      <c r="A1623" s="1">
        <v>1618</v>
      </c>
      <c r="B1623" s="1" t="s">
        <v>2</v>
      </c>
      <c r="C1623" s="1" t="str">
        <f>IF($B1623 = "Production Item", _xlfn.XLOOKUP($A1623, 'Instrument Table'!$J:$J, 'Instrument Table'!$B:$B, $C1622), IF($B1623 = "Service Item", _xlfn.XLOOKUP($A1623, 'Instrument Table'!$I:$I, 'Instrument Table'!$B:$B, $C1622), _xlfn.XLOOKUP($A1623, 'Instrument Table'!$H:$H, 'Instrument Table'!$B:$B, $C1622)))</f>
        <v>Electric Guitar</v>
      </c>
      <c r="D1623" s="1" t="str">
        <f>VLOOKUP($C1623, 'Instrument Table'!$B:$C, 2, FALSE)</f>
        <v>Strings</v>
      </c>
      <c r="E1623" s="1">
        <f t="shared" si="150"/>
        <v>1</v>
      </c>
      <c r="F1623" s="1">
        <f>_xlfn.XLOOKUP($C1623, 'Instrument Table'!$B:$B, 'Instrument Table'!$A:$A, "")</f>
        <v>25</v>
      </c>
      <c r="G1623" s="1" t="str">
        <f>TEXT(IF($B1623 = "Retail Item", IF((ROW($A1623) - 4504 - _xlfn.XMATCH($C1623, $C$4506:$C$5005, 0, 1)) &lt;= VLOOKUP($C1623, 'Instrument Table'!$B:$D, 3, FALSE), ROW($A1623) - 4504 - _xlfn.XMATCH($C1623, $C$4506:$C$5005, 0, 1), 0), 0), "00")</f>
        <v>00</v>
      </c>
      <c r="H1623" s="1" t="str">
        <f t="shared" si="151"/>
        <v>067</v>
      </c>
      <c r="I1623" s="1" t="str">
        <f t="shared" si="152"/>
        <v>12500-067</v>
      </c>
      <c r="J1623" s="1" t="str">
        <f t="shared" si="153"/>
        <v>Electric guitar production item #067</v>
      </c>
      <c r="K1623" s="1" t="str">
        <f>IF(SUM(COUNTIFS(I:I, I1623)) &gt; 1, "DUPLICATE", "UNIQUE")</f>
        <v>UNIQUE</v>
      </c>
      <c r="L1623" s="18">
        <v>8</v>
      </c>
      <c r="M1623" s="28">
        <v>69</v>
      </c>
      <c r="N1623" s="6">
        <v>25</v>
      </c>
      <c r="O1623" s="30">
        <f t="shared" si="154"/>
        <v>552</v>
      </c>
      <c r="P1623" s="30">
        <f t="shared" si="155"/>
        <v>1725</v>
      </c>
      <c r="Q1623" s="1">
        <f>COUNTIFS($P:$P, "&gt;" &amp; $P1623) + 1</f>
        <v>3367</v>
      </c>
      <c r="R1623" s="63">
        <f>(COUNTIFS($P:$P, "&gt;" &amp; $P1623) + 1) / (COUNTA($I:$I) - 1)</f>
        <v>0.6734</v>
      </c>
      <c r="S1623" s="23">
        <f>SUMIFS($P:$P, $Q:$Q, "&lt;" &amp; $Q1623)</f>
        <v>185730133</v>
      </c>
    </row>
    <row r="1624" spans="1:19" x14ac:dyDescent="0.25">
      <c r="A1624" s="1">
        <v>1619</v>
      </c>
      <c r="B1624" s="1" t="s">
        <v>2</v>
      </c>
      <c r="C1624" s="1" t="str">
        <f>IF($B1624 = "Production Item", _xlfn.XLOOKUP($A1624, 'Instrument Table'!$J:$J, 'Instrument Table'!$B:$B, $C1623), IF($B1624 = "Service Item", _xlfn.XLOOKUP($A1624, 'Instrument Table'!$I:$I, 'Instrument Table'!$B:$B, $C1623), _xlfn.XLOOKUP($A1624, 'Instrument Table'!$H:$H, 'Instrument Table'!$B:$B, $C1623)))</f>
        <v>Electric Guitar</v>
      </c>
      <c r="D1624" s="1" t="str">
        <f>VLOOKUP($C1624, 'Instrument Table'!$B:$C, 2, FALSE)</f>
        <v>Strings</v>
      </c>
      <c r="E1624" s="1">
        <f t="shared" si="150"/>
        <v>1</v>
      </c>
      <c r="F1624" s="1">
        <f>_xlfn.XLOOKUP($C1624, 'Instrument Table'!$B:$B, 'Instrument Table'!$A:$A, "")</f>
        <v>25</v>
      </c>
      <c r="G1624" s="1" t="str">
        <f>TEXT(IF($B1624 = "Retail Item", IF((ROW($A1624) - 4504 - _xlfn.XMATCH($C1624, $C$4506:$C$5005, 0, 1)) &lt;= VLOOKUP($C1624, 'Instrument Table'!$B:$D, 3, FALSE), ROW($A1624) - 4504 - _xlfn.XMATCH($C1624, $C$4506:$C$5005, 0, 1), 0), 0), "00")</f>
        <v>00</v>
      </c>
      <c r="H1624" s="1" t="str">
        <f t="shared" si="151"/>
        <v>068</v>
      </c>
      <c r="I1624" s="1" t="str">
        <f t="shared" si="152"/>
        <v>12500-068</v>
      </c>
      <c r="J1624" s="1" t="str">
        <f t="shared" si="153"/>
        <v>Electric guitar production item #068</v>
      </c>
      <c r="K1624" s="1" t="str">
        <f>IF(SUM(COUNTIFS(I:I, I1624)) &gt; 1, "DUPLICATE", "UNIQUE")</f>
        <v>UNIQUE</v>
      </c>
      <c r="L1624" s="18">
        <v>0</v>
      </c>
      <c r="M1624" s="28">
        <v>33</v>
      </c>
      <c r="N1624" s="6">
        <v>81</v>
      </c>
      <c r="O1624" s="30">
        <f t="shared" si="154"/>
        <v>0</v>
      </c>
      <c r="P1624" s="30">
        <f t="shared" si="155"/>
        <v>2673</v>
      </c>
      <c r="Q1624" s="1">
        <f>COUNTIFS($P:$P, "&gt;" &amp; $P1624) + 1</f>
        <v>2990</v>
      </c>
      <c r="R1624" s="63">
        <f>(COUNTIFS($P:$P, "&gt;" &amp; $P1624) + 1) / (COUNTA($I:$I) - 1)</f>
        <v>0.59799999999999998</v>
      </c>
      <c r="S1624" s="23">
        <f>SUMIFS($P:$P, $Q:$Q, "&lt;" &amp; $Q1624)</f>
        <v>184905466</v>
      </c>
    </row>
    <row r="1625" spans="1:19" x14ac:dyDescent="0.25">
      <c r="A1625" s="1">
        <v>1620</v>
      </c>
      <c r="B1625" s="1" t="s">
        <v>2</v>
      </c>
      <c r="C1625" s="1" t="str">
        <f>IF($B1625 = "Production Item", _xlfn.XLOOKUP($A1625, 'Instrument Table'!$J:$J, 'Instrument Table'!$B:$B, $C1624), IF($B1625 = "Service Item", _xlfn.XLOOKUP($A1625, 'Instrument Table'!$I:$I, 'Instrument Table'!$B:$B, $C1624), _xlfn.XLOOKUP($A1625, 'Instrument Table'!$H:$H, 'Instrument Table'!$B:$B, $C1624)))</f>
        <v>Electric Guitar</v>
      </c>
      <c r="D1625" s="1" t="str">
        <f>VLOOKUP($C1625, 'Instrument Table'!$B:$C, 2, FALSE)</f>
        <v>Strings</v>
      </c>
      <c r="E1625" s="1">
        <f t="shared" si="150"/>
        <v>1</v>
      </c>
      <c r="F1625" s="1">
        <f>_xlfn.XLOOKUP($C1625, 'Instrument Table'!$B:$B, 'Instrument Table'!$A:$A, "")</f>
        <v>25</v>
      </c>
      <c r="G1625" s="1" t="str">
        <f>TEXT(IF($B1625 = "Retail Item", IF((ROW($A1625) - 4504 - _xlfn.XMATCH($C1625, $C$4506:$C$5005, 0, 1)) &lt;= VLOOKUP($C1625, 'Instrument Table'!$B:$D, 3, FALSE), ROW($A1625) - 4504 - _xlfn.XMATCH($C1625, $C$4506:$C$5005, 0, 1), 0), 0), "00")</f>
        <v>00</v>
      </c>
      <c r="H1625" s="1" t="str">
        <f t="shared" si="151"/>
        <v>069</v>
      </c>
      <c r="I1625" s="1" t="str">
        <f t="shared" si="152"/>
        <v>12500-069</v>
      </c>
      <c r="J1625" s="1" t="str">
        <f t="shared" si="153"/>
        <v>Electric guitar production item #069</v>
      </c>
      <c r="K1625" s="1" t="str">
        <f>IF(SUM(COUNTIFS(I:I, I1625)) &gt; 1, "DUPLICATE", "UNIQUE")</f>
        <v>UNIQUE</v>
      </c>
      <c r="L1625" s="18">
        <v>0</v>
      </c>
      <c r="M1625" s="28">
        <v>4</v>
      </c>
      <c r="N1625" s="6">
        <v>169</v>
      </c>
      <c r="O1625" s="30">
        <f t="shared" si="154"/>
        <v>0</v>
      </c>
      <c r="P1625" s="30">
        <f t="shared" si="155"/>
        <v>676</v>
      </c>
      <c r="Q1625" s="1">
        <f>COUNTIFS($P:$P, "&gt;" &amp; $P1625) + 1</f>
        <v>3893</v>
      </c>
      <c r="R1625" s="63">
        <f>(COUNTIFS($P:$P, "&gt;" &amp; $P1625) + 1) / (COUNTA($I:$I) - 1)</f>
        <v>0.77859999999999996</v>
      </c>
      <c r="S1625" s="23">
        <f>SUMIFS($P:$P, $Q:$Q, "&lt;" &amp; $Q1625)</f>
        <v>186334128</v>
      </c>
    </row>
    <row r="1626" spans="1:19" x14ac:dyDescent="0.25">
      <c r="A1626" s="1">
        <v>1621</v>
      </c>
      <c r="B1626" s="1" t="s">
        <v>2</v>
      </c>
      <c r="C1626" s="1" t="str">
        <f>IF($B1626 = "Production Item", _xlfn.XLOOKUP($A1626, 'Instrument Table'!$J:$J, 'Instrument Table'!$B:$B, $C1625), IF($B1626 = "Service Item", _xlfn.XLOOKUP($A1626, 'Instrument Table'!$I:$I, 'Instrument Table'!$B:$B, $C1625), _xlfn.XLOOKUP($A1626, 'Instrument Table'!$H:$H, 'Instrument Table'!$B:$B, $C1625)))</f>
        <v>Electric Guitar</v>
      </c>
      <c r="D1626" s="1" t="str">
        <f>VLOOKUP($C1626, 'Instrument Table'!$B:$C, 2, FALSE)</f>
        <v>Strings</v>
      </c>
      <c r="E1626" s="1">
        <f t="shared" si="150"/>
        <v>1</v>
      </c>
      <c r="F1626" s="1">
        <f>_xlfn.XLOOKUP($C1626, 'Instrument Table'!$B:$B, 'Instrument Table'!$A:$A, "")</f>
        <v>25</v>
      </c>
      <c r="G1626" s="1" t="str">
        <f>TEXT(IF($B1626 = "Retail Item", IF((ROW($A1626) - 4504 - _xlfn.XMATCH($C1626, $C$4506:$C$5005, 0, 1)) &lt;= VLOOKUP($C1626, 'Instrument Table'!$B:$D, 3, FALSE), ROW($A1626) - 4504 - _xlfn.XMATCH($C1626, $C$4506:$C$5005, 0, 1), 0), 0), "00")</f>
        <v>00</v>
      </c>
      <c r="H1626" s="1" t="str">
        <f t="shared" si="151"/>
        <v>070</v>
      </c>
      <c r="I1626" s="1" t="str">
        <f t="shared" si="152"/>
        <v>12500-070</v>
      </c>
      <c r="J1626" s="1" t="str">
        <f t="shared" si="153"/>
        <v>Electric guitar production item #070</v>
      </c>
      <c r="K1626" s="1" t="str">
        <f>IF(SUM(COUNTIFS(I:I, I1626)) &gt; 1, "DUPLICATE", "UNIQUE")</f>
        <v>UNIQUE</v>
      </c>
      <c r="L1626" s="18">
        <v>16</v>
      </c>
      <c r="M1626" s="28">
        <v>88</v>
      </c>
      <c r="N1626" s="6">
        <v>4</v>
      </c>
      <c r="O1626" s="30">
        <f t="shared" si="154"/>
        <v>1408</v>
      </c>
      <c r="P1626" s="30">
        <f t="shared" si="155"/>
        <v>352</v>
      </c>
      <c r="Q1626" s="1">
        <f>COUNTIFS($P:$P, "&gt;" &amp; $P1626) + 1</f>
        <v>4147</v>
      </c>
      <c r="R1626" s="63">
        <f>(COUNTIFS($P:$P, "&gt;" &amp; $P1626) + 1) / (COUNTA($I:$I) - 1)</f>
        <v>0.82940000000000003</v>
      </c>
      <c r="S1626" s="23">
        <f>SUMIFS($P:$P, $Q:$Q, "&lt;" &amp; $Q1626)</f>
        <v>186462669</v>
      </c>
    </row>
    <row r="1627" spans="1:19" x14ac:dyDescent="0.25">
      <c r="A1627" s="1">
        <v>1622</v>
      </c>
      <c r="B1627" s="1" t="s">
        <v>2</v>
      </c>
      <c r="C1627" s="1" t="str">
        <f>IF($B1627 = "Production Item", _xlfn.XLOOKUP($A1627, 'Instrument Table'!$J:$J, 'Instrument Table'!$B:$B, $C1626), IF($B1627 = "Service Item", _xlfn.XLOOKUP($A1627, 'Instrument Table'!$I:$I, 'Instrument Table'!$B:$B, $C1626), _xlfn.XLOOKUP($A1627, 'Instrument Table'!$H:$H, 'Instrument Table'!$B:$B, $C1626)))</f>
        <v>Electric Guitar</v>
      </c>
      <c r="D1627" s="1" t="str">
        <f>VLOOKUP($C1627, 'Instrument Table'!$B:$C, 2, FALSE)</f>
        <v>Strings</v>
      </c>
      <c r="E1627" s="1">
        <f t="shared" si="150"/>
        <v>1</v>
      </c>
      <c r="F1627" s="1">
        <f>_xlfn.XLOOKUP($C1627, 'Instrument Table'!$B:$B, 'Instrument Table'!$A:$A, "")</f>
        <v>25</v>
      </c>
      <c r="G1627" s="1" t="str">
        <f>TEXT(IF($B1627 = "Retail Item", IF((ROW($A1627) - 4504 - _xlfn.XMATCH($C1627, $C$4506:$C$5005, 0, 1)) &lt;= VLOOKUP($C1627, 'Instrument Table'!$B:$D, 3, FALSE), ROW($A1627) - 4504 - _xlfn.XMATCH($C1627, $C$4506:$C$5005, 0, 1), 0), 0), "00")</f>
        <v>00</v>
      </c>
      <c r="H1627" s="1" t="str">
        <f t="shared" si="151"/>
        <v>071</v>
      </c>
      <c r="I1627" s="1" t="str">
        <f t="shared" si="152"/>
        <v>12500-071</v>
      </c>
      <c r="J1627" s="1" t="str">
        <f t="shared" si="153"/>
        <v>Electric guitar production item #071</v>
      </c>
      <c r="K1627" s="1" t="str">
        <f>IF(SUM(COUNTIFS(I:I, I1627)) &gt; 1, "DUPLICATE", "UNIQUE")</f>
        <v>UNIQUE</v>
      </c>
      <c r="L1627" s="18">
        <v>0</v>
      </c>
      <c r="M1627" s="28">
        <v>80</v>
      </c>
      <c r="N1627" s="6">
        <v>196</v>
      </c>
      <c r="O1627" s="30">
        <f t="shared" si="154"/>
        <v>0</v>
      </c>
      <c r="P1627" s="30">
        <f t="shared" si="155"/>
        <v>15680</v>
      </c>
      <c r="Q1627" s="1">
        <f>COUNTIFS($P:$P, "&gt;" &amp; $P1627) + 1</f>
        <v>1301</v>
      </c>
      <c r="R1627" s="63">
        <f>(COUNTIFS($P:$P, "&gt;" &amp; $P1627) + 1) / (COUNTA($I:$I) - 1)</f>
        <v>0.26019999999999999</v>
      </c>
      <c r="S1627" s="23">
        <f>SUMIFS($P:$P, $Q:$Q, "&lt;" &amp; $Q1627)</f>
        <v>171989605</v>
      </c>
    </row>
    <row r="1628" spans="1:19" x14ac:dyDescent="0.25">
      <c r="A1628" s="1">
        <v>1623</v>
      </c>
      <c r="B1628" s="1" t="s">
        <v>2</v>
      </c>
      <c r="C1628" s="1" t="str">
        <f>IF($B1628 = "Production Item", _xlfn.XLOOKUP($A1628, 'Instrument Table'!$J:$J, 'Instrument Table'!$B:$B, $C1627), IF($B1628 = "Service Item", _xlfn.XLOOKUP($A1628, 'Instrument Table'!$I:$I, 'Instrument Table'!$B:$B, $C1627), _xlfn.XLOOKUP($A1628, 'Instrument Table'!$H:$H, 'Instrument Table'!$B:$B, $C1627)))</f>
        <v>Electric Guitar</v>
      </c>
      <c r="D1628" s="1" t="str">
        <f>VLOOKUP($C1628, 'Instrument Table'!$B:$C, 2, FALSE)</f>
        <v>Strings</v>
      </c>
      <c r="E1628" s="1">
        <f t="shared" si="150"/>
        <v>1</v>
      </c>
      <c r="F1628" s="1">
        <f>_xlfn.XLOOKUP($C1628, 'Instrument Table'!$B:$B, 'Instrument Table'!$A:$A, "")</f>
        <v>25</v>
      </c>
      <c r="G1628" s="1" t="str">
        <f>TEXT(IF($B1628 = "Retail Item", IF((ROW($A1628) - 4504 - _xlfn.XMATCH($C1628, $C$4506:$C$5005, 0, 1)) &lt;= VLOOKUP($C1628, 'Instrument Table'!$B:$D, 3, FALSE), ROW($A1628) - 4504 - _xlfn.XMATCH($C1628, $C$4506:$C$5005, 0, 1), 0), 0), "00")</f>
        <v>00</v>
      </c>
      <c r="H1628" s="1" t="str">
        <f t="shared" si="151"/>
        <v>072</v>
      </c>
      <c r="I1628" s="1" t="str">
        <f t="shared" si="152"/>
        <v>12500-072</v>
      </c>
      <c r="J1628" s="1" t="str">
        <f t="shared" si="153"/>
        <v>Electric guitar production item #072</v>
      </c>
      <c r="K1628" s="1" t="str">
        <f>IF(SUM(COUNTIFS(I:I, I1628)) &gt; 1, "DUPLICATE", "UNIQUE")</f>
        <v>UNIQUE</v>
      </c>
      <c r="L1628" s="18">
        <v>0</v>
      </c>
      <c r="M1628" s="28">
        <v>98</v>
      </c>
      <c r="N1628" s="6">
        <v>225</v>
      </c>
      <c r="O1628" s="30">
        <f t="shared" si="154"/>
        <v>0</v>
      </c>
      <c r="P1628" s="30">
        <f t="shared" si="155"/>
        <v>22050</v>
      </c>
      <c r="Q1628" s="1">
        <f>COUNTIFS($P:$P, "&gt;" &amp; $P1628) + 1</f>
        <v>947</v>
      </c>
      <c r="R1628" s="63">
        <f>(COUNTIFS($P:$P, "&gt;" &amp; $P1628) + 1) / (COUNTA($I:$I) - 1)</f>
        <v>0.18940000000000001</v>
      </c>
      <c r="S1628" s="23">
        <f>SUMIFS($P:$P, $Q:$Q, "&lt;" &amp; $Q1628)</f>
        <v>165343282</v>
      </c>
    </row>
    <row r="1629" spans="1:19" x14ac:dyDescent="0.25">
      <c r="A1629" s="1">
        <v>1624</v>
      </c>
      <c r="B1629" s="1" t="s">
        <v>2</v>
      </c>
      <c r="C1629" s="1" t="str">
        <f>IF($B1629 = "Production Item", _xlfn.XLOOKUP($A1629, 'Instrument Table'!$J:$J, 'Instrument Table'!$B:$B, $C1628), IF($B1629 = "Service Item", _xlfn.XLOOKUP($A1629, 'Instrument Table'!$I:$I, 'Instrument Table'!$B:$B, $C1628), _xlfn.XLOOKUP($A1629, 'Instrument Table'!$H:$H, 'Instrument Table'!$B:$B, $C1628)))</f>
        <v>Electric Guitar</v>
      </c>
      <c r="D1629" s="1" t="str">
        <f>VLOOKUP($C1629, 'Instrument Table'!$B:$C, 2, FALSE)</f>
        <v>Strings</v>
      </c>
      <c r="E1629" s="1">
        <f t="shared" si="150"/>
        <v>1</v>
      </c>
      <c r="F1629" s="1">
        <f>_xlfn.XLOOKUP($C1629, 'Instrument Table'!$B:$B, 'Instrument Table'!$A:$A, "")</f>
        <v>25</v>
      </c>
      <c r="G1629" s="1" t="str">
        <f>TEXT(IF($B1629 = "Retail Item", IF((ROW($A1629) - 4504 - _xlfn.XMATCH($C1629, $C$4506:$C$5005, 0, 1)) &lt;= VLOOKUP($C1629, 'Instrument Table'!$B:$D, 3, FALSE), ROW($A1629) - 4504 - _xlfn.XMATCH($C1629, $C$4506:$C$5005, 0, 1), 0), 0), "00")</f>
        <v>00</v>
      </c>
      <c r="H1629" s="1" t="str">
        <f t="shared" si="151"/>
        <v>073</v>
      </c>
      <c r="I1629" s="1" t="str">
        <f t="shared" si="152"/>
        <v>12500-073</v>
      </c>
      <c r="J1629" s="1" t="str">
        <f t="shared" si="153"/>
        <v>Electric guitar production item #073</v>
      </c>
      <c r="K1629" s="1" t="str">
        <f>IF(SUM(COUNTIFS(I:I, I1629)) &gt; 1, "DUPLICATE", "UNIQUE")</f>
        <v>UNIQUE</v>
      </c>
      <c r="L1629" s="18">
        <v>32</v>
      </c>
      <c r="M1629" s="28">
        <v>55</v>
      </c>
      <c r="N1629" s="6">
        <v>16</v>
      </c>
      <c r="O1629" s="30">
        <f t="shared" si="154"/>
        <v>1760</v>
      </c>
      <c r="P1629" s="30">
        <f t="shared" si="155"/>
        <v>880</v>
      </c>
      <c r="Q1629" s="1">
        <f>COUNTIFS($P:$P, "&gt;" &amp; $P1629) + 1</f>
        <v>3738</v>
      </c>
      <c r="R1629" s="63">
        <f>(COUNTIFS($P:$P, "&gt;" &amp; $P1629) + 1) / (COUNTA($I:$I) - 1)</f>
        <v>0.74760000000000004</v>
      </c>
      <c r="S1629" s="23">
        <f>SUMIFS($P:$P, $Q:$Q, "&lt;" &amp; $Q1629)</f>
        <v>186213678</v>
      </c>
    </row>
    <row r="1630" spans="1:19" x14ac:dyDescent="0.25">
      <c r="A1630" s="1">
        <v>1625</v>
      </c>
      <c r="B1630" s="1" t="s">
        <v>2</v>
      </c>
      <c r="C1630" s="1" t="str">
        <f>IF($B1630 = "Production Item", _xlfn.XLOOKUP($A1630, 'Instrument Table'!$J:$J, 'Instrument Table'!$B:$B, $C1629), IF($B1630 = "Service Item", _xlfn.XLOOKUP($A1630, 'Instrument Table'!$I:$I, 'Instrument Table'!$B:$B, $C1629), _xlfn.XLOOKUP($A1630, 'Instrument Table'!$H:$H, 'Instrument Table'!$B:$B, $C1629)))</f>
        <v>Electric Guitar</v>
      </c>
      <c r="D1630" s="1" t="str">
        <f>VLOOKUP($C1630, 'Instrument Table'!$B:$C, 2, FALSE)</f>
        <v>Strings</v>
      </c>
      <c r="E1630" s="1">
        <f t="shared" si="150"/>
        <v>1</v>
      </c>
      <c r="F1630" s="1">
        <f>_xlfn.XLOOKUP($C1630, 'Instrument Table'!$B:$B, 'Instrument Table'!$A:$A, "")</f>
        <v>25</v>
      </c>
      <c r="G1630" s="1" t="str">
        <f>TEXT(IF($B1630 = "Retail Item", IF((ROW($A1630) - 4504 - _xlfn.XMATCH($C1630, $C$4506:$C$5005, 0, 1)) &lt;= VLOOKUP($C1630, 'Instrument Table'!$B:$D, 3, FALSE), ROW($A1630) - 4504 - _xlfn.XMATCH($C1630, $C$4506:$C$5005, 0, 1), 0), 0), "00")</f>
        <v>00</v>
      </c>
      <c r="H1630" s="1" t="str">
        <f t="shared" si="151"/>
        <v>074</v>
      </c>
      <c r="I1630" s="1" t="str">
        <f t="shared" si="152"/>
        <v>12500-074</v>
      </c>
      <c r="J1630" s="1" t="str">
        <f t="shared" si="153"/>
        <v>Electric guitar production item #074</v>
      </c>
      <c r="K1630" s="1" t="str">
        <f>IF(SUM(COUNTIFS(I:I, I1630)) &gt; 1, "DUPLICATE", "UNIQUE")</f>
        <v>UNIQUE</v>
      </c>
      <c r="L1630" s="18">
        <v>0</v>
      </c>
      <c r="M1630" s="28">
        <v>53</v>
      </c>
      <c r="N1630" s="6">
        <v>169</v>
      </c>
      <c r="O1630" s="30">
        <f t="shared" si="154"/>
        <v>0</v>
      </c>
      <c r="P1630" s="30">
        <f t="shared" si="155"/>
        <v>8957</v>
      </c>
      <c r="Q1630" s="1">
        <f>COUNTIFS($P:$P, "&gt;" &amp; $P1630) + 1</f>
        <v>1875</v>
      </c>
      <c r="R1630" s="63">
        <f>(COUNTIFS($P:$P, "&gt;" &amp; $P1630) + 1) / (COUNTA($I:$I) - 1)</f>
        <v>0.375</v>
      </c>
      <c r="S1630" s="23">
        <f>SUMIFS($P:$P, $Q:$Q, "&lt;" &amp; $Q1630)</f>
        <v>178941127</v>
      </c>
    </row>
    <row r="1631" spans="1:19" x14ac:dyDescent="0.25">
      <c r="A1631" s="1">
        <v>1626</v>
      </c>
      <c r="B1631" s="1" t="s">
        <v>2</v>
      </c>
      <c r="C1631" s="1" t="str">
        <f>IF($B1631 = "Production Item", _xlfn.XLOOKUP($A1631, 'Instrument Table'!$J:$J, 'Instrument Table'!$B:$B, $C1630), IF($B1631 = "Service Item", _xlfn.XLOOKUP($A1631, 'Instrument Table'!$I:$I, 'Instrument Table'!$B:$B, $C1630), _xlfn.XLOOKUP($A1631, 'Instrument Table'!$H:$H, 'Instrument Table'!$B:$B, $C1630)))</f>
        <v>Electric Guitar</v>
      </c>
      <c r="D1631" s="1" t="str">
        <f>VLOOKUP($C1631, 'Instrument Table'!$B:$C, 2, FALSE)</f>
        <v>Strings</v>
      </c>
      <c r="E1631" s="1">
        <f t="shared" si="150"/>
        <v>1</v>
      </c>
      <c r="F1631" s="1">
        <f>_xlfn.XLOOKUP($C1631, 'Instrument Table'!$B:$B, 'Instrument Table'!$A:$A, "")</f>
        <v>25</v>
      </c>
      <c r="G1631" s="1" t="str">
        <f>TEXT(IF($B1631 = "Retail Item", IF((ROW($A1631) - 4504 - _xlfn.XMATCH($C1631, $C$4506:$C$5005, 0, 1)) &lt;= VLOOKUP($C1631, 'Instrument Table'!$B:$D, 3, FALSE), ROW($A1631) - 4504 - _xlfn.XMATCH($C1631, $C$4506:$C$5005, 0, 1), 0), 0), "00")</f>
        <v>00</v>
      </c>
      <c r="H1631" s="1" t="str">
        <f t="shared" si="151"/>
        <v>075</v>
      </c>
      <c r="I1631" s="1" t="str">
        <f t="shared" si="152"/>
        <v>12500-075</v>
      </c>
      <c r="J1631" s="1" t="str">
        <f t="shared" si="153"/>
        <v>Electric guitar production item #075</v>
      </c>
      <c r="K1631" s="1" t="str">
        <f>IF(SUM(COUNTIFS(I:I, I1631)) &gt; 1, "DUPLICATE", "UNIQUE")</f>
        <v>UNIQUE</v>
      </c>
      <c r="L1631" s="18">
        <v>1</v>
      </c>
      <c r="M1631" s="28">
        <v>46</v>
      </c>
      <c r="N1631" s="6">
        <v>36</v>
      </c>
      <c r="O1631" s="30">
        <f t="shared" si="154"/>
        <v>46</v>
      </c>
      <c r="P1631" s="30">
        <f t="shared" si="155"/>
        <v>1656</v>
      </c>
      <c r="Q1631" s="1">
        <f>COUNTIFS($P:$P, "&gt;" &amp; $P1631) + 1</f>
        <v>3384</v>
      </c>
      <c r="R1631" s="63">
        <f>(COUNTIFS($P:$P, "&gt;" &amp; $P1631) + 1) / (COUNTA($I:$I) - 1)</f>
        <v>0.67679999999999996</v>
      </c>
      <c r="S1631" s="23">
        <f>SUMIFS($P:$P, $Q:$Q, "&lt;" &amp; $Q1631)</f>
        <v>185758875</v>
      </c>
    </row>
    <row r="1632" spans="1:19" x14ac:dyDescent="0.25">
      <c r="A1632" s="1">
        <v>1627</v>
      </c>
      <c r="B1632" s="1" t="s">
        <v>2</v>
      </c>
      <c r="C1632" s="1" t="str">
        <f>IF($B1632 = "Production Item", _xlfn.XLOOKUP($A1632, 'Instrument Table'!$J:$J, 'Instrument Table'!$B:$B, $C1631), IF($B1632 = "Service Item", _xlfn.XLOOKUP($A1632, 'Instrument Table'!$I:$I, 'Instrument Table'!$B:$B, $C1631), _xlfn.XLOOKUP($A1632, 'Instrument Table'!$H:$H, 'Instrument Table'!$B:$B, $C1631)))</f>
        <v>Electric Guitar</v>
      </c>
      <c r="D1632" s="1" t="str">
        <f>VLOOKUP($C1632, 'Instrument Table'!$B:$C, 2, FALSE)</f>
        <v>Strings</v>
      </c>
      <c r="E1632" s="1">
        <f t="shared" si="150"/>
        <v>1</v>
      </c>
      <c r="F1632" s="1">
        <f>_xlfn.XLOOKUP($C1632, 'Instrument Table'!$B:$B, 'Instrument Table'!$A:$A, "")</f>
        <v>25</v>
      </c>
      <c r="G1632" s="1" t="str">
        <f>TEXT(IF($B1632 = "Retail Item", IF((ROW($A1632) - 4504 - _xlfn.XMATCH($C1632, $C$4506:$C$5005, 0, 1)) &lt;= VLOOKUP($C1632, 'Instrument Table'!$B:$D, 3, FALSE), ROW($A1632) - 4504 - _xlfn.XMATCH($C1632, $C$4506:$C$5005, 0, 1), 0), 0), "00")</f>
        <v>00</v>
      </c>
      <c r="H1632" s="1" t="str">
        <f t="shared" si="151"/>
        <v>076</v>
      </c>
      <c r="I1632" s="1" t="str">
        <f t="shared" si="152"/>
        <v>12500-076</v>
      </c>
      <c r="J1632" s="1" t="str">
        <f t="shared" si="153"/>
        <v>Electric guitar production item #076</v>
      </c>
      <c r="K1632" s="1" t="str">
        <f>IF(SUM(COUNTIFS(I:I, I1632)) &gt; 1, "DUPLICATE", "UNIQUE")</f>
        <v>UNIQUE</v>
      </c>
      <c r="L1632" s="18">
        <v>0</v>
      </c>
      <c r="M1632" s="28">
        <v>53</v>
      </c>
      <c r="N1632" s="6">
        <v>400</v>
      </c>
      <c r="O1632" s="30">
        <f t="shared" si="154"/>
        <v>0</v>
      </c>
      <c r="P1632" s="30">
        <f t="shared" si="155"/>
        <v>21200</v>
      </c>
      <c r="Q1632" s="1">
        <f>COUNTIFS($P:$P, "&gt;" &amp; $P1632) + 1</f>
        <v>994</v>
      </c>
      <c r="R1632" s="63">
        <f>(COUNTIFS($P:$P, "&gt;" &amp; $P1632) + 1) / (COUNTA($I:$I) - 1)</f>
        <v>0.1988</v>
      </c>
      <c r="S1632" s="23">
        <f>SUMIFS($P:$P, $Q:$Q, "&lt;" &amp; $Q1632)</f>
        <v>166363948</v>
      </c>
    </row>
    <row r="1633" spans="1:19" x14ac:dyDescent="0.25">
      <c r="A1633" s="1">
        <v>1628</v>
      </c>
      <c r="B1633" s="1" t="s">
        <v>2</v>
      </c>
      <c r="C1633" s="1" t="str">
        <f>IF($B1633 = "Production Item", _xlfn.XLOOKUP($A1633, 'Instrument Table'!$J:$J, 'Instrument Table'!$B:$B, $C1632), IF($B1633 = "Service Item", _xlfn.XLOOKUP($A1633, 'Instrument Table'!$I:$I, 'Instrument Table'!$B:$B, $C1632), _xlfn.XLOOKUP($A1633, 'Instrument Table'!$H:$H, 'Instrument Table'!$B:$B, $C1632)))</f>
        <v>Electric Guitar</v>
      </c>
      <c r="D1633" s="1" t="str">
        <f>VLOOKUP($C1633, 'Instrument Table'!$B:$C, 2, FALSE)</f>
        <v>Strings</v>
      </c>
      <c r="E1633" s="1">
        <f t="shared" si="150"/>
        <v>1</v>
      </c>
      <c r="F1633" s="1">
        <f>_xlfn.XLOOKUP($C1633, 'Instrument Table'!$B:$B, 'Instrument Table'!$A:$A, "")</f>
        <v>25</v>
      </c>
      <c r="G1633" s="1" t="str">
        <f>TEXT(IF($B1633 = "Retail Item", IF((ROW($A1633) - 4504 - _xlfn.XMATCH($C1633, $C$4506:$C$5005, 0, 1)) &lt;= VLOOKUP($C1633, 'Instrument Table'!$B:$D, 3, FALSE), ROW($A1633) - 4504 - _xlfn.XMATCH($C1633, $C$4506:$C$5005, 0, 1), 0), 0), "00")</f>
        <v>00</v>
      </c>
      <c r="H1633" s="1" t="str">
        <f t="shared" si="151"/>
        <v>077</v>
      </c>
      <c r="I1633" s="1" t="str">
        <f t="shared" si="152"/>
        <v>12500-077</v>
      </c>
      <c r="J1633" s="1" t="str">
        <f t="shared" si="153"/>
        <v>Electric guitar production item #077</v>
      </c>
      <c r="K1633" s="1" t="str">
        <f>IF(SUM(COUNTIFS(I:I, I1633)) &gt; 1, "DUPLICATE", "UNIQUE")</f>
        <v>UNIQUE</v>
      </c>
      <c r="L1633" s="18">
        <v>16</v>
      </c>
      <c r="M1633" s="28">
        <v>69</v>
      </c>
      <c r="N1633" s="6">
        <v>121</v>
      </c>
      <c r="O1633" s="30">
        <f t="shared" si="154"/>
        <v>1104</v>
      </c>
      <c r="P1633" s="30">
        <f t="shared" si="155"/>
        <v>8349</v>
      </c>
      <c r="Q1633" s="1">
        <f>COUNTIFS($P:$P, "&gt;" &amp; $P1633) + 1</f>
        <v>1949</v>
      </c>
      <c r="R1633" s="63">
        <f>(COUNTIFS($P:$P, "&gt;" &amp; $P1633) + 1) / (COUNTA($I:$I) - 1)</f>
        <v>0.38979999999999998</v>
      </c>
      <c r="S1633" s="23">
        <f>SUMIFS($P:$P, $Q:$Q, "&lt;" &amp; $Q1633)</f>
        <v>179582968</v>
      </c>
    </row>
    <row r="1634" spans="1:19" x14ac:dyDescent="0.25">
      <c r="A1634" s="1">
        <v>1629</v>
      </c>
      <c r="B1634" s="1" t="s">
        <v>2</v>
      </c>
      <c r="C1634" s="1" t="str">
        <f>IF($B1634 = "Production Item", _xlfn.XLOOKUP($A1634, 'Instrument Table'!$J:$J, 'Instrument Table'!$B:$B, $C1633), IF($B1634 = "Service Item", _xlfn.XLOOKUP($A1634, 'Instrument Table'!$I:$I, 'Instrument Table'!$B:$B, $C1633), _xlfn.XLOOKUP($A1634, 'Instrument Table'!$H:$H, 'Instrument Table'!$B:$B, $C1633)))</f>
        <v>Electric Guitar</v>
      </c>
      <c r="D1634" s="1" t="str">
        <f>VLOOKUP($C1634, 'Instrument Table'!$B:$C, 2, FALSE)</f>
        <v>Strings</v>
      </c>
      <c r="E1634" s="1">
        <f t="shared" si="150"/>
        <v>1</v>
      </c>
      <c r="F1634" s="1">
        <f>_xlfn.XLOOKUP($C1634, 'Instrument Table'!$B:$B, 'Instrument Table'!$A:$A, "")</f>
        <v>25</v>
      </c>
      <c r="G1634" s="1" t="str">
        <f>TEXT(IF($B1634 = "Retail Item", IF((ROW($A1634) - 4504 - _xlfn.XMATCH($C1634, $C$4506:$C$5005, 0, 1)) &lt;= VLOOKUP($C1634, 'Instrument Table'!$B:$D, 3, FALSE), ROW($A1634) - 4504 - _xlfn.XMATCH($C1634, $C$4506:$C$5005, 0, 1), 0), 0), "00")</f>
        <v>00</v>
      </c>
      <c r="H1634" s="1" t="str">
        <f t="shared" si="151"/>
        <v>078</v>
      </c>
      <c r="I1634" s="1" t="str">
        <f t="shared" si="152"/>
        <v>12500-078</v>
      </c>
      <c r="J1634" s="1" t="str">
        <f t="shared" si="153"/>
        <v>Electric guitar production item #078</v>
      </c>
      <c r="K1634" s="1" t="str">
        <f>IF(SUM(COUNTIFS(I:I, I1634)) &gt; 1, "DUPLICATE", "UNIQUE")</f>
        <v>UNIQUE</v>
      </c>
      <c r="L1634" s="18">
        <v>0</v>
      </c>
      <c r="M1634" s="28">
        <v>51</v>
      </c>
      <c r="N1634" s="6">
        <v>121</v>
      </c>
      <c r="O1634" s="30">
        <f t="shared" si="154"/>
        <v>0</v>
      </c>
      <c r="P1634" s="30">
        <f t="shared" si="155"/>
        <v>6171</v>
      </c>
      <c r="Q1634" s="1">
        <f>COUNTIFS($P:$P, "&gt;" &amp; $P1634) + 1</f>
        <v>2237</v>
      </c>
      <c r="R1634" s="63">
        <f>(COUNTIFS($P:$P, "&gt;" &amp; $P1634) + 1) / (COUNTA($I:$I) - 1)</f>
        <v>0.44740000000000002</v>
      </c>
      <c r="S1634" s="23">
        <f>SUMIFS($P:$P, $Q:$Q, "&lt;" &amp; $Q1634)</f>
        <v>181687700</v>
      </c>
    </row>
    <row r="1635" spans="1:19" x14ac:dyDescent="0.25">
      <c r="A1635" s="1">
        <v>1630</v>
      </c>
      <c r="B1635" s="1" t="s">
        <v>2</v>
      </c>
      <c r="C1635" s="1" t="str">
        <f>IF($B1635 = "Production Item", _xlfn.XLOOKUP($A1635, 'Instrument Table'!$J:$J, 'Instrument Table'!$B:$B, $C1634), IF($B1635 = "Service Item", _xlfn.XLOOKUP($A1635, 'Instrument Table'!$I:$I, 'Instrument Table'!$B:$B, $C1634), _xlfn.XLOOKUP($A1635, 'Instrument Table'!$H:$H, 'Instrument Table'!$B:$B, $C1634)))</f>
        <v>Electric Guitar</v>
      </c>
      <c r="D1635" s="1" t="str">
        <f>VLOOKUP($C1635, 'Instrument Table'!$B:$C, 2, FALSE)</f>
        <v>Strings</v>
      </c>
      <c r="E1635" s="1">
        <f t="shared" si="150"/>
        <v>1</v>
      </c>
      <c r="F1635" s="1">
        <f>_xlfn.XLOOKUP($C1635, 'Instrument Table'!$B:$B, 'Instrument Table'!$A:$A, "")</f>
        <v>25</v>
      </c>
      <c r="G1635" s="1" t="str">
        <f>TEXT(IF($B1635 = "Retail Item", IF((ROW($A1635) - 4504 - _xlfn.XMATCH($C1635, $C$4506:$C$5005, 0, 1)) &lt;= VLOOKUP($C1635, 'Instrument Table'!$B:$D, 3, FALSE), ROW($A1635) - 4504 - _xlfn.XMATCH($C1635, $C$4506:$C$5005, 0, 1), 0), 0), "00")</f>
        <v>00</v>
      </c>
      <c r="H1635" s="1" t="str">
        <f t="shared" si="151"/>
        <v>079</v>
      </c>
      <c r="I1635" s="1" t="str">
        <f t="shared" si="152"/>
        <v>12500-079</v>
      </c>
      <c r="J1635" s="1" t="str">
        <f t="shared" si="153"/>
        <v>Electric guitar production item #079</v>
      </c>
      <c r="K1635" s="1" t="str">
        <f>IF(SUM(COUNTIFS(I:I, I1635)) &gt; 1, "DUPLICATE", "UNIQUE")</f>
        <v>UNIQUE</v>
      </c>
      <c r="L1635" s="18">
        <v>2</v>
      </c>
      <c r="M1635" s="28">
        <v>27</v>
      </c>
      <c r="N1635" s="6">
        <v>225</v>
      </c>
      <c r="O1635" s="30">
        <f t="shared" si="154"/>
        <v>54</v>
      </c>
      <c r="P1635" s="30">
        <f t="shared" si="155"/>
        <v>6075</v>
      </c>
      <c r="Q1635" s="1">
        <f>COUNTIFS($P:$P, "&gt;" &amp; $P1635) + 1</f>
        <v>2248</v>
      </c>
      <c r="R1635" s="63">
        <f>(COUNTIFS($P:$P, "&gt;" &amp; $P1635) + 1) / (COUNTA($I:$I) - 1)</f>
        <v>0.4496</v>
      </c>
      <c r="S1635" s="23">
        <f>SUMIFS($P:$P, $Q:$Q, "&lt;" &amp; $Q1635)</f>
        <v>181754966</v>
      </c>
    </row>
    <row r="1636" spans="1:19" x14ac:dyDescent="0.25">
      <c r="A1636" s="1">
        <v>1631</v>
      </c>
      <c r="B1636" s="1" t="s">
        <v>2</v>
      </c>
      <c r="C1636" s="1" t="str">
        <f>IF($B1636 = "Production Item", _xlfn.XLOOKUP($A1636, 'Instrument Table'!$J:$J, 'Instrument Table'!$B:$B, $C1635), IF($B1636 = "Service Item", _xlfn.XLOOKUP($A1636, 'Instrument Table'!$I:$I, 'Instrument Table'!$B:$B, $C1635), _xlfn.XLOOKUP($A1636, 'Instrument Table'!$H:$H, 'Instrument Table'!$B:$B, $C1635)))</f>
        <v>Electric Guitar</v>
      </c>
      <c r="D1636" s="1" t="str">
        <f>VLOOKUP($C1636, 'Instrument Table'!$B:$C, 2, FALSE)</f>
        <v>Strings</v>
      </c>
      <c r="E1636" s="1">
        <f t="shared" si="150"/>
        <v>1</v>
      </c>
      <c r="F1636" s="1">
        <f>_xlfn.XLOOKUP($C1636, 'Instrument Table'!$B:$B, 'Instrument Table'!$A:$A, "")</f>
        <v>25</v>
      </c>
      <c r="G1636" s="1" t="str">
        <f>TEXT(IF($B1636 = "Retail Item", IF((ROW($A1636) - 4504 - _xlfn.XMATCH($C1636, $C$4506:$C$5005, 0, 1)) &lt;= VLOOKUP($C1636, 'Instrument Table'!$B:$D, 3, FALSE), ROW($A1636) - 4504 - _xlfn.XMATCH($C1636, $C$4506:$C$5005, 0, 1), 0), 0), "00")</f>
        <v>00</v>
      </c>
      <c r="H1636" s="1" t="str">
        <f t="shared" si="151"/>
        <v>080</v>
      </c>
      <c r="I1636" s="1" t="str">
        <f t="shared" si="152"/>
        <v>12500-080</v>
      </c>
      <c r="J1636" s="1" t="str">
        <f t="shared" si="153"/>
        <v>Electric guitar production item #080</v>
      </c>
      <c r="K1636" s="1" t="str">
        <f>IF(SUM(COUNTIFS(I:I, I1636)) &gt; 1, "DUPLICATE", "UNIQUE")</f>
        <v>UNIQUE</v>
      </c>
      <c r="L1636" s="18">
        <v>0</v>
      </c>
      <c r="M1636" s="28">
        <v>9</v>
      </c>
      <c r="N1636" s="6">
        <v>196</v>
      </c>
      <c r="O1636" s="30">
        <f t="shared" si="154"/>
        <v>0</v>
      </c>
      <c r="P1636" s="30">
        <f t="shared" si="155"/>
        <v>1764</v>
      </c>
      <c r="Q1636" s="1">
        <f>COUNTIFS($P:$P, "&gt;" &amp; $P1636) + 1</f>
        <v>3352</v>
      </c>
      <c r="R1636" s="63">
        <f>(COUNTIFS($P:$P, "&gt;" &amp; $P1636) + 1) / (COUNTA($I:$I) - 1)</f>
        <v>0.6704</v>
      </c>
      <c r="S1636" s="23">
        <f>SUMIFS($P:$P, $Q:$Q, "&lt;" &amp; $Q1636)</f>
        <v>185703990</v>
      </c>
    </row>
    <row r="1637" spans="1:19" x14ac:dyDescent="0.25">
      <c r="A1637" s="1">
        <v>1632</v>
      </c>
      <c r="B1637" s="1" t="s">
        <v>2</v>
      </c>
      <c r="C1637" s="1" t="str">
        <f>IF($B1637 = "Production Item", _xlfn.XLOOKUP($A1637, 'Instrument Table'!$J:$J, 'Instrument Table'!$B:$B, $C1636), IF($B1637 = "Service Item", _xlfn.XLOOKUP($A1637, 'Instrument Table'!$I:$I, 'Instrument Table'!$B:$B, $C1636), _xlfn.XLOOKUP($A1637, 'Instrument Table'!$H:$H, 'Instrument Table'!$B:$B, $C1636)))</f>
        <v>Electric Guitar</v>
      </c>
      <c r="D1637" s="1" t="str">
        <f>VLOOKUP($C1637, 'Instrument Table'!$B:$C, 2, FALSE)</f>
        <v>Strings</v>
      </c>
      <c r="E1637" s="1">
        <f t="shared" si="150"/>
        <v>1</v>
      </c>
      <c r="F1637" s="1">
        <f>_xlfn.XLOOKUP($C1637, 'Instrument Table'!$B:$B, 'Instrument Table'!$A:$A, "")</f>
        <v>25</v>
      </c>
      <c r="G1637" s="1" t="str">
        <f>TEXT(IF($B1637 = "Retail Item", IF((ROW($A1637) - 4504 - _xlfn.XMATCH($C1637, $C$4506:$C$5005, 0, 1)) &lt;= VLOOKUP($C1637, 'Instrument Table'!$B:$D, 3, FALSE), ROW($A1637) - 4504 - _xlfn.XMATCH($C1637, $C$4506:$C$5005, 0, 1), 0), 0), "00")</f>
        <v>00</v>
      </c>
      <c r="H1637" s="1" t="str">
        <f t="shared" si="151"/>
        <v>081</v>
      </c>
      <c r="I1637" s="1" t="str">
        <f t="shared" si="152"/>
        <v>12500-081</v>
      </c>
      <c r="J1637" s="1" t="str">
        <f t="shared" si="153"/>
        <v>Electric guitar production item #081</v>
      </c>
      <c r="K1637" s="1" t="str">
        <f>IF(SUM(COUNTIFS(I:I, I1637)) &gt; 1, "DUPLICATE", "UNIQUE")</f>
        <v>UNIQUE</v>
      </c>
      <c r="L1637" s="18">
        <v>32</v>
      </c>
      <c r="M1637" s="28">
        <v>59</v>
      </c>
      <c r="N1637" s="6">
        <v>225</v>
      </c>
      <c r="O1637" s="30">
        <f t="shared" si="154"/>
        <v>1888</v>
      </c>
      <c r="P1637" s="30">
        <f t="shared" si="155"/>
        <v>13275</v>
      </c>
      <c r="Q1637" s="1">
        <f>COUNTIFS($P:$P, "&gt;" &amp; $P1637) + 1</f>
        <v>1485</v>
      </c>
      <c r="R1637" s="63">
        <f>(COUNTIFS($P:$P, "&gt;" &amp; $P1637) + 1) / (COUNTA($I:$I) - 1)</f>
        <v>0.29699999999999999</v>
      </c>
      <c r="S1637" s="23">
        <f>SUMIFS($P:$P, $Q:$Q, "&lt;" &amp; $Q1637)</f>
        <v>174642910</v>
      </c>
    </row>
    <row r="1638" spans="1:19" x14ac:dyDescent="0.25">
      <c r="A1638" s="1">
        <v>1633</v>
      </c>
      <c r="B1638" s="1" t="s">
        <v>2</v>
      </c>
      <c r="C1638" s="1" t="str">
        <f>IF($B1638 = "Production Item", _xlfn.XLOOKUP($A1638, 'Instrument Table'!$J:$J, 'Instrument Table'!$B:$B, $C1637), IF($B1638 = "Service Item", _xlfn.XLOOKUP($A1638, 'Instrument Table'!$I:$I, 'Instrument Table'!$B:$B, $C1637), _xlfn.XLOOKUP($A1638, 'Instrument Table'!$H:$H, 'Instrument Table'!$B:$B, $C1637)))</f>
        <v>Electric Guitar</v>
      </c>
      <c r="D1638" s="1" t="str">
        <f>VLOOKUP($C1638, 'Instrument Table'!$B:$C, 2, FALSE)</f>
        <v>Strings</v>
      </c>
      <c r="E1638" s="1">
        <f t="shared" si="150"/>
        <v>1</v>
      </c>
      <c r="F1638" s="1">
        <f>_xlfn.XLOOKUP($C1638, 'Instrument Table'!$B:$B, 'Instrument Table'!$A:$A, "")</f>
        <v>25</v>
      </c>
      <c r="G1638" s="1" t="str">
        <f>TEXT(IF($B1638 = "Retail Item", IF((ROW($A1638) - 4504 - _xlfn.XMATCH($C1638, $C$4506:$C$5005, 0, 1)) &lt;= VLOOKUP($C1638, 'Instrument Table'!$B:$D, 3, FALSE), ROW($A1638) - 4504 - _xlfn.XMATCH($C1638, $C$4506:$C$5005, 0, 1), 0), 0), "00")</f>
        <v>00</v>
      </c>
      <c r="H1638" s="1" t="str">
        <f t="shared" si="151"/>
        <v>082</v>
      </c>
      <c r="I1638" s="1" t="str">
        <f t="shared" si="152"/>
        <v>12500-082</v>
      </c>
      <c r="J1638" s="1" t="str">
        <f t="shared" si="153"/>
        <v>Electric guitar production item #082</v>
      </c>
      <c r="K1638" s="1" t="str">
        <f>IF(SUM(COUNTIFS(I:I, I1638)) &gt; 1, "DUPLICATE", "UNIQUE")</f>
        <v>UNIQUE</v>
      </c>
      <c r="L1638" s="18">
        <v>0</v>
      </c>
      <c r="M1638" s="28">
        <v>85</v>
      </c>
      <c r="N1638" s="6">
        <v>225</v>
      </c>
      <c r="O1638" s="30">
        <f t="shared" si="154"/>
        <v>0</v>
      </c>
      <c r="P1638" s="30">
        <f t="shared" si="155"/>
        <v>19125</v>
      </c>
      <c r="Q1638" s="1">
        <f>COUNTIFS($P:$P, "&gt;" &amp; $P1638) + 1</f>
        <v>1097</v>
      </c>
      <c r="R1638" s="63">
        <f>(COUNTIFS($P:$P, "&gt;" &amp; $P1638) + 1) / (COUNTA($I:$I) - 1)</f>
        <v>0.21940000000000001</v>
      </c>
      <c r="S1638" s="23">
        <f>SUMIFS($P:$P, $Q:$Q, "&lt;" &amp; $Q1638)</f>
        <v>168446540</v>
      </c>
    </row>
    <row r="1639" spans="1:19" x14ac:dyDescent="0.25">
      <c r="A1639" s="1">
        <v>1634</v>
      </c>
      <c r="B1639" s="1" t="s">
        <v>2</v>
      </c>
      <c r="C1639" s="1" t="str">
        <f>IF($B1639 = "Production Item", _xlfn.XLOOKUP($A1639, 'Instrument Table'!$J:$J, 'Instrument Table'!$B:$B, $C1638), IF($B1639 = "Service Item", _xlfn.XLOOKUP($A1639, 'Instrument Table'!$I:$I, 'Instrument Table'!$B:$B, $C1638), _xlfn.XLOOKUP($A1639, 'Instrument Table'!$H:$H, 'Instrument Table'!$B:$B, $C1638)))</f>
        <v>Electric Guitar</v>
      </c>
      <c r="D1639" s="1" t="str">
        <f>VLOOKUP($C1639, 'Instrument Table'!$B:$C, 2, FALSE)</f>
        <v>Strings</v>
      </c>
      <c r="E1639" s="1">
        <f t="shared" si="150"/>
        <v>1</v>
      </c>
      <c r="F1639" s="1">
        <f>_xlfn.XLOOKUP($C1639, 'Instrument Table'!$B:$B, 'Instrument Table'!$A:$A, "")</f>
        <v>25</v>
      </c>
      <c r="G1639" s="1" t="str">
        <f>TEXT(IF($B1639 = "Retail Item", IF((ROW($A1639) - 4504 - _xlfn.XMATCH($C1639, $C$4506:$C$5005, 0, 1)) &lt;= VLOOKUP($C1639, 'Instrument Table'!$B:$D, 3, FALSE), ROW($A1639) - 4504 - _xlfn.XMATCH($C1639, $C$4506:$C$5005, 0, 1), 0), 0), "00")</f>
        <v>00</v>
      </c>
      <c r="H1639" s="1" t="str">
        <f t="shared" si="151"/>
        <v>083</v>
      </c>
      <c r="I1639" s="1" t="str">
        <f t="shared" si="152"/>
        <v>12500-083</v>
      </c>
      <c r="J1639" s="1" t="str">
        <f t="shared" si="153"/>
        <v>Electric guitar production item #083</v>
      </c>
      <c r="K1639" s="1" t="str">
        <f>IF(SUM(COUNTIFS(I:I, I1639)) &gt; 1, "DUPLICATE", "UNIQUE")</f>
        <v>UNIQUE</v>
      </c>
      <c r="L1639" s="18">
        <v>1</v>
      </c>
      <c r="M1639" s="28">
        <v>97</v>
      </c>
      <c r="N1639" s="6">
        <v>36</v>
      </c>
      <c r="O1639" s="30">
        <f t="shared" si="154"/>
        <v>97</v>
      </c>
      <c r="P1639" s="30">
        <f t="shared" si="155"/>
        <v>3492</v>
      </c>
      <c r="Q1639" s="1">
        <f>COUNTIFS($P:$P, "&gt;" &amp; $P1639) + 1</f>
        <v>2778</v>
      </c>
      <c r="R1639" s="63">
        <f>(COUNTIFS($P:$P, "&gt;" &amp; $P1639) + 1) / (COUNTA($I:$I) - 1)</f>
        <v>0.55559999999999998</v>
      </c>
      <c r="S1639" s="23">
        <f>SUMIFS($P:$P, $Q:$Q, "&lt;" &amp; $Q1639)</f>
        <v>184249852</v>
      </c>
    </row>
    <row r="1640" spans="1:19" x14ac:dyDescent="0.25">
      <c r="A1640" s="1">
        <v>1635</v>
      </c>
      <c r="B1640" s="1" t="s">
        <v>2</v>
      </c>
      <c r="C1640" s="1" t="str">
        <f>IF($B1640 = "Production Item", _xlfn.XLOOKUP($A1640, 'Instrument Table'!$J:$J, 'Instrument Table'!$B:$B, $C1639), IF($B1640 = "Service Item", _xlfn.XLOOKUP($A1640, 'Instrument Table'!$I:$I, 'Instrument Table'!$B:$B, $C1639), _xlfn.XLOOKUP($A1640, 'Instrument Table'!$H:$H, 'Instrument Table'!$B:$B, $C1639)))</f>
        <v>Electric Guitar</v>
      </c>
      <c r="D1640" s="1" t="str">
        <f>VLOOKUP($C1640, 'Instrument Table'!$B:$C, 2, FALSE)</f>
        <v>Strings</v>
      </c>
      <c r="E1640" s="1">
        <f t="shared" si="150"/>
        <v>1</v>
      </c>
      <c r="F1640" s="1">
        <f>_xlfn.XLOOKUP($C1640, 'Instrument Table'!$B:$B, 'Instrument Table'!$A:$A, "")</f>
        <v>25</v>
      </c>
      <c r="G1640" s="1" t="str">
        <f>TEXT(IF($B1640 = "Retail Item", IF((ROW($A1640) - 4504 - _xlfn.XMATCH($C1640, $C$4506:$C$5005, 0, 1)) &lt;= VLOOKUP($C1640, 'Instrument Table'!$B:$D, 3, FALSE), ROW($A1640) - 4504 - _xlfn.XMATCH($C1640, $C$4506:$C$5005, 0, 1), 0), 0), "00")</f>
        <v>00</v>
      </c>
      <c r="H1640" s="1" t="str">
        <f t="shared" si="151"/>
        <v>084</v>
      </c>
      <c r="I1640" s="1" t="str">
        <f t="shared" si="152"/>
        <v>12500-084</v>
      </c>
      <c r="J1640" s="1" t="str">
        <f t="shared" si="153"/>
        <v>Electric guitar production item #084</v>
      </c>
      <c r="K1640" s="1" t="str">
        <f>IF(SUM(COUNTIFS(I:I, I1640)) &gt; 1, "DUPLICATE", "UNIQUE")</f>
        <v>UNIQUE</v>
      </c>
      <c r="L1640" s="18">
        <v>16</v>
      </c>
      <c r="M1640" s="28">
        <v>63</v>
      </c>
      <c r="N1640" s="6">
        <v>169</v>
      </c>
      <c r="O1640" s="30">
        <f t="shared" si="154"/>
        <v>1008</v>
      </c>
      <c r="P1640" s="30">
        <f t="shared" si="155"/>
        <v>10647</v>
      </c>
      <c r="Q1640" s="1">
        <f>COUNTIFS($P:$P, "&gt;" &amp; $P1640) + 1</f>
        <v>1718</v>
      </c>
      <c r="R1640" s="63">
        <f>(COUNTIFS($P:$P, "&gt;" &amp; $P1640) + 1) / (COUNTA($I:$I) - 1)</f>
        <v>0.34360000000000002</v>
      </c>
      <c r="S1640" s="23">
        <f>SUMIFS($P:$P, $Q:$Q, "&lt;" &amp; $Q1640)</f>
        <v>177407092</v>
      </c>
    </row>
    <row r="1641" spans="1:19" x14ac:dyDescent="0.25">
      <c r="A1641" s="1">
        <v>1636</v>
      </c>
      <c r="B1641" s="1" t="s">
        <v>2</v>
      </c>
      <c r="C1641" s="1" t="str">
        <f>IF($B1641 = "Production Item", _xlfn.XLOOKUP($A1641, 'Instrument Table'!$J:$J, 'Instrument Table'!$B:$B, $C1640), IF($B1641 = "Service Item", _xlfn.XLOOKUP($A1641, 'Instrument Table'!$I:$I, 'Instrument Table'!$B:$B, $C1640), _xlfn.XLOOKUP($A1641, 'Instrument Table'!$H:$H, 'Instrument Table'!$B:$B, $C1640)))</f>
        <v>Electric Guitar</v>
      </c>
      <c r="D1641" s="1" t="str">
        <f>VLOOKUP($C1641, 'Instrument Table'!$B:$C, 2, FALSE)</f>
        <v>Strings</v>
      </c>
      <c r="E1641" s="1">
        <f t="shared" si="150"/>
        <v>1</v>
      </c>
      <c r="F1641" s="1">
        <f>_xlfn.XLOOKUP($C1641, 'Instrument Table'!$B:$B, 'Instrument Table'!$A:$A, "")</f>
        <v>25</v>
      </c>
      <c r="G1641" s="1" t="str">
        <f>TEXT(IF($B1641 = "Retail Item", IF((ROW($A1641) - 4504 - _xlfn.XMATCH($C1641, $C$4506:$C$5005, 0, 1)) &lt;= VLOOKUP($C1641, 'Instrument Table'!$B:$D, 3, FALSE), ROW($A1641) - 4504 - _xlfn.XMATCH($C1641, $C$4506:$C$5005, 0, 1), 0), 0), "00")</f>
        <v>00</v>
      </c>
      <c r="H1641" s="1" t="str">
        <f t="shared" si="151"/>
        <v>085</v>
      </c>
      <c r="I1641" s="1" t="str">
        <f t="shared" si="152"/>
        <v>12500-085</v>
      </c>
      <c r="J1641" s="1" t="str">
        <f t="shared" si="153"/>
        <v>Electric guitar production item #085</v>
      </c>
      <c r="K1641" s="1" t="str">
        <f>IF(SUM(COUNTIFS(I:I, I1641)) &gt; 1, "DUPLICATE", "UNIQUE")</f>
        <v>UNIQUE</v>
      </c>
      <c r="L1641" s="18">
        <v>1</v>
      </c>
      <c r="M1641" s="28">
        <v>85</v>
      </c>
      <c r="N1641" s="6">
        <v>16</v>
      </c>
      <c r="O1641" s="30">
        <f t="shared" si="154"/>
        <v>85</v>
      </c>
      <c r="P1641" s="30">
        <f t="shared" si="155"/>
        <v>1360</v>
      </c>
      <c r="Q1641" s="1">
        <f>COUNTIFS($P:$P, "&gt;" &amp; $P1641) + 1</f>
        <v>3529</v>
      </c>
      <c r="R1641" s="63">
        <f>(COUNTIFS($P:$P, "&gt;" &amp; $P1641) + 1) / (COUNTA($I:$I) - 1)</f>
        <v>0.70579999999999998</v>
      </c>
      <c r="S1641" s="23">
        <f>SUMIFS($P:$P, $Q:$Q, "&lt;" &amp; $Q1641)</f>
        <v>185977817</v>
      </c>
    </row>
    <row r="1642" spans="1:19" x14ac:dyDescent="0.25">
      <c r="A1642" s="1">
        <v>1637</v>
      </c>
      <c r="B1642" s="1" t="s">
        <v>2</v>
      </c>
      <c r="C1642" s="1" t="str">
        <f>IF($B1642 = "Production Item", _xlfn.XLOOKUP($A1642, 'Instrument Table'!$J:$J, 'Instrument Table'!$B:$B, $C1641), IF($B1642 = "Service Item", _xlfn.XLOOKUP($A1642, 'Instrument Table'!$I:$I, 'Instrument Table'!$B:$B, $C1641), _xlfn.XLOOKUP($A1642, 'Instrument Table'!$H:$H, 'Instrument Table'!$B:$B, $C1641)))</f>
        <v>Electric Guitar</v>
      </c>
      <c r="D1642" s="1" t="str">
        <f>VLOOKUP($C1642, 'Instrument Table'!$B:$C, 2, FALSE)</f>
        <v>Strings</v>
      </c>
      <c r="E1642" s="1">
        <f t="shared" si="150"/>
        <v>1</v>
      </c>
      <c r="F1642" s="1">
        <f>_xlfn.XLOOKUP($C1642, 'Instrument Table'!$B:$B, 'Instrument Table'!$A:$A, "")</f>
        <v>25</v>
      </c>
      <c r="G1642" s="1" t="str">
        <f>TEXT(IF($B1642 = "Retail Item", IF((ROW($A1642) - 4504 - _xlfn.XMATCH($C1642, $C$4506:$C$5005, 0, 1)) &lt;= VLOOKUP($C1642, 'Instrument Table'!$B:$D, 3, FALSE), ROW($A1642) - 4504 - _xlfn.XMATCH($C1642, $C$4506:$C$5005, 0, 1), 0), 0), "00")</f>
        <v>00</v>
      </c>
      <c r="H1642" s="1" t="str">
        <f t="shared" si="151"/>
        <v>086</v>
      </c>
      <c r="I1642" s="1" t="str">
        <f t="shared" si="152"/>
        <v>12500-086</v>
      </c>
      <c r="J1642" s="1" t="str">
        <f t="shared" si="153"/>
        <v>Electric guitar production item #086</v>
      </c>
      <c r="K1642" s="1" t="str">
        <f>IF(SUM(COUNTIFS(I:I, I1642)) &gt; 1, "DUPLICATE", "UNIQUE")</f>
        <v>UNIQUE</v>
      </c>
      <c r="L1642" s="18">
        <v>1</v>
      </c>
      <c r="M1642" s="28">
        <v>10</v>
      </c>
      <c r="N1642" s="6">
        <v>1</v>
      </c>
      <c r="O1642" s="30">
        <f t="shared" si="154"/>
        <v>10</v>
      </c>
      <c r="P1642" s="30">
        <f t="shared" si="155"/>
        <v>10</v>
      </c>
      <c r="Q1642" s="1">
        <f>COUNTIFS($P:$P, "&gt;" &amp; $P1642) + 1</f>
        <v>4720</v>
      </c>
      <c r="R1642" s="63">
        <f>(COUNTIFS($P:$P, "&gt;" &amp; $P1642) + 1) / (COUNTA($I:$I) - 1)</f>
        <v>0.94399999999999995</v>
      </c>
      <c r="S1642" s="23">
        <f>SUMIFS($P:$P, $Q:$Q, "&lt;" &amp; $Q1642)</f>
        <v>186547693</v>
      </c>
    </row>
    <row r="1643" spans="1:19" x14ac:dyDescent="0.25">
      <c r="A1643" s="1">
        <v>1638</v>
      </c>
      <c r="B1643" s="1" t="s">
        <v>2</v>
      </c>
      <c r="C1643" s="1" t="str">
        <f>IF($B1643 = "Production Item", _xlfn.XLOOKUP($A1643, 'Instrument Table'!$J:$J, 'Instrument Table'!$B:$B, $C1642), IF($B1643 = "Service Item", _xlfn.XLOOKUP($A1643, 'Instrument Table'!$I:$I, 'Instrument Table'!$B:$B, $C1642), _xlfn.XLOOKUP($A1643, 'Instrument Table'!$H:$H, 'Instrument Table'!$B:$B, $C1642)))</f>
        <v>Electric Guitar</v>
      </c>
      <c r="D1643" s="1" t="str">
        <f>VLOOKUP($C1643, 'Instrument Table'!$B:$C, 2, FALSE)</f>
        <v>Strings</v>
      </c>
      <c r="E1643" s="1">
        <f t="shared" si="150"/>
        <v>1</v>
      </c>
      <c r="F1643" s="1">
        <f>_xlfn.XLOOKUP($C1643, 'Instrument Table'!$B:$B, 'Instrument Table'!$A:$A, "")</f>
        <v>25</v>
      </c>
      <c r="G1643" s="1" t="str">
        <f>TEXT(IF($B1643 = "Retail Item", IF((ROW($A1643) - 4504 - _xlfn.XMATCH($C1643, $C$4506:$C$5005, 0, 1)) &lt;= VLOOKUP($C1643, 'Instrument Table'!$B:$D, 3, FALSE), ROW($A1643) - 4504 - _xlfn.XMATCH($C1643, $C$4506:$C$5005, 0, 1), 0), 0), "00")</f>
        <v>00</v>
      </c>
      <c r="H1643" s="1" t="str">
        <f t="shared" si="151"/>
        <v>087</v>
      </c>
      <c r="I1643" s="1" t="str">
        <f t="shared" si="152"/>
        <v>12500-087</v>
      </c>
      <c r="J1643" s="1" t="str">
        <f t="shared" si="153"/>
        <v>Electric guitar production item #087</v>
      </c>
      <c r="K1643" s="1" t="str">
        <f>IF(SUM(COUNTIFS(I:I, I1643)) &gt; 1, "DUPLICATE", "UNIQUE")</f>
        <v>UNIQUE</v>
      </c>
      <c r="L1643" s="18">
        <v>32</v>
      </c>
      <c r="M1643" s="28">
        <v>32</v>
      </c>
      <c r="N1643" s="6">
        <v>144</v>
      </c>
      <c r="O1643" s="30">
        <f t="shared" si="154"/>
        <v>1024</v>
      </c>
      <c r="P1643" s="30">
        <f t="shared" si="155"/>
        <v>4608</v>
      </c>
      <c r="Q1643" s="1">
        <f>COUNTIFS($P:$P, "&gt;" &amp; $P1643) + 1</f>
        <v>2515</v>
      </c>
      <c r="R1643" s="63">
        <f>(COUNTIFS($P:$P, "&gt;" &amp; $P1643) + 1) / (COUNTA($I:$I) - 1)</f>
        <v>0.503</v>
      </c>
      <c r="S1643" s="23">
        <f>SUMIFS($P:$P, $Q:$Q, "&lt;" &amp; $Q1643)</f>
        <v>183185375</v>
      </c>
    </row>
    <row r="1644" spans="1:19" x14ac:dyDescent="0.25">
      <c r="A1644" s="1">
        <v>1639</v>
      </c>
      <c r="B1644" s="1" t="s">
        <v>2</v>
      </c>
      <c r="C1644" s="1" t="str">
        <f>IF($B1644 = "Production Item", _xlfn.XLOOKUP($A1644, 'Instrument Table'!$J:$J, 'Instrument Table'!$B:$B, $C1643), IF($B1644 = "Service Item", _xlfn.XLOOKUP($A1644, 'Instrument Table'!$I:$I, 'Instrument Table'!$B:$B, $C1643), _xlfn.XLOOKUP($A1644, 'Instrument Table'!$H:$H, 'Instrument Table'!$B:$B, $C1643)))</f>
        <v>Electric Guitar</v>
      </c>
      <c r="D1644" s="1" t="str">
        <f>VLOOKUP($C1644, 'Instrument Table'!$B:$C, 2, FALSE)</f>
        <v>Strings</v>
      </c>
      <c r="E1644" s="1">
        <f t="shared" si="150"/>
        <v>1</v>
      </c>
      <c r="F1644" s="1">
        <f>_xlfn.XLOOKUP($C1644, 'Instrument Table'!$B:$B, 'Instrument Table'!$A:$A, "")</f>
        <v>25</v>
      </c>
      <c r="G1644" s="1" t="str">
        <f>TEXT(IF($B1644 = "Retail Item", IF((ROW($A1644) - 4504 - _xlfn.XMATCH($C1644, $C$4506:$C$5005, 0, 1)) &lt;= VLOOKUP($C1644, 'Instrument Table'!$B:$D, 3, FALSE), ROW($A1644) - 4504 - _xlfn.XMATCH($C1644, $C$4506:$C$5005, 0, 1), 0), 0), "00")</f>
        <v>00</v>
      </c>
      <c r="H1644" s="1" t="str">
        <f t="shared" si="151"/>
        <v>088</v>
      </c>
      <c r="I1644" s="1" t="str">
        <f t="shared" si="152"/>
        <v>12500-088</v>
      </c>
      <c r="J1644" s="1" t="str">
        <f t="shared" si="153"/>
        <v>Electric guitar production item #088</v>
      </c>
      <c r="K1644" s="1" t="str">
        <f>IF(SUM(COUNTIFS(I:I, I1644)) &gt; 1, "DUPLICATE", "UNIQUE")</f>
        <v>UNIQUE</v>
      </c>
      <c r="L1644" s="18">
        <v>0</v>
      </c>
      <c r="M1644" s="28">
        <v>48</v>
      </c>
      <c r="N1644" s="6">
        <v>9</v>
      </c>
      <c r="O1644" s="30">
        <f t="shared" si="154"/>
        <v>0</v>
      </c>
      <c r="P1644" s="30">
        <f t="shared" si="155"/>
        <v>432</v>
      </c>
      <c r="Q1644" s="1">
        <f>COUNTIFS($P:$P, "&gt;" &amp; $P1644) + 1</f>
        <v>4071</v>
      </c>
      <c r="R1644" s="63">
        <f>(COUNTIFS($P:$P, "&gt;" &amp; $P1644) + 1) / (COUNTA($I:$I) - 1)</f>
        <v>0.81420000000000003</v>
      </c>
      <c r="S1644" s="23">
        <f>SUMIFS($P:$P, $Q:$Q, "&lt;" &amp; $Q1644)</f>
        <v>186432845</v>
      </c>
    </row>
    <row r="1645" spans="1:19" x14ac:dyDescent="0.25">
      <c r="A1645" s="1">
        <v>1640</v>
      </c>
      <c r="B1645" s="1" t="s">
        <v>2</v>
      </c>
      <c r="C1645" s="1" t="str">
        <f>IF($B1645 = "Production Item", _xlfn.XLOOKUP($A1645, 'Instrument Table'!$J:$J, 'Instrument Table'!$B:$B, $C1644), IF($B1645 = "Service Item", _xlfn.XLOOKUP($A1645, 'Instrument Table'!$I:$I, 'Instrument Table'!$B:$B, $C1644), _xlfn.XLOOKUP($A1645, 'Instrument Table'!$H:$H, 'Instrument Table'!$B:$B, $C1644)))</f>
        <v>Electric Guitar</v>
      </c>
      <c r="D1645" s="1" t="str">
        <f>VLOOKUP($C1645, 'Instrument Table'!$B:$C, 2, FALSE)</f>
        <v>Strings</v>
      </c>
      <c r="E1645" s="1">
        <f t="shared" si="150"/>
        <v>1</v>
      </c>
      <c r="F1645" s="1">
        <f>_xlfn.XLOOKUP($C1645, 'Instrument Table'!$B:$B, 'Instrument Table'!$A:$A, "")</f>
        <v>25</v>
      </c>
      <c r="G1645" s="1" t="str">
        <f>TEXT(IF($B1645 = "Retail Item", IF((ROW($A1645) - 4504 - _xlfn.XMATCH($C1645, $C$4506:$C$5005, 0, 1)) &lt;= VLOOKUP($C1645, 'Instrument Table'!$B:$D, 3, FALSE), ROW($A1645) - 4504 - _xlfn.XMATCH($C1645, $C$4506:$C$5005, 0, 1), 0), 0), "00")</f>
        <v>00</v>
      </c>
      <c r="H1645" s="1" t="str">
        <f t="shared" si="151"/>
        <v>089</v>
      </c>
      <c r="I1645" s="1" t="str">
        <f t="shared" si="152"/>
        <v>12500-089</v>
      </c>
      <c r="J1645" s="1" t="str">
        <f t="shared" si="153"/>
        <v>Electric guitar production item #089</v>
      </c>
      <c r="K1645" s="1" t="str">
        <f>IF(SUM(COUNTIFS(I:I, I1645)) &gt; 1, "DUPLICATE", "UNIQUE")</f>
        <v>UNIQUE</v>
      </c>
      <c r="L1645" s="18">
        <v>32</v>
      </c>
      <c r="M1645" s="28">
        <v>86</v>
      </c>
      <c r="N1645" s="6">
        <v>289</v>
      </c>
      <c r="O1645" s="30">
        <f t="shared" si="154"/>
        <v>2752</v>
      </c>
      <c r="P1645" s="30">
        <f t="shared" si="155"/>
        <v>24854</v>
      </c>
      <c r="Q1645" s="1">
        <f>COUNTIFS($P:$P, "&gt;" &amp; $P1645) + 1</f>
        <v>833</v>
      </c>
      <c r="R1645" s="63">
        <f>(COUNTIFS($P:$P, "&gt;" &amp; $P1645) + 1) / (COUNTA($I:$I) - 1)</f>
        <v>0.1666</v>
      </c>
      <c r="S1645" s="23">
        <f>SUMIFS($P:$P, $Q:$Q, "&lt;" &amp; $Q1645)</f>
        <v>162664133</v>
      </c>
    </row>
    <row r="1646" spans="1:19" x14ac:dyDescent="0.25">
      <c r="A1646" s="1">
        <v>1641</v>
      </c>
      <c r="B1646" s="1" t="s">
        <v>2</v>
      </c>
      <c r="C1646" s="1" t="str">
        <f>IF($B1646 = "Production Item", _xlfn.XLOOKUP($A1646, 'Instrument Table'!$J:$J, 'Instrument Table'!$B:$B, $C1645), IF($B1646 = "Service Item", _xlfn.XLOOKUP($A1646, 'Instrument Table'!$I:$I, 'Instrument Table'!$B:$B, $C1645), _xlfn.XLOOKUP($A1646, 'Instrument Table'!$H:$H, 'Instrument Table'!$B:$B, $C1645)))</f>
        <v>Electric Guitar</v>
      </c>
      <c r="D1646" s="1" t="str">
        <f>VLOOKUP($C1646, 'Instrument Table'!$B:$C, 2, FALSE)</f>
        <v>Strings</v>
      </c>
      <c r="E1646" s="1">
        <f t="shared" si="150"/>
        <v>1</v>
      </c>
      <c r="F1646" s="1">
        <f>_xlfn.XLOOKUP($C1646, 'Instrument Table'!$B:$B, 'Instrument Table'!$A:$A, "")</f>
        <v>25</v>
      </c>
      <c r="G1646" s="1" t="str">
        <f>TEXT(IF($B1646 = "Retail Item", IF((ROW($A1646) - 4504 - _xlfn.XMATCH($C1646, $C$4506:$C$5005, 0, 1)) &lt;= VLOOKUP($C1646, 'Instrument Table'!$B:$D, 3, FALSE), ROW($A1646) - 4504 - _xlfn.XMATCH($C1646, $C$4506:$C$5005, 0, 1), 0), 0), "00")</f>
        <v>00</v>
      </c>
      <c r="H1646" s="1" t="str">
        <f t="shared" si="151"/>
        <v>090</v>
      </c>
      <c r="I1646" s="1" t="str">
        <f t="shared" si="152"/>
        <v>12500-090</v>
      </c>
      <c r="J1646" s="1" t="str">
        <f t="shared" si="153"/>
        <v>Electric guitar production item #090</v>
      </c>
      <c r="K1646" s="1" t="str">
        <f>IF(SUM(COUNTIFS(I:I, I1646)) &gt; 1, "DUPLICATE", "UNIQUE")</f>
        <v>UNIQUE</v>
      </c>
      <c r="L1646" s="18">
        <v>1</v>
      </c>
      <c r="M1646" s="28">
        <v>91</v>
      </c>
      <c r="N1646" s="6">
        <v>289</v>
      </c>
      <c r="O1646" s="30">
        <f t="shared" si="154"/>
        <v>91</v>
      </c>
      <c r="P1646" s="30">
        <f t="shared" si="155"/>
        <v>26299</v>
      </c>
      <c r="Q1646" s="1">
        <f>COUNTIFS($P:$P, "&gt;" &amp; $P1646) + 1</f>
        <v>780</v>
      </c>
      <c r="R1646" s="63">
        <f>(COUNTIFS($P:$P, "&gt;" &amp; $P1646) + 1) / (COUNTA($I:$I) - 1)</f>
        <v>0.156</v>
      </c>
      <c r="S1646" s="23">
        <f>SUMIFS($P:$P, $Q:$Q, "&lt;" &amp; $Q1646)</f>
        <v>161307723</v>
      </c>
    </row>
    <row r="1647" spans="1:19" x14ac:dyDescent="0.25">
      <c r="A1647" s="1">
        <v>1642</v>
      </c>
      <c r="B1647" s="1" t="s">
        <v>2</v>
      </c>
      <c r="C1647" s="1" t="str">
        <f>IF($B1647 = "Production Item", _xlfn.XLOOKUP($A1647, 'Instrument Table'!$J:$J, 'Instrument Table'!$B:$B, $C1646), IF($B1647 = "Service Item", _xlfn.XLOOKUP($A1647, 'Instrument Table'!$I:$I, 'Instrument Table'!$B:$B, $C1646), _xlfn.XLOOKUP($A1647, 'Instrument Table'!$H:$H, 'Instrument Table'!$B:$B, $C1646)))</f>
        <v>Electric Guitar</v>
      </c>
      <c r="D1647" s="1" t="str">
        <f>VLOOKUP($C1647, 'Instrument Table'!$B:$C, 2, FALSE)</f>
        <v>Strings</v>
      </c>
      <c r="E1647" s="1">
        <f t="shared" si="150"/>
        <v>1</v>
      </c>
      <c r="F1647" s="1">
        <f>_xlfn.XLOOKUP($C1647, 'Instrument Table'!$B:$B, 'Instrument Table'!$A:$A, "")</f>
        <v>25</v>
      </c>
      <c r="G1647" s="1" t="str">
        <f>TEXT(IF($B1647 = "Retail Item", IF((ROW($A1647) - 4504 - _xlfn.XMATCH($C1647, $C$4506:$C$5005, 0, 1)) &lt;= VLOOKUP($C1647, 'Instrument Table'!$B:$D, 3, FALSE), ROW($A1647) - 4504 - _xlfn.XMATCH($C1647, $C$4506:$C$5005, 0, 1), 0), 0), "00")</f>
        <v>00</v>
      </c>
      <c r="H1647" s="1" t="str">
        <f t="shared" si="151"/>
        <v>091</v>
      </c>
      <c r="I1647" s="1" t="str">
        <f t="shared" si="152"/>
        <v>12500-091</v>
      </c>
      <c r="J1647" s="1" t="str">
        <f t="shared" si="153"/>
        <v>Electric guitar production item #091</v>
      </c>
      <c r="K1647" s="1" t="str">
        <f>IF(SUM(COUNTIFS(I:I, I1647)) &gt; 1, "DUPLICATE", "UNIQUE")</f>
        <v>UNIQUE</v>
      </c>
      <c r="L1647" s="18">
        <v>0</v>
      </c>
      <c r="M1647" s="28">
        <v>55</v>
      </c>
      <c r="N1647" s="6">
        <v>361</v>
      </c>
      <c r="O1647" s="30">
        <f t="shared" si="154"/>
        <v>0</v>
      </c>
      <c r="P1647" s="30">
        <f t="shared" si="155"/>
        <v>19855</v>
      </c>
      <c r="Q1647" s="1">
        <f>COUNTIFS($P:$P, "&gt;" &amp; $P1647) + 1</f>
        <v>1064</v>
      </c>
      <c r="R1647" s="63">
        <f>(COUNTIFS($P:$P, "&gt;" &amp; $P1647) + 1) / (COUNTA($I:$I) - 1)</f>
        <v>0.21279999999999999</v>
      </c>
      <c r="S1647" s="23">
        <f>SUMIFS($P:$P, $Q:$Q, "&lt;" &amp; $Q1647)</f>
        <v>167803001</v>
      </c>
    </row>
    <row r="1648" spans="1:19" x14ac:dyDescent="0.25">
      <c r="A1648" s="1">
        <v>1643</v>
      </c>
      <c r="B1648" s="1" t="s">
        <v>2</v>
      </c>
      <c r="C1648" s="1" t="str">
        <f>IF($B1648 = "Production Item", _xlfn.XLOOKUP($A1648, 'Instrument Table'!$J:$J, 'Instrument Table'!$B:$B, $C1647), IF($B1648 = "Service Item", _xlfn.XLOOKUP($A1648, 'Instrument Table'!$I:$I, 'Instrument Table'!$B:$B, $C1647), _xlfn.XLOOKUP($A1648, 'Instrument Table'!$H:$H, 'Instrument Table'!$B:$B, $C1647)))</f>
        <v>Electric Guitar</v>
      </c>
      <c r="D1648" s="1" t="str">
        <f>VLOOKUP($C1648, 'Instrument Table'!$B:$C, 2, FALSE)</f>
        <v>Strings</v>
      </c>
      <c r="E1648" s="1">
        <f t="shared" si="150"/>
        <v>1</v>
      </c>
      <c r="F1648" s="1">
        <f>_xlfn.XLOOKUP($C1648, 'Instrument Table'!$B:$B, 'Instrument Table'!$A:$A, "")</f>
        <v>25</v>
      </c>
      <c r="G1648" s="1" t="str">
        <f>TEXT(IF($B1648 = "Retail Item", IF((ROW($A1648) - 4504 - _xlfn.XMATCH($C1648, $C$4506:$C$5005, 0, 1)) &lt;= VLOOKUP($C1648, 'Instrument Table'!$B:$D, 3, FALSE), ROW($A1648) - 4504 - _xlfn.XMATCH($C1648, $C$4506:$C$5005, 0, 1), 0), 0), "00")</f>
        <v>00</v>
      </c>
      <c r="H1648" s="1" t="str">
        <f t="shared" si="151"/>
        <v>092</v>
      </c>
      <c r="I1648" s="1" t="str">
        <f t="shared" si="152"/>
        <v>12500-092</v>
      </c>
      <c r="J1648" s="1" t="str">
        <f t="shared" si="153"/>
        <v>Electric guitar production item #092</v>
      </c>
      <c r="K1648" s="1" t="str">
        <f>IF(SUM(COUNTIFS(I:I, I1648)) &gt; 1, "DUPLICATE", "UNIQUE")</f>
        <v>UNIQUE</v>
      </c>
      <c r="L1648" s="18">
        <v>1</v>
      </c>
      <c r="M1648" s="28">
        <v>81</v>
      </c>
      <c r="N1648" s="6">
        <v>144</v>
      </c>
      <c r="O1648" s="30">
        <f t="shared" si="154"/>
        <v>81</v>
      </c>
      <c r="P1648" s="30">
        <f t="shared" si="155"/>
        <v>11664</v>
      </c>
      <c r="Q1648" s="1">
        <f>COUNTIFS($P:$P, "&gt;" &amp; $P1648) + 1</f>
        <v>1607</v>
      </c>
      <c r="R1648" s="63">
        <f>(COUNTIFS($P:$P, "&gt;" &amp; $P1648) + 1) / (COUNTA($I:$I) - 1)</f>
        <v>0.32140000000000002</v>
      </c>
      <c r="S1648" s="23">
        <f>SUMIFS($P:$P, $Q:$Q, "&lt;" &amp; $Q1648)</f>
        <v>176160715</v>
      </c>
    </row>
    <row r="1649" spans="1:19" x14ac:dyDescent="0.25">
      <c r="A1649" s="1">
        <v>1644</v>
      </c>
      <c r="B1649" s="1" t="s">
        <v>2</v>
      </c>
      <c r="C1649" s="1" t="str">
        <f>IF($B1649 = "Production Item", _xlfn.XLOOKUP($A1649, 'Instrument Table'!$J:$J, 'Instrument Table'!$B:$B, $C1648), IF($B1649 = "Service Item", _xlfn.XLOOKUP($A1649, 'Instrument Table'!$I:$I, 'Instrument Table'!$B:$B, $C1648), _xlfn.XLOOKUP($A1649, 'Instrument Table'!$H:$H, 'Instrument Table'!$B:$B, $C1648)))</f>
        <v>Electric Guitar</v>
      </c>
      <c r="D1649" s="1" t="str">
        <f>VLOOKUP($C1649, 'Instrument Table'!$B:$C, 2, FALSE)</f>
        <v>Strings</v>
      </c>
      <c r="E1649" s="1">
        <f t="shared" si="150"/>
        <v>1</v>
      </c>
      <c r="F1649" s="1">
        <f>_xlfn.XLOOKUP($C1649, 'Instrument Table'!$B:$B, 'Instrument Table'!$A:$A, "")</f>
        <v>25</v>
      </c>
      <c r="G1649" s="1" t="str">
        <f>TEXT(IF($B1649 = "Retail Item", IF((ROW($A1649) - 4504 - _xlfn.XMATCH($C1649, $C$4506:$C$5005, 0, 1)) &lt;= VLOOKUP($C1649, 'Instrument Table'!$B:$D, 3, FALSE), ROW($A1649) - 4504 - _xlfn.XMATCH($C1649, $C$4506:$C$5005, 0, 1), 0), 0), "00")</f>
        <v>00</v>
      </c>
      <c r="H1649" s="1" t="str">
        <f t="shared" si="151"/>
        <v>093</v>
      </c>
      <c r="I1649" s="1" t="str">
        <f t="shared" si="152"/>
        <v>12500-093</v>
      </c>
      <c r="J1649" s="1" t="str">
        <f t="shared" si="153"/>
        <v>Electric guitar production item #093</v>
      </c>
      <c r="K1649" s="1" t="str">
        <f>IF(SUM(COUNTIFS(I:I, I1649)) &gt; 1, "DUPLICATE", "UNIQUE")</f>
        <v>UNIQUE</v>
      </c>
      <c r="L1649" s="18">
        <v>4</v>
      </c>
      <c r="M1649" s="28">
        <v>75</v>
      </c>
      <c r="N1649" s="6">
        <v>0</v>
      </c>
      <c r="O1649" s="30">
        <f t="shared" si="154"/>
        <v>300</v>
      </c>
      <c r="P1649" s="30">
        <f t="shared" si="155"/>
        <v>0</v>
      </c>
      <c r="Q1649" s="1">
        <f>COUNTIFS($P:$P, "&gt;" &amp; $P1649) + 1</f>
        <v>4746</v>
      </c>
      <c r="R1649" s="63">
        <f>(COUNTIFS($P:$P, "&gt;" &amp; $P1649) + 1) / (COUNTA($I:$I) - 1)</f>
        <v>0.94920000000000004</v>
      </c>
      <c r="S1649" s="23">
        <f>SUMIFS($P:$P, $Q:$Q, "&lt;" &amp; $Q1649)</f>
        <v>186547861</v>
      </c>
    </row>
    <row r="1650" spans="1:19" x14ac:dyDescent="0.25">
      <c r="A1650" s="1">
        <v>1645</v>
      </c>
      <c r="B1650" s="1" t="s">
        <v>2</v>
      </c>
      <c r="C1650" s="1" t="str">
        <f>IF($B1650 = "Production Item", _xlfn.XLOOKUP($A1650, 'Instrument Table'!$J:$J, 'Instrument Table'!$B:$B, $C1649), IF($B1650 = "Service Item", _xlfn.XLOOKUP($A1650, 'Instrument Table'!$I:$I, 'Instrument Table'!$B:$B, $C1649), _xlfn.XLOOKUP($A1650, 'Instrument Table'!$H:$H, 'Instrument Table'!$B:$B, $C1649)))</f>
        <v>Electric Guitar</v>
      </c>
      <c r="D1650" s="1" t="str">
        <f>VLOOKUP($C1650, 'Instrument Table'!$B:$C, 2, FALSE)</f>
        <v>Strings</v>
      </c>
      <c r="E1650" s="1">
        <f t="shared" si="150"/>
        <v>1</v>
      </c>
      <c r="F1650" s="1">
        <f>_xlfn.XLOOKUP($C1650, 'Instrument Table'!$B:$B, 'Instrument Table'!$A:$A, "")</f>
        <v>25</v>
      </c>
      <c r="G1650" s="1" t="str">
        <f>TEXT(IF($B1650 = "Retail Item", IF((ROW($A1650) - 4504 - _xlfn.XMATCH($C1650, $C$4506:$C$5005, 0, 1)) &lt;= VLOOKUP($C1650, 'Instrument Table'!$B:$D, 3, FALSE), ROW($A1650) - 4504 - _xlfn.XMATCH($C1650, $C$4506:$C$5005, 0, 1), 0), 0), "00")</f>
        <v>00</v>
      </c>
      <c r="H1650" s="1" t="str">
        <f t="shared" si="151"/>
        <v>094</v>
      </c>
      <c r="I1650" s="1" t="str">
        <f t="shared" si="152"/>
        <v>12500-094</v>
      </c>
      <c r="J1650" s="1" t="str">
        <f t="shared" si="153"/>
        <v>Electric guitar production item #094</v>
      </c>
      <c r="K1650" s="1" t="str">
        <f>IF(SUM(COUNTIFS(I:I, I1650)) &gt; 1, "DUPLICATE", "UNIQUE")</f>
        <v>UNIQUE</v>
      </c>
      <c r="L1650" s="18">
        <v>16</v>
      </c>
      <c r="M1650" s="28">
        <v>100</v>
      </c>
      <c r="N1650" s="6">
        <v>400</v>
      </c>
      <c r="O1650" s="30">
        <f t="shared" si="154"/>
        <v>1600</v>
      </c>
      <c r="P1650" s="30">
        <f t="shared" si="155"/>
        <v>40000</v>
      </c>
      <c r="Q1650" s="1">
        <f>COUNTIFS($P:$P, "&gt;" &amp; $P1650) + 1</f>
        <v>551</v>
      </c>
      <c r="R1650" s="63">
        <f>(COUNTIFS($P:$P, "&gt;" &amp; $P1650) + 1) / (COUNTA($I:$I) - 1)</f>
        <v>0.11020000000000001</v>
      </c>
      <c r="S1650" s="23">
        <f>SUMIFS($P:$P, $Q:$Q, "&lt;" &amp; $Q1650)</f>
        <v>154017534</v>
      </c>
    </row>
    <row r="1651" spans="1:19" x14ac:dyDescent="0.25">
      <c r="A1651" s="1">
        <v>1646</v>
      </c>
      <c r="B1651" s="1" t="s">
        <v>2</v>
      </c>
      <c r="C1651" s="1" t="str">
        <f>IF($B1651 = "Production Item", _xlfn.XLOOKUP($A1651, 'Instrument Table'!$J:$J, 'Instrument Table'!$B:$B, $C1650), IF($B1651 = "Service Item", _xlfn.XLOOKUP($A1651, 'Instrument Table'!$I:$I, 'Instrument Table'!$B:$B, $C1650), _xlfn.XLOOKUP($A1651, 'Instrument Table'!$H:$H, 'Instrument Table'!$B:$B, $C1650)))</f>
        <v>Electric Guitar</v>
      </c>
      <c r="D1651" s="1" t="str">
        <f>VLOOKUP($C1651, 'Instrument Table'!$B:$C, 2, FALSE)</f>
        <v>Strings</v>
      </c>
      <c r="E1651" s="1">
        <f t="shared" si="150"/>
        <v>1</v>
      </c>
      <c r="F1651" s="1">
        <f>_xlfn.XLOOKUP($C1651, 'Instrument Table'!$B:$B, 'Instrument Table'!$A:$A, "")</f>
        <v>25</v>
      </c>
      <c r="G1651" s="1" t="str">
        <f>TEXT(IF($B1651 = "Retail Item", IF((ROW($A1651) - 4504 - _xlfn.XMATCH($C1651, $C$4506:$C$5005, 0, 1)) &lt;= VLOOKUP($C1651, 'Instrument Table'!$B:$D, 3, FALSE), ROW($A1651) - 4504 - _xlfn.XMATCH($C1651, $C$4506:$C$5005, 0, 1), 0), 0), "00")</f>
        <v>00</v>
      </c>
      <c r="H1651" s="1" t="str">
        <f t="shared" si="151"/>
        <v>095</v>
      </c>
      <c r="I1651" s="1" t="str">
        <f t="shared" si="152"/>
        <v>12500-095</v>
      </c>
      <c r="J1651" s="1" t="str">
        <f t="shared" si="153"/>
        <v>Electric guitar production item #095</v>
      </c>
      <c r="K1651" s="1" t="str">
        <f>IF(SUM(COUNTIFS(I:I, I1651)) &gt; 1, "DUPLICATE", "UNIQUE")</f>
        <v>UNIQUE</v>
      </c>
      <c r="L1651" s="18">
        <v>1</v>
      </c>
      <c r="M1651" s="28">
        <v>56</v>
      </c>
      <c r="N1651" s="6">
        <v>9</v>
      </c>
      <c r="O1651" s="30">
        <f t="shared" si="154"/>
        <v>56</v>
      </c>
      <c r="P1651" s="30">
        <f t="shared" si="155"/>
        <v>504</v>
      </c>
      <c r="Q1651" s="1">
        <f>COUNTIFS($P:$P, "&gt;" &amp; $P1651) + 1</f>
        <v>4023</v>
      </c>
      <c r="R1651" s="63">
        <f>(COUNTIFS($P:$P, "&gt;" &amp; $P1651) + 1) / (COUNTA($I:$I) - 1)</f>
        <v>0.80459999999999998</v>
      </c>
      <c r="S1651" s="23">
        <f>SUMIFS($P:$P, $Q:$Q, "&lt;" &amp; $Q1651)</f>
        <v>186410147</v>
      </c>
    </row>
    <row r="1652" spans="1:19" x14ac:dyDescent="0.25">
      <c r="A1652" s="1">
        <v>1647</v>
      </c>
      <c r="B1652" s="1" t="s">
        <v>2</v>
      </c>
      <c r="C1652" s="1" t="str">
        <f>IF($B1652 = "Production Item", _xlfn.XLOOKUP($A1652, 'Instrument Table'!$J:$J, 'Instrument Table'!$B:$B, $C1651), IF($B1652 = "Service Item", _xlfn.XLOOKUP($A1652, 'Instrument Table'!$I:$I, 'Instrument Table'!$B:$B, $C1651), _xlfn.XLOOKUP($A1652, 'Instrument Table'!$H:$H, 'Instrument Table'!$B:$B, $C1651)))</f>
        <v>Electric Guitar</v>
      </c>
      <c r="D1652" s="1" t="str">
        <f>VLOOKUP($C1652, 'Instrument Table'!$B:$C, 2, FALSE)</f>
        <v>Strings</v>
      </c>
      <c r="E1652" s="1">
        <f t="shared" si="150"/>
        <v>1</v>
      </c>
      <c r="F1652" s="1">
        <f>_xlfn.XLOOKUP($C1652, 'Instrument Table'!$B:$B, 'Instrument Table'!$A:$A, "")</f>
        <v>25</v>
      </c>
      <c r="G1652" s="1" t="str">
        <f>TEXT(IF($B1652 = "Retail Item", IF((ROW($A1652) - 4504 - _xlfn.XMATCH($C1652, $C$4506:$C$5005, 0, 1)) &lt;= VLOOKUP($C1652, 'Instrument Table'!$B:$D, 3, FALSE), ROW($A1652) - 4504 - _xlfn.XMATCH($C1652, $C$4506:$C$5005, 0, 1), 0), 0), "00")</f>
        <v>00</v>
      </c>
      <c r="H1652" s="1" t="str">
        <f t="shared" si="151"/>
        <v>096</v>
      </c>
      <c r="I1652" s="1" t="str">
        <f t="shared" si="152"/>
        <v>12500-096</v>
      </c>
      <c r="J1652" s="1" t="str">
        <f t="shared" si="153"/>
        <v>Electric guitar production item #096</v>
      </c>
      <c r="K1652" s="1" t="str">
        <f>IF(SUM(COUNTIFS(I:I, I1652)) &gt; 1, "DUPLICATE", "UNIQUE")</f>
        <v>UNIQUE</v>
      </c>
      <c r="L1652" s="18">
        <v>0</v>
      </c>
      <c r="M1652" s="28">
        <v>21</v>
      </c>
      <c r="N1652" s="6">
        <v>100</v>
      </c>
      <c r="O1652" s="30">
        <f t="shared" si="154"/>
        <v>0</v>
      </c>
      <c r="P1652" s="30">
        <f t="shared" si="155"/>
        <v>2100</v>
      </c>
      <c r="Q1652" s="1">
        <f>COUNTIFS($P:$P, "&gt;" &amp; $P1652) + 1</f>
        <v>3207</v>
      </c>
      <c r="R1652" s="63">
        <f>(COUNTIFS($P:$P, "&gt;" &amp; $P1652) + 1) / (COUNTA($I:$I) - 1)</f>
        <v>0.64139999999999997</v>
      </c>
      <c r="S1652" s="23">
        <f>SUMIFS($P:$P, $Q:$Q, "&lt;" &amp; $Q1652)</f>
        <v>185422450</v>
      </c>
    </row>
    <row r="1653" spans="1:19" x14ac:dyDescent="0.25">
      <c r="A1653" s="1">
        <v>1648</v>
      </c>
      <c r="B1653" s="1" t="s">
        <v>2</v>
      </c>
      <c r="C1653" s="1" t="str">
        <f>IF($B1653 = "Production Item", _xlfn.XLOOKUP($A1653, 'Instrument Table'!$J:$J, 'Instrument Table'!$B:$B, $C1652), IF($B1653 = "Service Item", _xlfn.XLOOKUP($A1653, 'Instrument Table'!$I:$I, 'Instrument Table'!$B:$B, $C1652), _xlfn.XLOOKUP($A1653, 'Instrument Table'!$H:$H, 'Instrument Table'!$B:$B, $C1652)))</f>
        <v>Electric Guitar</v>
      </c>
      <c r="D1653" s="1" t="str">
        <f>VLOOKUP($C1653, 'Instrument Table'!$B:$C, 2, FALSE)</f>
        <v>Strings</v>
      </c>
      <c r="E1653" s="1">
        <f t="shared" si="150"/>
        <v>1</v>
      </c>
      <c r="F1653" s="1">
        <f>_xlfn.XLOOKUP($C1653, 'Instrument Table'!$B:$B, 'Instrument Table'!$A:$A, "")</f>
        <v>25</v>
      </c>
      <c r="G1653" s="1" t="str">
        <f>TEXT(IF($B1653 = "Retail Item", IF((ROW($A1653) - 4504 - _xlfn.XMATCH($C1653, $C$4506:$C$5005, 0, 1)) &lt;= VLOOKUP($C1653, 'Instrument Table'!$B:$D, 3, FALSE), ROW($A1653) - 4504 - _xlfn.XMATCH($C1653, $C$4506:$C$5005, 0, 1), 0), 0), "00")</f>
        <v>00</v>
      </c>
      <c r="H1653" s="1" t="str">
        <f t="shared" si="151"/>
        <v>097</v>
      </c>
      <c r="I1653" s="1" t="str">
        <f t="shared" si="152"/>
        <v>12500-097</v>
      </c>
      <c r="J1653" s="1" t="str">
        <f t="shared" si="153"/>
        <v>Electric guitar production item #097</v>
      </c>
      <c r="K1653" s="1" t="str">
        <f>IF(SUM(COUNTIFS(I:I, I1653)) &gt; 1, "DUPLICATE", "UNIQUE")</f>
        <v>UNIQUE</v>
      </c>
      <c r="L1653" s="18">
        <v>0</v>
      </c>
      <c r="M1653" s="28">
        <v>31</v>
      </c>
      <c r="N1653" s="6">
        <v>324</v>
      </c>
      <c r="O1653" s="30">
        <f t="shared" si="154"/>
        <v>0</v>
      </c>
      <c r="P1653" s="30">
        <f t="shared" si="155"/>
        <v>10044</v>
      </c>
      <c r="Q1653" s="1">
        <f>COUNTIFS($P:$P, "&gt;" &amp; $P1653) + 1</f>
        <v>1766</v>
      </c>
      <c r="R1653" s="63">
        <f>(COUNTIFS($P:$P, "&gt;" &amp; $P1653) + 1) / (COUNTA($I:$I) - 1)</f>
        <v>0.35320000000000001</v>
      </c>
      <c r="S1653" s="23">
        <f>SUMIFS($P:$P, $Q:$Q, "&lt;" &amp; $Q1653)</f>
        <v>177905477</v>
      </c>
    </row>
    <row r="1654" spans="1:19" x14ac:dyDescent="0.25">
      <c r="A1654" s="1">
        <v>1649</v>
      </c>
      <c r="B1654" s="1" t="s">
        <v>2</v>
      </c>
      <c r="C1654" s="1" t="str">
        <f>IF($B1654 = "Production Item", _xlfn.XLOOKUP($A1654, 'Instrument Table'!$J:$J, 'Instrument Table'!$B:$B, $C1653), IF($B1654 = "Service Item", _xlfn.XLOOKUP($A1654, 'Instrument Table'!$I:$I, 'Instrument Table'!$B:$B, $C1653), _xlfn.XLOOKUP($A1654, 'Instrument Table'!$H:$H, 'Instrument Table'!$B:$B, $C1653)))</f>
        <v>Electric Guitar</v>
      </c>
      <c r="D1654" s="1" t="str">
        <f>VLOOKUP($C1654, 'Instrument Table'!$B:$C, 2, FALSE)</f>
        <v>Strings</v>
      </c>
      <c r="E1654" s="1">
        <f t="shared" si="150"/>
        <v>1</v>
      </c>
      <c r="F1654" s="1">
        <f>_xlfn.XLOOKUP($C1654, 'Instrument Table'!$B:$B, 'Instrument Table'!$A:$A, "")</f>
        <v>25</v>
      </c>
      <c r="G1654" s="1" t="str">
        <f>TEXT(IF($B1654 = "Retail Item", IF((ROW($A1654) - 4504 - _xlfn.XMATCH($C1654, $C$4506:$C$5005, 0, 1)) &lt;= VLOOKUP($C1654, 'Instrument Table'!$B:$D, 3, FALSE), ROW($A1654) - 4504 - _xlfn.XMATCH($C1654, $C$4506:$C$5005, 0, 1), 0), 0), "00")</f>
        <v>00</v>
      </c>
      <c r="H1654" s="1" t="str">
        <f t="shared" si="151"/>
        <v>098</v>
      </c>
      <c r="I1654" s="1" t="str">
        <f t="shared" si="152"/>
        <v>12500-098</v>
      </c>
      <c r="J1654" s="1" t="str">
        <f t="shared" si="153"/>
        <v>Electric guitar production item #098</v>
      </c>
      <c r="K1654" s="1" t="str">
        <f>IF(SUM(COUNTIFS(I:I, I1654)) &gt; 1, "DUPLICATE", "UNIQUE")</f>
        <v>UNIQUE</v>
      </c>
      <c r="L1654" s="18">
        <v>0</v>
      </c>
      <c r="M1654" s="28">
        <v>70</v>
      </c>
      <c r="N1654" s="6">
        <v>4</v>
      </c>
      <c r="O1654" s="30">
        <f t="shared" si="154"/>
        <v>0</v>
      </c>
      <c r="P1654" s="30">
        <f t="shared" si="155"/>
        <v>280</v>
      </c>
      <c r="Q1654" s="1">
        <f>COUNTIFS($P:$P, "&gt;" &amp; $P1654) + 1</f>
        <v>4239</v>
      </c>
      <c r="R1654" s="63">
        <f>(COUNTIFS($P:$P, "&gt;" &amp; $P1654) + 1) / (COUNTA($I:$I) - 1)</f>
        <v>0.8478</v>
      </c>
      <c r="S1654" s="23">
        <f>SUMIFS($P:$P, $Q:$Q, "&lt;" &amp; $Q1654)</f>
        <v>186492057</v>
      </c>
    </row>
    <row r="1655" spans="1:19" x14ac:dyDescent="0.25">
      <c r="A1655" s="1">
        <v>1650</v>
      </c>
      <c r="B1655" s="1" t="s">
        <v>2</v>
      </c>
      <c r="C1655" s="1" t="str">
        <f>IF($B1655 = "Production Item", _xlfn.XLOOKUP($A1655, 'Instrument Table'!$J:$J, 'Instrument Table'!$B:$B, $C1654), IF($B1655 = "Service Item", _xlfn.XLOOKUP($A1655, 'Instrument Table'!$I:$I, 'Instrument Table'!$B:$B, $C1654), _xlfn.XLOOKUP($A1655, 'Instrument Table'!$H:$H, 'Instrument Table'!$B:$B, $C1654)))</f>
        <v>Electric Guitar</v>
      </c>
      <c r="D1655" s="1" t="str">
        <f>VLOOKUP($C1655, 'Instrument Table'!$B:$C, 2, FALSE)</f>
        <v>Strings</v>
      </c>
      <c r="E1655" s="1">
        <f t="shared" si="150"/>
        <v>1</v>
      </c>
      <c r="F1655" s="1">
        <f>_xlfn.XLOOKUP($C1655, 'Instrument Table'!$B:$B, 'Instrument Table'!$A:$A, "")</f>
        <v>25</v>
      </c>
      <c r="G1655" s="1" t="str">
        <f>TEXT(IF($B1655 = "Retail Item", IF((ROW($A1655) - 4504 - _xlfn.XMATCH($C1655, $C$4506:$C$5005, 0, 1)) &lt;= VLOOKUP($C1655, 'Instrument Table'!$B:$D, 3, FALSE), ROW($A1655) - 4504 - _xlfn.XMATCH($C1655, $C$4506:$C$5005, 0, 1), 0), 0), "00")</f>
        <v>00</v>
      </c>
      <c r="H1655" s="1" t="str">
        <f t="shared" si="151"/>
        <v>099</v>
      </c>
      <c r="I1655" s="1" t="str">
        <f t="shared" si="152"/>
        <v>12500-099</v>
      </c>
      <c r="J1655" s="1" t="str">
        <f t="shared" si="153"/>
        <v>Electric guitar production item #099</v>
      </c>
      <c r="K1655" s="1" t="str">
        <f>IF(SUM(COUNTIFS(I:I, I1655)) &gt; 1, "DUPLICATE", "UNIQUE")</f>
        <v>UNIQUE</v>
      </c>
      <c r="L1655" s="18">
        <v>32</v>
      </c>
      <c r="M1655" s="28">
        <v>67</v>
      </c>
      <c r="N1655" s="6">
        <v>16</v>
      </c>
      <c r="O1655" s="30">
        <f t="shared" si="154"/>
        <v>2144</v>
      </c>
      <c r="P1655" s="30">
        <f t="shared" si="155"/>
        <v>1072</v>
      </c>
      <c r="Q1655" s="1">
        <f>COUNTIFS($P:$P, "&gt;" &amp; $P1655) + 1</f>
        <v>3658</v>
      </c>
      <c r="R1655" s="63">
        <f>(COUNTIFS($P:$P, "&gt;" &amp; $P1655) + 1) / (COUNTA($I:$I) - 1)</f>
        <v>0.73160000000000003</v>
      </c>
      <c r="S1655" s="23">
        <f>SUMIFS($P:$P, $Q:$Q, "&lt;" &amp; $Q1655)</f>
        <v>186136472</v>
      </c>
    </row>
    <row r="1656" spans="1:19" x14ac:dyDescent="0.25">
      <c r="A1656" s="1">
        <v>1651</v>
      </c>
      <c r="B1656" s="1" t="s">
        <v>2</v>
      </c>
      <c r="C1656" s="1" t="str">
        <f>IF($B1656 = "Production Item", _xlfn.XLOOKUP($A1656, 'Instrument Table'!$J:$J, 'Instrument Table'!$B:$B, $C1655), IF($B1656 = "Service Item", _xlfn.XLOOKUP($A1656, 'Instrument Table'!$I:$I, 'Instrument Table'!$B:$B, $C1655), _xlfn.XLOOKUP($A1656, 'Instrument Table'!$H:$H, 'Instrument Table'!$B:$B, $C1655)))</f>
        <v>Electric Guitar</v>
      </c>
      <c r="D1656" s="1" t="str">
        <f>VLOOKUP($C1656, 'Instrument Table'!$B:$C, 2, FALSE)</f>
        <v>Strings</v>
      </c>
      <c r="E1656" s="1">
        <f t="shared" si="150"/>
        <v>1</v>
      </c>
      <c r="F1656" s="1">
        <f>_xlfn.XLOOKUP($C1656, 'Instrument Table'!$B:$B, 'Instrument Table'!$A:$A, "")</f>
        <v>25</v>
      </c>
      <c r="G1656" s="1" t="str">
        <f>TEXT(IF($B1656 = "Retail Item", IF((ROW($A1656) - 4504 - _xlfn.XMATCH($C1656, $C$4506:$C$5005, 0, 1)) &lt;= VLOOKUP($C1656, 'Instrument Table'!$B:$D, 3, FALSE), ROW($A1656) - 4504 - _xlfn.XMATCH($C1656, $C$4506:$C$5005, 0, 1), 0), 0), "00")</f>
        <v>00</v>
      </c>
      <c r="H1656" s="1" t="str">
        <f t="shared" si="151"/>
        <v>100</v>
      </c>
      <c r="I1656" s="1" t="str">
        <f t="shared" si="152"/>
        <v>12500-100</v>
      </c>
      <c r="J1656" s="1" t="str">
        <f t="shared" si="153"/>
        <v>Electric guitar production item #100</v>
      </c>
      <c r="K1656" s="1" t="str">
        <f>IF(SUM(COUNTIFS(I:I, I1656)) &gt; 1, "DUPLICATE", "UNIQUE")</f>
        <v>UNIQUE</v>
      </c>
      <c r="L1656" s="18">
        <v>8</v>
      </c>
      <c r="M1656" s="28">
        <v>2</v>
      </c>
      <c r="N1656" s="6">
        <v>9</v>
      </c>
      <c r="O1656" s="30">
        <f t="shared" si="154"/>
        <v>16</v>
      </c>
      <c r="P1656" s="30">
        <f t="shared" si="155"/>
        <v>18</v>
      </c>
      <c r="Q1656" s="1">
        <f>COUNTIFS($P:$P, "&gt;" &amp; $P1656) + 1</f>
        <v>4697</v>
      </c>
      <c r="R1656" s="63">
        <f>(COUNTIFS($P:$P, "&gt;" &amp; $P1656) + 1) / (COUNTA($I:$I) - 1)</f>
        <v>0.93940000000000001</v>
      </c>
      <c r="S1656" s="23">
        <f>SUMIFS($P:$P, $Q:$Q, "&lt;" &amp; $Q1656)</f>
        <v>186547339</v>
      </c>
    </row>
    <row r="1657" spans="1:19" x14ac:dyDescent="0.25">
      <c r="A1657" s="1">
        <v>1652</v>
      </c>
      <c r="B1657" s="1" t="s">
        <v>2</v>
      </c>
      <c r="C1657" s="1" t="str">
        <f>IF($B1657 = "Production Item", _xlfn.XLOOKUP($A1657, 'Instrument Table'!$J:$J, 'Instrument Table'!$B:$B, $C1656), IF($B1657 = "Service Item", _xlfn.XLOOKUP($A1657, 'Instrument Table'!$I:$I, 'Instrument Table'!$B:$B, $C1656), _xlfn.XLOOKUP($A1657, 'Instrument Table'!$H:$H, 'Instrument Table'!$B:$B, $C1656)))</f>
        <v>Electric Guitar</v>
      </c>
      <c r="D1657" s="1" t="str">
        <f>VLOOKUP($C1657, 'Instrument Table'!$B:$C, 2, FALSE)</f>
        <v>Strings</v>
      </c>
      <c r="E1657" s="1">
        <f t="shared" si="150"/>
        <v>1</v>
      </c>
      <c r="F1657" s="1">
        <f>_xlfn.XLOOKUP($C1657, 'Instrument Table'!$B:$B, 'Instrument Table'!$A:$A, "")</f>
        <v>25</v>
      </c>
      <c r="G1657" s="1" t="str">
        <f>TEXT(IF($B1657 = "Retail Item", IF((ROW($A1657) - 4504 - _xlfn.XMATCH($C1657, $C$4506:$C$5005, 0, 1)) &lt;= VLOOKUP($C1657, 'Instrument Table'!$B:$D, 3, FALSE), ROW($A1657) - 4504 - _xlfn.XMATCH($C1657, $C$4506:$C$5005, 0, 1), 0), 0), "00")</f>
        <v>00</v>
      </c>
      <c r="H1657" s="1" t="str">
        <f t="shared" si="151"/>
        <v>101</v>
      </c>
      <c r="I1657" s="1" t="str">
        <f t="shared" si="152"/>
        <v>12500-101</v>
      </c>
      <c r="J1657" s="1" t="str">
        <f t="shared" si="153"/>
        <v>Electric guitar production item #101</v>
      </c>
      <c r="K1657" s="1" t="str">
        <f>IF(SUM(COUNTIFS(I:I, I1657)) &gt; 1, "DUPLICATE", "UNIQUE")</f>
        <v>UNIQUE</v>
      </c>
      <c r="L1657" s="18">
        <v>1</v>
      </c>
      <c r="M1657" s="28">
        <v>68</v>
      </c>
      <c r="N1657" s="6">
        <v>361</v>
      </c>
      <c r="O1657" s="30">
        <f t="shared" si="154"/>
        <v>68</v>
      </c>
      <c r="P1657" s="30">
        <f t="shared" si="155"/>
        <v>24548</v>
      </c>
      <c r="Q1657" s="1">
        <f>COUNTIFS($P:$P, "&gt;" &amp; $P1657) + 1</f>
        <v>852</v>
      </c>
      <c r="R1657" s="63">
        <f>(COUNTIFS($P:$P, "&gt;" &amp; $P1657) + 1) / (COUNTA($I:$I) - 1)</f>
        <v>0.1704</v>
      </c>
      <c r="S1657" s="23">
        <f>SUMIFS($P:$P, $Q:$Q, "&lt;" &amp; $Q1657)</f>
        <v>163132717</v>
      </c>
    </row>
    <row r="1658" spans="1:19" x14ac:dyDescent="0.25">
      <c r="A1658" s="1">
        <v>1653</v>
      </c>
      <c r="B1658" s="1" t="s">
        <v>2</v>
      </c>
      <c r="C1658" s="1" t="str">
        <f>IF($B1658 = "Production Item", _xlfn.XLOOKUP($A1658, 'Instrument Table'!$J:$J, 'Instrument Table'!$B:$B, $C1657), IF($B1658 = "Service Item", _xlfn.XLOOKUP($A1658, 'Instrument Table'!$I:$I, 'Instrument Table'!$B:$B, $C1657), _xlfn.XLOOKUP($A1658, 'Instrument Table'!$H:$H, 'Instrument Table'!$B:$B, $C1657)))</f>
        <v>Electric Guitar</v>
      </c>
      <c r="D1658" s="1" t="str">
        <f>VLOOKUP($C1658, 'Instrument Table'!$B:$C, 2, FALSE)</f>
        <v>Strings</v>
      </c>
      <c r="E1658" s="1">
        <f t="shared" si="150"/>
        <v>1</v>
      </c>
      <c r="F1658" s="1">
        <f>_xlfn.XLOOKUP($C1658, 'Instrument Table'!$B:$B, 'Instrument Table'!$A:$A, "")</f>
        <v>25</v>
      </c>
      <c r="G1658" s="1" t="str">
        <f>TEXT(IF($B1658 = "Retail Item", IF((ROW($A1658) - 4504 - _xlfn.XMATCH($C1658, $C$4506:$C$5005, 0, 1)) &lt;= VLOOKUP($C1658, 'Instrument Table'!$B:$D, 3, FALSE), ROW($A1658) - 4504 - _xlfn.XMATCH($C1658, $C$4506:$C$5005, 0, 1), 0), 0), "00")</f>
        <v>00</v>
      </c>
      <c r="H1658" s="1" t="str">
        <f t="shared" si="151"/>
        <v>102</v>
      </c>
      <c r="I1658" s="1" t="str">
        <f t="shared" si="152"/>
        <v>12500-102</v>
      </c>
      <c r="J1658" s="1" t="str">
        <f t="shared" si="153"/>
        <v>Electric guitar production item #102</v>
      </c>
      <c r="K1658" s="1" t="str">
        <f>IF(SUM(COUNTIFS(I:I, I1658)) &gt; 1, "DUPLICATE", "UNIQUE")</f>
        <v>UNIQUE</v>
      </c>
      <c r="L1658" s="18">
        <v>8</v>
      </c>
      <c r="M1658" s="28">
        <v>68</v>
      </c>
      <c r="N1658" s="6">
        <v>196</v>
      </c>
      <c r="O1658" s="30">
        <f t="shared" si="154"/>
        <v>544</v>
      </c>
      <c r="P1658" s="30">
        <f t="shared" si="155"/>
        <v>13328</v>
      </c>
      <c r="Q1658" s="1">
        <f>COUNTIFS($P:$P, "&gt;" &amp; $P1658) + 1</f>
        <v>1473</v>
      </c>
      <c r="R1658" s="63">
        <f>(COUNTIFS($P:$P, "&gt;" &amp; $P1658) + 1) / (COUNTA($I:$I) - 1)</f>
        <v>0.29459999999999997</v>
      </c>
      <c r="S1658" s="23">
        <f>SUMIFS($P:$P, $Q:$Q, "&lt;" &amp; $Q1658)</f>
        <v>174483342</v>
      </c>
    </row>
    <row r="1659" spans="1:19" x14ac:dyDescent="0.25">
      <c r="A1659" s="1">
        <v>1654</v>
      </c>
      <c r="B1659" s="1" t="s">
        <v>2</v>
      </c>
      <c r="C1659" s="1" t="str">
        <f>IF($B1659 = "Production Item", _xlfn.XLOOKUP($A1659, 'Instrument Table'!$J:$J, 'Instrument Table'!$B:$B, $C1658), IF($B1659 = "Service Item", _xlfn.XLOOKUP($A1659, 'Instrument Table'!$I:$I, 'Instrument Table'!$B:$B, $C1658), _xlfn.XLOOKUP($A1659, 'Instrument Table'!$H:$H, 'Instrument Table'!$B:$B, $C1658)))</f>
        <v>Electric Guitar</v>
      </c>
      <c r="D1659" s="1" t="str">
        <f>VLOOKUP($C1659, 'Instrument Table'!$B:$C, 2, FALSE)</f>
        <v>Strings</v>
      </c>
      <c r="E1659" s="1">
        <f t="shared" si="150"/>
        <v>1</v>
      </c>
      <c r="F1659" s="1">
        <f>_xlfn.XLOOKUP($C1659, 'Instrument Table'!$B:$B, 'Instrument Table'!$A:$A, "")</f>
        <v>25</v>
      </c>
      <c r="G1659" s="1" t="str">
        <f>TEXT(IF($B1659 = "Retail Item", IF((ROW($A1659) - 4504 - _xlfn.XMATCH($C1659, $C$4506:$C$5005, 0, 1)) &lt;= VLOOKUP($C1659, 'Instrument Table'!$B:$D, 3, FALSE), ROW($A1659) - 4504 - _xlfn.XMATCH($C1659, $C$4506:$C$5005, 0, 1), 0), 0), "00")</f>
        <v>00</v>
      </c>
      <c r="H1659" s="1" t="str">
        <f t="shared" si="151"/>
        <v>103</v>
      </c>
      <c r="I1659" s="1" t="str">
        <f t="shared" si="152"/>
        <v>12500-103</v>
      </c>
      <c r="J1659" s="1" t="str">
        <f t="shared" si="153"/>
        <v>Electric guitar production item #103</v>
      </c>
      <c r="K1659" s="1" t="str">
        <f>IF(SUM(COUNTIFS(I:I, I1659)) &gt; 1, "DUPLICATE", "UNIQUE")</f>
        <v>UNIQUE</v>
      </c>
      <c r="L1659" s="18">
        <v>1</v>
      </c>
      <c r="M1659" s="28">
        <v>65</v>
      </c>
      <c r="N1659" s="6">
        <v>1</v>
      </c>
      <c r="O1659" s="30">
        <f t="shared" si="154"/>
        <v>65</v>
      </c>
      <c r="P1659" s="30">
        <f t="shared" si="155"/>
        <v>65</v>
      </c>
      <c r="Q1659" s="1">
        <f>COUNTIFS($P:$P, "&gt;" &amp; $P1659) + 1</f>
        <v>4551</v>
      </c>
      <c r="R1659" s="63">
        <f>(COUNTIFS($P:$P, "&gt;" &amp; $P1659) + 1) / (COUNTA($I:$I) - 1)</f>
        <v>0.91020000000000001</v>
      </c>
      <c r="S1659" s="23">
        <f>SUMIFS($P:$P, $Q:$Q, "&lt;" &amp; $Q1659)</f>
        <v>186540720</v>
      </c>
    </row>
    <row r="1660" spans="1:19" x14ac:dyDescent="0.25">
      <c r="A1660" s="1">
        <v>1655</v>
      </c>
      <c r="B1660" s="1" t="s">
        <v>2</v>
      </c>
      <c r="C1660" s="1" t="str">
        <f>IF($B1660 = "Production Item", _xlfn.XLOOKUP($A1660, 'Instrument Table'!$J:$J, 'Instrument Table'!$B:$B, $C1659), IF($B1660 = "Service Item", _xlfn.XLOOKUP($A1660, 'Instrument Table'!$I:$I, 'Instrument Table'!$B:$B, $C1659), _xlfn.XLOOKUP($A1660, 'Instrument Table'!$H:$H, 'Instrument Table'!$B:$B, $C1659)))</f>
        <v>Electric Guitar</v>
      </c>
      <c r="D1660" s="1" t="str">
        <f>VLOOKUP($C1660, 'Instrument Table'!$B:$C, 2, FALSE)</f>
        <v>Strings</v>
      </c>
      <c r="E1660" s="1">
        <f t="shared" si="150"/>
        <v>1</v>
      </c>
      <c r="F1660" s="1">
        <f>_xlfn.XLOOKUP($C1660, 'Instrument Table'!$B:$B, 'Instrument Table'!$A:$A, "")</f>
        <v>25</v>
      </c>
      <c r="G1660" s="1" t="str">
        <f>TEXT(IF($B1660 = "Retail Item", IF((ROW($A1660) - 4504 - _xlfn.XMATCH($C1660, $C$4506:$C$5005, 0, 1)) &lt;= VLOOKUP($C1660, 'Instrument Table'!$B:$D, 3, FALSE), ROW($A1660) - 4504 - _xlfn.XMATCH($C1660, $C$4506:$C$5005, 0, 1), 0), 0), "00")</f>
        <v>00</v>
      </c>
      <c r="H1660" s="1" t="str">
        <f t="shared" si="151"/>
        <v>104</v>
      </c>
      <c r="I1660" s="1" t="str">
        <f t="shared" si="152"/>
        <v>12500-104</v>
      </c>
      <c r="J1660" s="1" t="str">
        <f t="shared" si="153"/>
        <v>Electric guitar production item #104</v>
      </c>
      <c r="K1660" s="1" t="str">
        <f>IF(SUM(COUNTIFS(I:I, I1660)) &gt; 1, "DUPLICATE", "UNIQUE")</f>
        <v>UNIQUE</v>
      </c>
      <c r="L1660" s="18">
        <v>8</v>
      </c>
      <c r="M1660" s="28">
        <v>40</v>
      </c>
      <c r="N1660" s="6">
        <v>121</v>
      </c>
      <c r="O1660" s="30">
        <f t="shared" si="154"/>
        <v>320</v>
      </c>
      <c r="P1660" s="30">
        <f t="shared" si="155"/>
        <v>4840</v>
      </c>
      <c r="Q1660" s="1">
        <f>COUNTIFS($P:$P, "&gt;" &amp; $P1660) + 1</f>
        <v>2480</v>
      </c>
      <c r="R1660" s="63">
        <f>(COUNTIFS($P:$P, "&gt;" &amp; $P1660) + 1) / (COUNTA($I:$I) - 1)</f>
        <v>0.496</v>
      </c>
      <c r="S1660" s="23">
        <f>SUMIFS($P:$P, $Q:$Q, "&lt;" &amp; $Q1660)</f>
        <v>183019652</v>
      </c>
    </row>
    <row r="1661" spans="1:19" x14ac:dyDescent="0.25">
      <c r="A1661" s="1">
        <v>1656</v>
      </c>
      <c r="B1661" s="1" t="s">
        <v>2</v>
      </c>
      <c r="C1661" s="1" t="str">
        <f>IF($B1661 = "Production Item", _xlfn.XLOOKUP($A1661, 'Instrument Table'!$J:$J, 'Instrument Table'!$B:$B, $C1660), IF($B1661 = "Service Item", _xlfn.XLOOKUP($A1661, 'Instrument Table'!$I:$I, 'Instrument Table'!$B:$B, $C1660), _xlfn.XLOOKUP($A1661, 'Instrument Table'!$H:$H, 'Instrument Table'!$B:$B, $C1660)))</f>
        <v>Electric Guitar</v>
      </c>
      <c r="D1661" s="1" t="str">
        <f>VLOOKUP($C1661, 'Instrument Table'!$B:$C, 2, FALSE)</f>
        <v>Strings</v>
      </c>
      <c r="E1661" s="1">
        <f t="shared" si="150"/>
        <v>1</v>
      </c>
      <c r="F1661" s="1">
        <f>_xlfn.XLOOKUP($C1661, 'Instrument Table'!$B:$B, 'Instrument Table'!$A:$A, "")</f>
        <v>25</v>
      </c>
      <c r="G1661" s="1" t="str">
        <f>TEXT(IF($B1661 = "Retail Item", IF((ROW($A1661) - 4504 - _xlfn.XMATCH($C1661, $C$4506:$C$5005, 0, 1)) &lt;= VLOOKUP($C1661, 'Instrument Table'!$B:$D, 3, FALSE), ROW($A1661) - 4504 - _xlfn.XMATCH($C1661, $C$4506:$C$5005, 0, 1), 0), 0), "00")</f>
        <v>00</v>
      </c>
      <c r="H1661" s="1" t="str">
        <f t="shared" si="151"/>
        <v>105</v>
      </c>
      <c r="I1661" s="1" t="str">
        <f t="shared" si="152"/>
        <v>12500-105</v>
      </c>
      <c r="J1661" s="1" t="str">
        <f t="shared" si="153"/>
        <v>Electric guitar production item #105</v>
      </c>
      <c r="K1661" s="1" t="str">
        <f>IF(SUM(COUNTIFS(I:I, I1661)) &gt; 1, "DUPLICATE", "UNIQUE")</f>
        <v>UNIQUE</v>
      </c>
      <c r="L1661" s="18">
        <v>0</v>
      </c>
      <c r="M1661" s="28">
        <v>14</v>
      </c>
      <c r="N1661" s="6">
        <v>196</v>
      </c>
      <c r="O1661" s="30">
        <f t="shared" si="154"/>
        <v>0</v>
      </c>
      <c r="P1661" s="30">
        <f t="shared" si="155"/>
        <v>2744</v>
      </c>
      <c r="Q1661" s="1">
        <f>COUNTIFS($P:$P, "&gt;" &amp; $P1661) + 1</f>
        <v>2969</v>
      </c>
      <c r="R1661" s="63">
        <f>(COUNTIFS($P:$P, "&gt;" &amp; $P1661) + 1) / (COUNTA($I:$I) - 1)</f>
        <v>0.59379999999999999</v>
      </c>
      <c r="S1661" s="23">
        <f>SUMIFS($P:$P, $Q:$Q, "&lt;" &amp; $Q1661)</f>
        <v>184848382</v>
      </c>
    </row>
    <row r="1662" spans="1:19" x14ac:dyDescent="0.25">
      <c r="A1662" s="1">
        <v>1657</v>
      </c>
      <c r="B1662" s="1" t="s">
        <v>2</v>
      </c>
      <c r="C1662" s="1" t="str">
        <f>IF($B1662 = "Production Item", _xlfn.XLOOKUP($A1662, 'Instrument Table'!$J:$J, 'Instrument Table'!$B:$B, $C1661), IF($B1662 = "Service Item", _xlfn.XLOOKUP($A1662, 'Instrument Table'!$I:$I, 'Instrument Table'!$B:$B, $C1661), _xlfn.XLOOKUP($A1662, 'Instrument Table'!$H:$H, 'Instrument Table'!$B:$B, $C1661)))</f>
        <v>Electric Guitar</v>
      </c>
      <c r="D1662" s="1" t="str">
        <f>VLOOKUP($C1662, 'Instrument Table'!$B:$C, 2, FALSE)</f>
        <v>Strings</v>
      </c>
      <c r="E1662" s="1">
        <f t="shared" si="150"/>
        <v>1</v>
      </c>
      <c r="F1662" s="1">
        <f>_xlfn.XLOOKUP($C1662, 'Instrument Table'!$B:$B, 'Instrument Table'!$A:$A, "")</f>
        <v>25</v>
      </c>
      <c r="G1662" s="1" t="str">
        <f>TEXT(IF($B1662 = "Retail Item", IF((ROW($A1662) - 4504 - _xlfn.XMATCH($C1662, $C$4506:$C$5005, 0, 1)) &lt;= VLOOKUP($C1662, 'Instrument Table'!$B:$D, 3, FALSE), ROW($A1662) - 4504 - _xlfn.XMATCH($C1662, $C$4506:$C$5005, 0, 1), 0), 0), "00")</f>
        <v>00</v>
      </c>
      <c r="H1662" s="1" t="str">
        <f t="shared" si="151"/>
        <v>106</v>
      </c>
      <c r="I1662" s="1" t="str">
        <f t="shared" si="152"/>
        <v>12500-106</v>
      </c>
      <c r="J1662" s="1" t="str">
        <f t="shared" si="153"/>
        <v>Electric guitar production item #106</v>
      </c>
      <c r="K1662" s="1" t="str">
        <f>IF(SUM(COUNTIFS(I:I, I1662)) &gt; 1, "DUPLICATE", "UNIQUE")</f>
        <v>UNIQUE</v>
      </c>
      <c r="L1662" s="18">
        <v>0</v>
      </c>
      <c r="M1662" s="28">
        <v>67</v>
      </c>
      <c r="N1662" s="6">
        <v>196</v>
      </c>
      <c r="O1662" s="30">
        <f t="shared" si="154"/>
        <v>0</v>
      </c>
      <c r="P1662" s="30">
        <f t="shared" si="155"/>
        <v>13132</v>
      </c>
      <c r="Q1662" s="1">
        <f>COUNTIFS($P:$P, "&gt;" &amp; $P1662) + 1</f>
        <v>1490</v>
      </c>
      <c r="R1662" s="63">
        <f>(COUNTIFS($P:$P, "&gt;" &amp; $P1662) + 1) / (COUNTA($I:$I) - 1)</f>
        <v>0.29799999999999999</v>
      </c>
      <c r="S1662" s="23">
        <f>SUMIFS($P:$P, $Q:$Q, "&lt;" &amp; $Q1662)</f>
        <v>174709105</v>
      </c>
    </row>
    <row r="1663" spans="1:19" x14ac:dyDescent="0.25">
      <c r="A1663" s="1">
        <v>1658</v>
      </c>
      <c r="B1663" s="1" t="s">
        <v>2</v>
      </c>
      <c r="C1663" s="1" t="str">
        <f>IF($B1663 = "Production Item", _xlfn.XLOOKUP($A1663, 'Instrument Table'!$J:$J, 'Instrument Table'!$B:$B, $C1662), IF($B1663 = "Service Item", _xlfn.XLOOKUP($A1663, 'Instrument Table'!$I:$I, 'Instrument Table'!$B:$B, $C1662), _xlfn.XLOOKUP($A1663, 'Instrument Table'!$H:$H, 'Instrument Table'!$B:$B, $C1662)))</f>
        <v>Electric Guitar</v>
      </c>
      <c r="D1663" s="1" t="str">
        <f>VLOOKUP($C1663, 'Instrument Table'!$B:$C, 2, FALSE)</f>
        <v>Strings</v>
      </c>
      <c r="E1663" s="1">
        <f t="shared" si="150"/>
        <v>1</v>
      </c>
      <c r="F1663" s="1">
        <f>_xlfn.XLOOKUP($C1663, 'Instrument Table'!$B:$B, 'Instrument Table'!$A:$A, "")</f>
        <v>25</v>
      </c>
      <c r="G1663" s="1" t="str">
        <f>TEXT(IF($B1663 = "Retail Item", IF((ROW($A1663) - 4504 - _xlfn.XMATCH($C1663, $C$4506:$C$5005, 0, 1)) &lt;= VLOOKUP($C1663, 'Instrument Table'!$B:$D, 3, FALSE), ROW($A1663) - 4504 - _xlfn.XMATCH($C1663, $C$4506:$C$5005, 0, 1), 0), 0), "00")</f>
        <v>00</v>
      </c>
      <c r="H1663" s="1" t="str">
        <f t="shared" si="151"/>
        <v>107</v>
      </c>
      <c r="I1663" s="1" t="str">
        <f t="shared" si="152"/>
        <v>12500-107</v>
      </c>
      <c r="J1663" s="1" t="str">
        <f t="shared" si="153"/>
        <v>Electric guitar production item #107</v>
      </c>
      <c r="K1663" s="1" t="str">
        <f>IF(SUM(COUNTIFS(I:I, I1663)) &gt; 1, "DUPLICATE", "UNIQUE")</f>
        <v>UNIQUE</v>
      </c>
      <c r="L1663" s="18">
        <v>2</v>
      </c>
      <c r="M1663" s="28">
        <v>24</v>
      </c>
      <c r="N1663" s="6">
        <v>361</v>
      </c>
      <c r="O1663" s="30">
        <f t="shared" si="154"/>
        <v>48</v>
      </c>
      <c r="P1663" s="30">
        <f t="shared" si="155"/>
        <v>8664</v>
      </c>
      <c r="Q1663" s="1">
        <f>COUNTIFS($P:$P, "&gt;" &amp; $P1663) + 1</f>
        <v>1911</v>
      </c>
      <c r="R1663" s="63">
        <f>(COUNTIFS($P:$P, "&gt;" &amp; $P1663) + 1) / (COUNTA($I:$I) - 1)</f>
        <v>0.38219999999999998</v>
      </c>
      <c r="S1663" s="23">
        <f>SUMIFS($P:$P, $Q:$Q, "&lt;" &amp; $Q1663)</f>
        <v>179259825</v>
      </c>
    </row>
    <row r="1664" spans="1:19" x14ac:dyDescent="0.25">
      <c r="A1664" s="1">
        <v>1659</v>
      </c>
      <c r="B1664" s="1" t="s">
        <v>2</v>
      </c>
      <c r="C1664" s="1" t="str">
        <f>IF($B1664 = "Production Item", _xlfn.XLOOKUP($A1664, 'Instrument Table'!$J:$J, 'Instrument Table'!$B:$B, $C1663), IF($B1664 = "Service Item", _xlfn.XLOOKUP($A1664, 'Instrument Table'!$I:$I, 'Instrument Table'!$B:$B, $C1663), _xlfn.XLOOKUP($A1664, 'Instrument Table'!$H:$H, 'Instrument Table'!$B:$B, $C1663)))</f>
        <v>Electric Guitar</v>
      </c>
      <c r="D1664" s="1" t="str">
        <f>VLOOKUP($C1664, 'Instrument Table'!$B:$C, 2, FALSE)</f>
        <v>Strings</v>
      </c>
      <c r="E1664" s="1">
        <f t="shared" si="150"/>
        <v>1</v>
      </c>
      <c r="F1664" s="1">
        <f>_xlfn.XLOOKUP($C1664, 'Instrument Table'!$B:$B, 'Instrument Table'!$A:$A, "")</f>
        <v>25</v>
      </c>
      <c r="G1664" s="1" t="str">
        <f>TEXT(IF($B1664 = "Retail Item", IF((ROW($A1664) - 4504 - _xlfn.XMATCH($C1664, $C$4506:$C$5005, 0, 1)) &lt;= VLOOKUP($C1664, 'Instrument Table'!$B:$D, 3, FALSE), ROW($A1664) - 4504 - _xlfn.XMATCH($C1664, $C$4506:$C$5005, 0, 1), 0), 0), "00")</f>
        <v>00</v>
      </c>
      <c r="H1664" s="1" t="str">
        <f t="shared" si="151"/>
        <v>108</v>
      </c>
      <c r="I1664" s="1" t="str">
        <f t="shared" si="152"/>
        <v>12500-108</v>
      </c>
      <c r="J1664" s="1" t="str">
        <f t="shared" si="153"/>
        <v>Electric guitar production item #108</v>
      </c>
      <c r="K1664" s="1" t="str">
        <f>IF(SUM(COUNTIFS(I:I, I1664)) &gt; 1, "DUPLICATE", "UNIQUE")</f>
        <v>UNIQUE</v>
      </c>
      <c r="L1664" s="18">
        <v>1</v>
      </c>
      <c r="M1664" s="28">
        <v>29</v>
      </c>
      <c r="N1664" s="6">
        <v>324</v>
      </c>
      <c r="O1664" s="30">
        <f t="shared" si="154"/>
        <v>29</v>
      </c>
      <c r="P1664" s="30">
        <f t="shared" si="155"/>
        <v>9396</v>
      </c>
      <c r="Q1664" s="1">
        <f>COUNTIFS($P:$P, "&gt;" &amp; $P1664) + 1</f>
        <v>1833</v>
      </c>
      <c r="R1664" s="63">
        <f>(COUNTIFS($P:$P, "&gt;" &amp; $P1664) + 1) / (COUNTA($I:$I) - 1)</f>
        <v>0.36659999999999998</v>
      </c>
      <c r="S1664" s="23">
        <f>SUMIFS($P:$P, $Q:$Q, "&lt;" &amp; $Q1664)</f>
        <v>178555601</v>
      </c>
    </row>
    <row r="1665" spans="1:19" x14ac:dyDescent="0.25">
      <c r="A1665" s="1">
        <v>1660</v>
      </c>
      <c r="B1665" s="1" t="s">
        <v>2</v>
      </c>
      <c r="C1665" s="1" t="str">
        <f>IF($B1665 = "Production Item", _xlfn.XLOOKUP($A1665, 'Instrument Table'!$J:$J, 'Instrument Table'!$B:$B, $C1664), IF($B1665 = "Service Item", _xlfn.XLOOKUP($A1665, 'Instrument Table'!$I:$I, 'Instrument Table'!$B:$B, $C1664), _xlfn.XLOOKUP($A1665, 'Instrument Table'!$H:$H, 'Instrument Table'!$B:$B, $C1664)))</f>
        <v>Electric Guitar</v>
      </c>
      <c r="D1665" s="1" t="str">
        <f>VLOOKUP($C1665, 'Instrument Table'!$B:$C, 2, FALSE)</f>
        <v>Strings</v>
      </c>
      <c r="E1665" s="1">
        <f t="shared" si="150"/>
        <v>1</v>
      </c>
      <c r="F1665" s="1">
        <f>_xlfn.XLOOKUP($C1665, 'Instrument Table'!$B:$B, 'Instrument Table'!$A:$A, "")</f>
        <v>25</v>
      </c>
      <c r="G1665" s="1" t="str">
        <f>TEXT(IF($B1665 = "Retail Item", IF((ROW($A1665) - 4504 - _xlfn.XMATCH($C1665, $C$4506:$C$5005, 0, 1)) &lt;= VLOOKUP($C1665, 'Instrument Table'!$B:$D, 3, FALSE), ROW($A1665) - 4504 - _xlfn.XMATCH($C1665, $C$4506:$C$5005, 0, 1), 0), 0), "00")</f>
        <v>00</v>
      </c>
      <c r="H1665" s="1" t="str">
        <f t="shared" si="151"/>
        <v>109</v>
      </c>
      <c r="I1665" s="1" t="str">
        <f t="shared" si="152"/>
        <v>12500-109</v>
      </c>
      <c r="J1665" s="1" t="str">
        <f t="shared" si="153"/>
        <v>Electric guitar production item #109</v>
      </c>
      <c r="K1665" s="1" t="str">
        <f>IF(SUM(COUNTIFS(I:I, I1665)) &gt; 1, "DUPLICATE", "UNIQUE")</f>
        <v>UNIQUE</v>
      </c>
      <c r="L1665" s="18">
        <v>1</v>
      </c>
      <c r="M1665" s="28">
        <v>42</v>
      </c>
      <c r="N1665" s="6">
        <v>9</v>
      </c>
      <c r="O1665" s="30">
        <f t="shared" si="154"/>
        <v>42</v>
      </c>
      <c r="P1665" s="30">
        <f t="shared" si="155"/>
        <v>378</v>
      </c>
      <c r="Q1665" s="1">
        <f>COUNTIFS($P:$P, "&gt;" &amp; $P1665) + 1</f>
        <v>4123</v>
      </c>
      <c r="R1665" s="63">
        <f>(COUNTIFS($P:$P, "&gt;" &amp; $P1665) + 1) / (COUNTA($I:$I) - 1)</f>
        <v>0.8246</v>
      </c>
      <c r="S1665" s="23">
        <f>SUMIFS($P:$P, $Q:$Q, "&lt;" &amp; $Q1665)</f>
        <v>186453873</v>
      </c>
    </row>
    <row r="1666" spans="1:19" x14ac:dyDescent="0.25">
      <c r="A1666" s="1">
        <v>1661</v>
      </c>
      <c r="B1666" s="1" t="s">
        <v>2</v>
      </c>
      <c r="C1666" s="1" t="str">
        <f>IF($B1666 = "Production Item", _xlfn.XLOOKUP($A1666, 'Instrument Table'!$J:$J, 'Instrument Table'!$B:$B, $C1665), IF($B1666 = "Service Item", _xlfn.XLOOKUP($A1666, 'Instrument Table'!$I:$I, 'Instrument Table'!$B:$B, $C1665), _xlfn.XLOOKUP($A1666, 'Instrument Table'!$H:$H, 'Instrument Table'!$B:$B, $C1665)))</f>
        <v>Electric Guitar</v>
      </c>
      <c r="D1666" s="1" t="str">
        <f>VLOOKUP($C1666, 'Instrument Table'!$B:$C, 2, FALSE)</f>
        <v>Strings</v>
      </c>
      <c r="E1666" s="1">
        <f t="shared" si="150"/>
        <v>1</v>
      </c>
      <c r="F1666" s="1">
        <f>_xlfn.XLOOKUP($C1666, 'Instrument Table'!$B:$B, 'Instrument Table'!$A:$A, "")</f>
        <v>25</v>
      </c>
      <c r="G1666" s="1" t="str">
        <f>TEXT(IF($B1666 = "Retail Item", IF((ROW($A1666) - 4504 - _xlfn.XMATCH($C1666, $C$4506:$C$5005, 0, 1)) &lt;= VLOOKUP($C1666, 'Instrument Table'!$B:$D, 3, FALSE), ROW($A1666) - 4504 - _xlfn.XMATCH($C1666, $C$4506:$C$5005, 0, 1), 0), 0), "00")</f>
        <v>00</v>
      </c>
      <c r="H1666" s="1" t="str">
        <f t="shared" si="151"/>
        <v>110</v>
      </c>
      <c r="I1666" s="1" t="str">
        <f t="shared" si="152"/>
        <v>12500-110</v>
      </c>
      <c r="J1666" s="1" t="str">
        <f t="shared" si="153"/>
        <v>Electric guitar production item #110</v>
      </c>
      <c r="K1666" s="1" t="str">
        <f>IF(SUM(COUNTIFS(I:I, I1666)) &gt; 1, "DUPLICATE", "UNIQUE")</f>
        <v>UNIQUE</v>
      </c>
      <c r="L1666" s="18">
        <v>4</v>
      </c>
      <c r="M1666" s="28">
        <v>18</v>
      </c>
      <c r="N1666" s="6">
        <v>25</v>
      </c>
      <c r="O1666" s="30">
        <f t="shared" si="154"/>
        <v>72</v>
      </c>
      <c r="P1666" s="30">
        <f t="shared" si="155"/>
        <v>450</v>
      </c>
      <c r="Q1666" s="1">
        <f>COUNTIFS($P:$P, "&gt;" &amp; $P1666) + 1</f>
        <v>4054</v>
      </c>
      <c r="R1666" s="63">
        <f>(COUNTIFS($P:$P, "&gt;" &amp; $P1666) + 1) / (COUNTA($I:$I) - 1)</f>
        <v>0.81079999999999997</v>
      </c>
      <c r="S1666" s="23">
        <f>SUMIFS($P:$P, $Q:$Q, "&lt;" &amp; $Q1666)</f>
        <v>186425250</v>
      </c>
    </row>
    <row r="1667" spans="1:19" x14ac:dyDescent="0.25">
      <c r="A1667" s="1">
        <v>1662</v>
      </c>
      <c r="B1667" s="1" t="s">
        <v>2</v>
      </c>
      <c r="C1667" s="1" t="str">
        <f>IF($B1667 = "Production Item", _xlfn.XLOOKUP($A1667, 'Instrument Table'!$J:$J, 'Instrument Table'!$B:$B, $C1666), IF($B1667 = "Service Item", _xlfn.XLOOKUP($A1667, 'Instrument Table'!$I:$I, 'Instrument Table'!$B:$B, $C1666), _xlfn.XLOOKUP($A1667, 'Instrument Table'!$H:$H, 'Instrument Table'!$B:$B, $C1666)))</f>
        <v>Electric Guitar</v>
      </c>
      <c r="D1667" s="1" t="str">
        <f>VLOOKUP($C1667, 'Instrument Table'!$B:$C, 2, FALSE)</f>
        <v>Strings</v>
      </c>
      <c r="E1667" s="1">
        <f t="shared" si="150"/>
        <v>1</v>
      </c>
      <c r="F1667" s="1">
        <f>_xlfn.XLOOKUP($C1667, 'Instrument Table'!$B:$B, 'Instrument Table'!$A:$A, "")</f>
        <v>25</v>
      </c>
      <c r="G1667" s="1" t="str">
        <f>TEXT(IF($B1667 = "Retail Item", IF((ROW($A1667) - 4504 - _xlfn.XMATCH($C1667, $C$4506:$C$5005, 0, 1)) &lt;= VLOOKUP($C1667, 'Instrument Table'!$B:$D, 3, FALSE), ROW($A1667) - 4504 - _xlfn.XMATCH($C1667, $C$4506:$C$5005, 0, 1), 0), 0), "00")</f>
        <v>00</v>
      </c>
      <c r="H1667" s="1" t="str">
        <f t="shared" si="151"/>
        <v>111</v>
      </c>
      <c r="I1667" s="1" t="str">
        <f t="shared" si="152"/>
        <v>12500-111</v>
      </c>
      <c r="J1667" s="1" t="str">
        <f t="shared" si="153"/>
        <v>Electric guitar production item #111</v>
      </c>
      <c r="K1667" s="1" t="str">
        <f>IF(SUM(COUNTIFS(I:I, I1667)) &gt; 1, "DUPLICATE", "UNIQUE")</f>
        <v>UNIQUE</v>
      </c>
      <c r="L1667" s="18">
        <v>0</v>
      </c>
      <c r="M1667" s="28">
        <v>83</v>
      </c>
      <c r="N1667" s="6">
        <v>100</v>
      </c>
      <c r="O1667" s="30">
        <f t="shared" si="154"/>
        <v>0</v>
      </c>
      <c r="P1667" s="30">
        <f t="shared" si="155"/>
        <v>8300</v>
      </c>
      <c r="Q1667" s="1">
        <f>COUNTIFS($P:$P, "&gt;" &amp; $P1667) + 1</f>
        <v>1952</v>
      </c>
      <c r="R1667" s="63">
        <f>(COUNTIFS($P:$P, "&gt;" &amp; $P1667) + 1) / (COUNTA($I:$I) - 1)</f>
        <v>0.39040000000000002</v>
      </c>
      <c r="S1667" s="23">
        <f>SUMIFS($P:$P, $Q:$Q, "&lt;" &amp; $Q1667)</f>
        <v>179607969</v>
      </c>
    </row>
    <row r="1668" spans="1:19" x14ac:dyDescent="0.25">
      <c r="A1668" s="1">
        <v>1663</v>
      </c>
      <c r="B1668" s="1" t="s">
        <v>2</v>
      </c>
      <c r="C1668" s="1" t="str">
        <f>IF($B1668 = "Production Item", _xlfn.XLOOKUP($A1668, 'Instrument Table'!$J:$J, 'Instrument Table'!$B:$B, $C1667), IF($B1668 = "Service Item", _xlfn.XLOOKUP($A1668, 'Instrument Table'!$I:$I, 'Instrument Table'!$B:$B, $C1667), _xlfn.XLOOKUP($A1668, 'Instrument Table'!$H:$H, 'Instrument Table'!$B:$B, $C1667)))</f>
        <v>Electric Guitar</v>
      </c>
      <c r="D1668" s="1" t="str">
        <f>VLOOKUP($C1668, 'Instrument Table'!$B:$C, 2, FALSE)</f>
        <v>Strings</v>
      </c>
      <c r="E1668" s="1">
        <f t="shared" si="150"/>
        <v>1</v>
      </c>
      <c r="F1668" s="1">
        <f>_xlfn.XLOOKUP($C1668, 'Instrument Table'!$B:$B, 'Instrument Table'!$A:$A, "")</f>
        <v>25</v>
      </c>
      <c r="G1668" s="1" t="str">
        <f>TEXT(IF($B1668 = "Retail Item", IF((ROW($A1668) - 4504 - _xlfn.XMATCH($C1668, $C$4506:$C$5005, 0, 1)) &lt;= VLOOKUP($C1668, 'Instrument Table'!$B:$D, 3, FALSE), ROW($A1668) - 4504 - _xlfn.XMATCH($C1668, $C$4506:$C$5005, 0, 1), 0), 0), "00")</f>
        <v>00</v>
      </c>
      <c r="H1668" s="1" t="str">
        <f t="shared" si="151"/>
        <v>112</v>
      </c>
      <c r="I1668" s="1" t="str">
        <f t="shared" si="152"/>
        <v>12500-112</v>
      </c>
      <c r="J1668" s="1" t="str">
        <f t="shared" si="153"/>
        <v>Electric guitar production item #112</v>
      </c>
      <c r="K1668" s="1" t="str">
        <f>IF(SUM(COUNTIFS(I:I, I1668)) &gt; 1, "DUPLICATE", "UNIQUE")</f>
        <v>UNIQUE</v>
      </c>
      <c r="L1668" s="18">
        <v>1</v>
      </c>
      <c r="M1668" s="28">
        <v>17</v>
      </c>
      <c r="N1668" s="6">
        <v>196</v>
      </c>
      <c r="O1668" s="30">
        <f t="shared" si="154"/>
        <v>17</v>
      </c>
      <c r="P1668" s="30">
        <f t="shared" si="155"/>
        <v>3332</v>
      </c>
      <c r="Q1668" s="1">
        <f>COUNTIFS($P:$P, "&gt;" &amp; $P1668) + 1</f>
        <v>2815</v>
      </c>
      <c r="R1668" s="63">
        <f>(COUNTIFS($P:$P, "&gt;" &amp; $P1668) + 1) / (COUNTA($I:$I) - 1)</f>
        <v>0.56299999999999994</v>
      </c>
      <c r="S1668" s="23">
        <f>SUMIFS($P:$P, $Q:$Q, "&lt;" &amp; $Q1668)</f>
        <v>184376723</v>
      </c>
    </row>
    <row r="1669" spans="1:19" x14ac:dyDescent="0.25">
      <c r="A1669" s="1">
        <v>1664</v>
      </c>
      <c r="B1669" s="1" t="s">
        <v>2</v>
      </c>
      <c r="C1669" s="1" t="str">
        <f>IF($B1669 = "Production Item", _xlfn.XLOOKUP($A1669, 'Instrument Table'!$J:$J, 'Instrument Table'!$B:$B, $C1668), IF($B1669 = "Service Item", _xlfn.XLOOKUP($A1669, 'Instrument Table'!$I:$I, 'Instrument Table'!$B:$B, $C1668), _xlfn.XLOOKUP($A1669, 'Instrument Table'!$H:$H, 'Instrument Table'!$B:$B, $C1668)))</f>
        <v>Electric Guitar</v>
      </c>
      <c r="D1669" s="1" t="str">
        <f>VLOOKUP($C1669, 'Instrument Table'!$B:$C, 2, FALSE)</f>
        <v>Strings</v>
      </c>
      <c r="E1669" s="1">
        <f t="shared" si="150"/>
        <v>1</v>
      </c>
      <c r="F1669" s="1">
        <f>_xlfn.XLOOKUP($C1669, 'Instrument Table'!$B:$B, 'Instrument Table'!$A:$A, "")</f>
        <v>25</v>
      </c>
      <c r="G1669" s="1" t="str">
        <f>TEXT(IF($B1669 = "Retail Item", IF((ROW($A1669) - 4504 - _xlfn.XMATCH($C1669, $C$4506:$C$5005, 0, 1)) &lt;= VLOOKUP($C1669, 'Instrument Table'!$B:$D, 3, FALSE), ROW($A1669) - 4504 - _xlfn.XMATCH($C1669, $C$4506:$C$5005, 0, 1), 0), 0), "00")</f>
        <v>00</v>
      </c>
      <c r="H1669" s="1" t="str">
        <f t="shared" si="151"/>
        <v>113</v>
      </c>
      <c r="I1669" s="1" t="str">
        <f t="shared" si="152"/>
        <v>12500-113</v>
      </c>
      <c r="J1669" s="1" t="str">
        <f t="shared" si="153"/>
        <v>Electric guitar production item #113</v>
      </c>
      <c r="K1669" s="1" t="str">
        <f>IF(SUM(COUNTIFS(I:I, I1669)) &gt; 1, "DUPLICATE", "UNIQUE")</f>
        <v>UNIQUE</v>
      </c>
      <c r="L1669" s="18">
        <v>16</v>
      </c>
      <c r="M1669" s="28">
        <v>16</v>
      </c>
      <c r="N1669" s="6">
        <v>25</v>
      </c>
      <c r="O1669" s="30">
        <f t="shared" si="154"/>
        <v>256</v>
      </c>
      <c r="P1669" s="30">
        <f t="shared" si="155"/>
        <v>400</v>
      </c>
      <c r="Q1669" s="1">
        <f>COUNTIFS($P:$P, "&gt;" &amp; $P1669) + 1</f>
        <v>4090</v>
      </c>
      <c r="R1669" s="63">
        <f>(COUNTIFS($P:$P, "&gt;" &amp; $P1669) + 1) / (COUNTA($I:$I) - 1)</f>
        <v>0.81799999999999995</v>
      </c>
      <c r="S1669" s="23">
        <f>SUMIFS($P:$P, $Q:$Q, "&lt;" &amp; $Q1669)</f>
        <v>186440882</v>
      </c>
    </row>
    <row r="1670" spans="1:19" x14ac:dyDescent="0.25">
      <c r="A1670" s="1">
        <v>1665</v>
      </c>
      <c r="B1670" s="1" t="s">
        <v>2</v>
      </c>
      <c r="C1670" s="1" t="str">
        <f>IF($B1670 = "Production Item", _xlfn.XLOOKUP($A1670, 'Instrument Table'!$J:$J, 'Instrument Table'!$B:$B, $C1669), IF($B1670 = "Service Item", _xlfn.XLOOKUP($A1670, 'Instrument Table'!$I:$I, 'Instrument Table'!$B:$B, $C1669), _xlfn.XLOOKUP($A1670, 'Instrument Table'!$H:$H, 'Instrument Table'!$B:$B, $C1669)))</f>
        <v>Electric Guitar</v>
      </c>
      <c r="D1670" s="1" t="str">
        <f>VLOOKUP($C1670, 'Instrument Table'!$B:$C, 2, FALSE)</f>
        <v>Strings</v>
      </c>
      <c r="E1670" s="1">
        <f t="shared" si="150"/>
        <v>1</v>
      </c>
      <c r="F1670" s="1">
        <f>_xlfn.XLOOKUP($C1670, 'Instrument Table'!$B:$B, 'Instrument Table'!$A:$A, "")</f>
        <v>25</v>
      </c>
      <c r="G1670" s="1" t="str">
        <f>TEXT(IF($B1670 = "Retail Item", IF((ROW($A1670) - 4504 - _xlfn.XMATCH($C1670, $C$4506:$C$5005, 0, 1)) &lt;= VLOOKUP($C1670, 'Instrument Table'!$B:$D, 3, FALSE), ROW($A1670) - 4504 - _xlfn.XMATCH($C1670, $C$4506:$C$5005, 0, 1), 0), 0), "00")</f>
        <v>00</v>
      </c>
      <c r="H1670" s="1" t="str">
        <f t="shared" si="151"/>
        <v>114</v>
      </c>
      <c r="I1670" s="1" t="str">
        <f t="shared" si="152"/>
        <v>12500-114</v>
      </c>
      <c r="J1670" s="1" t="str">
        <f t="shared" si="153"/>
        <v>Electric guitar production item #114</v>
      </c>
      <c r="K1670" s="1" t="str">
        <f>IF(SUM(COUNTIFS(I:I, I1670)) &gt; 1, "DUPLICATE", "UNIQUE")</f>
        <v>UNIQUE</v>
      </c>
      <c r="L1670" s="18">
        <v>1</v>
      </c>
      <c r="M1670" s="28">
        <v>22</v>
      </c>
      <c r="N1670" s="6">
        <v>4</v>
      </c>
      <c r="O1670" s="30">
        <f t="shared" si="154"/>
        <v>22</v>
      </c>
      <c r="P1670" s="30">
        <f t="shared" si="155"/>
        <v>88</v>
      </c>
      <c r="Q1670" s="1">
        <f>COUNTIFS($P:$P, "&gt;" &amp; $P1670) + 1</f>
        <v>4484</v>
      </c>
      <c r="R1670" s="63">
        <f>(COUNTIFS($P:$P, "&gt;" &amp; $P1670) + 1) / (COUNTA($I:$I) - 1)</f>
        <v>0.89680000000000004</v>
      </c>
      <c r="S1670" s="23">
        <f>SUMIFS($P:$P, $Q:$Q, "&lt;" &amp; $Q1670)</f>
        <v>186535476</v>
      </c>
    </row>
    <row r="1671" spans="1:19" x14ac:dyDescent="0.25">
      <c r="A1671" s="1">
        <v>1666</v>
      </c>
      <c r="B1671" s="1" t="s">
        <v>2</v>
      </c>
      <c r="C1671" s="1" t="str">
        <f>IF($B1671 = "Production Item", _xlfn.XLOOKUP($A1671, 'Instrument Table'!$J:$J, 'Instrument Table'!$B:$B, $C1670), IF($B1671 = "Service Item", _xlfn.XLOOKUP($A1671, 'Instrument Table'!$I:$I, 'Instrument Table'!$B:$B, $C1670), _xlfn.XLOOKUP($A1671, 'Instrument Table'!$H:$H, 'Instrument Table'!$B:$B, $C1670)))</f>
        <v>Electric Guitar</v>
      </c>
      <c r="D1671" s="1" t="str">
        <f>VLOOKUP($C1671, 'Instrument Table'!$B:$C, 2, FALSE)</f>
        <v>Strings</v>
      </c>
      <c r="E1671" s="1">
        <f t="shared" ref="E1671:E1734" si="156">IF($B1671 = "Production Item", 1, IF($B1671 = "Service Item", 2, IF($B1671 = "Retail Item", 3, "")))</f>
        <v>1</v>
      </c>
      <c r="F1671" s="1">
        <f>_xlfn.XLOOKUP($C1671, 'Instrument Table'!$B:$B, 'Instrument Table'!$A:$A, "")</f>
        <v>25</v>
      </c>
      <c r="G1671" s="1" t="str">
        <f>TEXT(IF($B1671 = "Retail Item", IF((ROW($A1671) - 4504 - _xlfn.XMATCH($C1671, $C$4506:$C$5005, 0, 1)) &lt;= VLOOKUP($C1671, 'Instrument Table'!$B:$D, 3, FALSE), ROW($A1671) - 4504 - _xlfn.XMATCH($C1671, $C$4506:$C$5005, 0, 1), 0), 0), "00")</f>
        <v>00</v>
      </c>
      <c r="H1671" s="1" t="str">
        <f t="shared" ref="H1671:H1734" si="157">TEXT(IF($E1671 &amp; $F1671 &amp; $G1671 = $E1670 &amp; $F1670 &amp; $G1670, 1 + H1670, 0), "000")</f>
        <v>115</v>
      </c>
      <c r="I1671" s="1" t="str">
        <f t="shared" ref="I1671:I1734" si="158" xml:space="preserve"> _xlfn.CONCAT($E1671, $F1671, $G1671, "-", H1671)</f>
        <v>12500-115</v>
      </c>
      <c r="J1671" s="1" t="str">
        <f t="shared" ref="J1671:J1734" si="159">LEFT($C1671, 1) &amp; LOWER(RIGHT($C1671, LEN($C1671) - 1)) &amp; IF(AND($G1671 &lt;&gt; "00", $B1671 = "Retail Item"), " model #" &amp; $G1671, " " &amp; LOWER($B1671) &amp; " #" &amp; $H1671)</f>
        <v>Electric guitar production item #115</v>
      </c>
      <c r="K1671" s="1" t="str">
        <f>IF(SUM(COUNTIFS(I:I, I1671)) &gt; 1, "DUPLICATE", "UNIQUE")</f>
        <v>UNIQUE</v>
      </c>
      <c r="L1671" s="18">
        <v>0</v>
      </c>
      <c r="M1671" s="28">
        <v>82</v>
      </c>
      <c r="N1671" s="6">
        <v>9</v>
      </c>
      <c r="O1671" s="30">
        <f t="shared" ref="O1671:O1734" si="160">$L1671 * $M1671</f>
        <v>0</v>
      </c>
      <c r="P1671" s="30">
        <f t="shared" ref="P1671:P1734" si="161">$N1671 * $M1671</f>
        <v>738</v>
      </c>
      <c r="Q1671" s="1">
        <f>COUNTIFS($P:$P, "&gt;" &amp; $P1671) + 1</f>
        <v>3839</v>
      </c>
      <c r="R1671" s="63">
        <f>(COUNTIFS($P:$P, "&gt;" &amp; $P1671) + 1) / (COUNTA($I:$I) - 1)</f>
        <v>0.76780000000000004</v>
      </c>
      <c r="S1671" s="23">
        <f>SUMIFS($P:$P, $Q:$Q, "&lt;" &amp; $Q1671)</f>
        <v>186295479</v>
      </c>
    </row>
    <row r="1672" spans="1:19" x14ac:dyDescent="0.25">
      <c r="A1672" s="1">
        <v>1667</v>
      </c>
      <c r="B1672" s="1" t="s">
        <v>2</v>
      </c>
      <c r="C1672" s="1" t="str">
        <f>IF($B1672 = "Production Item", _xlfn.XLOOKUP($A1672, 'Instrument Table'!$J:$J, 'Instrument Table'!$B:$B, $C1671), IF($B1672 = "Service Item", _xlfn.XLOOKUP($A1672, 'Instrument Table'!$I:$I, 'Instrument Table'!$B:$B, $C1671), _xlfn.XLOOKUP($A1672, 'Instrument Table'!$H:$H, 'Instrument Table'!$B:$B, $C1671)))</f>
        <v>Electric Guitar</v>
      </c>
      <c r="D1672" s="1" t="str">
        <f>VLOOKUP($C1672, 'Instrument Table'!$B:$C, 2, FALSE)</f>
        <v>Strings</v>
      </c>
      <c r="E1672" s="1">
        <f t="shared" si="156"/>
        <v>1</v>
      </c>
      <c r="F1672" s="1">
        <f>_xlfn.XLOOKUP($C1672, 'Instrument Table'!$B:$B, 'Instrument Table'!$A:$A, "")</f>
        <v>25</v>
      </c>
      <c r="G1672" s="1" t="str">
        <f>TEXT(IF($B1672 = "Retail Item", IF((ROW($A1672) - 4504 - _xlfn.XMATCH($C1672, $C$4506:$C$5005, 0, 1)) &lt;= VLOOKUP($C1672, 'Instrument Table'!$B:$D, 3, FALSE), ROW($A1672) - 4504 - _xlfn.XMATCH($C1672, $C$4506:$C$5005, 0, 1), 0), 0), "00")</f>
        <v>00</v>
      </c>
      <c r="H1672" s="1" t="str">
        <f t="shared" si="157"/>
        <v>116</v>
      </c>
      <c r="I1672" s="1" t="str">
        <f t="shared" si="158"/>
        <v>12500-116</v>
      </c>
      <c r="J1672" s="1" t="str">
        <f t="shared" si="159"/>
        <v>Electric guitar production item #116</v>
      </c>
      <c r="K1672" s="1" t="str">
        <f>IF(SUM(COUNTIFS(I:I, I1672)) &gt; 1, "DUPLICATE", "UNIQUE")</f>
        <v>UNIQUE</v>
      </c>
      <c r="L1672" s="18">
        <v>8</v>
      </c>
      <c r="M1672" s="28">
        <v>16</v>
      </c>
      <c r="N1672" s="6">
        <v>225</v>
      </c>
      <c r="O1672" s="30">
        <f t="shared" si="160"/>
        <v>128</v>
      </c>
      <c r="P1672" s="30">
        <f t="shared" si="161"/>
        <v>3600</v>
      </c>
      <c r="Q1672" s="1">
        <f>COUNTIFS($P:$P, "&gt;" &amp; $P1672) + 1</f>
        <v>2737</v>
      </c>
      <c r="R1672" s="63">
        <f>(COUNTIFS($P:$P, "&gt;" &amp; $P1672) + 1) / (COUNTA($I:$I) - 1)</f>
        <v>0.5474</v>
      </c>
      <c r="S1672" s="23">
        <f>SUMIFS($P:$P, $Q:$Q, "&lt;" &amp; $Q1672)</f>
        <v>184104041</v>
      </c>
    </row>
    <row r="1673" spans="1:19" x14ac:dyDescent="0.25">
      <c r="A1673" s="1">
        <v>1668</v>
      </c>
      <c r="B1673" s="1" t="s">
        <v>2</v>
      </c>
      <c r="C1673" s="1" t="str">
        <f>IF($B1673 = "Production Item", _xlfn.XLOOKUP($A1673, 'Instrument Table'!$J:$J, 'Instrument Table'!$B:$B, $C1672), IF($B1673 = "Service Item", _xlfn.XLOOKUP($A1673, 'Instrument Table'!$I:$I, 'Instrument Table'!$B:$B, $C1672), _xlfn.XLOOKUP($A1673, 'Instrument Table'!$H:$H, 'Instrument Table'!$B:$B, $C1672)))</f>
        <v>Electric Guitar</v>
      </c>
      <c r="D1673" s="1" t="str">
        <f>VLOOKUP($C1673, 'Instrument Table'!$B:$C, 2, FALSE)</f>
        <v>Strings</v>
      </c>
      <c r="E1673" s="1">
        <f t="shared" si="156"/>
        <v>1</v>
      </c>
      <c r="F1673" s="1">
        <f>_xlfn.XLOOKUP($C1673, 'Instrument Table'!$B:$B, 'Instrument Table'!$A:$A, "")</f>
        <v>25</v>
      </c>
      <c r="G1673" s="1" t="str">
        <f>TEXT(IF($B1673 = "Retail Item", IF((ROW($A1673) - 4504 - _xlfn.XMATCH($C1673, $C$4506:$C$5005, 0, 1)) &lt;= VLOOKUP($C1673, 'Instrument Table'!$B:$D, 3, FALSE), ROW($A1673) - 4504 - _xlfn.XMATCH($C1673, $C$4506:$C$5005, 0, 1), 0), 0), "00")</f>
        <v>00</v>
      </c>
      <c r="H1673" s="1" t="str">
        <f t="shared" si="157"/>
        <v>117</v>
      </c>
      <c r="I1673" s="1" t="str">
        <f t="shared" si="158"/>
        <v>12500-117</v>
      </c>
      <c r="J1673" s="1" t="str">
        <f t="shared" si="159"/>
        <v>Electric guitar production item #117</v>
      </c>
      <c r="K1673" s="1" t="str">
        <f>IF(SUM(COUNTIFS(I:I, I1673)) &gt; 1, "DUPLICATE", "UNIQUE")</f>
        <v>UNIQUE</v>
      </c>
      <c r="L1673" s="18">
        <v>1</v>
      </c>
      <c r="M1673" s="28">
        <v>92</v>
      </c>
      <c r="N1673" s="6">
        <v>25</v>
      </c>
      <c r="O1673" s="30">
        <f t="shared" si="160"/>
        <v>92</v>
      </c>
      <c r="P1673" s="30">
        <f t="shared" si="161"/>
        <v>2300</v>
      </c>
      <c r="Q1673" s="1">
        <f>COUNTIFS($P:$P, "&gt;" &amp; $P1673) + 1</f>
        <v>3131</v>
      </c>
      <c r="R1673" s="63">
        <f>(COUNTIFS($P:$P, "&gt;" &amp; $P1673) + 1) / (COUNTA($I:$I) - 1)</f>
        <v>0.62619999999999998</v>
      </c>
      <c r="S1673" s="23">
        <f>SUMIFS($P:$P, $Q:$Q, "&lt;" &amp; $Q1673)</f>
        <v>185254605</v>
      </c>
    </row>
    <row r="1674" spans="1:19" x14ac:dyDescent="0.25">
      <c r="A1674" s="1">
        <v>1669</v>
      </c>
      <c r="B1674" s="1" t="s">
        <v>2</v>
      </c>
      <c r="C1674" s="1" t="str">
        <f>IF($B1674 = "Production Item", _xlfn.XLOOKUP($A1674, 'Instrument Table'!$J:$J, 'Instrument Table'!$B:$B, $C1673), IF($B1674 = "Service Item", _xlfn.XLOOKUP($A1674, 'Instrument Table'!$I:$I, 'Instrument Table'!$B:$B, $C1673), _xlfn.XLOOKUP($A1674, 'Instrument Table'!$H:$H, 'Instrument Table'!$B:$B, $C1673)))</f>
        <v>Electric Guitar</v>
      </c>
      <c r="D1674" s="1" t="str">
        <f>VLOOKUP($C1674, 'Instrument Table'!$B:$C, 2, FALSE)</f>
        <v>Strings</v>
      </c>
      <c r="E1674" s="1">
        <f t="shared" si="156"/>
        <v>1</v>
      </c>
      <c r="F1674" s="1">
        <f>_xlfn.XLOOKUP($C1674, 'Instrument Table'!$B:$B, 'Instrument Table'!$A:$A, "")</f>
        <v>25</v>
      </c>
      <c r="G1674" s="1" t="str">
        <f>TEXT(IF($B1674 = "Retail Item", IF((ROW($A1674) - 4504 - _xlfn.XMATCH($C1674, $C$4506:$C$5005, 0, 1)) &lt;= VLOOKUP($C1674, 'Instrument Table'!$B:$D, 3, FALSE), ROW($A1674) - 4504 - _xlfn.XMATCH($C1674, $C$4506:$C$5005, 0, 1), 0), 0), "00")</f>
        <v>00</v>
      </c>
      <c r="H1674" s="1" t="str">
        <f t="shared" si="157"/>
        <v>118</v>
      </c>
      <c r="I1674" s="1" t="str">
        <f t="shared" si="158"/>
        <v>12500-118</v>
      </c>
      <c r="J1674" s="1" t="str">
        <f t="shared" si="159"/>
        <v>Electric guitar production item #118</v>
      </c>
      <c r="K1674" s="1" t="str">
        <f>IF(SUM(COUNTIFS(I:I, I1674)) &gt; 1, "DUPLICATE", "UNIQUE")</f>
        <v>UNIQUE</v>
      </c>
      <c r="L1674" s="18">
        <v>1</v>
      </c>
      <c r="M1674" s="28">
        <v>82</v>
      </c>
      <c r="N1674" s="6">
        <v>49</v>
      </c>
      <c r="O1674" s="30">
        <f t="shared" si="160"/>
        <v>82</v>
      </c>
      <c r="P1674" s="30">
        <f t="shared" si="161"/>
        <v>4018</v>
      </c>
      <c r="Q1674" s="1">
        <f>COUNTIFS($P:$P, "&gt;" &amp; $P1674) + 1</f>
        <v>2651</v>
      </c>
      <c r="R1674" s="63">
        <f>(COUNTIFS($P:$P, "&gt;" &amp; $P1674) + 1) / (COUNTA($I:$I) - 1)</f>
        <v>0.5302</v>
      </c>
      <c r="S1674" s="23">
        <f>SUMIFS($P:$P, $Q:$Q, "&lt;" &amp; $Q1674)</f>
        <v>183775022</v>
      </c>
    </row>
    <row r="1675" spans="1:19" x14ac:dyDescent="0.25">
      <c r="A1675" s="1">
        <v>1670</v>
      </c>
      <c r="B1675" s="1" t="s">
        <v>2</v>
      </c>
      <c r="C1675" s="1" t="str">
        <f>IF($B1675 = "Production Item", _xlfn.XLOOKUP($A1675, 'Instrument Table'!$J:$J, 'Instrument Table'!$B:$B, $C1674), IF($B1675 = "Service Item", _xlfn.XLOOKUP($A1675, 'Instrument Table'!$I:$I, 'Instrument Table'!$B:$B, $C1674), _xlfn.XLOOKUP($A1675, 'Instrument Table'!$H:$H, 'Instrument Table'!$B:$B, $C1674)))</f>
        <v>Electric Guitar</v>
      </c>
      <c r="D1675" s="1" t="str">
        <f>VLOOKUP($C1675, 'Instrument Table'!$B:$C, 2, FALSE)</f>
        <v>Strings</v>
      </c>
      <c r="E1675" s="1">
        <f t="shared" si="156"/>
        <v>1</v>
      </c>
      <c r="F1675" s="1">
        <f>_xlfn.XLOOKUP($C1675, 'Instrument Table'!$B:$B, 'Instrument Table'!$A:$A, "")</f>
        <v>25</v>
      </c>
      <c r="G1675" s="1" t="str">
        <f>TEXT(IF($B1675 = "Retail Item", IF((ROW($A1675) - 4504 - _xlfn.XMATCH($C1675, $C$4506:$C$5005, 0, 1)) &lt;= VLOOKUP($C1675, 'Instrument Table'!$B:$D, 3, FALSE), ROW($A1675) - 4504 - _xlfn.XMATCH($C1675, $C$4506:$C$5005, 0, 1), 0), 0), "00")</f>
        <v>00</v>
      </c>
      <c r="H1675" s="1" t="str">
        <f t="shared" si="157"/>
        <v>119</v>
      </c>
      <c r="I1675" s="1" t="str">
        <f t="shared" si="158"/>
        <v>12500-119</v>
      </c>
      <c r="J1675" s="1" t="str">
        <f t="shared" si="159"/>
        <v>Electric guitar production item #119</v>
      </c>
      <c r="K1675" s="1" t="str">
        <f>IF(SUM(COUNTIFS(I:I, I1675)) &gt; 1, "DUPLICATE", "UNIQUE")</f>
        <v>UNIQUE</v>
      </c>
      <c r="L1675" s="18">
        <v>0</v>
      </c>
      <c r="M1675" s="28">
        <v>9</v>
      </c>
      <c r="N1675" s="6">
        <v>100</v>
      </c>
      <c r="O1675" s="30">
        <f t="shared" si="160"/>
        <v>0</v>
      </c>
      <c r="P1675" s="30">
        <f t="shared" si="161"/>
        <v>900</v>
      </c>
      <c r="Q1675" s="1">
        <f>COUNTIFS($P:$P, "&gt;" &amp; $P1675) + 1</f>
        <v>3722</v>
      </c>
      <c r="R1675" s="63">
        <f>(COUNTIFS($P:$P, "&gt;" &amp; $P1675) + 1) / (COUNTA($I:$I) - 1)</f>
        <v>0.74439999999999995</v>
      </c>
      <c r="S1675" s="23">
        <f>SUMIFS($P:$P, $Q:$Q, "&lt;" &amp; $Q1675)</f>
        <v>186199390</v>
      </c>
    </row>
    <row r="1676" spans="1:19" x14ac:dyDescent="0.25">
      <c r="A1676" s="1">
        <v>1671</v>
      </c>
      <c r="B1676" s="1" t="s">
        <v>2</v>
      </c>
      <c r="C1676" s="1" t="str">
        <f>IF($B1676 = "Production Item", _xlfn.XLOOKUP($A1676, 'Instrument Table'!$J:$J, 'Instrument Table'!$B:$B, $C1675), IF($B1676 = "Service Item", _xlfn.XLOOKUP($A1676, 'Instrument Table'!$I:$I, 'Instrument Table'!$B:$B, $C1675), _xlfn.XLOOKUP($A1676, 'Instrument Table'!$H:$H, 'Instrument Table'!$B:$B, $C1675)))</f>
        <v>Electric Guitar</v>
      </c>
      <c r="D1676" s="1" t="str">
        <f>VLOOKUP($C1676, 'Instrument Table'!$B:$C, 2, FALSE)</f>
        <v>Strings</v>
      </c>
      <c r="E1676" s="1">
        <f t="shared" si="156"/>
        <v>1</v>
      </c>
      <c r="F1676" s="1">
        <f>_xlfn.XLOOKUP($C1676, 'Instrument Table'!$B:$B, 'Instrument Table'!$A:$A, "")</f>
        <v>25</v>
      </c>
      <c r="G1676" s="1" t="str">
        <f>TEXT(IF($B1676 = "Retail Item", IF((ROW($A1676) - 4504 - _xlfn.XMATCH($C1676, $C$4506:$C$5005, 0, 1)) &lt;= VLOOKUP($C1676, 'Instrument Table'!$B:$D, 3, FALSE), ROW($A1676) - 4504 - _xlfn.XMATCH($C1676, $C$4506:$C$5005, 0, 1), 0), 0), "00")</f>
        <v>00</v>
      </c>
      <c r="H1676" s="1" t="str">
        <f t="shared" si="157"/>
        <v>120</v>
      </c>
      <c r="I1676" s="1" t="str">
        <f t="shared" si="158"/>
        <v>12500-120</v>
      </c>
      <c r="J1676" s="1" t="str">
        <f t="shared" si="159"/>
        <v>Electric guitar production item #120</v>
      </c>
      <c r="K1676" s="1" t="str">
        <f>IF(SUM(COUNTIFS(I:I, I1676)) &gt; 1, "DUPLICATE", "UNIQUE")</f>
        <v>UNIQUE</v>
      </c>
      <c r="L1676" s="18">
        <v>0</v>
      </c>
      <c r="M1676" s="28">
        <v>40</v>
      </c>
      <c r="N1676" s="6">
        <v>4</v>
      </c>
      <c r="O1676" s="30">
        <f t="shared" si="160"/>
        <v>0</v>
      </c>
      <c r="P1676" s="30">
        <f t="shared" si="161"/>
        <v>160</v>
      </c>
      <c r="Q1676" s="1">
        <f>COUNTIFS($P:$P, "&gt;" &amp; $P1676) + 1</f>
        <v>4390</v>
      </c>
      <c r="R1676" s="63">
        <f>(COUNTIFS($P:$P, "&gt;" &amp; $P1676) + 1) / (COUNTA($I:$I) - 1)</f>
        <v>0.878</v>
      </c>
      <c r="S1676" s="23">
        <f>SUMIFS($P:$P, $Q:$Q, "&lt;" &amp; $Q1676)</f>
        <v>186524488</v>
      </c>
    </row>
    <row r="1677" spans="1:19" x14ac:dyDescent="0.25">
      <c r="A1677" s="1">
        <v>1672</v>
      </c>
      <c r="B1677" s="1" t="s">
        <v>2</v>
      </c>
      <c r="C1677" s="1" t="str">
        <f>IF($B1677 = "Production Item", _xlfn.XLOOKUP($A1677, 'Instrument Table'!$J:$J, 'Instrument Table'!$B:$B, $C1676), IF($B1677 = "Service Item", _xlfn.XLOOKUP($A1677, 'Instrument Table'!$I:$I, 'Instrument Table'!$B:$B, $C1676), _xlfn.XLOOKUP($A1677, 'Instrument Table'!$H:$H, 'Instrument Table'!$B:$B, $C1676)))</f>
        <v>Electric Guitar</v>
      </c>
      <c r="D1677" s="1" t="str">
        <f>VLOOKUP($C1677, 'Instrument Table'!$B:$C, 2, FALSE)</f>
        <v>Strings</v>
      </c>
      <c r="E1677" s="1">
        <f t="shared" si="156"/>
        <v>1</v>
      </c>
      <c r="F1677" s="1">
        <f>_xlfn.XLOOKUP($C1677, 'Instrument Table'!$B:$B, 'Instrument Table'!$A:$A, "")</f>
        <v>25</v>
      </c>
      <c r="G1677" s="1" t="str">
        <f>TEXT(IF($B1677 = "Retail Item", IF((ROW($A1677) - 4504 - _xlfn.XMATCH($C1677, $C$4506:$C$5005, 0, 1)) &lt;= VLOOKUP($C1677, 'Instrument Table'!$B:$D, 3, FALSE), ROW($A1677) - 4504 - _xlfn.XMATCH($C1677, $C$4506:$C$5005, 0, 1), 0), 0), "00")</f>
        <v>00</v>
      </c>
      <c r="H1677" s="1" t="str">
        <f t="shared" si="157"/>
        <v>121</v>
      </c>
      <c r="I1677" s="1" t="str">
        <f t="shared" si="158"/>
        <v>12500-121</v>
      </c>
      <c r="J1677" s="1" t="str">
        <f t="shared" si="159"/>
        <v>Electric guitar production item #121</v>
      </c>
      <c r="K1677" s="1" t="str">
        <f>IF(SUM(COUNTIFS(I:I, I1677)) &gt; 1, "DUPLICATE", "UNIQUE")</f>
        <v>UNIQUE</v>
      </c>
      <c r="L1677" s="18">
        <v>16</v>
      </c>
      <c r="M1677" s="28">
        <v>26</v>
      </c>
      <c r="N1677" s="6">
        <v>324</v>
      </c>
      <c r="O1677" s="30">
        <f t="shared" si="160"/>
        <v>416</v>
      </c>
      <c r="P1677" s="30">
        <f t="shared" si="161"/>
        <v>8424</v>
      </c>
      <c r="Q1677" s="1">
        <f>COUNTIFS($P:$P, "&gt;" &amp; $P1677) + 1</f>
        <v>1937</v>
      </c>
      <c r="R1677" s="63">
        <f>(COUNTIFS($P:$P, "&gt;" &amp; $P1677) + 1) / (COUNTA($I:$I) - 1)</f>
        <v>0.38740000000000002</v>
      </c>
      <c r="S1677" s="23">
        <f>SUMIFS($P:$P, $Q:$Q, "&lt;" &amp; $Q1677)</f>
        <v>179482317</v>
      </c>
    </row>
    <row r="1678" spans="1:19" x14ac:dyDescent="0.25">
      <c r="A1678" s="1">
        <v>1673</v>
      </c>
      <c r="B1678" s="1" t="s">
        <v>2</v>
      </c>
      <c r="C1678" s="1" t="str">
        <f>IF($B1678 = "Production Item", _xlfn.XLOOKUP($A1678, 'Instrument Table'!$J:$J, 'Instrument Table'!$B:$B, $C1677), IF($B1678 = "Service Item", _xlfn.XLOOKUP($A1678, 'Instrument Table'!$I:$I, 'Instrument Table'!$B:$B, $C1677), _xlfn.XLOOKUP($A1678, 'Instrument Table'!$H:$H, 'Instrument Table'!$B:$B, $C1677)))</f>
        <v>Electric Guitar</v>
      </c>
      <c r="D1678" s="1" t="str">
        <f>VLOOKUP($C1678, 'Instrument Table'!$B:$C, 2, FALSE)</f>
        <v>Strings</v>
      </c>
      <c r="E1678" s="1">
        <f t="shared" si="156"/>
        <v>1</v>
      </c>
      <c r="F1678" s="1">
        <f>_xlfn.XLOOKUP($C1678, 'Instrument Table'!$B:$B, 'Instrument Table'!$A:$A, "")</f>
        <v>25</v>
      </c>
      <c r="G1678" s="1" t="str">
        <f>TEXT(IF($B1678 = "Retail Item", IF((ROW($A1678) - 4504 - _xlfn.XMATCH($C1678, $C$4506:$C$5005, 0, 1)) &lt;= VLOOKUP($C1678, 'Instrument Table'!$B:$D, 3, FALSE), ROW($A1678) - 4504 - _xlfn.XMATCH($C1678, $C$4506:$C$5005, 0, 1), 0), 0), "00")</f>
        <v>00</v>
      </c>
      <c r="H1678" s="1" t="str">
        <f t="shared" si="157"/>
        <v>122</v>
      </c>
      <c r="I1678" s="1" t="str">
        <f t="shared" si="158"/>
        <v>12500-122</v>
      </c>
      <c r="J1678" s="1" t="str">
        <f t="shared" si="159"/>
        <v>Electric guitar production item #122</v>
      </c>
      <c r="K1678" s="1" t="str">
        <f>IF(SUM(COUNTIFS(I:I, I1678)) &gt; 1, "DUPLICATE", "UNIQUE")</f>
        <v>UNIQUE</v>
      </c>
      <c r="L1678" s="18">
        <v>1</v>
      </c>
      <c r="M1678" s="28">
        <v>71</v>
      </c>
      <c r="N1678" s="6">
        <v>25</v>
      </c>
      <c r="O1678" s="30">
        <f t="shared" si="160"/>
        <v>71</v>
      </c>
      <c r="P1678" s="30">
        <f t="shared" si="161"/>
        <v>1775</v>
      </c>
      <c r="Q1678" s="1">
        <f>COUNTIFS($P:$P, "&gt;" &amp; $P1678) + 1</f>
        <v>3349</v>
      </c>
      <c r="R1678" s="63">
        <f>(COUNTIFS($P:$P, "&gt;" &amp; $P1678) + 1) / (COUNTA($I:$I) - 1)</f>
        <v>0.66979999999999995</v>
      </c>
      <c r="S1678" s="23">
        <f>SUMIFS($P:$P, $Q:$Q, "&lt;" &amp; $Q1678)</f>
        <v>185698665</v>
      </c>
    </row>
    <row r="1679" spans="1:19" x14ac:dyDescent="0.25">
      <c r="A1679" s="1">
        <v>1674</v>
      </c>
      <c r="B1679" s="1" t="s">
        <v>2</v>
      </c>
      <c r="C1679" s="1" t="str">
        <f>IF($B1679 = "Production Item", _xlfn.XLOOKUP($A1679, 'Instrument Table'!$J:$J, 'Instrument Table'!$B:$B, $C1678), IF($B1679 = "Service Item", _xlfn.XLOOKUP($A1679, 'Instrument Table'!$I:$I, 'Instrument Table'!$B:$B, $C1678), _xlfn.XLOOKUP($A1679, 'Instrument Table'!$H:$H, 'Instrument Table'!$B:$B, $C1678)))</f>
        <v>Electric Guitar</v>
      </c>
      <c r="D1679" s="1" t="str">
        <f>VLOOKUP($C1679, 'Instrument Table'!$B:$C, 2, FALSE)</f>
        <v>Strings</v>
      </c>
      <c r="E1679" s="1">
        <f t="shared" si="156"/>
        <v>1</v>
      </c>
      <c r="F1679" s="1">
        <f>_xlfn.XLOOKUP($C1679, 'Instrument Table'!$B:$B, 'Instrument Table'!$A:$A, "")</f>
        <v>25</v>
      </c>
      <c r="G1679" s="1" t="str">
        <f>TEXT(IF($B1679 = "Retail Item", IF((ROW($A1679) - 4504 - _xlfn.XMATCH($C1679, $C$4506:$C$5005, 0, 1)) &lt;= VLOOKUP($C1679, 'Instrument Table'!$B:$D, 3, FALSE), ROW($A1679) - 4504 - _xlfn.XMATCH($C1679, $C$4506:$C$5005, 0, 1), 0), 0), "00")</f>
        <v>00</v>
      </c>
      <c r="H1679" s="1" t="str">
        <f t="shared" si="157"/>
        <v>123</v>
      </c>
      <c r="I1679" s="1" t="str">
        <f t="shared" si="158"/>
        <v>12500-123</v>
      </c>
      <c r="J1679" s="1" t="str">
        <f t="shared" si="159"/>
        <v>Electric guitar production item #123</v>
      </c>
      <c r="K1679" s="1" t="str">
        <f>IF(SUM(COUNTIFS(I:I, I1679)) &gt; 1, "DUPLICATE", "UNIQUE")</f>
        <v>UNIQUE</v>
      </c>
      <c r="L1679" s="18">
        <v>2</v>
      </c>
      <c r="M1679" s="28">
        <v>66</v>
      </c>
      <c r="N1679" s="6">
        <v>16</v>
      </c>
      <c r="O1679" s="30">
        <f t="shared" si="160"/>
        <v>132</v>
      </c>
      <c r="P1679" s="30">
        <f t="shared" si="161"/>
        <v>1056</v>
      </c>
      <c r="Q1679" s="1">
        <f>COUNTIFS($P:$P, "&gt;" &amp; $P1679) + 1</f>
        <v>3660</v>
      </c>
      <c r="R1679" s="63">
        <f>(COUNTIFS($P:$P, "&gt;" &amp; $P1679) + 1) / (COUNTA($I:$I) - 1)</f>
        <v>0.73199999999999998</v>
      </c>
      <c r="S1679" s="23">
        <f>SUMIFS($P:$P, $Q:$Q, "&lt;" &amp; $Q1679)</f>
        <v>186138616</v>
      </c>
    </row>
    <row r="1680" spans="1:19" x14ac:dyDescent="0.25">
      <c r="A1680" s="1">
        <v>1675</v>
      </c>
      <c r="B1680" s="1" t="s">
        <v>2</v>
      </c>
      <c r="C1680" s="1" t="str">
        <f>IF($B1680 = "Production Item", _xlfn.XLOOKUP($A1680, 'Instrument Table'!$J:$J, 'Instrument Table'!$B:$B, $C1679), IF($B1680 = "Service Item", _xlfn.XLOOKUP($A1680, 'Instrument Table'!$I:$I, 'Instrument Table'!$B:$B, $C1679), _xlfn.XLOOKUP($A1680, 'Instrument Table'!$H:$H, 'Instrument Table'!$B:$B, $C1679)))</f>
        <v>Electric Guitar</v>
      </c>
      <c r="D1680" s="1" t="str">
        <f>VLOOKUP($C1680, 'Instrument Table'!$B:$C, 2, FALSE)</f>
        <v>Strings</v>
      </c>
      <c r="E1680" s="1">
        <f t="shared" si="156"/>
        <v>1</v>
      </c>
      <c r="F1680" s="1">
        <f>_xlfn.XLOOKUP($C1680, 'Instrument Table'!$B:$B, 'Instrument Table'!$A:$A, "")</f>
        <v>25</v>
      </c>
      <c r="G1680" s="1" t="str">
        <f>TEXT(IF($B1680 = "Retail Item", IF((ROW($A1680) - 4504 - _xlfn.XMATCH($C1680, $C$4506:$C$5005, 0, 1)) &lt;= VLOOKUP($C1680, 'Instrument Table'!$B:$D, 3, FALSE), ROW($A1680) - 4504 - _xlfn.XMATCH($C1680, $C$4506:$C$5005, 0, 1), 0), 0), "00")</f>
        <v>00</v>
      </c>
      <c r="H1680" s="1" t="str">
        <f t="shared" si="157"/>
        <v>124</v>
      </c>
      <c r="I1680" s="1" t="str">
        <f t="shared" si="158"/>
        <v>12500-124</v>
      </c>
      <c r="J1680" s="1" t="str">
        <f t="shared" si="159"/>
        <v>Electric guitar production item #124</v>
      </c>
      <c r="K1680" s="1" t="str">
        <f>IF(SUM(COUNTIFS(I:I, I1680)) &gt; 1, "DUPLICATE", "UNIQUE")</f>
        <v>UNIQUE</v>
      </c>
      <c r="L1680" s="18">
        <v>0</v>
      </c>
      <c r="M1680" s="28">
        <v>29</v>
      </c>
      <c r="N1680" s="6">
        <v>400</v>
      </c>
      <c r="O1680" s="30">
        <f t="shared" si="160"/>
        <v>0</v>
      </c>
      <c r="P1680" s="30">
        <f t="shared" si="161"/>
        <v>11600</v>
      </c>
      <c r="Q1680" s="1">
        <f>COUNTIFS($P:$P, "&gt;" &amp; $P1680) + 1</f>
        <v>1622</v>
      </c>
      <c r="R1680" s="63">
        <f>(COUNTIFS($P:$P, "&gt;" &amp; $P1680) + 1) / (COUNTA($I:$I) - 1)</f>
        <v>0.32440000000000002</v>
      </c>
      <c r="S1680" s="23">
        <f>SUMIFS($P:$P, $Q:$Q, "&lt;" &amp; $Q1680)</f>
        <v>176335567</v>
      </c>
    </row>
    <row r="1681" spans="1:19" x14ac:dyDescent="0.25">
      <c r="A1681" s="1">
        <v>1676</v>
      </c>
      <c r="B1681" s="1" t="s">
        <v>2</v>
      </c>
      <c r="C1681" s="1" t="str">
        <f>IF($B1681 = "Production Item", _xlfn.XLOOKUP($A1681, 'Instrument Table'!$J:$J, 'Instrument Table'!$B:$B, $C1680), IF($B1681 = "Service Item", _xlfn.XLOOKUP($A1681, 'Instrument Table'!$I:$I, 'Instrument Table'!$B:$B, $C1680), _xlfn.XLOOKUP($A1681, 'Instrument Table'!$H:$H, 'Instrument Table'!$B:$B, $C1680)))</f>
        <v>Electric Guitar</v>
      </c>
      <c r="D1681" s="1" t="str">
        <f>VLOOKUP($C1681, 'Instrument Table'!$B:$C, 2, FALSE)</f>
        <v>Strings</v>
      </c>
      <c r="E1681" s="1">
        <f t="shared" si="156"/>
        <v>1</v>
      </c>
      <c r="F1681" s="1">
        <f>_xlfn.XLOOKUP($C1681, 'Instrument Table'!$B:$B, 'Instrument Table'!$A:$A, "")</f>
        <v>25</v>
      </c>
      <c r="G1681" s="1" t="str">
        <f>TEXT(IF($B1681 = "Retail Item", IF((ROW($A1681) - 4504 - _xlfn.XMATCH($C1681, $C$4506:$C$5005, 0, 1)) &lt;= VLOOKUP($C1681, 'Instrument Table'!$B:$D, 3, FALSE), ROW($A1681) - 4504 - _xlfn.XMATCH($C1681, $C$4506:$C$5005, 0, 1), 0), 0), "00")</f>
        <v>00</v>
      </c>
      <c r="H1681" s="1" t="str">
        <f t="shared" si="157"/>
        <v>125</v>
      </c>
      <c r="I1681" s="1" t="str">
        <f t="shared" si="158"/>
        <v>12500-125</v>
      </c>
      <c r="J1681" s="1" t="str">
        <f t="shared" si="159"/>
        <v>Electric guitar production item #125</v>
      </c>
      <c r="K1681" s="1" t="str">
        <f>IF(SUM(COUNTIFS(I:I, I1681)) &gt; 1, "DUPLICATE", "UNIQUE")</f>
        <v>UNIQUE</v>
      </c>
      <c r="L1681" s="18">
        <v>1</v>
      </c>
      <c r="M1681" s="28">
        <v>37</v>
      </c>
      <c r="N1681" s="6">
        <v>169</v>
      </c>
      <c r="O1681" s="30">
        <f t="shared" si="160"/>
        <v>37</v>
      </c>
      <c r="P1681" s="30">
        <f t="shared" si="161"/>
        <v>6253</v>
      </c>
      <c r="Q1681" s="1">
        <f>COUNTIFS($P:$P, "&gt;" &amp; $P1681) + 1</f>
        <v>2229</v>
      </c>
      <c r="R1681" s="63">
        <f>(COUNTIFS($P:$P, "&gt;" &amp; $P1681) + 1) / (COUNTA($I:$I) - 1)</f>
        <v>0.44579999999999997</v>
      </c>
      <c r="S1681" s="23">
        <f>SUMIFS($P:$P, $Q:$Q, "&lt;" &amp; $Q1681)</f>
        <v>181637966</v>
      </c>
    </row>
    <row r="1682" spans="1:19" x14ac:dyDescent="0.25">
      <c r="A1682" s="1">
        <v>1677</v>
      </c>
      <c r="B1682" s="1" t="s">
        <v>2</v>
      </c>
      <c r="C1682" s="1" t="str">
        <f>IF($B1682 = "Production Item", _xlfn.XLOOKUP($A1682, 'Instrument Table'!$J:$J, 'Instrument Table'!$B:$B, $C1681), IF($B1682 = "Service Item", _xlfn.XLOOKUP($A1682, 'Instrument Table'!$I:$I, 'Instrument Table'!$B:$B, $C1681), _xlfn.XLOOKUP($A1682, 'Instrument Table'!$H:$H, 'Instrument Table'!$B:$B, $C1681)))</f>
        <v>Electric Guitar</v>
      </c>
      <c r="D1682" s="1" t="str">
        <f>VLOOKUP($C1682, 'Instrument Table'!$B:$C, 2, FALSE)</f>
        <v>Strings</v>
      </c>
      <c r="E1682" s="1">
        <f t="shared" si="156"/>
        <v>1</v>
      </c>
      <c r="F1682" s="1">
        <f>_xlfn.XLOOKUP($C1682, 'Instrument Table'!$B:$B, 'Instrument Table'!$A:$A, "")</f>
        <v>25</v>
      </c>
      <c r="G1682" s="1" t="str">
        <f>TEXT(IF($B1682 = "Retail Item", IF((ROW($A1682) - 4504 - _xlfn.XMATCH($C1682, $C$4506:$C$5005, 0, 1)) &lt;= VLOOKUP($C1682, 'Instrument Table'!$B:$D, 3, FALSE), ROW($A1682) - 4504 - _xlfn.XMATCH($C1682, $C$4506:$C$5005, 0, 1), 0), 0), "00")</f>
        <v>00</v>
      </c>
      <c r="H1682" s="1" t="str">
        <f t="shared" si="157"/>
        <v>126</v>
      </c>
      <c r="I1682" s="1" t="str">
        <f t="shared" si="158"/>
        <v>12500-126</v>
      </c>
      <c r="J1682" s="1" t="str">
        <f t="shared" si="159"/>
        <v>Electric guitar production item #126</v>
      </c>
      <c r="K1682" s="1" t="str">
        <f>IF(SUM(COUNTIFS(I:I, I1682)) &gt; 1, "DUPLICATE", "UNIQUE")</f>
        <v>UNIQUE</v>
      </c>
      <c r="L1682" s="18">
        <v>0</v>
      </c>
      <c r="M1682" s="28">
        <v>100</v>
      </c>
      <c r="N1682" s="6">
        <v>289</v>
      </c>
      <c r="O1682" s="30">
        <f t="shared" si="160"/>
        <v>0</v>
      </c>
      <c r="P1682" s="30">
        <f t="shared" si="161"/>
        <v>28900</v>
      </c>
      <c r="Q1682" s="1">
        <f>COUNTIFS($P:$P, "&gt;" &amp; $P1682) + 1</f>
        <v>714</v>
      </c>
      <c r="R1682" s="63">
        <f>(COUNTIFS($P:$P, "&gt;" &amp; $P1682) + 1) / (COUNTA($I:$I) - 1)</f>
        <v>0.14280000000000001</v>
      </c>
      <c r="S1682" s="23">
        <f>SUMIFS($P:$P, $Q:$Q, "&lt;" &amp; $Q1682)</f>
        <v>159498251</v>
      </c>
    </row>
    <row r="1683" spans="1:19" x14ac:dyDescent="0.25">
      <c r="A1683" s="1">
        <v>1678</v>
      </c>
      <c r="B1683" s="1" t="s">
        <v>2</v>
      </c>
      <c r="C1683" s="1" t="str">
        <f>IF($B1683 = "Production Item", _xlfn.XLOOKUP($A1683, 'Instrument Table'!$J:$J, 'Instrument Table'!$B:$B, $C1682), IF($B1683 = "Service Item", _xlfn.XLOOKUP($A1683, 'Instrument Table'!$I:$I, 'Instrument Table'!$B:$B, $C1682), _xlfn.XLOOKUP($A1683, 'Instrument Table'!$H:$H, 'Instrument Table'!$B:$B, $C1682)))</f>
        <v>Electric Guitar</v>
      </c>
      <c r="D1683" s="1" t="str">
        <f>VLOOKUP($C1683, 'Instrument Table'!$B:$C, 2, FALSE)</f>
        <v>Strings</v>
      </c>
      <c r="E1683" s="1">
        <f t="shared" si="156"/>
        <v>1</v>
      </c>
      <c r="F1683" s="1">
        <f>_xlfn.XLOOKUP($C1683, 'Instrument Table'!$B:$B, 'Instrument Table'!$A:$A, "")</f>
        <v>25</v>
      </c>
      <c r="G1683" s="1" t="str">
        <f>TEXT(IF($B1683 = "Retail Item", IF((ROW($A1683) - 4504 - _xlfn.XMATCH($C1683, $C$4506:$C$5005, 0, 1)) &lt;= VLOOKUP($C1683, 'Instrument Table'!$B:$D, 3, FALSE), ROW($A1683) - 4504 - _xlfn.XMATCH($C1683, $C$4506:$C$5005, 0, 1), 0), 0), "00")</f>
        <v>00</v>
      </c>
      <c r="H1683" s="1" t="str">
        <f t="shared" si="157"/>
        <v>127</v>
      </c>
      <c r="I1683" s="1" t="str">
        <f t="shared" si="158"/>
        <v>12500-127</v>
      </c>
      <c r="J1683" s="1" t="str">
        <f t="shared" si="159"/>
        <v>Electric guitar production item #127</v>
      </c>
      <c r="K1683" s="1" t="str">
        <f>IF(SUM(COUNTIFS(I:I, I1683)) &gt; 1, "DUPLICATE", "UNIQUE")</f>
        <v>UNIQUE</v>
      </c>
      <c r="L1683" s="18">
        <v>1</v>
      </c>
      <c r="M1683" s="28">
        <v>21</v>
      </c>
      <c r="N1683" s="6">
        <v>169</v>
      </c>
      <c r="O1683" s="30">
        <f t="shared" si="160"/>
        <v>21</v>
      </c>
      <c r="P1683" s="30">
        <f t="shared" si="161"/>
        <v>3549</v>
      </c>
      <c r="Q1683" s="1">
        <f>COUNTIFS($P:$P, "&gt;" &amp; $P1683) + 1</f>
        <v>2756</v>
      </c>
      <c r="R1683" s="63">
        <f>(COUNTIFS($P:$P, "&gt;" &amp; $P1683) + 1) / (COUNTA($I:$I) - 1)</f>
        <v>0.55120000000000002</v>
      </c>
      <c r="S1683" s="23">
        <f>SUMIFS($P:$P, $Q:$Q, "&lt;" &amp; $Q1683)</f>
        <v>184172230</v>
      </c>
    </row>
    <row r="1684" spans="1:19" x14ac:dyDescent="0.25">
      <c r="A1684" s="1">
        <v>1679</v>
      </c>
      <c r="B1684" s="1" t="s">
        <v>2</v>
      </c>
      <c r="C1684" s="1" t="str">
        <f>IF($B1684 = "Production Item", _xlfn.XLOOKUP($A1684, 'Instrument Table'!$J:$J, 'Instrument Table'!$B:$B, $C1683), IF($B1684 = "Service Item", _xlfn.XLOOKUP($A1684, 'Instrument Table'!$I:$I, 'Instrument Table'!$B:$B, $C1683), _xlfn.XLOOKUP($A1684, 'Instrument Table'!$H:$H, 'Instrument Table'!$B:$B, $C1683)))</f>
        <v>Electric Guitar</v>
      </c>
      <c r="D1684" s="1" t="str">
        <f>VLOOKUP($C1684, 'Instrument Table'!$B:$C, 2, FALSE)</f>
        <v>Strings</v>
      </c>
      <c r="E1684" s="1">
        <f t="shared" si="156"/>
        <v>1</v>
      </c>
      <c r="F1684" s="1">
        <f>_xlfn.XLOOKUP($C1684, 'Instrument Table'!$B:$B, 'Instrument Table'!$A:$A, "")</f>
        <v>25</v>
      </c>
      <c r="G1684" s="1" t="str">
        <f>TEXT(IF($B1684 = "Retail Item", IF((ROW($A1684) - 4504 - _xlfn.XMATCH($C1684, $C$4506:$C$5005, 0, 1)) &lt;= VLOOKUP($C1684, 'Instrument Table'!$B:$D, 3, FALSE), ROW($A1684) - 4504 - _xlfn.XMATCH($C1684, $C$4506:$C$5005, 0, 1), 0), 0), "00")</f>
        <v>00</v>
      </c>
      <c r="H1684" s="1" t="str">
        <f t="shared" si="157"/>
        <v>128</v>
      </c>
      <c r="I1684" s="1" t="str">
        <f t="shared" si="158"/>
        <v>12500-128</v>
      </c>
      <c r="J1684" s="1" t="str">
        <f t="shared" si="159"/>
        <v>Electric guitar production item #128</v>
      </c>
      <c r="K1684" s="1" t="str">
        <f>IF(SUM(COUNTIFS(I:I, I1684)) &gt; 1, "DUPLICATE", "UNIQUE")</f>
        <v>UNIQUE</v>
      </c>
      <c r="L1684" s="18">
        <v>1</v>
      </c>
      <c r="M1684" s="28">
        <v>54</v>
      </c>
      <c r="N1684" s="6">
        <v>169</v>
      </c>
      <c r="O1684" s="30">
        <f t="shared" si="160"/>
        <v>54</v>
      </c>
      <c r="P1684" s="30">
        <f t="shared" si="161"/>
        <v>9126</v>
      </c>
      <c r="Q1684" s="1">
        <f>COUNTIFS($P:$P, "&gt;" &amp; $P1684) + 1</f>
        <v>1858</v>
      </c>
      <c r="R1684" s="63">
        <f>(COUNTIFS($P:$P, "&gt;" &amp; $P1684) + 1) / (COUNTA($I:$I) - 1)</f>
        <v>0.37159999999999999</v>
      </c>
      <c r="S1684" s="23">
        <f>SUMIFS($P:$P, $Q:$Q, "&lt;" &amp; $Q1684)</f>
        <v>178787496</v>
      </c>
    </row>
    <row r="1685" spans="1:19" x14ac:dyDescent="0.25">
      <c r="A1685" s="1">
        <v>1680</v>
      </c>
      <c r="B1685" s="1" t="s">
        <v>2</v>
      </c>
      <c r="C1685" s="1" t="str">
        <f>IF($B1685 = "Production Item", _xlfn.XLOOKUP($A1685, 'Instrument Table'!$J:$J, 'Instrument Table'!$B:$B, $C1684), IF($B1685 = "Service Item", _xlfn.XLOOKUP($A1685, 'Instrument Table'!$I:$I, 'Instrument Table'!$B:$B, $C1684), _xlfn.XLOOKUP($A1685, 'Instrument Table'!$H:$H, 'Instrument Table'!$B:$B, $C1684)))</f>
        <v>Electric Guitar</v>
      </c>
      <c r="D1685" s="1" t="str">
        <f>VLOOKUP($C1685, 'Instrument Table'!$B:$C, 2, FALSE)</f>
        <v>Strings</v>
      </c>
      <c r="E1685" s="1">
        <f t="shared" si="156"/>
        <v>1</v>
      </c>
      <c r="F1685" s="1">
        <f>_xlfn.XLOOKUP($C1685, 'Instrument Table'!$B:$B, 'Instrument Table'!$A:$A, "")</f>
        <v>25</v>
      </c>
      <c r="G1685" s="1" t="str">
        <f>TEXT(IF($B1685 = "Retail Item", IF((ROW($A1685) - 4504 - _xlfn.XMATCH($C1685, $C$4506:$C$5005, 0, 1)) &lt;= VLOOKUP($C1685, 'Instrument Table'!$B:$D, 3, FALSE), ROW($A1685) - 4504 - _xlfn.XMATCH($C1685, $C$4506:$C$5005, 0, 1), 0), 0), "00")</f>
        <v>00</v>
      </c>
      <c r="H1685" s="1" t="str">
        <f t="shared" si="157"/>
        <v>129</v>
      </c>
      <c r="I1685" s="1" t="str">
        <f t="shared" si="158"/>
        <v>12500-129</v>
      </c>
      <c r="J1685" s="1" t="str">
        <f t="shared" si="159"/>
        <v>Electric guitar production item #129</v>
      </c>
      <c r="K1685" s="1" t="str">
        <f>IF(SUM(COUNTIFS(I:I, I1685)) &gt; 1, "DUPLICATE", "UNIQUE")</f>
        <v>UNIQUE</v>
      </c>
      <c r="L1685" s="18">
        <v>8</v>
      </c>
      <c r="M1685" s="28">
        <v>50</v>
      </c>
      <c r="N1685" s="6">
        <v>4</v>
      </c>
      <c r="O1685" s="30">
        <f t="shared" si="160"/>
        <v>400</v>
      </c>
      <c r="P1685" s="30">
        <f t="shared" si="161"/>
        <v>200</v>
      </c>
      <c r="Q1685" s="1">
        <f>COUNTIFS($P:$P, "&gt;" &amp; $P1685) + 1</f>
        <v>4322</v>
      </c>
      <c r="R1685" s="63">
        <f>(COUNTIFS($P:$P, "&gt;" &amp; $P1685) + 1) / (COUNTA($I:$I) - 1)</f>
        <v>0.86439999999999995</v>
      </c>
      <c r="S1685" s="23">
        <f>SUMIFS($P:$P, $Q:$Q, "&lt;" &amp; $Q1685)</f>
        <v>186512097</v>
      </c>
    </row>
    <row r="1686" spans="1:19" x14ac:dyDescent="0.25">
      <c r="A1686" s="1">
        <v>1681</v>
      </c>
      <c r="B1686" s="1" t="s">
        <v>2</v>
      </c>
      <c r="C1686" s="1" t="str">
        <f>IF($B1686 = "Production Item", _xlfn.XLOOKUP($A1686, 'Instrument Table'!$J:$J, 'Instrument Table'!$B:$B, $C1685), IF($B1686 = "Service Item", _xlfn.XLOOKUP($A1686, 'Instrument Table'!$I:$I, 'Instrument Table'!$B:$B, $C1685), _xlfn.XLOOKUP($A1686, 'Instrument Table'!$H:$H, 'Instrument Table'!$B:$B, $C1685)))</f>
        <v>Electric Guitar</v>
      </c>
      <c r="D1686" s="1" t="str">
        <f>VLOOKUP($C1686, 'Instrument Table'!$B:$C, 2, FALSE)</f>
        <v>Strings</v>
      </c>
      <c r="E1686" s="1">
        <f t="shared" si="156"/>
        <v>1</v>
      </c>
      <c r="F1686" s="1">
        <f>_xlfn.XLOOKUP($C1686, 'Instrument Table'!$B:$B, 'Instrument Table'!$A:$A, "")</f>
        <v>25</v>
      </c>
      <c r="G1686" s="1" t="str">
        <f>TEXT(IF($B1686 = "Retail Item", IF((ROW($A1686) - 4504 - _xlfn.XMATCH($C1686, $C$4506:$C$5005, 0, 1)) &lt;= VLOOKUP($C1686, 'Instrument Table'!$B:$D, 3, FALSE), ROW($A1686) - 4504 - _xlfn.XMATCH($C1686, $C$4506:$C$5005, 0, 1), 0), 0), "00")</f>
        <v>00</v>
      </c>
      <c r="H1686" s="1" t="str">
        <f t="shared" si="157"/>
        <v>130</v>
      </c>
      <c r="I1686" s="1" t="str">
        <f t="shared" si="158"/>
        <v>12500-130</v>
      </c>
      <c r="J1686" s="1" t="str">
        <f t="shared" si="159"/>
        <v>Electric guitar production item #130</v>
      </c>
      <c r="K1686" s="1" t="str">
        <f>IF(SUM(COUNTIFS(I:I, I1686)) &gt; 1, "DUPLICATE", "UNIQUE")</f>
        <v>UNIQUE</v>
      </c>
      <c r="L1686" s="18">
        <v>16</v>
      </c>
      <c r="M1686" s="28">
        <v>92</v>
      </c>
      <c r="N1686" s="6">
        <v>25</v>
      </c>
      <c r="O1686" s="30">
        <f t="shared" si="160"/>
        <v>1472</v>
      </c>
      <c r="P1686" s="30">
        <f t="shared" si="161"/>
        <v>2300</v>
      </c>
      <c r="Q1686" s="1">
        <f>COUNTIFS($P:$P, "&gt;" &amp; $P1686) + 1</f>
        <v>3131</v>
      </c>
      <c r="R1686" s="63">
        <f>(COUNTIFS($P:$P, "&gt;" &amp; $P1686) + 1) / (COUNTA($I:$I) - 1)</f>
        <v>0.62619999999999998</v>
      </c>
      <c r="S1686" s="23">
        <f>SUMIFS($P:$P, $Q:$Q, "&lt;" &amp; $Q1686)</f>
        <v>185254605</v>
      </c>
    </row>
    <row r="1687" spans="1:19" x14ac:dyDescent="0.25">
      <c r="A1687" s="1">
        <v>1682</v>
      </c>
      <c r="B1687" s="1" t="s">
        <v>2</v>
      </c>
      <c r="C1687" s="1" t="str">
        <f>IF($B1687 = "Production Item", _xlfn.XLOOKUP($A1687, 'Instrument Table'!$J:$J, 'Instrument Table'!$B:$B, $C1686), IF($B1687 = "Service Item", _xlfn.XLOOKUP($A1687, 'Instrument Table'!$I:$I, 'Instrument Table'!$B:$B, $C1686), _xlfn.XLOOKUP($A1687, 'Instrument Table'!$H:$H, 'Instrument Table'!$B:$B, $C1686)))</f>
        <v>Electric Guitar</v>
      </c>
      <c r="D1687" s="1" t="str">
        <f>VLOOKUP($C1687, 'Instrument Table'!$B:$C, 2, FALSE)</f>
        <v>Strings</v>
      </c>
      <c r="E1687" s="1">
        <f t="shared" si="156"/>
        <v>1</v>
      </c>
      <c r="F1687" s="1">
        <f>_xlfn.XLOOKUP($C1687, 'Instrument Table'!$B:$B, 'Instrument Table'!$A:$A, "")</f>
        <v>25</v>
      </c>
      <c r="G1687" s="1" t="str">
        <f>TEXT(IF($B1687 = "Retail Item", IF((ROW($A1687) - 4504 - _xlfn.XMATCH($C1687, $C$4506:$C$5005, 0, 1)) &lt;= VLOOKUP($C1687, 'Instrument Table'!$B:$D, 3, FALSE), ROW($A1687) - 4504 - _xlfn.XMATCH($C1687, $C$4506:$C$5005, 0, 1), 0), 0), "00")</f>
        <v>00</v>
      </c>
      <c r="H1687" s="1" t="str">
        <f t="shared" si="157"/>
        <v>131</v>
      </c>
      <c r="I1687" s="1" t="str">
        <f t="shared" si="158"/>
        <v>12500-131</v>
      </c>
      <c r="J1687" s="1" t="str">
        <f t="shared" si="159"/>
        <v>Electric guitar production item #131</v>
      </c>
      <c r="K1687" s="1" t="str">
        <f>IF(SUM(COUNTIFS(I:I, I1687)) &gt; 1, "DUPLICATE", "UNIQUE")</f>
        <v>UNIQUE</v>
      </c>
      <c r="L1687" s="18">
        <v>0</v>
      </c>
      <c r="M1687" s="28">
        <v>53</v>
      </c>
      <c r="N1687" s="6">
        <v>400</v>
      </c>
      <c r="O1687" s="30">
        <f t="shared" si="160"/>
        <v>0</v>
      </c>
      <c r="P1687" s="30">
        <f t="shared" si="161"/>
        <v>21200</v>
      </c>
      <c r="Q1687" s="1">
        <f>COUNTIFS($P:$P, "&gt;" &amp; $P1687) + 1</f>
        <v>994</v>
      </c>
      <c r="R1687" s="63">
        <f>(COUNTIFS($P:$P, "&gt;" &amp; $P1687) + 1) / (COUNTA($I:$I) - 1)</f>
        <v>0.1988</v>
      </c>
      <c r="S1687" s="23">
        <f>SUMIFS($P:$P, $Q:$Q, "&lt;" &amp; $Q1687)</f>
        <v>166363948</v>
      </c>
    </row>
    <row r="1688" spans="1:19" x14ac:dyDescent="0.25">
      <c r="A1688" s="1">
        <v>1683</v>
      </c>
      <c r="B1688" s="1" t="s">
        <v>2</v>
      </c>
      <c r="C1688" s="1" t="str">
        <f>IF($B1688 = "Production Item", _xlfn.XLOOKUP($A1688, 'Instrument Table'!$J:$J, 'Instrument Table'!$B:$B, $C1687), IF($B1688 = "Service Item", _xlfn.XLOOKUP($A1688, 'Instrument Table'!$I:$I, 'Instrument Table'!$B:$B, $C1687), _xlfn.XLOOKUP($A1688, 'Instrument Table'!$H:$H, 'Instrument Table'!$B:$B, $C1687)))</f>
        <v>Electric Guitar</v>
      </c>
      <c r="D1688" s="1" t="str">
        <f>VLOOKUP($C1688, 'Instrument Table'!$B:$C, 2, FALSE)</f>
        <v>Strings</v>
      </c>
      <c r="E1688" s="1">
        <f t="shared" si="156"/>
        <v>1</v>
      </c>
      <c r="F1688" s="1">
        <f>_xlfn.XLOOKUP($C1688, 'Instrument Table'!$B:$B, 'Instrument Table'!$A:$A, "")</f>
        <v>25</v>
      </c>
      <c r="G1688" s="1" t="str">
        <f>TEXT(IF($B1688 = "Retail Item", IF((ROW($A1688) - 4504 - _xlfn.XMATCH($C1688, $C$4506:$C$5005, 0, 1)) &lt;= VLOOKUP($C1688, 'Instrument Table'!$B:$D, 3, FALSE), ROW($A1688) - 4504 - _xlfn.XMATCH($C1688, $C$4506:$C$5005, 0, 1), 0), 0), "00")</f>
        <v>00</v>
      </c>
      <c r="H1688" s="1" t="str">
        <f t="shared" si="157"/>
        <v>132</v>
      </c>
      <c r="I1688" s="1" t="str">
        <f t="shared" si="158"/>
        <v>12500-132</v>
      </c>
      <c r="J1688" s="1" t="str">
        <f t="shared" si="159"/>
        <v>Electric guitar production item #132</v>
      </c>
      <c r="K1688" s="1" t="str">
        <f>IF(SUM(COUNTIFS(I:I, I1688)) &gt; 1, "DUPLICATE", "UNIQUE")</f>
        <v>UNIQUE</v>
      </c>
      <c r="L1688" s="18">
        <v>16</v>
      </c>
      <c r="M1688" s="28">
        <v>30</v>
      </c>
      <c r="N1688" s="6">
        <v>1</v>
      </c>
      <c r="O1688" s="30">
        <f t="shared" si="160"/>
        <v>480</v>
      </c>
      <c r="P1688" s="30">
        <f t="shared" si="161"/>
        <v>30</v>
      </c>
      <c r="Q1688" s="1">
        <f>COUNTIFS($P:$P, "&gt;" &amp; $P1688) + 1</f>
        <v>4670</v>
      </c>
      <c r="R1688" s="63">
        <f>(COUNTIFS($P:$P, "&gt;" &amp; $P1688) + 1) / (COUNTA($I:$I) - 1)</f>
        <v>0.93400000000000005</v>
      </c>
      <c r="S1688" s="23">
        <f>SUMIFS($P:$P, $Q:$Q, "&lt;" &amp; $Q1688)</f>
        <v>186546688</v>
      </c>
    </row>
    <row r="1689" spans="1:19" x14ac:dyDescent="0.25">
      <c r="A1689" s="1">
        <v>1684</v>
      </c>
      <c r="B1689" s="1" t="s">
        <v>2</v>
      </c>
      <c r="C1689" s="1" t="str">
        <f>IF($B1689 = "Production Item", _xlfn.XLOOKUP($A1689, 'Instrument Table'!$J:$J, 'Instrument Table'!$B:$B, $C1688), IF($B1689 = "Service Item", _xlfn.XLOOKUP($A1689, 'Instrument Table'!$I:$I, 'Instrument Table'!$B:$B, $C1688), _xlfn.XLOOKUP($A1689, 'Instrument Table'!$H:$H, 'Instrument Table'!$B:$B, $C1688)))</f>
        <v>Electric Guitar</v>
      </c>
      <c r="D1689" s="1" t="str">
        <f>VLOOKUP($C1689, 'Instrument Table'!$B:$C, 2, FALSE)</f>
        <v>Strings</v>
      </c>
      <c r="E1689" s="1">
        <f t="shared" si="156"/>
        <v>1</v>
      </c>
      <c r="F1689" s="1">
        <f>_xlfn.XLOOKUP($C1689, 'Instrument Table'!$B:$B, 'Instrument Table'!$A:$A, "")</f>
        <v>25</v>
      </c>
      <c r="G1689" s="1" t="str">
        <f>TEXT(IF($B1689 = "Retail Item", IF((ROW($A1689) - 4504 - _xlfn.XMATCH($C1689, $C$4506:$C$5005, 0, 1)) &lt;= VLOOKUP($C1689, 'Instrument Table'!$B:$D, 3, FALSE), ROW($A1689) - 4504 - _xlfn.XMATCH($C1689, $C$4506:$C$5005, 0, 1), 0), 0), "00")</f>
        <v>00</v>
      </c>
      <c r="H1689" s="1" t="str">
        <f t="shared" si="157"/>
        <v>133</v>
      </c>
      <c r="I1689" s="1" t="str">
        <f t="shared" si="158"/>
        <v>12500-133</v>
      </c>
      <c r="J1689" s="1" t="str">
        <f t="shared" si="159"/>
        <v>Electric guitar production item #133</v>
      </c>
      <c r="K1689" s="1" t="str">
        <f>IF(SUM(COUNTIFS(I:I, I1689)) &gt; 1, "DUPLICATE", "UNIQUE")</f>
        <v>UNIQUE</v>
      </c>
      <c r="L1689" s="18">
        <v>0</v>
      </c>
      <c r="M1689" s="28">
        <v>68</v>
      </c>
      <c r="N1689" s="6">
        <v>100</v>
      </c>
      <c r="O1689" s="30">
        <f t="shared" si="160"/>
        <v>0</v>
      </c>
      <c r="P1689" s="30">
        <f t="shared" si="161"/>
        <v>6800</v>
      </c>
      <c r="Q1689" s="1">
        <f>COUNTIFS($P:$P, "&gt;" &amp; $P1689) + 1</f>
        <v>2166</v>
      </c>
      <c r="R1689" s="63">
        <f>(COUNTIFS($P:$P, "&gt;" &amp; $P1689) + 1) / (COUNTA($I:$I) - 1)</f>
        <v>0.43319999999999997</v>
      </c>
      <c r="S1689" s="23">
        <f>SUMIFS($P:$P, $Q:$Q, "&lt;" &amp; $Q1689)</f>
        <v>181223492</v>
      </c>
    </row>
    <row r="1690" spans="1:19" x14ac:dyDescent="0.25">
      <c r="A1690" s="1">
        <v>1685</v>
      </c>
      <c r="B1690" s="1" t="s">
        <v>2</v>
      </c>
      <c r="C1690" s="1" t="str">
        <f>IF($B1690 = "Production Item", _xlfn.XLOOKUP($A1690, 'Instrument Table'!$J:$J, 'Instrument Table'!$B:$B, $C1689), IF($B1690 = "Service Item", _xlfn.XLOOKUP($A1690, 'Instrument Table'!$I:$I, 'Instrument Table'!$B:$B, $C1689), _xlfn.XLOOKUP($A1690, 'Instrument Table'!$H:$H, 'Instrument Table'!$B:$B, $C1689)))</f>
        <v>Electric Guitar</v>
      </c>
      <c r="D1690" s="1" t="str">
        <f>VLOOKUP($C1690, 'Instrument Table'!$B:$C, 2, FALSE)</f>
        <v>Strings</v>
      </c>
      <c r="E1690" s="1">
        <f t="shared" si="156"/>
        <v>1</v>
      </c>
      <c r="F1690" s="1">
        <f>_xlfn.XLOOKUP($C1690, 'Instrument Table'!$B:$B, 'Instrument Table'!$A:$A, "")</f>
        <v>25</v>
      </c>
      <c r="G1690" s="1" t="str">
        <f>TEXT(IF($B1690 = "Retail Item", IF((ROW($A1690) - 4504 - _xlfn.XMATCH($C1690, $C$4506:$C$5005, 0, 1)) &lt;= VLOOKUP($C1690, 'Instrument Table'!$B:$D, 3, FALSE), ROW($A1690) - 4504 - _xlfn.XMATCH($C1690, $C$4506:$C$5005, 0, 1), 0), 0), "00")</f>
        <v>00</v>
      </c>
      <c r="H1690" s="1" t="str">
        <f t="shared" si="157"/>
        <v>134</v>
      </c>
      <c r="I1690" s="1" t="str">
        <f t="shared" si="158"/>
        <v>12500-134</v>
      </c>
      <c r="J1690" s="1" t="str">
        <f t="shared" si="159"/>
        <v>Electric guitar production item #134</v>
      </c>
      <c r="K1690" s="1" t="str">
        <f>IF(SUM(COUNTIFS(I:I, I1690)) &gt; 1, "DUPLICATE", "UNIQUE")</f>
        <v>UNIQUE</v>
      </c>
      <c r="L1690" s="18">
        <v>1</v>
      </c>
      <c r="M1690" s="28">
        <v>19</v>
      </c>
      <c r="N1690" s="6">
        <v>169</v>
      </c>
      <c r="O1690" s="30">
        <f t="shared" si="160"/>
        <v>19</v>
      </c>
      <c r="P1690" s="30">
        <f t="shared" si="161"/>
        <v>3211</v>
      </c>
      <c r="Q1690" s="1">
        <f>COUNTIFS($P:$P, "&gt;" &amp; $P1690) + 1</f>
        <v>2850</v>
      </c>
      <c r="R1690" s="63">
        <f>(COUNTIFS($P:$P, "&gt;" &amp; $P1690) + 1) / (COUNTA($I:$I) - 1)</f>
        <v>0.56999999999999995</v>
      </c>
      <c r="S1690" s="23">
        <f>SUMIFS($P:$P, $Q:$Q, "&lt;" &amp; $Q1690)</f>
        <v>184491810</v>
      </c>
    </row>
    <row r="1691" spans="1:19" x14ac:dyDescent="0.25">
      <c r="A1691" s="1">
        <v>1686</v>
      </c>
      <c r="B1691" s="1" t="s">
        <v>2</v>
      </c>
      <c r="C1691" s="1" t="str">
        <f>IF($B1691 = "Production Item", _xlfn.XLOOKUP($A1691, 'Instrument Table'!$J:$J, 'Instrument Table'!$B:$B, $C1690), IF($B1691 = "Service Item", _xlfn.XLOOKUP($A1691, 'Instrument Table'!$I:$I, 'Instrument Table'!$B:$B, $C1690), _xlfn.XLOOKUP($A1691, 'Instrument Table'!$H:$H, 'Instrument Table'!$B:$B, $C1690)))</f>
        <v>Electric Guitar</v>
      </c>
      <c r="D1691" s="1" t="str">
        <f>VLOOKUP($C1691, 'Instrument Table'!$B:$C, 2, FALSE)</f>
        <v>Strings</v>
      </c>
      <c r="E1691" s="1">
        <f t="shared" si="156"/>
        <v>1</v>
      </c>
      <c r="F1691" s="1">
        <f>_xlfn.XLOOKUP($C1691, 'Instrument Table'!$B:$B, 'Instrument Table'!$A:$A, "")</f>
        <v>25</v>
      </c>
      <c r="G1691" s="1" t="str">
        <f>TEXT(IF($B1691 = "Retail Item", IF((ROW($A1691) - 4504 - _xlfn.XMATCH($C1691, $C$4506:$C$5005, 0, 1)) &lt;= VLOOKUP($C1691, 'Instrument Table'!$B:$D, 3, FALSE), ROW($A1691) - 4504 - _xlfn.XMATCH($C1691, $C$4506:$C$5005, 0, 1), 0), 0), "00")</f>
        <v>00</v>
      </c>
      <c r="H1691" s="1" t="str">
        <f t="shared" si="157"/>
        <v>135</v>
      </c>
      <c r="I1691" s="1" t="str">
        <f t="shared" si="158"/>
        <v>12500-135</v>
      </c>
      <c r="J1691" s="1" t="str">
        <f t="shared" si="159"/>
        <v>Electric guitar production item #135</v>
      </c>
      <c r="K1691" s="1" t="str">
        <f>IF(SUM(COUNTIFS(I:I, I1691)) &gt; 1, "DUPLICATE", "UNIQUE")</f>
        <v>UNIQUE</v>
      </c>
      <c r="L1691" s="18">
        <v>4</v>
      </c>
      <c r="M1691" s="28">
        <v>66</v>
      </c>
      <c r="N1691" s="6">
        <v>324</v>
      </c>
      <c r="O1691" s="30">
        <f t="shared" si="160"/>
        <v>264</v>
      </c>
      <c r="P1691" s="30">
        <f t="shared" si="161"/>
        <v>21384</v>
      </c>
      <c r="Q1691" s="1">
        <f>COUNTIFS($P:$P, "&gt;" &amp; $P1691) + 1</f>
        <v>984</v>
      </c>
      <c r="R1691" s="63">
        <f>(COUNTIFS($P:$P, "&gt;" &amp; $P1691) + 1) / (COUNTA($I:$I) - 1)</f>
        <v>0.1968</v>
      </c>
      <c r="S1691" s="23">
        <f>SUMIFS($P:$P, $Q:$Q, "&lt;" &amp; $Q1691)</f>
        <v>166150372</v>
      </c>
    </row>
    <row r="1692" spans="1:19" x14ac:dyDescent="0.25">
      <c r="A1692" s="1">
        <v>1687</v>
      </c>
      <c r="B1692" s="1" t="s">
        <v>2</v>
      </c>
      <c r="C1692" s="1" t="str">
        <f>IF($B1692 = "Production Item", _xlfn.XLOOKUP($A1692, 'Instrument Table'!$J:$J, 'Instrument Table'!$B:$B, $C1691), IF($B1692 = "Service Item", _xlfn.XLOOKUP($A1692, 'Instrument Table'!$I:$I, 'Instrument Table'!$B:$B, $C1691), _xlfn.XLOOKUP($A1692, 'Instrument Table'!$H:$H, 'Instrument Table'!$B:$B, $C1691)))</f>
        <v>Electric Guitar</v>
      </c>
      <c r="D1692" s="1" t="str">
        <f>VLOOKUP($C1692, 'Instrument Table'!$B:$C, 2, FALSE)</f>
        <v>Strings</v>
      </c>
      <c r="E1692" s="1">
        <f t="shared" si="156"/>
        <v>1</v>
      </c>
      <c r="F1692" s="1">
        <f>_xlfn.XLOOKUP($C1692, 'Instrument Table'!$B:$B, 'Instrument Table'!$A:$A, "")</f>
        <v>25</v>
      </c>
      <c r="G1692" s="1" t="str">
        <f>TEXT(IF($B1692 = "Retail Item", IF((ROW($A1692) - 4504 - _xlfn.XMATCH($C1692, $C$4506:$C$5005, 0, 1)) &lt;= VLOOKUP($C1692, 'Instrument Table'!$B:$D, 3, FALSE), ROW($A1692) - 4504 - _xlfn.XMATCH($C1692, $C$4506:$C$5005, 0, 1), 0), 0), "00")</f>
        <v>00</v>
      </c>
      <c r="H1692" s="1" t="str">
        <f t="shared" si="157"/>
        <v>136</v>
      </c>
      <c r="I1692" s="1" t="str">
        <f t="shared" si="158"/>
        <v>12500-136</v>
      </c>
      <c r="J1692" s="1" t="str">
        <f t="shared" si="159"/>
        <v>Electric guitar production item #136</v>
      </c>
      <c r="K1692" s="1" t="str">
        <f>IF(SUM(COUNTIFS(I:I, I1692)) &gt; 1, "DUPLICATE", "UNIQUE")</f>
        <v>UNIQUE</v>
      </c>
      <c r="L1692" s="18">
        <v>16</v>
      </c>
      <c r="M1692" s="28">
        <v>64</v>
      </c>
      <c r="N1692" s="6">
        <v>1</v>
      </c>
      <c r="O1692" s="30">
        <f t="shared" si="160"/>
        <v>1024</v>
      </c>
      <c r="P1692" s="30">
        <f t="shared" si="161"/>
        <v>64</v>
      </c>
      <c r="Q1692" s="1">
        <f>COUNTIFS($P:$P, "&gt;" &amp; $P1692) + 1</f>
        <v>4553</v>
      </c>
      <c r="R1692" s="63">
        <f>(COUNTIFS($P:$P, "&gt;" &amp; $P1692) + 1) / (COUNTA($I:$I) - 1)</f>
        <v>0.91059999999999997</v>
      </c>
      <c r="S1692" s="23">
        <f>SUMIFS($P:$P, $Q:$Q, "&lt;" &amp; $Q1692)</f>
        <v>186540850</v>
      </c>
    </row>
    <row r="1693" spans="1:19" x14ac:dyDescent="0.25">
      <c r="A1693" s="1">
        <v>1688</v>
      </c>
      <c r="B1693" s="1" t="s">
        <v>2</v>
      </c>
      <c r="C1693" s="1" t="str">
        <f>IF($B1693 = "Production Item", _xlfn.XLOOKUP($A1693, 'Instrument Table'!$J:$J, 'Instrument Table'!$B:$B, $C1692), IF($B1693 = "Service Item", _xlfn.XLOOKUP($A1693, 'Instrument Table'!$I:$I, 'Instrument Table'!$B:$B, $C1692), _xlfn.XLOOKUP($A1693, 'Instrument Table'!$H:$H, 'Instrument Table'!$B:$B, $C1692)))</f>
        <v>Electric Guitar</v>
      </c>
      <c r="D1693" s="1" t="str">
        <f>VLOOKUP($C1693, 'Instrument Table'!$B:$C, 2, FALSE)</f>
        <v>Strings</v>
      </c>
      <c r="E1693" s="1">
        <f t="shared" si="156"/>
        <v>1</v>
      </c>
      <c r="F1693" s="1">
        <f>_xlfn.XLOOKUP($C1693, 'Instrument Table'!$B:$B, 'Instrument Table'!$A:$A, "")</f>
        <v>25</v>
      </c>
      <c r="G1693" s="1" t="str">
        <f>TEXT(IF($B1693 = "Retail Item", IF((ROW($A1693) - 4504 - _xlfn.XMATCH($C1693, $C$4506:$C$5005, 0, 1)) &lt;= VLOOKUP($C1693, 'Instrument Table'!$B:$D, 3, FALSE), ROW($A1693) - 4504 - _xlfn.XMATCH($C1693, $C$4506:$C$5005, 0, 1), 0), 0), "00")</f>
        <v>00</v>
      </c>
      <c r="H1693" s="1" t="str">
        <f t="shared" si="157"/>
        <v>137</v>
      </c>
      <c r="I1693" s="1" t="str">
        <f t="shared" si="158"/>
        <v>12500-137</v>
      </c>
      <c r="J1693" s="1" t="str">
        <f t="shared" si="159"/>
        <v>Electric guitar production item #137</v>
      </c>
      <c r="K1693" s="1" t="str">
        <f>IF(SUM(COUNTIFS(I:I, I1693)) &gt; 1, "DUPLICATE", "UNIQUE")</f>
        <v>UNIQUE</v>
      </c>
      <c r="L1693" s="18">
        <v>8</v>
      </c>
      <c r="M1693" s="28">
        <v>33</v>
      </c>
      <c r="N1693" s="6">
        <v>121</v>
      </c>
      <c r="O1693" s="30">
        <f t="shared" si="160"/>
        <v>264</v>
      </c>
      <c r="P1693" s="30">
        <f t="shared" si="161"/>
        <v>3993</v>
      </c>
      <c r="Q1693" s="1">
        <f>COUNTIFS($P:$P, "&gt;" &amp; $P1693) + 1</f>
        <v>2659</v>
      </c>
      <c r="R1693" s="63">
        <f>(COUNTIFS($P:$P, "&gt;" &amp; $P1693) + 1) / (COUNTA($I:$I) - 1)</f>
        <v>0.53180000000000005</v>
      </c>
      <c r="S1693" s="23">
        <f>SUMIFS($P:$P, $Q:$Q, "&lt;" &amp; $Q1693)</f>
        <v>183807076</v>
      </c>
    </row>
    <row r="1694" spans="1:19" x14ac:dyDescent="0.25">
      <c r="A1694" s="1">
        <v>1689</v>
      </c>
      <c r="B1694" s="1" t="s">
        <v>2</v>
      </c>
      <c r="C1694" s="1" t="str">
        <f>IF($B1694 = "Production Item", _xlfn.XLOOKUP($A1694, 'Instrument Table'!$J:$J, 'Instrument Table'!$B:$B, $C1693), IF($B1694 = "Service Item", _xlfn.XLOOKUP($A1694, 'Instrument Table'!$I:$I, 'Instrument Table'!$B:$B, $C1693), _xlfn.XLOOKUP($A1694, 'Instrument Table'!$H:$H, 'Instrument Table'!$B:$B, $C1693)))</f>
        <v>Electric Guitar</v>
      </c>
      <c r="D1694" s="1" t="str">
        <f>VLOOKUP($C1694, 'Instrument Table'!$B:$C, 2, FALSE)</f>
        <v>Strings</v>
      </c>
      <c r="E1694" s="1">
        <f t="shared" si="156"/>
        <v>1</v>
      </c>
      <c r="F1694" s="1">
        <f>_xlfn.XLOOKUP($C1694, 'Instrument Table'!$B:$B, 'Instrument Table'!$A:$A, "")</f>
        <v>25</v>
      </c>
      <c r="G1694" s="1" t="str">
        <f>TEXT(IF($B1694 = "Retail Item", IF((ROW($A1694) - 4504 - _xlfn.XMATCH($C1694, $C$4506:$C$5005, 0, 1)) &lt;= VLOOKUP($C1694, 'Instrument Table'!$B:$D, 3, FALSE), ROW($A1694) - 4504 - _xlfn.XMATCH($C1694, $C$4506:$C$5005, 0, 1), 0), 0), "00")</f>
        <v>00</v>
      </c>
      <c r="H1694" s="1" t="str">
        <f t="shared" si="157"/>
        <v>138</v>
      </c>
      <c r="I1694" s="1" t="str">
        <f t="shared" si="158"/>
        <v>12500-138</v>
      </c>
      <c r="J1694" s="1" t="str">
        <f t="shared" si="159"/>
        <v>Electric guitar production item #138</v>
      </c>
      <c r="K1694" s="1" t="str">
        <f>IF(SUM(COUNTIFS(I:I, I1694)) &gt; 1, "DUPLICATE", "UNIQUE")</f>
        <v>UNIQUE</v>
      </c>
      <c r="L1694" s="18">
        <v>8</v>
      </c>
      <c r="M1694" s="28">
        <v>5</v>
      </c>
      <c r="N1694" s="6">
        <v>361</v>
      </c>
      <c r="O1694" s="30">
        <f t="shared" si="160"/>
        <v>40</v>
      </c>
      <c r="P1694" s="30">
        <f t="shared" si="161"/>
        <v>1805</v>
      </c>
      <c r="Q1694" s="1">
        <f>COUNTIFS($P:$P, "&gt;" &amp; $P1694) + 1</f>
        <v>3328</v>
      </c>
      <c r="R1694" s="63">
        <f>(COUNTIFS($P:$P, "&gt;" &amp; $P1694) + 1) / (COUNTA($I:$I) - 1)</f>
        <v>0.66559999999999997</v>
      </c>
      <c r="S1694" s="23">
        <f>SUMIFS($P:$P, $Q:$Q, "&lt;" &amp; $Q1694)</f>
        <v>185660956</v>
      </c>
    </row>
    <row r="1695" spans="1:19" x14ac:dyDescent="0.25">
      <c r="A1695" s="1">
        <v>1690</v>
      </c>
      <c r="B1695" s="1" t="s">
        <v>2</v>
      </c>
      <c r="C1695" s="1" t="str">
        <f>IF($B1695 = "Production Item", _xlfn.XLOOKUP($A1695, 'Instrument Table'!$J:$J, 'Instrument Table'!$B:$B, $C1694), IF($B1695 = "Service Item", _xlfn.XLOOKUP($A1695, 'Instrument Table'!$I:$I, 'Instrument Table'!$B:$B, $C1694), _xlfn.XLOOKUP($A1695, 'Instrument Table'!$H:$H, 'Instrument Table'!$B:$B, $C1694)))</f>
        <v>Electric Guitar</v>
      </c>
      <c r="D1695" s="1" t="str">
        <f>VLOOKUP($C1695, 'Instrument Table'!$B:$C, 2, FALSE)</f>
        <v>Strings</v>
      </c>
      <c r="E1695" s="1">
        <f t="shared" si="156"/>
        <v>1</v>
      </c>
      <c r="F1695" s="1">
        <f>_xlfn.XLOOKUP($C1695, 'Instrument Table'!$B:$B, 'Instrument Table'!$A:$A, "")</f>
        <v>25</v>
      </c>
      <c r="G1695" s="1" t="str">
        <f>TEXT(IF($B1695 = "Retail Item", IF((ROW($A1695) - 4504 - _xlfn.XMATCH($C1695, $C$4506:$C$5005, 0, 1)) &lt;= VLOOKUP($C1695, 'Instrument Table'!$B:$D, 3, FALSE), ROW($A1695) - 4504 - _xlfn.XMATCH($C1695, $C$4506:$C$5005, 0, 1), 0), 0), "00")</f>
        <v>00</v>
      </c>
      <c r="H1695" s="1" t="str">
        <f t="shared" si="157"/>
        <v>139</v>
      </c>
      <c r="I1695" s="1" t="str">
        <f t="shared" si="158"/>
        <v>12500-139</v>
      </c>
      <c r="J1695" s="1" t="str">
        <f t="shared" si="159"/>
        <v>Electric guitar production item #139</v>
      </c>
      <c r="K1695" s="1" t="str">
        <f>IF(SUM(COUNTIFS(I:I, I1695)) &gt; 1, "DUPLICATE", "UNIQUE")</f>
        <v>UNIQUE</v>
      </c>
      <c r="L1695" s="18">
        <v>1</v>
      </c>
      <c r="M1695" s="28">
        <v>81</v>
      </c>
      <c r="N1695" s="6">
        <v>36</v>
      </c>
      <c r="O1695" s="30">
        <f t="shared" si="160"/>
        <v>81</v>
      </c>
      <c r="P1695" s="30">
        <f t="shared" si="161"/>
        <v>2916</v>
      </c>
      <c r="Q1695" s="1">
        <f>COUNTIFS($P:$P, "&gt;" &amp; $P1695) + 1</f>
        <v>2925</v>
      </c>
      <c r="R1695" s="63">
        <f>(COUNTIFS($P:$P, "&gt;" &amp; $P1695) + 1) / (COUNTA($I:$I) - 1)</f>
        <v>0.58499999999999996</v>
      </c>
      <c r="S1695" s="23">
        <f>SUMIFS($P:$P, $Q:$Q, "&lt;" &amp; $Q1695)</f>
        <v>184722737</v>
      </c>
    </row>
    <row r="1696" spans="1:19" x14ac:dyDescent="0.25">
      <c r="A1696" s="1">
        <v>1691</v>
      </c>
      <c r="B1696" s="1" t="s">
        <v>2</v>
      </c>
      <c r="C1696" s="1" t="str">
        <f>IF($B1696 = "Production Item", _xlfn.XLOOKUP($A1696, 'Instrument Table'!$J:$J, 'Instrument Table'!$B:$B, $C1695), IF($B1696 = "Service Item", _xlfn.XLOOKUP($A1696, 'Instrument Table'!$I:$I, 'Instrument Table'!$B:$B, $C1695), _xlfn.XLOOKUP($A1696, 'Instrument Table'!$H:$H, 'Instrument Table'!$B:$B, $C1695)))</f>
        <v>Electric Guitar</v>
      </c>
      <c r="D1696" s="1" t="str">
        <f>VLOOKUP($C1696, 'Instrument Table'!$B:$C, 2, FALSE)</f>
        <v>Strings</v>
      </c>
      <c r="E1696" s="1">
        <f t="shared" si="156"/>
        <v>1</v>
      </c>
      <c r="F1696" s="1">
        <f>_xlfn.XLOOKUP($C1696, 'Instrument Table'!$B:$B, 'Instrument Table'!$A:$A, "")</f>
        <v>25</v>
      </c>
      <c r="G1696" s="1" t="str">
        <f>TEXT(IF($B1696 = "Retail Item", IF((ROW($A1696) - 4504 - _xlfn.XMATCH($C1696, $C$4506:$C$5005, 0, 1)) &lt;= VLOOKUP($C1696, 'Instrument Table'!$B:$D, 3, FALSE), ROW($A1696) - 4504 - _xlfn.XMATCH($C1696, $C$4506:$C$5005, 0, 1), 0), 0), "00")</f>
        <v>00</v>
      </c>
      <c r="H1696" s="1" t="str">
        <f t="shared" si="157"/>
        <v>140</v>
      </c>
      <c r="I1696" s="1" t="str">
        <f t="shared" si="158"/>
        <v>12500-140</v>
      </c>
      <c r="J1696" s="1" t="str">
        <f t="shared" si="159"/>
        <v>Electric guitar production item #140</v>
      </c>
      <c r="K1696" s="1" t="str">
        <f>IF(SUM(COUNTIFS(I:I, I1696)) &gt; 1, "DUPLICATE", "UNIQUE")</f>
        <v>UNIQUE</v>
      </c>
      <c r="L1696" s="18">
        <v>2</v>
      </c>
      <c r="M1696" s="28">
        <v>96</v>
      </c>
      <c r="N1696" s="6">
        <v>400</v>
      </c>
      <c r="O1696" s="30">
        <f t="shared" si="160"/>
        <v>192</v>
      </c>
      <c r="P1696" s="30">
        <f t="shared" si="161"/>
        <v>38400</v>
      </c>
      <c r="Q1696" s="1">
        <f>COUNTIFS($P:$P, "&gt;" &amp; $P1696) + 1</f>
        <v>570</v>
      </c>
      <c r="R1696" s="63">
        <f>(COUNTIFS($P:$P, "&gt;" &amp; $P1696) + 1) / (COUNTA($I:$I) - 1)</f>
        <v>0.114</v>
      </c>
      <c r="S1696" s="23">
        <f>SUMIFS($P:$P, $Q:$Q, "&lt;" &amp; $Q1696)</f>
        <v>154767845</v>
      </c>
    </row>
    <row r="1697" spans="1:19" x14ac:dyDescent="0.25">
      <c r="A1697" s="1">
        <v>1692</v>
      </c>
      <c r="B1697" s="1" t="s">
        <v>2</v>
      </c>
      <c r="C1697" s="1" t="str">
        <f>IF($B1697 = "Production Item", _xlfn.XLOOKUP($A1697, 'Instrument Table'!$J:$J, 'Instrument Table'!$B:$B, $C1696), IF($B1697 = "Service Item", _xlfn.XLOOKUP($A1697, 'Instrument Table'!$I:$I, 'Instrument Table'!$B:$B, $C1696), _xlfn.XLOOKUP($A1697, 'Instrument Table'!$H:$H, 'Instrument Table'!$B:$B, $C1696)))</f>
        <v>Electric Guitar</v>
      </c>
      <c r="D1697" s="1" t="str">
        <f>VLOOKUP($C1697, 'Instrument Table'!$B:$C, 2, FALSE)</f>
        <v>Strings</v>
      </c>
      <c r="E1697" s="1">
        <f t="shared" si="156"/>
        <v>1</v>
      </c>
      <c r="F1697" s="1">
        <f>_xlfn.XLOOKUP($C1697, 'Instrument Table'!$B:$B, 'Instrument Table'!$A:$A, "")</f>
        <v>25</v>
      </c>
      <c r="G1697" s="1" t="str">
        <f>TEXT(IF($B1697 = "Retail Item", IF((ROW($A1697) - 4504 - _xlfn.XMATCH($C1697, $C$4506:$C$5005, 0, 1)) &lt;= VLOOKUP($C1697, 'Instrument Table'!$B:$D, 3, FALSE), ROW($A1697) - 4504 - _xlfn.XMATCH($C1697, $C$4506:$C$5005, 0, 1), 0), 0), "00")</f>
        <v>00</v>
      </c>
      <c r="H1697" s="1" t="str">
        <f t="shared" si="157"/>
        <v>141</v>
      </c>
      <c r="I1697" s="1" t="str">
        <f t="shared" si="158"/>
        <v>12500-141</v>
      </c>
      <c r="J1697" s="1" t="str">
        <f t="shared" si="159"/>
        <v>Electric guitar production item #141</v>
      </c>
      <c r="K1697" s="1" t="str">
        <f>IF(SUM(COUNTIFS(I:I, I1697)) &gt; 1, "DUPLICATE", "UNIQUE")</f>
        <v>UNIQUE</v>
      </c>
      <c r="L1697" s="18">
        <v>1</v>
      </c>
      <c r="M1697" s="28">
        <v>29</v>
      </c>
      <c r="N1697" s="6">
        <v>64</v>
      </c>
      <c r="O1697" s="30">
        <f t="shared" si="160"/>
        <v>29</v>
      </c>
      <c r="P1697" s="30">
        <f t="shared" si="161"/>
        <v>1856</v>
      </c>
      <c r="Q1697" s="1">
        <f>COUNTIFS($P:$P, "&gt;" &amp; $P1697) + 1</f>
        <v>3315</v>
      </c>
      <c r="R1697" s="63">
        <f>(COUNTIFS($P:$P, "&gt;" &amp; $P1697) + 1) / (COUNTA($I:$I) - 1)</f>
        <v>0.66300000000000003</v>
      </c>
      <c r="S1697" s="23">
        <f>SUMIFS($P:$P, $Q:$Q, "&lt;" &amp; $Q1697)</f>
        <v>185637185</v>
      </c>
    </row>
    <row r="1698" spans="1:19" x14ac:dyDescent="0.25">
      <c r="A1698" s="1">
        <v>1693</v>
      </c>
      <c r="B1698" s="1" t="s">
        <v>2</v>
      </c>
      <c r="C1698" s="1" t="str">
        <f>IF($B1698 = "Production Item", _xlfn.XLOOKUP($A1698, 'Instrument Table'!$J:$J, 'Instrument Table'!$B:$B, $C1697), IF($B1698 = "Service Item", _xlfn.XLOOKUP($A1698, 'Instrument Table'!$I:$I, 'Instrument Table'!$B:$B, $C1697), _xlfn.XLOOKUP($A1698, 'Instrument Table'!$H:$H, 'Instrument Table'!$B:$B, $C1697)))</f>
        <v>Electric Guitar</v>
      </c>
      <c r="D1698" s="1" t="str">
        <f>VLOOKUP($C1698, 'Instrument Table'!$B:$C, 2, FALSE)</f>
        <v>Strings</v>
      </c>
      <c r="E1698" s="1">
        <f t="shared" si="156"/>
        <v>1</v>
      </c>
      <c r="F1698" s="1">
        <f>_xlfn.XLOOKUP($C1698, 'Instrument Table'!$B:$B, 'Instrument Table'!$A:$A, "")</f>
        <v>25</v>
      </c>
      <c r="G1698" s="1" t="str">
        <f>TEXT(IF($B1698 = "Retail Item", IF((ROW($A1698) - 4504 - _xlfn.XMATCH($C1698, $C$4506:$C$5005, 0, 1)) &lt;= VLOOKUP($C1698, 'Instrument Table'!$B:$D, 3, FALSE), ROW($A1698) - 4504 - _xlfn.XMATCH($C1698, $C$4506:$C$5005, 0, 1), 0), 0), "00")</f>
        <v>00</v>
      </c>
      <c r="H1698" s="1" t="str">
        <f t="shared" si="157"/>
        <v>142</v>
      </c>
      <c r="I1698" s="1" t="str">
        <f t="shared" si="158"/>
        <v>12500-142</v>
      </c>
      <c r="J1698" s="1" t="str">
        <f t="shared" si="159"/>
        <v>Electric guitar production item #142</v>
      </c>
      <c r="K1698" s="1" t="str">
        <f>IF(SUM(COUNTIFS(I:I, I1698)) &gt; 1, "DUPLICATE", "UNIQUE")</f>
        <v>UNIQUE</v>
      </c>
      <c r="L1698" s="18">
        <v>0</v>
      </c>
      <c r="M1698" s="28">
        <v>14</v>
      </c>
      <c r="N1698" s="6">
        <v>1</v>
      </c>
      <c r="O1698" s="30">
        <f t="shared" si="160"/>
        <v>0</v>
      </c>
      <c r="P1698" s="30">
        <f t="shared" si="161"/>
        <v>14</v>
      </c>
      <c r="Q1698" s="1">
        <f>COUNTIFS($P:$P, "&gt;" &amp; $P1698) + 1</f>
        <v>4712</v>
      </c>
      <c r="R1698" s="63">
        <f>(COUNTIFS($P:$P, "&gt;" &amp; $P1698) + 1) / (COUNTA($I:$I) - 1)</f>
        <v>0.94240000000000002</v>
      </c>
      <c r="S1698" s="23">
        <f>SUMIFS($P:$P, $Q:$Q, "&lt;" &amp; $Q1698)</f>
        <v>186547594</v>
      </c>
    </row>
    <row r="1699" spans="1:19" x14ac:dyDescent="0.25">
      <c r="A1699" s="1">
        <v>1694</v>
      </c>
      <c r="B1699" s="1" t="s">
        <v>2</v>
      </c>
      <c r="C1699" s="1" t="str">
        <f>IF($B1699 = "Production Item", _xlfn.XLOOKUP($A1699, 'Instrument Table'!$J:$J, 'Instrument Table'!$B:$B, $C1698), IF($B1699 = "Service Item", _xlfn.XLOOKUP($A1699, 'Instrument Table'!$I:$I, 'Instrument Table'!$B:$B, $C1698), _xlfn.XLOOKUP($A1699, 'Instrument Table'!$H:$H, 'Instrument Table'!$B:$B, $C1698)))</f>
        <v>Electric Guitar</v>
      </c>
      <c r="D1699" s="1" t="str">
        <f>VLOOKUP($C1699, 'Instrument Table'!$B:$C, 2, FALSE)</f>
        <v>Strings</v>
      </c>
      <c r="E1699" s="1">
        <f t="shared" si="156"/>
        <v>1</v>
      </c>
      <c r="F1699" s="1">
        <f>_xlfn.XLOOKUP($C1699, 'Instrument Table'!$B:$B, 'Instrument Table'!$A:$A, "")</f>
        <v>25</v>
      </c>
      <c r="G1699" s="1" t="str">
        <f>TEXT(IF($B1699 = "Retail Item", IF((ROW($A1699) - 4504 - _xlfn.XMATCH($C1699, $C$4506:$C$5005, 0, 1)) &lt;= VLOOKUP($C1699, 'Instrument Table'!$B:$D, 3, FALSE), ROW($A1699) - 4504 - _xlfn.XMATCH($C1699, $C$4506:$C$5005, 0, 1), 0), 0), "00")</f>
        <v>00</v>
      </c>
      <c r="H1699" s="1" t="str">
        <f t="shared" si="157"/>
        <v>143</v>
      </c>
      <c r="I1699" s="1" t="str">
        <f t="shared" si="158"/>
        <v>12500-143</v>
      </c>
      <c r="J1699" s="1" t="str">
        <f t="shared" si="159"/>
        <v>Electric guitar production item #143</v>
      </c>
      <c r="K1699" s="1" t="str">
        <f>IF(SUM(COUNTIFS(I:I, I1699)) &gt; 1, "DUPLICATE", "UNIQUE")</f>
        <v>UNIQUE</v>
      </c>
      <c r="L1699" s="18">
        <v>2</v>
      </c>
      <c r="M1699" s="28">
        <v>89</v>
      </c>
      <c r="N1699" s="6">
        <v>361</v>
      </c>
      <c r="O1699" s="30">
        <f t="shared" si="160"/>
        <v>178</v>
      </c>
      <c r="P1699" s="30">
        <f t="shared" si="161"/>
        <v>32129</v>
      </c>
      <c r="Q1699" s="1">
        <f>COUNTIFS($P:$P, "&gt;" &amp; $P1699) + 1</f>
        <v>644</v>
      </c>
      <c r="R1699" s="63">
        <f>(COUNTIFS($P:$P, "&gt;" &amp; $P1699) + 1) / (COUNTA($I:$I) - 1)</f>
        <v>0.1288</v>
      </c>
      <c r="S1699" s="23">
        <f>SUMIFS($P:$P, $Q:$Q, "&lt;" &amp; $Q1699)</f>
        <v>157353040</v>
      </c>
    </row>
    <row r="1700" spans="1:19" x14ac:dyDescent="0.25">
      <c r="A1700" s="1">
        <v>1695</v>
      </c>
      <c r="B1700" s="1" t="s">
        <v>2</v>
      </c>
      <c r="C1700" s="1" t="str">
        <f>IF($B1700 = "Production Item", _xlfn.XLOOKUP($A1700, 'Instrument Table'!$J:$J, 'Instrument Table'!$B:$B, $C1699), IF($B1700 = "Service Item", _xlfn.XLOOKUP($A1700, 'Instrument Table'!$I:$I, 'Instrument Table'!$B:$B, $C1699), _xlfn.XLOOKUP($A1700, 'Instrument Table'!$H:$H, 'Instrument Table'!$B:$B, $C1699)))</f>
        <v>Electric Guitar</v>
      </c>
      <c r="D1700" s="1" t="str">
        <f>VLOOKUP($C1700, 'Instrument Table'!$B:$C, 2, FALSE)</f>
        <v>Strings</v>
      </c>
      <c r="E1700" s="1">
        <f t="shared" si="156"/>
        <v>1</v>
      </c>
      <c r="F1700" s="1">
        <f>_xlfn.XLOOKUP($C1700, 'Instrument Table'!$B:$B, 'Instrument Table'!$A:$A, "")</f>
        <v>25</v>
      </c>
      <c r="G1700" s="1" t="str">
        <f>TEXT(IF($B1700 = "Retail Item", IF((ROW($A1700) - 4504 - _xlfn.XMATCH($C1700, $C$4506:$C$5005, 0, 1)) &lt;= VLOOKUP($C1700, 'Instrument Table'!$B:$D, 3, FALSE), ROW($A1700) - 4504 - _xlfn.XMATCH($C1700, $C$4506:$C$5005, 0, 1), 0), 0), "00")</f>
        <v>00</v>
      </c>
      <c r="H1700" s="1" t="str">
        <f t="shared" si="157"/>
        <v>144</v>
      </c>
      <c r="I1700" s="1" t="str">
        <f t="shared" si="158"/>
        <v>12500-144</v>
      </c>
      <c r="J1700" s="1" t="str">
        <f t="shared" si="159"/>
        <v>Electric guitar production item #144</v>
      </c>
      <c r="K1700" s="1" t="str">
        <f>IF(SUM(COUNTIFS(I:I, I1700)) &gt; 1, "DUPLICATE", "UNIQUE")</f>
        <v>UNIQUE</v>
      </c>
      <c r="L1700" s="18">
        <v>0</v>
      </c>
      <c r="M1700" s="28">
        <v>80</v>
      </c>
      <c r="N1700" s="6">
        <v>121</v>
      </c>
      <c r="O1700" s="30">
        <f t="shared" si="160"/>
        <v>0</v>
      </c>
      <c r="P1700" s="30">
        <f t="shared" si="161"/>
        <v>9680</v>
      </c>
      <c r="Q1700" s="1">
        <f>COUNTIFS($P:$P, "&gt;" &amp; $P1700) + 1</f>
        <v>1802</v>
      </c>
      <c r="R1700" s="63">
        <f>(COUNTIFS($P:$P, "&gt;" &amp; $P1700) + 1) / (COUNTA($I:$I) - 1)</f>
        <v>0.3604</v>
      </c>
      <c r="S1700" s="23">
        <f>SUMIFS($P:$P, $Q:$Q, "&lt;" &amp; $Q1700)</f>
        <v>178260708</v>
      </c>
    </row>
    <row r="1701" spans="1:19" x14ac:dyDescent="0.25">
      <c r="A1701" s="1">
        <v>1696</v>
      </c>
      <c r="B1701" s="1" t="s">
        <v>2</v>
      </c>
      <c r="C1701" s="1" t="str">
        <f>IF($B1701 = "Production Item", _xlfn.XLOOKUP($A1701, 'Instrument Table'!$J:$J, 'Instrument Table'!$B:$B, $C1700), IF($B1701 = "Service Item", _xlfn.XLOOKUP($A1701, 'Instrument Table'!$I:$I, 'Instrument Table'!$B:$B, $C1700), _xlfn.XLOOKUP($A1701, 'Instrument Table'!$H:$H, 'Instrument Table'!$B:$B, $C1700)))</f>
        <v>Electric Guitar</v>
      </c>
      <c r="D1701" s="1" t="str">
        <f>VLOOKUP($C1701, 'Instrument Table'!$B:$C, 2, FALSE)</f>
        <v>Strings</v>
      </c>
      <c r="E1701" s="1">
        <f t="shared" si="156"/>
        <v>1</v>
      </c>
      <c r="F1701" s="1">
        <f>_xlfn.XLOOKUP($C1701, 'Instrument Table'!$B:$B, 'Instrument Table'!$A:$A, "")</f>
        <v>25</v>
      </c>
      <c r="G1701" s="1" t="str">
        <f>TEXT(IF($B1701 = "Retail Item", IF((ROW($A1701) - 4504 - _xlfn.XMATCH($C1701, $C$4506:$C$5005, 0, 1)) &lt;= VLOOKUP($C1701, 'Instrument Table'!$B:$D, 3, FALSE), ROW($A1701) - 4504 - _xlfn.XMATCH($C1701, $C$4506:$C$5005, 0, 1), 0), 0), "00")</f>
        <v>00</v>
      </c>
      <c r="H1701" s="1" t="str">
        <f t="shared" si="157"/>
        <v>145</v>
      </c>
      <c r="I1701" s="1" t="str">
        <f t="shared" si="158"/>
        <v>12500-145</v>
      </c>
      <c r="J1701" s="1" t="str">
        <f t="shared" si="159"/>
        <v>Electric guitar production item #145</v>
      </c>
      <c r="K1701" s="1" t="str">
        <f>IF(SUM(COUNTIFS(I:I, I1701)) &gt; 1, "DUPLICATE", "UNIQUE")</f>
        <v>UNIQUE</v>
      </c>
      <c r="L1701" s="18">
        <v>0</v>
      </c>
      <c r="M1701" s="28">
        <v>83</v>
      </c>
      <c r="N1701" s="6">
        <v>25</v>
      </c>
      <c r="O1701" s="30">
        <f t="shared" si="160"/>
        <v>0</v>
      </c>
      <c r="P1701" s="30">
        <f t="shared" si="161"/>
        <v>2075</v>
      </c>
      <c r="Q1701" s="1">
        <f>COUNTIFS($P:$P, "&gt;" &amp; $P1701) + 1</f>
        <v>3217</v>
      </c>
      <c r="R1701" s="63">
        <f>(COUNTIFS($P:$P, "&gt;" &amp; $P1701) + 1) / (COUNTA($I:$I) - 1)</f>
        <v>0.64339999999999997</v>
      </c>
      <c r="S1701" s="23">
        <f>SUMIFS($P:$P, $Q:$Q, "&lt;" &amp; $Q1701)</f>
        <v>185443402</v>
      </c>
    </row>
    <row r="1702" spans="1:19" x14ac:dyDescent="0.25">
      <c r="A1702" s="1">
        <v>1697</v>
      </c>
      <c r="B1702" s="1" t="s">
        <v>2</v>
      </c>
      <c r="C1702" s="1" t="str">
        <f>IF($B1702 = "Production Item", _xlfn.XLOOKUP($A1702, 'Instrument Table'!$J:$J, 'Instrument Table'!$B:$B, $C1701), IF($B1702 = "Service Item", _xlfn.XLOOKUP($A1702, 'Instrument Table'!$I:$I, 'Instrument Table'!$B:$B, $C1701), _xlfn.XLOOKUP($A1702, 'Instrument Table'!$H:$H, 'Instrument Table'!$B:$B, $C1701)))</f>
        <v>Electric Guitar</v>
      </c>
      <c r="D1702" s="1" t="str">
        <f>VLOOKUP($C1702, 'Instrument Table'!$B:$C, 2, FALSE)</f>
        <v>Strings</v>
      </c>
      <c r="E1702" s="1">
        <f t="shared" si="156"/>
        <v>1</v>
      </c>
      <c r="F1702" s="1">
        <f>_xlfn.XLOOKUP($C1702, 'Instrument Table'!$B:$B, 'Instrument Table'!$A:$A, "")</f>
        <v>25</v>
      </c>
      <c r="G1702" s="1" t="str">
        <f>TEXT(IF($B1702 = "Retail Item", IF((ROW($A1702) - 4504 - _xlfn.XMATCH($C1702, $C$4506:$C$5005, 0, 1)) &lt;= VLOOKUP($C1702, 'Instrument Table'!$B:$D, 3, FALSE), ROW($A1702) - 4504 - _xlfn.XMATCH($C1702, $C$4506:$C$5005, 0, 1), 0), 0), "00")</f>
        <v>00</v>
      </c>
      <c r="H1702" s="1" t="str">
        <f t="shared" si="157"/>
        <v>146</v>
      </c>
      <c r="I1702" s="1" t="str">
        <f t="shared" si="158"/>
        <v>12500-146</v>
      </c>
      <c r="J1702" s="1" t="str">
        <f t="shared" si="159"/>
        <v>Electric guitar production item #146</v>
      </c>
      <c r="K1702" s="1" t="str">
        <f>IF(SUM(COUNTIFS(I:I, I1702)) &gt; 1, "DUPLICATE", "UNIQUE")</f>
        <v>UNIQUE</v>
      </c>
      <c r="L1702" s="18">
        <v>4</v>
      </c>
      <c r="M1702" s="28">
        <v>35</v>
      </c>
      <c r="N1702" s="6">
        <v>400</v>
      </c>
      <c r="O1702" s="30">
        <f t="shared" si="160"/>
        <v>140</v>
      </c>
      <c r="P1702" s="30">
        <f t="shared" si="161"/>
        <v>14000</v>
      </c>
      <c r="Q1702" s="1">
        <f>COUNTIFS($P:$P, "&gt;" &amp; $P1702) + 1</f>
        <v>1417</v>
      </c>
      <c r="R1702" s="63">
        <f>(COUNTIFS($P:$P, "&gt;" &amp; $P1702) + 1) / (COUNTA($I:$I) - 1)</f>
        <v>0.28339999999999999</v>
      </c>
      <c r="S1702" s="23">
        <f>SUMIFS($P:$P, $Q:$Q, "&lt;" &amp; $Q1702)</f>
        <v>173716659</v>
      </c>
    </row>
    <row r="1703" spans="1:19" x14ac:dyDescent="0.25">
      <c r="A1703" s="1">
        <v>1698</v>
      </c>
      <c r="B1703" s="1" t="s">
        <v>2</v>
      </c>
      <c r="C1703" s="1" t="str">
        <f>IF($B1703 = "Production Item", _xlfn.XLOOKUP($A1703, 'Instrument Table'!$J:$J, 'Instrument Table'!$B:$B, $C1702), IF($B1703 = "Service Item", _xlfn.XLOOKUP($A1703, 'Instrument Table'!$I:$I, 'Instrument Table'!$B:$B, $C1702), _xlfn.XLOOKUP($A1703, 'Instrument Table'!$H:$H, 'Instrument Table'!$B:$B, $C1702)))</f>
        <v>Electric Guitar</v>
      </c>
      <c r="D1703" s="1" t="str">
        <f>VLOOKUP($C1703, 'Instrument Table'!$B:$C, 2, FALSE)</f>
        <v>Strings</v>
      </c>
      <c r="E1703" s="1">
        <f t="shared" si="156"/>
        <v>1</v>
      </c>
      <c r="F1703" s="1">
        <f>_xlfn.XLOOKUP($C1703, 'Instrument Table'!$B:$B, 'Instrument Table'!$A:$A, "")</f>
        <v>25</v>
      </c>
      <c r="G1703" s="1" t="str">
        <f>TEXT(IF($B1703 = "Retail Item", IF((ROW($A1703) - 4504 - _xlfn.XMATCH($C1703, $C$4506:$C$5005, 0, 1)) &lt;= VLOOKUP($C1703, 'Instrument Table'!$B:$D, 3, FALSE), ROW($A1703) - 4504 - _xlfn.XMATCH($C1703, $C$4506:$C$5005, 0, 1), 0), 0), "00")</f>
        <v>00</v>
      </c>
      <c r="H1703" s="1" t="str">
        <f t="shared" si="157"/>
        <v>147</v>
      </c>
      <c r="I1703" s="1" t="str">
        <f t="shared" si="158"/>
        <v>12500-147</v>
      </c>
      <c r="J1703" s="1" t="str">
        <f t="shared" si="159"/>
        <v>Electric guitar production item #147</v>
      </c>
      <c r="K1703" s="1" t="str">
        <f>IF(SUM(COUNTIFS(I:I, I1703)) &gt; 1, "DUPLICATE", "UNIQUE")</f>
        <v>UNIQUE</v>
      </c>
      <c r="L1703" s="18">
        <v>2</v>
      </c>
      <c r="M1703" s="28">
        <v>69</v>
      </c>
      <c r="N1703" s="6">
        <v>256</v>
      </c>
      <c r="O1703" s="30">
        <f t="shared" si="160"/>
        <v>138</v>
      </c>
      <c r="P1703" s="30">
        <f t="shared" si="161"/>
        <v>17664</v>
      </c>
      <c r="Q1703" s="1">
        <f>COUNTIFS($P:$P, "&gt;" &amp; $P1703) + 1</f>
        <v>1176</v>
      </c>
      <c r="R1703" s="63">
        <f>(COUNTIFS($P:$P, "&gt;" &amp; $P1703) + 1) / (COUNTA($I:$I) - 1)</f>
        <v>0.23519999999999999</v>
      </c>
      <c r="S1703" s="23">
        <f>SUMIFS($P:$P, $Q:$Q, "&lt;" &amp; $Q1703)</f>
        <v>169905414</v>
      </c>
    </row>
    <row r="1704" spans="1:19" x14ac:dyDescent="0.25">
      <c r="A1704" s="1">
        <v>1699</v>
      </c>
      <c r="B1704" s="1" t="s">
        <v>2</v>
      </c>
      <c r="C1704" s="1" t="str">
        <f>IF($B1704 = "Production Item", _xlfn.XLOOKUP($A1704, 'Instrument Table'!$J:$J, 'Instrument Table'!$B:$B, $C1703), IF($B1704 = "Service Item", _xlfn.XLOOKUP($A1704, 'Instrument Table'!$I:$I, 'Instrument Table'!$B:$B, $C1703), _xlfn.XLOOKUP($A1704, 'Instrument Table'!$H:$H, 'Instrument Table'!$B:$B, $C1703)))</f>
        <v>Electric Guitar</v>
      </c>
      <c r="D1704" s="1" t="str">
        <f>VLOOKUP($C1704, 'Instrument Table'!$B:$C, 2, FALSE)</f>
        <v>Strings</v>
      </c>
      <c r="E1704" s="1">
        <f t="shared" si="156"/>
        <v>1</v>
      </c>
      <c r="F1704" s="1">
        <f>_xlfn.XLOOKUP($C1704, 'Instrument Table'!$B:$B, 'Instrument Table'!$A:$A, "")</f>
        <v>25</v>
      </c>
      <c r="G1704" s="1" t="str">
        <f>TEXT(IF($B1704 = "Retail Item", IF((ROW($A1704) - 4504 - _xlfn.XMATCH($C1704, $C$4506:$C$5005, 0, 1)) &lt;= VLOOKUP($C1704, 'Instrument Table'!$B:$D, 3, FALSE), ROW($A1704) - 4504 - _xlfn.XMATCH($C1704, $C$4506:$C$5005, 0, 1), 0), 0), "00")</f>
        <v>00</v>
      </c>
      <c r="H1704" s="1" t="str">
        <f t="shared" si="157"/>
        <v>148</v>
      </c>
      <c r="I1704" s="1" t="str">
        <f t="shared" si="158"/>
        <v>12500-148</v>
      </c>
      <c r="J1704" s="1" t="str">
        <f t="shared" si="159"/>
        <v>Electric guitar production item #148</v>
      </c>
      <c r="K1704" s="1" t="str">
        <f>IF(SUM(COUNTIFS(I:I, I1704)) &gt; 1, "DUPLICATE", "UNIQUE")</f>
        <v>UNIQUE</v>
      </c>
      <c r="L1704" s="18">
        <v>8</v>
      </c>
      <c r="M1704" s="28">
        <v>16</v>
      </c>
      <c r="N1704" s="6">
        <v>36</v>
      </c>
      <c r="O1704" s="30">
        <f t="shared" si="160"/>
        <v>128</v>
      </c>
      <c r="P1704" s="30">
        <f t="shared" si="161"/>
        <v>576</v>
      </c>
      <c r="Q1704" s="1">
        <f>COUNTIFS($P:$P, "&gt;" &amp; $P1704) + 1</f>
        <v>3957</v>
      </c>
      <c r="R1704" s="63">
        <f>(COUNTIFS($P:$P, "&gt;" &amp; $P1704) + 1) / (COUNTA($I:$I) - 1)</f>
        <v>0.79139999999999999</v>
      </c>
      <c r="S1704" s="23">
        <f>SUMIFS($P:$P, $Q:$Q, "&lt;" &amp; $Q1704)</f>
        <v>186374368</v>
      </c>
    </row>
    <row r="1705" spans="1:19" x14ac:dyDescent="0.25">
      <c r="A1705" s="1">
        <v>1700</v>
      </c>
      <c r="B1705" s="1" t="s">
        <v>2</v>
      </c>
      <c r="C1705" s="1" t="str">
        <f>IF($B1705 = "Production Item", _xlfn.XLOOKUP($A1705, 'Instrument Table'!$J:$J, 'Instrument Table'!$B:$B, $C1704), IF($B1705 = "Service Item", _xlfn.XLOOKUP($A1705, 'Instrument Table'!$I:$I, 'Instrument Table'!$B:$B, $C1704), _xlfn.XLOOKUP($A1705, 'Instrument Table'!$H:$H, 'Instrument Table'!$B:$B, $C1704)))</f>
        <v>Electric Guitar</v>
      </c>
      <c r="D1705" s="1" t="str">
        <f>VLOOKUP($C1705, 'Instrument Table'!$B:$C, 2, FALSE)</f>
        <v>Strings</v>
      </c>
      <c r="E1705" s="1">
        <f t="shared" si="156"/>
        <v>1</v>
      </c>
      <c r="F1705" s="1">
        <f>_xlfn.XLOOKUP($C1705, 'Instrument Table'!$B:$B, 'Instrument Table'!$A:$A, "")</f>
        <v>25</v>
      </c>
      <c r="G1705" s="1" t="str">
        <f>TEXT(IF($B1705 = "Retail Item", IF((ROW($A1705) - 4504 - _xlfn.XMATCH($C1705, $C$4506:$C$5005, 0, 1)) &lt;= VLOOKUP($C1705, 'Instrument Table'!$B:$D, 3, FALSE), ROW($A1705) - 4504 - _xlfn.XMATCH($C1705, $C$4506:$C$5005, 0, 1), 0), 0), "00")</f>
        <v>00</v>
      </c>
      <c r="H1705" s="1" t="str">
        <f t="shared" si="157"/>
        <v>149</v>
      </c>
      <c r="I1705" s="1" t="str">
        <f t="shared" si="158"/>
        <v>12500-149</v>
      </c>
      <c r="J1705" s="1" t="str">
        <f t="shared" si="159"/>
        <v>Electric guitar production item #149</v>
      </c>
      <c r="K1705" s="1" t="str">
        <f>IF(SUM(COUNTIFS(I:I, I1705)) &gt; 1, "DUPLICATE", "UNIQUE")</f>
        <v>UNIQUE</v>
      </c>
      <c r="L1705" s="18">
        <v>1</v>
      </c>
      <c r="M1705" s="28">
        <v>64</v>
      </c>
      <c r="N1705" s="6">
        <v>121</v>
      </c>
      <c r="O1705" s="30">
        <f t="shared" si="160"/>
        <v>64</v>
      </c>
      <c r="P1705" s="30">
        <f t="shared" si="161"/>
        <v>7744</v>
      </c>
      <c r="Q1705" s="1">
        <f>COUNTIFS($P:$P, "&gt;" &amp; $P1705) + 1</f>
        <v>2032</v>
      </c>
      <c r="R1705" s="63">
        <f>(COUNTIFS($P:$P, "&gt;" &amp; $P1705) + 1) / (COUNTA($I:$I) - 1)</f>
        <v>0.40639999999999998</v>
      </c>
      <c r="S1705" s="23">
        <f>SUMIFS($P:$P, $Q:$Q, "&lt;" &amp; $Q1705)</f>
        <v>180246691</v>
      </c>
    </row>
    <row r="1706" spans="1:19" x14ac:dyDescent="0.25">
      <c r="A1706" s="1">
        <v>1701</v>
      </c>
      <c r="B1706" s="1" t="s">
        <v>2</v>
      </c>
      <c r="C1706" s="1" t="str">
        <f>IF($B1706 = "Production Item", _xlfn.XLOOKUP($A1706, 'Instrument Table'!$J:$J, 'Instrument Table'!$B:$B, $C1705), IF($B1706 = "Service Item", _xlfn.XLOOKUP($A1706, 'Instrument Table'!$I:$I, 'Instrument Table'!$B:$B, $C1705), _xlfn.XLOOKUP($A1706, 'Instrument Table'!$H:$H, 'Instrument Table'!$B:$B, $C1705)))</f>
        <v>Electric Guitar</v>
      </c>
      <c r="D1706" s="1" t="str">
        <f>VLOOKUP($C1706, 'Instrument Table'!$B:$C, 2, FALSE)</f>
        <v>Strings</v>
      </c>
      <c r="E1706" s="1">
        <f t="shared" si="156"/>
        <v>1</v>
      </c>
      <c r="F1706" s="1">
        <f>_xlfn.XLOOKUP($C1706, 'Instrument Table'!$B:$B, 'Instrument Table'!$A:$A, "")</f>
        <v>25</v>
      </c>
      <c r="G1706" s="1" t="str">
        <f>TEXT(IF($B1706 = "Retail Item", IF((ROW($A1706) - 4504 - _xlfn.XMATCH($C1706, $C$4506:$C$5005, 0, 1)) &lt;= VLOOKUP($C1706, 'Instrument Table'!$B:$D, 3, FALSE), ROW($A1706) - 4504 - _xlfn.XMATCH($C1706, $C$4506:$C$5005, 0, 1), 0), 0), "00")</f>
        <v>00</v>
      </c>
      <c r="H1706" s="1" t="str">
        <f t="shared" si="157"/>
        <v>150</v>
      </c>
      <c r="I1706" s="1" t="str">
        <f t="shared" si="158"/>
        <v>12500-150</v>
      </c>
      <c r="J1706" s="1" t="str">
        <f t="shared" si="159"/>
        <v>Electric guitar production item #150</v>
      </c>
      <c r="K1706" s="1" t="str">
        <f>IF(SUM(COUNTIFS(I:I, I1706)) &gt; 1, "DUPLICATE", "UNIQUE")</f>
        <v>UNIQUE</v>
      </c>
      <c r="L1706" s="18">
        <v>1</v>
      </c>
      <c r="M1706" s="28">
        <v>76</v>
      </c>
      <c r="N1706" s="6">
        <v>25</v>
      </c>
      <c r="O1706" s="30">
        <f t="shared" si="160"/>
        <v>76</v>
      </c>
      <c r="P1706" s="30">
        <f t="shared" si="161"/>
        <v>1900</v>
      </c>
      <c r="Q1706" s="1">
        <f>COUNTIFS($P:$P, "&gt;" &amp; $P1706) + 1</f>
        <v>3297</v>
      </c>
      <c r="R1706" s="63">
        <f>(COUNTIFS($P:$P, "&gt;" &amp; $P1706) + 1) / (COUNTA($I:$I) - 1)</f>
        <v>0.65939999999999999</v>
      </c>
      <c r="S1706" s="23">
        <f>SUMIFS($P:$P, $Q:$Q, "&lt;" &amp; $Q1706)</f>
        <v>185603355</v>
      </c>
    </row>
    <row r="1707" spans="1:19" x14ac:dyDescent="0.25">
      <c r="A1707" s="1">
        <v>1702</v>
      </c>
      <c r="B1707" s="1" t="s">
        <v>2</v>
      </c>
      <c r="C1707" s="1" t="str">
        <f>IF($B1707 = "Production Item", _xlfn.XLOOKUP($A1707, 'Instrument Table'!$J:$J, 'Instrument Table'!$B:$B, $C1706), IF($B1707 = "Service Item", _xlfn.XLOOKUP($A1707, 'Instrument Table'!$I:$I, 'Instrument Table'!$B:$B, $C1706), _xlfn.XLOOKUP($A1707, 'Instrument Table'!$H:$H, 'Instrument Table'!$B:$B, $C1706)))</f>
        <v>Electric Guitar</v>
      </c>
      <c r="D1707" s="1" t="str">
        <f>VLOOKUP($C1707, 'Instrument Table'!$B:$C, 2, FALSE)</f>
        <v>Strings</v>
      </c>
      <c r="E1707" s="1">
        <f t="shared" si="156"/>
        <v>1</v>
      </c>
      <c r="F1707" s="1">
        <f>_xlfn.XLOOKUP($C1707, 'Instrument Table'!$B:$B, 'Instrument Table'!$A:$A, "")</f>
        <v>25</v>
      </c>
      <c r="G1707" s="1" t="str">
        <f>TEXT(IF($B1707 = "Retail Item", IF((ROW($A1707) - 4504 - _xlfn.XMATCH($C1707, $C$4506:$C$5005, 0, 1)) &lt;= VLOOKUP($C1707, 'Instrument Table'!$B:$D, 3, FALSE), ROW($A1707) - 4504 - _xlfn.XMATCH($C1707, $C$4506:$C$5005, 0, 1), 0), 0), "00")</f>
        <v>00</v>
      </c>
      <c r="H1707" s="1" t="str">
        <f t="shared" si="157"/>
        <v>151</v>
      </c>
      <c r="I1707" s="1" t="str">
        <f t="shared" si="158"/>
        <v>12500-151</v>
      </c>
      <c r="J1707" s="1" t="str">
        <f t="shared" si="159"/>
        <v>Electric guitar production item #151</v>
      </c>
      <c r="K1707" s="1" t="str">
        <f>IF(SUM(COUNTIFS(I:I, I1707)) &gt; 1, "DUPLICATE", "UNIQUE")</f>
        <v>UNIQUE</v>
      </c>
      <c r="L1707" s="18">
        <v>16</v>
      </c>
      <c r="M1707" s="28">
        <v>39</v>
      </c>
      <c r="N1707" s="6">
        <v>100</v>
      </c>
      <c r="O1707" s="30">
        <f t="shared" si="160"/>
        <v>624</v>
      </c>
      <c r="P1707" s="30">
        <f t="shared" si="161"/>
        <v>3900</v>
      </c>
      <c r="Q1707" s="1">
        <f>COUNTIFS($P:$P, "&gt;" &amp; $P1707) + 1</f>
        <v>2677</v>
      </c>
      <c r="R1707" s="63">
        <f>(COUNTIFS($P:$P, "&gt;" &amp; $P1707) + 1) / (COUNTA($I:$I) - 1)</f>
        <v>0.53539999999999999</v>
      </c>
      <c r="S1707" s="23">
        <f>SUMIFS($P:$P, $Q:$Q, "&lt;" &amp; $Q1707)</f>
        <v>183877992</v>
      </c>
    </row>
    <row r="1708" spans="1:19" x14ac:dyDescent="0.25">
      <c r="A1708" s="1">
        <v>1703</v>
      </c>
      <c r="B1708" s="1" t="s">
        <v>2</v>
      </c>
      <c r="C1708" s="1" t="str">
        <f>IF($B1708 = "Production Item", _xlfn.XLOOKUP($A1708, 'Instrument Table'!$J:$J, 'Instrument Table'!$B:$B, $C1707), IF($B1708 = "Service Item", _xlfn.XLOOKUP($A1708, 'Instrument Table'!$I:$I, 'Instrument Table'!$B:$B, $C1707), _xlfn.XLOOKUP($A1708, 'Instrument Table'!$H:$H, 'Instrument Table'!$B:$B, $C1707)))</f>
        <v>Electric Guitar</v>
      </c>
      <c r="D1708" s="1" t="str">
        <f>VLOOKUP($C1708, 'Instrument Table'!$B:$C, 2, FALSE)</f>
        <v>Strings</v>
      </c>
      <c r="E1708" s="1">
        <f t="shared" si="156"/>
        <v>1</v>
      </c>
      <c r="F1708" s="1">
        <f>_xlfn.XLOOKUP($C1708, 'Instrument Table'!$B:$B, 'Instrument Table'!$A:$A, "")</f>
        <v>25</v>
      </c>
      <c r="G1708" s="1" t="str">
        <f>TEXT(IF($B1708 = "Retail Item", IF((ROW($A1708) - 4504 - _xlfn.XMATCH($C1708, $C$4506:$C$5005, 0, 1)) &lt;= VLOOKUP($C1708, 'Instrument Table'!$B:$D, 3, FALSE), ROW($A1708) - 4504 - _xlfn.XMATCH($C1708, $C$4506:$C$5005, 0, 1), 0), 0), "00")</f>
        <v>00</v>
      </c>
      <c r="H1708" s="1" t="str">
        <f t="shared" si="157"/>
        <v>152</v>
      </c>
      <c r="I1708" s="1" t="str">
        <f t="shared" si="158"/>
        <v>12500-152</v>
      </c>
      <c r="J1708" s="1" t="str">
        <f t="shared" si="159"/>
        <v>Electric guitar production item #152</v>
      </c>
      <c r="K1708" s="1" t="str">
        <f>IF(SUM(COUNTIFS(I:I, I1708)) &gt; 1, "DUPLICATE", "UNIQUE")</f>
        <v>UNIQUE</v>
      </c>
      <c r="L1708" s="18">
        <v>1</v>
      </c>
      <c r="M1708" s="28">
        <v>62</v>
      </c>
      <c r="N1708" s="6">
        <v>36</v>
      </c>
      <c r="O1708" s="30">
        <f t="shared" si="160"/>
        <v>62</v>
      </c>
      <c r="P1708" s="30">
        <f t="shared" si="161"/>
        <v>2232</v>
      </c>
      <c r="Q1708" s="1">
        <f>COUNTIFS($P:$P, "&gt;" &amp; $P1708) + 1</f>
        <v>3163</v>
      </c>
      <c r="R1708" s="63">
        <f>(COUNTIFS($P:$P, "&gt;" &amp; $P1708) + 1) / (COUNTA($I:$I) - 1)</f>
        <v>0.63260000000000005</v>
      </c>
      <c r="S1708" s="23">
        <f>SUMIFS($P:$P, $Q:$Q, "&lt;" &amp; $Q1708)</f>
        <v>185327469</v>
      </c>
    </row>
    <row r="1709" spans="1:19" x14ac:dyDescent="0.25">
      <c r="A1709" s="1">
        <v>1704</v>
      </c>
      <c r="B1709" s="1" t="s">
        <v>2</v>
      </c>
      <c r="C1709" s="1" t="str">
        <f>IF($B1709 = "Production Item", _xlfn.XLOOKUP($A1709, 'Instrument Table'!$J:$J, 'Instrument Table'!$B:$B, $C1708), IF($B1709 = "Service Item", _xlfn.XLOOKUP($A1709, 'Instrument Table'!$I:$I, 'Instrument Table'!$B:$B, $C1708), _xlfn.XLOOKUP($A1709, 'Instrument Table'!$H:$H, 'Instrument Table'!$B:$B, $C1708)))</f>
        <v>Electric Guitar</v>
      </c>
      <c r="D1709" s="1" t="str">
        <f>VLOOKUP($C1709, 'Instrument Table'!$B:$C, 2, FALSE)</f>
        <v>Strings</v>
      </c>
      <c r="E1709" s="1">
        <f t="shared" si="156"/>
        <v>1</v>
      </c>
      <c r="F1709" s="1">
        <f>_xlfn.XLOOKUP($C1709, 'Instrument Table'!$B:$B, 'Instrument Table'!$A:$A, "")</f>
        <v>25</v>
      </c>
      <c r="G1709" s="1" t="str">
        <f>TEXT(IF($B1709 = "Retail Item", IF((ROW($A1709) - 4504 - _xlfn.XMATCH($C1709, $C$4506:$C$5005, 0, 1)) &lt;= VLOOKUP($C1709, 'Instrument Table'!$B:$D, 3, FALSE), ROW($A1709) - 4504 - _xlfn.XMATCH($C1709, $C$4506:$C$5005, 0, 1), 0), 0), "00")</f>
        <v>00</v>
      </c>
      <c r="H1709" s="1" t="str">
        <f t="shared" si="157"/>
        <v>153</v>
      </c>
      <c r="I1709" s="1" t="str">
        <f t="shared" si="158"/>
        <v>12500-153</v>
      </c>
      <c r="J1709" s="1" t="str">
        <f t="shared" si="159"/>
        <v>Electric guitar production item #153</v>
      </c>
      <c r="K1709" s="1" t="str">
        <f>IF(SUM(COUNTIFS(I:I, I1709)) &gt; 1, "DUPLICATE", "UNIQUE")</f>
        <v>UNIQUE</v>
      </c>
      <c r="L1709" s="18">
        <v>0</v>
      </c>
      <c r="M1709" s="28">
        <v>85</v>
      </c>
      <c r="N1709" s="6">
        <v>4</v>
      </c>
      <c r="O1709" s="30">
        <f t="shared" si="160"/>
        <v>0</v>
      </c>
      <c r="P1709" s="30">
        <f t="shared" si="161"/>
        <v>340</v>
      </c>
      <c r="Q1709" s="1">
        <f>COUNTIFS($P:$P, "&gt;" &amp; $P1709) + 1</f>
        <v>4165</v>
      </c>
      <c r="R1709" s="63">
        <f>(COUNTIFS($P:$P, "&gt;" &amp; $P1709) + 1) / (COUNTA($I:$I) - 1)</f>
        <v>0.83299999999999996</v>
      </c>
      <c r="S1709" s="23">
        <f>SUMIFS($P:$P, $Q:$Q, "&lt;" &amp; $Q1709)</f>
        <v>186468944</v>
      </c>
    </row>
    <row r="1710" spans="1:19" x14ac:dyDescent="0.25">
      <c r="A1710" s="1">
        <v>1705</v>
      </c>
      <c r="B1710" s="1" t="s">
        <v>2</v>
      </c>
      <c r="C1710" s="1" t="str">
        <f>IF($B1710 = "Production Item", _xlfn.XLOOKUP($A1710, 'Instrument Table'!$J:$J, 'Instrument Table'!$B:$B, $C1709), IF($B1710 = "Service Item", _xlfn.XLOOKUP($A1710, 'Instrument Table'!$I:$I, 'Instrument Table'!$B:$B, $C1709), _xlfn.XLOOKUP($A1710, 'Instrument Table'!$H:$H, 'Instrument Table'!$B:$B, $C1709)))</f>
        <v>Electric Guitar</v>
      </c>
      <c r="D1710" s="1" t="str">
        <f>VLOOKUP($C1710, 'Instrument Table'!$B:$C, 2, FALSE)</f>
        <v>Strings</v>
      </c>
      <c r="E1710" s="1">
        <f t="shared" si="156"/>
        <v>1</v>
      </c>
      <c r="F1710" s="1">
        <f>_xlfn.XLOOKUP($C1710, 'Instrument Table'!$B:$B, 'Instrument Table'!$A:$A, "")</f>
        <v>25</v>
      </c>
      <c r="G1710" s="1" t="str">
        <f>TEXT(IF($B1710 = "Retail Item", IF((ROW($A1710) - 4504 - _xlfn.XMATCH($C1710, $C$4506:$C$5005, 0, 1)) &lt;= VLOOKUP($C1710, 'Instrument Table'!$B:$D, 3, FALSE), ROW($A1710) - 4504 - _xlfn.XMATCH($C1710, $C$4506:$C$5005, 0, 1), 0), 0), "00")</f>
        <v>00</v>
      </c>
      <c r="H1710" s="1" t="str">
        <f t="shared" si="157"/>
        <v>154</v>
      </c>
      <c r="I1710" s="1" t="str">
        <f t="shared" si="158"/>
        <v>12500-154</v>
      </c>
      <c r="J1710" s="1" t="str">
        <f t="shared" si="159"/>
        <v>Electric guitar production item #154</v>
      </c>
      <c r="K1710" s="1" t="str">
        <f>IF(SUM(COUNTIFS(I:I, I1710)) &gt; 1, "DUPLICATE", "UNIQUE")</f>
        <v>UNIQUE</v>
      </c>
      <c r="L1710" s="18">
        <v>32</v>
      </c>
      <c r="M1710" s="28">
        <v>19</v>
      </c>
      <c r="N1710" s="6">
        <v>9</v>
      </c>
      <c r="O1710" s="30">
        <f t="shared" si="160"/>
        <v>608</v>
      </c>
      <c r="P1710" s="30">
        <f t="shared" si="161"/>
        <v>171</v>
      </c>
      <c r="Q1710" s="1">
        <f>COUNTIFS($P:$P, "&gt;" &amp; $P1710) + 1</f>
        <v>4371</v>
      </c>
      <c r="R1710" s="63">
        <f>(COUNTIFS($P:$P, "&gt;" &amp; $P1710) + 1) / (COUNTA($I:$I) - 1)</f>
        <v>0.87419999999999998</v>
      </c>
      <c r="S1710" s="23">
        <f>SUMIFS($P:$P, $Q:$Q, "&lt;" &amp; $Q1710)</f>
        <v>186521340</v>
      </c>
    </row>
    <row r="1711" spans="1:19" x14ac:dyDescent="0.25">
      <c r="A1711" s="1">
        <v>1706</v>
      </c>
      <c r="B1711" s="1" t="s">
        <v>2</v>
      </c>
      <c r="C1711" s="1" t="str">
        <f>IF($B1711 = "Production Item", _xlfn.XLOOKUP($A1711, 'Instrument Table'!$J:$J, 'Instrument Table'!$B:$B, $C1710), IF($B1711 = "Service Item", _xlfn.XLOOKUP($A1711, 'Instrument Table'!$I:$I, 'Instrument Table'!$B:$B, $C1710), _xlfn.XLOOKUP($A1711, 'Instrument Table'!$H:$H, 'Instrument Table'!$B:$B, $C1710)))</f>
        <v>Electric Guitar</v>
      </c>
      <c r="D1711" s="1" t="str">
        <f>VLOOKUP($C1711, 'Instrument Table'!$B:$C, 2, FALSE)</f>
        <v>Strings</v>
      </c>
      <c r="E1711" s="1">
        <f t="shared" si="156"/>
        <v>1</v>
      </c>
      <c r="F1711" s="1">
        <f>_xlfn.XLOOKUP($C1711, 'Instrument Table'!$B:$B, 'Instrument Table'!$A:$A, "")</f>
        <v>25</v>
      </c>
      <c r="G1711" s="1" t="str">
        <f>TEXT(IF($B1711 = "Retail Item", IF((ROW($A1711) - 4504 - _xlfn.XMATCH($C1711, $C$4506:$C$5005, 0, 1)) &lt;= VLOOKUP($C1711, 'Instrument Table'!$B:$D, 3, FALSE), ROW($A1711) - 4504 - _xlfn.XMATCH($C1711, $C$4506:$C$5005, 0, 1), 0), 0), "00")</f>
        <v>00</v>
      </c>
      <c r="H1711" s="1" t="str">
        <f t="shared" si="157"/>
        <v>155</v>
      </c>
      <c r="I1711" s="1" t="str">
        <f t="shared" si="158"/>
        <v>12500-155</v>
      </c>
      <c r="J1711" s="1" t="str">
        <f t="shared" si="159"/>
        <v>Electric guitar production item #155</v>
      </c>
      <c r="K1711" s="1" t="str">
        <f>IF(SUM(COUNTIFS(I:I, I1711)) &gt; 1, "DUPLICATE", "UNIQUE")</f>
        <v>UNIQUE</v>
      </c>
      <c r="L1711" s="18">
        <v>0</v>
      </c>
      <c r="M1711" s="28">
        <v>72</v>
      </c>
      <c r="N1711" s="6">
        <v>81</v>
      </c>
      <c r="O1711" s="30">
        <f t="shared" si="160"/>
        <v>0</v>
      </c>
      <c r="P1711" s="30">
        <f t="shared" si="161"/>
        <v>5832</v>
      </c>
      <c r="Q1711" s="1">
        <f>COUNTIFS($P:$P, "&gt;" &amp; $P1711) + 1</f>
        <v>2288</v>
      </c>
      <c r="R1711" s="63">
        <f>(COUNTIFS($P:$P, "&gt;" &amp; $P1711) + 1) / (COUNTA($I:$I) - 1)</f>
        <v>0.45760000000000001</v>
      </c>
      <c r="S1711" s="23">
        <f>SUMIFS($P:$P, $Q:$Q, "&lt;" &amp; $Q1711)</f>
        <v>181994354</v>
      </c>
    </row>
    <row r="1712" spans="1:19" x14ac:dyDescent="0.25">
      <c r="A1712" s="1">
        <v>1707</v>
      </c>
      <c r="B1712" s="1" t="s">
        <v>2</v>
      </c>
      <c r="C1712" s="1" t="str">
        <f>IF($B1712 = "Production Item", _xlfn.XLOOKUP($A1712, 'Instrument Table'!$J:$J, 'Instrument Table'!$B:$B, $C1711), IF($B1712 = "Service Item", _xlfn.XLOOKUP($A1712, 'Instrument Table'!$I:$I, 'Instrument Table'!$B:$B, $C1711), _xlfn.XLOOKUP($A1712, 'Instrument Table'!$H:$H, 'Instrument Table'!$B:$B, $C1711)))</f>
        <v>Electric Guitar</v>
      </c>
      <c r="D1712" s="1" t="str">
        <f>VLOOKUP($C1712, 'Instrument Table'!$B:$C, 2, FALSE)</f>
        <v>Strings</v>
      </c>
      <c r="E1712" s="1">
        <f t="shared" si="156"/>
        <v>1</v>
      </c>
      <c r="F1712" s="1">
        <f>_xlfn.XLOOKUP($C1712, 'Instrument Table'!$B:$B, 'Instrument Table'!$A:$A, "")</f>
        <v>25</v>
      </c>
      <c r="G1712" s="1" t="str">
        <f>TEXT(IF($B1712 = "Retail Item", IF((ROW($A1712) - 4504 - _xlfn.XMATCH($C1712, $C$4506:$C$5005, 0, 1)) &lt;= VLOOKUP($C1712, 'Instrument Table'!$B:$D, 3, FALSE), ROW($A1712) - 4504 - _xlfn.XMATCH($C1712, $C$4506:$C$5005, 0, 1), 0), 0), "00")</f>
        <v>00</v>
      </c>
      <c r="H1712" s="1" t="str">
        <f t="shared" si="157"/>
        <v>156</v>
      </c>
      <c r="I1712" s="1" t="str">
        <f t="shared" si="158"/>
        <v>12500-156</v>
      </c>
      <c r="J1712" s="1" t="str">
        <f t="shared" si="159"/>
        <v>Electric guitar production item #156</v>
      </c>
      <c r="K1712" s="1" t="str">
        <f>IF(SUM(COUNTIFS(I:I, I1712)) &gt; 1, "DUPLICATE", "UNIQUE")</f>
        <v>UNIQUE</v>
      </c>
      <c r="L1712" s="18">
        <v>0</v>
      </c>
      <c r="M1712" s="28">
        <v>53</v>
      </c>
      <c r="N1712" s="6">
        <v>64</v>
      </c>
      <c r="O1712" s="30">
        <f t="shared" si="160"/>
        <v>0</v>
      </c>
      <c r="P1712" s="30">
        <f t="shared" si="161"/>
        <v>3392</v>
      </c>
      <c r="Q1712" s="1">
        <f>COUNTIFS($P:$P, "&gt;" &amp; $P1712) + 1</f>
        <v>2804</v>
      </c>
      <c r="R1712" s="63">
        <f>(COUNTIFS($P:$P, "&gt;" &amp; $P1712) + 1) / (COUNTA($I:$I) - 1)</f>
        <v>0.56079999999999997</v>
      </c>
      <c r="S1712" s="23">
        <f>SUMIFS($P:$P, $Q:$Q, "&lt;" &amp; $Q1712)</f>
        <v>184339515</v>
      </c>
    </row>
    <row r="1713" spans="1:19" x14ac:dyDescent="0.25">
      <c r="A1713" s="1">
        <v>1708</v>
      </c>
      <c r="B1713" s="1" t="s">
        <v>2</v>
      </c>
      <c r="C1713" s="1" t="str">
        <f>IF($B1713 = "Production Item", _xlfn.XLOOKUP($A1713, 'Instrument Table'!$J:$J, 'Instrument Table'!$B:$B, $C1712), IF($B1713 = "Service Item", _xlfn.XLOOKUP($A1713, 'Instrument Table'!$I:$I, 'Instrument Table'!$B:$B, $C1712), _xlfn.XLOOKUP($A1713, 'Instrument Table'!$H:$H, 'Instrument Table'!$B:$B, $C1712)))</f>
        <v>Electric Guitar</v>
      </c>
      <c r="D1713" s="1" t="str">
        <f>VLOOKUP($C1713, 'Instrument Table'!$B:$C, 2, FALSE)</f>
        <v>Strings</v>
      </c>
      <c r="E1713" s="1">
        <f t="shared" si="156"/>
        <v>1</v>
      </c>
      <c r="F1713" s="1">
        <f>_xlfn.XLOOKUP($C1713, 'Instrument Table'!$B:$B, 'Instrument Table'!$A:$A, "")</f>
        <v>25</v>
      </c>
      <c r="G1713" s="1" t="str">
        <f>TEXT(IF($B1713 = "Retail Item", IF((ROW($A1713) - 4504 - _xlfn.XMATCH($C1713, $C$4506:$C$5005, 0, 1)) &lt;= VLOOKUP($C1713, 'Instrument Table'!$B:$D, 3, FALSE), ROW($A1713) - 4504 - _xlfn.XMATCH($C1713, $C$4506:$C$5005, 0, 1), 0), 0), "00")</f>
        <v>00</v>
      </c>
      <c r="H1713" s="1" t="str">
        <f t="shared" si="157"/>
        <v>157</v>
      </c>
      <c r="I1713" s="1" t="str">
        <f t="shared" si="158"/>
        <v>12500-157</v>
      </c>
      <c r="J1713" s="1" t="str">
        <f t="shared" si="159"/>
        <v>Electric guitar production item #157</v>
      </c>
      <c r="K1713" s="1" t="str">
        <f>IF(SUM(COUNTIFS(I:I, I1713)) &gt; 1, "DUPLICATE", "UNIQUE")</f>
        <v>UNIQUE</v>
      </c>
      <c r="L1713" s="18">
        <v>0</v>
      </c>
      <c r="M1713" s="28">
        <v>68</v>
      </c>
      <c r="N1713" s="6">
        <v>324</v>
      </c>
      <c r="O1713" s="30">
        <f t="shared" si="160"/>
        <v>0</v>
      </c>
      <c r="P1713" s="30">
        <f t="shared" si="161"/>
        <v>22032</v>
      </c>
      <c r="Q1713" s="1">
        <f>COUNTIFS($P:$P, "&gt;" &amp; $P1713) + 1</f>
        <v>952</v>
      </c>
      <c r="R1713" s="63">
        <f>(COUNTIFS($P:$P, "&gt;" &amp; $P1713) + 1) / (COUNTA($I:$I) - 1)</f>
        <v>0.19040000000000001</v>
      </c>
      <c r="S1713" s="23">
        <f>SUMIFS($P:$P, $Q:$Q, "&lt;" &amp; $Q1713)</f>
        <v>165453532</v>
      </c>
    </row>
    <row r="1714" spans="1:19" x14ac:dyDescent="0.25">
      <c r="A1714" s="1">
        <v>1709</v>
      </c>
      <c r="B1714" s="1" t="s">
        <v>2</v>
      </c>
      <c r="C1714" s="1" t="str">
        <f>IF($B1714 = "Production Item", _xlfn.XLOOKUP($A1714, 'Instrument Table'!$J:$J, 'Instrument Table'!$B:$B, $C1713), IF($B1714 = "Service Item", _xlfn.XLOOKUP($A1714, 'Instrument Table'!$I:$I, 'Instrument Table'!$B:$B, $C1713), _xlfn.XLOOKUP($A1714, 'Instrument Table'!$H:$H, 'Instrument Table'!$B:$B, $C1713)))</f>
        <v>Electric Guitar</v>
      </c>
      <c r="D1714" s="1" t="str">
        <f>VLOOKUP($C1714, 'Instrument Table'!$B:$C, 2, FALSE)</f>
        <v>Strings</v>
      </c>
      <c r="E1714" s="1">
        <f t="shared" si="156"/>
        <v>1</v>
      </c>
      <c r="F1714" s="1">
        <f>_xlfn.XLOOKUP($C1714, 'Instrument Table'!$B:$B, 'Instrument Table'!$A:$A, "")</f>
        <v>25</v>
      </c>
      <c r="G1714" s="1" t="str">
        <f>TEXT(IF($B1714 = "Retail Item", IF((ROW($A1714) - 4504 - _xlfn.XMATCH($C1714, $C$4506:$C$5005, 0, 1)) &lt;= VLOOKUP($C1714, 'Instrument Table'!$B:$D, 3, FALSE), ROW($A1714) - 4504 - _xlfn.XMATCH($C1714, $C$4506:$C$5005, 0, 1), 0), 0), "00")</f>
        <v>00</v>
      </c>
      <c r="H1714" s="1" t="str">
        <f t="shared" si="157"/>
        <v>158</v>
      </c>
      <c r="I1714" s="1" t="str">
        <f t="shared" si="158"/>
        <v>12500-158</v>
      </c>
      <c r="J1714" s="1" t="str">
        <f t="shared" si="159"/>
        <v>Electric guitar production item #158</v>
      </c>
      <c r="K1714" s="1" t="str">
        <f>IF(SUM(COUNTIFS(I:I, I1714)) &gt; 1, "DUPLICATE", "UNIQUE")</f>
        <v>UNIQUE</v>
      </c>
      <c r="L1714" s="18">
        <v>1</v>
      </c>
      <c r="M1714" s="28">
        <v>66</v>
      </c>
      <c r="N1714" s="6">
        <v>16</v>
      </c>
      <c r="O1714" s="30">
        <f t="shared" si="160"/>
        <v>66</v>
      </c>
      <c r="P1714" s="30">
        <f t="shared" si="161"/>
        <v>1056</v>
      </c>
      <c r="Q1714" s="1">
        <f>COUNTIFS($P:$P, "&gt;" &amp; $P1714) + 1</f>
        <v>3660</v>
      </c>
      <c r="R1714" s="63">
        <f>(COUNTIFS($P:$P, "&gt;" &amp; $P1714) + 1) / (COUNTA($I:$I) - 1)</f>
        <v>0.73199999999999998</v>
      </c>
      <c r="S1714" s="23">
        <f>SUMIFS($P:$P, $Q:$Q, "&lt;" &amp; $Q1714)</f>
        <v>186138616</v>
      </c>
    </row>
    <row r="1715" spans="1:19" x14ac:dyDescent="0.25">
      <c r="A1715" s="1">
        <v>1710</v>
      </c>
      <c r="B1715" s="1" t="s">
        <v>2</v>
      </c>
      <c r="C1715" s="1" t="str">
        <f>IF($B1715 = "Production Item", _xlfn.XLOOKUP($A1715, 'Instrument Table'!$J:$J, 'Instrument Table'!$B:$B, $C1714), IF($B1715 = "Service Item", _xlfn.XLOOKUP($A1715, 'Instrument Table'!$I:$I, 'Instrument Table'!$B:$B, $C1714), _xlfn.XLOOKUP($A1715, 'Instrument Table'!$H:$H, 'Instrument Table'!$B:$B, $C1714)))</f>
        <v>Electric Guitar</v>
      </c>
      <c r="D1715" s="1" t="str">
        <f>VLOOKUP($C1715, 'Instrument Table'!$B:$C, 2, FALSE)</f>
        <v>Strings</v>
      </c>
      <c r="E1715" s="1">
        <f t="shared" si="156"/>
        <v>1</v>
      </c>
      <c r="F1715" s="1">
        <f>_xlfn.XLOOKUP($C1715, 'Instrument Table'!$B:$B, 'Instrument Table'!$A:$A, "")</f>
        <v>25</v>
      </c>
      <c r="G1715" s="1" t="str">
        <f>TEXT(IF($B1715 = "Retail Item", IF((ROW($A1715) - 4504 - _xlfn.XMATCH($C1715, $C$4506:$C$5005, 0, 1)) &lt;= VLOOKUP($C1715, 'Instrument Table'!$B:$D, 3, FALSE), ROW($A1715) - 4504 - _xlfn.XMATCH($C1715, $C$4506:$C$5005, 0, 1), 0), 0), "00")</f>
        <v>00</v>
      </c>
      <c r="H1715" s="1" t="str">
        <f t="shared" si="157"/>
        <v>159</v>
      </c>
      <c r="I1715" s="1" t="str">
        <f t="shared" si="158"/>
        <v>12500-159</v>
      </c>
      <c r="J1715" s="1" t="str">
        <f t="shared" si="159"/>
        <v>Electric guitar production item #159</v>
      </c>
      <c r="K1715" s="1" t="str">
        <f>IF(SUM(COUNTIFS(I:I, I1715)) &gt; 1, "DUPLICATE", "UNIQUE")</f>
        <v>UNIQUE</v>
      </c>
      <c r="L1715" s="18">
        <v>1</v>
      </c>
      <c r="M1715" s="28">
        <v>82</v>
      </c>
      <c r="N1715" s="6">
        <v>16</v>
      </c>
      <c r="O1715" s="30">
        <f t="shared" si="160"/>
        <v>82</v>
      </c>
      <c r="P1715" s="30">
        <f t="shared" si="161"/>
        <v>1312</v>
      </c>
      <c r="Q1715" s="1">
        <f>COUNTIFS($P:$P, "&gt;" &amp; $P1715) + 1</f>
        <v>3558</v>
      </c>
      <c r="R1715" s="63">
        <f>(COUNTIFS($P:$P, "&gt;" &amp; $P1715) + 1) / (COUNTA($I:$I) - 1)</f>
        <v>0.71160000000000001</v>
      </c>
      <c r="S1715" s="23">
        <f>SUMIFS($P:$P, $Q:$Q, "&lt;" &amp; $Q1715)</f>
        <v>186016704</v>
      </c>
    </row>
    <row r="1716" spans="1:19" x14ac:dyDescent="0.25">
      <c r="A1716" s="1">
        <v>1711</v>
      </c>
      <c r="B1716" s="1" t="s">
        <v>2</v>
      </c>
      <c r="C1716" s="1" t="str">
        <f>IF($B1716 = "Production Item", _xlfn.XLOOKUP($A1716, 'Instrument Table'!$J:$J, 'Instrument Table'!$B:$B, $C1715), IF($B1716 = "Service Item", _xlfn.XLOOKUP($A1716, 'Instrument Table'!$I:$I, 'Instrument Table'!$B:$B, $C1715), _xlfn.XLOOKUP($A1716, 'Instrument Table'!$H:$H, 'Instrument Table'!$B:$B, $C1715)))</f>
        <v>Electric Guitar</v>
      </c>
      <c r="D1716" s="1" t="str">
        <f>VLOOKUP($C1716, 'Instrument Table'!$B:$C, 2, FALSE)</f>
        <v>Strings</v>
      </c>
      <c r="E1716" s="1">
        <f t="shared" si="156"/>
        <v>1</v>
      </c>
      <c r="F1716" s="1">
        <f>_xlfn.XLOOKUP($C1716, 'Instrument Table'!$B:$B, 'Instrument Table'!$A:$A, "")</f>
        <v>25</v>
      </c>
      <c r="G1716" s="1" t="str">
        <f>TEXT(IF($B1716 = "Retail Item", IF((ROW($A1716) - 4504 - _xlfn.XMATCH($C1716, $C$4506:$C$5005, 0, 1)) &lt;= VLOOKUP($C1716, 'Instrument Table'!$B:$D, 3, FALSE), ROW($A1716) - 4504 - _xlfn.XMATCH($C1716, $C$4506:$C$5005, 0, 1), 0), 0), "00")</f>
        <v>00</v>
      </c>
      <c r="H1716" s="1" t="str">
        <f t="shared" si="157"/>
        <v>160</v>
      </c>
      <c r="I1716" s="1" t="str">
        <f t="shared" si="158"/>
        <v>12500-160</v>
      </c>
      <c r="J1716" s="1" t="str">
        <f t="shared" si="159"/>
        <v>Electric guitar production item #160</v>
      </c>
      <c r="K1716" s="1" t="str">
        <f>IF(SUM(COUNTIFS(I:I, I1716)) &gt; 1, "DUPLICATE", "UNIQUE")</f>
        <v>UNIQUE</v>
      </c>
      <c r="L1716" s="18">
        <v>0</v>
      </c>
      <c r="M1716" s="28">
        <v>38</v>
      </c>
      <c r="N1716" s="6">
        <v>289</v>
      </c>
      <c r="O1716" s="30">
        <f t="shared" si="160"/>
        <v>0</v>
      </c>
      <c r="P1716" s="30">
        <f t="shared" si="161"/>
        <v>10982</v>
      </c>
      <c r="Q1716" s="1">
        <f>COUNTIFS($P:$P, "&gt;" &amp; $P1716) + 1</f>
        <v>1686</v>
      </c>
      <c r="R1716" s="63">
        <f>(COUNTIFS($P:$P, "&gt;" &amp; $P1716) + 1) / (COUNTA($I:$I) - 1)</f>
        <v>0.3372</v>
      </c>
      <c r="S1716" s="23">
        <f>SUMIFS($P:$P, $Q:$Q, "&lt;" &amp; $Q1716)</f>
        <v>177060628</v>
      </c>
    </row>
    <row r="1717" spans="1:19" x14ac:dyDescent="0.25">
      <c r="A1717" s="1">
        <v>1712</v>
      </c>
      <c r="B1717" s="1" t="s">
        <v>2</v>
      </c>
      <c r="C1717" s="1" t="str">
        <f>IF($B1717 = "Production Item", _xlfn.XLOOKUP($A1717, 'Instrument Table'!$J:$J, 'Instrument Table'!$B:$B, $C1716), IF($B1717 = "Service Item", _xlfn.XLOOKUP($A1717, 'Instrument Table'!$I:$I, 'Instrument Table'!$B:$B, $C1716), _xlfn.XLOOKUP($A1717, 'Instrument Table'!$H:$H, 'Instrument Table'!$B:$B, $C1716)))</f>
        <v>Electric Guitar</v>
      </c>
      <c r="D1717" s="1" t="str">
        <f>VLOOKUP($C1717, 'Instrument Table'!$B:$C, 2, FALSE)</f>
        <v>Strings</v>
      </c>
      <c r="E1717" s="1">
        <f t="shared" si="156"/>
        <v>1</v>
      </c>
      <c r="F1717" s="1">
        <f>_xlfn.XLOOKUP($C1717, 'Instrument Table'!$B:$B, 'Instrument Table'!$A:$A, "")</f>
        <v>25</v>
      </c>
      <c r="G1717" s="1" t="str">
        <f>TEXT(IF($B1717 = "Retail Item", IF((ROW($A1717) - 4504 - _xlfn.XMATCH($C1717, $C$4506:$C$5005, 0, 1)) &lt;= VLOOKUP($C1717, 'Instrument Table'!$B:$D, 3, FALSE), ROW($A1717) - 4504 - _xlfn.XMATCH($C1717, $C$4506:$C$5005, 0, 1), 0), 0), "00")</f>
        <v>00</v>
      </c>
      <c r="H1717" s="1" t="str">
        <f t="shared" si="157"/>
        <v>161</v>
      </c>
      <c r="I1717" s="1" t="str">
        <f t="shared" si="158"/>
        <v>12500-161</v>
      </c>
      <c r="J1717" s="1" t="str">
        <f t="shared" si="159"/>
        <v>Electric guitar production item #161</v>
      </c>
      <c r="K1717" s="1" t="str">
        <f>IF(SUM(COUNTIFS(I:I, I1717)) &gt; 1, "DUPLICATE", "UNIQUE")</f>
        <v>UNIQUE</v>
      </c>
      <c r="L1717" s="18">
        <v>2</v>
      </c>
      <c r="M1717" s="28">
        <v>66</v>
      </c>
      <c r="N1717" s="6">
        <v>256</v>
      </c>
      <c r="O1717" s="30">
        <f t="shared" si="160"/>
        <v>132</v>
      </c>
      <c r="P1717" s="30">
        <f t="shared" si="161"/>
        <v>16896</v>
      </c>
      <c r="Q1717" s="1">
        <f>COUNTIFS($P:$P, "&gt;" &amp; $P1717) + 1</f>
        <v>1217</v>
      </c>
      <c r="R1717" s="63">
        <f>(COUNTIFS($P:$P, "&gt;" &amp; $P1717) + 1) / (COUNTA($I:$I) - 1)</f>
        <v>0.24340000000000001</v>
      </c>
      <c r="S1717" s="23">
        <f>SUMIFS($P:$P, $Q:$Q, "&lt;" &amp; $Q1717)</f>
        <v>170617613</v>
      </c>
    </row>
    <row r="1718" spans="1:19" x14ac:dyDescent="0.25">
      <c r="A1718" s="1">
        <v>1713</v>
      </c>
      <c r="B1718" s="1" t="s">
        <v>2</v>
      </c>
      <c r="C1718" s="1" t="str">
        <f>IF($B1718 = "Production Item", _xlfn.XLOOKUP($A1718, 'Instrument Table'!$J:$J, 'Instrument Table'!$B:$B, $C1717), IF($B1718 = "Service Item", _xlfn.XLOOKUP($A1718, 'Instrument Table'!$I:$I, 'Instrument Table'!$B:$B, $C1717), _xlfn.XLOOKUP($A1718, 'Instrument Table'!$H:$H, 'Instrument Table'!$B:$B, $C1717)))</f>
        <v>Electric Guitar</v>
      </c>
      <c r="D1718" s="1" t="str">
        <f>VLOOKUP($C1718, 'Instrument Table'!$B:$C, 2, FALSE)</f>
        <v>Strings</v>
      </c>
      <c r="E1718" s="1">
        <f t="shared" si="156"/>
        <v>1</v>
      </c>
      <c r="F1718" s="1">
        <f>_xlfn.XLOOKUP($C1718, 'Instrument Table'!$B:$B, 'Instrument Table'!$A:$A, "")</f>
        <v>25</v>
      </c>
      <c r="G1718" s="1" t="str">
        <f>TEXT(IF($B1718 = "Retail Item", IF((ROW($A1718) - 4504 - _xlfn.XMATCH($C1718, $C$4506:$C$5005, 0, 1)) &lt;= VLOOKUP($C1718, 'Instrument Table'!$B:$D, 3, FALSE), ROW($A1718) - 4504 - _xlfn.XMATCH($C1718, $C$4506:$C$5005, 0, 1), 0), 0), "00")</f>
        <v>00</v>
      </c>
      <c r="H1718" s="1" t="str">
        <f t="shared" si="157"/>
        <v>162</v>
      </c>
      <c r="I1718" s="1" t="str">
        <f t="shared" si="158"/>
        <v>12500-162</v>
      </c>
      <c r="J1718" s="1" t="str">
        <f t="shared" si="159"/>
        <v>Electric guitar production item #162</v>
      </c>
      <c r="K1718" s="1" t="str">
        <f>IF(SUM(COUNTIFS(I:I, I1718)) &gt; 1, "DUPLICATE", "UNIQUE")</f>
        <v>UNIQUE</v>
      </c>
      <c r="L1718" s="18">
        <v>0</v>
      </c>
      <c r="M1718" s="28">
        <v>45</v>
      </c>
      <c r="N1718" s="6">
        <v>256</v>
      </c>
      <c r="O1718" s="30">
        <f t="shared" si="160"/>
        <v>0</v>
      </c>
      <c r="P1718" s="30">
        <f t="shared" si="161"/>
        <v>11520</v>
      </c>
      <c r="Q1718" s="1">
        <f>COUNTIFS($P:$P, "&gt;" &amp; $P1718) + 1</f>
        <v>1634</v>
      </c>
      <c r="R1718" s="63">
        <f>(COUNTIFS($P:$P, "&gt;" &amp; $P1718) + 1) / (COUNTA($I:$I) - 1)</f>
        <v>0.32679999999999998</v>
      </c>
      <c r="S1718" s="23">
        <f>SUMIFS($P:$P, $Q:$Q, "&lt;" &amp; $Q1718)</f>
        <v>176474475</v>
      </c>
    </row>
    <row r="1719" spans="1:19" x14ac:dyDescent="0.25">
      <c r="A1719" s="1">
        <v>1714</v>
      </c>
      <c r="B1719" s="1" t="s">
        <v>2</v>
      </c>
      <c r="C1719" s="1" t="str">
        <f>IF($B1719 = "Production Item", _xlfn.XLOOKUP($A1719, 'Instrument Table'!$J:$J, 'Instrument Table'!$B:$B, $C1718), IF($B1719 = "Service Item", _xlfn.XLOOKUP($A1719, 'Instrument Table'!$I:$I, 'Instrument Table'!$B:$B, $C1718), _xlfn.XLOOKUP($A1719, 'Instrument Table'!$H:$H, 'Instrument Table'!$B:$B, $C1718)))</f>
        <v>Electric Guitar</v>
      </c>
      <c r="D1719" s="1" t="str">
        <f>VLOOKUP($C1719, 'Instrument Table'!$B:$C, 2, FALSE)</f>
        <v>Strings</v>
      </c>
      <c r="E1719" s="1">
        <f t="shared" si="156"/>
        <v>1</v>
      </c>
      <c r="F1719" s="1">
        <f>_xlfn.XLOOKUP($C1719, 'Instrument Table'!$B:$B, 'Instrument Table'!$A:$A, "")</f>
        <v>25</v>
      </c>
      <c r="G1719" s="1" t="str">
        <f>TEXT(IF($B1719 = "Retail Item", IF((ROW($A1719) - 4504 - _xlfn.XMATCH($C1719, $C$4506:$C$5005, 0, 1)) &lt;= VLOOKUP($C1719, 'Instrument Table'!$B:$D, 3, FALSE), ROW($A1719) - 4504 - _xlfn.XMATCH($C1719, $C$4506:$C$5005, 0, 1), 0), 0), "00")</f>
        <v>00</v>
      </c>
      <c r="H1719" s="1" t="str">
        <f t="shared" si="157"/>
        <v>163</v>
      </c>
      <c r="I1719" s="1" t="str">
        <f t="shared" si="158"/>
        <v>12500-163</v>
      </c>
      <c r="J1719" s="1" t="str">
        <f t="shared" si="159"/>
        <v>Electric guitar production item #163</v>
      </c>
      <c r="K1719" s="1" t="str">
        <f>IF(SUM(COUNTIFS(I:I, I1719)) &gt; 1, "DUPLICATE", "UNIQUE")</f>
        <v>UNIQUE</v>
      </c>
      <c r="L1719" s="18">
        <v>2</v>
      </c>
      <c r="M1719" s="28">
        <v>6</v>
      </c>
      <c r="N1719" s="6">
        <v>121</v>
      </c>
      <c r="O1719" s="30">
        <f t="shared" si="160"/>
        <v>12</v>
      </c>
      <c r="P1719" s="30">
        <f t="shared" si="161"/>
        <v>726</v>
      </c>
      <c r="Q1719" s="1">
        <f>COUNTIFS($P:$P, "&gt;" &amp; $P1719) + 1</f>
        <v>3852</v>
      </c>
      <c r="R1719" s="63">
        <f>(COUNTIFS($P:$P, "&gt;" &amp; $P1719) + 1) / (COUNTA($I:$I) - 1)</f>
        <v>0.77039999999999997</v>
      </c>
      <c r="S1719" s="23">
        <f>SUMIFS($P:$P, $Q:$Q, "&lt;" &amp; $Q1719)</f>
        <v>186305001</v>
      </c>
    </row>
    <row r="1720" spans="1:19" x14ac:dyDescent="0.25">
      <c r="A1720" s="1">
        <v>1715</v>
      </c>
      <c r="B1720" s="1" t="s">
        <v>2</v>
      </c>
      <c r="C1720" s="1" t="str">
        <f>IF($B1720 = "Production Item", _xlfn.XLOOKUP($A1720, 'Instrument Table'!$J:$J, 'Instrument Table'!$B:$B, $C1719), IF($B1720 = "Service Item", _xlfn.XLOOKUP($A1720, 'Instrument Table'!$I:$I, 'Instrument Table'!$B:$B, $C1719), _xlfn.XLOOKUP($A1720, 'Instrument Table'!$H:$H, 'Instrument Table'!$B:$B, $C1719)))</f>
        <v>Electric Guitar</v>
      </c>
      <c r="D1720" s="1" t="str">
        <f>VLOOKUP($C1720, 'Instrument Table'!$B:$C, 2, FALSE)</f>
        <v>Strings</v>
      </c>
      <c r="E1720" s="1">
        <f t="shared" si="156"/>
        <v>1</v>
      </c>
      <c r="F1720" s="1">
        <f>_xlfn.XLOOKUP($C1720, 'Instrument Table'!$B:$B, 'Instrument Table'!$A:$A, "")</f>
        <v>25</v>
      </c>
      <c r="G1720" s="1" t="str">
        <f>TEXT(IF($B1720 = "Retail Item", IF((ROW($A1720) - 4504 - _xlfn.XMATCH($C1720, $C$4506:$C$5005, 0, 1)) &lt;= VLOOKUP($C1720, 'Instrument Table'!$B:$D, 3, FALSE), ROW($A1720) - 4504 - _xlfn.XMATCH($C1720, $C$4506:$C$5005, 0, 1), 0), 0), "00")</f>
        <v>00</v>
      </c>
      <c r="H1720" s="1" t="str">
        <f t="shared" si="157"/>
        <v>164</v>
      </c>
      <c r="I1720" s="1" t="str">
        <f t="shared" si="158"/>
        <v>12500-164</v>
      </c>
      <c r="J1720" s="1" t="str">
        <f t="shared" si="159"/>
        <v>Electric guitar production item #164</v>
      </c>
      <c r="K1720" s="1" t="str">
        <f>IF(SUM(COUNTIFS(I:I, I1720)) &gt; 1, "DUPLICATE", "UNIQUE")</f>
        <v>UNIQUE</v>
      </c>
      <c r="L1720" s="18">
        <v>0</v>
      </c>
      <c r="M1720" s="28">
        <v>99</v>
      </c>
      <c r="N1720" s="6">
        <v>4</v>
      </c>
      <c r="O1720" s="30">
        <f t="shared" si="160"/>
        <v>0</v>
      </c>
      <c r="P1720" s="30">
        <f t="shared" si="161"/>
        <v>396</v>
      </c>
      <c r="Q1720" s="1">
        <f>COUNTIFS($P:$P, "&gt;" &amp; $P1720) + 1</f>
        <v>4100</v>
      </c>
      <c r="R1720" s="63">
        <f>(COUNTIFS($P:$P, "&gt;" &amp; $P1720) + 1) / (COUNTA($I:$I) - 1)</f>
        <v>0.82</v>
      </c>
      <c r="S1720" s="23">
        <f>SUMIFS($P:$P, $Q:$Q, "&lt;" &amp; $Q1720)</f>
        <v>186444882</v>
      </c>
    </row>
    <row r="1721" spans="1:19" x14ac:dyDescent="0.25">
      <c r="A1721" s="1">
        <v>1716</v>
      </c>
      <c r="B1721" s="1" t="s">
        <v>2</v>
      </c>
      <c r="C1721" s="1" t="str">
        <f>IF($B1721 = "Production Item", _xlfn.XLOOKUP($A1721, 'Instrument Table'!$J:$J, 'Instrument Table'!$B:$B, $C1720), IF($B1721 = "Service Item", _xlfn.XLOOKUP($A1721, 'Instrument Table'!$I:$I, 'Instrument Table'!$B:$B, $C1720), _xlfn.XLOOKUP($A1721, 'Instrument Table'!$H:$H, 'Instrument Table'!$B:$B, $C1720)))</f>
        <v>Electric Guitar</v>
      </c>
      <c r="D1721" s="1" t="str">
        <f>VLOOKUP($C1721, 'Instrument Table'!$B:$C, 2, FALSE)</f>
        <v>Strings</v>
      </c>
      <c r="E1721" s="1">
        <f t="shared" si="156"/>
        <v>1</v>
      </c>
      <c r="F1721" s="1">
        <f>_xlfn.XLOOKUP($C1721, 'Instrument Table'!$B:$B, 'Instrument Table'!$A:$A, "")</f>
        <v>25</v>
      </c>
      <c r="G1721" s="1" t="str">
        <f>TEXT(IF($B1721 = "Retail Item", IF((ROW($A1721) - 4504 - _xlfn.XMATCH($C1721, $C$4506:$C$5005, 0, 1)) &lt;= VLOOKUP($C1721, 'Instrument Table'!$B:$D, 3, FALSE), ROW($A1721) - 4504 - _xlfn.XMATCH($C1721, $C$4506:$C$5005, 0, 1), 0), 0), "00")</f>
        <v>00</v>
      </c>
      <c r="H1721" s="1" t="str">
        <f t="shared" si="157"/>
        <v>165</v>
      </c>
      <c r="I1721" s="1" t="str">
        <f t="shared" si="158"/>
        <v>12500-165</v>
      </c>
      <c r="J1721" s="1" t="str">
        <f t="shared" si="159"/>
        <v>Electric guitar production item #165</v>
      </c>
      <c r="K1721" s="1" t="str">
        <f>IF(SUM(COUNTIFS(I:I, I1721)) &gt; 1, "DUPLICATE", "UNIQUE")</f>
        <v>UNIQUE</v>
      </c>
      <c r="L1721" s="18">
        <v>4</v>
      </c>
      <c r="M1721" s="28">
        <v>61</v>
      </c>
      <c r="N1721" s="6">
        <v>196</v>
      </c>
      <c r="O1721" s="30">
        <f t="shared" si="160"/>
        <v>244</v>
      </c>
      <c r="P1721" s="30">
        <f t="shared" si="161"/>
        <v>11956</v>
      </c>
      <c r="Q1721" s="1">
        <f>COUNTIFS($P:$P, "&gt;" &amp; $P1721) + 1</f>
        <v>1586</v>
      </c>
      <c r="R1721" s="63">
        <f>(COUNTIFS($P:$P, "&gt;" &amp; $P1721) + 1) / (COUNTA($I:$I) - 1)</f>
        <v>0.31719999999999998</v>
      </c>
      <c r="S1721" s="23">
        <f>SUMIFS($P:$P, $Q:$Q, "&lt;" &amp; $Q1721)</f>
        <v>175912338</v>
      </c>
    </row>
    <row r="1722" spans="1:19" x14ac:dyDescent="0.25">
      <c r="A1722" s="1">
        <v>1717</v>
      </c>
      <c r="B1722" s="1" t="s">
        <v>2</v>
      </c>
      <c r="C1722" s="1" t="str">
        <f>IF($B1722 = "Production Item", _xlfn.XLOOKUP($A1722, 'Instrument Table'!$J:$J, 'Instrument Table'!$B:$B, $C1721), IF($B1722 = "Service Item", _xlfn.XLOOKUP($A1722, 'Instrument Table'!$I:$I, 'Instrument Table'!$B:$B, $C1721), _xlfn.XLOOKUP($A1722, 'Instrument Table'!$H:$H, 'Instrument Table'!$B:$B, $C1721)))</f>
        <v>Electric Guitar</v>
      </c>
      <c r="D1722" s="1" t="str">
        <f>VLOOKUP($C1722, 'Instrument Table'!$B:$C, 2, FALSE)</f>
        <v>Strings</v>
      </c>
      <c r="E1722" s="1">
        <f t="shared" si="156"/>
        <v>1</v>
      </c>
      <c r="F1722" s="1">
        <f>_xlfn.XLOOKUP($C1722, 'Instrument Table'!$B:$B, 'Instrument Table'!$A:$A, "")</f>
        <v>25</v>
      </c>
      <c r="G1722" s="1" t="str">
        <f>TEXT(IF($B1722 = "Retail Item", IF((ROW($A1722) - 4504 - _xlfn.XMATCH($C1722, $C$4506:$C$5005, 0, 1)) &lt;= VLOOKUP($C1722, 'Instrument Table'!$B:$D, 3, FALSE), ROW($A1722) - 4504 - _xlfn.XMATCH($C1722, $C$4506:$C$5005, 0, 1), 0), 0), "00")</f>
        <v>00</v>
      </c>
      <c r="H1722" s="1" t="str">
        <f t="shared" si="157"/>
        <v>166</v>
      </c>
      <c r="I1722" s="1" t="str">
        <f t="shared" si="158"/>
        <v>12500-166</v>
      </c>
      <c r="J1722" s="1" t="str">
        <f t="shared" si="159"/>
        <v>Electric guitar production item #166</v>
      </c>
      <c r="K1722" s="1" t="str">
        <f>IF(SUM(COUNTIFS(I:I, I1722)) &gt; 1, "DUPLICATE", "UNIQUE")</f>
        <v>UNIQUE</v>
      </c>
      <c r="L1722" s="18">
        <v>0</v>
      </c>
      <c r="M1722" s="28">
        <v>91</v>
      </c>
      <c r="N1722" s="6">
        <v>0</v>
      </c>
      <c r="O1722" s="30">
        <f t="shared" si="160"/>
        <v>0</v>
      </c>
      <c r="P1722" s="30">
        <f t="shared" si="161"/>
        <v>0</v>
      </c>
      <c r="Q1722" s="1">
        <f>COUNTIFS($P:$P, "&gt;" &amp; $P1722) + 1</f>
        <v>4746</v>
      </c>
      <c r="R1722" s="63">
        <f>(COUNTIFS($P:$P, "&gt;" &amp; $P1722) + 1) / (COUNTA($I:$I) - 1)</f>
        <v>0.94920000000000004</v>
      </c>
      <c r="S1722" s="23">
        <f>SUMIFS($P:$P, $Q:$Q, "&lt;" &amp; $Q1722)</f>
        <v>186547861</v>
      </c>
    </row>
    <row r="1723" spans="1:19" x14ac:dyDescent="0.25">
      <c r="A1723" s="1">
        <v>1718</v>
      </c>
      <c r="B1723" s="1" t="s">
        <v>2</v>
      </c>
      <c r="C1723" s="1" t="str">
        <f>IF($B1723 = "Production Item", _xlfn.XLOOKUP($A1723, 'Instrument Table'!$J:$J, 'Instrument Table'!$B:$B, $C1722), IF($B1723 = "Service Item", _xlfn.XLOOKUP($A1723, 'Instrument Table'!$I:$I, 'Instrument Table'!$B:$B, $C1722), _xlfn.XLOOKUP($A1723, 'Instrument Table'!$H:$H, 'Instrument Table'!$B:$B, $C1722)))</f>
        <v>Electric Guitar</v>
      </c>
      <c r="D1723" s="1" t="str">
        <f>VLOOKUP($C1723, 'Instrument Table'!$B:$C, 2, FALSE)</f>
        <v>Strings</v>
      </c>
      <c r="E1723" s="1">
        <f t="shared" si="156"/>
        <v>1</v>
      </c>
      <c r="F1723" s="1">
        <f>_xlfn.XLOOKUP($C1723, 'Instrument Table'!$B:$B, 'Instrument Table'!$A:$A, "")</f>
        <v>25</v>
      </c>
      <c r="G1723" s="1" t="str">
        <f>TEXT(IF($B1723 = "Retail Item", IF((ROW($A1723) - 4504 - _xlfn.XMATCH($C1723, $C$4506:$C$5005, 0, 1)) &lt;= VLOOKUP($C1723, 'Instrument Table'!$B:$D, 3, FALSE), ROW($A1723) - 4504 - _xlfn.XMATCH($C1723, $C$4506:$C$5005, 0, 1), 0), 0), "00")</f>
        <v>00</v>
      </c>
      <c r="H1723" s="1" t="str">
        <f t="shared" si="157"/>
        <v>167</v>
      </c>
      <c r="I1723" s="1" t="str">
        <f t="shared" si="158"/>
        <v>12500-167</v>
      </c>
      <c r="J1723" s="1" t="str">
        <f t="shared" si="159"/>
        <v>Electric guitar production item #167</v>
      </c>
      <c r="K1723" s="1" t="str">
        <f>IF(SUM(COUNTIFS(I:I, I1723)) &gt; 1, "DUPLICATE", "UNIQUE")</f>
        <v>UNIQUE</v>
      </c>
      <c r="L1723" s="18">
        <v>0</v>
      </c>
      <c r="M1723" s="28">
        <v>65</v>
      </c>
      <c r="N1723" s="6">
        <v>49</v>
      </c>
      <c r="O1723" s="30">
        <f t="shared" si="160"/>
        <v>0</v>
      </c>
      <c r="P1723" s="30">
        <f t="shared" si="161"/>
        <v>3185</v>
      </c>
      <c r="Q1723" s="1">
        <f>COUNTIFS($P:$P, "&gt;" &amp; $P1723) + 1</f>
        <v>2861</v>
      </c>
      <c r="R1723" s="63">
        <f>(COUNTIFS($P:$P, "&gt;" &amp; $P1723) + 1) / (COUNTA($I:$I) - 1)</f>
        <v>0.57220000000000004</v>
      </c>
      <c r="S1723" s="23">
        <f>SUMIFS($P:$P, $Q:$Q, "&lt;" &amp; $Q1723)</f>
        <v>184527056</v>
      </c>
    </row>
    <row r="1724" spans="1:19" x14ac:dyDescent="0.25">
      <c r="A1724" s="1">
        <v>1719</v>
      </c>
      <c r="B1724" s="1" t="s">
        <v>2</v>
      </c>
      <c r="C1724" s="1" t="str">
        <f>IF($B1724 = "Production Item", _xlfn.XLOOKUP($A1724, 'Instrument Table'!$J:$J, 'Instrument Table'!$B:$B, $C1723), IF($B1724 = "Service Item", _xlfn.XLOOKUP($A1724, 'Instrument Table'!$I:$I, 'Instrument Table'!$B:$B, $C1723), _xlfn.XLOOKUP($A1724, 'Instrument Table'!$H:$H, 'Instrument Table'!$B:$B, $C1723)))</f>
        <v>Electric Guitar</v>
      </c>
      <c r="D1724" s="1" t="str">
        <f>VLOOKUP($C1724, 'Instrument Table'!$B:$C, 2, FALSE)</f>
        <v>Strings</v>
      </c>
      <c r="E1724" s="1">
        <f t="shared" si="156"/>
        <v>1</v>
      </c>
      <c r="F1724" s="1">
        <f>_xlfn.XLOOKUP($C1724, 'Instrument Table'!$B:$B, 'Instrument Table'!$A:$A, "")</f>
        <v>25</v>
      </c>
      <c r="G1724" s="1" t="str">
        <f>TEXT(IF($B1724 = "Retail Item", IF((ROW($A1724) - 4504 - _xlfn.XMATCH($C1724, $C$4506:$C$5005, 0, 1)) &lt;= VLOOKUP($C1724, 'Instrument Table'!$B:$D, 3, FALSE), ROW($A1724) - 4504 - _xlfn.XMATCH($C1724, $C$4506:$C$5005, 0, 1), 0), 0), "00")</f>
        <v>00</v>
      </c>
      <c r="H1724" s="1" t="str">
        <f t="shared" si="157"/>
        <v>168</v>
      </c>
      <c r="I1724" s="1" t="str">
        <f t="shared" si="158"/>
        <v>12500-168</v>
      </c>
      <c r="J1724" s="1" t="str">
        <f t="shared" si="159"/>
        <v>Electric guitar production item #168</v>
      </c>
      <c r="K1724" s="1" t="str">
        <f>IF(SUM(COUNTIFS(I:I, I1724)) &gt; 1, "DUPLICATE", "UNIQUE")</f>
        <v>UNIQUE</v>
      </c>
      <c r="L1724" s="18">
        <v>1</v>
      </c>
      <c r="M1724" s="28">
        <v>45</v>
      </c>
      <c r="N1724" s="6">
        <v>256</v>
      </c>
      <c r="O1724" s="30">
        <f t="shared" si="160"/>
        <v>45</v>
      </c>
      <c r="P1724" s="30">
        <f t="shared" si="161"/>
        <v>11520</v>
      </c>
      <c r="Q1724" s="1">
        <f>COUNTIFS($P:$P, "&gt;" &amp; $P1724) + 1</f>
        <v>1634</v>
      </c>
      <c r="R1724" s="63">
        <f>(COUNTIFS($P:$P, "&gt;" &amp; $P1724) + 1) / (COUNTA($I:$I) - 1)</f>
        <v>0.32679999999999998</v>
      </c>
      <c r="S1724" s="23">
        <f>SUMIFS($P:$P, $Q:$Q, "&lt;" &amp; $Q1724)</f>
        <v>176474475</v>
      </c>
    </row>
    <row r="1725" spans="1:19" x14ac:dyDescent="0.25">
      <c r="A1725" s="1">
        <v>1720</v>
      </c>
      <c r="B1725" s="1" t="s">
        <v>2</v>
      </c>
      <c r="C1725" s="1" t="str">
        <f>IF($B1725 = "Production Item", _xlfn.XLOOKUP($A1725, 'Instrument Table'!$J:$J, 'Instrument Table'!$B:$B, $C1724), IF($B1725 = "Service Item", _xlfn.XLOOKUP($A1725, 'Instrument Table'!$I:$I, 'Instrument Table'!$B:$B, $C1724), _xlfn.XLOOKUP($A1725, 'Instrument Table'!$H:$H, 'Instrument Table'!$B:$B, $C1724)))</f>
        <v>Electric Guitar</v>
      </c>
      <c r="D1725" s="1" t="str">
        <f>VLOOKUP($C1725, 'Instrument Table'!$B:$C, 2, FALSE)</f>
        <v>Strings</v>
      </c>
      <c r="E1725" s="1">
        <f t="shared" si="156"/>
        <v>1</v>
      </c>
      <c r="F1725" s="1">
        <f>_xlfn.XLOOKUP($C1725, 'Instrument Table'!$B:$B, 'Instrument Table'!$A:$A, "")</f>
        <v>25</v>
      </c>
      <c r="G1725" s="1" t="str">
        <f>TEXT(IF($B1725 = "Retail Item", IF((ROW($A1725) - 4504 - _xlfn.XMATCH($C1725, $C$4506:$C$5005, 0, 1)) &lt;= VLOOKUP($C1725, 'Instrument Table'!$B:$D, 3, FALSE), ROW($A1725) - 4504 - _xlfn.XMATCH($C1725, $C$4506:$C$5005, 0, 1), 0), 0), "00")</f>
        <v>00</v>
      </c>
      <c r="H1725" s="1" t="str">
        <f t="shared" si="157"/>
        <v>169</v>
      </c>
      <c r="I1725" s="1" t="str">
        <f t="shared" si="158"/>
        <v>12500-169</v>
      </c>
      <c r="J1725" s="1" t="str">
        <f t="shared" si="159"/>
        <v>Electric guitar production item #169</v>
      </c>
      <c r="K1725" s="1" t="str">
        <f>IF(SUM(COUNTIFS(I:I, I1725)) &gt; 1, "DUPLICATE", "UNIQUE")</f>
        <v>UNIQUE</v>
      </c>
      <c r="L1725" s="18">
        <v>32</v>
      </c>
      <c r="M1725" s="28">
        <v>6</v>
      </c>
      <c r="N1725" s="6">
        <v>225</v>
      </c>
      <c r="O1725" s="30">
        <f t="shared" si="160"/>
        <v>192</v>
      </c>
      <c r="P1725" s="30">
        <f t="shared" si="161"/>
        <v>1350</v>
      </c>
      <c r="Q1725" s="1">
        <f>COUNTIFS($P:$P, "&gt;" &amp; $P1725) + 1</f>
        <v>3536</v>
      </c>
      <c r="R1725" s="63">
        <f>(COUNTIFS($P:$P, "&gt;" &amp; $P1725) + 1) / (COUNTA($I:$I) - 1)</f>
        <v>0.70720000000000005</v>
      </c>
      <c r="S1725" s="23">
        <f>SUMIFS($P:$P, $Q:$Q, "&lt;" &amp; $Q1725)</f>
        <v>185987313</v>
      </c>
    </row>
    <row r="1726" spans="1:19" x14ac:dyDescent="0.25">
      <c r="A1726" s="1">
        <v>1721</v>
      </c>
      <c r="B1726" s="1" t="s">
        <v>2</v>
      </c>
      <c r="C1726" s="1" t="str">
        <f>IF($B1726 = "Production Item", _xlfn.XLOOKUP($A1726, 'Instrument Table'!$J:$J, 'Instrument Table'!$B:$B, $C1725), IF($B1726 = "Service Item", _xlfn.XLOOKUP($A1726, 'Instrument Table'!$I:$I, 'Instrument Table'!$B:$B, $C1725), _xlfn.XLOOKUP($A1726, 'Instrument Table'!$H:$H, 'Instrument Table'!$B:$B, $C1725)))</f>
        <v>Electric Guitar</v>
      </c>
      <c r="D1726" s="1" t="str">
        <f>VLOOKUP($C1726, 'Instrument Table'!$B:$C, 2, FALSE)</f>
        <v>Strings</v>
      </c>
      <c r="E1726" s="1">
        <f t="shared" si="156"/>
        <v>1</v>
      </c>
      <c r="F1726" s="1">
        <f>_xlfn.XLOOKUP($C1726, 'Instrument Table'!$B:$B, 'Instrument Table'!$A:$A, "")</f>
        <v>25</v>
      </c>
      <c r="G1726" s="1" t="str">
        <f>TEXT(IF($B1726 = "Retail Item", IF((ROW($A1726) - 4504 - _xlfn.XMATCH($C1726, $C$4506:$C$5005, 0, 1)) &lt;= VLOOKUP($C1726, 'Instrument Table'!$B:$D, 3, FALSE), ROW($A1726) - 4504 - _xlfn.XMATCH($C1726, $C$4506:$C$5005, 0, 1), 0), 0), "00")</f>
        <v>00</v>
      </c>
      <c r="H1726" s="1" t="str">
        <f t="shared" si="157"/>
        <v>170</v>
      </c>
      <c r="I1726" s="1" t="str">
        <f t="shared" si="158"/>
        <v>12500-170</v>
      </c>
      <c r="J1726" s="1" t="str">
        <f t="shared" si="159"/>
        <v>Electric guitar production item #170</v>
      </c>
      <c r="K1726" s="1" t="str">
        <f>IF(SUM(COUNTIFS(I:I, I1726)) &gt; 1, "DUPLICATE", "UNIQUE")</f>
        <v>UNIQUE</v>
      </c>
      <c r="L1726" s="18">
        <v>0</v>
      </c>
      <c r="M1726" s="28">
        <v>19</v>
      </c>
      <c r="N1726" s="6">
        <v>0</v>
      </c>
      <c r="O1726" s="30">
        <f t="shared" si="160"/>
        <v>0</v>
      </c>
      <c r="P1726" s="30">
        <f t="shared" si="161"/>
        <v>0</v>
      </c>
      <c r="Q1726" s="1">
        <f>COUNTIFS($P:$P, "&gt;" &amp; $P1726) + 1</f>
        <v>4746</v>
      </c>
      <c r="R1726" s="63">
        <f>(COUNTIFS($P:$P, "&gt;" &amp; $P1726) + 1) / (COUNTA($I:$I) - 1)</f>
        <v>0.94920000000000004</v>
      </c>
      <c r="S1726" s="23">
        <f>SUMIFS($P:$P, $Q:$Q, "&lt;" &amp; $Q1726)</f>
        <v>186547861</v>
      </c>
    </row>
    <row r="1727" spans="1:19" x14ac:dyDescent="0.25">
      <c r="A1727" s="1">
        <v>1722</v>
      </c>
      <c r="B1727" s="1" t="s">
        <v>2</v>
      </c>
      <c r="C1727" s="1" t="str">
        <f>IF($B1727 = "Production Item", _xlfn.XLOOKUP($A1727, 'Instrument Table'!$J:$J, 'Instrument Table'!$B:$B, $C1726), IF($B1727 = "Service Item", _xlfn.XLOOKUP($A1727, 'Instrument Table'!$I:$I, 'Instrument Table'!$B:$B, $C1726), _xlfn.XLOOKUP($A1727, 'Instrument Table'!$H:$H, 'Instrument Table'!$B:$B, $C1726)))</f>
        <v>Electric Guitar</v>
      </c>
      <c r="D1727" s="1" t="str">
        <f>VLOOKUP($C1727, 'Instrument Table'!$B:$C, 2, FALSE)</f>
        <v>Strings</v>
      </c>
      <c r="E1727" s="1">
        <f t="shared" si="156"/>
        <v>1</v>
      </c>
      <c r="F1727" s="1">
        <f>_xlfn.XLOOKUP($C1727, 'Instrument Table'!$B:$B, 'Instrument Table'!$A:$A, "")</f>
        <v>25</v>
      </c>
      <c r="G1727" s="1" t="str">
        <f>TEXT(IF($B1727 = "Retail Item", IF((ROW($A1727) - 4504 - _xlfn.XMATCH($C1727, $C$4506:$C$5005, 0, 1)) &lt;= VLOOKUP($C1727, 'Instrument Table'!$B:$D, 3, FALSE), ROW($A1727) - 4504 - _xlfn.XMATCH($C1727, $C$4506:$C$5005, 0, 1), 0), 0), "00")</f>
        <v>00</v>
      </c>
      <c r="H1727" s="1" t="str">
        <f t="shared" si="157"/>
        <v>171</v>
      </c>
      <c r="I1727" s="1" t="str">
        <f t="shared" si="158"/>
        <v>12500-171</v>
      </c>
      <c r="J1727" s="1" t="str">
        <f t="shared" si="159"/>
        <v>Electric guitar production item #171</v>
      </c>
      <c r="K1727" s="1" t="str">
        <f>IF(SUM(COUNTIFS(I:I, I1727)) &gt; 1, "DUPLICATE", "UNIQUE")</f>
        <v>UNIQUE</v>
      </c>
      <c r="L1727" s="18">
        <v>1</v>
      </c>
      <c r="M1727" s="28">
        <v>9</v>
      </c>
      <c r="N1727" s="6">
        <v>1</v>
      </c>
      <c r="O1727" s="30">
        <f t="shared" si="160"/>
        <v>9</v>
      </c>
      <c r="P1727" s="30">
        <f t="shared" si="161"/>
        <v>9</v>
      </c>
      <c r="Q1727" s="1">
        <f>COUNTIFS($P:$P, "&gt;" &amp; $P1727) + 1</f>
        <v>4723</v>
      </c>
      <c r="R1727" s="63">
        <f>(COUNTIFS($P:$P, "&gt;" &amp; $P1727) + 1) / (COUNTA($I:$I) - 1)</f>
        <v>0.9446</v>
      </c>
      <c r="S1727" s="23">
        <f>SUMIFS($P:$P, $Q:$Q, "&lt;" &amp; $Q1727)</f>
        <v>186547723</v>
      </c>
    </row>
    <row r="1728" spans="1:19" x14ac:dyDescent="0.25">
      <c r="A1728" s="1">
        <v>1723</v>
      </c>
      <c r="B1728" s="1" t="s">
        <v>2</v>
      </c>
      <c r="C1728" s="1" t="str">
        <f>IF($B1728 = "Production Item", _xlfn.XLOOKUP($A1728, 'Instrument Table'!$J:$J, 'Instrument Table'!$B:$B, $C1727), IF($B1728 = "Service Item", _xlfn.XLOOKUP($A1728, 'Instrument Table'!$I:$I, 'Instrument Table'!$B:$B, $C1727), _xlfn.XLOOKUP($A1728, 'Instrument Table'!$H:$H, 'Instrument Table'!$B:$B, $C1727)))</f>
        <v>Electric Guitar</v>
      </c>
      <c r="D1728" s="1" t="str">
        <f>VLOOKUP($C1728, 'Instrument Table'!$B:$C, 2, FALSE)</f>
        <v>Strings</v>
      </c>
      <c r="E1728" s="1">
        <f t="shared" si="156"/>
        <v>1</v>
      </c>
      <c r="F1728" s="1">
        <f>_xlfn.XLOOKUP($C1728, 'Instrument Table'!$B:$B, 'Instrument Table'!$A:$A, "")</f>
        <v>25</v>
      </c>
      <c r="G1728" s="1" t="str">
        <f>TEXT(IF($B1728 = "Retail Item", IF((ROW($A1728) - 4504 - _xlfn.XMATCH($C1728, $C$4506:$C$5005, 0, 1)) &lt;= VLOOKUP($C1728, 'Instrument Table'!$B:$D, 3, FALSE), ROW($A1728) - 4504 - _xlfn.XMATCH($C1728, $C$4506:$C$5005, 0, 1), 0), 0), "00")</f>
        <v>00</v>
      </c>
      <c r="H1728" s="1" t="str">
        <f t="shared" si="157"/>
        <v>172</v>
      </c>
      <c r="I1728" s="1" t="str">
        <f t="shared" si="158"/>
        <v>12500-172</v>
      </c>
      <c r="J1728" s="1" t="str">
        <f t="shared" si="159"/>
        <v>Electric guitar production item #172</v>
      </c>
      <c r="K1728" s="1" t="str">
        <f>IF(SUM(COUNTIFS(I:I, I1728)) &gt; 1, "DUPLICATE", "UNIQUE")</f>
        <v>UNIQUE</v>
      </c>
      <c r="L1728" s="18">
        <v>1</v>
      </c>
      <c r="M1728" s="28">
        <v>42</v>
      </c>
      <c r="N1728" s="6">
        <v>400</v>
      </c>
      <c r="O1728" s="30">
        <f t="shared" si="160"/>
        <v>42</v>
      </c>
      <c r="P1728" s="30">
        <f t="shared" si="161"/>
        <v>16800</v>
      </c>
      <c r="Q1728" s="1">
        <f>COUNTIFS($P:$P, "&gt;" &amp; $P1728) + 1</f>
        <v>1230</v>
      </c>
      <c r="R1728" s="63">
        <f>(COUNTIFS($P:$P, "&gt;" &amp; $P1728) + 1) / (COUNTA($I:$I) - 1)</f>
        <v>0.246</v>
      </c>
      <c r="S1728" s="23">
        <f>SUMIFS($P:$P, $Q:$Q, "&lt;" &amp; $Q1728)</f>
        <v>170836899</v>
      </c>
    </row>
    <row r="1729" spans="1:19" x14ac:dyDescent="0.25">
      <c r="A1729" s="1">
        <v>1724</v>
      </c>
      <c r="B1729" s="1" t="s">
        <v>2</v>
      </c>
      <c r="C1729" s="1" t="str">
        <f>IF($B1729 = "Production Item", _xlfn.XLOOKUP($A1729, 'Instrument Table'!$J:$J, 'Instrument Table'!$B:$B, $C1728), IF($B1729 = "Service Item", _xlfn.XLOOKUP($A1729, 'Instrument Table'!$I:$I, 'Instrument Table'!$B:$B, $C1728), _xlfn.XLOOKUP($A1729, 'Instrument Table'!$H:$H, 'Instrument Table'!$B:$B, $C1728)))</f>
        <v>Electric Guitar</v>
      </c>
      <c r="D1729" s="1" t="str">
        <f>VLOOKUP($C1729, 'Instrument Table'!$B:$C, 2, FALSE)</f>
        <v>Strings</v>
      </c>
      <c r="E1729" s="1">
        <f t="shared" si="156"/>
        <v>1</v>
      </c>
      <c r="F1729" s="1">
        <f>_xlfn.XLOOKUP($C1729, 'Instrument Table'!$B:$B, 'Instrument Table'!$A:$A, "")</f>
        <v>25</v>
      </c>
      <c r="G1729" s="1" t="str">
        <f>TEXT(IF($B1729 = "Retail Item", IF((ROW($A1729) - 4504 - _xlfn.XMATCH($C1729, $C$4506:$C$5005, 0, 1)) &lt;= VLOOKUP($C1729, 'Instrument Table'!$B:$D, 3, FALSE), ROW($A1729) - 4504 - _xlfn.XMATCH($C1729, $C$4506:$C$5005, 0, 1), 0), 0), "00")</f>
        <v>00</v>
      </c>
      <c r="H1729" s="1" t="str">
        <f t="shared" si="157"/>
        <v>173</v>
      </c>
      <c r="I1729" s="1" t="str">
        <f t="shared" si="158"/>
        <v>12500-173</v>
      </c>
      <c r="J1729" s="1" t="str">
        <f t="shared" si="159"/>
        <v>Electric guitar production item #173</v>
      </c>
      <c r="K1729" s="1" t="str">
        <f>IF(SUM(COUNTIFS(I:I, I1729)) &gt; 1, "DUPLICATE", "UNIQUE")</f>
        <v>UNIQUE</v>
      </c>
      <c r="L1729" s="18">
        <v>0</v>
      </c>
      <c r="M1729" s="28">
        <v>3</v>
      </c>
      <c r="N1729" s="6">
        <v>36</v>
      </c>
      <c r="O1729" s="30">
        <f t="shared" si="160"/>
        <v>0</v>
      </c>
      <c r="P1729" s="30">
        <f t="shared" si="161"/>
        <v>108</v>
      </c>
      <c r="Q1729" s="1">
        <f>COUNTIFS($P:$P, "&gt;" &amp; $P1729) + 1</f>
        <v>4438</v>
      </c>
      <c r="R1729" s="63">
        <f>(COUNTIFS($P:$P, "&gt;" &amp; $P1729) + 1) / (COUNTA($I:$I) - 1)</f>
        <v>0.88759999999999994</v>
      </c>
      <c r="S1729" s="23">
        <f>SUMIFS($P:$P, $Q:$Q, "&lt;" &amp; $Q1729)</f>
        <v>186530920</v>
      </c>
    </row>
    <row r="1730" spans="1:19" x14ac:dyDescent="0.25">
      <c r="A1730" s="1">
        <v>1725</v>
      </c>
      <c r="B1730" s="1" t="s">
        <v>2</v>
      </c>
      <c r="C1730" s="1" t="str">
        <f>IF($B1730 = "Production Item", _xlfn.XLOOKUP($A1730, 'Instrument Table'!$J:$J, 'Instrument Table'!$B:$B, $C1729), IF($B1730 = "Service Item", _xlfn.XLOOKUP($A1730, 'Instrument Table'!$I:$I, 'Instrument Table'!$B:$B, $C1729), _xlfn.XLOOKUP($A1730, 'Instrument Table'!$H:$H, 'Instrument Table'!$B:$B, $C1729)))</f>
        <v>Electric Guitar</v>
      </c>
      <c r="D1730" s="1" t="str">
        <f>VLOOKUP($C1730, 'Instrument Table'!$B:$C, 2, FALSE)</f>
        <v>Strings</v>
      </c>
      <c r="E1730" s="1">
        <f t="shared" si="156"/>
        <v>1</v>
      </c>
      <c r="F1730" s="1">
        <f>_xlfn.XLOOKUP($C1730, 'Instrument Table'!$B:$B, 'Instrument Table'!$A:$A, "")</f>
        <v>25</v>
      </c>
      <c r="G1730" s="1" t="str">
        <f>TEXT(IF($B1730 = "Retail Item", IF((ROW($A1730) - 4504 - _xlfn.XMATCH($C1730, $C$4506:$C$5005, 0, 1)) &lt;= VLOOKUP($C1730, 'Instrument Table'!$B:$D, 3, FALSE), ROW($A1730) - 4504 - _xlfn.XMATCH($C1730, $C$4506:$C$5005, 0, 1), 0), 0), "00")</f>
        <v>00</v>
      </c>
      <c r="H1730" s="1" t="str">
        <f t="shared" si="157"/>
        <v>174</v>
      </c>
      <c r="I1730" s="1" t="str">
        <f t="shared" si="158"/>
        <v>12500-174</v>
      </c>
      <c r="J1730" s="1" t="str">
        <f t="shared" si="159"/>
        <v>Electric guitar production item #174</v>
      </c>
      <c r="K1730" s="1" t="str">
        <f>IF(SUM(COUNTIFS(I:I, I1730)) &gt; 1, "DUPLICATE", "UNIQUE")</f>
        <v>UNIQUE</v>
      </c>
      <c r="L1730" s="18">
        <v>16</v>
      </c>
      <c r="M1730" s="28">
        <v>67</v>
      </c>
      <c r="N1730" s="6">
        <v>196</v>
      </c>
      <c r="O1730" s="30">
        <f t="shared" si="160"/>
        <v>1072</v>
      </c>
      <c r="P1730" s="30">
        <f t="shared" si="161"/>
        <v>13132</v>
      </c>
      <c r="Q1730" s="1">
        <f>COUNTIFS($P:$P, "&gt;" &amp; $P1730) + 1</f>
        <v>1490</v>
      </c>
      <c r="R1730" s="63">
        <f>(COUNTIFS($P:$P, "&gt;" &amp; $P1730) + 1) / (COUNTA($I:$I) - 1)</f>
        <v>0.29799999999999999</v>
      </c>
      <c r="S1730" s="23">
        <f>SUMIFS($P:$P, $Q:$Q, "&lt;" &amp; $Q1730)</f>
        <v>174709105</v>
      </c>
    </row>
    <row r="1731" spans="1:19" x14ac:dyDescent="0.25">
      <c r="A1731" s="1">
        <v>1726</v>
      </c>
      <c r="B1731" s="1" t="s">
        <v>2</v>
      </c>
      <c r="C1731" s="1" t="str">
        <f>IF($B1731 = "Production Item", _xlfn.XLOOKUP($A1731, 'Instrument Table'!$J:$J, 'Instrument Table'!$B:$B, $C1730), IF($B1731 = "Service Item", _xlfn.XLOOKUP($A1731, 'Instrument Table'!$I:$I, 'Instrument Table'!$B:$B, $C1730), _xlfn.XLOOKUP($A1731, 'Instrument Table'!$H:$H, 'Instrument Table'!$B:$B, $C1730)))</f>
        <v>Electric Guitar</v>
      </c>
      <c r="D1731" s="1" t="str">
        <f>VLOOKUP($C1731, 'Instrument Table'!$B:$C, 2, FALSE)</f>
        <v>Strings</v>
      </c>
      <c r="E1731" s="1">
        <f t="shared" si="156"/>
        <v>1</v>
      </c>
      <c r="F1731" s="1">
        <f>_xlfn.XLOOKUP($C1731, 'Instrument Table'!$B:$B, 'Instrument Table'!$A:$A, "")</f>
        <v>25</v>
      </c>
      <c r="G1731" s="1" t="str">
        <f>TEXT(IF($B1731 = "Retail Item", IF((ROW($A1731) - 4504 - _xlfn.XMATCH($C1731, $C$4506:$C$5005, 0, 1)) &lt;= VLOOKUP($C1731, 'Instrument Table'!$B:$D, 3, FALSE), ROW($A1731) - 4504 - _xlfn.XMATCH($C1731, $C$4506:$C$5005, 0, 1), 0), 0), "00")</f>
        <v>00</v>
      </c>
      <c r="H1731" s="1" t="str">
        <f t="shared" si="157"/>
        <v>175</v>
      </c>
      <c r="I1731" s="1" t="str">
        <f t="shared" si="158"/>
        <v>12500-175</v>
      </c>
      <c r="J1731" s="1" t="str">
        <f t="shared" si="159"/>
        <v>Electric guitar production item #175</v>
      </c>
      <c r="K1731" s="1" t="str">
        <f>IF(SUM(COUNTIFS(I:I, I1731)) &gt; 1, "DUPLICATE", "UNIQUE")</f>
        <v>UNIQUE</v>
      </c>
      <c r="L1731" s="18">
        <v>0</v>
      </c>
      <c r="M1731" s="28">
        <v>33</v>
      </c>
      <c r="N1731" s="6">
        <v>81</v>
      </c>
      <c r="O1731" s="30">
        <f t="shared" si="160"/>
        <v>0</v>
      </c>
      <c r="P1731" s="30">
        <f t="shared" si="161"/>
        <v>2673</v>
      </c>
      <c r="Q1731" s="1">
        <f>COUNTIFS($P:$P, "&gt;" &amp; $P1731) + 1</f>
        <v>2990</v>
      </c>
      <c r="R1731" s="63">
        <f>(COUNTIFS($P:$P, "&gt;" &amp; $P1731) + 1) / (COUNTA($I:$I) - 1)</f>
        <v>0.59799999999999998</v>
      </c>
      <c r="S1731" s="23">
        <f>SUMIFS($P:$P, $Q:$Q, "&lt;" &amp; $Q1731)</f>
        <v>184905466</v>
      </c>
    </row>
    <row r="1732" spans="1:19" x14ac:dyDescent="0.25">
      <c r="A1732" s="1">
        <v>1727</v>
      </c>
      <c r="B1732" s="1" t="s">
        <v>2</v>
      </c>
      <c r="C1732" s="1" t="str">
        <f>IF($B1732 = "Production Item", _xlfn.XLOOKUP($A1732, 'Instrument Table'!$J:$J, 'Instrument Table'!$B:$B, $C1731), IF($B1732 = "Service Item", _xlfn.XLOOKUP($A1732, 'Instrument Table'!$I:$I, 'Instrument Table'!$B:$B, $C1731), _xlfn.XLOOKUP($A1732, 'Instrument Table'!$H:$H, 'Instrument Table'!$B:$B, $C1731)))</f>
        <v>Electric Guitar</v>
      </c>
      <c r="D1732" s="1" t="str">
        <f>VLOOKUP($C1732, 'Instrument Table'!$B:$C, 2, FALSE)</f>
        <v>Strings</v>
      </c>
      <c r="E1732" s="1">
        <f t="shared" si="156"/>
        <v>1</v>
      </c>
      <c r="F1732" s="1">
        <f>_xlfn.XLOOKUP($C1732, 'Instrument Table'!$B:$B, 'Instrument Table'!$A:$A, "")</f>
        <v>25</v>
      </c>
      <c r="G1732" s="1" t="str">
        <f>TEXT(IF($B1732 = "Retail Item", IF((ROW($A1732) - 4504 - _xlfn.XMATCH($C1732, $C$4506:$C$5005, 0, 1)) &lt;= VLOOKUP($C1732, 'Instrument Table'!$B:$D, 3, FALSE), ROW($A1732) - 4504 - _xlfn.XMATCH($C1732, $C$4506:$C$5005, 0, 1), 0), 0), "00")</f>
        <v>00</v>
      </c>
      <c r="H1732" s="1" t="str">
        <f t="shared" si="157"/>
        <v>176</v>
      </c>
      <c r="I1732" s="1" t="str">
        <f t="shared" si="158"/>
        <v>12500-176</v>
      </c>
      <c r="J1732" s="1" t="str">
        <f t="shared" si="159"/>
        <v>Electric guitar production item #176</v>
      </c>
      <c r="K1732" s="1" t="str">
        <f>IF(SUM(COUNTIFS(I:I, I1732)) &gt; 1, "DUPLICATE", "UNIQUE")</f>
        <v>UNIQUE</v>
      </c>
      <c r="L1732" s="18">
        <v>1</v>
      </c>
      <c r="M1732" s="28">
        <v>19</v>
      </c>
      <c r="N1732" s="6">
        <v>361</v>
      </c>
      <c r="O1732" s="30">
        <f t="shared" si="160"/>
        <v>19</v>
      </c>
      <c r="P1732" s="30">
        <f t="shared" si="161"/>
        <v>6859</v>
      </c>
      <c r="Q1732" s="1">
        <f>COUNTIFS($P:$P, "&gt;" &amp; $P1732) + 1</f>
        <v>2160</v>
      </c>
      <c r="R1732" s="63">
        <f>(COUNTIFS($P:$P, "&gt;" &amp; $P1732) + 1) / (COUNTA($I:$I) - 1)</f>
        <v>0.432</v>
      </c>
      <c r="S1732" s="23">
        <f>SUMIFS($P:$P, $Q:$Q, "&lt;" &amp; $Q1732)</f>
        <v>181182448</v>
      </c>
    </row>
    <row r="1733" spans="1:19" x14ac:dyDescent="0.25">
      <c r="A1733" s="1">
        <v>1728</v>
      </c>
      <c r="B1733" s="1" t="s">
        <v>2</v>
      </c>
      <c r="C1733" s="1" t="str">
        <f>IF($B1733 = "Production Item", _xlfn.XLOOKUP($A1733, 'Instrument Table'!$J:$J, 'Instrument Table'!$B:$B, $C1732), IF($B1733 = "Service Item", _xlfn.XLOOKUP($A1733, 'Instrument Table'!$I:$I, 'Instrument Table'!$B:$B, $C1732), _xlfn.XLOOKUP($A1733, 'Instrument Table'!$H:$H, 'Instrument Table'!$B:$B, $C1732)))</f>
        <v>Electric Guitar</v>
      </c>
      <c r="D1733" s="1" t="str">
        <f>VLOOKUP($C1733, 'Instrument Table'!$B:$C, 2, FALSE)</f>
        <v>Strings</v>
      </c>
      <c r="E1733" s="1">
        <f t="shared" si="156"/>
        <v>1</v>
      </c>
      <c r="F1733" s="1">
        <f>_xlfn.XLOOKUP($C1733, 'Instrument Table'!$B:$B, 'Instrument Table'!$A:$A, "")</f>
        <v>25</v>
      </c>
      <c r="G1733" s="1" t="str">
        <f>TEXT(IF($B1733 = "Retail Item", IF((ROW($A1733) - 4504 - _xlfn.XMATCH($C1733, $C$4506:$C$5005, 0, 1)) &lt;= VLOOKUP($C1733, 'Instrument Table'!$B:$D, 3, FALSE), ROW($A1733) - 4504 - _xlfn.XMATCH($C1733, $C$4506:$C$5005, 0, 1), 0), 0), "00")</f>
        <v>00</v>
      </c>
      <c r="H1733" s="1" t="str">
        <f t="shared" si="157"/>
        <v>177</v>
      </c>
      <c r="I1733" s="1" t="str">
        <f t="shared" si="158"/>
        <v>12500-177</v>
      </c>
      <c r="J1733" s="1" t="str">
        <f t="shared" si="159"/>
        <v>Electric guitar production item #177</v>
      </c>
      <c r="K1733" s="1" t="str">
        <f>IF(SUM(COUNTIFS(I:I, I1733)) &gt; 1, "DUPLICATE", "UNIQUE")</f>
        <v>UNIQUE</v>
      </c>
      <c r="L1733" s="18">
        <v>0</v>
      </c>
      <c r="M1733" s="28">
        <v>72</v>
      </c>
      <c r="N1733" s="6">
        <v>169</v>
      </c>
      <c r="O1733" s="30">
        <f t="shared" si="160"/>
        <v>0</v>
      </c>
      <c r="P1733" s="30">
        <f t="shared" si="161"/>
        <v>12168</v>
      </c>
      <c r="Q1733" s="1">
        <f>COUNTIFS($P:$P, "&gt;" &amp; $P1733) + 1</f>
        <v>1560</v>
      </c>
      <c r="R1733" s="63">
        <f>(COUNTIFS($P:$P, "&gt;" &amp; $P1733) + 1) / (COUNTA($I:$I) - 1)</f>
        <v>0.312</v>
      </c>
      <c r="S1733" s="23">
        <f>SUMIFS($P:$P, $Q:$Q, "&lt;" &amp; $Q1733)</f>
        <v>175597882</v>
      </c>
    </row>
    <row r="1734" spans="1:19" x14ac:dyDescent="0.25">
      <c r="A1734" s="1">
        <v>1729</v>
      </c>
      <c r="B1734" s="1" t="s">
        <v>2</v>
      </c>
      <c r="C1734" s="1" t="str">
        <f>IF($B1734 = "Production Item", _xlfn.XLOOKUP($A1734, 'Instrument Table'!$J:$J, 'Instrument Table'!$B:$B, $C1733), IF($B1734 = "Service Item", _xlfn.XLOOKUP($A1734, 'Instrument Table'!$I:$I, 'Instrument Table'!$B:$B, $C1733), _xlfn.XLOOKUP($A1734, 'Instrument Table'!$H:$H, 'Instrument Table'!$B:$B, $C1733)))</f>
        <v>Electric Guitar</v>
      </c>
      <c r="D1734" s="1" t="str">
        <f>VLOOKUP($C1734, 'Instrument Table'!$B:$C, 2, FALSE)</f>
        <v>Strings</v>
      </c>
      <c r="E1734" s="1">
        <f t="shared" si="156"/>
        <v>1</v>
      </c>
      <c r="F1734" s="1">
        <f>_xlfn.XLOOKUP($C1734, 'Instrument Table'!$B:$B, 'Instrument Table'!$A:$A, "")</f>
        <v>25</v>
      </c>
      <c r="G1734" s="1" t="str">
        <f>TEXT(IF($B1734 = "Retail Item", IF((ROW($A1734) - 4504 - _xlfn.XMATCH($C1734, $C$4506:$C$5005, 0, 1)) &lt;= VLOOKUP($C1734, 'Instrument Table'!$B:$D, 3, FALSE), ROW($A1734) - 4504 - _xlfn.XMATCH($C1734, $C$4506:$C$5005, 0, 1), 0), 0), "00")</f>
        <v>00</v>
      </c>
      <c r="H1734" s="1" t="str">
        <f t="shared" si="157"/>
        <v>178</v>
      </c>
      <c r="I1734" s="1" t="str">
        <f t="shared" si="158"/>
        <v>12500-178</v>
      </c>
      <c r="J1734" s="1" t="str">
        <f t="shared" si="159"/>
        <v>Electric guitar production item #178</v>
      </c>
      <c r="K1734" s="1" t="str">
        <f>IF(SUM(COUNTIFS(I:I, I1734)) &gt; 1, "DUPLICATE", "UNIQUE")</f>
        <v>UNIQUE</v>
      </c>
      <c r="L1734" s="18">
        <v>1</v>
      </c>
      <c r="M1734" s="28">
        <v>7</v>
      </c>
      <c r="N1734" s="6">
        <v>256</v>
      </c>
      <c r="O1734" s="30">
        <f t="shared" si="160"/>
        <v>7</v>
      </c>
      <c r="P1734" s="30">
        <f t="shared" si="161"/>
        <v>1792</v>
      </c>
      <c r="Q1734" s="1">
        <f>COUNTIFS($P:$P, "&gt;" &amp; $P1734) + 1</f>
        <v>3339</v>
      </c>
      <c r="R1734" s="63">
        <f>(COUNTIFS($P:$P, "&gt;" &amp; $P1734) + 1) / (COUNTA($I:$I) - 1)</f>
        <v>0.66779999999999995</v>
      </c>
      <c r="S1734" s="23">
        <f>SUMIFS($P:$P, $Q:$Q, "&lt;" &amp; $Q1734)</f>
        <v>185680781</v>
      </c>
    </row>
    <row r="1735" spans="1:19" x14ac:dyDescent="0.25">
      <c r="A1735" s="1">
        <v>1730</v>
      </c>
      <c r="B1735" s="1" t="s">
        <v>2</v>
      </c>
      <c r="C1735" s="1" t="str">
        <f>IF($B1735 = "Production Item", _xlfn.XLOOKUP($A1735, 'Instrument Table'!$J:$J, 'Instrument Table'!$B:$B, $C1734), IF($B1735 = "Service Item", _xlfn.XLOOKUP($A1735, 'Instrument Table'!$I:$I, 'Instrument Table'!$B:$B, $C1734), _xlfn.XLOOKUP($A1735, 'Instrument Table'!$H:$H, 'Instrument Table'!$B:$B, $C1734)))</f>
        <v>Electric Guitar</v>
      </c>
      <c r="D1735" s="1" t="str">
        <f>VLOOKUP($C1735, 'Instrument Table'!$B:$C, 2, FALSE)</f>
        <v>Strings</v>
      </c>
      <c r="E1735" s="1">
        <f t="shared" ref="E1735:E1798" si="162">IF($B1735 = "Production Item", 1, IF($B1735 = "Service Item", 2, IF($B1735 = "Retail Item", 3, "")))</f>
        <v>1</v>
      </c>
      <c r="F1735" s="1">
        <f>_xlfn.XLOOKUP($C1735, 'Instrument Table'!$B:$B, 'Instrument Table'!$A:$A, "")</f>
        <v>25</v>
      </c>
      <c r="G1735" s="1" t="str">
        <f>TEXT(IF($B1735 = "Retail Item", IF((ROW($A1735) - 4504 - _xlfn.XMATCH($C1735, $C$4506:$C$5005, 0, 1)) &lt;= VLOOKUP($C1735, 'Instrument Table'!$B:$D, 3, FALSE), ROW($A1735) - 4504 - _xlfn.XMATCH($C1735, $C$4506:$C$5005, 0, 1), 0), 0), "00")</f>
        <v>00</v>
      </c>
      <c r="H1735" s="1" t="str">
        <f t="shared" ref="H1735:H1798" si="163">TEXT(IF($E1735 &amp; $F1735 &amp; $G1735 = $E1734 &amp; $F1734 &amp; $G1734, 1 + H1734, 0), "000")</f>
        <v>179</v>
      </c>
      <c r="I1735" s="1" t="str">
        <f t="shared" ref="I1735:I1798" si="164" xml:space="preserve"> _xlfn.CONCAT($E1735, $F1735, $G1735, "-", H1735)</f>
        <v>12500-179</v>
      </c>
      <c r="J1735" s="1" t="str">
        <f t="shared" ref="J1735:J1798" si="165">LEFT($C1735, 1) &amp; LOWER(RIGHT($C1735, LEN($C1735) - 1)) &amp; IF(AND($G1735 &lt;&gt; "00", $B1735 = "Retail Item"), " model #" &amp; $G1735, " " &amp; LOWER($B1735) &amp; " #" &amp; $H1735)</f>
        <v>Electric guitar production item #179</v>
      </c>
      <c r="K1735" s="1" t="str">
        <f>IF(SUM(COUNTIFS(I:I, I1735)) &gt; 1, "DUPLICATE", "UNIQUE")</f>
        <v>UNIQUE</v>
      </c>
      <c r="L1735" s="18">
        <v>8</v>
      </c>
      <c r="M1735" s="28">
        <v>11</v>
      </c>
      <c r="N1735" s="6">
        <v>0</v>
      </c>
      <c r="O1735" s="30">
        <f t="shared" ref="O1735:O1798" si="166">$L1735 * $M1735</f>
        <v>88</v>
      </c>
      <c r="P1735" s="30">
        <f t="shared" ref="P1735:P1798" si="167">$N1735 * $M1735</f>
        <v>0</v>
      </c>
      <c r="Q1735" s="1">
        <f>COUNTIFS($P:$P, "&gt;" &amp; $P1735) + 1</f>
        <v>4746</v>
      </c>
      <c r="R1735" s="63">
        <f>(COUNTIFS($P:$P, "&gt;" &amp; $P1735) + 1) / (COUNTA($I:$I) - 1)</f>
        <v>0.94920000000000004</v>
      </c>
      <c r="S1735" s="23">
        <f>SUMIFS($P:$P, $Q:$Q, "&lt;" &amp; $Q1735)</f>
        <v>186547861</v>
      </c>
    </row>
    <row r="1736" spans="1:19" x14ac:dyDescent="0.25">
      <c r="A1736" s="1">
        <v>1731</v>
      </c>
      <c r="B1736" s="1" t="s">
        <v>2</v>
      </c>
      <c r="C1736" s="1" t="str">
        <f>IF($B1736 = "Production Item", _xlfn.XLOOKUP($A1736, 'Instrument Table'!$J:$J, 'Instrument Table'!$B:$B, $C1735), IF($B1736 = "Service Item", _xlfn.XLOOKUP($A1736, 'Instrument Table'!$I:$I, 'Instrument Table'!$B:$B, $C1735), _xlfn.XLOOKUP($A1736, 'Instrument Table'!$H:$H, 'Instrument Table'!$B:$B, $C1735)))</f>
        <v>Electric Guitar</v>
      </c>
      <c r="D1736" s="1" t="str">
        <f>VLOOKUP($C1736, 'Instrument Table'!$B:$C, 2, FALSE)</f>
        <v>Strings</v>
      </c>
      <c r="E1736" s="1">
        <f t="shared" si="162"/>
        <v>1</v>
      </c>
      <c r="F1736" s="1">
        <f>_xlfn.XLOOKUP($C1736, 'Instrument Table'!$B:$B, 'Instrument Table'!$A:$A, "")</f>
        <v>25</v>
      </c>
      <c r="G1736" s="1" t="str">
        <f>TEXT(IF($B1736 = "Retail Item", IF((ROW($A1736) - 4504 - _xlfn.XMATCH($C1736, $C$4506:$C$5005, 0, 1)) &lt;= VLOOKUP($C1736, 'Instrument Table'!$B:$D, 3, FALSE), ROW($A1736) - 4504 - _xlfn.XMATCH($C1736, $C$4506:$C$5005, 0, 1), 0), 0), "00")</f>
        <v>00</v>
      </c>
      <c r="H1736" s="1" t="str">
        <f t="shared" si="163"/>
        <v>180</v>
      </c>
      <c r="I1736" s="1" t="str">
        <f t="shared" si="164"/>
        <v>12500-180</v>
      </c>
      <c r="J1736" s="1" t="str">
        <f t="shared" si="165"/>
        <v>Electric guitar production item #180</v>
      </c>
      <c r="K1736" s="1" t="str">
        <f>IF(SUM(COUNTIFS(I:I, I1736)) &gt; 1, "DUPLICATE", "UNIQUE")</f>
        <v>UNIQUE</v>
      </c>
      <c r="L1736" s="18">
        <v>8</v>
      </c>
      <c r="M1736" s="28">
        <v>70</v>
      </c>
      <c r="N1736" s="6">
        <v>121</v>
      </c>
      <c r="O1736" s="30">
        <f t="shared" si="166"/>
        <v>560</v>
      </c>
      <c r="P1736" s="30">
        <f t="shared" si="167"/>
        <v>8470</v>
      </c>
      <c r="Q1736" s="1">
        <f>COUNTIFS($P:$P, "&gt;" &amp; $P1736) + 1</f>
        <v>1930</v>
      </c>
      <c r="R1736" s="63">
        <f>(COUNTIFS($P:$P, "&gt;" &amp; $P1736) + 1) / (COUNTA($I:$I) - 1)</f>
        <v>0.38600000000000001</v>
      </c>
      <c r="S1736" s="23">
        <f>SUMIFS($P:$P, $Q:$Q, "&lt;" &amp; $Q1736)</f>
        <v>179423215</v>
      </c>
    </row>
    <row r="1737" spans="1:19" x14ac:dyDescent="0.25">
      <c r="A1737" s="1">
        <v>1732</v>
      </c>
      <c r="B1737" s="1" t="s">
        <v>2</v>
      </c>
      <c r="C1737" s="1" t="str">
        <f>IF($B1737 = "Production Item", _xlfn.XLOOKUP($A1737, 'Instrument Table'!$J:$J, 'Instrument Table'!$B:$B, $C1736), IF($B1737 = "Service Item", _xlfn.XLOOKUP($A1737, 'Instrument Table'!$I:$I, 'Instrument Table'!$B:$B, $C1736), _xlfn.XLOOKUP($A1737, 'Instrument Table'!$H:$H, 'Instrument Table'!$B:$B, $C1736)))</f>
        <v>Electric Guitar</v>
      </c>
      <c r="D1737" s="1" t="str">
        <f>VLOOKUP($C1737, 'Instrument Table'!$B:$C, 2, FALSE)</f>
        <v>Strings</v>
      </c>
      <c r="E1737" s="1">
        <f t="shared" si="162"/>
        <v>1</v>
      </c>
      <c r="F1737" s="1">
        <f>_xlfn.XLOOKUP($C1737, 'Instrument Table'!$B:$B, 'Instrument Table'!$A:$A, "")</f>
        <v>25</v>
      </c>
      <c r="G1737" s="1" t="str">
        <f>TEXT(IF($B1737 = "Retail Item", IF((ROW($A1737) - 4504 - _xlfn.XMATCH($C1737, $C$4506:$C$5005, 0, 1)) &lt;= VLOOKUP($C1737, 'Instrument Table'!$B:$D, 3, FALSE), ROW($A1737) - 4504 - _xlfn.XMATCH($C1737, $C$4506:$C$5005, 0, 1), 0), 0), "00")</f>
        <v>00</v>
      </c>
      <c r="H1737" s="1" t="str">
        <f t="shared" si="163"/>
        <v>181</v>
      </c>
      <c r="I1737" s="1" t="str">
        <f t="shared" si="164"/>
        <v>12500-181</v>
      </c>
      <c r="J1737" s="1" t="str">
        <f t="shared" si="165"/>
        <v>Electric guitar production item #181</v>
      </c>
      <c r="K1737" s="1" t="str">
        <f>IF(SUM(COUNTIFS(I:I, I1737)) &gt; 1, "DUPLICATE", "UNIQUE")</f>
        <v>UNIQUE</v>
      </c>
      <c r="L1737" s="18">
        <v>1</v>
      </c>
      <c r="M1737" s="28">
        <v>47</v>
      </c>
      <c r="N1737" s="6">
        <v>36</v>
      </c>
      <c r="O1737" s="30">
        <f t="shared" si="166"/>
        <v>47</v>
      </c>
      <c r="P1737" s="30">
        <f t="shared" si="167"/>
        <v>1692</v>
      </c>
      <c r="Q1737" s="1">
        <f>COUNTIFS($P:$P, "&gt;" &amp; $P1737) + 1</f>
        <v>3376</v>
      </c>
      <c r="R1737" s="63">
        <f>(COUNTIFS($P:$P, "&gt;" &amp; $P1737) + 1) / (COUNTA($I:$I) - 1)</f>
        <v>0.67520000000000002</v>
      </c>
      <c r="S1737" s="23">
        <f>SUMIFS($P:$P, $Q:$Q, "&lt;" &amp; $Q1737)</f>
        <v>185745450</v>
      </c>
    </row>
    <row r="1738" spans="1:19" x14ac:dyDescent="0.25">
      <c r="A1738" s="1">
        <v>1733</v>
      </c>
      <c r="B1738" s="1" t="s">
        <v>2</v>
      </c>
      <c r="C1738" s="1" t="str">
        <f>IF($B1738 = "Production Item", _xlfn.XLOOKUP($A1738, 'Instrument Table'!$J:$J, 'Instrument Table'!$B:$B, $C1737), IF($B1738 = "Service Item", _xlfn.XLOOKUP($A1738, 'Instrument Table'!$I:$I, 'Instrument Table'!$B:$B, $C1737), _xlfn.XLOOKUP($A1738, 'Instrument Table'!$H:$H, 'Instrument Table'!$B:$B, $C1737)))</f>
        <v>Electric Guitar</v>
      </c>
      <c r="D1738" s="1" t="str">
        <f>VLOOKUP($C1738, 'Instrument Table'!$B:$C, 2, FALSE)</f>
        <v>Strings</v>
      </c>
      <c r="E1738" s="1">
        <f t="shared" si="162"/>
        <v>1</v>
      </c>
      <c r="F1738" s="1">
        <f>_xlfn.XLOOKUP($C1738, 'Instrument Table'!$B:$B, 'Instrument Table'!$A:$A, "")</f>
        <v>25</v>
      </c>
      <c r="G1738" s="1" t="str">
        <f>TEXT(IF($B1738 = "Retail Item", IF((ROW($A1738) - 4504 - _xlfn.XMATCH($C1738, $C$4506:$C$5005, 0, 1)) &lt;= VLOOKUP($C1738, 'Instrument Table'!$B:$D, 3, FALSE), ROW($A1738) - 4504 - _xlfn.XMATCH($C1738, $C$4506:$C$5005, 0, 1), 0), 0), "00")</f>
        <v>00</v>
      </c>
      <c r="H1738" s="1" t="str">
        <f t="shared" si="163"/>
        <v>182</v>
      </c>
      <c r="I1738" s="1" t="str">
        <f t="shared" si="164"/>
        <v>12500-182</v>
      </c>
      <c r="J1738" s="1" t="str">
        <f t="shared" si="165"/>
        <v>Electric guitar production item #182</v>
      </c>
      <c r="K1738" s="1" t="str">
        <f>IF(SUM(COUNTIFS(I:I, I1738)) &gt; 1, "DUPLICATE", "UNIQUE")</f>
        <v>UNIQUE</v>
      </c>
      <c r="L1738" s="18">
        <v>4</v>
      </c>
      <c r="M1738" s="28">
        <v>67</v>
      </c>
      <c r="N1738" s="6">
        <v>36</v>
      </c>
      <c r="O1738" s="30">
        <f t="shared" si="166"/>
        <v>268</v>
      </c>
      <c r="P1738" s="30">
        <f t="shared" si="167"/>
        <v>2412</v>
      </c>
      <c r="Q1738" s="1">
        <f>COUNTIFS($P:$P, "&gt;" &amp; $P1738) + 1</f>
        <v>3081</v>
      </c>
      <c r="R1738" s="63">
        <f>(COUNTIFS($P:$P, "&gt;" &amp; $P1738) + 1) / (COUNTA($I:$I) - 1)</f>
        <v>0.61619999999999997</v>
      </c>
      <c r="S1738" s="23">
        <f>SUMIFS($P:$P, $Q:$Q, "&lt;" &amp; $Q1738)</f>
        <v>185136940</v>
      </c>
    </row>
    <row r="1739" spans="1:19" x14ac:dyDescent="0.25">
      <c r="A1739" s="1">
        <v>1734</v>
      </c>
      <c r="B1739" s="1" t="s">
        <v>2</v>
      </c>
      <c r="C1739" s="1" t="str">
        <f>IF($B1739 = "Production Item", _xlfn.XLOOKUP($A1739, 'Instrument Table'!$J:$J, 'Instrument Table'!$B:$B, $C1738), IF($B1739 = "Service Item", _xlfn.XLOOKUP($A1739, 'Instrument Table'!$I:$I, 'Instrument Table'!$B:$B, $C1738), _xlfn.XLOOKUP($A1739, 'Instrument Table'!$H:$H, 'Instrument Table'!$B:$B, $C1738)))</f>
        <v>Electric Guitar</v>
      </c>
      <c r="D1739" s="1" t="str">
        <f>VLOOKUP($C1739, 'Instrument Table'!$B:$C, 2, FALSE)</f>
        <v>Strings</v>
      </c>
      <c r="E1739" s="1">
        <f t="shared" si="162"/>
        <v>1</v>
      </c>
      <c r="F1739" s="1">
        <f>_xlfn.XLOOKUP($C1739, 'Instrument Table'!$B:$B, 'Instrument Table'!$A:$A, "")</f>
        <v>25</v>
      </c>
      <c r="G1739" s="1" t="str">
        <f>TEXT(IF($B1739 = "Retail Item", IF((ROW($A1739) - 4504 - _xlfn.XMATCH($C1739, $C$4506:$C$5005, 0, 1)) &lt;= VLOOKUP($C1739, 'Instrument Table'!$B:$D, 3, FALSE), ROW($A1739) - 4504 - _xlfn.XMATCH($C1739, $C$4506:$C$5005, 0, 1), 0), 0), "00")</f>
        <v>00</v>
      </c>
      <c r="H1739" s="1" t="str">
        <f t="shared" si="163"/>
        <v>183</v>
      </c>
      <c r="I1739" s="1" t="str">
        <f t="shared" si="164"/>
        <v>12500-183</v>
      </c>
      <c r="J1739" s="1" t="str">
        <f t="shared" si="165"/>
        <v>Electric guitar production item #183</v>
      </c>
      <c r="K1739" s="1" t="str">
        <f>IF(SUM(COUNTIFS(I:I, I1739)) &gt; 1, "DUPLICATE", "UNIQUE")</f>
        <v>UNIQUE</v>
      </c>
      <c r="L1739" s="18">
        <v>1</v>
      </c>
      <c r="M1739" s="28">
        <v>74</v>
      </c>
      <c r="N1739" s="6">
        <v>196</v>
      </c>
      <c r="O1739" s="30">
        <f t="shared" si="166"/>
        <v>74</v>
      </c>
      <c r="P1739" s="30">
        <f t="shared" si="167"/>
        <v>14504</v>
      </c>
      <c r="Q1739" s="1">
        <f>COUNTIFS($P:$P, "&gt;" &amp; $P1739) + 1</f>
        <v>1385</v>
      </c>
      <c r="R1739" s="63">
        <f>(COUNTIFS($P:$P, "&gt;" &amp; $P1739) + 1) / (COUNTA($I:$I) - 1)</f>
        <v>0.27700000000000002</v>
      </c>
      <c r="S1739" s="23">
        <f>SUMIFS($P:$P, $Q:$Q, "&lt;" &amp; $Q1739)</f>
        <v>173259714</v>
      </c>
    </row>
    <row r="1740" spans="1:19" x14ac:dyDescent="0.25">
      <c r="A1740" s="1">
        <v>1735</v>
      </c>
      <c r="B1740" s="1" t="s">
        <v>2</v>
      </c>
      <c r="C1740" s="1" t="str">
        <f>IF($B1740 = "Production Item", _xlfn.XLOOKUP($A1740, 'Instrument Table'!$J:$J, 'Instrument Table'!$B:$B, $C1739), IF($B1740 = "Service Item", _xlfn.XLOOKUP($A1740, 'Instrument Table'!$I:$I, 'Instrument Table'!$B:$B, $C1739), _xlfn.XLOOKUP($A1740, 'Instrument Table'!$H:$H, 'Instrument Table'!$B:$B, $C1739)))</f>
        <v>Electric Guitar</v>
      </c>
      <c r="D1740" s="1" t="str">
        <f>VLOOKUP($C1740, 'Instrument Table'!$B:$C, 2, FALSE)</f>
        <v>Strings</v>
      </c>
      <c r="E1740" s="1">
        <f t="shared" si="162"/>
        <v>1</v>
      </c>
      <c r="F1740" s="1">
        <f>_xlfn.XLOOKUP($C1740, 'Instrument Table'!$B:$B, 'Instrument Table'!$A:$A, "")</f>
        <v>25</v>
      </c>
      <c r="G1740" s="1" t="str">
        <f>TEXT(IF($B1740 = "Retail Item", IF((ROW($A1740) - 4504 - _xlfn.XMATCH($C1740, $C$4506:$C$5005, 0, 1)) &lt;= VLOOKUP($C1740, 'Instrument Table'!$B:$D, 3, FALSE), ROW($A1740) - 4504 - _xlfn.XMATCH($C1740, $C$4506:$C$5005, 0, 1), 0), 0), "00")</f>
        <v>00</v>
      </c>
      <c r="H1740" s="1" t="str">
        <f t="shared" si="163"/>
        <v>184</v>
      </c>
      <c r="I1740" s="1" t="str">
        <f t="shared" si="164"/>
        <v>12500-184</v>
      </c>
      <c r="J1740" s="1" t="str">
        <f t="shared" si="165"/>
        <v>Electric guitar production item #184</v>
      </c>
      <c r="K1740" s="1" t="str">
        <f>IF(SUM(COUNTIFS(I:I, I1740)) &gt; 1, "DUPLICATE", "UNIQUE")</f>
        <v>UNIQUE</v>
      </c>
      <c r="L1740" s="18">
        <v>16</v>
      </c>
      <c r="M1740" s="28">
        <v>81</v>
      </c>
      <c r="N1740" s="6">
        <v>1</v>
      </c>
      <c r="O1740" s="30">
        <f t="shared" si="166"/>
        <v>1296</v>
      </c>
      <c r="P1740" s="30">
        <f t="shared" si="167"/>
        <v>81</v>
      </c>
      <c r="Q1740" s="1">
        <f>COUNTIFS($P:$P, "&gt;" &amp; $P1740) + 1</f>
        <v>4505</v>
      </c>
      <c r="R1740" s="63">
        <f>(COUNTIFS($P:$P, "&gt;" &amp; $P1740) + 1) / (COUNTA($I:$I) - 1)</f>
        <v>0.90100000000000002</v>
      </c>
      <c r="S1740" s="23">
        <f>SUMIFS($P:$P, $Q:$Q, "&lt;" &amp; $Q1740)</f>
        <v>186537273</v>
      </c>
    </row>
    <row r="1741" spans="1:19" x14ac:dyDescent="0.25">
      <c r="A1741" s="1">
        <v>1736</v>
      </c>
      <c r="B1741" s="1" t="s">
        <v>2</v>
      </c>
      <c r="C1741" s="1" t="str">
        <f>IF($B1741 = "Production Item", _xlfn.XLOOKUP($A1741, 'Instrument Table'!$J:$J, 'Instrument Table'!$B:$B, $C1740), IF($B1741 = "Service Item", _xlfn.XLOOKUP($A1741, 'Instrument Table'!$I:$I, 'Instrument Table'!$B:$B, $C1740), _xlfn.XLOOKUP($A1741, 'Instrument Table'!$H:$H, 'Instrument Table'!$B:$B, $C1740)))</f>
        <v>Electric Guitar</v>
      </c>
      <c r="D1741" s="1" t="str">
        <f>VLOOKUP($C1741, 'Instrument Table'!$B:$C, 2, FALSE)</f>
        <v>Strings</v>
      </c>
      <c r="E1741" s="1">
        <f t="shared" si="162"/>
        <v>1</v>
      </c>
      <c r="F1741" s="1">
        <f>_xlfn.XLOOKUP($C1741, 'Instrument Table'!$B:$B, 'Instrument Table'!$A:$A, "")</f>
        <v>25</v>
      </c>
      <c r="G1741" s="1" t="str">
        <f>TEXT(IF($B1741 = "Retail Item", IF((ROW($A1741) - 4504 - _xlfn.XMATCH($C1741, $C$4506:$C$5005, 0, 1)) &lt;= VLOOKUP($C1741, 'Instrument Table'!$B:$D, 3, FALSE), ROW($A1741) - 4504 - _xlfn.XMATCH($C1741, $C$4506:$C$5005, 0, 1), 0), 0), "00")</f>
        <v>00</v>
      </c>
      <c r="H1741" s="1" t="str">
        <f t="shared" si="163"/>
        <v>185</v>
      </c>
      <c r="I1741" s="1" t="str">
        <f t="shared" si="164"/>
        <v>12500-185</v>
      </c>
      <c r="J1741" s="1" t="str">
        <f t="shared" si="165"/>
        <v>Electric guitar production item #185</v>
      </c>
      <c r="K1741" s="1" t="str">
        <f>IF(SUM(COUNTIFS(I:I, I1741)) &gt; 1, "DUPLICATE", "UNIQUE")</f>
        <v>UNIQUE</v>
      </c>
      <c r="L1741" s="18">
        <v>0</v>
      </c>
      <c r="M1741" s="28">
        <v>21</v>
      </c>
      <c r="N1741" s="6">
        <v>196</v>
      </c>
      <c r="O1741" s="30">
        <f t="shared" si="166"/>
        <v>0</v>
      </c>
      <c r="P1741" s="30">
        <f t="shared" si="167"/>
        <v>4116</v>
      </c>
      <c r="Q1741" s="1">
        <f>COUNTIFS($P:$P, "&gt;" &amp; $P1741) + 1</f>
        <v>2630</v>
      </c>
      <c r="R1741" s="63">
        <f>(COUNTIFS($P:$P, "&gt;" &amp; $P1741) + 1) / (COUNTA($I:$I) - 1)</f>
        <v>0.52600000000000002</v>
      </c>
      <c r="S1741" s="23">
        <f>SUMIFS($P:$P, $Q:$Q, "&lt;" &amp; $Q1741)</f>
        <v>183689305</v>
      </c>
    </row>
    <row r="1742" spans="1:19" x14ac:dyDescent="0.25">
      <c r="A1742" s="1">
        <v>1737</v>
      </c>
      <c r="B1742" s="1" t="s">
        <v>2</v>
      </c>
      <c r="C1742" s="1" t="str">
        <f>IF($B1742 = "Production Item", _xlfn.XLOOKUP($A1742, 'Instrument Table'!$J:$J, 'Instrument Table'!$B:$B, $C1741), IF($B1742 = "Service Item", _xlfn.XLOOKUP($A1742, 'Instrument Table'!$I:$I, 'Instrument Table'!$B:$B, $C1741), _xlfn.XLOOKUP($A1742, 'Instrument Table'!$H:$H, 'Instrument Table'!$B:$B, $C1741)))</f>
        <v>Electric Guitar</v>
      </c>
      <c r="D1742" s="1" t="str">
        <f>VLOOKUP($C1742, 'Instrument Table'!$B:$C, 2, FALSE)</f>
        <v>Strings</v>
      </c>
      <c r="E1742" s="1">
        <f t="shared" si="162"/>
        <v>1</v>
      </c>
      <c r="F1742" s="1">
        <f>_xlfn.XLOOKUP($C1742, 'Instrument Table'!$B:$B, 'Instrument Table'!$A:$A, "")</f>
        <v>25</v>
      </c>
      <c r="G1742" s="1" t="str">
        <f>TEXT(IF($B1742 = "Retail Item", IF((ROW($A1742) - 4504 - _xlfn.XMATCH($C1742, $C$4506:$C$5005, 0, 1)) &lt;= VLOOKUP($C1742, 'Instrument Table'!$B:$D, 3, FALSE), ROW($A1742) - 4504 - _xlfn.XMATCH($C1742, $C$4506:$C$5005, 0, 1), 0), 0), "00")</f>
        <v>00</v>
      </c>
      <c r="H1742" s="1" t="str">
        <f t="shared" si="163"/>
        <v>186</v>
      </c>
      <c r="I1742" s="1" t="str">
        <f t="shared" si="164"/>
        <v>12500-186</v>
      </c>
      <c r="J1742" s="1" t="str">
        <f t="shared" si="165"/>
        <v>Electric guitar production item #186</v>
      </c>
      <c r="K1742" s="1" t="str">
        <f>IF(SUM(COUNTIFS(I:I, I1742)) &gt; 1, "DUPLICATE", "UNIQUE")</f>
        <v>UNIQUE</v>
      </c>
      <c r="L1742" s="18">
        <v>1</v>
      </c>
      <c r="M1742" s="28">
        <v>36</v>
      </c>
      <c r="N1742" s="6">
        <v>361</v>
      </c>
      <c r="O1742" s="30">
        <f t="shared" si="166"/>
        <v>36</v>
      </c>
      <c r="P1742" s="30">
        <f t="shared" si="167"/>
        <v>12996</v>
      </c>
      <c r="Q1742" s="1">
        <f>COUNTIFS($P:$P, "&gt;" &amp; $P1742) + 1</f>
        <v>1499</v>
      </c>
      <c r="R1742" s="63">
        <f>(COUNTIFS($P:$P, "&gt;" &amp; $P1742) + 1) / (COUNTA($I:$I) - 1)</f>
        <v>0.29980000000000001</v>
      </c>
      <c r="S1742" s="23">
        <f>SUMIFS($P:$P, $Q:$Q, "&lt;" &amp; $Q1742)</f>
        <v>174826771</v>
      </c>
    </row>
    <row r="1743" spans="1:19" x14ac:dyDescent="0.25">
      <c r="A1743" s="1">
        <v>1738</v>
      </c>
      <c r="B1743" s="1" t="s">
        <v>2</v>
      </c>
      <c r="C1743" s="1" t="str">
        <f>IF($B1743 = "Production Item", _xlfn.XLOOKUP($A1743, 'Instrument Table'!$J:$J, 'Instrument Table'!$B:$B, $C1742), IF($B1743 = "Service Item", _xlfn.XLOOKUP($A1743, 'Instrument Table'!$I:$I, 'Instrument Table'!$B:$B, $C1742), _xlfn.XLOOKUP($A1743, 'Instrument Table'!$H:$H, 'Instrument Table'!$B:$B, $C1742)))</f>
        <v>Electric Guitar</v>
      </c>
      <c r="D1743" s="1" t="str">
        <f>VLOOKUP($C1743, 'Instrument Table'!$B:$C, 2, FALSE)</f>
        <v>Strings</v>
      </c>
      <c r="E1743" s="1">
        <f t="shared" si="162"/>
        <v>1</v>
      </c>
      <c r="F1743" s="1">
        <f>_xlfn.XLOOKUP($C1743, 'Instrument Table'!$B:$B, 'Instrument Table'!$A:$A, "")</f>
        <v>25</v>
      </c>
      <c r="G1743" s="1" t="str">
        <f>TEXT(IF($B1743 = "Retail Item", IF((ROW($A1743) - 4504 - _xlfn.XMATCH($C1743, $C$4506:$C$5005, 0, 1)) &lt;= VLOOKUP($C1743, 'Instrument Table'!$B:$D, 3, FALSE), ROW($A1743) - 4504 - _xlfn.XMATCH($C1743, $C$4506:$C$5005, 0, 1), 0), 0), "00")</f>
        <v>00</v>
      </c>
      <c r="H1743" s="1" t="str">
        <f t="shared" si="163"/>
        <v>187</v>
      </c>
      <c r="I1743" s="1" t="str">
        <f t="shared" si="164"/>
        <v>12500-187</v>
      </c>
      <c r="J1743" s="1" t="str">
        <f t="shared" si="165"/>
        <v>Electric guitar production item #187</v>
      </c>
      <c r="K1743" s="1" t="str">
        <f>IF(SUM(COUNTIFS(I:I, I1743)) &gt; 1, "DUPLICATE", "UNIQUE")</f>
        <v>UNIQUE</v>
      </c>
      <c r="L1743" s="18">
        <v>0</v>
      </c>
      <c r="M1743" s="28">
        <v>13</v>
      </c>
      <c r="N1743" s="6">
        <v>16</v>
      </c>
      <c r="O1743" s="30">
        <f t="shared" si="166"/>
        <v>0</v>
      </c>
      <c r="P1743" s="30">
        <f t="shared" si="167"/>
        <v>208</v>
      </c>
      <c r="Q1743" s="1">
        <f>COUNTIFS($P:$P, "&gt;" &amp; $P1743) + 1</f>
        <v>4309</v>
      </c>
      <c r="R1743" s="63">
        <f>(COUNTIFS($P:$P, "&gt;" &amp; $P1743) + 1) / (COUNTA($I:$I) - 1)</f>
        <v>0.86180000000000001</v>
      </c>
      <c r="S1743" s="23">
        <f>SUMIFS($P:$P, $Q:$Q, "&lt;" &amp; $Q1743)</f>
        <v>186509406</v>
      </c>
    </row>
    <row r="1744" spans="1:19" x14ac:dyDescent="0.25">
      <c r="A1744" s="1">
        <v>1739</v>
      </c>
      <c r="B1744" s="1" t="s">
        <v>2</v>
      </c>
      <c r="C1744" s="1" t="str">
        <f>IF($B1744 = "Production Item", _xlfn.XLOOKUP($A1744, 'Instrument Table'!$J:$J, 'Instrument Table'!$B:$B, $C1743), IF($B1744 = "Service Item", _xlfn.XLOOKUP($A1744, 'Instrument Table'!$I:$I, 'Instrument Table'!$B:$B, $C1743), _xlfn.XLOOKUP($A1744, 'Instrument Table'!$H:$H, 'Instrument Table'!$B:$B, $C1743)))</f>
        <v>Electric Guitar</v>
      </c>
      <c r="D1744" s="1" t="str">
        <f>VLOOKUP($C1744, 'Instrument Table'!$B:$C, 2, FALSE)</f>
        <v>Strings</v>
      </c>
      <c r="E1744" s="1">
        <f t="shared" si="162"/>
        <v>1</v>
      </c>
      <c r="F1744" s="1">
        <f>_xlfn.XLOOKUP($C1744, 'Instrument Table'!$B:$B, 'Instrument Table'!$A:$A, "")</f>
        <v>25</v>
      </c>
      <c r="G1744" s="1" t="str">
        <f>TEXT(IF($B1744 = "Retail Item", IF((ROW($A1744) - 4504 - _xlfn.XMATCH($C1744, $C$4506:$C$5005, 0, 1)) &lt;= VLOOKUP($C1744, 'Instrument Table'!$B:$D, 3, FALSE), ROW($A1744) - 4504 - _xlfn.XMATCH($C1744, $C$4506:$C$5005, 0, 1), 0), 0), "00")</f>
        <v>00</v>
      </c>
      <c r="H1744" s="1" t="str">
        <f t="shared" si="163"/>
        <v>188</v>
      </c>
      <c r="I1744" s="1" t="str">
        <f t="shared" si="164"/>
        <v>12500-188</v>
      </c>
      <c r="J1744" s="1" t="str">
        <f t="shared" si="165"/>
        <v>Electric guitar production item #188</v>
      </c>
      <c r="K1744" s="1" t="str">
        <f>IF(SUM(COUNTIFS(I:I, I1744)) &gt; 1, "DUPLICATE", "UNIQUE")</f>
        <v>UNIQUE</v>
      </c>
      <c r="L1744" s="18">
        <v>0</v>
      </c>
      <c r="M1744" s="28">
        <v>86</v>
      </c>
      <c r="N1744" s="6">
        <v>4</v>
      </c>
      <c r="O1744" s="30">
        <f t="shared" si="166"/>
        <v>0</v>
      </c>
      <c r="P1744" s="30">
        <f t="shared" si="167"/>
        <v>344</v>
      </c>
      <c r="Q1744" s="1">
        <f>COUNTIFS($P:$P, "&gt;" &amp; $P1744) + 1</f>
        <v>4159</v>
      </c>
      <c r="R1744" s="63">
        <f>(COUNTIFS($P:$P, "&gt;" &amp; $P1744) + 1) / (COUNTA($I:$I) - 1)</f>
        <v>0.83179999999999998</v>
      </c>
      <c r="S1744" s="23">
        <f>SUMIFS($P:$P, $Q:$Q, "&lt;" &amp; $Q1744)</f>
        <v>186466883</v>
      </c>
    </row>
    <row r="1745" spans="1:19" x14ac:dyDescent="0.25">
      <c r="A1745" s="1">
        <v>1740</v>
      </c>
      <c r="B1745" s="1" t="s">
        <v>2</v>
      </c>
      <c r="C1745" s="1" t="str">
        <f>IF($B1745 = "Production Item", _xlfn.XLOOKUP($A1745, 'Instrument Table'!$J:$J, 'Instrument Table'!$B:$B, $C1744), IF($B1745 = "Service Item", _xlfn.XLOOKUP($A1745, 'Instrument Table'!$I:$I, 'Instrument Table'!$B:$B, $C1744), _xlfn.XLOOKUP($A1745, 'Instrument Table'!$H:$H, 'Instrument Table'!$B:$B, $C1744)))</f>
        <v>Electric Guitar</v>
      </c>
      <c r="D1745" s="1" t="str">
        <f>VLOOKUP($C1745, 'Instrument Table'!$B:$C, 2, FALSE)</f>
        <v>Strings</v>
      </c>
      <c r="E1745" s="1">
        <f t="shared" si="162"/>
        <v>1</v>
      </c>
      <c r="F1745" s="1">
        <f>_xlfn.XLOOKUP($C1745, 'Instrument Table'!$B:$B, 'Instrument Table'!$A:$A, "")</f>
        <v>25</v>
      </c>
      <c r="G1745" s="1" t="str">
        <f>TEXT(IF($B1745 = "Retail Item", IF((ROW($A1745) - 4504 - _xlfn.XMATCH($C1745, $C$4506:$C$5005, 0, 1)) &lt;= VLOOKUP($C1745, 'Instrument Table'!$B:$D, 3, FALSE), ROW($A1745) - 4504 - _xlfn.XMATCH($C1745, $C$4506:$C$5005, 0, 1), 0), 0), "00")</f>
        <v>00</v>
      </c>
      <c r="H1745" s="1" t="str">
        <f t="shared" si="163"/>
        <v>189</v>
      </c>
      <c r="I1745" s="1" t="str">
        <f t="shared" si="164"/>
        <v>12500-189</v>
      </c>
      <c r="J1745" s="1" t="str">
        <f t="shared" si="165"/>
        <v>Electric guitar production item #189</v>
      </c>
      <c r="K1745" s="1" t="str">
        <f>IF(SUM(COUNTIFS(I:I, I1745)) &gt; 1, "DUPLICATE", "UNIQUE")</f>
        <v>UNIQUE</v>
      </c>
      <c r="L1745" s="18">
        <v>0</v>
      </c>
      <c r="M1745" s="28">
        <v>62</v>
      </c>
      <c r="N1745" s="6">
        <v>1</v>
      </c>
      <c r="O1745" s="30">
        <f t="shared" si="166"/>
        <v>0</v>
      </c>
      <c r="P1745" s="30">
        <f t="shared" si="167"/>
        <v>62</v>
      </c>
      <c r="Q1745" s="1">
        <f>COUNTIFS($P:$P, "&gt;" &amp; $P1745) + 1</f>
        <v>4574</v>
      </c>
      <c r="R1745" s="63">
        <f>(COUNTIFS($P:$P, "&gt;" &amp; $P1745) + 1) / (COUNTA($I:$I) - 1)</f>
        <v>0.91479999999999995</v>
      </c>
      <c r="S1745" s="23">
        <f>SUMIFS($P:$P, $Q:$Q, "&lt;" &amp; $Q1745)</f>
        <v>186542188</v>
      </c>
    </row>
    <row r="1746" spans="1:19" x14ac:dyDescent="0.25">
      <c r="A1746" s="1">
        <v>1741</v>
      </c>
      <c r="B1746" s="1" t="s">
        <v>2</v>
      </c>
      <c r="C1746" s="1" t="str">
        <f>IF($B1746 = "Production Item", _xlfn.XLOOKUP($A1746, 'Instrument Table'!$J:$J, 'Instrument Table'!$B:$B, $C1745), IF($B1746 = "Service Item", _xlfn.XLOOKUP($A1746, 'Instrument Table'!$I:$I, 'Instrument Table'!$B:$B, $C1745), _xlfn.XLOOKUP($A1746, 'Instrument Table'!$H:$H, 'Instrument Table'!$B:$B, $C1745)))</f>
        <v>Electric Guitar</v>
      </c>
      <c r="D1746" s="1" t="str">
        <f>VLOOKUP($C1746, 'Instrument Table'!$B:$C, 2, FALSE)</f>
        <v>Strings</v>
      </c>
      <c r="E1746" s="1">
        <f t="shared" si="162"/>
        <v>1</v>
      </c>
      <c r="F1746" s="1">
        <f>_xlfn.XLOOKUP($C1746, 'Instrument Table'!$B:$B, 'Instrument Table'!$A:$A, "")</f>
        <v>25</v>
      </c>
      <c r="G1746" s="1" t="str">
        <f>TEXT(IF($B1746 = "Retail Item", IF((ROW($A1746) - 4504 - _xlfn.XMATCH($C1746, $C$4506:$C$5005, 0, 1)) &lt;= VLOOKUP($C1746, 'Instrument Table'!$B:$D, 3, FALSE), ROW($A1746) - 4504 - _xlfn.XMATCH($C1746, $C$4506:$C$5005, 0, 1), 0), 0), "00")</f>
        <v>00</v>
      </c>
      <c r="H1746" s="1" t="str">
        <f t="shared" si="163"/>
        <v>190</v>
      </c>
      <c r="I1746" s="1" t="str">
        <f t="shared" si="164"/>
        <v>12500-190</v>
      </c>
      <c r="J1746" s="1" t="str">
        <f t="shared" si="165"/>
        <v>Electric guitar production item #190</v>
      </c>
      <c r="K1746" s="1" t="str">
        <f>IF(SUM(COUNTIFS(I:I, I1746)) &gt; 1, "DUPLICATE", "UNIQUE")</f>
        <v>UNIQUE</v>
      </c>
      <c r="L1746" s="18">
        <v>16</v>
      </c>
      <c r="M1746" s="28">
        <v>56</v>
      </c>
      <c r="N1746" s="6">
        <v>289</v>
      </c>
      <c r="O1746" s="30">
        <f t="shared" si="166"/>
        <v>896</v>
      </c>
      <c r="P1746" s="30">
        <f t="shared" si="167"/>
        <v>16184</v>
      </c>
      <c r="Q1746" s="1">
        <f>COUNTIFS($P:$P, "&gt;" &amp; $P1746) + 1</f>
        <v>1268</v>
      </c>
      <c r="R1746" s="63">
        <f>(COUNTIFS($P:$P, "&gt;" &amp; $P1746) + 1) / (COUNTA($I:$I) - 1)</f>
        <v>0.25359999999999999</v>
      </c>
      <c r="S1746" s="23">
        <f>SUMIFS($P:$P, $Q:$Q, "&lt;" &amp; $Q1746)</f>
        <v>171462914</v>
      </c>
    </row>
    <row r="1747" spans="1:19" x14ac:dyDescent="0.25">
      <c r="A1747" s="1">
        <v>1742</v>
      </c>
      <c r="B1747" s="1" t="s">
        <v>2</v>
      </c>
      <c r="C1747" s="1" t="str">
        <f>IF($B1747 = "Production Item", _xlfn.XLOOKUP($A1747, 'Instrument Table'!$J:$J, 'Instrument Table'!$B:$B, $C1746), IF($B1747 = "Service Item", _xlfn.XLOOKUP($A1747, 'Instrument Table'!$I:$I, 'Instrument Table'!$B:$B, $C1746), _xlfn.XLOOKUP($A1747, 'Instrument Table'!$H:$H, 'Instrument Table'!$B:$B, $C1746)))</f>
        <v>Electric Guitar</v>
      </c>
      <c r="D1747" s="1" t="str">
        <f>VLOOKUP($C1747, 'Instrument Table'!$B:$C, 2, FALSE)</f>
        <v>Strings</v>
      </c>
      <c r="E1747" s="1">
        <f t="shared" si="162"/>
        <v>1</v>
      </c>
      <c r="F1747" s="1">
        <f>_xlfn.XLOOKUP($C1747, 'Instrument Table'!$B:$B, 'Instrument Table'!$A:$A, "")</f>
        <v>25</v>
      </c>
      <c r="G1747" s="1" t="str">
        <f>TEXT(IF($B1747 = "Retail Item", IF((ROW($A1747) - 4504 - _xlfn.XMATCH($C1747, $C$4506:$C$5005, 0, 1)) &lt;= VLOOKUP($C1747, 'Instrument Table'!$B:$D, 3, FALSE), ROW($A1747) - 4504 - _xlfn.XMATCH($C1747, $C$4506:$C$5005, 0, 1), 0), 0), "00")</f>
        <v>00</v>
      </c>
      <c r="H1747" s="1" t="str">
        <f t="shared" si="163"/>
        <v>191</v>
      </c>
      <c r="I1747" s="1" t="str">
        <f t="shared" si="164"/>
        <v>12500-191</v>
      </c>
      <c r="J1747" s="1" t="str">
        <f t="shared" si="165"/>
        <v>Electric guitar production item #191</v>
      </c>
      <c r="K1747" s="1" t="str">
        <f>IF(SUM(COUNTIFS(I:I, I1747)) &gt; 1, "DUPLICATE", "UNIQUE")</f>
        <v>UNIQUE</v>
      </c>
      <c r="L1747" s="18">
        <v>4</v>
      </c>
      <c r="M1747" s="28">
        <v>54</v>
      </c>
      <c r="N1747" s="6">
        <v>169</v>
      </c>
      <c r="O1747" s="30">
        <f t="shared" si="166"/>
        <v>216</v>
      </c>
      <c r="P1747" s="30">
        <f t="shared" si="167"/>
        <v>9126</v>
      </c>
      <c r="Q1747" s="1">
        <f>COUNTIFS($P:$P, "&gt;" &amp; $P1747) + 1</f>
        <v>1858</v>
      </c>
      <c r="R1747" s="63">
        <f>(COUNTIFS($P:$P, "&gt;" &amp; $P1747) + 1) / (COUNTA($I:$I) - 1)</f>
        <v>0.37159999999999999</v>
      </c>
      <c r="S1747" s="23">
        <f>SUMIFS($P:$P, $Q:$Q, "&lt;" &amp; $Q1747)</f>
        <v>178787496</v>
      </c>
    </row>
    <row r="1748" spans="1:19" x14ac:dyDescent="0.25">
      <c r="A1748" s="1">
        <v>1743</v>
      </c>
      <c r="B1748" s="1" t="s">
        <v>2</v>
      </c>
      <c r="C1748" s="1" t="str">
        <f>IF($B1748 = "Production Item", _xlfn.XLOOKUP($A1748, 'Instrument Table'!$J:$J, 'Instrument Table'!$B:$B, $C1747), IF($B1748 = "Service Item", _xlfn.XLOOKUP($A1748, 'Instrument Table'!$I:$I, 'Instrument Table'!$B:$B, $C1747), _xlfn.XLOOKUP($A1748, 'Instrument Table'!$H:$H, 'Instrument Table'!$B:$B, $C1747)))</f>
        <v>Electric Guitar</v>
      </c>
      <c r="D1748" s="1" t="str">
        <f>VLOOKUP($C1748, 'Instrument Table'!$B:$C, 2, FALSE)</f>
        <v>Strings</v>
      </c>
      <c r="E1748" s="1">
        <f t="shared" si="162"/>
        <v>1</v>
      </c>
      <c r="F1748" s="1">
        <f>_xlfn.XLOOKUP($C1748, 'Instrument Table'!$B:$B, 'Instrument Table'!$A:$A, "")</f>
        <v>25</v>
      </c>
      <c r="G1748" s="1" t="str">
        <f>TEXT(IF($B1748 = "Retail Item", IF((ROW($A1748) - 4504 - _xlfn.XMATCH($C1748, $C$4506:$C$5005, 0, 1)) &lt;= VLOOKUP($C1748, 'Instrument Table'!$B:$D, 3, FALSE), ROW($A1748) - 4504 - _xlfn.XMATCH($C1748, $C$4506:$C$5005, 0, 1), 0), 0), "00")</f>
        <v>00</v>
      </c>
      <c r="H1748" s="1" t="str">
        <f t="shared" si="163"/>
        <v>192</v>
      </c>
      <c r="I1748" s="1" t="str">
        <f t="shared" si="164"/>
        <v>12500-192</v>
      </c>
      <c r="J1748" s="1" t="str">
        <f t="shared" si="165"/>
        <v>Electric guitar production item #192</v>
      </c>
      <c r="K1748" s="1" t="str">
        <f>IF(SUM(COUNTIFS(I:I, I1748)) &gt; 1, "DUPLICATE", "UNIQUE")</f>
        <v>UNIQUE</v>
      </c>
      <c r="L1748" s="18">
        <v>0</v>
      </c>
      <c r="M1748" s="28">
        <v>75</v>
      </c>
      <c r="N1748" s="6">
        <v>196</v>
      </c>
      <c r="O1748" s="30">
        <f t="shared" si="166"/>
        <v>0</v>
      </c>
      <c r="P1748" s="30">
        <f t="shared" si="167"/>
        <v>14700</v>
      </c>
      <c r="Q1748" s="1">
        <f>COUNTIFS($P:$P, "&gt;" &amp; $P1748) + 1</f>
        <v>1372</v>
      </c>
      <c r="R1748" s="63">
        <f>(COUNTIFS($P:$P, "&gt;" &amp; $P1748) + 1) / (COUNTA($I:$I) - 1)</f>
        <v>0.27439999999999998</v>
      </c>
      <c r="S1748" s="23">
        <f>SUMIFS($P:$P, $Q:$Q, "&lt;" &amp; $Q1748)</f>
        <v>173069656</v>
      </c>
    </row>
    <row r="1749" spans="1:19" x14ac:dyDescent="0.25">
      <c r="A1749" s="1">
        <v>1744</v>
      </c>
      <c r="B1749" s="1" t="s">
        <v>2</v>
      </c>
      <c r="C1749" s="1" t="str">
        <f>IF($B1749 = "Production Item", _xlfn.XLOOKUP($A1749, 'Instrument Table'!$J:$J, 'Instrument Table'!$B:$B, $C1748), IF($B1749 = "Service Item", _xlfn.XLOOKUP($A1749, 'Instrument Table'!$I:$I, 'Instrument Table'!$B:$B, $C1748), _xlfn.XLOOKUP($A1749, 'Instrument Table'!$H:$H, 'Instrument Table'!$B:$B, $C1748)))</f>
        <v>Electric Guitar</v>
      </c>
      <c r="D1749" s="1" t="str">
        <f>VLOOKUP($C1749, 'Instrument Table'!$B:$C, 2, FALSE)</f>
        <v>Strings</v>
      </c>
      <c r="E1749" s="1">
        <f t="shared" si="162"/>
        <v>1</v>
      </c>
      <c r="F1749" s="1">
        <f>_xlfn.XLOOKUP($C1749, 'Instrument Table'!$B:$B, 'Instrument Table'!$A:$A, "")</f>
        <v>25</v>
      </c>
      <c r="G1749" s="1" t="str">
        <f>TEXT(IF($B1749 = "Retail Item", IF((ROW($A1749) - 4504 - _xlfn.XMATCH($C1749, $C$4506:$C$5005, 0, 1)) &lt;= VLOOKUP($C1749, 'Instrument Table'!$B:$D, 3, FALSE), ROW($A1749) - 4504 - _xlfn.XMATCH($C1749, $C$4506:$C$5005, 0, 1), 0), 0), "00")</f>
        <v>00</v>
      </c>
      <c r="H1749" s="1" t="str">
        <f t="shared" si="163"/>
        <v>193</v>
      </c>
      <c r="I1749" s="1" t="str">
        <f t="shared" si="164"/>
        <v>12500-193</v>
      </c>
      <c r="J1749" s="1" t="str">
        <f t="shared" si="165"/>
        <v>Electric guitar production item #193</v>
      </c>
      <c r="K1749" s="1" t="str">
        <f>IF(SUM(COUNTIFS(I:I, I1749)) &gt; 1, "DUPLICATE", "UNIQUE")</f>
        <v>UNIQUE</v>
      </c>
      <c r="L1749" s="18">
        <v>0</v>
      </c>
      <c r="M1749" s="28">
        <v>33</v>
      </c>
      <c r="N1749" s="6">
        <v>225</v>
      </c>
      <c r="O1749" s="30">
        <f t="shared" si="166"/>
        <v>0</v>
      </c>
      <c r="P1749" s="30">
        <f t="shared" si="167"/>
        <v>7425</v>
      </c>
      <c r="Q1749" s="1">
        <f>COUNTIFS($P:$P, "&gt;" &amp; $P1749) + 1</f>
        <v>2077</v>
      </c>
      <c r="R1749" s="63">
        <f>(COUNTIFS($P:$P, "&gt;" &amp; $P1749) + 1) / (COUNTA($I:$I) - 1)</f>
        <v>0.41539999999999999</v>
      </c>
      <c r="S1749" s="23">
        <f>SUMIFS($P:$P, $Q:$Q, "&lt;" &amp; $Q1749)</f>
        <v>180589127</v>
      </c>
    </row>
    <row r="1750" spans="1:19" x14ac:dyDescent="0.25">
      <c r="A1750" s="1">
        <v>1745</v>
      </c>
      <c r="B1750" s="1" t="s">
        <v>2</v>
      </c>
      <c r="C1750" s="1" t="str">
        <f>IF($B1750 = "Production Item", _xlfn.XLOOKUP($A1750, 'Instrument Table'!$J:$J, 'Instrument Table'!$B:$B, $C1749), IF($B1750 = "Service Item", _xlfn.XLOOKUP($A1750, 'Instrument Table'!$I:$I, 'Instrument Table'!$B:$B, $C1749), _xlfn.XLOOKUP($A1750, 'Instrument Table'!$H:$H, 'Instrument Table'!$B:$B, $C1749)))</f>
        <v>Electric Guitar</v>
      </c>
      <c r="D1750" s="1" t="str">
        <f>VLOOKUP($C1750, 'Instrument Table'!$B:$C, 2, FALSE)</f>
        <v>Strings</v>
      </c>
      <c r="E1750" s="1">
        <f t="shared" si="162"/>
        <v>1</v>
      </c>
      <c r="F1750" s="1">
        <f>_xlfn.XLOOKUP($C1750, 'Instrument Table'!$B:$B, 'Instrument Table'!$A:$A, "")</f>
        <v>25</v>
      </c>
      <c r="G1750" s="1" t="str">
        <f>TEXT(IF($B1750 = "Retail Item", IF((ROW($A1750) - 4504 - _xlfn.XMATCH($C1750, $C$4506:$C$5005, 0, 1)) &lt;= VLOOKUP($C1750, 'Instrument Table'!$B:$D, 3, FALSE), ROW($A1750) - 4504 - _xlfn.XMATCH($C1750, $C$4506:$C$5005, 0, 1), 0), 0), "00")</f>
        <v>00</v>
      </c>
      <c r="H1750" s="1" t="str">
        <f t="shared" si="163"/>
        <v>194</v>
      </c>
      <c r="I1750" s="1" t="str">
        <f t="shared" si="164"/>
        <v>12500-194</v>
      </c>
      <c r="J1750" s="1" t="str">
        <f t="shared" si="165"/>
        <v>Electric guitar production item #194</v>
      </c>
      <c r="K1750" s="1" t="str">
        <f>IF(SUM(COUNTIFS(I:I, I1750)) &gt; 1, "DUPLICATE", "UNIQUE")</f>
        <v>UNIQUE</v>
      </c>
      <c r="L1750" s="18">
        <v>0</v>
      </c>
      <c r="M1750" s="28">
        <v>9</v>
      </c>
      <c r="N1750" s="6">
        <v>400</v>
      </c>
      <c r="O1750" s="30">
        <f t="shared" si="166"/>
        <v>0</v>
      </c>
      <c r="P1750" s="30">
        <f t="shared" si="167"/>
        <v>3600</v>
      </c>
      <c r="Q1750" s="1">
        <f>COUNTIFS($P:$P, "&gt;" &amp; $P1750) + 1</f>
        <v>2737</v>
      </c>
      <c r="R1750" s="63">
        <f>(COUNTIFS($P:$P, "&gt;" &amp; $P1750) + 1) / (COUNTA($I:$I) - 1)</f>
        <v>0.5474</v>
      </c>
      <c r="S1750" s="23">
        <f>SUMIFS($P:$P, $Q:$Q, "&lt;" &amp; $Q1750)</f>
        <v>184104041</v>
      </c>
    </row>
    <row r="1751" spans="1:19" x14ac:dyDescent="0.25">
      <c r="A1751" s="1">
        <v>1746</v>
      </c>
      <c r="B1751" s="1" t="s">
        <v>2</v>
      </c>
      <c r="C1751" s="1" t="str">
        <f>IF($B1751 = "Production Item", _xlfn.XLOOKUP($A1751, 'Instrument Table'!$J:$J, 'Instrument Table'!$B:$B, $C1750), IF($B1751 = "Service Item", _xlfn.XLOOKUP($A1751, 'Instrument Table'!$I:$I, 'Instrument Table'!$B:$B, $C1750), _xlfn.XLOOKUP($A1751, 'Instrument Table'!$H:$H, 'Instrument Table'!$B:$B, $C1750)))</f>
        <v>Electric Guitar</v>
      </c>
      <c r="D1751" s="1" t="str">
        <f>VLOOKUP($C1751, 'Instrument Table'!$B:$C, 2, FALSE)</f>
        <v>Strings</v>
      </c>
      <c r="E1751" s="1">
        <f t="shared" si="162"/>
        <v>1</v>
      </c>
      <c r="F1751" s="1">
        <f>_xlfn.XLOOKUP($C1751, 'Instrument Table'!$B:$B, 'Instrument Table'!$A:$A, "")</f>
        <v>25</v>
      </c>
      <c r="G1751" s="1" t="str">
        <f>TEXT(IF($B1751 = "Retail Item", IF((ROW($A1751) - 4504 - _xlfn.XMATCH($C1751, $C$4506:$C$5005, 0, 1)) &lt;= VLOOKUP($C1751, 'Instrument Table'!$B:$D, 3, FALSE), ROW($A1751) - 4504 - _xlfn.XMATCH($C1751, $C$4506:$C$5005, 0, 1), 0), 0), "00")</f>
        <v>00</v>
      </c>
      <c r="H1751" s="1" t="str">
        <f t="shared" si="163"/>
        <v>195</v>
      </c>
      <c r="I1751" s="1" t="str">
        <f t="shared" si="164"/>
        <v>12500-195</v>
      </c>
      <c r="J1751" s="1" t="str">
        <f t="shared" si="165"/>
        <v>Electric guitar production item #195</v>
      </c>
      <c r="K1751" s="1" t="str">
        <f>IF(SUM(COUNTIFS(I:I, I1751)) &gt; 1, "DUPLICATE", "UNIQUE")</f>
        <v>UNIQUE</v>
      </c>
      <c r="L1751" s="18">
        <v>0</v>
      </c>
      <c r="M1751" s="28">
        <v>10</v>
      </c>
      <c r="N1751" s="6">
        <v>4</v>
      </c>
      <c r="O1751" s="30">
        <f t="shared" si="166"/>
        <v>0</v>
      </c>
      <c r="P1751" s="30">
        <f t="shared" si="167"/>
        <v>40</v>
      </c>
      <c r="Q1751" s="1">
        <f>COUNTIFS($P:$P, "&gt;" &amp; $P1751) + 1</f>
        <v>4640</v>
      </c>
      <c r="R1751" s="63">
        <f>(COUNTIFS($P:$P, "&gt;" &amp; $P1751) + 1) / (COUNTA($I:$I) - 1)</f>
        <v>0.92800000000000005</v>
      </c>
      <c r="S1751" s="23">
        <f>SUMIFS($P:$P, $Q:$Q, "&lt;" &amp; $Q1751)</f>
        <v>186545638</v>
      </c>
    </row>
    <row r="1752" spans="1:19" x14ac:dyDescent="0.25">
      <c r="A1752" s="1">
        <v>1747</v>
      </c>
      <c r="B1752" s="1" t="s">
        <v>2</v>
      </c>
      <c r="C1752" s="1" t="str">
        <f>IF($B1752 = "Production Item", _xlfn.XLOOKUP($A1752, 'Instrument Table'!$J:$J, 'Instrument Table'!$B:$B, $C1751), IF($B1752 = "Service Item", _xlfn.XLOOKUP($A1752, 'Instrument Table'!$I:$I, 'Instrument Table'!$B:$B, $C1751), _xlfn.XLOOKUP($A1752, 'Instrument Table'!$H:$H, 'Instrument Table'!$B:$B, $C1751)))</f>
        <v>Electric Guitar</v>
      </c>
      <c r="D1752" s="1" t="str">
        <f>VLOOKUP($C1752, 'Instrument Table'!$B:$C, 2, FALSE)</f>
        <v>Strings</v>
      </c>
      <c r="E1752" s="1">
        <f t="shared" si="162"/>
        <v>1</v>
      </c>
      <c r="F1752" s="1">
        <f>_xlfn.XLOOKUP($C1752, 'Instrument Table'!$B:$B, 'Instrument Table'!$A:$A, "")</f>
        <v>25</v>
      </c>
      <c r="G1752" s="1" t="str">
        <f>TEXT(IF($B1752 = "Retail Item", IF((ROW($A1752) - 4504 - _xlfn.XMATCH($C1752, $C$4506:$C$5005, 0, 1)) &lt;= VLOOKUP($C1752, 'Instrument Table'!$B:$D, 3, FALSE), ROW($A1752) - 4504 - _xlfn.XMATCH($C1752, $C$4506:$C$5005, 0, 1), 0), 0), "00")</f>
        <v>00</v>
      </c>
      <c r="H1752" s="1" t="str">
        <f t="shared" si="163"/>
        <v>196</v>
      </c>
      <c r="I1752" s="1" t="str">
        <f t="shared" si="164"/>
        <v>12500-196</v>
      </c>
      <c r="J1752" s="1" t="str">
        <f t="shared" si="165"/>
        <v>Electric guitar production item #196</v>
      </c>
      <c r="K1752" s="1" t="str">
        <f>IF(SUM(COUNTIFS(I:I, I1752)) &gt; 1, "DUPLICATE", "UNIQUE")</f>
        <v>UNIQUE</v>
      </c>
      <c r="L1752" s="18">
        <v>32</v>
      </c>
      <c r="M1752" s="28">
        <v>78</v>
      </c>
      <c r="N1752" s="6">
        <v>121</v>
      </c>
      <c r="O1752" s="30">
        <f t="shared" si="166"/>
        <v>2496</v>
      </c>
      <c r="P1752" s="30">
        <f t="shared" si="167"/>
        <v>9438</v>
      </c>
      <c r="Q1752" s="1">
        <f>COUNTIFS($P:$P, "&gt;" &amp; $P1752) + 1</f>
        <v>1826</v>
      </c>
      <c r="R1752" s="63">
        <f>(COUNTIFS($P:$P, "&gt;" &amp; $P1752) + 1) / (COUNTA($I:$I) - 1)</f>
        <v>0.36520000000000002</v>
      </c>
      <c r="S1752" s="23">
        <f>SUMIFS($P:$P, $Q:$Q, "&lt;" &amp; $Q1752)</f>
        <v>178489701</v>
      </c>
    </row>
    <row r="1753" spans="1:19" x14ac:dyDescent="0.25">
      <c r="A1753" s="1">
        <v>1748</v>
      </c>
      <c r="B1753" s="1" t="s">
        <v>2</v>
      </c>
      <c r="C1753" s="1" t="str">
        <f>IF($B1753 = "Production Item", _xlfn.XLOOKUP($A1753, 'Instrument Table'!$J:$J, 'Instrument Table'!$B:$B, $C1752), IF($B1753 = "Service Item", _xlfn.XLOOKUP($A1753, 'Instrument Table'!$I:$I, 'Instrument Table'!$B:$B, $C1752), _xlfn.XLOOKUP($A1753, 'Instrument Table'!$H:$H, 'Instrument Table'!$B:$B, $C1752)))</f>
        <v>Electric Guitar</v>
      </c>
      <c r="D1753" s="1" t="str">
        <f>VLOOKUP($C1753, 'Instrument Table'!$B:$C, 2, FALSE)</f>
        <v>Strings</v>
      </c>
      <c r="E1753" s="1">
        <f t="shared" si="162"/>
        <v>1</v>
      </c>
      <c r="F1753" s="1">
        <f>_xlfn.XLOOKUP($C1753, 'Instrument Table'!$B:$B, 'Instrument Table'!$A:$A, "")</f>
        <v>25</v>
      </c>
      <c r="G1753" s="1" t="str">
        <f>TEXT(IF($B1753 = "Retail Item", IF((ROW($A1753) - 4504 - _xlfn.XMATCH($C1753, $C$4506:$C$5005, 0, 1)) &lt;= VLOOKUP($C1753, 'Instrument Table'!$B:$D, 3, FALSE), ROW($A1753) - 4504 - _xlfn.XMATCH($C1753, $C$4506:$C$5005, 0, 1), 0), 0), "00")</f>
        <v>00</v>
      </c>
      <c r="H1753" s="1" t="str">
        <f t="shared" si="163"/>
        <v>197</v>
      </c>
      <c r="I1753" s="1" t="str">
        <f t="shared" si="164"/>
        <v>12500-197</v>
      </c>
      <c r="J1753" s="1" t="str">
        <f t="shared" si="165"/>
        <v>Electric guitar production item #197</v>
      </c>
      <c r="K1753" s="1" t="str">
        <f>IF(SUM(COUNTIFS(I:I, I1753)) &gt; 1, "DUPLICATE", "UNIQUE")</f>
        <v>UNIQUE</v>
      </c>
      <c r="L1753" s="18">
        <v>1</v>
      </c>
      <c r="M1753" s="28">
        <v>13</v>
      </c>
      <c r="N1753" s="6">
        <v>100</v>
      </c>
      <c r="O1753" s="30">
        <f t="shared" si="166"/>
        <v>13</v>
      </c>
      <c r="P1753" s="30">
        <f t="shared" si="167"/>
        <v>1300</v>
      </c>
      <c r="Q1753" s="1">
        <f>COUNTIFS($P:$P, "&gt;" &amp; $P1753) + 1</f>
        <v>3560</v>
      </c>
      <c r="R1753" s="63">
        <f>(COUNTIFS($P:$P, "&gt;" &amp; $P1753) + 1) / (COUNTA($I:$I) - 1)</f>
        <v>0.71199999999999997</v>
      </c>
      <c r="S1753" s="23">
        <f>SUMIFS($P:$P, $Q:$Q, "&lt;" &amp; $Q1753)</f>
        <v>186019328</v>
      </c>
    </row>
    <row r="1754" spans="1:19" x14ac:dyDescent="0.25">
      <c r="A1754" s="1">
        <v>1749</v>
      </c>
      <c r="B1754" s="1" t="s">
        <v>2</v>
      </c>
      <c r="C1754" s="1" t="str">
        <f>IF($B1754 = "Production Item", _xlfn.XLOOKUP($A1754, 'Instrument Table'!$J:$J, 'Instrument Table'!$B:$B, $C1753), IF($B1754 = "Service Item", _xlfn.XLOOKUP($A1754, 'Instrument Table'!$I:$I, 'Instrument Table'!$B:$B, $C1753), _xlfn.XLOOKUP($A1754, 'Instrument Table'!$H:$H, 'Instrument Table'!$B:$B, $C1753)))</f>
        <v>Electric Guitar</v>
      </c>
      <c r="D1754" s="1" t="str">
        <f>VLOOKUP($C1754, 'Instrument Table'!$B:$C, 2, FALSE)</f>
        <v>Strings</v>
      </c>
      <c r="E1754" s="1">
        <f t="shared" si="162"/>
        <v>1</v>
      </c>
      <c r="F1754" s="1">
        <f>_xlfn.XLOOKUP($C1754, 'Instrument Table'!$B:$B, 'Instrument Table'!$A:$A, "")</f>
        <v>25</v>
      </c>
      <c r="G1754" s="1" t="str">
        <f>TEXT(IF($B1754 = "Retail Item", IF((ROW($A1754) - 4504 - _xlfn.XMATCH($C1754, $C$4506:$C$5005, 0, 1)) &lt;= VLOOKUP($C1754, 'Instrument Table'!$B:$D, 3, FALSE), ROW($A1754) - 4504 - _xlfn.XMATCH($C1754, $C$4506:$C$5005, 0, 1), 0), 0), "00")</f>
        <v>00</v>
      </c>
      <c r="H1754" s="1" t="str">
        <f t="shared" si="163"/>
        <v>198</v>
      </c>
      <c r="I1754" s="1" t="str">
        <f t="shared" si="164"/>
        <v>12500-198</v>
      </c>
      <c r="J1754" s="1" t="str">
        <f t="shared" si="165"/>
        <v>Electric guitar production item #198</v>
      </c>
      <c r="K1754" s="1" t="str">
        <f>IF(SUM(COUNTIFS(I:I, I1754)) &gt; 1, "DUPLICATE", "UNIQUE")</f>
        <v>UNIQUE</v>
      </c>
      <c r="L1754" s="18">
        <v>8</v>
      </c>
      <c r="M1754" s="28">
        <v>83</v>
      </c>
      <c r="N1754" s="6">
        <v>225</v>
      </c>
      <c r="O1754" s="30">
        <f t="shared" si="166"/>
        <v>664</v>
      </c>
      <c r="P1754" s="30">
        <f t="shared" si="167"/>
        <v>18675</v>
      </c>
      <c r="Q1754" s="1">
        <f>COUNTIFS($P:$P, "&gt;" &amp; $P1754) + 1</f>
        <v>1120</v>
      </c>
      <c r="R1754" s="63">
        <f>(COUNTIFS($P:$P, "&gt;" &amp; $P1754) + 1) / (COUNTA($I:$I) - 1)</f>
        <v>0.224</v>
      </c>
      <c r="S1754" s="23">
        <f>SUMIFS($P:$P, $Q:$Q, "&lt;" &amp; $Q1754)</f>
        <v>168881811</v>
      </c>
    </row>
    <row r="1755" spans="1:19" x14ac:dyDescent="0.25">
      <c r="A1755" s="1">
        <v>1750</v>
      </c>
      <c r="B1755" s="1" t="s">
        <v>2</v>
      </c>
      <c r="C1755" s="1" t="str">
        <f>IF($B1755 = "Production Item", _xlfn.XLOOKUP($A1755, 'Instrument Table'!$J:$J, 'Instrument Table'!$B:$B, $C1754), IF($B1755 = "Service Item", _xlfn.XLOOKUP($A1755, 'Instrument Table'!$I:$I, 'Instrument Table'!$B:$B, $C1754), _xlfn.XLOOKUP($A1755, 'Instrument Table'!$H:$H, 'Instrument Table'!$B:$B, $C1754)))</f>
        <v>Electric Guitar</v>
      </c>
      <c r="D1755" s="1" t="str">
        <f>VLOOKUP($C1755, 'Instrument Table'!$B:$C, 2, FALSE)</f>
        <v>Strings</v>
      </c>
      <c r="E1755" s="1">
        <f t="shared" si="162"/>
        <v>1</v>
      </c>
      <c r="F1755" s="1">
        <f>_xlfn.XLOOKUP($C1755, 'Instrument Table'!$B:$B, 'Instrument Table'!$A:$A, "")</f>
        <v>25</v>
      </c>
      <c r="G1755" s="1" t="str">
        <f>TEXT(IF($B1755 = "Retail Item", IF((ROW($A1755) - 4504 - _xlfn.XMATCH($C1755, $C$4506:$C$5005, 0, 1)) &lt;= VLOOKUP($C1755, 'Instrument Table'!$B:$D, 3, FALSE), ROW($A1755) - 4504 - _xlfn.XMATCH($C1755, $C$4506:$C$5005, 0, 1), 0), 0), "00")</f>
        <v>00</v>
      </c>
      <c r="H1755" s="1" t="str">
        <f t="shared" si="163"/>
        <v>199</v>
      </c>
      <c r="I1755" s="1" t="str">
        <f t="shared" si="164"/>
        <v>12500-199</v>
      </c>
      <c r="J1755" s="1" t="str">
        <f t="shared" si="165"/>
        <v>Electric guitar production item #199</v>
      </c>
      <c r="K1755" s="1" t="str">
        <f>IF(SUM(COUNTIFS(I:I, I1755)) &gt; 1, "DUPLICATE", "UNIQUE")</f>
        <v>UNIQUE</v>
      </c>
      <c r="L1755" s="18">
        <v>0</v>
      </c>
      <c r="M1755" s="28">
        <v>90</v>
      </c>
      <c r="N1755" s="6">
        <v>400</v>
      </c>
      <c r="O1755" s="30">
        <f t="shared" si="166"/>
        <v>0</v>
      </c>
      <c r="P1755" s="30">
        <f t="shared" si="167"/>
        <v>36000</v>
      </c>
      <c r="Q1755" s="1">
        <f>COUNTIFS($P:$P, "&gt;" &amp; $P1755) + 1</f>
        <v>592</v>
      </c>
      <c r="R1755" s="63">
        <f>(COUNTIFS($P:$P, "&gt;" &amp; $P1755) + 1) / (COUNTA($I:$I) - 1)</f>
        <v>0.11840000000000001</v>
      </c>
      <c r="S1755" s="23">
        <f>SUMIFS($P:$P, $Q:$Q, "&lt;" &amp; $Q1755)</f>
        <v>155584703</v>
      </c>
    </row>
    <row r="1756" spans="1:19" x14ac:dyDescent="0.25">
      <c r="A1756" s="1">
        <v>1751</v>
      </c>
      <c r="B1756" s="1" t="s">
        <v>2</v>
      </c>
      <c r="C1756" s="1" t="str">
        <f>IF($B1756 = "Production Item", _xlfn.XLOOKUP($A1756, 'Instrument Table'!$J:$J, 'Instrument Table'!$B:$B, $C1755), IF($B1756 = "Service Item", _xlfn.XLOOKUP($A1756, 'Instrument Table'!$I:$I, 'Instrument Table'!$B:$B, $C1755), _xlfn.XLOOKUP($A1756, 'Instrument Table'!$H:$H, 'Instrument Table'!$B:$B, $C1755)))</f>
        <v>Clarinet</v>
      </c>
      <c r="D1756" s="1" t="str">
        <f>VLOOKUP($C1756, 'Instrument Table'!$B:$C, 2, FALSE)</f>
        <v>Woodwinds</v>
      </c>
      <c r="E1756" s="1">
        <f t="shared" si="162"/>
        <v>1</v>
      </c>
      <c r="F1756" s="1">
        <f>_xlfn.XLOOKUP($C1756, 'Instrument Table'!$B:$B, 'Instrument Table'!$A:$A, "")</f>
        <v>30</v>
      </c>
      <c r="G1756" s="1" t="str">
        <f>TEXT(IF($B1756 = "Retail Item", IF((ROW($A1756) - 4504 - _xlfn.XMATCH($C1756, $C$4506:$C$5005, 0, 1)) &lt;= VLOOKUP($C1756, 'Instrument Table'!$B:$D, 3, FALSE), ROW($A1756) - 4504 - _xlfn.XMATCH($C1756, $C$4506:$C$5005, 0, 1), 0), 0), "00")</f>
        <v>00</v>
      </c>
      <c r="H1756" s="1" t="str">
        <f t="shared" si="163"/>
        <v>000</v>
      </c>
      <c r="I1756" s="1" t="str">
        <f t="shared" si="164"/>
        <v>13000-000</v>
      </c>
      <c r="J1756" s="1" t="str">
        <f t="shared" si="165"/>
        <v>Clarinet production item #000</v>
      </c>
      <c r="K1756" s="1" t="str">
        <f>IF(SUM(COUNTIFS(I:I, I1756)) &gt; 1, "DUPLICATE", "UNIQUE")</f>
        <v>UNIQUE</v>
      </c>
      <c r="L1756" s="18">
        <v>1</v>
      </c>
      <c r="M1756" s="28">
        <v>90</v>
      </c>
      <c r="N1756" s="6">
        <v>64</v>
      </c>
      <c r="O1756" s="30">
        <f t="shared" si="166"/>
        <v>90</v>
      </c>
      <c r="P1756" s="30">
        <f t="shared" si="167"/>
        <v>5760</v>
      </c>
      <c r="Q1756" s="1">
        <f>COUNTIFS($P:$P, "&gt;" &amp; $P1756) + 1</f>
        <v>2309</v>
      </c>
      <c r="R1756" s="63">
        <f>(COUNTIFS($P:$P, "&gt;" &amp; $P1756) + 1) / (COUNTA($I:$I) - 1)</f>
        <v>0.46179999999999999</v>
      </c>
      <c r="S1756" s="23">
        <f>SUMIFS($P:$P, $Q:$Q, "&lt;" &amp; $Q1756)</f>
        <v>182116307</v>
      </c>
    </row>
    <row r="1757" spans="1:19" x14ac:dyDescent="0.25">
      <c r="A1757" s="1">
        <v>1752</v>
      </c>
      <c r="B1757" s="1" t="s">
        <v>2</v>
      </c>
      <c r="C1757" s="1" t="str">
        <f>IF($B1757 = "Production Item", _xlfn.XLOOKUP($A1757, 'Instrument Table'!$J:$J, 'Instrument Table'!$B:$B, $C1756), IF($B1757 = "Service Item", _xlfn.XLOOKUP($A1757, 'Instrument Table'!$I:$I, 'Instrument Table'!$B:$B, $C1756), _xlfn.XLOOKUP($A1757, 'Instrument Table'!$H:$H, 'Instrument Table'!$B:$B, $C1756)))</f>
        <v>Clarinet</v>
      </c>
      <c r="D1757" s="1" t="str">
        <f>VLOOKUP($C1757, 'Instrument Table'!$B:$C, 2, FALSE)</f>
        <v>Woodwinds</v>
      </c>
      <c r="E1757" s="1">
        <f t="shared" si="162"/>
        <v>1</v>
      </c>
      <c r="F1757" s="1">
        <f>_xlfn.XLOOKUP($C1757, 'Instrument Table'!$B:$B, 'Instrument Table'!$A:$A, "")</f>
        <v>30</v>
      </c>
      <c r="G1757" s="1" t="str">
        <f>TEXT(IF($B1757 = "Retail Item", IF((ROW($A1757) - 4504 - _xlfn.XMATCH($C1757, $C$4506:$C$5005, 0, 1)) &lt;= VLOOKUP($C1757, 'Instrument Table'!$B:$D, 3, FALSE), ROW($A1757) - 4504 - _xlfn.XMATCH($C1757, $C$4506:$C$5005, 0, 1), 0), 0), "00")</f>
        <v>00</v>
      </c>
      <c r="H1757" s="1" t="str">
        <f t="shared" si="163"/>
        <v>001</v>
      </c>
      <c r="I1757" s="1" t="str">
        <f t="shared" si="164"/>
        <v>13000-001</v>
      </c>
      <c r="J1757" s="1" t="str">
        <f t="shared" si="165"/>
        <v>Clarinet production item #001</v>
      </c>
      <c r="K1757" s="1" t="str">
        <f>IF(SUM(COUNTIFS(I:I, I1757)) &gt; 1, "DUPLICATE", "UNIQUE")</f>
        <v>UNIQUE</v>
      </c>
      <c r="L1757" s="18">
        <v>0</v>
      </c>
      <c r="M1757" s="28">
        <v>28</v>
      </c>
      <c r="N1757" s="6">
        <v>169</v>
      </c>
      <c r="O1757" s="30">
        <f t="shared" si="166"/>
        <v>0</v>
      </c>
      <c r="P1757" s="30">
        <f t="shared" si="167"/>
        <v>4732</v>
      </c>
      <c r="Q1757" s="1">
        <f>COUNTIFS($P:$P, "&gt;" &amp; $P1757) + 1</f>
        <v>2498</v>
      </c>
      <c r="R1757" s="63">
        <f>(COUNTIFS($P:$P, "&gt;" &amp; $P1757) + 1) / (COUNTA($I:$I) - 1)</f>
        <v>0.49959999999999999</v>
      </c>
      <c r="S1757" s="23">
        <f>SUMIFS($P:$P, $Q:$Q, "&lt;" &amp; $Q1757)</f>
        <v>183105780</v>
      </c>
    </row>
    <row r="1758" spans="1:19" x14ac:dyDescent="0.25">
      <c r="A1758" s="1">
        <v>1753</v>
      </c>
      <c r="B1758" s="1" t="s">
        <v>2</v>
      </c>
      <c r="C1758" s="1" t="str">
        <f>IF($B1758 = "Production Item", _xlfn.XLOOKUP($A1758, 'Instrument Table'!$J:$J, 'Instrument Table'!$B:$B, $C1757), IF($B1758 = "Service Item", _xlfn.XLOOKUP($A1758, 'Instrument Table'!$I:$I, 'Instrument Table'!$B:$B, $C1757), _xlfn.XLOOKUP($A1758, 'Instrument Table'!$H:$H, 'Instrument Table'!$B:$B, $C1757)))</f>
        <v>Clarinet</v>
      </c>
      <c r="D1758" s="1" t="str">
        <f>VLOOKUP($C1758, 'Instrument Table'!$B:$C, 2, FALSE)</f>
        <v>Woodwinds</v>
      </c>
      <c r="E1758" s="1">
        <f t="shared" si="162"/>
        <v>1</v>
      </c>
      <c r="F1758" s="1">
        <f>_xlfn.XLOOKUP($C1758, 'Instrument Table'!$B:$B, 'Instrument Table'!$A:$A, "")</f>
        <v>30</v>
      </c>
      <c r="G1758" s="1" t="str">
        <f>TEXT(IF($B1758 = "Retail Item", IF((ROW($A1758) - 4504 - _xlfn.XMATCH($C1758, $C$4506:$C$5005, 0, 1)) &lt;= VLOOKUP($C1758, 'Instrument Table'!$B:$D, 3, FALSE), ROW($A1758) - 4504 - _xlfn.XMATCH($C1758, $C$4506:$C$5005, 0, 1), 0), 0), "00")</f>
        <v>00</v>
      </c>
      <c r="H1758" s="1" t="str">
        <f t="shared" si="163"/>
        <v>002</v>
      </c>
      <c r="I1758" s="1" t="str">
        <f t="shared" si="164"/>
        <v>13000-002</v>
      </c>
      <c r="J1758" s="1" t="str">
        <f t="shared" si="165"/>
        <v>Clarinet production item #002</v>
      </c>
      <c r="K1758" s="1" t="str">
        <f>IF(SUM(COUNTIFS(I:I, I1758)) &gt; 1, "DUPLICATE", "UNIQUE")</f>
        <v>UNIQUE</v>
      </c>
      <c r="L1758" s="18">
        <v>16</v>
      </c>
      <c r="M1758" s="28">
        <v>5</v>
      </c>
      <c r="N1758" s="6">
        <v>36</v>
      </c>
      <c r="O1758" s="30">
        <f t="shared" si="166"/>
        <v>80</v>
      </c>
      <c r="P1758" s="30">
        <f t="shared" si="167"/>
        <v>180</v>
      </c>
      <c r="Q1758" s="1">
        <f>COUNTIFS($P:$P, "&gt;" &amp; $P1758) + 1</f>
        <v>4352</v>
      </c>
      <c r="R1758" s="63">
        <f>(COUNTIFS($P:$P, "&gt;" &amp; $P1758) + 1) / (COUNTA($I:$I) - 1)</f>
        <v>0.87039999999999995</v>
      </c>
      <c r="S1758" s="23">
        <f>SUMIFS($P:$P, $Q:$Q, "&lt;" &amp; $Q1758)</f>
        <v>186517952</v>
      </c>
    </row>
    <row r="1759" spans="1:19" x14ac:dyDescent="0.25">
      <c r="A1759" s="1">
        <v>1754</v>
      </c>
      <c r="B1759" s="1" t="s">
        <v>2</v>
      </c>
      <c r="C1759" s="1" t="str">
        <f>IF($B1759 = "Production Item", _xlfn.XLOOKUP($A1759, 'Instrument Table'!$J:$J, 'Instrument Table'!$B:$B, $C1758), IF($B1759 = "Service Item", _xlfn.XLOOKUP($A1759, 'Instrument Table'!$I:$I, 'Instrument Table'!$B:$B, $C1758), _xlfn.XLOOKUP($A1759, 'Instrument Table'!$H:$H, 'Instrument Table'!$B:$B, $C1758)))</f>
        <v>Clarinet</v>
      </c>
      <c r="D1759" s="1" t="str">
        <f>VLOOKUP($C1759, 'Instrument Table'!$B:$C, 2, FALSE)</f>
        <v>Woodwinds</v>
      </c>
      <c r="E1759" s="1">
        <f t="shared" si="162"/>
        <v>1</v>
      </c>
      <c r="F1759" s="1">
        <f>_xlfn.XLOOKUP($C1759, 'Instrument Table'!$B:$B, 'Instrument Table'!$A:$A, "")</f>
        <v>30</v>
      </c>
      <c r="G1759" s="1" t="str">
        <f>TEXT(IF($B1759 = "Retail Item", IF((ROW($A1759) - 4504 - _xlfn.XMATCH($C1759, $C$4506:$C$5005, 0, 1)) &lt;= VLOOKUP($C1759, 'Instrument Table'!$B:$D, 3, FALSE), ROW($A1759) - 4504 - _xlfn.XMATCH($C1759, $C$4506:$C$5005, 0, 1), 0), 0), "00")</f>
        <v>00</v>
      </c>
      <c r="H1759" s="1" t="str">
        <f t="shared" si="163"/>
        <v>003</v>
      </c>
      <c r="I1759" s="1" t="str">
        <f t="shared" si="164"/>
        <v>13000-003</v>
      </c>
      <c r="J1759" s="1" t="str">
        <f t="shared" si="165"/>
        <v>Clarinet production item #003</v>
      </c>
      <c r="K1759" s="1" t="str">
        <f>IF(SUM(COUNTIFS(I:I, I1759)) &gt; 1, "DUPLICATE", "UNIQUE")</f>
        <v>UNIQUE</v>
      </c>
      <c r="L1759" s="18">
        <v>1</v>
      </c>
      <c r="M1759" s="28">
        <v>42</v>
      </c>
      <c r="N1759" s="6">
        <v>1</v>
      </c>
      <c r="O1759" s="30">
        <f t="shared" si="166"/>
        <v>42</v>
      </c>
      <c r="P1759" s="30">
        <f t="shared" si="167"/>
        <v>42</v>
      </c>
      <c r="Q1759" s="1">
        <f>COUNTIFS($P:$P, "&gt;" &amp; $P1759) + 1</f>
        <v>4637</v>
      </c>
      <c r="R1759" s="63">
        <f>(COUNTIFS($P:$P, "&gt;" &amp; $P1759) + 1) / (COUNTA($I:$I) - 1)</f>
        <v>0.9274</v>
      </c>
      <c r="S1759" s="23">
        <f>SUMIFS($P:$P, $Q:$Q, "&lt;" &amp; $Q1759)</f>
        <v>186545513</v>
      </c>
    </row>
    <row r="1760" spans="1:19" x14ac:dyDescent="0.25">
      <c r="A1760" s="1">
        <v>1755</v>
      </c>
      <c r="B1760" s="1" t="s">
        <v>2</v>
      </c>
      <c r="C1760" s="1" t="str">
        <f>IF($B1760 = "Production Item", _xlfn.XLOOKUP($A1760, 'Instrument Table'!$J:$J, 'Instrument Table'!$B:$B, $C1759), IF($B1760 = "Service Item", _xlfn.XLOOKUP($A1760, 'Instrument Table'!$I:$I, 'Instrument Table'!$B:$B, $C1759), _xlfn.XLOOKUP($A1760, 'Instrument Table'!$H:$H, 'Instrument Table'!$B:$B, $C1759)))</f>
        <v>Clarinet</v>
      </c>
      <c r="D1760" s="1" t="str">
        <f>VLOOKUP($C1760, 'Instrument Table'!$B:$C, 2, FALSE)</f>
        <v>Woodwinds</v>
      </c>
      <c r="E1760" s="1">
        <f t="shared" si="162"/>
        <v>1</v>
      </c>
      <c r="F1760" s="1">
        <f>_xlfn.XLOOKUP($C1760, 'Instrument Table'!$B:$B, 'Instrument Table'!$A:$A, "")</f>
        <v>30</v>
      </c>
      <c r="G1760" s="1" t="str">
        <f>TEXT(IF($B1760 = "Retail Item", IF((ROW($A1760) - 4504 - _xlfn.XMATCH($C1760, $C$4506:$C$5005, 0, 1)) &lt;= VLOOKUP($C1760, 'Instrument Table'!$B:$D, 3, FALSE), ROW($A1760) - 4504 - _xlfn.XMATCH($C1760, $C$4506:$C$5005, 0, 1), 0), 0), "00")</f>
        <v>00</v>
      </c>
      <c r="H1760" s="1" t="str">
        <f t="shared" si="163"/>
        <v>004</v>
      </c>
      <c r="I1760" s="1" t="str">
        <f t="shared" si="164"/>
        <v>13000-004</v>
      </c>
      <c r="J1760" s="1" t="str">
        <f t="shared" si="165"/>
        <v>Clarinet production item #004</v>
      </c>
      <c r="K1760" s="1" t="str">
        <f>IF(SUM(COUNTIFS(I:I, I1760)) &gt; 1, "DUPLICATE", "UNIQUE")</f>
        <v>UNIQUE</v>
      </c>
      <c r="L1760" s="18">
        <v>0</v>
      </c>
      <c r="M1760" s="28">
        <v>78</v>
      </c>
      <c r="N1760" s="6">
        <v>144</v>
      </c>
      <c r="O1760" s="30">
        <f t="shared" si="166"/>
        <v>0</v>
      </c>
      <c r="P1760" s="30">
        <f t="shared" si="167"/>
        <v>11232</v>
      </c>
      <c r="Q1760" s="1">
        <f>COUNTIFS($P:$P, "&gt;" &amp; $P1760) + 1</f>
        <v>1664</v>
      </c>
      <c r="R1760" s="63">
        <f>(COUNTIFS($P:$P, "&gt;" &amp; $P1760) + 1) / (COUNTA($I:$I) - 1)</f>
        <v>0.33279999999999998</v>
      </c>
      <c r="S1760" s="23">
        <f>SUMIFS($P:$P, $Q:$Q, "&lt;" &amp; $Q1760)</f>
        <v>176816259</v>
      </c>
    </row>
    <row r="1761" spans="1:19" x14ac:dyDescent="0.25">
      <c r="A1761" s="1">
        <v>1756</v>
      </c>
      <c r="B1761" s="1" t="s">
        <v>2</v>
      </c>
      <c r="C1761" s="1" t="str">
        <f>IF($B1761 = "Production Item", _xlfn.XLOOKUP($A1761, 'Instrument Table'!$J:$J, 'Instrument Table'!$B:$B, $C1760), IF($B1761 = "Service Item", _xlfn.XLOOKUP($A1761, 'Instrument Table'!$I:$I, 'Instrument Table'!$B:$B, $C1760), _xlfn.XLOOKUP($A1761, 'Instrument Table'!$H:$H, 'Instrument Table'!$B:$B, $C1760)))</f>
        <v>Clarinet</v>
      </c>
      <c r="D1761" s="1" t="str">
        <f>VLOOKUP($C1761, 'Instrument Table'!$B:$C, 2, FALSE)</f>
        <v>Woodwinds</v>
      </c>
      <c r="E1761" s="1">
        <f t="shared" si="162"/>
        <v>1</v>
      </c>
      <c r="F1761" s="1">
        <f>_xlfn.XLOOKUP($C1761, 'Instrument Table'!$B:$B, 'Instrument Table'!$A:$A, "")</f>
        <v>30</v>
      </c>
      <c r="G1761" s="1" t="str">
        <f>TEXT(IF($B1761 = "Retail Item", IF((ROW($A1761) - 4504 - _xlfn.XMATCH($C1761, $C$4506:$C$5005, 0, 1)) &lt;= VLOOKUP($C1761, 'Instrument Table'!$B:$D, 3, FALSE), ROW($A1761) - 4504 - _xlfn.XMATCH($C1761, $C$4506:$C$5005, 0, 1), 0), 0), "00")</f>
        <v>00</v>
      </c>
      <c r="H1761" s="1" t="str">
        <f t="shared" si="163"/>
        <v>005</v>
      </c>
      <c r="I1761" s="1" t="str">
        <f t="shared" si="164"/>
        <v>13000-005</v>
      </c>
      <c r="J1761" s="1" t="str">
        <f t="shared" si="165"/>
        <v>Clarinet production item #005</v>
      </c>
      <c r="K1761" s="1" t="str">
        <f>IF(SUM(COUNTIFS(I:I, I1761)) &gt; 1, "DUPLICATE", "UNIQUE")</f>
        <v>UNIQUE</v>
      </c>
      <c r="L1761" s="18">
        <v>1</v>
      </c>
      <c r="M1761" s="28">
        <v>66</v>
      </c>
      <c r="N1761" s="6">
        <v>100</v>
      </c>
      <c r="O1761" s="30">
        <f t="shared" si="166"/>
        <v>66</v>
      </c>
      <c r="P1761" s="30">
        <f t="shared" si="167"/>
        <v>6600</v>
      </c>
      <c r="Q1761" s="1">
        <f>COUNTIFS($P:$P, "&gt;" &amp; $P1761) + 1</f>
        <v>2196</v>
      </c>
      <c r="R1761" s="63">
        <f>(COUNTIFS($P:$P, "&gt;" &amp; $P1761) + 1) / (COUNTA($I:$I) - 1)</f>
        <v>0.43919999999999998</v>
      </c>
      <c r="S1761" s="23">
        <f>SUMIFS($P:$P, $Q:$Q, "&lt;" &amp; $Q1761)</f>
        <v>181425079</v>
      </c>
    </row>
    <row r="1762" spans="1:19" x14ac:dyDescent="0.25">
      <c r="A1762" s="1">
        <v>1757</v>
      </c>
      <c r="B1762" s="1" t="s">
        <v>2</v>
      </c>
      <c r="C1762" s="1" t="str">
        <f>IF($B1762 = "Production Item", _xlfn.XLOOKUP($A1762, 'Instrument Table'!$J:$J, 'Instrument Table'!$B:$B, $C1761), IF($B1762 = "Service Item", _xlfn.XLOOKUP($A1762, 'Instrument Table'!$I:$I, 'Instrument Table'!$B:$B, $C1761), _xlfn.XLOOKUP($A1762, 'Instrument Table'!$H:$H, 'Instrument Table'!$B:$B, $C1761)))</f>
        <v>Clarinet</v>
      </c>
      <c r="D1762" s="1" t="str">
        <f>VLOOKUP($C1762, 'Instrument Table'!$B:$C, 2, FALSE)</f>
        <v>Woodwinds</v>
      </c>
      <c r="E1762" s="1">
        <f t="shared" si="162"/>
        <v>1</v>
      </c>
      <c r="F1762" s="1">
        <f>_xlfn.XLOOKUP($C1762, 'Instrument Table'!$B:$B, 'Instrument Table'!$A:$A, "")</f>
        <v>30</v>
      </c>
      <c r="G1762" s="1" t="str">
        <f>TEXT(IF($B1762 = "Retail Item", IF((ROW($A1762) - 4504 - _xlfn.XMATCH($C1762, $C$4506:$C$5005, 0, 1)) &lt;= VLOOKUP($C1762, 'Instrument Table'!$B:$D, 3, FALSE), ROW($A1762) - 4504 - _xlfn.XMATCH($C1762, $C$4506:$C$5005, 0, 1), 0), 0), "00")</f>
        <v>00</v>
      </c>
      <c r="H1762" s="1" t="str">
        <f t="shared" si="163"/>
        <v>006</v>
      </c>
      <c r="I1762" s="1" t="str">
        <f t="shared" si="164"/>
        <v>13000-006</v>
      </c>
      <c r="J1762" s="1" t="str">
        <f t="shared" si="165"/>
        <v>Clarinet production item #006</v>
      </c>
      <c r="K1762" s="1" t="str">
        <f>IF(SUM(COUNTIFS(I:I, I1762)) &gt; 1, "DUPLICATE", "UNIQUE")</f>
        <v>UNIQUE</v>
      </c>
      <c r="L1762" s="18">
        <v>1</v>
      </c>
      <c r="M1762" s="28">
        <v>98</v>
      </c>
      <c r="N1762" s="6">
        <v>225</v>
      </c>
      <c r="O1762" s="30">
        <f t="shared" si="166"/>
        <v>98</v>
      </c>
      <c r="P1762" s="30">
        <f t="shared" si="167"/>
        <v>22050</v>
      </c>
      <c r="Q1762" s="1">
        <f>COUNTIFS($P:$P, "&gt;" &amp; $P1762) + 1</f>
        <v>947</v>
      </c>
      <c r="R1762" s="63">
        <f>(COUNTIFS($P:$P, "&gt;" &amp; $P1762) + 1) / (COUNTA($I:$I) - 1)</f>
        <v>0.18940000000000001</v>
      </c>
      <c r="S1762" s="23">
        <f>SUMIFS($P:$P, $Q:$Q, "&lt;" &amp; $Q1762)</f>
        <v>165343282</v>
      </c>
    </row>
    <row r="1763" spans="1:19" x14ac:dyDescent="0.25">
      <c r="A1763" s="1">
        <v>1758</v>
      </c>
      <c r="B1763" s="1" t="s">
        <v>2</v>
      </c>
      <c r="C1763" s="1" t="str">
        <f>IF($B1763 = "Production Item", _xlfn.XLOOKUP($A1763, 'Instrument Table'!$J:$J, 'Instrument Table'!$B:$B, $C1762), IF($B1763 = "Service Item", _xlfn.XLOOKUP($A1763, 'Instrument Table'!$I:$I, 'Instrument Table'!$B:$B, $C1762), _xlfn.XLOOKUP($A1763, 'Instrument Table'!$H:$H, 'Instrument Table'!$B:$B, $C1762)))</f>
        <v>Clarinet</v>
      </c>
      <c r="D1763" s="1" t="str">
        <f>VLOOKUP($C1763, 'Instrument Table'!$B:$C, 2, FALSE)</f>
        <v>Woodwinds</v>
      </c>
      <c r="E1763" s="1">
        <f t="shared" si="162"/>
        <v>1</v>
      </c>
      <c r="F1763" s="1">
        <f>_xlfn.XLOOKUP($C1763, 'Instrument Table'!$B:$B, 'Instrument Table'!$A:$A, "")</f>
        <v>30</v>
      </c>
      <c r="G1763" s="1" t="str">
        <f>TEXT(IF($B1763 = "Retail Item", IF((ROW($A1763) - 4504 - _xlfn.XMATCH($C1763, $C$4506:$C$5005, 0, 1)) &lt;= VLOOKUP($C1763, 'Instrument Table'!$B:$D, 3, FALSE), ROW($A1763) - 4504 - _xlfn.XMATCH($C1763, $C$4506:$C$5005, 0, 1), 0), 0), "00")</f>
        <v>00</v>
      </c>
      <c r="H1763" s="1" t="str">
        <f t="shared" si="163"/>
        <v>007</v>
      </c>
      <c r="I1763" s="1" t="str">
        <f t="shared" si="164"/>
        <v>13000-007</v>
      </c>
      <c r="J1763" s="1" t="str">
        <f t="shared" si="165"/>
        <v>Clarinet production item #007</v>
      </c>
      <c r="K1763" s="1" t="str">
        <f>IF(SUM(COUNTIFS(I:I, I1763)) &gt; 1, "DUPLICATE", "UNIQUE")</f>
        <v>UNIQUE</v>
      </c>
      <c r="L1763" s="18">
        <v>1</v>
      </c>
      <c r="M1763" s="28">
        <v>13</v>
      </c>
      <c r="N1763" s="6">
        <v>0</v>
      </c>
      <c r="O1763" s="30">
        <f t="shared" si="166"/>
        <v>13</v>
      </c>
      <c r="P1763" s="30">
        <f t="shared" si="167"/>
        <v>0</v>
      </c>
      <c r="Q1763" s="1">
        <f>COUNTIFS($P:$P, "&gt;" &amp; $P1763) + 1</f>
        <v>4746</v>
      </c>
      <c r="R1763" s="63">
        <f>(COUNTIFS($P:$P, "&gt;" &amp; $P1763) + 1) / (COUNTA($I:$I) - 1)</f>
        <v>0.94920000000000004</v>
      </c>
      <c r="S1763" s="23">
        <f>SUMIFS($P:$P, $Q:$Q, "&lt;" &amp; $Q1763)</f>
        <v>186547861</v>
      </c>
    </row>
    <row r="1764" spans="1:19" x14ac:dyDescent="0.25">
      <c r="A1764" s="1">
        <v>1759</v>
      </c>
      <c r="B1764" s="1" t="s">
        <v>2</v>
      </c>
      <c r="C1764" s="1" t="str">
        <f>IF($B1764 = "Production Item", _xlfn.XLOOKUP($A1764, 'Instrument Table'!$J:$J, 'Instrument Table'!$B:$B, $C1763), IF($B1764 = "Service Item", _xlfn.XLOOKUP($A1764, 'Instrument Table'!$I:$I, 'Instrument Table'!$B:$B, $C1763), _xlfn.XLOOKUP($A1764, 'Instrument Table'!$H:$H, 'Instrument Table'!$B:$B, $C1763)))</f>
        <v>Clarinet</v>
      </c>
      <c r="D1764" s="1" t="str">
        <f>VLOOKUP($C1764, 'Instrument Table'!$B:$C, 2, FALSE)</f>
        <v>Woodwinds</v>
      </c>
      <c r="E1764" s="1">
        <f t="shared" si="162"/>
        <v>1</v>
      </c>
      <c r="F1764" s="1">
        <f>_xlfn.XLOOKUP($C1764, 'Instrument Table'!$B:$B, 'Instrument Table'!$A:$A, "")</f>
        <v>30</v>
      </c>
      <c r="G1764" s="1" t="str">
        <f>TEXT(IF($B1764 = "Retail Item", IF((ROW($A1764) - 4504 - _xlfn.XMATCH($C1764, $C$4506:$C$5005, 0, 1)) &lt;= VLOOKUP($C1764, 'Instrument Table'!$B:$D, 3, FALSE), ROW($A1764) - 4504 - _xlfn.XMATCH($C1764, $C$4506:$C$5005, 0, 1), 0), 0), "00")</f>
        <v>00</v>
      </c>
      <c r="H1764" s="1" t="str">
        <f t="shared" si="163"/>
        <v>008</v>
      </c>
      <c r="I1764" s="1" t="str">
        <f t="shared" si="164"/>
        <v>13000-008</v>
      </c>
      <c r="J1764" s="1" t="str">
        <f t="shared" si="165"/>
        <v>Clarinet production item #008</v>
      </c>
      <c r="K1764" s="1" t="str">
        <f>IF(SUM(COUNTIFS(I:I, I1764)) &gt; 1, "DUPLICATE", "UNIQUE")</f>
        <v>UNIQUE</v>
      </c>
      <c r="L1764" s="18">
        <v>0</v>
      </c>
      <c r="M1764" s="28">
        <v>45</v>
      </c>
      <c r="N1764" s="6">
        <v>256</v>
      </c>
      <c r="O1764" s="30">
        <f t="shared" si="166"/>
        <v>0</v>
      </c>
      <c r="P1764" s="30">
        <f t="shared" si="167"/>
        <v>11520</v>
      </c>
      <c r="Q1764" s="1">
        <f>COUNTIFS($P:$P, "&gt;" &amp; $P1764) + 1</f>
        <v>1634</v>
      </c>
      <c r="R1764" s="63">
        <f>(COUNTIFS($P:$P, "&gt;" &amp; $P1764) + 1) / (COUNTA($I:$I) - 1)</f>
        <v>0.32679999999999998</v>
      </c>
      <c r="S1764" s="23">
        <f>SUMIFS($P:$P, $Q:$Q, "&lt;" &amp; $Q1764)</f>
        <v>176474475</v>
      </c>
    </row>
    <row r="1765" spans="1:19" x14ac:dyDescent="0.25">
      <c r="A1765" s="1">
        <v>1760</v>
      </c>
      <c r="B1765" s="1" t="s">
        <v>2</v>
      </c>
      <c r="C1765" s="1" t="str">
        <f>IF($B1765 = "Production Item", _xlfn.XLOOKUP($A1765, 'Instrument Table'!$J:$J, 'Instrument Table'!$B:$B, $C1764), IF($B1765 = "Service Item", _xlfn.XLOOKUP($A1765, 'Instrument Table'!$I:$I, 'Instrument Table'!$B:$B, $C1764), _xlfn.XLOOKUP($A1765, 'Instrument Table'!$H:$H, 'Instrument Table'!$B:$B, $C1764)))</f>
        <v>Clarinet</v>
      </c>
      <c r="D1765" s="1" t="str">
        <f>VLOOKUP($C1765, 'Instrument Table'!$B:$C, 2, FALSE)</f>
        <v>Woodwinds</v>
      </c>
      <c r="E1765" s="1">
        <f t="shared" si="162"/>
        <v>1</v>
      </c>
      <c r="F1765" s="1">
        <f>_xlfn.XLOOKUP($C1765, 'Instrument Table'!$B:$B, 'Instrument Table'!$A:$A, "")</f>
        <v>30</v>
      </c>
      <c r="G1765" s="1" t="str">
        <f>TEXT(IF($B1765 = "Retail Item", IF((ROW($A1765) - 4504 - _xlfn.XMATCH($C1765, $C$4506:$C$5005, 0, 1)) &lt;= VLOOKUP($C1765, 'Instrument Table'!$B:$D, 3, FALSE), ROW($A1765) - 4504 - _xlfn.XMATCH($C1765, $C$4506:$C$5005, 0, 1), 0), 0), "00")</f>
        <v>00</v>
      </c>
      <c r="H1765" s="1" t="str">
        <f t="shared" si="163"/>
        <v>009</v>
      </c>
      <c r="I1765" s="1" t="str">
        <f t="shared" si="164"/>
        <v>13000-009</v>
      </c>
      <c r="J1765" s="1" t="str">
        <f t="shared" si="165"/>
        <v>Clarinet production item #009</v>
      </c>
      <c r="K1765" s="1" t="str">
        <f>IF(SUM(COUNTIFS(I:I, I1765)) &gt; 1, "DUPLICATE", "UNIQUE")</f>
        <v>UNIQUE</v>
      </c>
      <c r="L1765" s="18">
        <v>16</v>
      </c>
      <c r="M1765" s="28">
        <v>98</v>
      </c>
      <c r="N1765" s="6">
        <v>256</v>
      </c>
      <c r="O1765" s="30">
        <f t="shared" si="166"/>
        <v>1568</v>
      </c>
      <c r="P1765" s="30">
        <f t="shared" si="167"/>
        <v>25088</v>
      </c>
      <c r="Q1765" s="1">
        <f>COUNTIFS($P:$P, "&gt;" &amp; $P1765) + 1</f>
        <v>827</v>
      </c>
      <c r="R1765" s="63">
        <f>(COUNTIFS($P:$P, "&gt;" &amp; $P1765) + 1) / (COUNTA($I:$I) - 1)</f>
        <v>0.16539999999999999</v>
      </c>
      <c r="S1765" s="23">
        <f>SUMIFS($P:$P, $Q:$Q, "&lt;" &amp; $Q1765)</f>
        <v>162514295</v>
      </c>
    </row>
    <row r="1766" spans="1:19" x14ac:dyDescent="0.25">
      <c r="A1766" s="1">
        <v>1761</v>
      </c>
      <c r="B1766" s="1" t="s">
        <v>2</v>
      </c>
      <c r="C1766" s="1" t="str">
        <f>IF($B1766 = "Production Item", _xlfn.XLOOKUP($A1766, 'Instrument Table'!$J:$J, 'Instrument Table'!$B:$B, $C1765), IF($B1766 = "Service Item", _xlfn.XLOOKUP($A1766, 'Instrument Table'!$I:$I, 'Instrument Table'!$B:$B, $C1765), _xlfn.XLOOKUP($A1766, 'Instrument Table'!$H:$H, 'Instrument Table'!$B:$B, $C1765)))</f>
        <v>Clarinet</v>
      </c>
      <c r="D1766" s="1" t="str">
        <f>VLOOKUP($C1766, 'Instrument Table'!$B:$C, 2, FALSE)</f>
        <v>Woodwinds</v>
      </c>
      <c r="E1766" s="1">
        <f t="shared" si="162"/>
        <v>1</v>
      </c>
      <c r="F1766" s="1">
        <f>_xlfn.XLOOKUP($C1766, 'Instrument Table'!$B:$B, 'Instrument Table'!$A:$A, "")</f>
        <v>30</v>
      </c>
      <c r="G1766" s="1" t="str">
        <f>TEXT(IF($B1766 = "Retail Item", IF((ROW($A1766) - 4504 - _xlfn.XMATCH($C1766, $C$4506:$C$5005, 0, 1)) &lt;= VLOOKUP($C1766, 'Instrument Table'!$B:$D, 3, FALSE), ROW($A1766) - 4504 - _xlfn.XMATCH($C1766, $C$4506:$C$5005, 0, 1), 0), 0), "00")</f>
        <v>00</v>
      </c>
      <c r="H1766" s="1" t="str">
        <f t="shared" si="163"/>
        <v>010</v>
      </c>
      <c r="I1766" s="1" t="str">
        <f t="shared" si="164"/>
        <v>13000-010</v>
      </c>
      <c r="J1766" s="1" t="str">
        <f t="shared" si="165"/>
        <v>Clarinet production item #010</v>
      </c>
      <c r="K1766" s="1" t="str">
        <f>IF(SUM(COUNTIFS(I:I, I1766)) &gt; 1, "DUPLICATE", "UNIQUE")</f>
        <v>UNIQUE</v>
      </c>
      <c r="L1766" s="18">
        <v>0</v>
      </c>
      <c r="M1766" s="28">
        <v>61</v>
      </c>
      <c r="N1766" s="6">
        <v>289</v>
      </c>
      <c r="O1766" s="30">
        <f t="shared" si="166"/>
        <v>0</v>
      </c>
      <c r="P1766" s="30">
        <f t="shared" si="167"/>
        <v>17629</v>
      </c>
      <c r="Q1766" s="1">
        <f>COUNTIFS($P:$P, "&gt;" &amp; $P1766) + 1</f>
        <v>1179</v>
      </c>
      <c r="R1766" s="63">
        <f>(COUNTIFS($P:$P, "&gt;" &amp; $P1766) + 1) / (COUNTA($I:$I) - 1)</f>
        <v>0.23580000000000001</v>
      </c>
      <c r="S1766" s="23">
        <f>SUMIFS($P:$P, $Q:$Q, "&lt;" &amp; $Q1766)</f>
        <v>169958358</v>
      </c>
    </row>
    <row r="1767" spans="1:19" x14ac:dyDescent="0.25">
      <c r="A1767" s="1">
        <v>1762</v>
      </c>
      <c r="B1767" s="1" t="s">
        <v>2</v>
      </c>
      <c r="C1767" s="1" t="str">
        <f>IF($B1767 = "Production Item", _xlfn.XLOOKUP($A1767, 'Instrument Table'!$J:$J, 'Instrument Table'!$B:$B, $C1766), IF($B1767 = "Service Item", _xlfn.XLOOKUP($A1767, 'Instrument Table'!$I:$I, 'Instrument Table'!$B:$B, $C1766), _xlfn.XLOOKUP($A1767, 'Instrument Table'!$H:$H, 'Instrument Table'!$B:$B, $C1766)))</f>
        <v>Clarinet</v>
      </c>
      <c r="D1767" s="1" t="str">
        <f>VLOOKUP($C1767, 'Instrument Table'!$B:$C, 2, FALSE)</f>
        <v>Woodwinds</v>
      </c>
      <c r="E1767" s="1">
        <f t="shared" si="162"/>
        <v>1</v>
      </c>
      <c r="F1767" s="1">
        <f>_xlfn.XLOOKUP($C1767, 'Instrument Table'!$B:$B, 'Instrument Table'!$A:$A, "")</f>
        <v>30</v>
      </c>
      <c r="G1767" s="1" t="str">
        <f>TEXT(IF($B1767 = "Retail Item", IF((ROW($A1767) - 4504 - _xlfn.XMATCH($C1767, $C$4506:$C$5005, 0, 1)) &lt;= VLOOKUP($C1767, 'Instrument Table'!$B:$D, 3, FALSE), ROW($A1767) - 4504 - _xlfn.XMATCH($C1767, $C$4506:$C$5005, 0, 1), 0), 0), "00")</f>
        <v>00</v>
      </c>
      <c r="H1767" s="1" t="str">
        <f t="shared" si="163"/>
        <v>011</v>
      </c>
      <c r="I1767" s="1" t="str">
        <f t="shared" si="164"/>
        <v>13000-011</v>
      </c>
      <c r="J1767" s="1" t="str">
        <f t="shared" si="165"/>
        <v>Clarinet production item #011</v>
      </c>
      <c r="K1767" s="1" t="str">
        <f>IF(SUM(COUNTIFS(I:I, I1767)) &gt; 1, "DUPLICATE", "UNIQUE")</f>
        <v>UNIQUE</v>
      </c>
      <c r="L1767" s="18">
        <v>1</v>
      </c>
      <c r="M1767" s="28">
        <v>75</v>
      </c>
      <c r="N1767" s="6">
        <v>81</v>
      </c>
      <c r="O1767" s="30">
        <f t="shared" si="166"/>
        <v>75</v>
      </c>
      <c r="P1767" s="30">
        <f t="shared" si="167"/>
        <v>6075</v>
      </c>
      <c r="Q1767" s="1">
        <f>COUNTIFS($P:$P, "&gt;" &amp; $P1767) + 1</f>
        <v>2248</v>
      </c>
      <c r="R1767" s="63">
        <f>(COUNTIFS($P:$P, "&gt;" &amp; $P1767) + 1) / (COUNTA($I:$I) - 1)</f>
        <v>0.4496</v>
      </c>
      <c r="S1767" s="23">
        <f>SUMIFS($P:$P, $Q:$Q, "&lt;" &amp; $Q1767)</f>
        <v>181754966</v>
      </c>
    </row>
    <row r="1768" spans="1:19" x14ac:dyDescent="0.25">
      <c r="A1768" s="1">
        <v>1763</v>
      </c>
      <c r="B1768" s="1" t="s">
        <v>2</v>
      </c>
      <c r="C1768" s="1" t="str">
        <f>IF($B1768 = "Production Item", _xlfn.XLOOKUP($A1768, 'Instrument Table'!$J:$J, 'Instrument Table'!$B:$B, $C1767), IF($B1768 = "Service Item", _xlfn.XLOOKUP($A1768, 'Instrument Table'!$I:$I, 'Instrument Table'!$B:$B, $C1767), _xlfn.XLOOKUP($A1768, 'Instrument Table'!$H:$H, 'Instrument Table'!$B:$B, $C1767)))</f>
        <v>Clarinet</v>
      </c>
      <c r="D1768" s="1" t="str">
        <f>VLOOKUP($C1768, 'Instrument Table'!$B:$C, 2, FALSE)</f>
        <v>Woodwinds</v>
      </c>
      <c r="E1768" s="1">
        <f t="shared" si="162"/>
        <v>1</v>
      </c>
      <c r="F1768" s="1">
        <f>_xlfn.XLOOKUP($C1768, 'Instrument Table'!$B:$B, 'Instrument Table'!$A:$A, "")</f>
        <v>30</v>
      </c>
      <c r="G1768" s="1" t="str">
        <f>TEXT(IF($B1768 = "Retail Item", IF((ROW($A1768) - 4504 - _xlfn.XMATCH($C1768, $C$4506:$C$5005, 0, 1)) &lt;= VLOOKUP($C1768, 'Instrument Table'!$B:$D, 3, FALSE), ROW($A1768) - 4504 - _xlfn.XMATCH($C1768, $C$4506:$C$5005, 0, 1), 0), 0), "00")</f>
        <v>00</v>
      </c>
      <c r="H1768" s="1" t="str">
        <f t="shared" si="163"/>
        <v>012</v>
      </c>
      <c r="I1768" s="1" t="str">
        <f t="shared" si="164"/>
        <v>13000-012</v>
      </c>
      <c r="J1768" s="1" t="str">
        <f t="shared" si="165"/>
        <v>Clarinet production item #012</v>
      </c>
      <c r="K1768" s="1" t="str">
        <f>IF(SUM(COUNTIFS(I:I, I1768)) &gt; 1, "DUPLICATE", "UNIQUE")</f>
        <v>UNIQUE</v>
      </c>
      <c r="L1768" s="18">
        <v>0</v>
      </c>
      <c r="M1768" s="28">
        <v>15</v>
      </c>
      <c r="N1768" s="6">
        <v>196</v>
      </c>
      <c r="O1768" s="30">
        <f t="shared" si="166"/>
        <v>0</v>
      </c>
      <c r="P1768" s="30">
        <f t="shared" si="167"/>
        <v>2940</v>
      </c>
      <c r="Q1768" s="1">
        <f>COUNTIFS($P:$P, "&gt;" &amp; $P1768) + 1</f>
        <v>2917</v>
      </c>
      <c r="R1768" s="63">
        <f>(COUNTIFS($P:$P, "&gt;" &amp; $P1768) + 1) / (COUNTA($I:$I) - 1)</f>
        <v>0.58340000000000003</v>
      </c>
      <c r="S1768" s="23">
        <f>SUMIFS($P:$P, $Q:$Q, "&lt;" &amp; $Q1768)</f>
        <v>184699259</v>
      </c>
    </row>
    <row r="1769" spans="1:19" x14ac:dyDescent="0.25">
      <c r="A1769" s="1">
        <v>1764</v>
      </c>
      <c r="B1769" s="1" t="s">
        <v>2</v>
      </c>
      <c r="C1769" s="1" t="str">
        <f>IF($B1769 = "Production Item", _xlfn.XLOOKUP($A1769, 'Instrument Table'!$J:$J, 'Instrument Table'!$B:$B, $C1768), IF($B1769 = "Service Item", _xlfn.XLOOKUP($A1769, 'Instrument Table'!$I:$I, 'Instrument Table'!$B:$B, $C1768), _xlfn.XLOOKUP($A1769, 'Instrument Table'!$H:$H, 'Instrument Table'!$B:$B, $C1768)))</f>
        <v>Clarinet</v>
      </c>
      <c r="D1769" s="1" t="str">
        <f>VLOOKUP($C1769, 'Instrument Table'!$B:$C, 2, FALSE)</f>
        <v>Woodwinds</v>
      </c>
      <c r="E1769" s="1">
        <f t="shared" si="162"/>
        <v>1</v>
      </c>
      <c r="F1769" s="1">
        <f>_xlfn.XLOOKUP($C1769, 'Instrument Table'!$B:$B, 'Instrument Table'!$A:$A, "")</f>
        <v>30</v>
      </c>
      <c r="G1769" s="1" t="str">
        <f>TEXT(IF($B1769 = "Retail Item", IF((ROW($A1769) - 4504 - _xlfn.XMATCH($C1769, $C$4506:$C$5005, 0, 1)) &lt;= VLOOKUP($C1769, 'Instrument Table'!$B:$D, 3, FALSE), ROW($A1769) - 4504 - _xlfn.XMATCH($C1769, $C$4506:$C$5005, 0, 1), 0), 0), "00")</f>
        <v>00</v>
      </c>
      <c r="H1769" s="1" t="str">
        <f t="shared" si="163"/>
        <v>013</v>
      </c>
      <c r="I1769" s="1" t="str">
        <f t="shared" si="164"/>
        <v>13000-013</v>
      </c>
      <c r="J1769" s="1" t="str">
        <f t="shared" si="165"/>
        <v>Clarinet production item #013</v>
      </c>
      <c r="K1769" s="1" t="str">
        <f>IF(SUM(COUNTIFS(I:I, I1769)) &gt; 1, "DUPLICATE", "UNIQUE")</f>
        <v>UNIQUE</v>
      </c>
      <c r="L1769" s="18">
        <v>2</v>
      </c>
      <c r="M1769" s="28">
        <v>14</v>
      </c>
      <c r="N1769" s="6">
        <v>225</v>
      </c>
      <c r="O1769" s="30">
        <f t="shared" si="166"/>
        <v>28</v>
      </c>
      <c r="P1769" s="30">
        <f t="shared" si="167"/>
        <v>3150</v>
      </c>
      <c r="Q1769" s="1">
        <f>COUNTIFS($P:$P, "&gt;" &amp; $P1769) + 1</f>
        <v>2869</v>
      </c>
      <c r="R1769" s="63">
        <f>(COUNTIFS($P:$P, "&gt;" &amp; $P1769) + 1) / (COUNTA($I:$I) - 1)</f>
        <v>0.57379999999999998</v>
      </c>
      <c r="S1769" s="23">
        <f>SUMIFS($P:$P, $Q:$Q, "&lt;" &amp; $Q1769)</f>
        <v>184552484</v>
      </c>
    </row>
    <row r="1770" spans="1:19" x14ac:dyDescent="0.25">
      <c r="A1770" s="1">
        <v>1765</v>
      </c>
      <c r="B1770" s="1" t="s">
        <v>2</v>
      </c>
      <c r="C1770" s="1" t="str">
        <f>IF($B1770 = "Production Item", _xlfn.XLOOKUP($A1770, 'Instrument Table'!$J:$J, 'Instrument Table'!$B:$B, $C1769), IF($B1770 = "Service Item", _xlfn.XLOOKUP($A1770, 'Instrument Table'!$I:$I, 'Instrument Table'!$B:$B, $C1769), _xlfn.XLOOKUP($A1770, 'Instrument Table'!$H:$H, 'Instrument Table'!$B:$B, $C1769)))</f>
        <v>Clarinet</v>
      </c>
      <c r="D1770" s="1" t="str">
        <f>VLOOKUP($C1770, 'Instrument Table'!$B:$C, 2, FALSE)</f>
        <v>Woodwinds</v>
      </c>
      <c r="E1770" s="1">
        <f t="shared" si="162"/>
        <v>1</v>
      </c>
      <c r="F1770" s="1">
        <f>_xlfn.XLOOKUP($C1770, 'Instrument Table'!$B:$B, 'Instrument Table'!$A:$A, "")</f>
        <v>30</v>
      </c>
      <c r="G1770" s="1" t="str">
        <f>TEXT(IF($B1770 = "Retail Item", IF((ROW($A1770) - 4504 - _xlfn.XMATCH($C1770, $C$4506:$C$5005, 0, 1)) &lt;= VLOOKUP($C1770, 'Instrument Table'!$B:$D, 3, FALSE), ROW($A1770) - 4504 - _xlfn.XMATCH($C1770, $C$4506:$C$5005, 0, 1), 0), 0), "00")</f>
        <v>00</v>
      </c>
      <c r="H1770" s="1" t="str">
        <f t="shared" si="163"/>
        <v>014</v>
      </c>
      <c r="I1770" s="1" t="str">
        <f t="shared" si="164"/>
        <v>13000-014</v>
      </c>
      <c r="J1770" s="1" t="str">
        <f t="shared" si="165"/>
        <v>Clarinet production item #014</v>
      </c>
      <c r="K1770" s="1" t="str">
        <f>IF(SUM(COUNTIFS(I:I, I1770)) &gt; 1, "DUPLICATE", "UNIQUE")</f>
        <v>UNIQUE</v>
      </c>
      <c r="L1770" s="18">
        <v>0</v>
      </c>
      <c r="M1770" s="28">
        <v>40</v>
      </c>
      <c r="N1770" s="6">
        <v>49</v>
      </c>
      <c r="O1770" s="30">
        <f t="shared" si="166"/>
        <v>0</v>
      </c>
      <c r="P1770" s="30">
        <f t="shared" si="167"/>
        <v>1960</v>
      </c>
      <c r="Q1770" s="1">
        <f>COUNTIFS($P:$P, "&gt;" &amp; $P1770) + 1</f>
        <v>3270</v>
      </c>
      <c r="R1770" s="63">
        <f>(COUNTIFS($P:$P, "&gt;" &amp; $P1770) + 1) / (COUNTA($I:$I) - 1)</f>
        <v>0.65400000000000003</v>
      </c>
      <c r="S1770" s="23">
        <f>SUMIFS($P:$P, $Q:$Q, "&lt;" &amp; $Q1770)</f>
        <v>185551060</v>
      </c>
    </row>
    <row r="1771" spans="1:19" x14ac:dyDescent="0.25">
      <c r="A1771" s="1">
        <v>1766</v>
      </c>
      <c r="B1771" s="1" t="s">
        <v>2</v>
      </c>
      <c r="C1771" s="1" t="str">
        <f>IF($B1771 = "Production Item", _xlfn.XLOOKUP($A1771, 'Instrument Table'!$J:$J, 'Instrument Table'!$B:$B, $C1770), IF($B1771 = "Service Item", _xlfn.XLOOKUP($A1771, 'Instrument Table'!$I:$I, 'Instrument Table'!$B:$B, $C1770), _xlfn.XLOOKUP($A1771, 'Instrument Table'!$H:$H, 'Instrument Table'!$B:$B, $C1770)))</f>
        <v>Clarinet</v>
      </c>
      <c r="D1771" s="1" t="str">
        <f>VLOOKUP($C1771, 'Instrument Table'!$B:$C, 2, FALSE)</f>
        <v>Woodwinds</v>
      </c>
      <c r="E1771" s="1">
        <f t="shared" si="162"/>
        <v>1</v>
      </c>
      <c r="F1771" s="1">
        <f>_xlfn.XLOOKUP($C1771, 'Instrument Table'!$B:$B, 'Instrument Table'!$A:$A, "")</f>
        <v>30</v>
      </c>
      <c r="G1771" s="1" t="str">
        <f>TEXT(IF($B1771 = "Retail Item", IF((ROW($A1771) - 4504 - _xlfn.XMATCH($C1771, $C$4506:$C$5005, 0, 1)) &lt;= VLOOKUP($C1771, 'Instrument Table'!$B:$D, 3, FALSE), ROW($A1771) - 4504 - _xlfn.XMATCH($C1771, $C$4506:$C$5005, 0, 1), 0), 0), "00")</f>
        <v>00</v>
      </c>
      <c r="H1771" s="1" t="str">
        <f t="shared" si="163"/>
        <v>015</v>
      </c>
      <c r="I1771" s="1" t="str">
        <f t="shared" si="164"/>
        <v>13000-015</v>
      </c>
      <c r="J1771" s="1" t="str">
        <f t="shared" si="165"/>
        <v>Clarinet production item #015</v>
      </c>
      <c r="K1771" s="1" t="str">
        <f>IF(SUM(COUNTIFS(I:I, I1771)) &gt; 1, "DUPLICATE", "UNIQUE")</f>
        <v>UNIQUE</v>
      </c>
      <c r="L1771" s="18">
        <v>16</v>
      </c>
      <c r="M1771" s="28">
        <v>93</v>
      </c>
      <c r="N1771" s="6">
        <v>196</v>
      </c>
      <c r="O1771" s="30">
        <f t="shared" si="166"/>
        <v>1488</v>
      </c>
      <c r="P1771" s="30">
        <f t="shared" si="167"/>
        <v>18228</v>
      </c>
      <c r="Q1771" s="1">
        <f>COUNTIFS($P:$P, "&gt;" &amp; $P1771) + 1</f>
        <v>1149</v>
      </c>
      <c r="R1771" s="63">
        <f>(COUNTIFS($P:$P, "&gt;" &amp; $P1771) + 1) / (COUNTA($I:$I) - 1)</f>
        <v>0.2298</v>
      </c>
      <c r="S1771" s="23">
        <f>SUMIFS($P:$P, $Q:$Q, "&lt;" &amp; $Q1771)</f>
        <v>169418319</v>
      </c>
    </row>
    <row r="1772" spans="1:19" x14ac:dyDescent="0.25">
      <c r="A1772" s="1">
        <v>1767</v>
      </c>
      <c r="B1772" s="1" t="s">
        <v>2</v>
      </c>
      <c r="C1772" s="1" t="str">
        <f>IF($B1772 = "Production Item", _xlfn.XLOOKUP($A1772, 'Instrument Table'!$J:$J, 'Instrument Table'!$B:$B, $C1771), IF($B1772 = "Service Item", _xlfn.XLOOKUP($A1772, 'Instrument Table'!$I:$I, 'Instrument Table'!$B:$B, $C1771), _xlfn.XLOOKUP($A1772, 'Instrument Table'!$H:$H, 'Instrument Table'!$B:$B, $C1771)))</f>
        <v>Clarinet</v>
      </c>
      <c r="D1772" s="1" t="str">
        <f>VLOOKUP($C1772, 'Instrument Table'!$B:$C, 2, FALSE)</f>
        <v>Woodwinds</v>
      </c>
      <c r="E1772" s="1">
        <f t="shared" si="162"/>
        <v>1</v>
      </c>
      <c r="F1772" s="1">
        <f>_xlfn.XLOOKUP($C1772, 'Instrument Table'!$B:$B, 'Instrument Table'!$A:$A, "")</f>
        <v>30</v>
      </c>
      <c r="G1772" s="1" t="str">
        <f>TEXT(IF($B1772 = "Retail Item", IF((ROW($A1772) - 4504 - _xlfn.XMATCH($C1772, $C$4506:$C$5005, 0, 1)) &lt;= VLOOKUP($C1772, 'Instrument Table'!$B:$D, 3, FALSE), ROW($A1772) - 4504 - _xlfn.XMATCH($C1772, $C$4506:$C$5005, 0, 1), 0), 0), "00")</f>
        <v>00</v>
      </c>
      <c r="H1772" s="1" t="str">
        <f t="shared" si="163"/>
        <v>016</v>
      </c>
      <c r="I1772" s="1" t="str">
        <f t="shared" si="164"/>
        <v>13000-016</v>
      </c>
      <c r="J1772" s="1" t="str">
        <f t="shared" si="165"/>
        <v>Clarinet production item #016</v>
      </c>
      <c r="K1772" s="1" t="str">
        <f>IF(SUM(COUNTIFS(I:I, I1772)) &gt; 1, "DUPLICATE", "UNIQUE")</f>
        <v>UNIQUE</v>
      </c>
      <c r="L1772" s="18">
        <v>1</v>
      </c>
      <c r="M1772" s="28">
        <v>21</v>
      </c>
      <c r="N1772" s="6">
        <v>1</v>
      </c>
      <c r="O1772" s="30">
        <f t="shared" si="166"/>
        <v>21</v>
      </c>
      <c r="P1772" s="30">
        <f t="shared" si="167"/>
        <v>21</v>
      </c>
      <c r="Q1772" s="1">
        <f>COUNTIFS($P:$P, "&gt;" &amp; $P1772) + 1</f>
        <v>4686</v>
      </c>
      <c r="R1772" s="63">
        <f>(COUNTIFS($P:$P, "&gt;" &amp; $P1772) + 1) / (COUNTA($I:$I) - 1)</f>
        <v>0.93720000000000003</v>
      </c>
      <c r="S1772" s="23">
        <f>SUMIFS($P:$P, $Q:$Q, "&lt;" &amp; $Q1772)</f>
        <v>186547115</v>
      </c>
    </row>
    <row r="1773" spans="1:19" x14ac:dyDescent="0.25">
      <c r="A1773" s="1">
        <v>1768</v>
      </c>
      <c r="B1773" s="1" t="s">
        <v>2</v>
      </c>
      <c r="C1773" s="1" t="str">
        <f>IF($B1773 = "Production Item", _xlfn.XLOOKUP($A1773, 'Instrument Table'!$J:$J, 'Instrument Table'!$B:$B, $C1772), IF($B1773 = "Service Item", _xlfn.XLOOKUP($A1773, 'Instrument Table'!$I:$I, 'Instrument Table'!$B:$B, $C1772), _xlfn.XLOOKUP($A1773, 'Instrument Table'!$H:$H, 'Instrument Table'!$B:$B, $C1772)))</f>
        <v>Clarinet</v>
      </c>
      <c r="D1773" s="1" t="str">
        <f>VLOOKUP($C1773, 'Instrument Table'!$B:$C, 2, FALSE)</f>
        <v>Woodwinds</v>
      </c>
      <c r="E1773" s="1">
        <f t="shared" si="162"/>
        <v>1</v>
      </c>
      <c r="F1773" s="1">
        <f>_xlfn.XLOOKUP($C1773, 'Instrument Table'!$B:$B, 'Instrument Table'!$A:$A, "")</f>
        <v>30</v>
      </c>
      <c r="G1773" s="1" t="str">
        <f>TEXT(IF($B1773 = "Retail Item", IF((ROW($A1773) - 4504 - _xlfn.XMATCH($C1773, $C$4506:$C$5005, 0, 1)) &lt;= VLOOKUP($C1773, 'Instrument Table'!$B:$D, 3, FALSE), ROW($A1773) - 4504 - _xlfn.XMATCH($C1773, $C$4506:$C$5005, 0, 1), 0), 0), "00")</f>
        <v>00</v>
      </c>
      <c r="H1773" s="1" t="str">
        <f t="shared" si="163"/>
        <v>017</v>
      </c>
      <c r="I1773" s="1" t="str">
        <f t="shared" si="164"/>
        <v>13000-017</v>
      </c>
      <c r="J1773" s="1" t="str">
        <f t="shared" si="165"/>
        <v>Clarinet production item #017</v>
      </c>
      <c r="K1773" s="1" t="str">
        <f>IF(SUM(COUNTIFS(I:I, I1773)) &gt; 1, "DUPLICATE", "UNIQUE")</f>
        <v>UNIQUE</v>
      </c>
      <c r="L1773" s="18">
        <v>1</v>
      </c>
      <c r="M1773" s="28">
        <v>54</v>
      </c>
      <c r="N1773" s="6">
        <v>400</v>
      </c>
      <c r="O1773" s="30">
        <f t="shared" si="166"/>
        <v>54</v>
      </c>
      <c r="P1773" s="30">
        <f t="shared" si="167"/>
        <v>21600</v>
      </c>
      <c r="Q1773" s="1">
        <f>COUNTIFS($P:$P, "&gt;" &amp; $P1773) + 1</f>
        <v>977</v>
      </c>
      <c r="R1773" s="63">
        <f>(COUNTIFS($P:$P, "&gt;" &amp; $P1773) + 1) / (COUNTA($I:$I) - 1)</f>
        <v>0.19539999999999999</v>
      </c>
      <c r="S1773" s="23">
        <f>SUMIFS($P:$P, $Q:$Q, "&lt;" &amp; $Q1773)</f>
        <v>165999482</v>
      </c>
    </row>
    <row r="1774" spans="1:19" x14ac:dyDescent="0.25">
      <c r="A1774" s="1">
        <v>1769</v>
      </c>
      <c r="B1774" s="1" t="s">
        <v>2</v>
      </c>
      <c r="C1774" s="1" t="str">
        <f>IF($B1774 = "Production Item", _xlfn.XLOOKUP($A1774, 'Instrument Table'!$J:$J, 'Instrument Table'!$B:$B, $C1773), IF($B1774 = "Service Item", _xlfn.XLOOKUP($A1774, 'Instrument Table'!$I:$I, 'Instrument Table'!$B:$B, $C1773), _xlfn.XLOOKUP($A1774, 'Instrument Table'!$H:$H, 'Instrument Table'!$B:$B, $C1773)))</f>
        <v>Clarinet</v>
      </c>
      <c r="D1774" s="1" t="str">
        <f>VLOOKUP($C1774, 'Instrument Table'!$B:$C, 2, FALSE)</f>
        <v>Woodwinds</v>
      </c>
      <c r="E1774" s="1">
        <f t="shared" si="162"/>
        <v>1</v>
      </c>
      <c r="F1774" s="1">
        <f>_xlfn.XLOOKUP($C1774, 'Instrument Table'!$B:$B, 'Instrument Table'!$A:$A, "")</f>
        <v>30</v>
      </c>
      <c r="G1774" s="1" t="str">
        <f>TEXT(IF($B1774 = "Retail Item", IF((ROW($A1774) - 4504 - _xlfn.XMATCH($C1774, $C$4506:$C$5005, 0, 1)) &lt;= VLOOKUP($C1774, 'Instrument Table'!$B:$D, 3, FALSE), ROW($A1774) - 4504 - _xlfn.XMATCH($C1774, $C$4506:$C$5005, 0, 1), 0), 0), "00")</f>
        <v>00</v>
      </c>
      <c r="H1774" s="1" t="str">
        <f t="shared" si="163"/>
        <v>018</v>
      </c>
      <c r="I1774" s="1" t="str">
        <f t="shared" si="164"/>
        <v>13000-018</v>
      </c>
      <c r="J1774" s="1" t="str">
        <f t="shared" si="165"/>
        <v>Clarinet production item #018</v>
      </c>
      <c r="K1774" s="1" t="str">
        <f>IF(SUM(COUNTIFS(I:I, I1774)) &gt; 1, "DUPLICATE", "UNIQUE")</f>
        <v>UNIQUE</v>
      </c>
      <c r="L1774" s="18">
        <v>2</v>
      </c>
      <c r="M1774" s="28">
        <v>21</v>
      </c>
      <c r="N1774" s="6">
        <v>0</v>
      </c>
      <c r="O1774" s="30">
        <f t="shared" si="166"/>
        <v>42</v>
      </c>
      <c r="P1774" s="30">
        <f t="shared" si="167"/>
        <v>0</v>
      </c>
      <c r="Q1774" s="1">
        <f>COUNTIFS($P:$P, "&gt;" &amp; $P1774) + 1</f>
        <v>4746</v>
      </c>
      <c r="R1774" s="63">
        <f>(COUNTIFS($P:$P, "&gt;" &amp; $P1774) + 1) / (COUNTA($I:$I) - 1)</f>
        <v>0.94920000000000004</v>
      </c>
      <c r="S1774" s="23">
        <f>SUMIFS($P:$P, $Q:$Q, "&lt;" &amp; $Q1774)</f>
        <v>186547861</v>
      </c>
    </row>
    <row r="1775" spans="1:19" x14ac:dyDescent="0.25">
      <c r="A1775" s="1">
        <v>1770</v>
      </c>
      <c r="B1775" s="1" t="s">
        <v>2</v>
      </c>
      <c r="C1775" s="1" t="str">
        <f>IF($B1775 = "Production Item", _xlfn.XLOOKUP($A1775, 'Instrument Table'!$J:$J, 'Instrument Table'!$B:$B, $C1774), IF($B1775 = "Service Item", _xlfn.XLOOKUP($A1775, 'Instrument Table'!$I:$I, 'Instrument Table'!$B:$B, $C1774), _xlfn.XLOOKUP($A1775, 'Instrument Table'!$H:$H, 'Instrument Table'!$B:$B, $C1774)))</f>
        <v>Clarinet</v>
      </c>
      <c r="D1775" s="1" t="str">
        <f>VLOOKUP($C1775, 'Instrument Table'!$B:$C, 2, FALSE)</f>
        <v>Woodwinds</v>
      </c>
      <c r="E1775" s="1">
        <f t="shared" si="162"/>
        <v>1</v>
      </c>
      <c r="F1775" s="1">
        <f>_xlfn.XLOOKUP($C1775, 'Instrument Table'!$B:$B, 'Instrument Table'!$A:$A, "")</f>
        <v>30</v>
      </c>
      <c r="G1775" s="1" t="str">
        <f>TEXT(IF($B1775 = "Retail Item", IF((ROW($A1775) - 4504 - _xlfn.XMATCH($C1775, $C$4506:$C$5005, 0, 1)) &lt;= VLOOKUP($C1775, 'Instrument Table'!$B:$D, 3, FALSE), ROW($A1775) - 4504 - _xlfn.XMATCH($C1775, $C$4506:$C$5005, 0, 1), 0), 0), "00")</f>
        <v>00</v>
      </c>
      <c r="H1775" s="1" t="str">
        <f t="shared" si="163"/>
        <v>019</v>
      </c>
      <c r="I1775" s="1" t="str">
        <f t="shared" si="164"/>
        <v>13000-019</v>
      </c>
      <c r="J1775" s="1" t="str">
        <f t="shared" si="165"/>
        <v>Clarinet production item #019</v>
      </c>
      <c r="K1775" s="1" t="str">
        <f>IF(SUM(COUNTIFS(I:I, I1775)) &gt; 1, "DUPLICATE", "UNIQUE")</f>
        <v>UNIQUE</v>
      </c>
      <c r="L1775" s="18">
        <v>16</v>
      </c>
      <c r="M1775" s="28">
        <v>56</v>
      </c>
      <c r="N1775" s="6">
        <v>225</v>
      </c>
      <c r="O1775" s="30">
        <f t="shared" si="166"/>
        <v>896</v>
      </c>
      <c r="P1775" s="30">
        <f t="shared" si="167"/>
        <v>12600</v>
      </c>
      <c r="Q1775" s="1">
        <f>COUNTIFS($P:$P, "&gt;" &amp; $P1775) + 1</f>
        <v>1535</v>
      </c>
      <c r="R1775" s="63">
        <f>(COUNTIFS($P:$P, "&gt;" &amp; $P1775) + 1) / (COUNTA($I:$I) - 1)</f>
        <v>0.307</v>
      </c>
      <c r="S1775" s="23">
        <f>SUMIFS($P:$P, $Q:$Q, "&lt;" &amp; $Q1775)</f>
        <v>175287885</v>
      </c>
    </row>
    <row r="1776" spans="1:19" x14ac:dyDescent="0.25">
      <c r="A1776" s="1">
        <v>1771</v>
      </c>
      <c r="B1776" s="1" t="s">
        <v>2</v>
      </c>
      <c r="C1776" s="1" t="str">
        <f>IF($B1776 = "Production Item", _xlfn.XLOOKUP($A1776, 'Instrument Table'!$J:$J, 'Instrument Table'!$B:$B, $C1775), IF($B1776 = "Service Item", _xlfn.XLOOKUP($A1776, 'Instrument Table'!$I:$I, 'Instrument Table'!$B:$B, $C1775), _xlfn.XLOOKUP($A1776, 'Instrument Table'!$H:$H, 'Instrument Table'!$B:$B, $C1775)))</f>
        <v>Clarinet</v>
      </c>
      <c r="D1776" s="1" t="str">
        <f>VLOOKUP($C1776, 'Instrument Table'!$B:$C, 2, FALSE)</f>
        <v>Woodwinds</v>
      </c>
      <c r="E1776" s="1">
        <f t="shared" si="162"/>
        <v>1</v>
      </c>
      <c r="F1776" s="1">
        <f>_xlfn.XLOOKUP($C1776, 'Instrument Table'!$B:$B, 'Instrument Table'!$A:$A, "")</f>
        <v>30</v>
      </c>
      <c r="G1776" s="1" t="str">
        <f>TEXT(IF($B1776 = "Retail Item", IF((ROW($A1776) - 4504 - _xlfn.XMATCH($C1776, $C$4506:$C$5005, 0, 1)) &lt;= VLOOKUP($C1776, 'Instrument Table'!$B:$D, 3, FALSE), ROW($A1776) - 4504 - _xlfn.XMATCH($C1776, $C$4506:$C$5005, 0, 1), 0), 0), "00")</f>
        <v>00</v>
      </c>
      <c r="H1776" s="1" t="str">
        <f t="shared" si="163"/>
        <v>020</v>
      </c>
      <c r="I1776" s="1" t="str">
        <f t="shared" si="164"/>
        <v>13000-020</v>
      </c>
      <c r="J1776" s="1" t="str">
        <f t="shared" si="165"/>
        <v>Clarinet production item #020</v>
      </c>
      <c r="K1776" s="1" t="str">
        <f>IF(SUM(COUNTIFS(I:I, I1776)) &gt; 1, "DUPLICATE", "UNIQUE")</f>
        <v>UNIQUE</v>
      </c>
      <c r="L1776" s="18">
        <v>2</v>
      </c>
      <c r="M1776" s="28">
        <v>27</v>
      </c>
      <c r="N1776" s="6">
        <v>25</v>
      </c>
      <c r="O1776" s="30">
        <f t="shared" si="166"/>
        <v>54</v>
      </c>
      <c r="P1776" s="30">
        <f t="shared" si="167"/>
        <v>675</v>
      </c>
      <c r="Q1776" s="1">
        <f>COUNTIFS($P:$P, "&gt;" &amp; $P1776) + 1</f>
        <v>3894</v>
      </c>
      <c r="R1776" s="63">
        <f>(COUNTIFS($P:$P, "&gt;" &amp; $P1776) + 1) / (COUNTA($I:$I) - 1)</f>
        <v>0.77880000000000005</v>
      </c>
      <c r="S1776" s="23">
        <f>SUMIFS($P:$P, $Q:$Q, "&lt;" &amp; $Q1776)</f>
        <v>186334804</v>
      </c>
    </row>
    <row r="1777" spans="1:19" x14ac:dyDescent="0.25">
      <c r="A1777" s="1">
        <v>1772</v>
      </c>
      <c r="B1777" s="1" t="s">
        <v>2</v>
      </c>
      <c r="C1777" s="1" t="str">
        <f>IF($B1777 = "Production Item", _xlfn.XLOOKUP($A1777, 'Instrument Table'!$J:$J, 'Instrument Table'!$B:$B, $C1776), IF($B1777 = "Service Item", _xlfn.XLOOKUP($A1777, 'Instrument Table'!$I:$I, 'Instrument Table'!$B:$B, $C1776), _xlfn.XLOOKUP($A1777, 'Instrument Table'!$H:$H, 'Instrument Table'!$B:$B, $C1776)))</f>
        <v>Clarinet</v>
      </c>
      <c r="D1777" s="1" t="str">
        <f>VLOOKUP($C1777, 'Instrument Table'!$B:$C, 2, FALSE)</f>
        <v>Woodwinds</v>
      </c>
      <c r="E1777" s="1">
        <f t="shared" si="162"/>
        <v>1</v>
      </c>
      <c r="F1777" s="1">
        <f>_xlfn.XLOOKUP($C1777, 'Instrument Table'!$B:$B, 'Instrument Table'!$A:$A, "")</f>
        <v>30</v>
      </c>
      <c r="G1777" s="1" t="str">
        <f>TEXT(IF($B1777 = "Retail Item", IF((ROW($A1777) - 4504 - _xlfn.XMATCH($C1777, $C$4506:$C$5005, 0, 1)) &lt;= VLOOKUP($C1777, 'Instrument Table'!$B:$D, 3, FALSE), ROW($A1777) - 4504 - _xlfn.XMATCH($C1777, $C$4506:$C$5005, 0, 1), 0), 0), "00")</f>
        <v>00</v>
      </c>
      <c r="H1777" s="1" t="str">
        <f t="shared" si="163"/>
        <v>021</v>
      </c>
      <c r="I1777" s="1" t="str">
        <f t="shared" si="164"/>
        <v>13000-021</v>
      </c>
      <c r="J1777" s="1" t="str">
        <f t="shared" si="165"/>
        <v>Clarinet production item #021</v>
      </c>
      <c r="K1777" s="1" t="str">
        <f>IF(SUM(COUNTIFS(I:I, I1777)) &gt; 1, "DUPLICATE", "UNIQUE")</f>
        <v>UNIQUE</v>
      </c>
      <c r="L1777" s="18">
        <v>0</v>
      </c>
      <c r="M1777" s="28">
        <v>97</v>
      </c>
      <c r="N1777" s="6">
        <v>25</v>
      </c>
      <c r="O1777" s="30">
        <f t="shared" si="166"/>
        <v>0</v>
      </c>
      <c r="P1777" s="30">
        <f t="shared" si="167"/>
        <v>2425</v>
      </c>
      <c r="Q1777" s="1">
        <f>COUNTIFS($P:$P, "&gt;" &amp; $P1777) + 1</f>
        <v>3076</v>
      </c>
      <c r="R1777" s="63">
        <f>(COUNTIFS($P:$P, "&gt;" &amp; $P1777) + 1) / (COUNTA($I:$I) - 1)</f>
        <v>0.61519999999999997</v>
      </c>
      <c r="S1777" s="23">
        <f>SUMIFS($P:$P, $Q:$Q, "&lt;" &amp; $Q1777)</f>
        <v>185124825</v>
      </c>
    </row>
    <row r="1778" spans="1:19" x14ac:dyDescent="0.25">
      <c r="A1778" s="1">
        <v>1773</v>
      </c>
      <c r="B1778" s="1" t="s">
        <v>2</v>
      </c>
      <c r="C1778" s="1" t="str">
        <f>IF($B1778 = "Production Item", _xlfn.XLOOKUP($A1778, 'Instrument Table'!$J:$J, 'Instrument Table'!$B:$B, $C1777), IF($B1778 = "Service Item", _xlfn.XLOOKUP($A1778, 'Instrument Table'!$I:$I, 'Instrument Table'!$B:$B, $C1777), _xlfn.XLOOKUP($A1778, 'Instrument Table'!$H:$H, 'Instrument Table'!$B:$B, $C1777)))</f>
        <v>Clarinet</v>
      </c>
      <c r="D1778" s="1" t="str">
        <f>VLOOKUP($C1778, 'Instrument Table'!$B:$C, 2, FALSE)</f>
        <v>Woodwinds</v>
      </c>
      <c r="E1778" s="1">
        <f t="shared" si="162"/>
        <v>1</v>
      </c>
      <c r="F1778" s="1">
        <f>_xlfn.XLOOKUP($C1778, 'Instrument Table'!$B:$B, 'Instrument Table'!$A:$A, "")</f>
        <v>30</v>
      </c>
      <c r="G1778" s="1" t="str">
        <f>TEXT(IF($B1778 = "Retail Item", IF((ROW($A1778) - 4504 - _xlfn.XMATCH($C1778, $C$4506:$C$5005, 0, 1)) &lt;= VLOOKUP($C1778, 'Instrument Table'!$B:$D, 3, FALSE), ROW($A1778) - 4504 - _xlfn.XMATCH($C1778, $C$4506:$C$5005, 0, 1), 0), 0), "00")</f>
        <v>00</v>
      </c>
      <c r="H1778" s="1" t="str">
        <f t="shared" si="163"/>
        <v>022</v>
      </c>
      <c r="I1778" s="1" t="str">
        <f t="shared" si="164"/>
        <v>13000-022</v>
      </c>
      <c r="J1778" s="1" t="str">
        <f t="shared" si="165"/>
        <v>Clarinet production item #022</v>
      </c>
      <c r="K1778" s="1" t="str">
        <f>IF(SUM(COUNTIFS(I:I, I1778)) &gt; 1, "DUPLICATE", "UNIQUE")</f>
        <v>UNIQUE</v>
      </c>
      <c r="L1778" s="18">
        <v>1</v>
      </c>
      <c r="M1778" s="28">
        <v>7</v>
      </c>
      <c r="N1778" s="6">
        <v>49</v>
      </c>
      <c r="O1778" s="30">
        <f t="shared" si="166"/>
        <v>7</v>
      </c>
      <c r="P1778" s="30">
        <f t="shared" si="167"/>
        <v>343</v>
      </c>
      <c r="Q1778" s="1">
        <f>COUNTIFS($P:$P, "&gt;" &amp; $P1778) + 1</f>
        <v>4162</v>
      </c>
      <c r="R1778" s="63">
        <f>(COUNTIFS($P:$P, "&gt;" &amp; $P1778) + 1) / (COUNTA($I:$I) - 1)</f>
        <v>0.83240000000000003</v>
      </c>
      <c r="S1778" s="23">
        <f>SUMIFS($P:$P, $Q:$Q, "&lt;" &amp; $Q1778)</f>
        <v>186467915</v>
      </c>
    </row>
    <row r="1779" spans="1:19" x14ac:dyDescent="0.25">
      <c r="A1779" s="1">
        <v>1774</v>
      </c>
      <c r="B1779" s="1" t="s">
        <v>2</v>
      </c>
      <c r="C1779" s="1" t="str">
        <f>IF($B1779 = "Production Item", _xlfn.XLOOKUP($A1779, 'Instrument Table'!$J:$J, 'Instrument Table'!$B:$B, $C1778), IF($B1779 = "Service Item", _xlfn.XLOOKUP($A1779, 'Instrument Table'!$I:$I, 'Instrument Table'!$B:$B, $C1778), _xlfn.XLOOKUP($A1779, 'Instrument Table'!$H:$H, 'Instrument Table'!$B:$B, $C1778)))</f>
        <v>Clarinet</v>
      </c>
      <c r="D1779" s="1" t="str">
        <f>VLOOKUP($C1779, 'Instrument Table'!$B:$C, 2, FALSE)</f>
        <v>Woodwinds</v>
      </c>
      <c r="E1779" s="1">
        <f t="shared" si="162"/>
        <v>1</v>
      </c>
      <c r="F1779" s="1">
        <f>_xlfn.XLOOKUP($C1779, 'Instrument Table'!$B:$B, 'Instrument Table'!$A:$A, "")</f>
        <v>30</v>
      </c>
      <c r="G1779" s="1" t="str">
        <f>TEXT(IF($B1779 = "Retail Item", IF((ROW($A1779) - 4504 - _xlfn.XMATCH($C1779, $C$4506:$C$5005, 0, 1)) &lt;= VLOOKUP($C1779, 'Instrument Table'!$B:$D, 3, FALSE), ROW($A1779) - 4504 - _xlfn.XMATCH($C1779, $C$4506:$C$5005, 0, 1), 0), 0), "00")</f>
        <v>00</v>
      </c>
      <c r="H1779" s="1" t="str">
        <f t="shared" si="163"/>
        <v>023</v>
      </c>
      <c r="I1779" s="1" t="str">
        <f t="shared" si="164"/>
        <v>13000-023</v>
      </c>
      <c r="J1779" s="1" t="str">
        <f t="shared" si="165"/>
        <v>Clarinet production item #023</v>
      </c>
      <c r="K1779" s="1" t="str">
        <f>IF(SUM(COUNTIFS(I:I, I1779)) &gt; 1, "DUPLICATE", "UNIQUE")</f>
        <v>UNIQUE</v>
      </c>
      <c r="L1779" s="18">
        <v>0</v>
      </c>
      <c r="M1779" s="28">
        <v>1</v>
      </c>
      <c r="N1779" s="6">
        <v>256</v>
      </c>
      <c r="O1779" s="30">
        <f t="shared" si="166"/>
        <v>0</v>
      </c>
      <c r="P1779" s="30">
        <f t="shared" si="167"/>
        <v>256</v>
      </c>
      <c r="Q1779" s="1">
        <f>COUNTIFS($P:$P, "&gt;" &amp; $P1779) + 1</f>
        <v>4259</v>
      </c>
      <c r="R1779" s="63">
        <f>(COUNTIFS($P:$P, "&gt;" &amp; $P1779) + 1) / (COUNTA($I:$I) - 1)</f>
        <v>0.8518</v>
      </c>
      <c r="S1779" s="23">
        <f>SUMIFS($P:$P, $Q:$Q, "&lt;" &amp; $Q1779)</f>
        <v>186497451</v>
      </c>
    </row>
    <row r="1780" spans="1:19" x14ac:dyDescent="0.25">
      <c r="A1780" s="1">
        <v>1775</v>
      </c>
      <c r="B1780" s="1" t="s">
        <v>2</v>
      </c>
      <c r="C1780" s="1" t="str">
        <f>IF($B1780 = "Production Item", _xlfn.XLOOKUP($A1780, 'Instrument Table'!$J:$J, 'Instrument Table'!$B:$B, $C1779), IF($B1780 = "Service Item", _xlfn.XLOOKUP($A1780, 'Instrument Table'!$I:$I, 'Instrument Table'!$B:$B, $C1779), _xlfn.XLOOKUP($A1780, 'Instrument Table'!$H:$H, 'Instrument Table'!$B:$B, $C1779)))</f>
        <v>Clarinet</v>
      </c>
      <c r="D1780" s="1" t="str">
        <f>VLOOKUP($C1780, 'Instrument Table'!$B:$C, 2, FALSE)</f>
        <v>Woodwinds</v>
      </c>
      <c r="E1780" s="1">
        <f t="shared" si="162"/>
        <v>1</v>
      </c>
      <c r="F1780" s="1">
        <f>_xlfn.XLOOKUP($C1780, 'Instrument Table'!$B:$B, 'Instrument Table'!$A:$A, "")</f>
        <v>30</v>
      </c>
      <c r="G1780" s="1" t="str">
        <f>TEXT(IF($B1780 = "Retail Item", IF((ROW($A1780) - 4504 - _xlfn.XMATCH($C1780, $C$4506:$C$5005, 0, 1)) &lt;= VLOOKUP($C1780, 'Instrument Table'!$B:$D, 3, FALSE), ROW($A1780) - 4504 - _xlfn.XMATCH($C1780, $C$4506:$C$5005, 0, 1), 0), 0), "00")</f>
        <v>00</v>
      </c>
      <c r="H1780" s="1" t="str">
        <f t="shared" si="163"/>
        <v>024</v>
      </c>
      <c r="I1780" s="1" t="str">
        <f t="shared" si="164"/>
        <v>13000-024</v>
      </c>
      <c r="J1780" s="1" t="str">
        <f t="shared" si="165"/>
        <v>Clarinet production item #024</v>
      </c>
      <c r="K1780" s="1" t="str">
        <f>IF(SUM(COUNTIFS(I:I, I1780)) &gt; 1, "DUPLICATE", "UNIQUE")</f>
        <v>UNIQUE</v>
      </c>
      <c r="L1780" s="18">
        <v>1</v>
      </c>
      <c r="M1780" s="28">
        <v>14</v>
      </c>
      <c r="N1780" s="6">
        <v>81</v>
      </c>
      <c r="O1780" s="30">
        <f t="shared" si="166"/>
        <v>14</v>
      </c>
      <c r="P1780" s="30">
        <f t="shared" si="167"/>
        <v>1134</v>
      </c>
      <c r="Q1780" s="1">
        <f>COUNTIFS($P:$P, "&gt;" &amp; $P1780) + 1</f>
        <v>3636</v>
      </c>
      <c r="R1780" s="63">
        <f>(COUNTIFS($P:$P, "&gt;" &amp; $P1780) + 1) / (COUNTA($I:$I) - 1)</f>
        <v>0.72719999999999996</v>
      </c>
      <c r="S1780" s="23">
        <f>SUMIFS($P:$P, $Q:$Q, "&lt;" &amp; $Q1780)</f>
        <v>186112126</v>
      </c>
    </row>
    <row r="1781" spans="1:19" x14ac:dyDescent="0.25">
      <c r="A1781" s="1">
        <v>1776</v>
      </c>
      <c r="B1781" s="1" t="s">
        <v>2</v>
      </c>
      <c r="C1781" s="1" t="str">
        <f>IF($B1781 = "Production Item", _xlfn.XLOOKUP($A1781, 'Instrument Table'!$J:$J, 'Instrument Table'!$B:$B, $C1780), IF($B1781 = "Service Item", _xlfn.XLOOKUP($A1781, 'Instrument Table'!$I:$I, 'Instrument Table'!$B:$B, $C1780), _xlfn.XLOOKUP($A1781, 'Instrument Table'!$H:$H, 'Instrument Table'!$B:$B, $C1780)))</f>
        <v>Clarinet</v>
      </c>
      <c r="D1781" s="1" t="str">
        <f>VLOOKUP($C1781, 'Instrument Table'!$B:$C, 2, FALSE)</f>
        <v>Woodwinds</v>
      </c>
      <c r="E1781" s="1">
        <f t="shared" si="162"/>
        <v>1</v>
      </c>
      <c r="F1781" s="1">
        <f>_xlfn.XLOOKUP($C1781, 'Instrument Table'!$B:$B, 'Instrument Table'!$A:$A, "")</f>
        <v>30</v>
      </c>
      <c r="G1781" s="1" t="str">
        <f>TEXT(IF($B1781 = "Retail Item", IF((ROW($A1781) - 4504 - _xlfn.XMATCH($C1781, $C$4506:$C$5005, 0, 1)) &lt;= VLOOKUP($C1781, 'Instrument Table'!$B:$D, 3, FALSE), ROW($A1781) - 4504 - _xlfn.XMATCH($C1781, $C$4506:$C$5005, 0, 1), 0), 0), "00")</f>
        <v>00</v>
      </c>
      <c r="H1781" s="1" t="str">
        <f t="shared" si="163"/>
        <v>025</v>
      </c>
      <c r="I1781" s="1" t="str">
        <f t="shared" si="164"/>
        <v>13000-025</v>
      </c>
      <c r="J1781" s="1" t="str">
        <f t="shared" si="165"/>
        <v>Clarinet production item #025</v>
      </c>
      <c r="K1781" s="1" t="str">
        <f>IF(SUM(COUNTIFS(I:I, I1781)) &gt; 1, "DUPLICATE", "UNIQUE")</f>
        <v>UNIQUE</v>
      </c>
      <c r="L1781" s="18">
        <v>1</v>
      </c>
      <c r="M1781" s="28">
        <v>53</v>
      </c>
      <c r="N1781" s="6">
        <v>121</v>
      </c>
      <c r="O1781" s="30">
        <f t="shared" si="166"/>
        <v>53</v>
      </c>
      <c r="P1781" s="30">
        <f t="shared" si="167"/>
        <v>6413</v>
      </c>
      <c r="Q1781" s="1">
        <f>COUNTIFS($P:$P, "&gt;" &amp; $P1781) + 1</f>
        <v>2215</v>
      </c>
      <c r="R1781" s="63">
        <f>(COUNTIFS($P:$P, "&gt;" &amp; $P1781) + 1) / (COUNTA($I:$I) - 1)</f>
        <v>0.443</v>
      </c>
      <c r="S1781" s="23">
        <f>SUMIFS($P:$P, $Q:$Q, "&lt;" &amp; $Q1781)</f>
        <v>181548858</v>
      </c>
    </row>
    <row r="1782" spans="1:19" x14ac:dyDescent="0.25">
      <c r="A1782" s="1">
        <v>1777</v>
      </c>
      <c r="B1782" s="1" t="s">
        <v>2</v>
      </c>
      <c r="C1782" s="1" t="str">
        <f>IF($B1782 = "Production Item", _xlfn.XLOOKUP($A1782, 'Instrument Table'!$J:$J, 'Instrument Table'!$B:$B, $C1781), IF($B1782 = "Service Item", _xlfn.XLOOKUP($A1782, 'Instrument Table'!$I:$I, 'Instrument Table'!$B:$B, $C1781), _xlfn.XLOOKUP($A1782, 'Instrument Table'!$H:$H, 'Instrument Table'!$B:$B, $C1781)))</f>
        <v>Clarinet</v>
      </c>
      <c r="D1782" s="1" t="str">
        <f>VLOOKUP($C1782, 'Instrument Table'!$B:$C, 2, FALSE)</f>
        <v>Woodwinds</v>
      </c>
      <c r="E1782" s="1">
        <f t="shared" si="162"/>
        <v>1</v>
      </c>
      <c r="F1782" s="1">
        <f>_xlfn.XLOOKUP($C1782, 'Instrument Table'!$B:$B, 'Instrument Table'!$A:$A, "")</f>
        <v>30</v>
      </c>
      <c r="G1782" s="1" t="str">
        <f>TEXT(IF($B1782 = "Retail Item", IF((ROW($A1782) - 4504 - _xlfn.XMATCH($C1782, $C$4506:$C$5005, 0, 1)) &lt;= VLOOKUP($C1782, 'Instrument Table'!$B:$D, 3, FALSE), ROW($A1782) - 4504 - _xlfn.XMATCH($C1782, $C$4506:$C$5005, 0, 1), 0), 0), "00")</f>
        <v>00</v>
      </c>
      <c r="H1782" s="1" t="str">
        <f t="shared" si="163"/>
        <v>026</v>
      </c>
      <c r="I1782" s="1" t="str">
        <f t="shared" si="164"/>
        <v>13000-026</v>
      </c>
      <c r="J1782" s="1" t="str">
        <f t="shared" si="165"/>
        <v>Clarinet production item #026</v>
      </c>
      <c r="K1782" s="1" t="str">
        <f>IF(SUM(COUNTIFS(I:I, I1782)) &gt; 1, "DUPLICATE", "UNIQUE")</f>
        <v>UNIQUE</v>
      </c>
      <c r="L1782" s="18">
        <v>16</v>
      </c>
      <c r="M1782" s="28">
        <v>84</v>
      </c>
      <c r="N1782" s="6">
        <v>324</v>
      </c>
      <c r="O1782" s="30">
        <f t="shared" si="166"/>
        <v>1344</v>
      </c>
      <c r="P1782" s="30">
        <f t="shared" si="167"/>
        <v>27216</v>
      </c>
      <c r="Q1782" s="1">
        <f>COUNTIFS($P:$P, "&gt;" &amp; $P1782) + 1</f>
        <v>742</v>
      </c>
      <c r="R1782" s="63">
        <f>(COUNTIFS($P:$P, "&gt;" &amp; $P1782) + 1) / (COUNTA($I:$I) - 1)</f>
        <v>0.1484</v>
      </c>
      <c r="S1782" s="23">
        <f>SUMIFS($P:$P, $Q:$Q, "&lt;" &amp; $Q1782)</f>
        <v>160287998</v>
      </c>
    </row>
    <row r="1783" spans="1:19" x14ac:dyDescent="0.25">
      <c r="A1783" s="1">
        <v>1778</v>
      </c>
      <c r="B1783" s="1" t="s">
        <v>2</v>
      </c>
      <c r="C1783" s="1" t="str">
        <f>IF($B1783 = "Production Item", _xlfn.XLOOKUP($A1783, 'Instrument Table'!$J:$J, 'Instrument Table'!$B:$B, $C1782), IF($B1783 = "Service Item", _xlfn.XLOOKUP($A1783, 'Instrument Table'!$I:$I, 'Instrument Table'!$B:$B, $C1782), _xlfn.XLOOKUP($A1783, 'Instrument Table'!$H:$H, 'Instrument Table'!$B:$B, $C1782)))</f>
        <v>Clarinet</v>
      </c>
      <c r="D1783" s="1" t="str">
        <f>VLOOKUP($C1783, 'Instrument Table'!$B:$C, 2, FALSE)</f>
        <v>Woodwinds</v>
      </c>
      <c r="E1783" s="1">
        <f t="shared" si="162"/>
        <v>1</v>
      </c>
      <c r="F1783" s="1">
        <f>_xlfn.XLOOKUP($C1783, 'Instrument Table'!$B:$B, 'Instrument Table'!$A:$A, "")</f>
        <v>30</v>
      </c>
      <c r="G1783" s="1" t="str">
        <f>TEXT(IF($B1783 = "Retail Item", IF((ROW($A1783) - 4504 - _xlfn.XMATCH($C1783, $C$4506:$C$5005, 0, 1)) &lt;= VLOOKUP($C1783, 'Instrument Table'!$B:$D, 3, FALSE), ROW($A1783) - 4504 - _xlfn.XMATCH($C1783, $C$4506:$C$5005, 0, 1), 0), 0), "00")</f>
        <v>00</v>
      </c>
      <c r="H1783" s="1" t="str">
        <f t="shared" si="163"/>
        <v>027</v>
      </c>
      <c r="I1783" s="1" t="str">
        <f t="shared" si="164"/>
        <v>13000-027</v>
      </c>
      <c r="J1783" s="1" t="str">
        <f t="shared" si="165"/>
        <v>Clarinet production item #027</v>
      </c>
      <c r="K1783" s="1" t="str">
        <f>IF(SUM(COUNTIFS(I:I, I1783)) &gt; 1, "DUPLICATE", "UNIQUE")</f>
        <v>UNIQUE</v>
      </c>
      <c r="L1783" s="18">
        <v>1</v>
      </c>
      <c r="M1783" s="28">
        <v>93</v>
      </c>
      <c r="N1783" s="6">
        <v>25</v>
      </c>
      <c r="O1783" s="30">
        <f t="shared" si="166"/>
        <v>93</v>
      </c>
      <c r="P1783" s="30">
        <f t="shared" si="167"/>
        <v>2325</v>
      </c>
      <c r="Q1783" s="1">
        <f>COUNTIFS($P:$P, "&gt;" &amp; $P1783) + 1</f>
        <v>3115</v>
      </c>
      <c r="R1783" s="63">
        <f>(COUNTIFS($P:$P, "&gt;" &amp; $P1783) + 1) / (COUNTA($I:$I) - 1)</f>
        <v>0.623</v>
      </c>
      <c r="S1783" s="23">
        <f>SUMIFS($P:$P, $Q:$Q, "&lt;" &amp; $Q1783)</f>
        <v>185217692</v>
      </c>
    </row>
    <row r="1784" spans="1:19" x14ac:dyDescent="0.25">
      <c r="A1784" s="1">
        <v>1779</v>
      </c>
      <c r="B1784" s="1" t="s">
        <v>2</v>
      </c>
      <c r="C1784" s="1" t="str">
        <f>IF($B1784 = "Production Item", _xlfn.XLOOKUP($A1784, 'Instrument Table'!$J:$J, 'Instrument Table'!$B:$B, $C1783), IF($B1784 = "Service Item", _xlfn.XLOOKUP($A1784, 'Instrument Table'!$I:$I, 'Instrument Table'!$B:$B, $C1783), _xlfn.XLOOKUP($A1784, 'Instrument Table'!$H:$H, 'Instrument Table'!$B:$B, $C1783)))</f>
        <v>Clarinet</v>
      </c>
      <c r="D1784" s="1" t="str">
        <f>VLOOKUP($C1784, 'Instrument Table'!$B:$C, 2, FALSE)</f>
        <v>Woodwinds</v>
      </c>
      <c r="E1784" s="1">
        <f t="shared" si="162"/>
        <v>1</v>
      </c>
      <c r="F1784" s="1">
        <f>_xlfn.XLOOKUP($C1784, 'Instrument Table'!$B:$B, 'Instrument Table'!$A:$A, "")</f>
        <v>30</v>
      </c>
      <c r="G1784" s="1" t="str">
        <f>TEXT(IF($B1784 = "Retail Item", IF((ROW($A1784) - 4504 - _xlfn.XMATCH($C1784, $C$4506:$C$5005, 0, 1)) &lt;= VLOOKUP($C1784, 'Instrument Table'!$B:$D, 3, FALSE), ROW($A1784) - 4504 - _xlfn.XMATCH($C1784, $C$4506:$C$5005, 0, 1), 0), 0), "00")</f>
        <v>00</v>
      </c>
      <c r="H1784" s="1" t="str">
        <f t="shared" si="163"/>
        <v>028</v>
      </c>
      <c r="I1784" s="1" t="str">
        <f t="shared" si="164"/>
        <v>13000-028</v>
      </c>
      <c r="J1784" s="1" t="str">
        <f t="shared" si="165"/>
        <v>Clarinet production item #028</v>
      </c>
      <c r="K1784" s="1" t="str">
        <f>IF(SUM(COUNTIFS(I:I, I1784)) &gt; 1, "DUPLICATE", "UNIQUE")</f>
        <v>UNIQUE</v>
      </c>
      <c r="L1784" s="18">
        <v>1</v>
      </c>
      <c r="M1784" s="28">
        <v>98</v>
      </c>
      <c r="N1784" s="6">
        <v>100</v>
      </c>
      <c r="O1784" s="30">
        <f t="shared" si="166"/>
        <v>98</v>
      </c>
      <c r="P1784" s="30">
        <f t="shared" si="167"/>
        <v>9800</v>
      </c>
      <c r="Q1784" s="1">
        <f>COUNTIFS($P:$P, "&gt;" &amp; $P1784) + 1</f>
        <v>1789</v>
      </c>
      <c r="R1784" s="63">
        <f>(COUNTIFS($P:$P, "&gt;" &amp; $P1784) + 1) / (COUNTA($I:$I) - 1)</f>
        <v>0.35780000000000001</v>
      </c>
      <c r="S1784" s="23">
        <f>SUMIFS($P:$P, $Q:$Q, "&lt;" &amp; $Q1784)</f>
        <v>178134133</v>
      </c>
    </row>
    <row r="1785" spans="1:19" x14ac:dyDescent="0.25">
      <c r="A1785" s="1">
        <v>1780</v>
      </c>
      <c r="B1785" s="1" t="s">
        <v>2</v>
      </c>
      <c r="C1785" s="1" t="str">
        <f>IF($B1785 = "Production Item", _xlfn.XLOOKUP($A1785, 'Instrument Table'!$J:$J, 'Instrument Table'!$B:$B, $C1784), IF($B1785 = "Service Item", _xlfn.XLOOKUP($A1785, 'Instrument Table'!$I:$I, 'Instrument Table'!$B:$B, $C1784), _xlfn.XLOOKUP($A1785, 'Instrument Table'!$H:$H, 'Instrument Table'!$B:$B, $C1784)))</f>
        <v>Clarinet</v>
      </c>
      <c r="D1785" s="1" t="str">
        <f>VLOOKUP($C1785, 'Instrument Table'!$B:$C, 2, FALSE)</f>
        <v>Woodwinds</v>
      </c>
      <c r="E1785" s="1">
        <f t="shared" si="162"/>
        <v>1</v>
      </c>
      <c r="F1785" s="1">
        <f>_xlfn.XLOOKUP($C1785, 'Instrument Table'!$B:$B, 'Instrument Table'!$A:$A, "")</f>
        <v>30</v>
      </c>
      <c r="G1785" s="1" t="str">
        <f>TEXT(IF($B1785 = "Retail Item", IF((ROW($A1785) - 4504 - _xlfn.XMATCH($C1785, $C$4506:$C$5005, 0, 1)) &lt;= VLOOKUP($C1785, 'Instrument Table'!$B:$D, 3, FALSE), ROW($A1785) - 4504 - _xlfn.XMATCH($C1785, $C$4506:$C$5005, 0, 1), 0), 0), "00")</f>
        <v>00</v>
      </c>
      <c r="H1785" s="1" t="str">
        <f t="shared" si="163"/>
        <v>029</v>
      </c>
      <c r="I1785" s="1" t="str">
        <f t="shared" si="164"/>
        <v>13000-029</v>
      </c>
      <c r="J1785" s="1" t="str">
        <f t="shared" si="165"/>
        <v>Clarinet production item #029</v>
      </c>
      <c r="K1785" s="1" t="str">
        <f>IF(SUM(COUNTIFS(I:I, I1785)) &gt; 1, "DUPLICATE", "UNIQUE")</f>
        <v>UNIQUE</v>
      </c>
      <c r="L1785" s="18">
        <v>16</v>
      </c>
      <c r="M1785" s="28">
        <v>75</v>
      </c>
      <c r="N1785" s="6">
        <v>121</v>
      </c>
      <c r="O1785" s="30">
        <f t="shared" si="166"/>
        <v>1200</v>
      </c>
      <c r="P1785" s="30">
        <f t="shared" si="167"/>
        <v>9075</v>
      </c>
      <c r="Q1785" s="1">
        <f>COUNTIFS($P:$P, "&gt;" &amp; $P1785) + 1</f>
        <v>1864</v>
      </c>
      <c r="R1785" s="63">
        <f>(COUNTIFS($P:$P, "&gt;" &amp; $P1785) + 1) / (COUNTA($I:$I) - 1)</f>
        <v>0.37280000000000002</v>
      </c>
      <c r="S1785" s="23">
        <f>SUMIFS($P:$P, $Q:$Q, "&lt;" &amp; $Q1785)</f>
        <v>178842225</v>
      </c>
    </row>
    <row r="1786" spans="1:19" x14ac:dyDescent="0.25">
      <c r="A1786" s="1">
        <v>1781</v>
      </c>
      <c r="B1786" s="1" t="s">
        <v>2</v>
      </c>
      <c r="C1786" s="1" t="str">
        <f>IF($B1786 = "Production Item", _xlfn.XLOOKUP($A1786, 'Instrument Table'!$J:$J, 'Instrument Table'!$B:$B, $C1785), IF($B1786 = "Service Item", _xlfn.XLOOKUP($A1786, 'Instrument Table'!$I:$I, 'Instrument Table'!$B:$B, $C1785), _xlfn.XLOOKUP($A1786, 'Instrument Table'!$H:$H, 'Instrument Table'!$B:$B, $C1785)))</f>
        <v>Clarinet</v>
      </c>
      <c r="D1786" s="1" t="str">
        <f>VLOOKUP($C1786, 'Instrument Table'!$B:$C, 2, FALSE)</f>
        <v>Woodwinds</v>
      </c>
      <c r="E1786" s="1">
        <f t="shared" si="162"/>
        <v>1</v>
      </c>
      <c r="F1786" s="1">
        <f>_xlfn.XLOOKUP($C1786, 'Instrument Table'!$B:$B, 'Instrument Table'!$A:$A, "")</f>
        <v>30</v>
      </c>
      <c r="G1786" s="1" t="str">
        <f>TEXT(IF($B1786 = "Retail Item", IF((ROW($A1786) - 4504 - _xlfn.XMATCH($C1786, $C$4506:$C$5005, 0, 1)) &lt;= VLOOKUP($C1786, 'Instrument Table'!$B:$D, 3, FALSE), ROW($A1786) - 4504 - _xlfn.XMATCH($C1786, $C$4506:$C$5005, 0, 1), 0), 0), "00")</f>
        <v>00</v>
      </c>
      <c r="H1786" s="1" t="str">
        <f t="shared" si="163"/>
        <v>030</v>
      </c>
      <c r="I1786" s="1" t="str">
        <f t="shared" si="164"/>
        <v>13000-030</v>
      </c>
      <c r="J1786" s="1" t="str">
        <f t="shared" si="165"/>
        <v>Clarinet production item #030</v>
      </c>
      <c r="K1786" s="1" t="str">
        <f>IF(SUM(COUNTIFS(I:I, I1786)) &gt; 1, "DUPLICATE", "UNIQUE")</f>
        <v>UNIQUE</v>
      </c>
      <c r="L1786" s="18">
        <v>32</v>
      </c>
      <c r="M1786" s="28">
        <v>7</v>
      </c>
      <c r="N1786" s="6">
        <v>121</v>
      </c>
      <c r="O1786" s="30">
        <f t="shared" si="166"/>
        <v>224</v>
      </c>
      <c r="P1786" s="30">
        <f t="shared" si="167"/>
        <v>847</v>
      </c>
      <c r="Q1786" s="1">
        <f>COUNTIFS($P:$P, "&gt;" &amp; $P1786) + 1</f>
        <v>3761</v>
      </c>
      <c r="R1786" s="63">
        <f>(COUNTIFS($P:$P, "&gt;" &amp; $P1786) + 1) / (COUNTA($I:$I) - 1)</f>
        <v>0.75219999999999998</v>
      </c>
      <c r="S1786" s="23">
        <f>SUMIFS($P:$P, $Q:$Q, "&lt;" &amp; $Q1786)</f>
        <v>186233642</v>
      </c>
    </row>
    <row r="1787" spans="1:19" x14ac:dyDescent="0.25">
      <c r="A1787" s="1">
        <v>1782</v>
      </c>
      <c r="B1787" s="1" t="s">
        <v>2</v>
      </c>
      <c r="C1787" s="1" t="str">
        <f>IF($B1787 = "Production Item", _xlfn.XLOOKUP($A1787, 'Instrument Table'!$J:$J, 'Instrument Table'!$B:$B, $C1786), IF($B1787 = "Service Item", _xlfn.XLOOKUP($A1787, 'Instrument Table'!$I:$I, 'Instrument Table'!$B:$B, $C1786), _xlfn.XLOOKUP($A1787, 'Instrument Table'!$H:$H, 'Instrument Table'!$B:$B, $C1786)))</f>
        <v>Clarinet</v>
      </c>
      <c r="D1787" s="1" t="str">
        <f>VLOOKUP($C1787, 'Instrument Table'!$B:$C, 2, FALSE)</f>
        <v>Woodwinds</v>
      </c>
      <c r="E1787" s="1">
        <f t="shared" si="162"/>
        <v>1</v>
      </c>
      <c r="F1787" s="1">
        <f>_xlfn.XLOOKUP($C1787, 'Instrument Table'!$B:$B, 'Instrument Table'!$A:$A, "")</f>
        <v>30</v>
      </c>
      <c r="G1787" s="1" t="str">
        <f>TEXT(IF($B1787 = "Retail Item", IF((ROW($A1787) - 4504 - _xlfn.XMATCH($C1787, $C$4506:$C$5005, 0, 1)) &lt;= VLOOKUP($C1787, 'Instrument Table'!$B:$D, 3, FALSE), ROW($A1787) - 4504 - _xlfn.XMATCH($C1787, $C$4506:$C$5005, 0, 1), 0), 0), "00")</f>
        <v>00</v>
      </c>
      <c r="H1787" s="1" t="str">
        <f t="shared" si="163"/>
        <v>031</v>
      </c>
      <c r="I1787" s="1" t="str">
        <f t="shared" si="164"/>
        <v>13000-031</v>
      </c>
      <c r="J1787" s="1" t="str">
        <f t="shared" si="165"/>
        <v>Clarinet production item #031</v>
      </c>
      <c r="K1787" s="1" t="str">
        <f>IF(SUM(COUNTIFS(I:I, I1787)) &gt; 1, "DUPLICATE", "UNIQUE")</f>
        <v>UNIQUE</v>
      </c>
      <c r="L1787" s="18">
        <v>1</v>
      </c>
      <c r="M1787" s="28">
        <v>8</v>
      </c>
      <c r="N1787" s="6">
        <v>400</v>
      </c>
      <c r="O1787" s="30">
        <f t="shared" si="166"/>
        <v>8</v>
      </c>
      <c r="P1787" s="30">
        <f t="shared" si="167"/>
        <v>3200</v>
      </c>
      <c r="Q1787" s="1">
        <f>COUNTIFS($P:$P, "&gt;" &amp; $P1787) + 1</f>
        <v>2857</v>
      </c>
      <c r="R1787" s="63">
        <f>(COUNTIFS($P:$P, "&gt;" &amp; $P1787) + 1) / (COUNTA($I:$I) - 1)</f>
        <v>0.57140000000000002</v>
      </c>
      <c r="S1787" s="23">
        <f>SUMIFS($P:$P, $Q:$Q, "&lt;" &amp; $Q1787)</f>
        <v>184514256</v>
      </c>
    </row>
    <row r="1788" spans="1:19" x14ac:dyDescent="0.25">
      <c r="A1788" s="1">
        <v>1783</v>
      </c>
      <c r="B1788" s="1" t="s">
        <v>2</v>
      </c>
      <c r="C1788" s="1" t="str">
        <f>IF($B1788 = "Production Item", _xlfn.XLOOKUP($A1788, 'Instrument Table'!$J:$J, 'Instrument Table'!$B:$B, $C1787), IF($B1788 = "Service Item", _xlfn.XLOOKUP($A1788, 'Instrument Table'!$I:$I, 'Instrument Table'!$B:$B, $C1787), _xlfn.XLOOKUP($A1788, 'Instrument Table'!$H:$H, 'Instrument Table'!$B:$B, $C1787)))</f>
        <v>Clarinet</v>
      </c>
      <c r="D1788" s="1" t="str">
        <f>VLOOKUP($C1788, 'Instrument Table'!$B:$C, 2, FALSE)</f>
        <v>Woodwinds</v>
      </c>
      <c r="E1788" s="1">
        <f t="shared" si="162"/>
        <v>1</v>
      </c>
      <c r="F1788" s="1">
        <f>_xlfn.XLOOKUP($C1788, 'Instrument Table'!$B:$B, 'Instrument Table'!$A:$A, "")</f>
        <v>30</v>
      </c>
      <c r="G1788" s="1" t="str">
        <f>TEXT(IF($B1788 = "Retail Item", IF((ROW($A1788) - 4504 - _xlfn.XMATCH($C1788, $C$4506:$C$5005, 0, 1)) &lt;= VLOOKUP($C1788, 'Instrument Table'!$B:$D, 3, FALSE), ROW($A1788) - 4504 - _xlfn.XMATCH($C1788, $C$4506:$C$5005, 0, 1), 0), 0), "00")</f>
        <v>00</v>
      </c>
      <c r="H1788" s="1" t="str">
        <f t="shared" si="163"/>
        <v>032</v>
      </c>
      <c r="I1788" s="1" t="str">
        <f t="shared" si="164"/>
        <v>13000-032</v>
      </c>
      <c r="J1788" s="1" t="str">
        <f t="shared" si="165"/>
        <v>Clarinet production item #032</v>
      </c>
      <c r="K1788" s="1" t="str">
        <f>IF(SUM(COUNTIFS(I:I, I1788)) &gt; 1, "DUPLICATE", "UNIQUE")</f>
        <v>UNIQUE</v>
      </c>
      <c r="L1788" s="18">
        <v>1</v>
      </c>
      <c r="M1788" s="28">
        <v>19</v>
      </c>
      <c r="N1788" s="6">
        <v>0</v>
      </c>
      <c r="O1788" s="30">
        <f t="shared" si="166"/>
        <v>19</v>
      </c>
      <c r="P1788" s="30">
        <f t="shared" si="167"/>
        <v>0</v>
      </c>
      <c r="Q1788" s="1">
        <f>COUNTIFS($P:$P, "&gt;" &amp; $P1788) + 1</f>
        <v>4746</v>
      </c>
      <c r="R1788" s="63">
        <f>(COUNTIFS($P:$P, "&gt;" &amp; $P1788) + 1) / (COUNTA($I:$I) - 1)</f>
        <v>0.94920000000000004</v>
      </c>
      <c r="S1788" s="23">
        <f>SUMIFS($P:$P, $Q:$Q, "&lt;" &amp; $Q1788)</f>
        <v>186547861</v>
      </c>
    </row>
    <row r="1789" spans="1:19" x14ac:dyDescent="0.25">
      <c r="A1789" s="1">
        <v>1784</v>
      </c>
      <c r="B1789" s="1" t="s">
        <v>2</v>
      </c>
      <c r="C1789" s="1" t="str">
        <f>IF($B1789 = "Production Item", _xlfn.XLOOKUP($A1789, 'Instrument Table'!$J:$J, 'Instrument Table'!$B:$B, $C1788), IF($B1789 = "Service Item", _xlfn.XLOOKUP($A1789, 'Instrument Table'!$I:$I, 'Instrument Table'!$B:$B, $C1788), _xlfn.XLOOKUP($A1789, 'Instrument Table'!$H:$H, 'Instrument Table'!$B:$B, $C1788)))</f>
        <v>Clarinet</v>
      </c>
      <c r="D1789" s="1" t="str">
        <f>VLOOKUP($C1789, 'Instrument Table'!$B:$C, 2, FALSE)</f>
        <v>Woodwinds</v>
      </c>
      <c r="E1789" s="1">
        <f t="shared" si="162"/>
        <v>1</v>
      </c>
      <c r="F1789" s="1">
        <f>_xlfn.XLOOKUP($C1789, 'Instrument Table'!$B:$B, 'Instrument Table'!$A:$A, "")</f>
        <v>30</v>
      </c>
      <c r="G1789" s="1" t="str">
        <f>TEXT(IF($B1789 = "Retail Item", IF((ROW($A1789) - 4504 - _xlfn.XMATCH($C1789, $C$4506:$C$5005, 0, 1)) &lt;= VLOOKUP($C1789, 'Instrument Table'!$B:$D, 3, FALSE), ROW($A1789) - 4504 - _xlfn.XMATCH($C1789, $C$4506:$C$5005, 0, 1), 0), 0), "00")</f>
        <v>00</v>
      </c>
      <c r="H1789" s="1" t="str">
        <f t="shared" si="163"/>
        <v>033</v>
      </c>
      <c r="I1789" s="1" t="str">
        <f t="shared" si="164"/>
        <v>13000-033</v>
      </c>
      <c r="J1789" s="1" t="str">
        <f t="shared" si="165"/>
        <v>Clarinet production item #033</v>
      </c>
      <c r="K1789" s="1" t="str">
        <f>IF(SUM(COUNTIFS(I:I, I1789)) &gt; 1, "DUPLICATE", "UNIQUE")</f>
        <v>UNIQUE</v>
      </c>
      <c r="L1789" s="18">
        <v>0</v>
      </c>
      <c r="M1789" s="28">
        <v>56</v>
      </c>
      <c r="N1789" s="6">
        <v>121</v>
      </c>
      <c r="O1789" s="30">
        <f t="shared" si="166"/>
        <v>0</v>
      </c>
      <c r="P1789" s="30">
        <f t="shared" si="167"/>
        <v>6776</v>
      </c>
      <c r="Q1789" s="1">
        <f>COUNTIFS($P:$P, "&gt;" &amp; $P1789) + 1</f>
        <v>2171</v>
      </c>
      <c r="R1789" s="63">
        <f>(COUNTIFS($P:$P, "&gt;" &amp; $P1789) + 1) / (COUNTA($I:$I) - 1)</f>
        <v>0.43419999999999997</v>
      </c>
      <c r="S1789" s="23">
        <f>SUMIFS($P:$P, $Q:$Q, "&lt;" &amp; $Q1789)</f>
        <v>181257492</v>
      </c>
    </row>
    <row r="1790" spans="1:19" x14ac:dyDescent="0.25">
      <c r="A1790" s="1">
        <v>1785</v>
      </c>
      <c r="B1790" s="1" t="s">
        <v>2</v>
      </c>
      <c r="C1790" s="1" t="str">
        <f>IF($B1790 = "Production Item", _xlfn.XLOOKUP($A1790, 'Instrument Table'!$J:$J, 'Instrument Table'!$B:$B, $C1789), IF($B1790 = "Service Item", _xlfn.XLOOKUP($A1790, 'Instrument Table'!$I:$I, 'Instrument Table'!$B:$B, $C1789), _xlfn.XLOOKUP($A1790, 'Instrument Table'!$H:$H, 'Instrument Table'!$B:$B, $C1789)))</f>
        <v>Clarinet</v>
      </c>
      <c r="D1790" s="1" t="str">
        <f>VLOOKUP($C1790, 'Instrument Table'!$B:$C, 2, FALSE)</f>
        <v>Woodwinds</v>
      </c>
      <c r="E1790" s="1">
        <f t="shared" si="162"/>
        <v>1</v>
      </c>
      <c r="F1790" s="1">
        <f>_xlfn.XLOOKUP($C1790, 'Instrument Table'!$B:$B, 'Instrument Table'!$A:$A, "")</f>
        <v>30</v>
      </c>
      <c r="G1790" s="1" t="str">
        <f>TEXT(IF($B1790 = "Retail Item", IF((ROW($A1790) - 4504 - _xlfn.XMATCH($C1790, $C$4506:$C$5005, 0, 1)) &lt;= VLOOKUP($C1790, 'Instrument Table'!$B:$D, 3, FALSE), ROW($A1790) - 4504 - _xlfn.XMATCH($C1790, $C$4506:$C$5005, 0, 1), 0), 0), "00")</f>
        <v>00</v>
      </c>
      <c r="H1790" s="1" t="str">
        <f t="shared" si="163"/>
        <v>034</v>
      </c>
      <c r="I1790" s="1" t="str">
        <f t="shared" si="164"/>
        <v>13000-034</v>
      </c>
      <c r="J1790" s="1" t="str">
        <f t="shared" si="165"/>
        <v>Clarinet production item #034</v>
      </c>
      <c r="K1790" s="1" t="str">
        <f>IF(SUM(COUNTIFS(I:I, I1790)) &gt; 1, "DUPLICATE", "UNIQUE")</f>
        <v>UNIQUE</v>
      </c>
      <c r="L1790" s="18">
        <v>2</v>
      </c>
      <c r="M1790" s="28">
        <v>85</v>
      </c>
      <c r="N1790" s="6">
        <v>100</v>
      </c>
      <c r="O1790" s="30">
        <f t="shared" si="166"/>
        <v>170</v>
      </c>
      <c r="P1790" s="30">
        <f t="shared" si="167"/>
        <v>8500</v>
      </c>
      <c r="Q1790" s="1">
        <f>COUNTIFS($P:$P, "&gt;" &amp; $P1790) + 1</f>
        <v>1926</v>
      </c>
      <c r="R1790" s="63">
        <f>(COUNTIFS($P:$P, "&gt;" &amp; $P1790) + 1) / (COUNTA($I:$I) - 1)</f>
        <v>0.38519999999999999</v>
      </c>
      <c r="S1790" s="23">
        <f>SUMIFS($P:$P, $Q:$Q, "&lt;" &amp; $Q1790)</f>
        <v>179389223</v>
      </c>
    </row>
    <row r="1791" spans="1:19" x14ac:dyDescent="0.25">
      <c r="A1791" s="1">
        <v>1786</v>
      </c>
      <c r="B1791" s="1" t="s">
        <v>2</v>
      </c>
      <c r="C1791" s="1" t="str">
        <f>IF($B1791 = "Production Item", _xlfn.XLOOKUP($A1791, 'Instrument Table'!$J:$J, 'Instrument Table'!$B:$B, $C1790), IF($B1791 = "Service Item", _xlfn.XLOOKUP($A1791, 'Instrument Table'!$I:$I, 'Instrument Table'!$B:$B, $C1790), _xlfn.XLOOKUP($A1791, 'Instrument Table'!$H:$H, 'Instrument Table'!$B:$B, $C1790)))</f>
        <v>Clarinet</v>
      </c>
      <c r="D1791" s="1" t="str">
        <f>VLOOKUP($C1791, 'Instrument Table'!$B:$C, 2, FALSE)</f>
        <v>Woodwinds</v>
      </c>
      <c r="E1791" s="1">
        <f t="shared" si="162"/>
        <v>1</v>
      </c>
      <c r="F1791" s="1">
        <f>_xlfn.XLOOKUP($C1791, 'Instrument Table'!$B:$B, 'Instrument Table'!$A:$A, "")</f>
        <v>30</v>
      </c>
      <c r="G1791" s="1" t="str">
        <f>TEXT(IF($B1791 = "Retail Item", IF((ROW($A1791) - 4504 - _xlfn.XMATCH($C1791, $C$4506:$C$5005, 0, 1)) &lt;= VLOOKUP($C1791, 'Instrument Table'!$B:$D, 3, FALSE), ROW($A1791) - 4504 - _xlfn.XMATCH($C1791, $C$4506:$C$5005, 0, 1), 0), 0), "00")</f>
        <v>00</v>
      </c>
      <c r="H1791" s="1" t="str">
        <f t="shared" si="163"/>
        <v>035</v>
      </c>
      <c r="I1791" s="1" t="str">
        <f t="shared" si="164"/>
        <v>13000-035</v>
      </c>
      <c r="J1791" s="1" t="str">
        <f t="shared" si="165"/>
        <v>Clarinet production item #035</v>
      </c>
      <c r="K1791" s="1" t="str">
        <f>IF(SUM(COUNTIFS(I:I, I1791)) &gt; 1, "DUPLICATE", "UNIQUE")</f>
        <v>UNIQUE</v>
      </c>
      <c r="L1791" s="18">
        <v>0</v>
      </c>
      <c r="M1791" s="28">
        <v>41</v>
      </c>
      <c r="N1791" s="6">
        <v>49</v>
      </c>
      <c r="O1791" s="30">
        <f t="shared" si="166"/>
        <v>0</v>
      </c>
      <c r="P1791" s="30">
        <f t="shared" si="167"/>
        <v>2009</v>
      </c>
      <c r="Q1791" s="1">
        <f>COUNTIFS($P:$P, "&gt;" &amp; $P1791) + 1</f>
        <v>3254</v>
      </c>
      <c r="R1791" s="63">
        <f>(COUNTIFS($P:$P, "&gt;" &amp; $P1791) + 1) / (COUNTA($I:$I) - 1)</f>
        <v>0.65080000000000005</v>
      </c>
      <c r="S1791" s="23">
        <f>SUMIFS($P:$P, $Q:$Q, "&lt;" &amp; $Q1791)</f>
        <v>185519164</v>
      </c>
    </row>
    <row r="1792" spans="1:19" x14ac:dyDescent="0.25">
      <c r="A1792" s="1">
        <v>1787</v>
      </c>
      <c r="B1792" s="1" t="s">
        <v>2</v>
      </c>
      <c r="C1792" s="1" t="str">
        <f>IF($B1792 = "Production Item", _xlfn.XLOOKUP($A1792, 'Instrument Table'!$J:$J, 'Instrument Table'!$B:$B, $C1791), IF($B1792 = "Service Item", _xlfn.XLOOKUP($A1792, 'Instrument Table'!$I:$I, 'Instrument Table'!$B:$B, $C1791), _xlfn.XLOOKUP($A1792, 'Instrument Table'!$H:$H, 'Instrument Table'!$B:$B, $C1791)))</f>
        <v>Clarinet</v>
      </c>
      <c r="D1792" s="1" t="str">
        <f>VLOOKUP($C1792, 'Instrument Table'!$B:$C, 2, FALSE)</f>
        <v>Woodwinds</v>
      </c>
      <c r="E1792" s="1">
        <f t="shared" si="162"/>
        <v>1</v>
      </c>
      <c r="F1792" s="1">
        <f>_xlfn.XLOOKUP($C1792, 'Instrument Table'!$B:$B, 'Instrument Table'!$A:$A, "")</f>
        <v>30</v>
      </c>
      <c r="G1792" s="1" t="str">
        <f>TEXT(IF($B1792 = "Retail Item", IF((ROW($A1792) - 4504 - _xlfn.XMATCH($C1792, $C$4506:$C$5005, 0, 1)) &lt;= VLOOKUP($C1792, 'Instrument Table'!$B:$D, 3, FALSE), ROW($A1792) - 4504 - _xlfn.XMATCH($C1792, $C$4506:$C$5005, 0, 1), 0), 0), "00")</f>
        <v>00</v>
      </c>
      <c r="H1792" s="1" t="str">
        <f t="shared" si="163"/>
        <v>036</v>
      </c>
      <c r="I1792" s="1" t="str">
        <f t="shared" si="164"/>
        <v>13000-036</v>
      </c>
      <c r="J1792" s="1" t="str">
        <f t="shared" si="165"/>
        <v>Clarinet production item #036</v>
      </c>
      <c r="K1792" s="1" t="str">
        <f>IF(SUM(COUNTIFS(I:I, I1792)) &gt; 1, "DUPLICATE", "UNIQUE")</f>
        <v>UNIQUE</v>
      </c>
      <c r="L1792" s="18">
        <v>0</v>
      </c>
      <c r="M1792" s="28">
        <v>56</v>
      </c>
      <c r="N1792" s="6">
        <v>64</v>
      </c>
      <c r="O1792" s="30">
        <f t="shared" si="166"/>
        <v>0</v>
      </c>
      <c r="P1792" s="30">
        <f t="shared" si="167"/>
        <v>3584</v>
      </c>
      <c r="Q1792" s="1">
        <f>COUNTIFS($P:$P, "&gt;" &amp; $P1792) + 1</f>
        <v>2747</v>
      </c>
      <c r="R1792" s="63">
        <f>(COUNTIFS($P:$P, "&gt;" &amp; $P1792) + 1) / (COUNTA($I:$I) - 1)</f>
        <v>0.5494</v>
      </c>
      <c r="S1792" s="23">
        <f>SUMIFS($P:$P, $Q:$Q, "&lt;" &amp; $Q1792)</f>
        <v>184140041</v>
      </c>
    </row>
    <row r="1793" spans="1:19" x14ac:dyDescent="0.25">
      <c r="A1793" s="1">
        <v>1788</v>
      </c>
      <c r="B1793" s="1" t="s">
        <v>2</v>
      </c>
      <c r="C1793" s="1" t="str">
        <f>IF($B1793 = "Production Item", _xlfn.XLOOKUP($A1793, 'Instrument Table'!$J:$J, 'Instrument Table'!$B:$B, $C1792), IF($B1793 = "Service Item", _xlfn.XLOOKUP($A1793, 'Instrument Table'!$I:$I, 'Instrument Table'!$B:$B, $C1792), _xlfn.XLOOKUP($A1793, 'Instrument Table'!$H:$H, 'Instrument Table'!$B:$B, $C1792)))</f>
        <v>Clarinet</v>
      </c>
      <c r="D1793" s="1" t="str">
        <f>VLOOKUP($C1793, 'Instrument Table'!$B:$C, 2, FALSE)</f>
        <v>Woodwinds</v>
      </c>
      <c r="E1793" s="1">
        <f t="shared" si="162"/>
        <v>1</v>
      </c>
      <c r="F1793" s="1">
        <f>_xlfn.XLOOKUP($C1793, 'Instrument Table'!$B:$B, 'Instrument Table'!$A:$A, "")</f>
        <v>30</v>
      </c>
      <c r="G1793" s="1" t="str">
        <f>TEXT(IF($B1793 = "Retail Item", IF((ROW($A1793) - 4504 - _xlfn.XMATCH($C1793, $C$4506:$C$5005, 0, 1)) &lt;= VLOOKUP($C1793, 'Instrument Table'!$B:$D, 3, FALSE), ROW($A1793) - 4504 - _xlfn.XMATCH($C1793, $C$4506:$C$5005, 0, 1), 0), 0), "00")</f>
        <v>00</v>
      </c>
      <c r="H1793" s="1" t="str">
        <f t="shared" si="163"/>
        <v>037</v>
      </c>
      <c r="I1793" s="1" t="str">
        <f t="shared" si="164"/>
        <v>13000-037</v>
      </c>
      <c r="J1793" s="1" t="str">
        <f t="shared" si="165"/>
        <v>Clarinet production item #037</v>
      </c>
      <c r="K1793" s="1" t="str">
        <f>IF(SUM(COUNTIFS(I:I, I1793)) &gt; 1, "DUPLICATE", "UNIQUE")</f>
        <v>UNIQUE</v>
      </c>
      <c r="L1793" s="18">
        <v>1</v>
      </c>
      <c r="M1793" s="28">
        <v>80</v>
      </c>
      <c r="N1793" s="6">
        <v>81</v>
      </c>
      <c r="O1793" s="30">
        <f t="shared" si="166"/>
        <v>80</v>
      </c>
      <c r="P1793" s="30">
        <f t="shared" si="167"/>
        <v>6480</v>
      </c>
      <c r="Q1793" s="1">
        <f>COUNTIFS($P:$P, "&gt;" &amp; $P1793) + 1</f>
        <v>2209</v>
      </c>
      <c r="R1793" s="63">
        <f>(COUNTIFS($P:$P, "&gt;" &amp; $P1793) + 1) / (COUNTA($I:$I) - 1)</f>
        <v>0.44180000000000003</v>
      </c>
      <c r="S1793" s="23">
        <f>SUMIFS($P:$P, $Q:$Q, "&lt;" &amp; $Q1793)</f>
        <v>181510092</v>
      </c>
    </row>
    <row r="1794" spans="1:19" x14ac:dyDescent="0.25">
      <c r="A1794" s="1">
        <v>1789</v>
      </c>
      <c r="B1794" s="1" t="s">
        <v>2</v>
      </c>
      <c r="C1794" s="1" t="str">
        <f>IF($B1794 = "Production Item", _xlfn.XLOOKUP($A1794, 'Instrument Table'!$J:$J, 'Instrument Table'!$B:$B, $C1793), IF($B1794 = "Service Item", _xlfn.XLOOKUP($A1794, 'Instrument Table'!$I:$I, 'Instrument Table'!$B:$B, $C1793), _xlfn.XLOOKUP($A1794, 'Instrument Table'!$H:$H, 'Instrument Table'!$B:$B, $C1793)))</f>
        <v>Clarinet</v>
      </c>
      <c r="D1794" s="1" t="str">
        <f>VLOOKUP($C1794, 'Instrument Table'!$B:$C, 2, FALSE)</f>
        <v>Woodwinds</v>
      </c>
      <c r="E1794" s="1">
        <f t="shared" si="162"/>
        <v>1</v>
      </c>
      <c r="F1794" s="1">
        <f>_xlfn.XLOOKUP($C1794, 'Instrument Table'!$B:$B, 'Instrument Table'!$A:$A, "")</f>
        <v>30</v>
      </c>
      <c r="G1794" s="1" t="str">
        <f>TEXT(IF($B1794 = "Retail Item", IF((ROW($A1794) - 4504 - _xlfn.XMATCH($C1794, $C$4506:$C$5005, 0, 1)) &lt;= VLOOKUP($C1794, 'Instrument Table'!$B:$D, 3, FALSE), ROW($A1794) - 4504 - _xlfn.XMATCH($C1794, $C$4506:$C$5005, 0, 1), 0), 0), "00")</f>
        <v>00</v>
      </c>
      <c r="H1794" s="1" t="str">
        <f t="shared" si="163"/>
        <v>038</v>
      </c>
      <c r="I1794" s="1" t="str">
        <f t="shared" si="164"/>
        <v>13000-038</v>
      </c>
      <c r="J1794" s="1" t="str">
        <f t="shared" si="165"/>
        <v>Clarinet production item #038</v>
      </c>
      <c r="K1794" s="1" t="str">
        <f>IF(SUM(COUNTIFS(I:I, I1794)) &gt; 1, "DUPLICATE", "UNIQUE")</f>
        <v>UNIQUE</v>
      </c>
      <c r="L1794" s="18">
        <v>32</v>
      </c>
      <c r="M1794" s="28">
        <v>98</v>
      </c>
      <c r="N1794" s="6">
        <v>225</v>
      </c>
      <c r="O1794" s="30">
        <f t="shared" si="166"/>
        <v>3136</v>
      </c>
      <c r="P1794" s="30">
        <f t="shared" si="167"/>
        <v>22050</v>
      </c>
      <c r="Q1794" s="1">
        <f>COUNTIFS($P:$P, "&gt;" &amp; $P1794) + 1</f>
        <v>947</v>
      </c>
      <c r="R1794" s="63">
        <f>(COUNTIFS($P:$P, "&gt;" &amp; $P1794) + 1) / (COUNTA($I:$I) - 1)</f>
        <v>0.18940000000000001</v>
      </c>
      <c r="S1794" s="23">
        <f>SUMIFS($P:$P, $Q:$Q, "&lt;" &amp; $Q1794)</f>
        <v>165343282</v>
      </c>
    </row>
    <row r="1795" spans="1:19" x14ac:dyDescent="0.25">
      <c r="A1795" s="1">
        <v>1790</v>
      </c>
      <c r="B1795" s="1" t="s">
        <v>2</v>
      </c>
      <c r="C1795" s="1" t="str">
        <f>IF($B1795 = "Production Item", _xlfn.XLOOKUP($A1795, 'Instrument Table'!$J:$J, 'Instrument Table'!$B:$B, $C1794), IF($B1795 = "Service Item", _xlfn.XLOOKUP($A1795, 'Instrument Table'!$I:$I, 'Instrument Table'!$B:$B, $C1794), _xlfn.XLOOKUP($A1795, 'Instrument Table'!$H:$H, 'Instrument Table'!$B:$B, $C1794)))</f>
        <v>Clarinet</v>
      </c>
      <c r="D1795" s="1" t="str">
        <f>VLOOKUP($C1795, 'Instrument Table'!$B:$C, 2, FALSE)</f>
        <v>Woodwinds</v>
      </c>
      <c r="E1795" s="1">
        <f t="shared" si="162"/>
        <v>1</v>
      </c>
      <c r="F1795" s="1">
        <f>_xlfn.XLOOKUP($C1795, 'Instrument Table'!$B:$B, 'Instrument Table'!$A:$A, "")</f>
        <v>30</v>
      </c>
      <c r="G1795" s="1" t="str">
        <f>TEXT(IF($B1795 = "Retail Item", IF((ROW($A1795) - 4504 - _xlfn.XMATCH($C1795, $C$4506:$C$5005, 0, 1)) &lt;= VLOOKUP($C1795, 'Instrument Table'!$B:$D, 3, FALSE), ROW($A1795) - 4504 - _xlfn.XMATCH($C1795, $C$4506:$C$5005, 0, 1), 0), 0), "00")</f>
        <v>00</v>
      </c>
      <c r="H1795" s="1" t="str">
        <f t="shared" si="163"/>
        <v>039</v>
      </c>
      <c r="I1795" s="1" t="str">
        <f t="shared" si="164"/>
        <v>13000-039</v>
      </c>
      <c r="J1795" s="1" t="str">
        <f t="shared" si="165"/>
        <v>Clarinet production item #039</v>
      </c>
      <c r="K1795" s="1" t="str">
        <f>IF(SUM(COUNTIFS(I:I, I1795)) &gt; 1, "DUPLICATE", "UNIQUE")</f>
        <v>UNIQUE</v>
      </c>
      <c r="L1795" s="18">
        <v>1</v>
      </c>
      <c r="M1795" s="28">
        <v>19</v>
      </c>
      <c r="N1795" s="6">
        <v>9</v>
      </c>
      <c r="O1795" s="30">
        <f t="shared" si="166"/>
        <v>19</v>
      </c>
      <c r="P1795" s="30">
        <f t="shared" si="167"/>
        <v>171</v>
      </c>
      <c r="Q1795" s="1">
        <f>COUNTIFS($P:$P, "&gt;" &amp; $P1795) + 1</f>
        <v>4371</v>
      </c>
      <c r="R1795" s="63">
        <f>(COUNTIFS($P:$P, "&gt;" &amp; $P1795) + 1) / (COUNTA($I:$I) - 1)</f>
        <v>0.87419999999999998</v>
      </c>
      <c r="S1795" s="23">
        <f>SUMIFS($P:$P, $Q:$Q, "&lt;" &amp; $Q1795)</f>
        <v>186521340</v>
      </c>
    </row>
    <row r="1796" spans="1:19" x14ac:dyDescent="0.25">
      <c r="A1796" s="1">
        <v>1791</v>
      </c>
      <c r="B1796" s="1" t="s">
        <v>2</v>
      </c>
      <c r="C1796" s="1" t="str">
        <f>IF($B1796 = "Production Item", _xlfn.XLOOKUP($A1796, 'Instrument Table'!$J:$J, 'Instrument Table'!$B:$B, $C1795), IF($B1796 = "Service Item", _xlfn.XLOOKUP($A1796, 'Instrument Table'!$I:$I, 'Instrument Table'!$B:$B, $C1795), _xlfn.XLOOKUP($A1796, 'Instrument Table'!$H:$H, 'Instrument Table'!$B:$B, $C1795)))</f>
        <v>Clarinet</v>
      </c>
      <c r="D1796" s="1" t="str">
        <f>VLOOKUP($C1796, 'Instrument Table'!$B:$C, 2, FALSE)</f>
        <v>Woodwinds</v>
      </c>
      <c r="E1796" s="1">
        <f t="shared" si="162"/>
        <v>1</v>
      </c>
      <c r="F1796" s="1">
        <f>_xlfn.XLOOKUP($C1796, 'Instrument Table'!$B:$B, 'Instrument Table'!$A:$A, "")</f>
        <v>30</v>
      </c>
      <c r="G1796" s="1" t="str">
        <f>TEXT(IF($B1796 = "Retail Item", IF((ROW($A1796) - 4504 - _xlfn.XMATCH($C1796, $C$4506:$C$5005, 0, 1)) &lt;= VLOOKUP($C1796, 'Instrument Table'!$B:$D, 3, FALSE), ROW($A1796) - 4504 - _xlfn.XMATCH($C1796, $C$4506:$C$5005, 0, 1), 0), 0), "00")</f>
        <v>00</v>
      </c>
      <c r="H1796" s="1" t="str">
        <f t="shared" si="163"/>
        <v>040</v>
      </c>
      <c r="I1796" s="1" t="str">
        <f t="shared" si="164"/>
        <v>13000-040</v>
      </c>
      <c r="J1796" s="1" t="str">
        <f t="shared" si="165"/>
        <v>Clarinet production item #040</v>
      </c>
      <c r="K1796" s="1" t="str">
        <f>IF(SUM(COUNTIFS(I:I, I1796)) &gt; 1, "DUPLICATE", "UNIQUE")</f>
        <v>UNIQUE</v>
      </c>
      <c r="L1796" s="18">
        <v>1</v>
      </c>
      <c r="M1796" s="28">
        <v>25</v>
      </c>
      <c r="N1796" s="6">
        <v>144</v>
      </c>
      <c r="O1796" s="30">
        <f t="shared" si="166"/>
        <v>25</v>
      </c>
      <c r="P1796" s="30">
        <f t="shared" si="167"/>
        <v>3600</v>
      </c>
      <c r="Q1796" s="1">
        <f>COUNTIFS($P:$P, "&gt;" &amp; $P1796) + 1</f>
        <v>2737</v>
      </c>
      <c r="R1796" s="63">
        <f>(COUNTIFS($P:$P, "&gt;" &amp; $P1796) + 1) / (COUNTA($I:$I) - 1)</f>
        <v>0.5474</v>
      </c>
      <c r="S1796" s="23">
        <f>SUMIFS($P:$P, $Q:$Q, "&lt;" &amp; $Q1796)</f>
        <v>184104041</v>
      </c>
    </row>
    <row r="1797" spans="1:19" x14ac:dyDescent="0.25">
      <c r="A1797" s="1">
        <v>1792</v>
      </c>
      <c r="B1797" s="1" t="s">
        <v>2</v>
      </c>
      <c r="C1797" s="1" t="str">
        <f>IF($B1797 = "Production Item", _xlfn.XLOOKUP($A1797, 'Instrument Table'!$J:$J, 'Instrument Table'!$B:$B, $C1796), IF($B1797 = "Service Item", _xlfn.XLOOKUP($A1797, 'Instrument Table'!$I:$I, 'Instrument Table'!$B:$B, $C1796), _xlfn.XLOOKUP($A1797, 'Instrument Table'!$H:$H, 'Instrument Table'!$B:$B, $C1796)))</f>
        <v>Clarinet</v>
      </c>
      <c r="D1797" s="1" t="str">
        <f>VLOOKUP($C1797, 'Instrument Table'!$B:$C, 2, FALSE)</f>
        <v>Woodwinds</v>
      </c>
      <c r="E1797" s="1">
        <f t="shared" si="162"/>
        <v>1</v>
      </c>
      <c r="F1797" s="1">
        <f>_xlfn.XLOOKUP($C1797, 'Instrument Table'!$B:$B, 'Instrument Table'!$A:$A, "")</f>
        <v>30</v>
      </c>
      <c r="G1797" s="1" t="str">
        <f>TEXT(IF($B1797 = "Retail Item", IF((ROW($A1797) - 4504 - _xlfn.XMATCH($C1797, $C$4506:$C$5005, 0, 1)) &lt;= VLOOKUP($C1797, 'Instrument Table'!$B:$D, 3, FALSE), ROW($A1797) - 4504 - _xlfn.XMATCH($C1797, $C$4506:$C$5005, 0, 1), 0), 0), "00")</f>
        <v>00</v>
      </c>
      <c r="H1797" s="1" t="str">
        <f t="shared" si="163"/>
        <v>041</v>
      </c>
      <c r="I1797" s="1" t="str">
        <f t="shared" si="164"/>
        <v>13000-041</v>
      </c>
      <c r="J1797" s="1" t="str">
        <f t="shared" si="165"/>
        <v>Clarinet production item #041</v>
      </c>
      <c r="K1797" s="1" t="str">
        <f>IF(SUM(COUNTIFS(I:I, I1797)) &gt; 1, "DUPLICATE", "UNIQUE")</f>
        <v>UNIQUE</v>
      </c>
      <c r="L1797" s="18">
        <v>32</v>
      </c>
      <c r="M1797" s="28">
        <v>32</v>
      </c>
      <c r="N1797" s="6">
        <v>81</v>
      </c>
      <c r="O1797" s="30">
        <f t="shared" si="166"/>
        <v>1024</v>
      </c>
      <c r="P1797" s="30">
        <f t="shared" si="167"/>
        <v>2592</v>
      </c>
      <c r="Q1797" s="1">
        <f>COUNTIFS($P:$P, "&gt;" &amp; $P1797) + 1</f>
        <v>3012</v>
      </c>
      <c r="R1797" s="63">
        <f>(COUNTIFS($P:$P, "&gt;" &amp; $P1797) + 1) / (COUNTA($I:$I) - 1)</f>
        <v>0.60240000000000005</v>
      </c>
      <c r="S1797" s="23">
        <f>SUMIFS($P:$P, $Q:$Q, "&lt;" &amp; $Q1797)</f>
        <v>184963466</v>
      </c>
    </row>
    <row r="1798" spans="1:19" x14ac:dyDescent="0.25">
      <c r="A1798" s="1">
        <v>1793</v>
      </c>
      <c r="B1798" s="1" t="s">
        <v>2</v>
      </c>
      <c r="C1798" s="1" t="str">
        <f>IF($B1798 = "Production Item", _xlfn.XLOOKUP($A1798, 'Instrument Table'!$J:$J, 'Instrument Table'!$B:$B, $C1797), IF($B1798 = "Service Item", _xlfn.XLOOKUP($A1798, 'Instrument Table'!$I:$I, 'Instrument Table'!$B:$B, $C1797), _xlfn.XLOOKUP($A1798, 'Instrument Table'!$H:$H, 'Instrument Table'!$B:$B, $C1797)))</f>
        <v>Clarinet</v>
      </c>
      <c r="D1798" s="1" t="str">
        <f>VLOOKUP($C1798, 'Instrument Table'!$B:$C, 2, FALSE)</f>
        <v>Woodwinds</v>
      </c>
      <c r="E1798" s="1">
        <f t="shared" si="162"/>
        <v>1</v>
      </c>
      <c r="F1798" s="1">
        <f>_xlfn.XLOOKUP($C1798, 'Instrument Table'!$B:$B, 'Instrument Table'!$A:$A, "")</f>
        <v>30</v>
      </c>
      <c r="G1798" s="1" t="str">
        <f>TEXT(IF($B1798 = "Retail Item", IF((ROW($A1798) - 4504 - _xlfn.XMATCH($C1798, $C$4506:$C$5005, 0, 1)) &lt;= VLOOKUP($C1798, 'Instrument Table'!$B:$D, 3, FALSE), ROW($A1798) - 4504 - _xlfn.XMATCH($C1798, $C$4506:$C$5005, 0, 1), 0), 0), "00")</f>
        <v>00</v>
      </c>
      <c r="H1798" s="1" t="str">
        <f t="shared" si="163"/>
        <v>042</v>
      </c>
      <c r="I1798" s="1" t="str">
        <f t="shared" si="164"/>
        <v>13000-042</v>
      </c>
      <c r="J1798" s="1" t="str">
        <f t="shared" si="165"/>
        <v>Clarinet production item #042</v>
      </c>
      <c r="K1798" s="1" t="str">
        <f>IF(SUM(COUNTIFS(I:I, I1798)) &gt; 1, "DUPLICATE", "UNIQUE")</f>
        <v>UNIQUE</v>
      </c>
      <c r="L1798" s="18">
        <v>0</v>
      </c>
      <c r="M1798" s="28">
        <v>69</v>
      </c>
      <c r="N1798" s="6">
        <v>49</v>
      </c>
      <c r="O1798" s="30">
        <f t="shared" si="166"/>
        <v>0</v>
      </c>
      <c r="P1798" s="30">
        <f t="shared" si="167"/>
        <v>3381</v>
      </c>
      <c r="Q1798" s="1">
        <f>COUNTIFS($P:$P, "&gt;" &amp; $P1798) + 1</f>
        <v>2810</v>
      </c>
      <c r="R1798" s="63">
        <f>(COUNTIFS($P:$P, "&gt;" &amp; $P1798) + 1) / (COUNTA($I:$I) - 1)</f>
        <v>0.56200000000000006</v>
      </c>
      <c r="S1798" s="23">
        <f>SUMIFS($P:$P, $Q:$Q, "&lt;" &amp; $Q1798)</f>
        <v>184359851</v>
      </c>
    </row>
    <row r="1799" spans="1:19" x14ac:dyDescent="0.25">
      <c r="A1799" s="1">
        <v>1794</v>
      </c>
      <c r="B1799" s="1" t="s">
        <v>2</v>
      </c>
      <c r="C1799" s="1" t="str">
        <f>IF($B1799 = "Production Item", _xlfn.XLOOKUP($A1799, 'Instrument Table'!$J:$J, 'Instrument Table'!$B:$B, $C1798), IF($B1799 = "Service Item", _xlfn.XLOOKUP($A1799, 'Instrument Table'!$I:$I, 'Instrument Table'!$B:$B, $C1798), _xlfn.XLOOKUP($A1799, 'Instrument Table'!$H:$H, 'Instrument Table'!$B:$B, $C1798)))</f>
        <v>Clarinet</v>
      </c>
      <c r="D1799" s="1" t="str">
        <f>VLOOKUP($C1799, 'Instrument Table'!$B:$C, 2, FALSE)</f>
        <v>Woodwinds</v>
      </c>
      <c r="E1799" s="1">
        <f t="shared" ref="E1799:E1862" si="168">IF($B1799 = "Production Item", 1, IF($B1799 = "Service Item", 2, IF($B1799 = "Retail Item", 3, "")))</f>
        <v>1</v>
      </c>
      <c r="F1799" s="1">
        <f>_xlfn.XLOOKUP($C1799, 'Instrument Table'!$B:$B, 'Instrument Table'!$A:$A, "")</f>
        <v>30</v>
      </c>
      <c r="G1799" s="1" t="str">
        <f>TEXT(IF($B1799 = "Retail Item", IF((ROW($A1799) - 4504 - _xlfn.XMATCH($C1799, $C$4506:$C$5005, 0, 1)) &lt;= VLOOKUP($C1799, 'Instrument Table'!$B:$D, 3, FALSE), ROW($A1799) - 4504 - _xlfn.XMATCH($C1799, $C$4506:$C$5005, 0, 1), 0), 0), "00")</f>
        <v>00</v>
      </c>
      <c r="H1799" s="1" t="str">
        <f t="shared" ref="H1799:H1862" si="169">TEXT(IF($E1799 &amp; $F1799 &amp; $G1799 = $E1798 &amp; $F1798 &amp; $G1798, 1 + H1798, 0), "000")</f>
        <v>043</v>
      </c>
      <c r="I1799" s="1" t="str">
        <f t="shared" ref="I1799:I1862" si="170" xml:space="preserve"> _xlfn.CONCAT($E1799, $F1799, $G1799, "-", H1799)</f>
        <v>13000-043</v>
      </c>
      <c r="J1799" s="1" t="str">
        <f t="shared" ref="J1799:J1862" si="171">LEFT($C1799, 1) &amp; LOWER(RIGHT($C1799, LEN($C1799) - 1)) &amp; IF(AND($G1799 &lt;&gt; "00", $B1799 = "Retail Item"), " model #" &amp; $G1799, " " &amp; LOWER($B1799) &amp; " #" &amp; $H1799)</f>
        <v>Clarinet production item #043</v>
      </c>
      <c r="K1799" s="1" t="str">
        <f>IF(SUM(COUNTIFS(I:I, I1799)) &gt; 1, "DUPLICATE", "UNIQUE")</f>
        <v>UNIQUE</v>
      </c>
      <c r="L1799" s="18">
        <v>4</v>
      </c>
      <c r="M1799" s="28">
        <v>76</v>
      </c>
      <c r="N1799" s="6">
        <v>169</v>
      </c>
      <c r="O1799" s="30">
        <f t="shared" ref="O1799:O1862" si="172">$L1799 * $M1799</f>
        <v>304</v>
      </c>
      <c r="P1799" s="30">
        <f t="shared" ref="P1799:P1862" si="173">$N1799 * $M1799</f>
        <v>12844</v>
      </c>
      <c r="Q1799" s="1">
        <f>COUNTIFS($P:$P, "&gt;" &amp; $P1799) + 1</f>
        <v>1510</v>
      </c>
      <c r="R1799" s="63">
        <f>(COUNTIFS($P:$P, "&gt;" &amp; $P1799) + 1) / (COUNTA($I:$I) - 1)</f>
        <v>0.30199999999999999</v>
      </c>
      <c r="S1799" s="23">
        <f>SUMIFS($P:$P, $Q:$Q, "&lt;" &amp; $Q1799)</f>
        <v>174969283</v>
      </c>
    </row>
    <row r="1800" spans="1:19" x14ac:dyDescent="0.25">
      <c r="A1800" s="1">
        <v>1795</v>
      </c>
      <c r="B1800" s="1" t="s">
        <v>2</v>
      </c>
      <c r="C1800" s="1" t="str">
        <f>IF($B1800 = "Production Item", _xlfn.XLOOKUP($A1800, 'Instrument Table'!$J:$J, 'Instrument Table'!$B:$B, $C1799), IF($B1800 = "Service Item", _xlfn.XLOOKUP($A1800, 'Instrument Table'!$I:$I, 'Instrument Table'!$B:$B, $C1799), _xlfn.XLOOKUP($A1800, 'Instrument Table'!$H:$H, 'Instrument Table'!$B:$B, $C1799)))</f>
        <v>Clarinet</v>
      </c>
      <c r="D1800" s="1" t="str">
        <f>VLOOKUP($C1800, 'Instrument Table'!$B:$C, 2, FALSE)</f>
        <v>Woodwinds</v>
      </c>
      <c r="E1800" s="1">
        <f t="shared" si="168"/>
        <v>1</v>
      </c>
      <c r="F1800" s="1">
        <f>_xlfn.XLOOKUP($C1800, 'Instrument Table'!$B:$B, 'Instrument Table'!$A:$A, "")</f>
        <v>30</v>
      </c>
      <c r="G1800" s="1" t="str">
        <f>TEXT(IF($B1800 = "Retail Item", IF((ROW($A1800) - 4504 - _xlfn.XMATCH($C1800, $C$4506:$C$5005, 0, 1)) &lt;= VLOOKUP($C1800, 'Instrument Table'!$B:$D, 3, FALSE), ROW($A1800) - 4504 - _xlfn.XMATCH($C1800, $C$4506:$C$5005, 0, 1), 0), 0), "00")</f>
        <v>00</v>
      </c>
      <c r="H1800" s="1" t="str">
        <f t="shared" si="169"/>
        <v>044</v>
      </c>
      <c r="I1800" s="1" t="str">
        <f t="shared" si="170"/>
        <v>13000-044</v>
      </c>
      <c r="J1800" s="1" t="str">
        <f t="shared" si="171"/>
        <v>Clarinet production item #044</v>
      </c>
      <c r="K1800" s="1" t="str">
        <f>IF(SUM(COUNTIFS(I:I, I1800)) &gt; 1, "DUPLICATE", "UNIQUE")</f>
        <v>UNIQUE</v>
      </c>
      <c r="L1800" s="18">
        <v>0</v>
      </c>
      <c r="M1800" s="28">
        <v>3</v>
      </c>
      <c r="N1800" s="6">
        <v>121</v>
      </c>
      <c r="O1800" s="30">
        <f t="shared" si="172"/>
        <v>0</v>
      </c>
      <c r="P1800" s="30">
        <f t="shared" si="173"/>
        <v>363</v>
      </c>
      <c r="Q1800" s="1">
        <f>COUNTIFS($P:$P, "&gt;" &amp; $P1800) + 1</f>
        <v>4134</v>
      </c>
      <c r="R1800" s="63">
        <f>(COUNTIFS($P:$P, "&gt;" &amp; $P1800) + 1) / (COUNTA($I:$I) - 1)</f>
        <v>0.82679999999999998</v>
      </c>
      <c r="S1800" s="23">
        <f>SUMIFS($P:$P, $Q:$Q, "&lt;" &amp; $Q1800)</f>
        <v>186457984</v>
      </c>
    </row>
    <row r="1801" spans="1:19" x14ac:dyDescent="0.25">
      <c r="A1801" s="1">
        <v>1796</v>
      </c>
      <c r="B1801" s="1" t="s">
        <v>2</v>
      </c>
      <c r="C1801" s="1" t="str">
        <f>IF($B1801 = "Production Item", _xlfn.XLOOKUP($A1801, 'Instrument Table'!$J:$J, 'Instrument Table'!$B:$B, $C1800), IF($B1801 = "Service Item", _xlfn.XLOOKUP($A1801, 'Instrument Table'!$I:$I, 'Instrument Table'!$B:$B, $C1800), _xlfn.XLOOKUP($A1801, 'Instrument Table'!$H:$H, 'Instrument Table'!$B:$B, $C1800)))</f>
        <v>Clarinet</v>
      </c>
      <c r="D1801" s="1" t="str">
        <f>VLOOKUP($C1801, 'Instrument Table'!$B:$C, 2, FALSE)</f>
        <v>Woodwinds</v>
      </c>
      <c r="E1801" s="1">
        <f t="shared" si="168"/>
        <v>1</v>
      </c>
      <c r="F1801" s="1">
        <f>_xlfn.XLOOKUP($C1801, 'Instrument Table'!$B:$B, 'Instrument Table'!$A:$A, "")</f>
        <v>30</v>
      </c>
      <c r="G1801" s="1" t="str">
        <f>TEXT(IF($B1801 = "Retail Item", IF((ROW($A1801) - 4504 - _xlfn.XMATCH($C1801, $C$4506:$C$5005, 0, 1)) &lt;= VLOOKUP($C1801, 'Instrument Table'!$B:$D, 3, FALSE), ROW($A1801) - 4504 - _xlfn.XMATCH($C1801, $C$4506:$C$5005, 0, 1), 0), 0), "00")</f>
        <v>00</v>
      </c>
      <c r="H1801" s="1" t="str">
        <f t="shared" si="169"/>
        <v>045</v>
      </c>
      <c r="I1801" s="1" t="str">
        <f t="shared" si="170"/>
        <v>13000-045</v>
      </c>
      <c r="J1801" s="1" t="str">
        <f t="shared" si="171"/>
        <v>Clarinet production item #045</v>
      </c>
      <c r="K1801" s="1" t="str">
        <f>IF(SUM(COUNTIFS(I:I, I1801)) &gt; 1, "DUPLICATE", "UNIQUE")</f>
        <v>UNIQUE</v>
      </c>
      <c r="L1801" s="18">
        <v>0</v>
      </c>
      <c r="M1801" s="28">
        <v>60</v>
      </c>
      <c r="N1801" s="6">
        <v>225</v>
      </c>
      <c r="O1801" s="30">
        <f t="shared" si="172"/>
        <v>0</v>
      </c>
      <c r="P1801" s="30">
        <f t="shared" si="173"/>
        <v>13500</v>
      </c>
      <c r="Q1801" s="1">
        <f>COUNTIFS($P:$P, "&gt;" &amp; $P1801) + 1</f>
        <v>1462</v>
      </c>
      <c r="R1801" s="63">
        <f>(COUNTIFS($P:$P, "&gt;" &amp; $P1801) + 1) / (COUNTA($I:$I) - 1)</f>
        <v>0.29239999999999999</v>
      </c>
      <c r="S1801" s="23">
        <f>SUMIFS($P:$P, $Q:$Q, "&lt;" &amp; $Q1801)</f>
        <v>174335881</v>
      </c>
    </row>
    <row r="1802" spans="1:19" x14ac:dyDescent="0.25">
      <c r="A1802" s="1">
        <v>1797</v>
      </c>
      <c r="B1802" s="1" t="s">
        <v>2</v>
      </c>
      <c r="C1802" s="1" t="str">
        <f>IF($B1802 = "Production Item", _xlfn.XLOOKUP($A1802, 'Instrument Table'!$J:$J, 'Instrument Table'!$B:$B, $C1801), IF($B1802 = "Service Item", _xlfn.XLOOKUP($A1802, 'Instrument Table'!$I:$I, 'Instrument Table'!$B:$B, $C1801), _xlfn.XLOOKUP($A1802, 'Instrument Table'!$H:$H, 'Instrument Table'!$B:$B, $C1801)))</f>
        <v>Clarinet</v>
      </c>
      <c r="D1802" s="1" t="str">
        <f>VLOOKUP($C1802, 'Instrument Table'!$B:$C, 2, FALSE)</f>
        <v>Woodwinds</v>
      </c>
      <c r="E1802" s="1">
        <f t="shared" si="168"/>
        <v>1</v>
      </c>
      <c r="F1802" s="1">
        <f>_xlfn.XLOOKUP($C1802, 'Instrument Table'!$B:$B, 'Instrument Table'!$A:$A, "")</f>
        <v>30</v>
      </c>
      <c r="G1802" s="1" t="str">
        <f>TEXT(IF($B1802 = "Retail Item", IF((ROW($A1802) - 4504 - _xlfn.XMATCH($C1802, $C$4506:$C$5005, 0, 1)) &lt;= VLOOKUP($C1802, 'Instrument Table'!$B:$D, 3, FALSE), ROW($A1802) - 4504 - _xlfn.XMATCH($C1802, $C$4506:$C$5005, 0, 1), 0), 0), "00")</f>
        <v>00</v>
      </c>
      <c r="H1802" s="1" t="str">
        <f t="shared" si="169"/>
        <v>046</v>
      </c>
      <c r="I1802" s="1" t="str">
        <f t="shared" si="170"/>
        <v>13000-046</v>
      </c>
      <c r="J1802" s="1" t="str">
        <f t="shared" si="171"/>
        <v>Clarinet production item #046</v>
      </c>
      <c r="K1802" s="1" t="str">
        <f>IF(SUM(COUNTIFS(I:I, I1802)) &gt; 1, "DUPLICATE", "UNIQUE")</f>
        <v>UNIQUE</v>
      </c>
      <c r="L1802" s="18">
        <v>1</v>
      </c>
      <c r="M1802" s="28">
        <v>70</v>
      </c>
      <c r="N1802" s="6">
        <v>81</v>
      </c>
      <c r="O1802" s="30">
        <f t="shared" si="172"/>
        <v>70</v>
      </c>
      <c r="P1802" s="30">
        <f t="shared" si="173"/>
        <v>5670</v>
      </c>
      <c r="Q1802" s="1">
        <f>COUNTIFS($P:$P, "&gt;" &amp; $P1802) + 1</f>
        <v>2325</v>
      </c>
      <c r="R1802" s="63">
        <f>(COUNTIFS($P:$P, "&gt;" &amp; $P1802) + 1) / (COUNTA($I:$I) - 1)</f>
        <v>0.46500000000000002</v>
      </c>
      <c r="S1802" s="23">
        <f>SUMIFS($P:$P, $Q:$Q, "&lt;" &amp; $Q1802)</f>
        <v>182207708</v>
      </c>
    </row>
    <row r="1803" spans="1:19" x14ac:dyDescent="0.25">
      <c r="A1803" s="1">
        <v>1798</v>
      </c>
      <c r="B1803" s="1" t="s">
        <v>2</v>
      </c>
      <c r="C1803" s="1" t="str">
        <f>IF($B1803 = "Production Item", _xlfn.XLOOKUP($A1803, 'Instrument Table'!$J:$J, 'Instrument Table'!$B:$B, $C1802), IF($B1803 = "Service Item", _xlfn.XLOOKUP($A1803, 'Instrument Table'!$I:$I, 'Instrument Table'!$B:$B, $C1802), _xlfn.XLOOKUP($A1803, 'Instrument Table'!$H:$H, 'Instrument Table'!$B:$B, $C1802)))</f>
        <v>Clarinet</v>
      </c>
      <c r="D1803" s="1" t="str">
        <f>VLOOKUP($C1803, 'Instrument Table'!$B:$C, 2, FALSE)</f>
        <v>Woodwinds</v>
      </c>
      <c r="E1803" s="1">
        <f t="shared" si="168"/>
        <v>1</v>
      </c>
      <c r="F1803" s="1">
        <f>_xlfn.XLOOKUP($C1803, 'Instrument Table'!$B:$B, 'Instrument Table'!$A:$A, "")</f>
        <v>30</v>
      </c>
      <c r="G1803" s="1" t="str">
        <f>TEXT(IF($B1803 = "Retail Item", IF((ROW($A1803) - 4504 - _xlfn.XMATCH($C1803, $C$4506:$C$5005, 0, 1)) &lt;= VLOOKUP($C1803, 'Instrument Table'!$B:$D, 3, FALSE), ROW($A1803) - 4504 - _xlfn.XMATCH($C1803, $C$4506:$C$5005, 0, 1), 0), 0), "00")</f>
        <v>00</v>
      </c>
      <c r="H1803" s="1" t="str">
        <f t="shared" si="169"/>
        <v>047</v>
      </c>
      <c r="I1803" s="1" t="str">
        <f t="shared" si="170"/>
        <v>13000-047</v>
      </c>
      <c r="J1803" s="1" t="str">
        <f t="shared" si="171"/>
        <v>Clarinet production item #047</v>
      </c>
      <c r="K1803" s="1" t="str">
        <f>IF(SUM(COUNTIFS(I:I, I1803)) &gt; 1, "DUPLICATE", "UNIQUE")</f>
        <v>UNIQUE</v>
      </c>
      <c r="L1803" s="18">
        <v>4</v>
      </c>
      <c r="M1803" s="28">
        <v>50</v>
      </c>
      <c r="N1803" s="6">
        <v>361</v>
      </c>
      <c r="O1803" s="30">
        <f t="shared" si="172"/>
        <v>200</v>
      </c>
      <c r="P1803" s="30">
        <f t="shared" si="173"/>
        <v>18050</v>
      </c>
      <c r="Q1803" s="1">
        <f>COUNTIFS($P:$P, "&gt;" &amp; $P1803) + 1</f>
        <v>1161</v>
      </c>
      <c r="R1803" s="63">
        <f>(COUNTIFS($P:$P, "&gt;" &amp; $P1803) + 1) / (COUNTA($I:$I) - 1)</f>
        <v>0.23219999999999999</v>
      </c>
      <c r="S1803" s="23">
        <f>SUMIFS($P:$P, $Q:$Q, "&lt;" &amp; $Q1803)</f>
        <v>169636628</v>
      </c>
    </row>
    <row r="1804" spans="1:19" x14ac:dyDescent="0.25">
      <c r="A1804" s="1">
        <v>1799</v>
      </c>
      <c r="B1804" s="1" t="s">
        <v>2</v>
      </c>
      <c r="C1804" s="1" t="str">
        <f>IF($B1804 = "Production Item", _xlfn.XLOOKUP($A1804, 'Instrument Table'!$J:$J, 'Instrument Table'!$B:$B, $C1803), IF($B1804 = "Service Item", _xlfn.XLOOKUP($A1804, 'Instrument Table'!$I:$I, 'Instrument Table'!$B:$B, $C1803), _xlfn.XLOOKUP($A1804, 'Instrument Table'!$H:$H, 'Instrument Table'!$B:$B, $C1803)))</f>
        <v>Clarinet</v>
      </c>
      <c r="D1804" s="1" t="str">
        <f>VLOOKUP($C1804, 'Instrument Table'!$B:$C, 2, FALSE)</f>
        <v>Woodwinds</v>
      </c>
      <c r="E1804" s="1">
        <f t="shared" si="168"/>
        <v>1</v>
      </c>
      <c r="F1804" s="1">
        <f>_xlfn.XLOOKUP($C1804, 'Instrument Table'!$B:$B, 'Instrument Table'!$A:$A, "")</f>
        <v>30</v>
      </c>
      <c r="G1804" s="1" t="str">
        <f>TEXT(IF($B1804 = "Retail Item", IF((ROW($A1804) - 4504 - _xlfn.XMATCH($C1804, $C$4506:$C$5005, 0, 1)) &lt;= VLOOKUP($C1804, 'Instrument Table'!$B:$D, 3, FALSE), ROW($A1804) - 4504 - _xlfn.XMATCH($C1804, $C$4506:$C$5005, 0, 1), 0), 0), "00")</f>
        <v>00</v>
      </c>
      <c r="H1804" s="1" t="str">
        <f t="shared" si="169"/>
        <v>048</v>
      </c>
      <c r="I1804" s="1" t="str">
        <f t="shared" si="170"/>
        <v>13000-048</v>
      </c>
      <c r="J1804" s="1" t="str">
        <f t="shared" si="171"/>
        <v>Clarinet production item #048</v>
      </c>
      <c r="K1804" s="1" t="str">
        <f>IF(SUM(COUNTIFS(I:I, I1804)) &gt; 1, "DUPLICATE", "UNIQUE")</f>
        <v>UNIQUE</v>
      </c>
      <c r="L1804" s="18">
        <v>8</v>
      </c>
      <c r="M1804" s="28">
        <v>82</v>
      </c>
      <c r="N1804" s="6">
        <v>49</v>
      </c>
      <c r="O1804" s="30">
        <f t="shared" si="172"/>
        <v>656</v>
      </c>
      <c r="P1804" s="30">
        <f t="shared" si="173"/>
        <v>4018</v>
      </c>
      <c r="Q1804" s="1">
        <f>COUNTIFS($P:$P, "&gt;" &amp; $P1804) + 1</f>
        <v>2651</v>
      </c>
      <c r="R1804" s="63">
        <f>(COUNTIFS($P:$P, "&gt;" &amp; $P1804) + 1) / (COUNTA($I:$I) - 1)</f>
        <v>0.5302</v>
      </c>
      <c r="S1804" s="23">
        <f>SUMIFS($P:$P, $Q:$Q, "&lt;" &amp; $Q1804)</f>
        <v>183775022</v>
      </c>
    </row>
    <row r="1805" spans="1:19" x14ac:dyDescent="0.25">
      <c r="A1805" s="1">
        <v>1800</v>
      </c>
      <c r="B1805" s="1" t="s">
        <v>2</v>
      </c>
      <c r="C1805" s="1" t="str">
        <f>IF($B1805 = "Production Item", _xlfn.XLOOKUP($A1805, 'Instrument Table'!$J:$J, 'Instrument Table'!$B:$B, $C1804), IF($B1805 = "Service Item", _xlfn.XLOOKUP($A1805, 'Instrument Table'!$I:$I, 'Instrument Table'!$B:$B, $C1804), _xlfn.XLOOKUP($A1805, 'Instrument Table'!$H:$H, 'Instrument Table'!$B:$B, $C1804)))</f>
        <v>Clarinet</v>
      </c>
      <c r="D1805" s="1" t="str">
        <f>VLOOKUP($C1805, 'Instrument Table'!$B:$C, 2, FALSE)</f>
        <v>Woodwinds</v>
      </c>
      <c r="E1805" s="1">
        <f t="shared" si="168"/>
        <v>1</v>
      </c>
      <c r="F1805" s="1">
        <f>_xlfn.XLOOKUP($C1805, 'Instrument Table'!$B:$B, 'Instrument Table'!$A:$A, "")</f>
        <v>30</v>
      </c>
      <c r="G1805" s="1" t="str">
        <f>TEXT(IF($B1805 = "Retail Item", IF((ROW($A1805) - 4504 - _xlfn.XMATCH($C1805, $C$4506:$C$5005, 0, 1)) &lt;= VLOOKUP($C1805, 'Instrument Table'!$B:$D, 3, FALSE), ROW($A1805) - 4504 - _xlfn.XMATCH($C1805, $C$4506:$C$5005, 0, 1), 0), 0), "00")</f>
        <v>00</v>
      </c>
      <c r="H1805" s="1" t="str">
        <f t="shared" si="169"/>
        <v>049</v>
      </c>
      <c r="I1805" s="1" t="str">
        <f t="shared" si="170"/>
        <v>13000-049</v>
      </c>
      <c r="J1805" s="1" t="str">
        <f t="shared" si="171"/>
        <v>Clarinet production item #049</v>
      </c>
      <c r="K1805" s="1" t="str">
        <f>IF(SUM(COUNTIFS(I:I, I1805)) &gt; 1, "DUPLICATE", "UNIQUE")</f>
        <v>UNIQUE</v>
      </c>
      <c r="L1805" s="18">
        <v>0</v>
      </c>
      <c r="M1805" s="28">
        <v>62</v>
      </c>
      <c r="N1805" s="6">
        <v>49</v>
      </c>
      <c r="O1805" s="30">
        <f t="shared" si="172"/>
        <v>0</v>
      </c>
      <c r="P1805" s="30">
        <f t="shared" si="173"/>
        <v>3038</v>
      </c>
      <c r="Q1805" s="1">
        <f>COUNTIFS($P:$P, "&gt;" &amp; $P1805) + 1</f>
        <v>2899</v>
      </c>
      <c r="R1805" s="63">
        <f>(COUNTIFS($P:$P, "&gt;" &amp; $P1805) + 1) / (COUNTA($I:$I) - 1)</f>
        <v>0.57979999999999998</v>
      </c>
      <c r="S1805" s="23">
        <f>SUMIFS($P:$P, $Q:$Q, "&lt;" &amp; $Q1805)</f>
        <v>184645225</v>
      </c>
    </row>
    <row r="1806" spans="1:19" x14ac:dyDescent="0.25">
      <c r="A1806" s="1">
        <v>1801</v>
      </c>
      <c r="B1806" s="1" t="s">
        <v>2</v>
      </c>
      <c r="C1806" s="1" t="str">
        <f>IF($B1806 = "Production Item", _xlfn.XLOOKUP($A1806, 'Instrument Table'!$J:$J, 'Instrument Table'!$B:$B, $C1805), IF($B1806 = "Service Item", _xlfn.XLOOKUP($A1806, 'Instrument Table'!$I:$I, 'Instrument Table'!$B:$B, $C1805), _xlfn.XLOOKUP($A1806, 'Instrument Table'!$H:$H, 'Instrument Table'!$B:$B, $C1805)))</f>
        <v>Clarinet</v>
      </c>
      <c r="D1806" s="1" t="str">
        <f>VLOOKUP($C1806, 'Instrument Table'!$B:$C, 2, FALSE)</f>
        <v>Woodwinds</v>
      </c>
      <c r="E1806" s="1">
        <f t="shared" si="168"/>
        <v>1</v>
      </c>
      <c r="F1806" s="1">
        <f>_xlfn.XLOOKUP($C1806, 'Instrument Table'!$B:$B, 'Instrument Table'!$A:$A, "")</f>
        <v>30</v>
      </c>
      <c r="G1806" s="1" t="str">
        <f>TEXT(IF($B1806 = "Retail Item", IF((ROW($A1806) - 4504 - _xlfn.XMATCH($C1806, $C$4506:$C$5005, 0, 1)) &lt;= VLOOKUP($C1806, 'Instrument Table'!$B:$D, 3, FALSE), ROW($A1806) - 4504 - _xlfn.XMATCH($C1806, $C$4506:$C$5005, 0, 1), 0), 0), "00")</f>
        <v>00</v>
      </c>
      <c r="H1806" s="1" t="str">
        <f t="shared" si="169"/>
        <v>050</v>
      </c>
      <c r="I1806" s="1" t="str">
        <f t="shared" si="170"/>
        <v>13000-050</v>
      </c>
      <c r="J1806" s="1" t="str">
        <f t="shared" si="171"/>
        <v>Clarinet production item #050</v>
      </c>
      <c r="K1806" s="1" t="str">
        <f>IF(SUM(COUNTIFS(I:I, I1806)) &gt; 1, "DUPLICATE", "UNIQUE")</f>
        <v>UNIQUE</v>
      </c>
      <c r="L1806" s="18">
        <v>2</v>
      </c>
      <c r="M1806" s="28">
        <v>71</v>
      </c>
      <c r="N1806" s="6">
        <v>64</v>
      </c>
      <c r="O1806" s="30">
        <f t="shared" si="172"/>
        <v>142</v>
      </c>
      <c r="P1806" s="30">
        <f t="shared" si="173"/>
        <v>4544</v>
      </c>
      <c r="Q1806" s="1">
        <f>COUNTIFS($P:$P, "&gt;" &amp; $P1806) + 1</f>
        <v>2533</v>
      </c>
      <c r="R1806" s="63">
        <f>(COUNTIFS($P:$P, "&gt;" &amp; $P1806) + 1) / (COUNTA($I:$I) - 1)</f>
        <v>0.50660000000000005</v>
      </c>
      <c r="S1806" s="23">
        <f>SUMIFS($P:$P, $Q:$Q, "&lt;" &amp; $Q1806)</f>
        <v>183268159</v>
      </c>
    </row>
    <row r="1807" spans="1:19" x14ac:dyDescent="0.25">
      <c r="A1807" s="1">
        <v>1802</v>
      </c>
      <c r="B1807" s="1" t="s">
        <v>2</v>
      </c>
      <c r="C1807" s="1" t="str">
        <f>IF($B1807 = "Production Item", _xlfn.XLOOKUP($A1807, 'Instrument Table'!$J:$J, 'Instrument Table'!$B:$B, $C1806), IF($B1807 = "Service Item", _xlfn.XLOOKUP($A1807, 'Instrument Table'!$I:$I, 'Instrument Table'!$B:$B, $C1806), _xlfn.XLOOKUP($A1807, 'Instrument Table'!$H:$H, 'Instrument Table'!$B:$B, $C1806)))</f>
        <v>Clarinet</v>
      </c>
      <c r="D1807" s="1" t="str">
        <f>VLOOKUP($C1807, 'Instrument Table'!$B:$C, 2, FALSE)</f>
        <v>Woodwinds</v>
      </c>
      <c r="E1807" s="1">
        <f t="shared" si="168"/>
        <v>1</v>
      </c>
      <c r="F1807" s="1">
        <f>_xlfn.XLOOKUP($C1807, 'Instrument Table'!$B:$B, 'Instrument Table'!$A:$A, "")</f>
        <v>30</v>
      </c>
      <c r="G1807" s="1" t="str">
        <f>TEXT(IF($B1807 = "Retail Item", IF((ROW($A1807) - 4504 - _xlfn.XMATCH($C1807, $C$4506:$C$5005, 0, 1)) &lt;= VLOOKUP($C1807, 'Instrument Table'!$B:$D, 3, FALSE), ROW($A1807) - 4504 - _xlfn.XMATCH($C1807, $C$4506:$C$5005, 0, 1), 0), 0), "00")</f>
        <v>00</v>
      </c>
      <c r="H1807" s="1" t="str">
        <f t="shared" si="169"/>
        <v>051</v>
      </c>
      <c r="I1807" s="1" t="str">
        <f t="shared" si="170"/>
        <v>13000-051</v>
      </c>
      <c r="J1807" s="1" t="str">
        <f t="shared" si="171"/>
        <v>Clarinet production item #051</v>
      </c>
      <c r="K1807" s="1" t="str">
        <f>IF(SUM(COUNTIFS(I:I, I1807)) &gt; 1, "DUPLICATE", "UNIQUE")</f>
        <v>UNIQUE</v>
      </c>
      <c r="L1807" s="18">
        <v>32</v>
      </c>
      <c r="M1807" s="28">
        <v>83</v>
      </c>
      <c r="N1807" s="6">
        <v>144</v>
      </c>
      <c r="O1807" s="30">
        <f t="shared" si="172"/>
        <v>2656</v>
      </c>
      <c r="P1807" s="30">
        <f t="shared" si="173"/>
        <v>11952</v>
      </c>
      <c r="Q1807" s="1">
        <f>COUNTIFS($P:$P, "&gt;" &amp; $P1807) + 1</f>
        <v>1588</v>
      </c>
      <c r="R1807" s="63">
        <f>(COUNTIFS($P:$P, "&gt;" &amp; $P1807) + 1) / (COUNTA($I:$I) - 1)</f>
        <v>0.31759999999999999</v>
      </c>
      <c r="S1807" s="23">
        <f>SUMIFS($P:$P, $Q:$Q, "&lt;" &amp; $Q1807)</f>
        <v>175936250</v>
      </c>
    </row>
    <row r="1808" spans="1:19" x14ac:dyDescent="0.25">
      <c r="A1808" s="1">
        <v>1803</v>
      </c>
      <c r="B1808" s="1" t="s">
        <v>2</v>
      </c>
      <c r="C1808" s="1" t="str">
        <f>IF($B1808 = "Production Item", _xlfn.XLOOKUP($A1808, 'Instrument Table'!$J:$J, 'Instrument Table'!$B:$B, $C1807), IF($B1808 = "Service Item", _xlfn.XLOOKUP($A1808, 'Instrument Table'!$I:$I, 'Instrument Table'!$B:$B, $C1807), _xlfn.XLOOKUP($A1808, 'Instrument Table'!$H:$H, 'Instrument Table'!$B:$B, $C1807)))</f>
        <v>Clarinet</v>
      </c>
      <c r="D1808" s="1" t="str">
        <f>VLOOKUP($C1808, 'Instrument Table'!$B:$C, 2, FALSE)</f>
        <v>Woodwinds</v>
      </c>
      <c r="E1808" s="1">
        <f t="shared" si="168"/>
        <v>1</v>
      </c>
      <c r="F1808" s="1">
        <f>_xlfn.XLOOKUP($C1808, 'Instrument Table'!$B:$B, 'Instrument Table'!$A:$A, "")</f>
        <v>30</v>
      </c>
      <c r="G1808" s="1" t="str">
        <f>TEXT(IF($B1808 = "Retail Item", IF((ROW($A1808) - 4504 - _xlfn.XMATCH($C1808, $C$4506:$C$5005, 0, 1)) &lt;= VLOOKUP($C1808, 'Instrument Table'!$B:$D, 3, FALSE), ROW($A1808) - 4504 - _xlfn.XMATCH($C1808, $C$4506:$C$5005, 0, 1), 0), 0), "00")</f>
        <v>00</v>
      </c>
      <c r="H1808" s="1" t="str">
        <f t="shared" si="169"/>
        <v>052</v>
      </c>
      <c r="I1808" s="1" t="str">
        <f t="shared" si="170"/>
        <v>13000-052</v>
      </c>
      <c r="J1808" s="1" t="str">
        <f t="shared" si="171"/>
        <v>Clarinet production item #052</v>
      </c>
      <c r="K1808" s="1" t="str">
        <f>IF(SUM(COUNTIFS(I:I, I1808)) &gt; 1, "DUPLICATE", "UNIQUE")</f>
        <v>UNIQUE</v>
      </c>
      <c r="L1808" s="18">
        <v>0</v>
      </c>
      <c r="M1808" s="28">
        <v>53</v>
      </c>
      <c r="N1808" s="6">
        <v>144</v>
      </c>
      <c r="O1808" s="30">
        <f t="shared" si="172"/>
        <v>0</v>
      </c>
      <c r="P1808" s="30">
        <f t="shared" si="173"/>
        <v>7632</v>
      </c>
      <c r="Q1808" s="1">
        <f>COUNTIFS($P:$P, "&gt;" &amp; $P1808) + 1</f>
        <v>2051</v>
      </c>
      <c r="R1808" s="63">
        <f>(COUNTIFS($P:$P, "&gt;" &amp; $P1808) + 1) / (COUNTA($I:$I) - 1)</f>
        <v>0.41020000000000001</v>
      </c>
      <c r="S1808" s="23">
        <f>SUMIFS($P:$P, $Q:$Q, "&lt;" &amp; $Q1808)</f>
        <v>180392685</v>
      </c>
    </row>
    <row r="1809" spans="1:19" x14ac:dyDescent="0.25">
      <c r="A1809" s="1">
        <v>1804</v>
      </c>
      <c r="B1809" s="1" t="s">
        <v>2</v>
      </c>
      <c r="C1809" s="1" t="str">
        <f>IF($B1809 = "Production Item", _xlfn.XLOOKUP($A1809, 'Instrument Table'!$J:$J, 'Instrument Table'!$B:$B, $C1808), IF($B1809 = "Service Item", _xlfn.XLOOKUP($A1809, 'Instrument Table'!$I:$I, 'Instrument Table'!$B:$B, $C1808), _xlfn.XLOOKUP($A1809, 'Instrument Table'!$H:$H, 'Instrument Table'!$B:$B, $C1808)))</f>
        <v>Clarinet</v>
      </c>
      <c r="D1809" s="1" t="str">
        <f>VLOOKUP($C1809, 'Instrument Table'!$B:$C, 2, FALSE)</f>
        <v>Woodwinds</v>
      </c>
      <c r="E1809" s="1">
        <f t="shared" si="168"/>
        <v>1</v>
      </c>
      <c r="F1809" s="1">
        <f>_xlfn.XLOOKUP($C1809, 'Instrument Table'!$B:$B, 'Instrument Table'!$A:$A, "")</f>
        <v>30</v>
      </c>
      <c r="G1809" s="1" t="str">
        <f>TEXT(IF($B1809 = "Retail Item", IF((ROW($A1809) - 4504 - _xlfn.XMATCH($C1809, $C$4506:$C$5005, 0, 1)) &lt;= VLOOKUP($C1809, 'Instrument Table'!$B:$D, 3, FALSE), ROW($A1809) - 4504 - _xlfn.XMATCH($C1809, $C$4506:$C$5005, 0, 1), 0), 0), "00")</f>
        <v>00</v>
      </c>
      <c r="H1809" s="1" t="str">
        <f t="shared" si="169"/>
        <v>053</v>
      </c>
      <c r="I1809" s="1" t="str">
        <f t="shared" si="170"/>
        <v>13000-053</v>
      </c>
      <c r="J1809" s="1" t="str">
        <f t="shared" si="171"/>
        <v>Clarinet production item #053</v>
      </c>
      <c r="K1809" s="1" t="str">
        <f>IF(SUM(COUNTIFS(I:I, I1809)) &gt; 1, "DUPLICATE", "UNIQUE")</f>
        <v>UNIQUE</v>
      </c>
      <c r="L1809" s="18">
        <v>1</v>
      </c>
      <c r="M1809" s="28">
        <v>43</v>
      </c>
      <c r="N1809" s="6">
        <v>361</v>
      </c>
      <c r="O1809" s="30">
        <f t="shared" si="172"/>
        <v>43</v>
      </c>
      <c r="P1809" s="30">
        <f t="shared" si="173"/>
        <v>15523</v>
      </c>
      <c r="Q1809" s="1">
        <f>COUNTIFS($P:$P, "&gt;" &amp; $P1809) + 1</f>
        <v>1317</v>
      </c>
      <c r="R1809" s="63">
        <f>(COUNTIFS($P:$P, "&gt;" &amp; $P1809) + 1) / (COUNTA($I:$I) - 1)</f>
        <v>0.26340000000000002</v>
      </c>
      <c r="S1809" s="23">
        <f>SUMIFS($P:$P, $Q:$Q, "&lt;" &amp; $Q1809)</f>
        <v>172238990</v>
      </c>
    </row>
    <row r="1810" spans="1:19" x14ac:dyDescent="0.25">
      <c r="A1810" s="1">
        <v>1805</v>
      </c>
      <c r="B1810" s="1" t="s">
        <v>2</v>
      </c>
      <c r="C1810" s="1" t="str">
        <f>IF($B1810 = "Production Item", _xlfn.XLOOKUP($A1810, 'Instrument Table'!$J:$J, 'Instrument Table'!$B:$B, $C1809), IF($B1810 = "Service Item", _xlfn.XLOOKUP($A1810, 'Instrument Table'!$I:$I, 'Instrument Table'!$B:$B, $C1809), _xlfn.XLOOKUP($A1810, 'Instrument Table'!$H:$H, 'Instrument Table'!$B:$B, $C1809)))</f>
        <v>Clarinet</v>
      </c>
      <c r="D1810" s="1" t="str">
        <f>VLOOKUP($C1810, 'Instrument Table'!$B:$C, 2, FALSE)</f>
        <v>Woodwinds</v>
      </c>
      <c r="E1810" s="1">
        <f t="shared" si="168"/>
        <v>1</v>
      </c>
      <c r="F1810" s="1">
        <f>_xlfn.XLOOKUP($C1810, 'Instrument Table'!$B:$B, 'Instrument Table'!$A:$A, "")</f>
        <v>30</v>
      </c>
      <c r="G1810" s="1" t="str">
        <f>TEXT(IF($B1810 = "Retail Item", IF((ROW($A1810) - 4504 - _xlfn.XMATCH($C1810, $C$4506:$C$5005, 0, 1)) &lt;= VLOOKUP($C1810, 'Instrument Table'!$B:$D, 3, FALSE), ROW($A1810) - 4504 - _xlfn.XMATCH($C1810, $C$4506:$C$5005, 0, 1), 0), 0), "00")</f>
        <v>00</v>
      </c>
      <c r="H1810" s="1" t="str">
        <f t="shared" si="169"/>
        <v>054</v>
      </c>
      <c r="I1810" s="1" t="str">
        <f t="shared" si="170"/>
        <v>13000-054</v>
      </c>
      <c r="J1810" s="1" t="str">
        <f t="shared" si="171"/>
        <v>Clarinet production item #054</v>
      </c>
      <c r="K1810" s="1" t="str">
        <f>IF(SUM(COUNTIFS(I:I, I1810)) &gt; 1, "DUPLICATE", "UNIQUE")</f>
        <v>UNIQUE</v>
      </c>
      <c r="L1810" s="18">
        <v>1</v>
      </c>
      <c r="M1810" s="28">
        <v>77</v>
      </c>
      <c r="N1810" s="6">
        <v>64</v>
      </c>
      <c r="O1810" s="30">
        <f t="shared" si="172"/>
        <v>77</v>
      </c>
      <c r="P1810" s="30">
        <f t="shared" si="173"/>
        <v>4928</v>
      </c>
      <c r="Q1810" s="1">
        <f>COUNTIFS($P:$P, "&gt;" &amp; $P1810) + 1</f>
        <v>2458</v>
      </c>
      <c r="R1810" s="63">
        <f>(COUNTIFS($P:$P, "&gt;" &amp; $P1810) + 1) / (COUNTA($I:$I) - 1)</f>
        <v>0.49159999999999998</v>
      </c>
      <c r="S1810" s="23">
        <f>SUMIFS($P:$P, $Q:$Q, "&lt;" &amp; $Q1810)</f>
        <v>182912122</v>
      </c>
    </row>
    <row r="1811" spans="1:19" x14ac:dyDescent="0.25">
      <c r="A1811" s="1">
        <v>1806</v>
      </c>
      <c r="B1811" s="1" t="s">
        <v>2</v>
      </c>
      <c r="C1811" s="1" t="str">
        <f>IF($B1811 = "Production Item", _xlfn.XLOOKUP($A1811, 'Instrument Table'!$J:$J, 'Instrument Table'!$B:$B, $C1810), IF($B1811 = "Service Item", _xlfn.XLOOKUP($A1811, 'Instrument Table'!$I:$I, 'Instrument Table'!$B:$B, $C1810), _xlfn.XLOOKUP($A1811, 'Instrument Table'!$H:$H, 'Instrument Table'!$B:$B, $C1810)))</f>
        <v>Clarinet</v>
      </c>
      <c r="D1811" s="1" t="str">
        <f>VLOOKUP($C1811, 'Instrument Table'!$B:$C, 2, FALSE)</f>
        <v>Woodwinds</v>
      </c>
      <c r="E1811" s="1">
        <f t="shared" si="168"/>
        <v>1</v>
      </c>
      <c r="F1811" s="1">
        <f>_xlfn.XLOOKUP($C1811, 'Instrument Table'!$B:$B, 'Instrument Table'!$A:$A, "")</f>
        <v>30</v>
      </c>
      <c r="G1811" s="1" t="str">
        <f>TEXT(IF($B1811 = "Retail Item", IF((ROW($A1811) - 4504 - _xlfn.XMATCH($C1811, $C$4506:$C$5005, 0, 1)) &lt;= VLOOKUP($C1811, 'Instrument Table'!$B:$D, 3, FALSE), ROW($A1811) - 4504 - _xlfn.XMATCH($C1811, $C$4506:$C$5005, 0, 1), 0), 0), "00")</f>
        <v>00</v>
      </c>
      <c r="H1811" s="1" t="str">
        <f t="shared" si="169"/>
        <v>055</v>
      </c>
      <c r="I1811" s="1" t="str">
        <f t="shared" si="170"/>
        <v>13000-055</v>
      </c>
      <c r="J1811" s="1" t="str">
        <f t="shared" si="171"/>
        <v>Clarinet production item #055</v>
      </c>
      <c r="K1811" s="1" t="str">
        <f>IF(SUM(COUNTIFS(I:I, I1811)) &gt; 1, "DUPLICATE", "UNIQUE")</f>
        <v>UNIQUE</v>
      </c>
      <c r="L1811" s="18">
        <v>1</v>
      </c>
      <c r="M1811" s="28">
        <v>93</v>
      </c>
      <c r="N1811" s="6">
        <v>256</v>
      </c>
      <c r="O1811" s="30">
        <f t="shared" si="172"/>
        <v>93</v>
      </c>
      <c r="P1811" s="30">
        <f t="shared" si="173"/>
        <v>23808</v>
      </c>
      <c r="Q1811" s="1">
        <f>COUNTIFS($P:$P, "&gt;" &amp; $P1811) + 1</f>
        <v>882</v>
      </c>
      <c r="R1811" s="63">
        <f>(COUNTIFS($P:$P, "&gt;" &amp; $P1811) + 1) / (COUNTA($I:$I) - 1)</f>
        <v>0.1764</v>
      </c>
      <c r="S1811" s="23">
        <f>SUMIFS($P:$P, $Q:$Q, "&lt;" &amp; $Q1811)</f>
        <v>163858844</v>
      </c>
    </row>
    <row r="1812" spans="1:19" x14ac:dyDescent="0.25">
      <c r="A1812" s="1">
        <v>1807</v>
      </c>
      <c r="B1812" s="1" t="s">
        <v>2</v>
      </c>
      <c r="C1812" s="1" t="str">
        <f>IF($B1812 = "Production Item", _xlfn.XLOOKUP($A1812, 'Instrument Table'!$J:$J, 'Instrument Table'!$B:$B, $C1811), IF($B1812 = "Service Item", _xlfn.XLOOKUP($A1812, 'Instrument Table'!$I:$I, 'Instrument Table'!$B:$B, $C1811), _xlfn.XLOOKUP($A1812, 'Instrument Table'!$H:$H, 'Instrument Table'!$B:$B, $C1811)))</f>
        <v>Clarinet</v>
      </c>
      <c r="D1812" s="1" t="str">
        <f>VLOOKUP($C1812, 'Instrument Table'!$B:$C, 2, FALSE)</f>
        <v>Woodwinds</v>
      </c>
      <c r="E1812" s="1">
        <f t="shared" si="168"/>
        <v>1</v>
      </c>
      <c r="F1812" s="1">
        <f>_xlfn.XLOOKUP($C1812, 'Instrument Table'!$B:$B, 'Instrument Table'!$A:$A, "")</f>
        <v>30</v>
      </c>
      <c r="G1812" s="1" t="str">
        <f>TEXT(IF($B1812 = "Retail Item", IF((ROW($A1812) - 4504 - _xlfn.XMATCH($C1812, $C$4506:$C$5005, 0, 1)) &lt;= VLOOKUP($C1812, 'Instrument Table'!$B:$D, 3, FALSE), ROW($A1812) - 4504 - _xlfn.XMATCH($C1812, $C$4506:$C$5005, 0, 1), 0), 0), "00")</f>
        <v>00</v>
      </c>
      <c r="H1812" s="1" t="str">
        <f t="shared" si="169"/>
        <v>056</v>
      </c>
      <c r="I1812" s="1" t="str">
        <f t="shared" si="170"/>
        <v>13000-056</v>
      </c>
      <c r="J1812" s="1" t="str">
        <f t="shared" si="171"/>
        <v>Clarinet production item #056</v>
      </c>
      <c r="K1812" s="1" t="str">
        <f>IF(SUM(COUNTIFS(I:I, I1812)) &gt; 1, "DUPLICATE", "UNIQUE")</f>
        <v>UNIQUE</v>
      </c>
      <c r="L1812" s="18">
        <v>0</v>
      </c>
      <c r="M1812" s="28">
        <v>11</v>
      </c>
      <c r="N1812" s="6">
        <v>361</v>
      </c>
      <c r="O1812" s="30">
        <f t="shared" si="172"/>
        <v>0</v>
      </c>
      <c r="P1812" s="30">
        <f t="shared" si="173"/>
        <v>3971</v>
      </c>
      <c r="Q1812" s="1">
        <f>COUNTIFS($P:$P, "&gt;" &amp; $P1812) + 1</f>
        <v>2660</v>
      </c>
      <c r="R1812" s="63">
        <f>(COUNTIFS($P:$P, "&gt;" &amp; $P1812) + 1) / (COUNTA($I:$I) - 1)</f>
        <v>0.53200000000000003</v>
      </c>
      <c r="S1812" s="23">
        <f>SUMIFS($P:$P, $Q:$Q, "&lt;" &amp; $Q1812)</f>
        <v>183811069</v>
      </c>
    </row>
    <row r="1813" spans="1:19" x14ac:dyDescent="0.25">
      <c r="A1813" s="1">
        <v>1808</v>
      </c>
      <c r="B1813" s="1" t="s">
        <v>2</v>
      </c>
      <c r="C1813" s="1" t="str">
        <f>IF($B1813 = "Production Item", _xlfn.XLOOKUP($A1813, 'Instrument Table'!$J:$J, 'Instrument Table'!$B:$B, $C1812), IF($B1813 = "Service Item", _xlfn.XLOOKUP($A1813, 'Instrument Table'!$I:$I, 'Instrument Table'!$B:$B, $C1812), _xlfn.XLOOKUP($A1813, 'Instrument Table'!$H:$H, 'Instrument Table'!$B:$B, $C1812)))</f>
        <v>Clarinet</v>
      </c>
      <c r="D1813" s="1" t="str">
        <f>VLOOKUP($C1813, 'Instrument Table'!$B:$C, 2, FALSE)</f>
        <v>Woodwinds</v>
      </c>
      <c r="E1813" s="1">
        <f t="shared" si="168"/>
        <v>1</v>
      </c>
      <c r="F1813" s="1">
        <f>_xlfn.XLOOKUP($C1813, 'Instrument Table'!$B:$B, 'Instrument Table'!$A:$A, "")</f>
        <v>30</v>
      </c>
      <c r="G1813" s="1" t="str">
        <f>TEXT(IF($B1813 = "Retail Item", IF((ROW($A1813) - 4504 - _xlfn.XMATCH($C1813, $C$4506:$C$5005, 0, 1)) &lt;= VLOOKUP($C1813, 'Instrument Table'!$B:$D, 3, FALSE), ROW($A1813) - 4504 - _xlfn.XMATCH($C1813, $C$4506:$C$5005, 0, 1), 0), 0), "00")</f>
        <v>00</v>
      </c>
      <c r="H1813" s="1" t="str">
        <f t="shared" si="169"/>
        <v>057</v>
      </c>
      <c r="I1813" s="1" t="str">
        <f t="shared" si="170"/>
        <v>13000-057</v>
      </c>
      <c r="J1813" s="1" t="str">
        <f t="shared" si="171"/>
        <v>Clarinet production item #057</v>
      </c>
      <c r="K1813" s="1" t="str">
        <f>IF(SUM(COUNTIFS(I:I, I1813)) &gt; 1, "DUPLICATE", "UNIQUE")</f>
        <v>UNIQUE</v>
      </c>
      <c r="L1813" s="18">
        <v>8</v>
      </c>
      <c r="M1813" s="28">
        <v>97</v>
      </c>
      <c r="N1813" s="6">
        <v>9</v>
      </c>
      <c r="O1813" s="30">
        <f t="shared" si="172"/>
        <v>776</v>
      </c>
      <c r="P1813" s="30">
        <f t="shared" si="173"/>
        <v>873</v>
      </c>
      <c r="Q1813" s="1">
        <f>COUNTIFS($P:$P, "&gt;" &amp; $P1813) + 1</f>
        <v>3745</v>
      </c>
      <c r="R1813" s="63">
        <f>(COUNTIFS($P:$P, "&gt;" &amp; $P1813) + 1) / (COUNTA($I:$I) - 1)</f>
        <v>0.749</v>
      </c>
      <c r="S1813" s="23">
        <f>SUMIFS($P:$P, $Q:$Q, "&lt;" &amp; $Q1813)</f>
        <v>186219830</v>
      </c>
    </row>
    <row r="1814" spans="1:19" x14ac:dyDescent="0.25">
      <c r="A1814" s="1">
        <v>1809</v>
      </c>
      <c r="B1814" s="1" t="s">
        <v>2</v>
      </c>
      <c r="C1814" s="1" t="str">
        <f>IF($B1814 = "Production Item", _xlfn.XLOOKUP($A1814, 'Instrument Table'!$J:$J, 'Instrument Table'!$B:$B, $C1813), IF($B1814 = "Service Item", _xlfn.XLOOKUP($A1814, 'Instrument Table'!$I:$I, 'Instrument Table'!$B:$B, $C1813), _xlfn.XLOOKUP($A1814, 'Instrument Table'!$H:$H, 'Instrument Table'!$B:$B, $C1813)))</f>
        <v>Clarinet</v>
      </c>
      <c r="D1814" s="1" t="str">
        <f>VLOOKUP($C1814, 'Instrument Table'!$B:$C, 2, FALSE)</f>
        <v>Woodwinds</v>
      </c>
      <c r="E1814" s="1">
        <f t="shared" si="168"/>
        <v>1</v>
      </c>
      <c r="F1814" s="1">
        <f>_xlfn.XLOOKUP($C1814, 'Instrument Table'!$B:$B, 'Instrument Table'!$A:$A, "")</f>
        <v>30</v>
      </c>
      <c r="G1814" s="1" t="str">
        <f>TEXT(IF($B1814 = "Retail Item", IF((ROW($A1814) - 4504 - _xlfn.XMATCH($C1814, $C$4506:$C$5005, 0, 1)) &lt;= VLOOKUP($C1814, 'Instrument Table'!$B:$D, 3, FALSE), ROW($A1814) - 4504 - _xlfn.XMATCH($C1814, $C$4506:$C$5005, 0, 1), 0), 0), "00")</f>
        <v>00</v>
      </c>
      <c r="H1814" s="1" t="str">
        <f t="shared" si="169"/>
        <v>058</v>
      </c>
      <c r="I1814" s="1" t="str">
        <f t="shared" si="170"/>
        <v>13000-058</v>
      </c>
      <c r="J1814" s="1" t="str">
        <f t="shared" si="171"/>
        <v>Clarinet production item #058</v>
      </c>
      <c r="K1814" s="1" t="str">
        <f>IF(SUM(COUNTIFS(I:I, I1814)) &gt; 1, "DUPLICATE", "UNIQUE")</f>
        <v>UNIQUE</v>
      </c>
      <c r="L1814" s="18">
        <v>8</v>
      </c>
      <c r="M1814" s="28">
        <v>34</v>
      </c>
      <c r="N1814" s="6">
        <v>121</v>
      </c>
      <c r="O1814" s="30">
        <f t="shared" si="172"/>
        <v>272</v>
      </c>
      <c r="P1814" s="30">
        <f t="shared" si="173"/>
        <v>4114</v>
      </c>
      <c r="Q1814" s="1">
        <f>COUNTIFS($P:$P, "&gt;" &amp; $P1814) + 1</f>
        <v>2637</v>
      </c>
      <c r="R1814" s="63">
        <f>(COUNTIFS($P:$P, "&gt;" &amp; $P1814) + 1) / (COUNTA($I:$I) - 1)</f>
        <v>0.52739999999999998</v>
      </c>
      <c r="S1814" s="23">
        <f>SUMIFS($P:$P, $Q:$Q, "&lt;" &amp; $Q1814)</f>
        <v>183718117</v>
      </c>
    </row>
    <row r="1815" spans="1:19" x14ac:dyDescent="0.25">
      <c r="A1815" s="1">
        <v>1810</v>
      </c>
      <c r="B1815" s="1" t="s">
        <v>2</v>
      </c>
      <c r="C1815" s="1" t="str">
        <f>IF($B1815 = "Production Item", _xlfn.XLOOKUP($A1815, 'Instrument Table'!$J:$J, 'Instrument Table'!$B:$B, $C1814), IF($B1815 = "Service Item", _xlfn.XLOOKUP($A1815, 'Instrument Table'!$I:$I, 'Instrument Table'!$B:$B, $C1814), _xlfn.XLOOKUP($A1815, 'Instrument Table'!$H:$H, 'Instrument Table'!$B:$B, $C1814)))</f>
        <v>Clarinet</v>
      </c>
      <c r="D1815" s="1" t="str">
        <f>VLOOKUP($C1815, 'Instrument Table'!$B:$C, 2, FALSE)</f>
        <v>Woodwinds</v>
      </c>
      <c r="E1815" s="1">
        <f t="shared" si="168"/>
        <v>1</v>
      </c>
      <c r="F1815" s="1">
        <f>_xlfn.XLOOKUP($C1815, 'Instrument Table'!$B:$B, 'Instrument Table'!$A:$A, "")</f>
        <v>30</v>
      </c>
      <c r="G1815" s="1" t="str">
        <f>TEXT(IF($B1815 = "Retail Item", IF((ROW($A1815) - 4504 - _xlfn.XMATCH($C1815, $C$4506:$C$5005, 0, 1)) &lt;= VLOOKUP($C1815, 'Instrument Table'!$B:$D, 3, FALSE), ROW($A1815) - 4504 - _xlfn.XMATCH($C1815, $C$4506:$C$5005, 0, 1), 0), 0), "00")</f>
        <v>00</v>
      </c>
      <c r="H1815" s="1" t="str">
        <f t="shared" si="169"/>
        <v>059</v>
      </c>
      <c r="I1815" s="1" t="str">
        <f t="shared" si="170"/>
        <v>13000-059</v>
      </c>
      <c r="J1815" s="1" t="str">
        <f t="shared" si="171"/>
        <v>Clarinet production item #059</v>
      </c>
      <c r="K1815" s="1" t="str">
        <f>IF(SUM(COUNTIFS(I:I, I1815)) &gt; 1, "DUPLICATE", "UNIQUE")</f>
        <v>UNIQUE</v>
      </c>
      <c r="L1815" s="18">
        <v>32</v>
      </c>
      <c r="M1815" s="28">
        <v>74</v>
      </c>
      <c r="N1815" s="6">
        <v>16</v>
      </c>
      <c r="O1815" s="30">
        <f t="shared" si="172"/>
        <v>2368</v>
      </c>
      <c r="P1815" s="30">
        <f t="shared" si="173"/>
        <v>1184</v>
      </c>
      <c r="Q1815" s="1">
        <f>COUNTIFS($P:$P, "&gt;" &amp; $P1815) + 1</f>
        <v>3615</v>
      </c>
      <c r="R1815" s="63">
        <f>(COUNTIFS($P:$P, "&gt;" &amp; $P1815) + 1) / (COUNTA($I:$I) - 1)</f>
        <v>0.72299999999999998</v>
      </c>
      <c r="S1815" s="23">
        <f>SUMIFS($P:$P, $Q:$Q, "&lt;" &amp; $Q1815)</f>
        <v>186087826</v>
      </c>
    </row>
    <row r="1816" spans="1:19" x14ac:dyDescent="0.25">
      <c r="A1816" s="1">
        <v>1811</v>
      </c>
      <c r="B1816" s="1" t="s">
        <v>2</v>
      </c>
      <c r="C1816" s="1" t="str">
        <f>IF($B1816 = "Production Item", _xlfn.XLOOKUP($A1816, 'Instrument Table'!$J:$J, 'Instrument Table'!$B:$B, $C1815), IF($B1816 = "Service Item", _xlfn.XLOOKUP($A1816, 'Instrument Table'!$I:$I, 'Instrument Table'!$B:$B, $C1815), _xlfn.XLOOKUP($A1816, 'Instrument Table'!$H:$H, 'Instrument Table'!$B:$B, $C1815)))</f>
        <v>Clarinet</v>
      </c>
      <c r="D1816" s="1" t="str">
        <f>VLOOKUP($C1816, 'Instrument Table'!$B:$C, 2, FALSE)</f>
        <v>Woodwinds</v>
      </c>
      <c r="E1816" s="1">
        <f t="shared" si="168"/>
        <v>1</v>
      </c>
      <c r="F1816" s="1">
        <f>_xlfn.XLOOKUP($C1816, 'Instrument Table'!$B:$B, 'Instrument Table'!$A:$A, "")</f>
        <v>30</v>
      </c>
      <c r="G1816" s="1" t="str">
        <f>TEXT(IF($B1816 = "Retail Item", IF((ROW($A1816) - 4504 - _xlfn.XMATCH($C1816, $C$4506:$C$5005, 0, 1)) &lt;= VLOOKUP($C1816, 'Instrument Table'!$B:$D, 3, FALSE), ROW($A1816) - 4504 - _xlfn.XMATCH($C1816, $C$4506:$C$5005, 0, 1), 0), 0), "00")</f>
        <v>00</v>
      </c>
      <c r="H1816" s="1" t="str">
        <f t="shared" si="169"/>
        <v>060</v>
      </c>
      <c r="I1816" s="1" t="str">
        <f t="shared" si="170"/>
        <v>13000-060</v>
      </c>
      <c r="J1816" s="1" t="str">
        <f t="shared" si="171"/>
        <v>Clarinet production item #060</v>
      </c>
      <c r="K1816" s="1" t="str">
        <f>IF(SUM(COUNTIFS(I:I, I1816)) &gt; 1, "DUPLICATE", "UNIQUE")</f>
        <v>UNIQUE</v>
      </c>
      <c r="L1816" s="18">
        <v>1</v>
      </c>
      <c r="M1816" s="28">
        <v>4</v>
      </c>
      <c r="N1816" s="6">
        <v>361</v>
      </c>
      <c r="O1816" s="30">
        <f t="shared" si="172"/>
        <v>4</v>
      </c>
      <c r="P1816" s="30">
        <f t="shared" si="173"/>
        <v>1444</v>
      </c>
      <c r="Q1816" s="1">
        <f>COUNTIFS($P:$P, "&gt;" &amp; $P1816) + 1</f>
        <v>3493</v>
      </c>
      <c r="R1816" s="63">
        <f>(COUNTIFS($P:$P, "&gt;" &amp; $P1816) + 1) / (COUNTA($I:$I) - 1)</f>
        <v>0.6986</v>
      </c>
      <c r="S1816" s="23">
        <f>SUMIFS($P:$P, $Q:$Q, "&lt;" &amp; $Q1816)</f>
        <v>185927412</v>
      </c>
    </row>
    <row r="1817" spans="1:19" x14ac:dyDescent="0.25">
      <c r="A1817" s="1">
        <v>1812</v>
      </c>
      <c r="B1817" s="1" t="s">
        <v>2</v>
      </c>
      <c r="C1817" s="1" t="str">
        <f>IF($B1817 = "Production Item", _xlfn.XLOOKUP($A1817, 'Instrument Table'!$J:$J, 'Instrument Table'!$B:$B, $C1816), IF($B1817 = "Service Item", _xlfn.XLOOKUP($A1817, 'Instrument Table'!$I:$I, 'Instrument Table'!$B:$B, $C1816), _xlfn.XLOOKUP($A1817, 'Instrument Table'!$H:$H, 'Instrument Table'!$B:$B, $C1816)))</f>
        <v>Clarinet</v>
      </c>
      <c r="D1817" s="1" t="str">
        <f>VLOOKUP($C1817, 'Instrument Table'!$B:$C, 2, FALSE)</f>
        <v>Woodwinds</v>
      </c>
      <c r="E1817" s="1">
        <f t="shared" si="168"/>
        <v>1</v>
      </c>
      <c r="F1817" s="1">
        <f>_xlfn.XLOOKUP($C1817, 'Instrument Table'!$B:$B, 'Instrument Table'!$A:$A, "")</f>
        <v>30</v>
      </c>
      <c r="G1817" s="1" t="str">
        <f>TEXT(IF($B1817 = "Retail Item", IF((ROW($A1817) - 4504 - _xlfn.XMATCH($C1817, $C$4506:$C$5005, 0, 1)) &lt;= VLOOKUP($C1817, 'Instrument Table'!$B:$D, 3, FALSE), ROW($A1817) - 4504 - _xlfn.XMATCH($C1817, $C$4506:$C$5005, 0, 1), 0), 0), "00")</f>
        <v>00</v>
      </c>
      <c r="H1817" s="1" t="str">
        <f t="shared" si="169"/>
        <v>061</v>
      </c>
      <c r="I1817" s="1" t="str">
        <f t="shared" si="170"/>
        <v>13000-061</v>
      </c>
      <c r="J1817" s="1" t="str">
        <f t="shared" si="171"/>
        <v>Clarinet production item #061</v>
      </c>
      <c r="K1817" s="1" t="str">
        <f>IF(SUM(COUNTIFS(I:I, I1817)) &gt; 1, "DUPLICATE", "UNIQUE")</f>
        <v>UNIQUE</v>
      </c>
      <c r="L1817" s="18">
        <v>1</v>
      </c>
      <c r="M1817" s="28">
        <v>20</v>
      </c>
      <c r="N1817" s="6">
        <v>121</v>
      </c>
      <c r="O1817" s="30">
        <f t="shared" si="172"/>
        <v>20</v>
      </c>
      <c r="P1817" s="30">
        <f t="shared" si="173"/>
        <v>2420</v>
      </c>
      <c r="Q1817" s="1">
        <f>COUNTIFS($P:$P, "&gt;" &amp; $P1817) + 1</f>
        <v>3079</v>
      </c>
      <c r="R1817" s="63">
        <f>(COUNTIFS($P:$P, "&gt;" &amp; $P1817) + 1) / (COUNTA($I:$I) - 1)</f>
        <v>0.61580000000000001</v>
      </c>
      <c r="S1817" s="23">
        <f>SUMIFS($P:$P, $Q:$Q, "&lt;" &amp; $Q1817)</f>
        <v>185132100</v>
      </c>
    </row>
    <row r="1818" spans="1:19" x14ac:dyDescent="0.25">
      <c r="A1818" s="1">
        <v>1813</v>
      </c>
      <c r="B1818" s="1" t="s">
        <v>2</v>
      </c>
      <c r="C1818" s="1" t="str">
        <f>IF($B1818 = "Production Item", _xlfn.XLOOKUP($A1818, 'Instrument Table'!$J:$J, 'Instrument Table'!$B:$B, $C1817), IF($B1818 = "Service Item", _xlfn.XLOOKUP($A1818, 'Instrument Table'!$I:$I, 'Instrument Table'!$B:$B, $C1817), _xlfn.XLOOKUP($A1818, 'Instrument Table'!$H:$H, 'Instrument Table'!$B:$B, $C1817)))</f>
        <v>Clarinet</v>
      </c>
      <c r="D1818" s="1" t="str">
        <f>VLOOKUP($C1818, 'Instrument Table'!$B:$C, 2, FALSE)</f>
        <v>Woodwinds</v>
      </c>
      <c r="E1818" s="1">
        <f t="shared" si="168"/>
        <v>1</v>
      </c>
      <c r="F1818" s="1">
        <f>_xlfn.XLOOKUP($C1818, 'Instrument Table'!$B:$B, 'Instrument Table'!$A:$A, "")</f>
        <v>30</v>
      </c>
      <c r="G1818" s="1" t="str">
        <f>TEXT(IF($B1818 = "Retail Item", IF((ROW($A1818) - 4504 - _xlfn.XMATCH($C1818, $C$4506:$C$5005, 0, 1)) &lt;= VLOOKUP($C1818, 'Instrument Table'!$B:$D, 3, FALSE), ROW($A1818) - 4504 - _xlfn.XMATCH($C1818, $C$4506:$C$5005, 0, 1), 0), 0), "00")</f>
        <v>00</v>
      </c>
      <c r="H1818" s="1" t="str">
        <f t="shared" si="169"/>
        <v>062</v>
      </c>
      <c r="I1818" s="1" t="str">
        <f t="shared" si="170"/>
        <v>13000-062</v>
      </c>
      <c r="J1818" s="1" t="str">
        <f t="shared" si="171"/>
        <v>Clarinet production item #062</v>
      </c>
      <c r="K1818" s="1" t="str">
        <f>IF(SUM(COUNTIFS(I:I, I1818)) &gt; 1, "DUPLICATE", "UNIQUE")</f>
        <v>UNIQUE</v>
      </c>
      <c r="L1818" s="18">
        <v>0</v>
      </c>
      <c r="M1818" s="28">
        <v>74</v>
      </c>
      <c r="N1818" s="6">
        <v>4</v>
      </c>
      <c r="O1818" s="30">
        <f t="shared" si="172"/>
        <v>0</v>
      </c>
      <c r="P1818" s="30">
        <f t="shared" si="173"/>
        <v>296</v>
      </c>
      <c r="Q1818" s="1">
        <f>COUNTIFS($P:$P, "&gt;" &amp; $P1818) + 1</f>
        <v>4223</v>
      </c>
      <c r="R1818" s="63">
        <f>(COUNTIFS($P:$P, "&gt;" &amp; $P1818) + 1) / (COUNTA($I:$I) - 1)</f>
        <v>0.84460000000000002</v>
      </c>
      <c r="S1818" s="23">
        <f>SUMIFS($P:$P, $Q:$Q, "&lt;" &amp; $Q1818)</f>
        <v>186487421</v>
      </c>
    </row>
    <row r="1819" spans="1:19" x14ac:dyDescent="0.25">
      <c r="A1819" s="1">
        <v>1814</v>
      </c>
      <c r="B1819" s="1" t="s">
        <v>2</v>
      </c>
      <c r="C1819" s="1" t="str">
        <f>IF($B1819 = "Production Item", _xlfn.XLOOKUP($A1819, 'Instrument Table'!$J:$J, 'Instrument Table'!$B:$B, $C1818), IF($B1819 = "Service Item", _xlfn.XLOOKUP($A1819, 'Instrument Table'!$I:$I, 'Instrument Table'!$B:$B, $C1818), _xlfn.XLOOKUP($A1819, 'Instrument Table'!$H:$H, 'Instrument Table'!$B:$B, $C1818)))</f>
        <v>Clarinet</v>
      </c>
      <c r="D1819" s="1" t="str">
        <f>VLOOKUP($C1819, 'Instrument Table'!$B:$C, 2, FALSE)</f>
        <v>Woodwinds</v>
      </c>
      <c r="E1819" s="1">
        <f t="shared" si="168"/>
        <v>1</v>
      </c>
      <c r="F1819" s="1">
        <f>_xlfn.XLOOKUP($C1819, 'Instrument Table'!$B:$B, 'Instrument Table'!$A:$A, "")</f>
        <v>30</v>
      </c>
      <c r="G1819" s="1" t="str">
        <f>TEXT(IF($B1819 = "Retail Item", IF((ROW($A1819) - 4504 - _xlfn.XMATCH($C1819, $C$4506:$C$5005, 0, 1)) &lt;= VLOOKUP($C1819, 'Instrument Table'!$B:$D, 3, FALSE), ROW($A1819) - 4504 - _xlfn.XMATCH($C1819, $C$4506:$C$5005, 0, 1), 0), 0), "00")</f>
        <v>00</v>
      </c>
      <c r="H1819" s="1" t="str">
        <f t="shared" si="169"/>
        <v>063</v>
      </c>
      <c r="I1819" s="1" t="str">
        <f t="shared" si="170"/>
        <v>13000-063</v>
      </c>
      <c r="J1819" s="1" t="str">
        <f t="shared" si="171"/>
        <v>Clarinet production item #063</v>
      </c>
      <c r="K1819" s="1" t="str">
        <f>IF(SUM(COUNTIFS(I:I, I1819)) &gt; 1, "DUPLICATE", "UNIQUE")</f>
        <v>UNIQUE</v>
      </c>
      <c r="L1819" s="18">
        <v>1</v>
      </c>
      <c r="M1819" s="28">
        <v>51</v>
      </c>
      <c r="N1819" s="6">
        <v>49</v>
      </c>
      <c r="O1819" s="30">
        <f t="shared" si="172"/>
        <v>51</v>
      </c>
      <c r="P1819" s="30">
        <f t="shared" si="173"/>
        <v>2499</v>
      </c>
      <c r="Q1819" s="1">
        <f>COUNTIFS($P:$P, "&gt;" &amp; $P1819) + 1</f>
        <v>3050</v>
      </c>
      <c r="R1819" s="63">
        <f>(COUNTIFS($P:$P, "&gt;" &amp; $P1819) + 1) / (COUNTA($I:$I) - 1)</f>
        <v>0.61</v>
      </c>
      <c r="S1819" s="23">
        <f>SUMIFS($P:$P, $Q:$Q, "&lt;" &amp; $Q1819)</f>
        <v>185060549</v>
      </c>
    </row>
    <row r="1820" spans="1:19" x14ac:dyDescent="0.25">
      <c r="A1820" s="1">
        <v>1815</v>
      </c>
      <c r="B1820" s="1" t="s">
        <v>2</v>
      </c>
      <c r="C1820" s="1" t="str">
        <f>IF($B1820 = "Production Item", _xlfn.XLOOKUP($A1820, 'Instrument Table'!$J:$J, 'Instrument Table'!$B:$B, $C1819), IF($B1820 = "Service Item", _xlfn.XLOOKUP($A1820, 'Instrument Table'!$I:$I, 'Instrument Table'!$B:$B, $C1819), _xlfn.XLOOKUP($A1820, 'Instrument Table'!$H:$H, 'Instrument Table'!$B:$B, $C1819)))</f>
        <v>Clarinet</v>
      </c>
      <c r="D1820" s="1" t="str">
        <f>VLOOKUP($C1820, 'Instrument Table'!$B:$C, 2, FALSE)</f>
        <v>Woodwinds</v>
      </c>
      <c r="E1820" s="1">
        <f t="shared" si="168"/>
        <v>1</v>
      </c>
      <c r="F1820" s="1">
        <f>_xlfn.XLOOKUP($C1820, 'Instrument Table'!$B:$B, 'Instrument Table'!$A:$A, "")</f>
        <v>30</v>
      </c>
      <c r="G1820" s="1" t="str">
        <f>TEXT(IF($B1820 = "Retail Item", IF((ROW($A1820) - 4504 - _xlfn.XMATCH($C1820, $C$4506:$C$5005, 0, 1)) &lt;= VLOOKUP($C1820, 'Instrument Table'!$B:$D, 3, FALSE), ROW($A1820) - 4504 - _xlfn.XMATCH($C1820, $C$4506:$C$5005, 0, 1), 0), 0), "00")</f>
        <v>00</v>
      </c>
      <c r="H1820" s="1" t="str">
        <f t="shared" si="169"/>
        <v>064</v>
      </c>
      <c r="I1820" s="1" t="str">
        <f t="shared" si="170"/>
        <v>13000-064</v>
      </c>
      <c r="J1820" s="1" t="str">
        <f t="shared" si="171"/>
        <v>Clarinet production item #064</v>
      </c>
      <c r="K1820" s="1" t="str">
        <f>IF(SUM(COUNTIFS(I:I, I1820)) &gt; 1, "DUPLICATE", "UNIQUE")</f>
        <v>UNIQUE</v>
      </c>
      <c r="L1820" s="18">
        <v>1</v>
      </c>
      <c r="M1820" s="28">
        <v>65</v>
      </c>
      <c r="N1820" s="6">
        <v>49</v>
      </c>
      <c r="O1820" s="30">
        <f t="shared" si="172"/>
        <v>65</v>
      </c>
      <c r="P1820" s="30">
        <f t="shared" si="173"/>
        <v>3185</v>
      </c>
      <c r="Q1820" s="1">
        <f>COUNTIFS($P:$P, "&gt;" &amp; $P1820) + 1</f>
        <v>2861</v>
      </c>
      <c r="R1820" s="63">
        <f>(COUNTIFS($P:$P, "&gt;" &amp; $P1820) + 1) / (COUNTA($I:$I) - 1)</f>
        <v>0.57220000000000004</v>
      </c>
      <c r="S1820" s="23">
        <f>SUMIFS($P:$P, $Q:$Q, "&lt;" &amp; $Q1820)</f>
        <v>184527056</v>
      </c>
    </row>
    <row r="1821" spans="1:19" x14ac:dyDescent="0.25">
      <c r="A1821" s="1">
        <v>1816</v>
      </c>
      <c r="B1821" s="1" t="s">
        <v>2</v>
      </c>
      <c r="C1821" s="1" t="str">
        <f>IF($B1821 = "Production Item", _xlfn.XLOOKUP($A1821, 'Instrument Table'!$J:$J, 'Instrument Table'!$B:$B, $C1820), IF($B1821 = "Service Item", _xlfn.XLOOKUP($A1821, 'Instrument Table'!$I:$I, 'Instrument Table'!$B:$B, $C1820), _xlfn.XLOOKUP($A1821, 'Instrument Table'!$H:$H, 'Instrument Table'!$B:$B, $C1820)))</f>
        <v>Clarinet</v>
      </c>
      <c r="D1821" s="1" t="str">
        <f>VLOOKUP($C1821, 'Instrument Table'!$B:$C, 2, FALSE)</f>
        <v>Woodwinds</v>
      </c>
      <c r="E1821" s="1">
        <f t="shared" si="168"/>
        <v>1</v>
      </c>
      <c r="F1821" s="1">
        <f>_xlfn.XLOOKUP($C1821, 'Instrument Table'!$B:$B, 'Instrument Table'!$A:$A, "")</f>
        <v>30</v>
      </c>
      <c r="G1821" s="1" t="str">
        <f>TEXT(IF($B1821 = "Retail Item", IF((ROW($A1821) - 4504 - _xlfn.XMATCH($C1821, $C$4506:$C$5005, 0, 1)) &lt;= VLOOKUP($C1821, 'Instrument Table'!$B:$D, 3, FALSE), ROW($A1821) - 4504 - _xlfn.XMATCH($C1821, $C$4506:$C$5005, 0, 1), 0), 0), "00")</f>
        <v>00</v>
      </c>
      <c r="H1821" s="1" t="str">
        <f t="shared" si="169"/>
        <v>065</v>
      </c>
      <c r="I1821" s="1" t="str">
        <f t="shared" si="170"/>
        <v>13000-065</v>
      </c>
      <c r="J1821" s="1" t="str">
        <f t="shared" si="171"/>
        <v>Clarinet production item #065</v>
      </c>
      <c r="K1821" s="1" t="str">
        <f>IF(SUM(COUNTIFS(I:I, I1821)) &gt; 1, "DUPLICATE", "UNIQUE")</f>
        <v>UNIQUE</v>
      </c>
      <c r="L1821" s="18">
        <v>4</v>
      </c>
      <c r="M1821" s="28">
        <v>11</v>
      </c>
      <c r="N1821" s="6">
        <v>9</v>
      </c>
      <c r="O1821" s="30">
        <f t="shared" si="172"/>
        <v>44</v>
      </c>
      <c r="P1821" s="30">
        <f t="shared" si="173"/>
        <v>99</v>
      </c>
      <c r="Q1821" s="1">
        <f>COUNTIFS($P:$P, "&gt;" &amp; $P1821) + 1</f>
        <v>4457</v>
      </c>
      <c r="R1821" s="63">
        <f>(COUNTIFS($P:$P, "&gt;" &amp; $P1821) + 1) / (COUNTA($I:$I) - 1)</f>
        <v>0.89139999999999997</v>
      </c>
      <c r="S1821" s="23">
        <f>SUMIFS($P:$P, $Q:$Q, "&lt;" &amp; $Q1821)</f>
        <v>186532918</v>
      </c>
    </row>
    <row r="1822" spans="1:19" x14ac:dyDescent="0.25">
      <c r="A1822" s="1">
        <v>1817</v>
      </c>
      <c r="B1822" s="1" t="s">
        <v>2</v>
      </c>
      <c r="C1822" s="1" t="str">
        <f>IF($B1822 = "Production Item", _xlfn.XLOOKUP($A1822, 'Instrument Table'!$J:$J, 'Instrument Table'!$B:$B, $C1821), IF($B1822 = "Service Item", _xlfn.XLOOKUP($A1822, 'Instrument Table'!$I:$I, 'Instrument Table'!$B:$B, $C1821), _xlfn.XLOOKUP($A1822, 'Instrument Table'!$H:$H, 'Instrument Table'!$B:$B, $C1821)))</f>
        <v>Clarinet</v>
      </c>
      <c r="D1822" s="1" t="str">
        <f>VLOOKUP($C1822, 'Instrument Table'!$B:$C, 2, FALSE)</f>
        <v>Woodwinds</v>
      </c>
      <c r="E1822" s="1">
        <f t="shared" si="168"/>
        <v>1</v>
      </c>
      <c r="F1822" s="1">
        <f>_xlfn.XLOOKUP($C1822, 'Instrument Table'!$B:$B, 'Instrument Table'!$A:$A, "")</f>
        <v>30</v>
      </c>
      <c r="G1822" s="1" t="str">
        <f>TEXT(IF($B1822 = "Retail Item", IF((ROW($A1822) - 4504 - _xlfn.XMATCH($C1822, $C$4506:$C$5005, 0, 1)) &lt;= VLOOKUP($C1822, 'Instrument Table'!$B:$D, 3, FALSE), ROW($A1822) - 4504 - _xlfn.XMATCH($C1822, $C$4506:$C$5005, 0, 1), 0), 0), "00")</f>
        <v>00</v>
      </c>
      <c r="H1822" s="1" t="str">
        <f t="shared" si="169"/>
        <v>066</v>
      </c>
      <c r="I1822" s="1" t="str">
        <f t="shared" si="170"/>
        <v>13000-066</v>
      </c>
      <c r="J1822" s="1" t="str">
        <f t="shared" si="171"/>
        <v>Clarinet production item #066</v>
      </c>
      <c r="K1822" s="1" t="str">
        <f>IF(SUM(COUNTIFS(I:I, I1822)) &gt; 1, "DUPLICATE", "UNIQUE")</f>
        <v>UNIQUE</v>
      </c>
      <c r="L1822" s="18">
        <v>0</v>
      </c>
      <c r="M1822" s="28">
        <v>79</v>
      </c>
      <c r="N1822" s="6">
        <v>196</v>
      </c>
      <c r="O1822" s="30">
        <f t="shared" si="172"/>
        <v>0</v>
      </c>
      <c r="P1822" s="30">
        <f t="shared" si="173"/>
        <v>15484</v>
      </c>
      <c r="Q1822" s="1">
        <f>COUNTIFS($P:$P, "&gt;" &amp; $P1822) + 1</f>
        <v>1323</v>
      </c>
      <c r="R1822" s="63">
        <f>(COUNTIFS($P:$P, "&gt;" &amp; $P1822) + 1) / (COUNTA($I:$I) - 1)</f>
        <v>0.2646</v>
      </c>
      <c r="S1822" s="23">
        <f>SUMIFS($P:$P, $Q:$Q, "&lt;" &amp; $Q1822)</f>
        <v>172332082</v>
      </c>
    </row>
    <row r="1823" spans="1:19" x14ac:dyDescent="0.25">
      <c r="A1823" s="1">
        <v>1818</v>
      </c>
      <c r="B1823" s="1" t="s">
        <v>2</v>
      </c>
      <c r="C1823" s="1" t="str">
        <f>IF($B1823 = "Production Item", _xlfn.XLOOKUP($A1823, 'Instrument Table'!$J:$J, 'Instrument Table'!$B:$B, $C1822), IF($B1823 = "Service Item", _xlfn.XLOOKUP($A1823, 'Instrument Table'!$I:$I, 'Instrument Table'!$B:$B, $C1822), _xlfn.XLOOKUP($A1823, 'Instrument Table'!$H:$H, 'Instrument Table'!$B:$B, $C1822)))</f>
        <v>Clarinet</v>
      </c>
      <c r="D1823" s="1" t="str">
        <f>VLOOKUP($C1823, 'Instrument Table'!$B:$C, 2, FALSE)</f>
        <v>Woodwinds</v>
      </c>
      <c r="E1823" s="1">
        <f t="shared" si="168"/>
        <v>1</v>
      </c>
      <c r="F1823" s="1">
        <f>_xlfn.XLOOKUP($C1823, 'Instrument Table'!$B:$B, 'Instrument Table'!$A:$A, "")</f>
        <v>30</v>
      </c>
      <c r="G1823" s="1" t="str">
        <f>TEXT(IF($B1823 = "Retail Item", IF((ROW($A1823) - 4504 - _xlfn.XMATCH($C1823, $C$4506:$C$5005, 0, 1)) &lt;= VLOOKUP($C1823, 'Instrument Table'!$B:$D, 3, FALSE), ROW($A1823) - 4504 - _xlfn.XMATCH($C1823, $C$4506:$C$5005, 0, 1), 0), 0), "00")</f>
        <v>00</v>
      </c>
      <c r="H1823" s="1" t="str">
        <f t="shared" si="169"/>
        <v>067</v>
      </c>
      <c r="I1823" s="1" t="str">
        <f t="shared" si="170"/>
        <v>13000-067</v>
      </c>
      <c r="J1823" s="1" t="str">
        <f t="shared" si="171"/>
        <v>Clarinet production item #067</v>
      </c>
      <c r="K1823" s="1" t="str">
        <f>IF(SUM(COUNTIFS(I:I, I1823)) &gt; 1, "DUPLICATE", "UNIQUE")</f>
        <v>UNIQUE</v>
      </c>
      <c r="L1823" s="18">
        <v>8</v>
      </c>
      <c r="M1823" s="28">
        <v>2</v>
      </c>
      <c r="N1823" s="6">
        <v>9</v>
      </c>
      <c r="O1823" s="30">
        <f t="shared" si="172"/>
        <v>16</v>
      </c>
      <c r="P1823" s="30">
        <f t="shared" si="173"/>
        <v>18</v>
      </c>
      <c r="Q1823" s="1">
        <f>COUNTIFS($P:$P, "&gt;" &amp; $P1823) + 1</f>
        <v>4697</v>
      </c>
      <c r="R1823" s="63">
        <f>(COUNTIFS($P:$P, "&gt;" &amp; $P1823) + 1) / (COUNTA($I:$I) - 1)</f>
        <v>0.93940000000000001</v>
      </c>
      <c r="S1823" s="23">
        <f>SUMIFS($P:$P, $Q:$Q, "&lt;" &amp; $Q1823)</f>
        <v>186547339</v>
      </c>
    </row>
    <row r="1824" spans="1:19" x14ac:dyDescent="0.25">
      <c r="A1824" s="1">
        <v>1819</v>
      </c>
      <c r="B1824" s="1" t="s">
        <v>2</v>
      </c>
      <c r="C1824" s="1" t="str">
        <f>IF($B1824 = "Production Item", _xlfn.XLOOKUP($A1824, 'Instrument Table'!$J:$J, 'Instrument Table'!$B:$B, $C1823), IF($B1824 = "Service Item", _xlfn.XLOOKUP($A1824, 'Instrument Table'!$I:$I, 'Instrument Table'!$B:$B, $C1823), _xlfn.XLOOKUP($A1824, 'Instrument Table'!$H:$H, 'Instrument Table'!$B:$B, $C1823)))</f>
        <v>Clarinet</v>
      </c>
      <c r="D1824" s="1" t="str">
        <f>VLOOKUP($C1824, 'Instrument Table'!$B:$C, 2, FALSE)</f>
        <v>Woodwinds</v>
      </c>
      <c r="E1824" s="1">
        <f t="shared" si="168"/>
        <v>1</v>
      </c>
      <c r="F1824" s="1">
        <f>_xlfn.XLOOKUP($C1824, 'Instrument Table'!$B:$B, 'Instrument Table'!$A:$A, "")</f>
        <v>30</v>
      </c>
      <c r="G1824" s="1" t="str">
        <f>TEXT(IF($B1824 = "Retail Item", IF((ROW($A1824) - 4504 - _xlfn.XMATCH($C1824, $C$4506:$C$5005, 0, 1)) &lt;= VLOOKUP($C1824, 'Instrument Table'!$B:$D, 3, FALSE), ROW($A1824) - 4504 - _xlfn.XMATCH($C1824, $C$4506:$C$5005, 0, 1), 0), 0), "00")</f>
        <v>00</v>
      </c>
      <c r="H1824" s="1" t="str">
        <f t="shared" si="169"/>
        <v>068</v>
      </c>
      <c r="I1824" s="1" t="str">
        <f t="shared" si="170"/>
        <v>13000-068</v>
      </c>
      <c r="J1824" s="1" t="str">
        <f t="shared" si="171"/>
        <v>Clarinet production item #068</v>
      </c>
      <c r="K1824" s="1" t="str">
        <f>IF(SUM(COUNTIFS(I:I, I1824)) &gt; 1, "DUPLICATE", "UNIQUE")</f>
        <v>UNIQUE</v>
      </c>
      <c r="L1824" s="18">
        <v>0</v>
      </c>
      <c r="M1824" s="28">
        <v>78</v>
      </c>
      <c r="N1824" s="6">
        <v>256</v>
      </c>
      <c r="O1824" s="30">
        <f t="shared" si="172"/>
        <v>0</v>
      </c>
      <c r="P1824" s="30">
        <f t="shared" si="173"/>
        <v>19968</v>
      </c>
      <c r="Q1824" s="1">
        <f>COUNTIFS($P:$P, "&gt;" &amp; $P1824) + 1</f>
        <v>1059</v>
      </c>
      <c r="R1824" s="63">
        <f>(COUNTIFS($P:$P, "&gt;" &amp; $P1824) + 1) / (COUNTA($I:$I) - 1)</f>
        <v>0.21179999999999999</v>
      </c>
      <c r="S1824" s="23">
        <f>SUMIFS($P:$P, $Q:$Q, "&lt;" &amp; $Q1824)</f>
        <v>167703296</v>
      </c>
    </row>
    <row r="1825" spans="1:19" x14ac:dyDescent="0.25">
      <c r="A1825" s="1">
        <v>1820</v>
      </c>
      <c r="B1825" s="1" t="s">
        <v>2</v>
      </c>
      <c r="C1825" s="1" t="str">
        <f>IF($B1825 = "Production Item", _xlfn.XLOOKUP($A1825, 'Instrument Table'!$J:$J, 'Instrument Table'!$B:$B, $C1824), IF($B1825 = "Service Item", _xlfn.XLOOKUP($A1825, 'Instrument Table'!$I:$I, 'Instrument Table'!$B:$B, $C1824), _xlfn.XLOOKUP($A1825, 'Instrument Table'!$H:$H, 'Instrument Table'!$B:$B, $C1824)))</f>
        <v>Clarinet</v>
      </c>
      <c r="D1825" s="1" t="str">
        <f>VLOOKUP($C1825, 'Instrument Table'!$B:$C, 2, FALSE)</f>
        <v>Woodwinds</v>
      </c>
      <c r="E1825" s="1">
        <f t="shared" si="168"/>
        <v>1</v>
      </c>
      <c r="F1825" s="1">
        <f>_xlfn.XLOOKUP($C1825, 'Instrument Table'!$B:$B, 'Instrument Table'!$A:$A, "")</f>
        <v>30</v>
      </c>
      <c r="G1825" s="1" t="str">
        <f>TEXT(IF($B1825 = "Retail Item", IF((ROW($A1825) - 4504 - _xlfn.XMATCH($C1825, $C$4506:$C$5005, 0, 1)) &lt;= VLOOKUP($C1825, 'Instrument Table'!$B:$D, 3, FALSE), ROW($A1825) - 4504 - _xlfn.XMATCH($C1825, $C$4506:$C$5005, 0, 1), 0), 0), "00")</f>
        <v>00</v>
      </c>
      <c r="H1825" s="1" t="str">
        <f t="shared" si="169"/>
        <v>069</v>
      </c>
      <c r="I1825" s="1" t="str">
        <f t="shared" si="170"/>
        <v>13000-069</v>
      </c>
      <c r="J1825" s="1" t="str">
        <f t="shared" si="171"/>
        <v>Clarinet production item #069</v>
      </c>
      <c r="K1825" s="1" t="str">
        <f>IF(SUM(COUNTIFS(I:I, I1825)) &gt; 1, "DUPLICATE", "UNIQUE")</f>
        <v>UNIQUE</v>
      </c>
      <c r="L1825" s="18">
        <v>1</v>
      </c>
      <c r="M1825" s="28">
        <v>37</v>
      </c>
      <c r="N1825" s="6">
        <v>16</v>
      </c>
      <c r="O1825" s="30">
        <f t="shared" si="172"/>
        <v>37</v>
      </c>
      <c r="P1825" s="30">
        <f t="shared" si="173"/>
        <v>592</v>
      </c>
      <c r="Q1825" s="1">
        <f>COUNTIFS($P:$P, "&gt;" &amp; $P1825) + 1</f>
        <v>3947</v>
      </c>
      <c r="R1825" s="63">
        <f>(COUNTIFS($P:$P, "&gt;" &amp; $P1825) + 1) / (COUNTA($I:$I) - 1)</f>
        <v>0.78939999999999999</v>
      </c>
      <c r="S1825" s="23">
        <f>SUMIFS($P:$P, $Q:$Q, "&lt;" &amp; $Q1825)</f>
        <v>186368477</v>
      </c>
    </row>
    <row r="1826" spans="1:19" x14ac:dyDescent="0.25">
      <c r="A1826" s="1">
        <v>1821</v>
      </c>
      <c r="B1826" s="1" t="s">
        <v>2</v>
      </c>
      <c r="C1826" s="1" t="str">
        <f>IF($B1826 = "Production Item", _xlfn.XLOOKUP($A1826, 'Instrument Table'!$J:$J, 'Instrument Table'!$B:$B, $C1825), IF($B1826 = "Service Item", _xlfn.XLOOKUP($A1826, 'Instrument Table'!$I:$I, 'Instrument Table'!$B:$B, $C1825), _xlfn.XLOOKUP($A1826, 'Instrument Table'!$H:$H, 'Instrument Table'!$B:$B, $C1825)))</f>
        <v>Clarinet</v>
      </c>
      <c r="D1826" s="1" t="str">
        <f>VLOOKUP($C1826, 'Instrument Table'!$B:$C, 2, FALSE)</f>
        <v>Woodwinds</v>
      </c>
      <c r="E1826" s="1">
        <f t="shared" si="168"/>
        <v>1</v>
      </c>
      <c r="F1826" s="1">
        <f>_xlfn.XLOOKUP($C1826, 'Instrument Table'!$B:$B, 'Instrument Table'!$A:$A, "")</f>
        <v>30</v>
      </c>
      <c r="G1826" s="1" t="str">
        <f>TEXT(IF($B1826 = "Retail Item", IF((ROW($A1826) - 4504 - _xlfn.XMATCH($C1826, $C$4506:$C$5005, 0, 1)) &lt;= VLOOKUP($C1826, 'Instrument Table'!$B:$D, 3, FALSE), ROW($A1826) - 4504 - _xlfn.XMATCH($C1826, $C$4506:$C$5005, 0, 1), 0), 0), "00")</f>
        <v>00</v>
      </c>
      <c r="H1826" s="1" t="str">
        <f t="shared" si="169"/>
        <v>070</v>
      </c>
      <c r="I1826" s="1" t="str">
        <f t="shared" si="170"/>
        <v>13000-070</v>
      </c>
      <c r="J1826" s="1" t="str">
        <f t="shared" si="171"/>
        <v>Clarinet production item #070</v>
      </c>
      <c r="K1826" s="1" t="str">
        <f>IF(SUM(COUNTIFS(I:I, I1826)) &gt; 1, "DUPLICATE", "UNIQUE")</f>
        <v>UNIQUE</v>
      </c>
      <c r="L1826" s="18">
        <v>1</v>
      </c>
      <c r="M1826" s="28">
        <v>7</v>
      </c>
      <c r="N1826" s="6">
        <v>1</v>
      </c>
      <c r="O1826" s="30">
        <f t="shared" si="172"/>
        <v>7</v>
      </c>
      <c r="P1826" s="30">
        <f t="shared" si="173"/>
        <v>7</v>
      </c>
      <c r="Q1826" s="1">
        <f>COUNTIFS($P:$P, "&gt;" &amp; $P1826) + 1</f>
        <v>4733</v>
      </c>
      <c r="R1826" s="63">
        <f>(COUNTIFS($P:$P, "&gt;" &amp; $P1826) + 1) / (COUNTA($I:$I) - 1)</f>
        <v>0.9466</v>
      </c>
      <c r="S1826" s="23">
        <f>SUMIFS($P:$P, $Q:$Q, "&lt;" &amp; $Q1826)</f>
        <v>186547809</v>
      </c>
    </row>
    <row r="1827" spans="1:19" x14ac:dyDescent="0.25">
      <c r="A1827" s="1">
        <v>1822</v>
      </c>
      <c r="B1827" s="1" t="s">
        <v>2</v>
      </c>
      <c r="C1827" s="1" t="str">
        <f>IF($B1827 = "Production Item", _xlfn.XLOOKUP($A1827, 'Instrument Table'!$J:$J, 'Instrument Table'!$B:$B, $C1826), IF($B1827 = "Service Item", _xlfn.XLOOKUP($A1827, 'Instrument Table'!$I:$I, 'Instrument Table'!$B:$B, $C1826), _xlfn.XLOOKUP($A1827, 'Instrument Table'!$H:$H, 'Instrument Table'!$B:$B, $C1826)))</f>
        <v>Clarinet</v>
      </c>
      <c r="D1827" s="1" t="str">
        <f>VLOOKUP($C1827, 'Instrument Table'!$B:$C, 2, FALSE)</f>
        <v>Woodwinds</v>
      </c>
      <c r="E1827" s="1">
        <f t="shared" si="168"/>
        <v>1</v>
      </c>
      <c r="F1827" s="1">
        <f>_xlfn.XLOOKUP($C1827, 'Instrument Table'!$B:$B, 'Instrument Table'!$A:$A, "")</f>
        <v>30</v>
      </c>
      <c r="G1827" s="1" t="str">
        <f>TEXT(IF($B1827 = "Retail Item", IF((ROW($A1827) - 4504 - _xlfn.XMATCH($C1827, $C$4506:$C$5005, 0, 1)) &lt;= VLOOKUP($C1827, 'Instrument Table'!$B:$D, 3, FALSE), ROW($A1827) - 4504 - _xlfn.XMATCH($C1827, $C$4506:$C$5005, 0, 1), 0), 0), "00")</f>
        <v>00</v>
      </c>
      <c r="H1827" s="1" t="str">
        <f t="shared" si="169"/>
        <v>071</v>
      </c>
      <c r="I1827" s="1" t="str">
        <f t="shared" si="170"/>
        <v>13000-071</v>
      </c>
      <c r="J1827" s="1" t="str">
        <f t="shared" si="171"/>
        <v>Clarinet production item #071</v>
      </c>
      <c r="K1827" s="1" t="str">
        <f>IF(SUM(COUNTIFS(I:I, I1827)) &gt; 1, "DUPLICATE", "UNIQUE")</f>
        <v>UNIQUE</v>
      </c>
      <c r="L1827" s="18">
        <v>0</v>
      </c>
      <c r="M1827" s="28">
        <v>43</v>
      </c>
      <c r="N1827" s="6">
        <v>169</v>
      </c>
      <c r="O1827" s="30">
        <f t="shared" si="172"/>
        <v>0</v>
      </c>
      <c r="P1827" s="30">
        <f t="shared" si="173"/>
        <v>7267</v>
      </c>
      <c r="Q1827" s="1">
        <f>COUNTIFS($P:$P, "&gt;" &amp; $P1827) + 1</f>
        <v>2100</v>
      </c>
      <c r="R1827" s="63">
        <f>(COUNTIFS($P:$P, "&gt;" &amp; $P1827) + 1) / (COUNTA($I:$I) - 1)</f>
        <v>0.42</v>
      </c>
      <c r="S1827" s="23">
        <f>SUMIFS($P:$P, $Q:$Q, "&lt;" &amp; $Q1827)</f>
        <v>180758693</v>
      </c>
    </row>
    <row r="1828" spans="1:19" x14ac:dyDescent="0.25">
      <c r="A1828" s="1">
        <v>1823</v>
      </c>
      <c r="B1828" s="1" t="s">
        <v>2</v>
      </c>
      <c r="C1828" s="1" t="str">
        <f>IF($B1828 = "Production Item", _xlfn.XLOOKUP($A1828, 'Instrument Table'!$J:$J, 'Instrument Table'!$B:$B, $C1827), IF($B1828 = "Service Item", _xlfn.XLOOKUP($A1828, 'Instrument Table'!$I:$I, 'Instrument Table'!$B:$B, $C1827), _xlfn.XLOOKUP($A1828, 'Instrument Table'!$H:$H, 'Instrument Table'!$B:$B, $C1827)))</f>
        <v>Clarinet</v>
      </c>
      <c r="D1828" s="1" t="str">
        <f>VLOOKUP($C1828, 'Instrument Table'!$B:$C, 2, FALSE)</f>
        <v>Woodwinds</v>
      </c>
      <c r="E1828" s="1">
        <f t="shared" si="168"/>
        <v>1</v>
      </c>
      <c r="F1828" s="1">
        <f>_xlfn.XLOOKUP($C1828, 'Instrument Table'!$B:$B, 'Instrument Table'!$A:$A, "")</f>
        <v>30</v>
      </c>
      <c r="G1828" s="1" t="str">
        <f>TEXT(IF($B1828 = "Retail Item", IF((ROW($A1828) - 4504 - _xlfn.XMATCH($C1828, $C$4506:$C$5005, 0, 1)) &lt;= VLOOKUP($C1828, 'Instrument Table'!$B:$D, 3, FALSE), ROW($A1828) - 4504 - _xlfn.XMATCH($C1828, $C$4506:$C$5005, 0, 1), 0), 0), "00")</f>
        <v>00</v>
      </c>
      <c r="H1828" s="1" t="str">
        <f t="shared" si="169"/>
        <v>072</v>
      </c>
      <c r="I1828" s="1" t="str">
        <f t="shared" si="170"/>
        <v>13000-072</v>
      </c>
      <c r="J1828" s="1" t="str">
        <f t="shared" si="171"/>
        <v>Clarinet production item #072</v>
      </c>
      <c r="K1828" s="1" t="str">
        <f>IF(SUM(COUNTIFS(I:I, I1828)) &gt; 1, "DUPLICATE", "UNIQUE")</f>
        <v>UNIQUE</v>
      </c>
      <c r="L1828" s="18">
        <v>1</v>
      </c>
      <c r="M1828" s="28">
        <v>60</v>
      </c>
      <c r="N1828" s="6">
        <v>144</v>
      </c>
      <c r="O1828" s="30">
        <f t="shared" si="172"/>
        <v>60</v>
      </c>
      <c r="P1828" s="30">
        <f t="shared" si="173"/>
        <v>8640</v>
      </c>
      <c r="Q1828" s="1">
        <f>COUNTIFS($P:$P, "&gt;" &amp; $P1828) + 1</f>
        <v>1914</v>
      </c>
      <c r="R1828" s="63">
        <f>(COUNTIFS($P:$P, "&gt;" &amp; $P1828) + 1) / (COUNTA($I:$I) - 1)</f>
        <v>0.38279999999999997</v>
      </c>
      <c r="S1828" s="23">
        <f>SUMIFS($P:$P, $Q:$Q, "&lt;" &amp; $Q1828)</f>
        <v>179285817</v>
      </c>
    </row>
    <row r="1829" spans="1:19" x14ac:dyDescent="0.25">
      <c r="A1829" s="1">
        <v>1824</v>
      </c>
      <c r="B1829" s="1" t="s">
        <v>2</v>
      </c>
      <c r="C1829" s="1" t="str">
        <f>IF($B1829 = "Production Item", _xlfn.XLOOKUP($A1829, 'Instrument Table'!$J:$J, 'Instrument Table'!$B:$B, $C1828), IF($B1829 = "Service Item", _xlfn.XLOOKUP($A1829, 'Instrument Table'!$I:$I, 'Instrument Table'!$B:$B, $C1828), _xlfn.XLOOKUP($A1829, 'Instrument Table'!$H:$H, 'Instrument Table'!$B:$B, $C1828)))</f>
        <v>Clarinet</v>
      </c>
      <c r="D1829" s="1" t="str">
        <f>VLOOKUP($C1829, 'Instrument Table'!$B:$C, 2, FALSE)</f>
        <v>Woodwinds</v>
      </c>
      <c r="E1829" s="1">
        <f t="shared" si="168"/>
        <v>1</v>
      </c>
      <c r="F1829" s="1">
        <f>_xlfn.XLOOKUP($C1829, 'Instrument Table'!$B:$B, 'Instrument Table'!$A:$A, "")</f>
        <v>30</v>
      </c>
      <c r="G1829" s="1" t="str">
        <f>TEXT(IF($B1829 = "Retail Item", IF((ROW($A1829) - 4504 - _xlfn.XMATCH($C1829, $C$4506:$C$5005, 0, 1)) &lt;= VLOOKUP($C1829, 'Instrument Table'!$B:$D, 3, FALSE), ROW($A1829) - 4504 - _xlfn.XMATCH($C1829, $C$4506:$C$5005, 0, 1), 0), 0), "00")</f>
        <v>00</v>
      </c>
      <c r="H1829" s="1" t="str">
        <f t="shared" si="169"/>
        <v>073</v>
      </c>
      <c r="I1829" s="1" t="str">
        <f t="shared" si="170"/>
        <v>13000-073</v>
      </c>
      <c r="J1829" s="1" t="str">
        <f t="shared" si="171"/>
        <v>Clarinet production item #073</v>
      </c>
      <c r="K1829" s="1" t="str">
        <f>IF(SUM(COUNTIFS(I:I, I1829)) &gt; 1, "DUPLICATE", "UNIQUE")</f>
        <v>UNIQUE</v>
      </c>
      <c r="L1829" s="18">
        <v>0</v>
      </c>
      <c r="M1829" s="28">
        <v>52</v>
      </c>
      <c r="N1829" s="6">
        <v>0</v>
      </c>
      <c r="O1829" s="30">
        <f t="shared" si="172"/>
        <v>0</v>
      </c>
      <c r="P1829" s="30">
        <f t="shared" si="173"/>
        <v>0</v>
      </c>
      <c r="Q1829" s="1">
        <f>COUNTIFS($P:$P, "&gt;" &amp; $P1829) + 1</f>
        <v>4746</v>
      </c>
      <c r="R1829" s="63">
        <f>(COUNTIFS($P:$P, "&gt;" &amp; $P1829) + 1) / (COUNTA($I:$I) - 1)</f>
        <v>0.94920000000000004</v>
      </c>
      <c r="S1829" s="23">
        <f>SUMIFS($P:$P, $Q:$Q, "&lt;" &amp; $Q1829)</f>
        <v>186547861</v>
      </c>
    </row>
    <row r="1830" spans="1:19" x14ac:dyDescent="0.25">
      <c r="A1830" s="1">
        <v>1825</v>
      </c>
      <c r="B1830" s="1" t="s">
        <v>2</v>
      </c>
      <c r="C1830" s="1" t="str">
        <f>IF($B1830 = "Production Item", _xlfn.XLOOKUP($A1830, 'Instrument Table'!$J:$J, 'Instrument Table'!$B:$B, $C1829), IF($B1830 = "Service Item", _xlfn.XLOOKUP($A1830, 'Instrument Table'!$I:$I, 'Instrument Table'!$B:$B, $C1829), _xlfn.XLOOKUP($A1830, 'Instrument Table'!$H:$H, 'Instrument Table'!$B:$B, $C1829)))</f>
        <v>Clarinet</v>
      </c>
      <c r="D1830" s="1" t="str">
        <f>VLOOKUP($C1830, 'Instrument Table'!$B:$C, 2, FALSE)</f>
        <v>Woodwinds</v>
      </c>
      <c r="E1830" s="1">
        <f t="shared" si="168"/>
        <v>1</v>
      </c>
      <c r="F1830" s="1">
        <f>_xlfn.XLOOKUP($C1830, 'Instrument Table'!$B:$B, 'Instrument Table'!$A:$A, "")</f>
        <v>30</v>
      </c>
      <c r="G1830" s="1" t="str">
        <f>TEXT(IF($B1830 = "Retail Item", IF((ROW($A1830) - 4504 - _xlfn.XMATCH($C1830, $C$4506:$C$5005, 0, 1)) &lt;= VLOOKUP($C1830, 'Instrument Table'!$B:$D, 3, FALSE), ROW($A1830) - 4504 - _xlfn.XMATCH($C1830, $C$4506:$C$5005, 0, 1), 0), 0), "00")</f>
        <v>00</v>
      </c>
      <c r="H1830" s="1" t="str">
        <f t="shared" si="169"/>
        <v>074</v>
      </c>
      <c r="I1830" s="1" t="str">
        <f t="shared" si="170"/>
        <v>13000-074</v>
      </c>
      <c r="J1830" s="1" t="str">
        <f t="shared" si="171"/>
        <v>Clarinet production item #074</v>
      </c>
      <c r="K1830" s="1" t="str">
        <f>IF(SUM(COUNTIFS(I:I, I1830)) &gt; 1, "DUPLICATE", "UNIQUE")</f>
        <v>UNIQUE</v>
      </c>
      <c r="L1830" s="18">
        <v>0</v>
      </c>
      <c r="M1830" s="28">
        <v>8</v>
      </c>
      <c r="N1830" s="6">
        <v>9</v>
      </c>
      <c r="O1830" s="30">
        <f t="shared" si="172"/>
        <v>0</v>
      </c>
      <c r="P1830" s="30">
        <f t="shared" si="173"/>
        <v>72</v>
      </c>
      <c r="Q1830" s="1">
        <f>COUNTIFS($P:$P, "&gt;" &amp; $P1830) + 1</f>
        <v>4534</v>
      </c>
      <c r="R1830" s="63">
        <f>(COUNTIFS($P:$P, "&gt;" &amp; $P1830) + 1) / (COUNTA($I:$I) - 1)</f>
        <v>0.90680000000000005</v>
      </c>
      <c r="S1830" s="23">
        <f>SUMIFS($P:$P, $Q:$Q, "&lt;" &amp; $Q1830)</f>
        <v>186539538</v>
      </c>
    </row>
    <row r="1831" spans="1:19" x14ac:dyDescent="0.25">
      <c r="A1831" s="1">
        <v>1826</v>
      </c>
      <c r="B1831" s="1" t="s">
        <v>2</v>
      </c>
      <c r="C1831" s="1" t="str">
        <f>IF($B1831 = "Production Item", _xlfn.XLOOKUP($A1831, 'Instrument Table'!$J:$J, 'Instrument Table'!$B:$B, $C1830), IF($B1831 = "Service Item", _xlfn.XLOOKUP($A1831, 'Instrument Table'!$I:$I, 'Instrument Table'!$B:$B, $C1830), _xlfn.XLOOKUP($A1831, 'Instrument Table'!$H:$H, 'Instrument Table'!$B:$B, $C1830)))</f>
        <v>Clarinet</v>
      </c>
      <c r="D1831" s="1" t="str">
        <f>VLOOKUP($C1831, 'Instrument Table'!$B:$C, 2, FALSE)</f>
        <v>Woodwinds</v>
      </c>
      <c r="E1831" s="1">
        <f t="shared" si="168"/>
        <v>1</v>
      </c>
      <c r="F1831" s="1">
        <f>_xlfn.XLOOKUP($C1831, 'Instrument Table'!$B:$B, 'Instrument Table'!$A:$A, "")</f>
        <v>30</v>
      </c>
      <c r="G1831" s="1" t="str">
        <f>TEXT(IF($B1831 = "Retail Item", IF((ROW($A1831) - 4504 - _xlfn.XMATCH($C1831, $C$4506:$C$5005, 0, 1)) &lt;= VLOOKUP($C1831, 'Instrument Table'!$B:$D, 3, FALSE), ROW($A1831) - 4504 - _xlfn.XMATCH($C1831, $C$4506:$C$5005, 0, 1), 0), 0), "00")</f>
        <v>00</v>
      </c>
      <c r="H1831" s="1" t="str">
        <f t="shared" si="169"/>
        <v>075</v>
      </c>
      <c r="I1831" s="1" t="str">
        <f t="shared" si="170"/>
        <v>13000-075</v>
      </c>
      <c r="J1831" s="1" t="str">
        <f t="shared" si="171"/>
        <v>Clarinet production item #075</v>
      </c>
      <c r="K1831" s="1" t="str">
        <f>IF(SUM(COUNTIFS(I:I, I1831)) &gt; 1, "DUPLICATE", "UNIQUE")</f>
        <v>UNIQUE</v>
      </c>
      <c r="L1831" s="18">
        <v>0</v>
      </c>
      <c r="M1831" s="28">
        <v>74</v>
      </c>
      <c r="N1831" s="6">
        <v>1</v>
      </c>
      <c r="O1831" s="30">
        <f t="shared" si="172"/>
        <v>0</v>
      </c>
      <c r="P1831" s="30">
        <f t="shared" si="173"/>
        <v>74</v>
      </c>
      <c r="Q1831" s="1">
        <f>COUNTIFS($P:$P, "&gt;" &amp; $P1831) + 1</f>
        <v>4532</v>
      </c>
      <c r="R1831" s="63">
        <f>(COUNTIFS($P:$P, "&gt;" &amp; $P1831) + 1) / (COUNTA($I:$I) - 1)</f>
        <v>0.90639999999999998</v>
      </c>
      <c r="S1831" s="23">
        <f>SUMIFS($P:$P, $Q:$Q, "&lt;" &amp; $Q1831)</f>
        <v>186539391</v>
      </c>
    </row>
    <row r="1832" spans="1:19" x14ac:dyDescent="0.25">
      <c r="A1832" s="1">
        <v>1827</v>
      </c>
      <c r="B1832" s="1" t="s">
        <v>2</v>
      </c>
      <c r="C1832" s="1" t="str">
        <f>IF($B1832 = "Production Item", _xlfn.XLOOKUP($A1832, 'Instrument Table'!$J:$J, 'Instrument Table'!$B:$B, $C1831), IF($B1832 = "Service Item", _xlfn.XLOOKUP($A1832, 'Instrument Table'!$I:$I, 'Instrument Table'!$B:$B, $C1831), _xlfn.XLOOKUP($A1832, 'Instrument Table'!$H:$H, 'Instrument Table'!$B:$B, $C1831)))</f>
        <v>Clarinet</v>
      </c>
      <c r="D1832" s="1" t="str">
        <f>VLOOKUP($C1832, 'Instrument Table'!$B:$C, 2, FALSE)</f>
        <v>Woodwinds</v>
      </c>
      <c r="E1832" s="1">
        <f t="shared" si="168"/>
        <v>1</v>
      </c>
      <c r="F1832" s="1">
        <f>_xlfn.XLOOKUP($C1832, 'Instrument Table'!$B:$B, 'Instrument Table'!$A:$A, "")</f>
        <v>30</v>
      </c>
      <c r="G1832" s="1" t="str">
        <f>TEXT(IF($B1832 = "Retail Item", IF((ROW($A1832) - 4504 - _xlfn.XMATCH($C1832, $C$4506:$C$5005, 0, 1)) &lt;= VLOOKUP($C1832, 'Instrument Table'!$B:$D, 3, FALSE), ROW($A1832) - 4504 - _xlfn.XMATCH($C1832, $C$4506:$C$5005, 0, 1), 0), 0), "00")</f>
        <v>00</v>
      </c>
      <c r="H1832" s="1" t="str">
        <f t="shared" si="169"/>
        <v>076</v>
      </c>
      <c r="I1832" s="1" t="str">
        <f t="shared" si="170"/>
        <v>13000-076</v>
      </c>
      <c r="J1832" s="1" t="str">
        <f t="shared" si="171"/>
        <v>Clarinet production item #076</v>
      </c>
      <c r="K1832" s="1" t="str">
        <f>IF(SUM(COUNTIFS(I:I, I1832)) &gt; 1, "DUPLICATE", "UNIQUE")</f>
        <v>UNIQUE</v>
      </c>
      <c r="L1832" s="18">
        <v>0</v>
      </c>
      <c r="M1832" s="28">
        <v>78</v>
      </c>
      <c r="N1832" s="6">
        <v>100</v>
      </c>
      <c r="O1832" s="30">
        <f t="shared" si="172"/>
        <v>0</v>
      </c>
      <c r="P1832" s="30">
        <f t="shared" si="173"/>
        <v>7800</v>
      </c>
      <c r="Q1832" s="1">
        <f>COUNTIFS($P:$P, "&gt;" &amp; $P1832) + 1</f>
        <v>2016</v>
      </c>
      <c r="R1832" s="63">
        <f>(COUNTIFS($P:$P, "&gt;" &amp; $P1832) + 1) / (COUNTA($I:$I) - 1)</f>
        <v>0.4032</v>
      </c>
      <c r="S1832" s="23">
        <f>SUMIFS($P:$P, $Q:$Q, "&lt;" &amp; $Q1832)</f>
        <v>180122229</v>
      </c>
    </row>
    <row r="1833" spans="1:19" x14ac:dyDescent="0.25">
      <c r="A1833" s="1">
        <v>1828</v>
      </c>
      <c r="B1833" s="1" t="s">
        <v>2</v>
      </c>
      <c r="C1833" s="1" t="str">
        <f>IF($B1833 = "Production Item", _xlfn.XLOOKUP($A1833, 'Instrument Table'!$J:$J, 'Instrument Table'!$B:$B, $C1832), IF($B1833 = "Service Item", _xlfn.XLOOKUP($A1833, 'Instrument Table'!$I:$I, 'Instrument Table'!$B:$B, $C1832), _xlfn.XLOOKUP($A1833, 'Instrument Table'!$H:$H, 'Instrument Table'!$B:$B, $C1832)))</f>
        <v>Clarinet</v>
      </c>
      <c r="D1833" s="1" t="str">
        <f>VLOOKUP($C1833, 'Instrument Table'!$B:$C, 2, FALSE)</f>
        <v>Woodwinds</v>
      </c>
      <c r="E1833" s="1">
        <f t="shared" si="168"/>
        <v>1</v>
      </c>
      <c r="F1833" s="1">
        <f>_xlfn.XLOOKUP($C1833, 'Instrument Table'!$B:$B, 'Instrument Table'!$A:$A, "")</f>
        <v>30</v>
      </c>
      <c r="G1833" s="1" t="str">
        <f>TEXT(IF($B1833 = "Retail Item", IF((ROW($A1833) - 4504 - _xlfn.XMATCH($C1833, $C$4506:$C$5005, 0, 1)) &lt;= VLOOKUP($C1833, 'Instrument Table'!$B:$D, 3, FALSE), ROW($A1833) - 4504 - _xlfn.XMATCH($C1833, $C$4506:$C$5005, 0, 1), 0), 0), "00")</f>
        <v>00</v>
      </c>
      <c r="H1833" s="1" t="str">
        <f t="shared" si="169"/>
        <v>077</v>
      </c>
      <c r="I1833" s="1" t="str">
        <f t="shared" si="170"/>
        <v>13000-077</v>
      </c>
      <c r="J1833" s="1" t="str">
        <f t="shared" si="171"/>
        <v>Clarinet production item #077</v>
      </c>
      <c r="K1833" s="1" t="str">
        <f>IF(SUM(COUNTIFS(I:I, I1833)) &gt; 1, "DUPLICATE", "UNIQUE")</f>
        <v>UNIQUE</v>
      </c>
      <c r="L1833" s="18">
        <v>16</v>
      </c>
      <c r="M1833" s="28">
        <v>83</v>
      </c>
      <c r="N1833" s="6">
        <v>16</v>
      </c>
      <c r="O1833" s="30">
        <f t="shared" si="172"/>
        <v>1328</v>
      </c>
      <c r="P1833" s="30">
        <f t="shared" si="173"/>
        <v>1328</v>
      </c>
      <c r="Q1833" s="1">
        <f>COUNTIFS($P:$P, "&gt;" &amp; $P1833) + 1</f>
        <v>3552</v>
      </c>
      <c r="R1833" s="63">
        <f>(COUNTIFS($P:$P, "&gt;" &amp; $P1833) + 1) / (COUNTA($I:$I) - 1)</f>
        <v>0.71040000000000003</v>
      </c>
      <c r="S1833" s="23">
        <f>SUMIFS($P:$P, $Q:$Q, "&lt;" &amp; $Q1833)</f>
        <v>186008741</v>
      </c>
    </row>
    <row r="1834" spans="1:19" x14ac:dyDescent="0.25">
      <c r="A1834" s="1">
        <v>1829</v>
      </c>
      <c r="B1834" s="1" t="s">
        <v>2</v>
      </c>
      <c r="C1834" s="1" t="str">
        <f>IF($B1834 = "Production Item", _xlfn.XLOOKUP($A1834, 'Instrument Table'!$J:$J, 'Instrument Table'!$B:$B, $C1833), IF($B1834 = "Service Item", _xlfn.XLOOKUP($A1834, 'Instrument Table'!$I:$I, 'Instrument Table'!$B:$B, $C1833), _xlfn.XLOOKUP($A1834, 'Instrument Table'!$H:$H, 'Instrument Table'!$B:$B, $C1833)))</f>
        <v>Clarinet</v>
      </c>
      <c r="D1834" s="1" t="str">
        <f>VLOOKUP($C1834, 'Instrument Table'!$B:$C, 2, FALSE)</f>
        <v>Woodwinds</v>
      </c>
      <c r="E1834" s="1">
        <f t="shared" si="168"/>
        <v>1</v>
      </c>
      <c r="F1834" s="1">
        <f>_xlfn.XLOOKUP($C1834, 'Instrument Table'!$B:$B, 'Instrument Table'!$A:$A, "")</f>
        <v>30</v>
      </c>
      <c r="G1834" s="1" t="str">
        <f>TEXT(IF($B1834 = "Retail Item", IF((ROW($A1834) - 4504 - _xlfn.XMATCH($C1834, $C$4506:$C$5005, 0, 1)) &lt;= VLOOKUP($C1834, 'Instrument Table'!$B:$D, 3, FALSE), ROW($A1834) - 4504 - _xlfn.XMATCH($C1834, $C$4506:$C$5005, 0, 1), 0), 0), "00")</f>
        <v>00</v>
      </c>
      <c r="H1834" s="1" t="str">
        <f t="shared" si="169"/>
        <v>078</v>
      </c>
      <c r="I1834" s="1" t="str">
        <f t="shared" si="170"/>
        <v>13000-078</v>
      </c>
      <c r="J1834" s="1" t="str">
        <f t="shared" si="171"/>
        <v>Clarinet production item #078</v>
      </c>
      <c r="K1834" s="1" t="str">
        <f>IF(SUM(COUNTIFS(I:I, I1834)) &gt; 1, "DUPLICATE", "UNIQUE")</f>
        <v>UNIQUE</v>
      </c>
      <c r="L1834" s="18">
        <v>0</v>
      </c>
      <c r="M1834" s="28">
        <v>23</v>
      </c>
      <c r="N1834" s="6">
        <v>361</v>
      </c>
      <c r="O1834" s="30">
        <f t="shared" si="172"/>
        <v>0</v>
      </c>
      <c r="P1834" s="30">
        <f t="shared" si="173"/>
        <v>8303</v>
      </c>
      <c r="Q1834" s="1">
        <f>COUNTIFS($P:$P, "&gt;" &amp; $P1834) + 1</f>
        <v>1951</v>
      </c>
      <c r="R1834" s="63">
        <f>(COUNTIFS($P:$P, "&gt;" &amp; $P1834) + 1) / (COUNTA($I:$I) - 1)</f>
        <v>0.39019999999999999</v>
      </c>
      <c r="S1834" s="23">
        <f>SUMIFS($P:$P, $Q:$Q, "&lt;" &amp; $Q1834)</f>
        <v>179599666</v>
      </c>
    </row>
    <row r="1835" spans="1:19" x14ac:dyDescent="0.25">
      <c r="A1835" s="1">
        <v>1830</v>
      </c>
      <c r="B1835" s="1" t="s">
        <v>2</v>
      </c>
      <c r="C1835" s="1" t="str">
        <f>IF($B1835 = "Production Item", _xlfn.XLOOKUP($A1835, 'Instrument Table'!$J:$J, 'Instrument Table'!$B:$B, $C1834), IF($B1835 = "Service Item", _xlfn.XLOOKUP($A1835, 'Instrument Table'!$I:$I, 'Instrument Table'!$B:$B, $C1834), _xlfn.XLOOKUP($A1835, 'Instrument Table'!$H:$H, 'Instrument Table'!$B:$B, $C1834)))</f>
        <v>Clarinet</v>
      </c>
      <c r="D1835" s="1" t="str">
        <f>VLOOKUP($C1835, 'Instrument Table'!$B:$C, 2, FALSE)</f>
        <v>Woodwinds</v>
      </c>
      <c r="E1835" s="1">
        <f t="shared" si="168"/>
        <v>1</v>
      </c>
      <c r="F1835" s="1">
        <f>_xlfn.XLOOKUP($C1835, 'Instrument Table'!$B:$B, 'Instrument Table'!$A:$A, "")</f>
        <v>30</v>
      </c>
      <c r="G1835" s="1" t="str">
        <f>TEXT(IF($B1835 = "Retail Item", IF((ROW($A1835) - 4504 - _xlfn.XMATCH($C1835, $C$4506:$C$5005, 0, 1)) &lt;= VLOOKUP($C1835, 'Instrument Table'!$B:$D, 3, FALSE), ROW($A1835) - 4504 - _xlfn.XMATCH($C1835, $C$4506:$C$5005, 0, 1), 0), 0), "00")</f>
        <v>00</v>
      </c>
      <c r="H1835" s="1" t="str">
        <f t="shared" si="169"/>
        <v>079</v>
      </c>
      <c r="I1835" s="1" t="str">
        <f t="shared" si="170"/>
        <v>13000-079</v>
      </c>
      <c r="J1835" s="1" t="str">
        <f t="shared" si="171"/>
        <v>Clarinet production item #079</v>
      </c>
      <c r="K1835" s="1" t="str">
        <f>IF(SUM(COUNTIFS(I:I, I1835)) &gt; 1, "DUPLICATE", "UNIQUE")</f>
        <v>UNIQUE</v>
      </c>
      <c r="L1835" s="18">
        <v>1</v>
      </c>
      <c r="M1835" s="28">
        <v>64</v>
      </c>
      <c r="N1835" s="6">
        <v>1</v>
      </c>
      <c r="O1835" s="30">
        <f t="shared" si="172"/>
        <v>64</v>
      </c>
      <c r="P1835" s="30">
        <f t="shared" si="173"/>
        <v>64</v>
      </c>
      <c r="Q1835" s="1">
        <f>COUNTIFS($P:$P, "&gt;" &amp; $P1835) + 1</f>
        <v>4553</v>
      </c>
      <c r="R1835" s="63">
        <f>(COUNTIFS($P:$P, "&gt;" &amp; $P1835) + 1) / (COUNTA($I:$I) - 1)</f>
        <v>0.91059999999999997</v>
      </c>
      <c r="S1835" s="23">
        <f>SUMIFS($P:$P, $Q:$Q, "&lt;" &amp; $Q1835)</f>
        <v>186540850</v>
      </c>
    </row>
    <row r="1836" spans="1:19" x14ac:dyDescent="0.25">
      <c r="A1836" s="1">
        <v>1831</v>
      </c>
      <c r="B1836" s="1" t="s">
        <v>2</v>
      </c>
      <c r="C1836" s="1" t="str">
        <f>IF($B1836 = "Production Item", _xlfn.XLOOKUP($A1836, 'Instrument Table'!$J:$J, 'Instrument Table'!$B:$B, $C1835), IF($B1836 = "Service Item", _xlfn.XLOOKUP($A1836, 'Instrument Table'!$I:$I, 'Instrument Table'!$B:$B, $C1835), _xlfn.XLOOKUP($A1836, 'Instrument Table'!$H:$H, 'Instrument Table'!$B:$B, $C1835)))</f>
        <v>Clarinet</v>
      </c>
      <c r="D1836" s="1" t="str">
        <f>VLOOKUP($C1836, 'Instrument Table'!$B:$C, 2, FALSE)</f>
        <v>Woodwinds</v>
      </c>
      <c r="E1836" s="1">
        <f t="shared" si="168"/>
        <v>1</v>
      </c>
      <c r="F1836" s="1">
        <f>_xlfn.XLOOKUP($C1836, 'Instrument Table'!$B:$B, 'Instrument Table'!$A:$A, "")</f>
        <v>30</v>
      </c>
      <c r="G1836" s="1" t="str">
        <f>TEXT(IF($B1836 = "Retail Item", IF((ROW($A1836) - 4504 - _xlfn.XMATCH($C1836, $C$4506:$C$5005, 0, 1)) &lt;= VLOOKUP($C1836, 'Instrument Table'!$B:$D, 3, FALSE), ROW($A1836) - 4504 - _xlfn.XMATCH($C1836, $C$4506:$C$5005, 0, 1), 0), 0), "00")</f>
        <v>00</v>
      </c>
      <c r="H1836" s="1" t="str">
        <f t="shared" si="169"/>
        <v>080</v>
      </c>
      <c r="I1836" s="1" t="str">
        <f t="shared" si="170"/>
        <v>13000-080</v>
      </c>
      <c r="J1836" s="1" t="str">
        <f t="shared" si="171"/>
        <v>Clarinet production item #080</v>
      </c>
      <c r="K1836" s="1" t="str">
        <f>IF(SUM(COUNTIFS(I:I, I1836)) &gt; 1, "DUPLICATE", "UNIQUE")</f>
        <v>UNIQUE</v>
      </c>
      <c r="L1836" s="18">
        <v>8</v>
      </c>
      <c r="M1836" s="28">
        <v>81</v>
      </c>
      <c r="N1836" s="6">
        <v>81</v>
      </c>
      <c r="O1836" s="30">
        <f t="shared" si="172"/>
        <v>648</v>
      </c>
      <c r="P1836" s="30">
        <f t="shared" si="173"/>
        <v>6561</v>
      </c>
      <c r="Q1836" s="1">
        <f>COUNTIFS($P:$P, "&gt;" &amp; $P1836) + 1</f>
        <v>2199</v>
      </c>
      <c r="R1836" s="63">
        <f>(COUNTIFS($P:$P, "&gt;" &amp; $P1836) + 1) / (COUNTA($I:$I) - 1)</f>
        <v>0.43980000000000002</v>
      </c>
      <c r="S1836" s="23">
        <f>SUMIFS($P:$P, $Q:$Q, "&lt;" &amp; $Q1836)</f>
        <v>181444870</v>
      </c>
    </row>
    <row r="1837" spans="1:19" x14ac:dyDescent="0.25">
      <c r="A1837" s="1">
        <v>1832</v>
      </c>
      <c r="B1837" s="1" t="s">
        <v>2</v>
      </c>
      <c r="C1837" s="1" t="str">
        <f>IF($B1837 = "Production Item", _xlfn.XLOOKUP($A1837, 'Instrument Table'!$J:$J, 'Instrument Table'!$B:$B, $C1836), IF($B1837 = "Service Item", _xlfn.XLOOKUP($A1837, 'Instrument Table'!$I:$I, 'Instrument Table'!$B:$B, $C1836), _xlfn.XLOOKUP($A1837, 'Instrument Table'!$H:$H, 'Instrument Table'!$B:$B, $C1836)))</f>
        <v>Clarinet</v>
      </c>
      <c r="D1837" s="1" t="str">
        <f>VLOOKUP($C1837, 'Instrument Table'!$B:$C, 2, FALSE)</f>
        <v>Woodwinds</v>
      </c>
      <c r="E1837" s="1">
        <f t="shared" si="168"/>
        <v>1</v>
      </c>
      <c r="F1837" s="1">
        <f>_xlfn.XLOOKUP($C1837, 'Instrument Table'!$B:$B, 'Instrument Table'!$A:$A, "")</f>
        <v>30</v>
      </c>
      <c r="G1837" s="1" t="str">
        <f>TEXT(IF($B1837 = "Retail Item", IF((ROW($A1837) - 4504 - _xlfn.XMATCH($C1837, $C$4506:$C$5005, 0, 1)) &lt;= VLOOKUP($C1837, 'Instrument Table'!$B:$D, 3, FALSE), ROW($A1837) - 4504 - _xlfn.XMATCH($C1837, $C$4506:$C$5005, 0, 1), 0), 0), "00")</f>
        <v>00</v>
      </c>
      <c r="H1837" s="1" t="str">
        <f t="shared" si="169"/>
        <v>081</v>
      </c>
      <c r="I1837" s="1" t="str">
        <f t="shared" si="170"/>
        <v>13000-081</v>
      </c>
      <c r="J1837" s="1" t="str">
        <f t="shared" si="171"/>
        <v>Clarinet production item #081</v>
      </c>
      <c r="K1837" s="1" t="str">
        <f>IF(SUM(COUNTIFS(I:I, I1837)) &gt; 1, "DUPLICATE", "UNIQUE")</f>
        <v>UNIQUE</v>
      </c>
      <c r="L1837" s="18">
        <v>1</v>
      </c>
      <c r="M1837" s="28">
        <v>18</v>
      </c>
      <c r="N1837" s="6">
        <v>36</v>
      </c>
      <c r="O1837" s="30">
        <f t="shared" si="172"/>
        <v>18</v>
      </c>
      <c r="P1837" s="30">
        <f t="shared" si="173"/>
        <v>648</v>
      </c>
      <c r="Q1837" s="1">
        <f>COUNTIFS($P:$P, "&gt;" &amp; $P1837) + 1</f>
        <v>3911</v>
      </c>
      <c r="R1837" s="63">
        <f>(COUNTIFS($P:$P, "&gt;" &amp; $P1837) + 1) / (COUNTA($I:$I) - 1)</f>
        <v>0.78220000000000001</v>
      </c>
      <c r="S1837" s="23">
        <f>SUMIFS($P:$P, $Q:$Q, "&lt;" &amp; $Q1837)</f>
        <v>186346099</v>
      </c>
    </row>
    <row r="1838" spans="1:19" x14ac:dyDescent="0.25">
      <c r="A1838" s="1">
        <v>1833</v>
      </c>
      <c r="B1838" s="1" t="s">
        <v>2</v>
      </c>
      <c r="C1838" s="1" t="str">
        <f>IF($B1838 = "Production Item", _xlfn.XLOOKUP($A1838, 'Instrument Table'!$J:$J, 'Instrument Table'!$B:$B, $C1837), IF($B1838 = "Service Item", _xlfn.XLOOKUP($A1838, 'Instrument Table'!$I:$I, 'Instrument Table'!$B:$B, $C1837), _xlfn.XLOOKUP($A1838, 'Instrument Table'!$H:$H, 'Instrument Table'!$B:$B, $C1837)))</f>
        <v>Clarinet</v>
      </c>
      <c r="D1838" s="1" t="str">
        <f>VLOOKUP($C1838, 'Instrument Table'!$B:$C, 2, FALSE)</f>
        <v>Woodwinds</v>
      </c>
      <c r="E1838" s="1">
        <f t="shared" si="168"/>
        <v>1</v>
      </c>
      <c r="F1838" s="1">
        <f>_xlfn.XLOOKUP($C1838, 'Instrument Table'!$B:$B, 'Instrument Table'!$A:$A, "")</f>
        <v>30</v>
      </c>
      <c r="G1838" s="1" t="str">
        <f>TEXT(IF($B1838 = "Retail Item", IF((ROW($A1838) - 4504 - _xlfn.XMATCH($C1838, $C$4506:$C$5005, 0, 1)) &lt;= VLOOKUP($C1838, 'Instrument Table'!$B:$D, 3, FALSE), ROW($A1838) - 4504 - _xlfn.XMATCH($C1838, $C$4506:$C$5005, 0, 1), 0), 0), "00")</f>
        <v>00</v>
      </c>
      <c r="H1838" s="1" t="str">
        <f t="shared" si="169"/>
        <v>082</v>
      </c>
      <c r="I1838" s="1" t="str">
        <f t="shared" si="170"/>
        <v>13000-082</v>
      </c>
      <c r="J1838" s="1" t="str">
        <f t="shared" si="171"/>
        <v>Clarinet production item #082</v>
      </c>
      <c r="K1838" s="1" t="str">
        <f>IF(SUM(COUNTIFS(I:I, I1838)) &gt; 1, "DUPLICATE", "UNIQUE")</f>
        <v>UNIQUE</v>
      </c>
      <c r="L1838" s="18">
        <v>1</v>
      </c>
      <c r="M1838" s="28">
        <v>65</v>
      </c>
      <c r="N1838" s="6">
        <v>81</v>
      </c>
      <c r="O1838" s="30">
        <f t="shared" si="172"/>
        <v>65</v>
      </c>
      <c r="P1838" s="30">
        <f t="shared" si="173"/>
        <v>5265</v>
      </c>
      <c r="Q1838" s="1">
        <f>COUNTIFS($P:$P, "&gt;" &amp; $P1838) + 1</f>
        <v>2392</v>
      </c>
      <c r="R1838" s="63">
        <f>(COUNTIFS($P:$P, "&gt;" &amp; $P1838) + 1) / (COUNTA($I:$I) - 1)</f>
        <v>0.47839999999999999</v>
      </c>
      <c r="S1838" s="23">
        <f>SUMIFS($P:$P, $Q:$Q, "&lt;" &amp; $Q1838)</f>
        <v>182574513</v>
      </c>
    </row>
    <row r="1839" spans="1:19" x14ac:dyDescent="0.25">
      <c r="A1839" s="1">
        <v>1834</v>
      </c>
      <c r="B1839" s="1" t="s">
        <v>2</v>
      </c>
      <c r="C1839" s="1" t="str">
        <f>IF($B1839 = "Production Item", _xlfn.XLOOKUP($A1839, 'Instrument Table'!$J:$J, 'Instrument Table'!$B:$B, $C1838), IF($B1839 = "Service Item", _xlfn.XLOOKUP($A1839, 'Instrument Table'!$I:$I, 'Instrument Table'!$B:$B, $C1838), _xlfn.XLOOKUP($A1839, 'Instrument Table'!$H:$H, 'Instrument Table'!$B:$B, $C1838)))</f>
        <v>Clarinet</v>
      </c>
      <c r="D1839" s="1" t="str">
        <f>VLOOKUP($C1839, 'Instrument Table'!$B:$C, 2, FALSE)</f>
        <v>Woodwinds</v>
      </c>
      <c r="E1839" s="1">
        <f t="shared" si="168"/>
        <v>1</v>
      </c>
      <c r="F1839" s="1">
        <f>_xlfn.XLOOKUP($C1839, 'Instrument Table'!$B:$B, 'Instrument Table'!$A:$A, "")</f>
        <v>30</v>
      </c>
      <c r="G1839" s="1" t="str">
        <f>TEXT(IF($B1839 = "Retail Item", IF((ROW($A1839) - 4504 - _xlfn.XMATCH($C1839, $C$4506:$C$5005, 0, 1)) &lt;= VLOOKUP($C1839, 'Instrument Table'!$B:$D, 3, FALSE), ROW($A1839) - 4504 - _xlfn.XMATCH($C1839, $C$4506:$C$5005, 0, 1), 0), 0), "00")</f>
        <v>00</v>
      </c>
      <c r="H1839" s="1" t="str">
        <f t="shared" si="169"/>
        <v>083</v>
      </c>
      <c r="I1839" s="1" t="str">
        <f t="shared" si="170"/>
        <v>13000-083</v>
      </c>
      <c r="J1839" s="1" t="str">
        <f t="shared" si="171"/>
        <v>Clarinet production item #083</v>
      </c>
      <c r="K1839" s="1" t="str">
        <f>IF(SUM(COUNTIFS(I:I, I1839)) &gt; 1, "DUPLICATE", "UNIQUE")</f>
        <v>UNIQUE</v>
      </c>
      <c r="L1839" s="18">
        <v>0</v>
      </c>
      <c r="M1839" s="28">
        <v>76</v>
      </c>
      <c r="N1839" s="6">
        <v>225</v>
      </c>
      <c r="O1839" s="30">
        <f t="shared" si="172"/>
        <v>0</v>
      </c>
      <c r="P1839" s="30">
        <f t="shared" si="173"/>
        <v>17100</v>
      </c>
      <c r="Q1839" s="1">
        <f>COUNTIFS($P:$P, "&gt;" &amp; $P1839) + 1</f>
        <v>1209</v>
      </c>
      <c r="R1839" s="63">
        <f>(COUNTIFS($P:$P, "&gt;" &amp; $P1839) + 1) / (COUNTA($I:$I) - 1)</f>
        <v>0.24179999999999999</v>
      </c>
      <c r="S1839" s="23">
        <f>SUMIFS($P:$P, $Q:$Q, "&lt;" &amp; $Q1839)</f>
        <v>170481357</v>
      </c>
    </row>
    <row r="1840" spans="1:19" x14ac:dyDescent="0.25">
      <c r="A1840" s="1">
        <v>1835</v>
      </c>
      <c r="B1840" s="1" t="s">
        <v>2</v>
      </c>
      <c r="C1840" s="1" t="str">
        <f>IF($B1840 = "Production Item", _xlfn.XLOOKUP($A1840, 'Instrument Table'!$J:$J, 'Instrument Table'!$B:$B, $C1839), IF($B1840 = "Service Item", _xlfn.XLOOKUP($A1840, 'Instrument Table'!$I:$I, 'Instrument Table'!$B:$B, $C1839), _xlfn.XLOOKUP($A1840, 'Instrument Table'!$H:$H, 'Instrument Table'!$B:$B, $C1839)))</f>
        <v>Clarinet</v>
      </c>
      <c r="D1840" s="1" t="str">
        <f>VLOOKUP($C1840, 'Instrument Table'!$B:$C, 2, FALSE)</f>
        <v>Woodwinds</v>
      </c>
      <c r="E1840" s="1">
        <f t="shared" si="168"/>
        <v>1</v>
      </c>
      <c r="F1840" s="1">
        <f>_xlfn.XLOOKUP($C1840, 'Instrument Table'!$B:$B, 'Instrument Table'!$A:$A, "")</f>
        <v>30</v>
      </c>
      <c r="G1840" s="1" t="str">
        <f>TEXT(IF($B1840 = "Retail Item", IF((ROW($A1840) - 4504 - _xlfn.XMATCH($C1840, $C$4506:$C$5005, 0, 1)) &lt;= VLOOKUP($C1840, 'Instrument Table'!$B:$D, 3, FALSE), ROW($A1840) - 4504 - _xlfn.XMATCH($C1840, $C$4506:$C$5005, 0, 1), 0), 0), "00")</f>
        <v>00</v>
      </c>
      <c r="H1840" s="1" t="str">
        <f t="shared" si="169"/>
        <v>084</v>
      </c>
      <c r="I1840" s="1" t="str">
        <f t="shared" si="170"/>
        <v>13000-084</v>
      </c>
      <c r="J1840" s="1" t="str">
        <f t="shared" si="171"/>
        <v>Clarinet production item #084</v>
      </c>
      <c r="K1840" s="1" t="str">
        <f>IF(SUM(COUNTIFS(I:I, I1840)) &gt; 1, "DUPLICATE", "UNIQUE")</f>
        <v>UNIQUE</v>
      </c>
      <c r="L1840" s="18">
        <v>32</v>
      </c>
      <c r="M1840" s="28">
        <v>23</v>
      </c>
      <c r="N1840" s="6">
        <v>81</v>
      </c>
      <c r="O1840" s="30">
        <f t="shared" si="172"/>
        <v>736</v>
      </c>
      <c r="P1840" s="30">
        <f t="shared" si="173"/>
        <v>1863</v>
      </c>
      <c r="Q1840" s="1">
        <f>COUNTIFS($P:$P, "&gt;" &amp; $P1840) + 1</f>
        <v>3310</v>
      </c>
      <c r="R1840" s="63">
        <f>(COUNTIFS($P:$P, "&gt;" &amp; $P1840) + 1) / (COUNTA($I:$I) - 1)</f>
        <v>0.66200000000000003</v>
      </c>
      <c r="S1840" s="23">
        <f>SUMIFS($P:$P, $Q:$Q, "&lt;" &amp; $Q1840)</f>
        <v>185627871</v>
      </c>
    </row>
    <row r="1841" spans="1:19" x14ac:dyDescent="0.25">
      <c r="A1841" s="1">
        <v>1836</v>
      </c>
      <c r="B1841" s="1" t="s">
        <v>2</v>
      </c>
      <c r="C1841" s="1" t="str">
        <f>IF($B1841 = "Production Item", _xlfn.XLOOKUP($A1841, 'Instrument Table'!$J:$J, 'Instrument Table'!$B:$B, $C1840), IF($B1841 = "Service Item", _xlfn.XLOOKUP($A1841, 'Instrument Table'!$I:$I, 'Instrument Table'!$B:$B, $C1840), _xlfn.XLOOKUP($A1841, 'Instrument Table'!$H:$H, 'Instrument Table'!$B:$B, $C1840)))</f>
        <v>Clarinet</v>
      </c>
      <c r="D1841" s="1" t="str">
        <f>VLOOKUP($C1841, 'Instrument Table'!$B:$C, 2, FALSE)</f>
        <v>Woodwinds</v>
      </c>
      <c r="E1841" s="1">
        <f t="shared" si="168"/>
        <v>1</v>
      </c>
      <c r="F1841" s="1">
        <f>_xlfn.XLOOKUP($C1841, 'Instrument Table'!$B:$B, 'Instrument Table'!$A:$A, "")</f>
        <v>30</v>
      </c>
      <c r="G1841" s="1" t="str">
        <f>TEXT(IF($B1841 = "Retail Item", IF((ROW($A1841) - 4504 - _xlfn.XMATCH($C1841, $C$4506:$C$5005, 0, 1)) &lt;= VLOOKUP($C1841, 'Instrument Table'!$B:$D, 3, FALSE), ROW($A1841) - 4504 - _xlfn.XMATCH($C1841, $C$4506:$C$5005, 0, 1), 0), 0), "00")</f>
        <v>00</v>
      </c>
      <c r="H1841" s="1" t="str">
        <f t="shared" si="169"/>
        <v>085</v>
      </c>
      <c r="I1841" s="1" t="str">
        <f t="shared" si="170"/>
        <v>13000-085</v>
      </c>
      <c r="J1841" s="1" t="str">
        <f t="shared" si="171"/>
        <v>Clarinet production item #085</v>
      </c>
      <c r="K1841" s="1" t="str">
        <f>IF(SUM(COUNTIFS(I:I, I1841)) &gt; 1, "DUPLICATE", "UNIQUE")</f>
        <v>UNIQUE</v>
      </c>
      <c r="L1841" s="18">
        <v>8</v>
      </c>
      <c r="M1841" s="28">
        <v>68</v>
      </c>
      <c r="N1841" s="6">
        <v>121</v>
      </c>
      <c r="O1841" s="30">
        <f t="shared" si="172"/>
        <v>544</v>
      </c>
      <c r="P1841" s="30">
        <f t="shared" si="173"/>
        <v>8228</v>
      </c>
      <c r="Q1841" s="1">
        <f>COUNTIFS($P:$P, "&gt;" &amp; $P1841) + 1</f>
        <v>1958</v>
      </c>
      <c r="R1841" s="63">
        <f>(COUNTIFS($P:$P, "&gt;" &amp; $P1841) + 1) / (COUNTA($I:$I) - 1)</f>
        <v>0.3916</v>
      </c>
      <c r="S1841" s="23">
        <f>SUMIFS($P:$P, $Q:$Q, "&lt;" &amp; $Q1841)</f>
        <v>179657497</v>
      </c>
    </row>
    <row r="1842" spans="1:19" x14ac:dyDescent="0.25">
      <c r="A1842" s="1">
        <v>1837</v>
      </c>
      <c r="B1842" s="1" t="s">
        <v>2</v>
      </c>
      <c r="C1842" s="1" t="str">
        <f>IF($B1842 = "Production Item", _xlfn.XLOOKUP($A1842, 'Instrument Table'!$J:$J, 'Instrument Table'!$B:$B, $C1841), IF($B1842 = "Service Item", _xlfn.XLOOKUP($A1842, 'Instrument Table'!$I:$I, 'Instrument Table'!$B:$B, $C1841), _xlfn.XLOOKUP($A1842, 'Instrument Table'!$H:$H, 'Instrument Table'!$B:$B, $C1841)))</f>
        <v>Clarinet</v>
      </c>
      <c r="D1842" s="1" t="str">
        <f>VLOOKUP($C1842, 'Instrument Table'!$B:$C, 2, FALSE)</f>
        <v>Woodwinds</v>
      </c>
      <c r="E1842" s="1">
        <f t="shared" si="168"/>
        <v>1</v>
      </c>
      <c r="F1842" s="1">
        <f>_xlfn.XLOOKUP($C1842, 'Instrument Table'!$B:$B, 'Instrument Table'!$A:$A, "")</f>
        <v>30</v>
      </c>
      <c r="G1842" s="1" t="str">
        <f>TEXT(IF($B1842 = "Retail Item", IF((ROW($A1842) - 4504 - _xlfn.XMATCH($C1842, $C$4506:$C$5005, 0, 1)) &lt;= VLOOKUP($C1842, 'Instrument Table'!$B:$D, 3, FALSE), ROW($A1842) - 4504 - _xlfn.XMATCH($C1842, $C$4506:$C$5005, 0, 1), 0), 0), "00")</f>
        <v>00</v>
      </c>
      <c r="H1842" s="1" t="str">
        <f t="shared" si="169"/>
        <v>086</v>
      </c>
      <c r="I1842" s="1" t="str">
        <f t="shared" si="170"/>
        <v>13000-086</v>
      </c>
      <c r="J1842" s="1" t="str">
        <f t="shared" si="171"/>
        <v>Clarinet production item #086</v>
      </c>
      <c r="K1842" s="1" t="str">
        <f>IF(SUM(COUNTIFS(I:I, I1842)) &gt; 1, "DUPLICATE", "UNIQUE")</f>
        <v>UNIQUE</v>
      </c>
      <c r="L1842" s="18">
        <v>8</v>
      </c>
      <c r="M1842" s="28">
        <v>21</v>
      </c>
      <c r="N1842" s="6">
        <v>36</v>
      </c>
      <c r="O1842" s="30">
        <f t="shared" si="172"/>
        <v>168</v>
      </c>
      <c r="P1842" s="30">
        <f t="shared" si="173"/>
        <v>756</v>
      </c>
      <c r="Q1842" s="1">
        <f>COUNTIFS($P:$P, "&gt;" &amp; $P1842) + 1</f>
        <v>3826</v>
      </c>
      <c r="R1842" s="63">
        <f>(COUNTIFS($P:$P, "&gt;" &amp; $P1842) + 1) / (COUNTA($I:$I) - 1)</f>
        <v>0.76519999999999999</v>
      </c>
      <c r="S1842" s="23">
        <f>SUMIFS($P:$P, $Q:$Q, "&lt;" &amp; $Q1842)</f>
        <v>186285726</v>
      </c>
    </row>
    <row r="1843" spans="1:19" x14ac:dyDescent="0.25">
      <c r="A1843" s="1">
        <v>1838</v>
      </c>
      <c r="B1843" s="1" t="s">
        <v>2</v>
      </c>
      <c r="C1843" s="1" t="str">
        <f>IF($B1843 = "Production Item", _xlfn.XLOOKUP($A1843, 'Instrument Table'!$J:$J, 'Instrument Table'!$B:$B, $C1842), IF($B1843 = "Service Item", _xlfn.XLOOKUP($A1843, 'Instrument Table'!$I:$I, 'Instrument Table'!$B:$B, $C1842), _xlfn.XLOOKUP($A1843, 'Instrument Table'!$H:$H, 'Instrument Table'!$B:$B, $C1842)))</f>
        <v>Clarinet</v>
      </c>
      <c r="D1843" s="1" t="str">
        <f>VLOOKUP($C1843, 'Instrument Table'!$B:$C, 2, FALSE)</f>
        <v>Woodwinds</v>
      </c>
      <c r="E1843" s="1">
        <f t="shared" si="168"/>
        <v>1</v>
      </c>
      <c r="F1843" s="1">
        <f>_xlfn.XLOOKUP($C1843, 'Instrument Table'!$B:$B, 'Instrument Table'!$A:$A, "")</f>
        <v>30</v>
      </c>
      <c r="G1843" s="1" t="str">
        <f>TEXT(IF($B1843 = "Retail Item", IF((ROW($A1843) - 4504 - _xlfn.XMATCH($C1843, $C$4506:$C$5005, 0, 1)) &lt;= VLOOKUP($C1843, 'Instrument Table'!$B:$D, 3, FALSE), ROW($A1843) - 4504 - _xlfn.XMATCH($C1843, $C$4506:$C$5005, 0, 1), 0), 0), "00")</f>
        <v>00</v>
      </c>
      <c r="H1843" s="1" t="str">
        <f t="shared" si="169"/>
        <v>087</v>
      </c>
      <c r="I1843" s="1" t="str">
        <f t="shared" si="170"/>
        <v>13000-087</v>
      </c>
      <c r="J1843" s="1" t="str">
        <f t="shared" si="171"/>
        <v>Clarinet production item #087</v>
      </c>
      <c r="K1843" s="1" t="str">
        <f>IF(SUM(COUNTIFS(I:I, I1843)) &gt; 1, "DUPLICATE", "UNIQUE")</f>
        <v>UNIQUE</v>
      </c>
      <c r="L1843" s="18">
        <v>1</v>
      </c>
      <c r="M1843" s="28">
        <v>23</v>
      </c>
      <c r="N1843" s="6">
        <v>289</v>
      </c>
      <c r="O1843" s="30">
        <f t="shared" si="172"/>
        <v>23</v>
      </c>
      <c r="P1843" s="30">
        <f t="shared" si="173"/>
        <v>6647</v>
      </c>
      <c r="Q1843" s="1">
        <f>COUNTIFS($P:$P, "&gt;" &amp; $P1843) + 1</f>
        <v>2191</v>
      </c>
      <c r="R1843" s="63">
        <f>(COUNTIFS($P:$P, "&gt;" &amp; $P1843) + 1) / (COUNTA($I:$I) - 1)</f>
        <v>0.43819999999999998</v>
      </c>
      <c r="S1843" s="23">
        <f>SUMIFS($P:$P, $Q:$Q, "&lt;" &amp; $Q1843)</f>
        <v>181391917</v>
      </c>
    </row>
    <row r="1844" spans="1:19" x14ac:dyDescent="0.25">
      <c r="A1844" s="1">
        <v>1839</v>
      </c>
      <c r="B1844" s="1" t="s">
        <v>2</v>
      </c>
      <c r="C1844" s="1" t="str">
        <f>IF($B1844 = "Production Item", _xlfn.XLOOKUP($A1844, 'Instrument Table'!$J:$J, 'Instrument Table'!$B:$B, $C1843), IF($B1844 = "Service Item", _xlfn.XLOOKUP($A1844, 'Instrument Table'!$I:$I, 'Instrument Table'!$B:$B, $C1843), _xlfn.XLOOKUP($A1844, 'Instrument Table'!$H:$H, 'Instrument Table'!$B:$B, $C1843)))</f>
        <v>Clarinet</v>
      </c>
      <c r="D1844" s="1" t="str">
        <f>VLOOKUP($C1844, 'Instrument Table'!$B:$C, 2, FALSE)</f>
        <v>Woodwinds</v>
      </c>
      <c r="E1844" s="1">
        <f t="shared" si="168"/>
        <v>1</v>
      </c>
      <c r="F1844" s="1">
        <f>_xlfn.XLOOKUP($C1844, 'Instrument Table'!$B:$B, 'Instrument Table'!$A:$A, "")</f>
        <v>30</v>
      </c>
      <c r="G1844" s="1" t="str">
        <f>TEXT(IF($B1844 = "Retail Item", IF((ROW($A1844) - 4504 - _xlfn.XMATCH($C1844, $C$4506:$C$5005, 0, 1)) &lt;= VLOOKUP($C1844, 'Instrument Table'!$B:$D, 3, FALSE), ROW($A1844) - 4504 - _xlfn.XMATCH($C1844, $C$4506:$C$5005, 0, 1), 0), 0), "00")</f>
        <v>00</v>
      </c>
      <c r="H1844" s="1" t="str">
        <f t="shared" si="169"/>
        <v>088</v>
      </c>
      <c r="I1844" s="1" t="str">
        <f t="shared" si="170"/>
        <v>13000-088</v>
      </c>
      <c r="J1844" s="1" t="str">
        <f t="shared" si="171"/>
        <v>Clarinet production item #088</v>
      </c>
      <c r="K1844" s="1" t="str">
        <f>IF(SUM(COUNTIFS(I:I, I1844)) &gt; 1, "DUPLICATE", "UNIQUE")</f>
        <v>UNIQUE</v>
      </c>
      <c r="L1844" s="18">
        <v>1</v>
      </c>
      <c r="M1844" s="28">
        <v>73</v>
      </c>
      <c r="N1844" s="6">
        <v>361</v>
      </c>
      <c r="O1844" s="30">
        <f t="shared" si="172"/>
        <v>73</v>
      </c>
      <c r="P1844" s="30">
        <f t="shared" si="173"/>
        <v>26353</v>
      </c>
      <c r="Q1844" s="1">
        <f>COUNTIFS($P:$P, "&gt;" &amp; $P1844) + 1</f>
        <v>776</v>
      </c>
      <c r="R1844" s="63">
        <f>(COUNTIFS($P:$P, "&gt;" &amp; $P1844) + 1) / (COUNTA($I:$I) - 1)</f>
        <v>0.1552</v>
      </c>
      <c r="S1844" s="23">
        <f>SUMIFS($P:$P, $Q:$Q, "&lt;" &amp; $Q1844)</f>
        <v>161202360</v>
      </c>
    </row>
    <row r="1845" spans="1:19" x14ac:dyDescent="0.25">
      <c r="A1845" s="1">
        <v>1840</v>
      </c>
      <c r="B1845" s="1" t="s">
        <v>2</v>
      </c>
      <c r="C1845" s="1" t="str">
        <f>IF($B1845 = "Production Item", _xlfn.XLOOKUP($A1845, 'Instrument Table'!$J:$J, 'Instrument Table'!$B:$B, $C1844), IF($B1845 = "Service Item", _xlfn.XLOOKUP($A1845, 'Instrument Table'!$I:$I, 'Instrument Table'!$B:$B, $C1844), _xlfn.XLOOKUP($A1845, 'Instrument Table'!$H:$H, 'Instrument Table'!$B:$B, $C1844)))</f>
        <v>Clarinet</v>
      </c>
      <c r="D1845" s="1" t="str">
        <f>VLOOKUP($C1845, 'Instrument Table'!$B:$C, 2, FALSE)</f>
        <v>Woodwinds</v>
      </c>
      <c r="E1845" s="1">
        <f t="shared" si="168"/>
        <v>1</v>
      </c>
      <c r="F1845" s="1">
        <f>_xlfn.XLOOKUP($C1845, 'Instrument Table'!$B:$B, 'Instrument Table'!$A:$A, "")</f>
        <v>30</v>
      </c>
      <c r="G1845" s="1" t="str">
        <f>TEXT(IF($B1845 = "Retail Item", IF((ROW($A1845) - 4504 - _xlfn.XMATCH($C1845, $C$4506:$C$5005, 0, 1)) &lt;= VLOOKUP($C1845, 'Instrument Table'!$B:$D, 3, FALSE), ROW($A1845) - 4504 - _xlfn.XMATCH($C1845, $C$4506:$C$5005, 0, 1), 0), 0), "00")</f>
        <v>00</v>
      </c>
      <c r="H1845" s="1" t="str">
        <f t="shared" si="169"/>
        <v>089</v>
      </c>
      <c r="I1845" s="1" t="str">
        <f t="shared" si="170"/>
        <v>13000-089</v>
      </c>
      <c r="J1845" s="1" t="str">
        <f t="shared" si="171"/>
        <v>Clarinet production item #089</v>
      </c>
      <c r="K1845" s="1" t="str">
        <f>IF(SUM(COUNTIFS(I:I, I1845)) &gt; 1, "DUPLICATE", "UNIQUE")</f>
        <v>UNIQUE</v>
      </c>
      <c r="L1845" s="18">
        <v>0</v>
      </c>
      <c r="M1845" s="28">
        <v>75</v>
      </c>
      <c r="N1845" s="6">
        <v>289</v>
      </c>
      <c r="O1845" s="30">
        <f t="shared" si="172"/>
        <v>0</v>
      </c>
      <c r="P1845" s="30">
        <f t="shared" si="173"/>
        <v>21675</v>
      </c>
      <c r="Q1845" s="1">
        <f>COUNTIFS($P:$P, "&gt;" &amp; $P1845) + 1</f>
        <v>970</v>
      </c>
      <c r="R1845" s="63">
        <f>(COUNTIFS($P:$P, "&gt;" &amp; $P1845) + 1) / (COUNTA($I:$I) - 1)</f>
        <v>0.19400000000000001</v>
      </c>
      <c r="S1845" s="23">
        <f>SUMIFS($P:$P, $Q:$Q, "&lt;" &amp; $Q1845)</f>
        <v>165847850</v>
      </c>
    </row>
    <row r="1846" spans="1:19" x14ac:dyDescent="0.25">
      <c r="A1846" s="1">
        <v>1841</v>
      </c>
      <c r="B1846" s="1" t="s">
        <v>2</v>
      </c>
      <c r="C1846" s="1" t="str">
        <f>IF($B1846 = "Production Item", _xlfn.XLOOKUP($A1846, 'Instrument Table'!$J:$J, 'Instrument Table'!$B:$B, $C1845), IF($B1846 = "Service Item", _xlfn.XLOOKUP($A1846, 'Instrument Table'!$I:$I, 'Instrument Table'!$B:$B, $C1845), _xlfn.XLOOKUP($A1846, 'Instrument Table'!$H:$H, 'Instrument Table'!$B:$B, $C1845)))</f>
        <v>Clarinet</v>
      </c>
      <c r="D1846" s="1" t="str">
        <f>VLOOKUP($C1846, 'Instrument Table'!$B:$C, 2, FALSE)</f>
        <v>Woodwinds</v>
      </c>
      <c r="E1846" s="1">
        <f t="shared" si="168"/>
        <v>1</v>
      </c>
      <c r="F1846" s="1">
        <f>_xlfn.XLOOKUP($C1846, 'Instrument Table'!$B:$B, 'Instrument Table'!$A:$A, "")</f>
        <v>30</v>
      </c>
      <c r="G1846" s="1" t="str">
        <f>TEXT(IF($B1846 = "Retail Item", IF((ROW($A1846) - 4504 - _xlfn.XMATCH($C1846, $C$4506:$C$5005, 0, 1)) &lt;= VLOOKUP($C1846, 'Instrument Table'!$B:$D, 3, FALSE), ROW($A1846) - 4504 - _xlfn.XMATCH($C1846, $C$4506:$C$5005, 0, 1), 0), 0), "00")</f>
        <v>00</v>
      </c>
      <c r="H1846" s="1" t="str">
        <f t="shared" si="169"/>
        <v>090</v>
      </c>
      <c r="I1846" s="1" t="str">
        <f t="shared" si="170"/>
        <v>13000-090</v>
      </c>
      <c r="J1846" s="1" t="str">
        <f t="shared" si="171"/>
        <v>Clarinet production item #090</v>
      </c>
      <c r="K1846" s="1" t="str">
        <f>IF(SUM(COUNTIFS(I:I, I1846)) &gt; 1, "DUPLICATE", "UNIQUE")</f>
        <v>UNIQUE</v>
      </c>
      <c r="L1846" s="18">
        <v>0</v>
      </c>
      <c r="M1846" s="28">
        <v>54</v>
      </c>
      <c r="N1846" s="6">
        <v>36</v>
      </c>
      <c r="O1846" s="30">
        <f t="shared" si="172"/>
        <v>0</v>
      </c>
      <c r="P1846" s="30">
        <f t="shared" si="173"/>
        <v>1944</v>
      </c>
      <c r="Q1846" s="1">
        <f>COUNTIFS($P:$P, "&gt;" &amp; $P1846) + 1</f>
        <v>3276</v>
      </c>
      <c r="R1846" s="63">
        <f>(COUNTIFS($P:$P, "&gt;" &amp; $P1846) + 1) / (COUNTA($I:$I) - 1)</f>
        <v>0.6552</v>
      </c>
      <c r="S1846" s="23">
        <f>SUMIFS($P:$P, $Q:$Q, "&lt;" &amp; $Q1846)</f>
        <v>185562800</v>
      </c>
    </row>
    <row r="1847" spans="1:19" x14ac:dyDescent="0.25">
      <c r="A1847" s="1">
        <v>1842</v>
      </c>
      <c r="B1847" s="1" t="s">
        <v>2</v>
      </c>
      <c r="C1847" s="1" t="str">
        <f>IF($B1847 = "Production Item", _xlfn.XLOOKUP($A1847, 'Instrument Table'!$J:$J, 'Instrument Table'!$B:$B, $C1846), IF($B1847 = "Service Item", _xlfn.XLOOKUP($A1847, 'Instrument Table'!$I:$I, 'Instrument Table'!$B:$B, $C1846), _xlfn.XLOOKUP($A1847, 'Instrument Table'!$H:$H, 'Instrument Table'!$B:$B, $C1846)))</f>
        <v>Clarinet</v>
      </c>
      <c r="D1847" s="1" t="str">
        <f>VLOOKUP($C1847, 'Instrument Table'!$B:$C, 2, FALSE)</f>
        <v>Woodwinds</v>
      </c>
      <c r="E1847" s="1">
        <f t="shared" si="168"/>
        <v>1</v>
      </c>
      <c r="F1847" s="1">
        <f>_xlfn.XLOOKUP($C1847, 'Instrument Table'!$B:$B, 'Instrument Table'!$A:$A, "")</f>
        <v>30</v>
      </c>
      <c r="G1847" s="1" t="str">
        <f>TEXT(IF($B1847 = "Retail Item", IF((ROW($A1847) - 4504 - _xlfn.XMATCH($C1847, $C$4506:$C$5005, 0, 1)) &lt;= VLOOKUP($C1847, 'Instrument Table'!$B:$D, 3, FALSE), ROW($A1847) - 4504 - _xlfn.XMATCH($C1847, $C$4506:$C$5005, 0, 1), 0), 0), "00")</f>
        <v>00</v>
      </c>
      <c r="H1847" s="1" t="str">
        <f t="shared" si="169"/>
        <v>091</v>
      </c>
      <c r="I1847" s="1" t="str">
        <f t="shared" si="170"/>
        <v>13000-091</v>
      </c>
      <c r="J1847" s="1" t="str">
        <f t="shared" si="171"/>
        <v>Clarinet production item #091</v>
      </c>
      <c r="K1847" s="1" t="str">
        <f>IF(SUM(COUNTIFS(I:I, I1847)) &gt; 1, "DUPLICATE", "UNIQUE")</f>
        <v>UNIQUE</v>
      </c>
      <c r="L1847" s="18">
        <v>1</v>
      </c>
      <c r="M1847" s="28">
        <v>16</v>
      </c>
      <c r="N1847" s="6">
        <v>81</v>
      </c>
      <c r="O1847" s="30">
        <f t="shared" si="172"/>
        <v>16</v>
      </c>
      <c r="P1847" s="30">
        <f t="shared" si="173"/>
        <v>1296</v>
      </c>
      <c r="Q1847" s="1">
        <f>COUNTIFS($P:$P, "&gt;" &amp; $P1847) + 1</f>
        <v>3564</v>
      </c>
      <c r="R1847" s="63">
        <f>(COUNTIFS($P:$P, "&gt;" &amp; $P1847) + 1) / (COUNTA($I:$I) - 1)</f>
        <v>0.71279999999999999</v>
      </c>
      <c r="S1847" s="23">
        <f>SUMIFS($P:$P, $Q:$Q, "&lt;" &amp; $Q1847)</f>
        <v>186024528</v>
      </c>
    </row>
    <row r="1848" spans="1:19" x14ac:dyDescent="0.25">
      <c r="A1848" s="1">
        <v>1843</v>
      </c>
      <c r="B1848" s="1" t="s">
        <v>2</v>
      </c>
      <c r="C1848" s="1" t="str">
        <f>IF($B1848 = "Production Item", _xlfn.XLOOKUP($A1848, 'Instrument Table'!$J:$J, 'Instrument Table'!$B:$B, $C1847), IF($B1848 = "Service Item", _xlfn.XLOOKUP($A1848, 'Instrument Table'!$I:$I, 'Instrument Table'!$B:$B, $C1847), _xlfn.XLOOKUP($A1848, 'Instrument Table'!$H:$H, 'Instrument Table'!$B:$B, $C1847)))</f>
        <v>Clarinet</v>
      </c>
      <c r="D1848" s="1" t="str">
        <f>VLOOKUP($C1848, 'Instrument Table'!$B:$C, 2, FALSE)</f>
        <v>Woodwinds</v>
      </c>
      <c r="E1848" s="1">
        <f t="shared" si="168"/>
        <v>1</v>
      </c>
      <c r="F1848" s="1">
        <f>_xlfn.XLOOKUP($C1848, 'Instrument Table'!$B:$B, 'Instrument Table'!$A:$A, "")</f>
        <v>30</v>
      </c>
      <c r="G1848" s="1" t="str">
        <f>TEXT(IF($B1848 = "Retail Item", IF((ROW($A1848) - 4504 - _xlfn.XMATCH($C1848, $C$4506:$C$5005, 0, 1)) &lt;= VLOOKUP($C1848, 'Instrument Table'!$B:$D, 3, FALSE), ROW($A1848) - 4504 - _xlfn.XMATCH($C1848, $C$4506:$C$5005, 0, 1), 0), 0), "00")</f>
        <v>00</v>
      </c>
      <c r="H1848" s="1" t="str">
        <f t="shared" si="169"/>
        <v>092</v>
      </c>
      <c r="I1848" s="1" t="str">
        <f t="shared" si="170"/>
        <v>13000-092</v>
      </c>
      <c r="J1848" s="1" t="str">
        <f t="shared" si="171"/>
        <v>Clarinet production item #092</v>
      </c>
      <c r="K1848" s="1" t="str">
        <f>IF(SUM(COUNTIFS(I:I, I1848)) &gt; 1, "DUPLICATE", "UNIQUE")</f>
        <v>UNIQUE</v>
      </c>
      <c r="L1848" s="18">
        <v>1</v>
      </c>
      <c r="M1848" s="28">
        <v>81</v>
      </c>
      <c r="N1848" s="6">
        <v>225</v>
      </c>
      <c r="O1848" s="30">
        <f t="shared" si="172"/>
        <v>81</v>
      </c>
      <c r="P1848" s="30">
        <f t="shared" si="173"/>
        <v>18225</v>
      </c>
      <c r="Q1848" s="1">
        <f>COUNTIFS($P:$P, "&gt;" &amp; $P1848) + 1</f>
        <v>1151</v>
      </c>
      <c r="R1848" s="63">
        <f>(COUNTIFS($P:$P, "&gt;" &amp; $P1848) + 1) / (COUNTA($I:$I) - 1)</f>
        <v>0.23019999999999999</v>
      </c>
      <c r="S1848" s="23">
        <f>SUMIFS($P:$P, $Q:$Q, "&lt;" &amp; $Q1848)</f>
        <v>169454775</v>
      </c>
    </row>
    <row r="1849" spans="1:19" x14ac:dyDescent="0.25">
      <c r="A1849" s="1">
        <v>1844</v>
      </c>
      <c r="B1849" s="1" t="s">
        <v>2</v>
      </c>
      <c r="C1849" s="1" t="str">
        <f>IF($B1849 = "Production Item", _xlfn.XLOOKUP($A1849, 'Instrument Table'!$J:$J, 'Instrument Table'!$B:$B, $C1848), IF($B1849 = "Service Item", _xlfn.XLOOKUP($A1849, 'Instrument Table'!$I:$I, 'Instrument Table'!$B:$B, $C1848), _xlfn.XLOOKUP($A1849, 'Instrument Table'!$H:$H, 'Instrument Table'!$B:$B, $C1848)))</f>
        <v>Clarinet</v>
      </c>
      <c r="D1849" s="1" t="str">
        <f>VLOOKUP($C1849, 'Instrument Table'!$B:$C, 2, FALSE)</f>
        <v>Woodwinds</v>
      </c>
      <c r="E1849" s="1">
        <f t="shared" si="168"/>
        <v>1</v>
      </c>
      <c r="F1849" s="1">
        <f>_xlfn.XLOOKUP($C1849, 'Instrument Table'!$B:$B, 'Instrument Table'!$A:$A, "")</f>
        <v>30</v>
      </c>
      <c r="G1849" s="1" t="str">
        <f>TEXT(IF($B1849 = "Retail Item", IF((ROW($A1849) - 4504 - _xlfn.XMATCH($C1849, $C$4506:$C$5005, 0, 1)) &lt;= VLOOKUP($C1849, 'Instrument Table'!$B:$D, 3, FALSE), ROW($A1849) - 4504 - _xlfn.XMATCH($C1849, $C$4506:$C$5005, 0, 1), 0), 0), "00")</f>
        <v>00</v>
      </c>
      <c r="H1849" s="1" t="str">
        <f t="shared" si="169"/>
        <v>093</v>
      </c>
      <c r="I1849" s="1" t="str">
        <f t="shared" si="170"/>
        <v>13000-093</v>
      </c>
      <c r="J1849" s="1" t="str">
        <f t="shared" si="171"/>
        <v>Clarinet production item #093</v>
      </c>
      <c r="K1849" s="1" t="str">
        <f>IF(SUM(COUNTIFS(I:I, I1849)) &gt; 1, "DUPLICATE", "UNIQUE")</f>
        <v>UNIQUE</v>
      </c>
      <c r="L1849" s="18">
        <v>0</v>
      </c>
      <c r="M1849" s="28">
        <v>5</v>
      </c>
      <c r="N1849" s="6">
        <v>81</v>
      </c>
      <c r="O1849" s="30">
        <f t="shared" si="172"/>
        <v>0</v>
      </c>
      <c r="P1849" s="30">
        <f t="shared" si="173"/>
        <v>405</v>
      </c>
      <c r="Q1849" s="1">
        <f>COUNTIFS($P:$P, "&gt;" &amp; $P1849) + 1</f>
        <v>4085</v>
      </c>
      <c r="R1849" s="63">
        <f>(COUNTIFS($P:$P, "&gt;" &amp; $P1849) + 1) / (COUNTA($I:$I) - 1)</f>
        <v>0.81699999999999995</v>
      </c>
      <c r="S1849" s="23">
        <f>SUMIFS($P:$P, $Q:$Q, "&lt;" &amp; $Q1849)</f>
        <v>186438857</v>
      </c>
    </row>
    <row r="1850" spans="1:19" x14ac:dyDescent="0.25">
      <c r="A1850" s="1">
        <v>1845</v>
      </c>
      <c r="B1850" s="1" t="s">
        <v>2</v>
      </c>
      <c r="C1850" s="1" t="str">
        <f>IF($B1850 = "Production Item", _xlfn.XLOOKUP($A1850, 'Instrument Table'!$J:$J, 'Instrument Table'!$B:$B, $C1849), IF($B1850 = "Service Item", _xlfn.XLOOKUP($A1850, 'Instrument Table'!$I:$I, 'Instrument Table'!$B:$B, $C1849), _xlfn.XLOOKUP($A1850, 'Instrument Table'!$H:$H, 'Instrument Table'!$B:$B, $C1849)))</f>
        <v>Clarinet</v>
      </c>
      <c r="D1850" s="1" t="str">
        <f>VLOOKUP($C1850, 'Instrument Table'!$B:$C, 2, FALSE)</f>
        <v>Woodwinds</v>
      </c>
      <c r="E1850" s="1">
        <f t="shared" si="168"/>
        <v>1</v>
      </c>
      <c r="F1850" s="1">
        <f>_xlfn.XLOOKUP($C1850, 'Instrument Table'!$B:$B, 'Instrument Table'!$A:$A, "")</f>
        <v>30</v>
      </c>
      <c r="G1850" s="1" t="str">
        <f>TEXT(IF($B1850 = "Retail Item", IF((ROW($A1850) - 4504 - _xlfn.XMATCH($C1850, $C$4506:$C$5005, 0, 1)) &lt;= VLOOKUP($C1850, 'Instrument Table'!$B:$D, 3, FALSE), ROW($A1850) - 4504 - _xlfn.XMATCH($C1850, $C$4506:$C$5005, 0, 1), 0), 0), "00")</f>
        <v>00</v>
      </c>
      <c r="H1850" s="1" t="str">
        <f t="shared" si="169"/>
        <v>094</v>
      </c>
      <c r="I1850" s="1" t="str">
        <f t="shared" si="170"/>
        <v>13000-094</v>
      </c>
      <c r="J1850" s="1" t="str">
        <f t="shared" si="171"/>
        <v>Clarinet production item #094</v>
      </c>
      <c r="K1850" s="1" t="str">
        <f>IF(SUM(COUNTIFS(I:I, I1850)) &gt; 1, "DUPLICATE", "UNIQUE")</f>
        <v>UNIQUE</v>
      </c>
      <c r="L1850" s="18">
        <v>8</v>
      </c>
      <c r="M1850" s="28">
        <v>44</v>
      </c>
      <c r="N1850" s="6">
        <v>1</v>
      </c>
      <c r="O1850" s="30">
        <f t="shared" si="172"/>
        <v>352</v>
      </c>
      <c r="P1850" s="30">
        <f t="shared" si="173"/>
        <v>44</v>
      </c>
      <c r="Q1850" s="1">
        <f>COUNTIFS($P:$P, "&gt;" &amp; $P1850) + 1</f>
        <v>4632</v>
      </c>
      <c r="R1850" s="63">
        <f>(COUNTIFS($P:$P, "&gt;" &amp; $P1850) + 1) / (COUNTA($I:$I) - 1)</f>
        <v>0.9264</v>
      </c>
      <c r="S1850" s="23">
        <f>SUMIFS($P:$P, $Q:$Q, "&lt;" &amp; $Q1850)</f>
        <v>186545295</v>
      </c>
    </row>
    <row r="1851" spans="1:19" x14ac:dyDescent="0.25">
      <c r="A1851" s="1">
        <v>1846</v>
      </c>
      <c r="B1851" s="1" t="s">
        <v>2</v>
      </c>
      <c r="C1851" s="1" t="str">
        <f>IF($B1851 = "Production Item", _xlfn.XLOOKUP($A1851, 'Instrument Table'!$J:$J, 'Instrument Table'!$B:$B, $C1850), IF($B1851 = "Service Item", _xlfn.XLOOKUP($A1851, 'Instrument Table'!$I:$I, 'Instrument Table'!$B:$B, $C1850), _xlfn.XLOOKUP($A1851, 'Instrument Table'!$H:$H, 'Instrument Table'!$B:$B, $C1850)))</f>
        <v>Clarinet</v>
      </c>
      <c r="D1851" s="1" t="str">
        <f>VLOOKUP($C1851, 'Instrument Table'!$B:$C, 2, FALSE)</f>
        <v>Woodwinds</v>
      </c>
      <c r="E1851" s="1">
        <f t="shared" si="168"/>
        <v>1</v>
      </c>
      <c r="F1851" s="1">
        <f>_xlfn.XLOOKUP($C1851, 'Instrument Table'!$B:$B, 'Instrument Table'!$A:$A, "")</f>
        <v>30</v>
      </c>
      <c r="G1851" s="1" t="str">
        <f>TEXT(IF($B1851 = "Retail Item", IF((ROW($A1851) - 4504 - _xlfn.XMATCH($C1851, $C$4506:$C$5005, 0, 1)) &lt;= VLOOKUP($C1851, 'Instrument Table'!$B:$D, 3, FALSE), ROW($A1851) - 4504 - _xlfn.XMATCH($C1851, $C$4506:$C$5005, 0, 1), 0), 0), "00")</f>
        <v>00</v>
      </c>
      <c r="H1851" s="1" t="str">
        <f t="shared" si="169"/>
        <v>095</v>
      </c>
      <c r="I1851" s="1" t="str">
        <f t="shared" si="170"/>
        <v>13000-095</v>
      </c>
      <c r="J1851" s="1" t="str">
        <f t="shared" si="171"/>
        <v>Clarinet production item #095</v>
      </c>
      <c r="K1851" s="1" t="str">
        <f>IF(SUM(COUNTIFS(I:I, I1851)) &gt; 1, "DUPLICATE", "UNIQUE")</f>
        <v>UNIQUE</v>
      </c>
      <c r="L1851" s="18">
        <v>0</v>
      </c>
      <c r="M1851" s="28">
        <v>100</v>
      </c>
      <c r="N1851" s="6">
        <v>289</v>
      </c>
      <c r="O1851" s="30">
        <f t="shared" si="172"/>
        <v>0</v>
      </c>
      <c r="P1851" s="30">
        <f t="shared" si="173"/>
        <v>28900</v>
      </c>
      <c r="Q1851" s="1">
        <f>COUNTIFS($P:$P, "&gt;" &amp; $P1851) + 1</f>
        <v>714</v>
      </c>
      <c r="R1851" s="63">
        <f>(COUNTIFS($P:$P, "&gt;" &amp; $P1851) + 1) / (COUNTA($I:$I) - 1)</f>
        <v>0.14280000000000001</v>
      </c>
      <c r="S1851" s="23">
        <f>SUMIFS($P:$P, $Q:$Q, "&lt;" &amp; $Q1851)</f>
        <v>159498251</v>
      </c>
    </row>
    <row r="1852" spans="1:19" x14ac:dyDescent="0.25">
      <c r="A1852" s="1">
        <v>1847</v>
      </c>
      <c r="B1852" s="1" t="s">
        <v>2</v>
      </c>
      <c r="C1852" s="1" t="str">
        <f>IF($B1852 = "Production Item", _xlfn.XLOOKUP($A1852, 'Instrument Table'!$J:$J, 'Instrument Table'!$B:$B, $C1851), IF($B1852 = "Service Item", _xlfn.XLOOKUP($A1852, 'Instrument Table'!$I:$I, 'Instrument Table'!$B:$B, $C1851), _xlfn.XLOOKUP($A1852, 'Instrument Table'!$H:$H, 'Instrument Table'!$B:$B, $C1851)))</f>
        <v>Clarinet</v>
      </c>
      <c r="D1852" s="1" t="str">
        <f>VLOOKUP($C1852, 'Instrument Table'!$B:$C, 2, FALSE)</f>
        <v>Woodwinds</v>
      </c>
      <c r="E1852" s="1">
        <f t="shared" si="168"/>
        <v>1</v>
      </c>
      <c r="F1852" s="1">
        <f>_xlfn.XLOOKUP($C1852, 'Instrument Table'!$B:$B, 'Instrument Table'!$A:$A, "")</f>
        <v>30</v>
      </c>
      <c r="G1852" s="1" t="str">
        <f>TEXT(IF($B1852 = "Retail Item", IF((ROW($A1852) - 4504 - _xlfn.XMATCH($C1852, $C$4506:$C$5005, 0, 1)) &lt;= VLOOKUP($C1852, 'Instrument Table'!$B:$D, 3, FALSE), ROW($A1852) - 4504 - _xlfn.XMATCH($C1852, $C$4506:$C$5005, 0, 1), 0), 0), "00")</f>
        <v>00</v>
      </c>
      <c r="H1852" s="1" t="str">
        <f t="shared" si="169"/>
        <v>096</v>
      </c>
      <c r="I1852" s="1" t="str">
        <f t="shared" si="170"/>
        <v>13000-096</v>
      </c>
      <c r="J1852" s="1" t="str">
        <f t="shared" si="171"/>
        <v>Clarinet production item #096</v>
      </c>
      <c r="K1852" s="1" t="str">
        <f>IF(SUM(COUNTIFS(I:I, I1852)) &gt; 1, "DUPLICATE", "UNIQUE")</f>
        <v>UNIQUE</v>
      </c>
      <c r="L1852" s="18">
        <v>1</v>
      </c>
      <c r="M1852" s="28">
        <v>26</v>
      </c>
      <c r="N1852" s="6">
        <v>361</v>
      </c>
      <c r="O1852" s="30">
        <f t="shared" si="172"/>
        <v>26</v>
      </c>
      <c r="P1852" s="30">
        <f t="shared" si="173"/>
        <v>9386</v>
      </c>
      <c r="Q1852" s="1">
        <f>COUNTIFS($P:$P, "&gt;" &amp; $P1852) + 1</f>
        <v>1835</v>
      </c>
      <c r="R1852" s="63">
        <f>(COUNTIFS($P:$P, "&gt;" &amp; $P1852) + 1) / (COUNTA($I:$I) - 1)</f>
        <v>0.36699999999999999</v>
      </c>
      <c r="S1852" s="23">
        <f>SUMIFS($P:$P, $Q:$Q, "&lt;" &amp; $Q1852)</f>
        <v>178574393</v>
      </c>
    </row>
    <row r="1853" spans="1:19" x14ac:dyDescent="0.25">
      <c r="A1853" s="1">
        <v>1848</v>
      </c>
      <c r="B1853" s="1" t="s">
        <v>2</v>
      </c>
      <c r="C1853" s="1" t="str">
        <f>IF($B1853 = "Production Item", _xlfn.XLOOKUP($A1853, 'Instrument Table'!$J:$J, 'Instrument Table'!$B:$B, $C1852), IF($B1853 = "Service Item", _xlfn.XLOOKUP($A1853, 'Instrument Table'!$I:$I, 'Instrument Table'!$B:$B, $C1852), _xlfn.XLOOKUP($A1853, 'Instrument Table'!$H:$H, 'Instrument Table'!$B:$B, $C1852)))</f>
        <v>Clarinet</v>
      </c>
      <c r="D1853" s="1" t="str">
        <f>VLOOKUP($C1853, 'Instrument Table'!$B:$C, 2, FALSE)</f>
        <v>Woodwinds</v>
      </c>
      <c r="E1853" s="1">
        <f t="shared" si="168"/>
        <v>1</v>
      </c>
      <c r="F1853" s="1">
        <f>_xlfn.XLOOKUP($C1853, 'Instrument Table'!$B:$B, 'Instrument Table'!$A:$A, "")</f>
        <v>30</v>
      </c>
      <c r="G1853" s="1" t="str">
        <f>TEXT(IF($B1853 = "Retail Item", IF((ROW($A1853) - 4504 - _xlfn.XMATCH($C1853, $C$4506:$C$5005, 0, 1)) &lt;= VLOOKUP($C1853, 'Instrument Table'!$B:$D, 3, FALSE), ROW($A1853) - 4504 - _xlfn.XMATCH($C1853, $C$4506:$C$5005, 0, 1), 0), 0), "00")</f>
        <v>00</v>
      </c>
      <c r="H1853" s="1" t="str">
        <f t="shared" si="169"/>
        <v>097</v>
      </c>
      <c r="I1853" s="1" t="str">
        <f t="shared" si="170"/>
        <v>13000-097</v>
      </c>
      <c r="J1853" s="1" t="str">
        <f t="shared" si="171"/>
        <v>Clarinet production item #097</v>
      </c>
      <c r="K1853" s="1" t="str">
        <f>IF(SUM(COUNTIFS(I:I, I1853)) &gt; 1, "DUPLICATE", "UNIQUE")</f>
        <v>UNIQUE</v>
      </c>
      <c r="L1853" s="18">
        <v>8</v>
      </c>
      <c r="M1853" s="28">
        <v>29</v>
      </c>
      <c r="N1853" s="6">
        <v>256</v>
      </c>
      <c r="O1853" s="30">
        <f t="shared" si="172"/>
        <v>232</v>
      </c>
      <c r="P1853" s="30">
        <f t="shared" si="173"/>
        <v>7424</v>
      </c>
      <c r="Q1853" s="1">
        <f>COUNTIFS($P:$P, "&gt;" &amp; $P1853) + 1</f>
        <v>2079</v>
      </c>
      <c r="R1853" s="63">
        <f>(COUNTIFS($P:$P, "&gt;" &amp; $P1853) + 1) / (COUNTA($I:$I) - 1)</f>
        <v>0.4158</v>
      </c>
      <c r="S1853" s="23">
        <f>SUMIFS($P:$P, $Q:$Q, "&lt;" &amp; $Q1853)</f>
        <v>180603977</v>
      </c>
    </row>
    <row r="1854" spans="1:19" x14ac:dyDescent="0.25">
      <c r="A1854" s="1">
        <v>1849</v>
      </c>
      <c r="B1854" s="1" t="s">
        <v>2</v>
      </c>
      <c r="C1854" s="1" t="str">
        <f>IF($B1854 = "Production Item", _xlfn.XLOOKUP($A1854, 'Instrument Table'!$J:$J, 'Instrument Table'!$B:$B, $C1853), IF($B1854 = "Service Item", _xlfn.XLOOKUP($A1854, 'Instrument Table'!$I:$I, 'Instrument Table'!$B:$B, $C1853), _xlfn.XLOOKUP($A1854, 'Instrument Table'!$H:$H, 'Instrument Table'!$B:$B, $C1853)))</f>
        <v>Clarinet</v>
      </c>
      <c r="D1854" s="1" t="str">
        <f>VLOOKUP($C1854, 'Instrument Table'!$B:$C, 2, FALSE)</f>
        <v>Woodwinds</v>
      </c>
      <c r="E1854" s="1">
        <f t="shared" si="168"/>
        <v>1</v>
      </c>
      <c r="F1854" s="1">
        <f>_xlfn.XLOOKUP($C1854, 'Instrument Table'!$B:$B, 'Instrument Table'!$A:$A, "")</f>
        <v>30</v>
      </c>
      <c r="G1854" s="1" t="str">
        <f>TEXT(IF($B1854 = "Retail Item", IF((ROW($A1854) - 4504 - _xlfn.XMATCH($C1854, $C$4506:$C$5005, 0, 1)) &lt;= VLOOKUP($C1854, 'Instrument Table'!$B:$D, 3, FALSE), ROW($A1854) - 4504 - _xlfn.XMATCH($C1854, $C$4506:$C$5005, 0, 1), 0), 0), "00")</f>
        <v>00</v>
      </c>
      <c r="H1854" s="1" t="str">
        <f t="shared" si="169"/>
        <v>098</v>
      </c>
      <c r="I1854" s="1" t="str">
        <f t="shared" si="170"/>
        <v>13000-098</v>
      </c>
      <c r="J1854" s="1" t="str">
        <f t="shared" si="171"/>
        <v>Clarinet production item #098</v>
      </c>
      <c r="K1854" s="1" t="str">
        <f>IF(SUM(COUNTIFS(I:I, I1854)) &gt; 1, "DUPLICATE", "UNIQUE")</f>
        <v>UNIQUE</v>
      </c>
      <c r="L1854" s="18">
        <v>0</v>
      </c>
      <c r="M1854" s="28">
        <v>66</v>
      </c>
      <c r="N1854" s="6">
        <v>196</v>
      </c>
      <c r="O1854" s="30">
        <f t="shared" si="172"/>
        <v>0</v>
      </c>
      <c r="P1854" s="30">
        <f t="shared" si="173"/>
        <v>12936</v>
      </c>
      <c r="Q1854" s="1">
        <f>COUNTIFS($P:$P, "&gt;" &amp; $P1854) + 1</f>
        <v>1505</v>
      </c>
      <c r="R1854" s="63">
        <f>(COUNTIFS($P:$P, "&gt;" &amp; $P1854) + 1) / (COUNTA($I:$I) - 1)</f>
        <v>0.30099999999999999</v>
      </c>
      <c r="S1854" s="23">
        <f>SUMIFS($P:$P, $Q:$Q, "&lt;" &amp; $Q1854)</f>
        <v>174904603</v>
      </c>
    </row>
    <row r="1855" spans="1:19" x14ac:dyDescent="0.25">
      <c r="A1855" s="1">
        <v>1850</v>
      </c>
      <c r="B1855" s="1" t="s">
        <v>2</v>
      </c>
      <c r="C1855" s="1" t="str">
        <f>IF($B1855 = "Production Item", _xlfn.XLOOKUP($A1855, 'Instrument Table'!$J:$J, 'Instrument Table'!$B:$B, $C1854), IF($B1855 = "Service Item", _xlfn.XLOOKUP($A1855, 'Instrument Table'!$I:$I, 'Instrument Table'!$B:$B, $C1854), _xlfn.XLOOKUP($A1855, 'Instrument Table'!$H:$H, 'Instrument Table'!$B:$B, $C1854)))</f>
        <v>Clarinet</v>
      </c>
      <c r="D1855" s="1" t="str">
        <f>VLOOKUP($C1855, 'Instrument Table'!$B:$C, 2, FALSE)</f>
        <v>Woodwinds</v>
      </c>
      <c r="E1855" s="1">
        <f t="shared" si="168"/>
        <v>1</v>
      </c>
      <c r="F1855" s="1">
        <f>_xlfn.XLOOKUP($C1855, 'Instrument Table'!$B:$B, 'Instrument Table'!$A:$A, "")</f>
        <v>30</v>
      </c>
      <c r="G1855" s="1" t="str">
        <f>TEXT(IF($B1855 = "Retail Item", IF((ROW($A1855) - 4504 - _xlfn.XMATCH($C1855, $C$4506:$C$5005, 0, 1)) &lt;= VLOOKUP($C1855, 'Instrument Table'!$B:$D, 3, FALSE), ROW($A1855) - 4504 - _xlfn.XMATCH($C1855, $C$4506:$C$5005, 0, 1), 0), 0), "00")</f>
        <v>00</v>
      </c>
      <c r="H1855" s="1" t="str">
        <f t="shared" si="169"/>
        <v>099</v>
      </c>
      <c r="I1855" s="1" t="str">
        <f t="shared" si="170"/>
        <v>13000-099</v>
      </c>
      <c r="J1855" s="1" t="str">
        <f t="shared" si="171"/>
        <v>Clarinet production item #099</v>
      </c>
      <c r="K1855" s="1" t="str">
        <f>IF(SUM(COUNTIFS(I:I, I1855)) &gt; 1, "DUPLICATE", "UNIQUE")</f>
        <v>UNIQUE</v>
      </c>
      <c r="L1855" s="18">
        <v>4</v>
      </c>
      <c r="M1855" s="28">
        <v>49</v>
      </c>
      <c r="N1855" s="6">
        <v>0</v>
      </c>
      <c r="O1855" s="30">
        <f t="shared" si="172"/>
        <v>196</v>
      </c>
      <c r="P1855" s="30">
        <f t="shared" si="173"/>
        <v>0</v>
      </c>
      <c r="Q1855" s="1">
        <f>COUNTIFS($P:$P, "&gt;" &amp; $P1855) + 1</f>
        <v>4746</v>
      </c>
      <c r="R1855" s="63">
        <f>(COUNTIFS($P:$P, "&gt;" &amp; $P1855) + 1) / (COUNTA($I:$I) - 1)</f>
        <v>0.94920000000000004</v>
      </c>
      <c r="S1855" s="23">
        <f>SUMIFS($P:$P, $Q:$Q, "&lt;" &amp; $Q1855)</f>
        <v>186547861</v>
      </c>
    </row>
    <row r="1856" spans="1:19" x14ac:dyDescent="0.25">
      <c r="A1856" s="1">
        <v>1851</v>
      </c>
      <c r="B1856" s="1" t="s">
        <v>2</v>
      </c>
      <c r="C1856" s="1" t="str">
        <f>IF($B1856 = "Production Item", _xlfn.XLOOKUP($A1856, 'Instrument Table'!$J:$J, 'Instrument Table'!$B:$B, $C1855), IF($B1856 = "Service Item", _xlfn.XLOOKUP($A1856, 'Instrument Table'!$I:$I, 'Instrument Table'!$B:$B, $C1855), _xlfn.XLOOKUP($A1856, 'Instrument Table'!$H:$H, 'Instrument Table'!$B:$B, $C1855)))</f>
        <v>Clarinet</v>
      </c>
      <c r="D1856" s="1" t="str">
        <f>VLOOKUP($C1856, 'Instrument Table'!$B:$C, 2, FALSE)</f>
        <v>Woodwinds</v>
      </c>
      <c r="E1856" s="1">
        <f t="shared" si="168"/>
        <v>1</v>
      </c>
      <c r="F1856" s="1">
        <f>_xlfn.XLOOKUP($C1856, 'Instrument Table'!$B:$B, 'Instrument Table'!$A:$A, "")</f>
        <v>30</v>
      </c>
      <c r="G1856" s="1" t="str">
        <f>TEXT(IF($B1856 = "Retail Item", IF((ROW($A1856) - 4504 - _xlfn.XMATCH($C1856, $C$4506:$C$5005, 0, 1)) &lt;= VLOOKUP($C1856, 'Instrument Table'!$B:$D, 3, FALSE), ROW($A1856) - 4504 - _xlfn.XMATCH($C1856, $C$4506:$C$5005, 0, 1), 0), 0), "00")</f>
        <v>00</v>
      </c>
      <c r="H1856" s="1" t="str">
        <f t="shared" si="169"/>
        <v>100</v>
      </c>
      <c r="I1856" s="1" t="str">
        <f t="shared" si="170"/>
        <v>13000-100</v>
      </c>
      <c r="J1856" s="1" t="str">
        <f t="shared" si="171"/>
        <v>Clarinet production item #100</v>
      </c>
      <c r="K1856" s="1" t="str">
        <f>IF(SUM(COUNTIFS(I:I, I1856)) &gt; 1, "DUPLICATE", "UNIQUE")</f>
        <v>UNIQUE</v>
      </c>
      <c r="L1856" s="18">
        <v>1</v>
      </c>
      <c r="M1856" s="28">
        <v>100</v>
      </c>
      <c r="N1856" s="6">
        <v>324</v>
      </c>
      <c r="O1856" s="30">
        <f t="shared" si="172"/>
        <v>100</v>
      </c>
      <c r="P1856" s="30">
        <f t="shared" si="173"/>
        <v>32400</v>
      </c>
      <c r="Q1856" s="1">
        <f>COUNTIFS($P:$P, "&gt;" &amp; $P1856) + 1</f>
        <v>636</v>
      </c>
      <c r="R1856" s="63">
        <f>(COUNTIFS($P:$P, "&gt;" &amp; $P1856) + 1) / (COUNTA($I:$I) - 1)</f>
        <v>0.12720000000000001</v>
      </c>
      <c r="S1856" s="23">
        <f>SUMIFS($P:$P, $Q:$Q, "&lt;" &amp; $Q1856)</f>
        <v>157094192</v>
      </c>
    </row>
    <row r="1857" spans="1:19" x14ac:dyDescent="0.25">
      <c r="A1857" s="1">
        <v>1852</v>
      </c>
      <c r="B1857" s="1" t="s">
        <v>2</v>
      </c>
      <c r="C1857" s="1" t="str">
        <f>IF($B1857 = "Production Item", _xlfn.XLOOKUP($A1857, 'Instrument Table'!$J:$J, 'Instrument Table'!$B:$B, $C1856), IF($B1857 = "Service Item", _xlfn.XLOOKUP($A1857, 'Instrument Table'!$I:$I, 'Instrument Table'!$B:$B, $C1856), _xlfn.XLOOKUP($A1857, 'Instrument Table'!$H:$H, 'Instrument Table'!$B:$B, $C1856)))</f>
        <v>Clarinet</v>
      </c>
      <c r="D1857" s="1" t="str">
        <f>VLOOKUP($C1857, 'Instrument Table'!$B:$C, 2, FALSE)</f>
        <v>Woodwinds</v>
      </c>
      <c r="E1857" s="1">
        <f t="shared" si="168"/>
        <v>1</v>
      </c>
      <c r="F1857" s="1">
        <f>_xlfn.XLOOKUP($C1857, 'Instrument Table'!$B:$B, 'Instrument Table'!$A:$A, "")</f>
        <v>30</v>
      </c>
      <c r="G1857" s="1" t="str">
        <f>TEXT(IF($B1857 = "Retail Item", IF((ROW($A1857) - 4504 - _xlfn.XMATCH($C1857, $C$4506:$C$5005, 0, 1)) &lt;= VLOOKUP($C1857, 'Instrument Table'!$B:$D, 3, FALSE), ROW($A1857) - 4504 - _xlfn.XMATCH($C1857, $C$4506:$C$5005, 0, 1), 0), 0), "00")</f>
        <v>00</v>
      </c>
      <c r="H1857" s="1" t="str">
        <f t="shared" si="169"/>
        <v>101</v>
      </c>
      <c r="I1857" s="1" t="str">
        <f t="shared" si="170"/>
        <v>13000-101</v>
      </c>
      <c r="J1857" s="1" t="str">
        <f t="shared" si="171"/>
        <v>Clarinet production item #101</v>
      </c>
      <c r="K1857" s="1" t="str">
        <f>IF(SUM(COUNTIFS(I:I, I1857)) &gt; 1, "DUPLICATE", "UNIQUE")</f>
        <v>UNIQUE</v>
      </c>
      <c r="L1857" s="18">
        <v>1</v>
      </c>
      <c r="M1857" s="28">
        <v>44</v>
      </c>
      <c r="N1857" s="6">
        <v>289</v>
      </c>
      <c r="O1857" s="30">
        <f t="shared" si="172"/>
        <v>44</v>
      </c>
      <c r="P1857" s="30">
        <f t="shared" si="173"/>
        <v>12716</v>
      </c>
      <c r="Q1857" s="1">
        <f>COUNTIFS($P:$P, "&gt;" &amp; $P1857) + 1</f>
        <v>1524</v>
      </c>
      <c r="R1857" s="63">
        <f>(COUNTIFS($P:$P, "&gt;" &amp; $P1857) + 1) / (COUNTA($I:$I) - 1)</f>
        <v>0.30480000000000002</v>
      </c>
      <c r="S1857" s="23">
        <f>SUMIFS($P:$P, $Q:$Q, "&lt;" &amp; $Q1857)</f>
        <v>175148603</v>
      </c>
    </row>
    <row r="1858" spans="1:19" x14ac:dyDescent="0.25">
      <c r="A1858" s="1">
        <v>1853</v>
      </c>
      <c r="B1858" s="1" t="s">
        <v>2</v>
      </c>
      <c r="C1858" s="1" t="str">
        <f>IF($B1858 = "Production Item", _xlfn.XLOOKUP($A1858, 'Instrument Table'!$J:$J, 'Instrument Table'!$B:$B, $C1857), IF($B1858 = "Service Item", _xlfn.XLOOKUP($A1858, 'Instrument Table'!$I:$I, 'Instrument Table'!$B:$B, $C1857), _xlfn.XLOOKUP($A1858, 'Instrument Table'!$H:$H, 'Instrument Table'!$B:$B, $C1857)))</f>
        <v>Clarinet</v>
      </c>
      <c r="D1858" s="1" t="str">
        <f>VLOOKUP($C1858, 'Instrument Table'!$B:$C, 2, FALSE)</f>
        <v>Woodwinds</v>
      </c>
      <c r="E1858" s="1">
        <f t="shared" si="168"/>
        <v>1</v>
      </c>
      <c r="F1858" s="1">
        <f>_xlfn.XLOOKUP($C1858, 'Instrument Table'!$B:$B, 'Instrument Table'!$A:$A, "")</f>
        <v>30</v>
      </c>
      <c r="G1858" s="1" t="str">
        <f>TEXT(IF($B1858 = "Retail Item", IF((ROW($A1858) - 4504 - _xlfn.XMATCH($C1858, $C$4506:$C$5005, 0, 1)) &lt;= VLOOKUP($C1858, 'Instrument Table'!$B:$D, 3, FALSE), ROW($A1858) - 4504 - _xlfn.XMATCH($C1858, $C$4506:$C$5005, 0, 1), 0), 0), "00")</f>
        <v>00</v>
      </c>
      <c r="H1858" s="1" t="str">
        <f t="shared" si="169"/>
        <v>102</v>
      </c>
      <c r="I1858" s="1" t="str">
        <f t="shared" si="170"/>
        <v>13000-102</v>
      </c>
      <c r="J1858" s="1" t="str">
        <f t="shared" si="171"/>
        <v>Clarinet production item #102</v>
      </c>
      <c r="K1858" s="1" t="str">
        <f>IF(SUM(COUNTIFS(I:I, I1858)) &gt; 1, "DUPLICATE", "UNIQUE")</f>
        <v>UNIQUE</v>
      </c>
      <c r="L1858" s="18">
        <v>32</v>
      </c>
      <c r="M1858" s="28">
        <v>50</v>
      </c>
      <c r="N1858" s="6">
        <v>16</v>
      </c>
      <c r="O1858" s="30">
        <f t="shared" si="172"/>
        <v>1600</v>
      </c>
      <c r="P1858" s="30">
        <f t="shared" si="173"/>
        <v>800</v>
      </c>
      <c r="Q1858" s="1">
        <f>COUNTIFS($P:$P, "&gt;" &amp; $P1858) + 1</f>
        <v>3790</v>
      </c>
      <c r="R1858" s="63">
        <f>(COUNTIFS($P:$P, "&gt;" &amp; $P1858) + 1) / (COUNTA($I:$I) - 1)</f>
        <v>0.75800000000000001</v>
      </c>
      <c r="S1858" s="23">
        <f>SUMIFS($P:$P, $Q:$Q, "&lt;" &amp; $Q1858)</f>
        <v>186257682</v>
      </c>
    </row>
    <row r="1859" spans="1:19" x14ac:dyDescent="0.25">
      <c r="A1859" s="1">
        <v>1854</v>
      </c>
      <c r="B1859" s="1" t="s">
        <v>2</v>
      </c>
      <c r="C1859" s="1" t="str">
        <f>IF($B1859 = "Production Item", _xlfn.XLOOKUP($A1859, 'Instrument Table'!$J:$J, 'Instrument Table'!$B:$B, $C1858), IF($B1859 = "Service Item", _xlfn.XLOOKUP($A1859, 'Instrument Table'!$I:$I, 'Instrument Table'!$B:$B, $C1858), _xlfn.XLOOKUP($A1859, 'Instrument Table'!$H:$H, 'Instrument Table'!$B:$B, $C1858)))</f>
        <v>Clarinet</v>
      </c>
      <c r="D1859" s="1" t="str">
        <f>VLOOKUP($C1859, 'Instrument Table'!$B:$C, 2, FALSE)</f>
        <v>Woodwinds</v>
      </c>
      <c r="E1859" s="1">
        <f t="shared" si="168"/>
        <v>1</v>
      </c>
      <c r="F1859" s="1">
        <f>_xlfn.XLOOKUP($C1859, 'Instrument Table'!$B:$B, 'Instrument Table'!$A:$A, "")</f>
        <v>30</v>
      </c>
      <c r="G1859" s="1" t="str">
        <f>TEXT(IF($B1859 = "Retail Item", IF((ROW($A1859) - 4504 - _xlfn.XMATCH($C1859, $C$4506:$C$5005, 0, 1)) &lt;= VLOOKUP($C1859, 'Instrument Table'!$B:$D, 3, FALSE), ROW($A1859) - 4504 - _xlfn.XMATCH($C1859, $C$4506:$C$5005, 0, 1), 0), 0), "00")</f>
        <v>00</v>
      </c>
      <c r="H1859" s="1" t="str">
        <f t="shared" si="169"/>
        <v>103</v>
      </c>
      <c r="I1859" s="1" t="str">
        <f t="shared" si="170"/>
        <v>13000-103</v>
      </c>
      <c r="J1859" s="1" t="str">
        <f t="shared" si="171"/>
        <v>Clarinet production item #103</v>
      </c>
      <c r="K1859" s="1" t="str">
        <f>IF(SUM(COUNTIFS(I:I, I1859)) &gt; 1, "DUPLICATE", "UNIQUE")</f>
        <v>UNIQUE</v>
      </c>
      <c r="L1859" s="18">
        <v>1</v>
      </c>
      <c r="M1859" s="28">
        <v>26</v>
      </c>
      <c r="N1859" s="6">
        <v>81</v>
      </c>
      <c r="O1859" s="30">
        <f t="shared" si="172"/>
        <v>26</v>
      </c>
      <c r="P1859" s="30">
        <f t="shared" si="173"/>
        <v>2106</v>
      </c>
      <c r="Q1859" s="1">
        <f>COUNTIFS($P:$P, "&gt;" &amp; $P1859) + 1</f>
        <v>3206</v>
      </c>
      <c r="R1859" s="63">
        <f>(COUNTIFS($P:$P, "&gt;" &amp; $P1859) + 1) / (COUNTA($I:$I) - 1)</f>
        <v>0.64119999999999999</v>
      </c>
      <c r="S1859" s="23">
        <f>SUMIFS($P:$P, $Q:$Q, "&lt;" &amp; $Q1859)</f>
        <v>185420344</v>
      </c>
    </row>
    <row r="1860" spans="1:19" x14ac:dyDescent="0.25">
      <c r="A1860" s="1">
        <v>1855</v>
      </c>
      <c r="B1860" s="1" t="s">
        <v>2</v>
      </c>
      <c r="C1860" s="1" t="str">
        <f>IF($B1860 = "Production Item", _xlfn.XLOOKUP($A1860, 'Instrument Table'!$J:$J, 'Instrument Table'!$B:$B, $C1859), IF($B1860 = "Service Item", _xlfn.XLOOKUP($A1860, 'Instrument Table'!$I:$I, 'Instrument Table'!$B:$B, $C1859), _xlfn.XLOOKUP($A1860, 'Instrument Table'!$H:$H, 'Instrument Table'!$B:$B, $C1859)))</f>
        <v>Clarinet</v>
      </c>
      <c r="D1860" s="1" t="str">
        <f>VLOOKUP($C1860, 'Instrument Table'!$B:$C, 2, FALSE)</f>
        <v>Woodwinds</v>
      </c>
      <c r="E1860" s="1">
        <f t="shared" si="168"/>
        <v>1</v>
      </c>
      <c r="F1860" s="1">
        <f>_xlfn.XLOOKUP($C1860, 'Instrument Table'!$B:$B, 'Instrument Table'!$A:$A, "")</f>
        <v>30</v>
      </c>
      <c r="G1860" s="1" t="str">
        <f>TEXT(IF($B1860 = "Retail Item", IF((ROW($A1860) - 4504 - _xlfn.XMATCH($C1860, $C$4506:$C$5005, 0, 1)) &lt;= VLOOKUP($C1860, 'Instrument Table'!$B:$D, 3, FALSE), ROW($A1860) - 4504 - _xlfn.XMATCH($C1860, $C$4506:$C$5005, 0, 1), 0), 0), "00")</f>
        <v>00</v>
      </c>
      <c r="H1860" s="1" t="str">
        <f t="shared" si="169"/>
        <v>104</v>
      </c>
      <c r="I1860" s="1" t="str">
        <f t="shared" si="170"/>
        <v>13000-104</v>
      </c>
      <c r="J1860" s="1" t="str">
        <f t="shared" si="171"/>
        <v>Clarinet production item #104</v>
      </c>
      <c r="K1860" s="1" t="str">
        <f>IF(SUM(COUNTIFS(I:I, I1860)) &gt; 1, "DUPLICATE", "UNIQUE")</f>
        <v>UNIQUE</v>
      </c>
      <c r="L1860" s="18">
        <v>4</v>
      </c>
      <c r="M1860" s="28">
        <v>28</v>
      </c>
      <c r="N1860" s="6">
        <v>169</v>
      </c>
      <c r="O1860" s="30">
        <f t="shared" si="172"/>
        <v>112</v>
      </c>
      <c r="P1860" s="30">
        <f t="shared" si="173"/>
        <v>4732</v>
      </c>
      <c r="Q1860" s="1">
        <f>COUNTIFS($P:$P, "&gt;" &amp; $P1860) + 1</f>
        <v>2498</v>
      </c>
      <c r="R1860" s="63">
        <f>(COUNTIFS($P:$P, "&gt;" &amp; $P1860) + 1) / (COUNTA($I:$I) - 1)</f>
        <v>0.49959999999999999</v>
      </c>
      <c r="S1860" s="23">
        <f>SUMIFS($P:$P, $Q:$Q, "&lt;" &amp; $Q1860)</f>
        <v>183105780</v>
      </c>
    </row>
    <row r="1861" spans="1:19" x14ac:dyDescent="0.25">
      <c r="A1861" s="1">
        <v>1856</v>
      </c>
      <c r="B1861" s="1" t="s">
        <v>2</v>
      </c>
      <c r="C1861" s="1" t="str">
        <f>IF($B1861 = "Production Item", _xlfn.XLOOKUP($A1861, 'Instrument Table'!$J:$J, 'Instrument Table'!$B:$B, $C1860), IF($B1861 = "Service Item", _xlfn.XLOOKUP($A1861, 'Instrument Table'!$I:$I, 'Instrument Table'!$B:$B, $C1860), _xlfn.XLOOKUP($A1861, 'Instrument Table'!$H:$H, 'Instrument Table'!$B:$B, $C1860)))</f>
        <v>Clarinet</v>
      </c>
      <c r="D1861" s="1" t="str">
        <f>VLOOKUP($C1861, 'Instrument Table'!$B:$C, 2, FALSE)</f>
        <v>Woodwinds</v>
      </c>
      <c r="E1861" s="1">
        <f t="shared" si="168"/>
        <v>1</v>
      </c>
      <c r="F1861" s="1">
        <f>_xlfn.XLOOKUP($C1861, 'Instrument Table'!$B:$B, 'Instrument Table'!$A:$A, "")</f>
        <v>30</v>
      </c>
      <c r="G1861" s="1" t="str">
        <f>TEXT(IF($B1861 = "Retail Item", IF((ROW($A1861) - 4504 - _xlfn.XMATCH($C1861, $C$4506:$C$5005, 0, 1)) &lt;= VLOOKUP($C1861, 'Instrument Table'!$B:$D, 3, FALSE), ROW($A1861) - 4504 - _xlfn.XMATCH($C1861, $C$4506:$C$5005, 0, 1), 0), 0), "00")</f>
        <v>00</v>
      </c>
      <c r="H1861" s="1" t="str">
        <f t="shared" si="169"/>
        <v>105</v>
      </c>
      <c r="I1861" s="1" t="str">
        <f t="shared" si="170"/>
        <v>13000-105</v>
      </c>
      <c r="J1861" s="1" t="str">
        <f t="shared" si="171"/>
        <v>Clarinet production item #105</v>
      </c>
      <c r="K1861" s="1" t="str">
        <f>IF(SUM(COUNTIFS(I:I, I1861)) &gt; 1, "DUPLICATE", "UNIQUE")</f>
        <v>UNIQUE</v>
      </c>
      <c r="L1861" s="18">
        <v>0</v>
      </c>
      <c r="M1861" s="28">
        <v>97</v>
      </c>
      <c r="N1861" s="6">
        <v>225</v>
      </c>
      <c r="O1861" s="30">
        <f t="shared" si="172"/>
        <v>0</v>
      </c>
      <c r="P1861" s="30">
        <f t="shared" si="173"/>
        <v>21825</v>
      </c>
      <c r="Q1861" s="1">
        <f>COUNTIFS($P:$P, "&gt;" &amp; $P1861) + 1</f>
        <v>961</v>
      </c>
      <c r="R1861" s="63">
        <f>(COUNTIFS($P:$P, "&gt;" &amp; $P1861) + 1) / (COUNTA($I:$I) - 1)</f>
        <v>0.19220000000000001</v>
      </c>
      <c r="S1861" s="23">
        <f>SUMIFS($P:$P, $Q:$Q, "&lt;" &amp; $Q1861)</f>
        <v>165651656</v>
      </c>
    </row>
    <row r="1862" spans="1:19" x14ac:dyDescent="0.25">
      <c r="A1862" s="1">
        <v>1857</v>
      </c>
      <c r="B1862" s="1" t="s">
        <v>2</v>
      </c>
      <c r="C1862" s="1" t="str">
        <f>IF($B1862 = "Production Item", _xlfn.XLOOKUP($A1862, 'Instrument Table'!$J:$J, 'Instrument Table'!$B:$B, $C1861), IF($B1862 = "Service Item", _xlfn.XLOOKUP($A1862, 'Instrument Table'!$I:$I, 'Instrument Table'!$B:$B, $C1861), _xlfn.XLOOKUP($A1862, 'Instrument Table'!$H:$H, 'Instrument Table'!$B:$B, $C1861)))</f>
        <v>Clarinet</v>
      </c>
      <c r="D1862" s="1" t="str">
        <f>VLOOKUP($C1862, 'Instrument Table'!$B:$C, 2, FALSE)</f>
        <v>Woodwinds</v>
      </c>
      <c r="E1862" s="1">
        <f t="shared" si="168"/>
        <v>1</v>
      </c>
      <c r="F1862" s="1">
        <f>_xlfn.XLOOKUP($C1862, 'Instrument Table'!$B:$B, 'Instrument Table'!$A:$A, "")</f>
        <v>30</v>
      </c>
      <c r="G1862" s="1" t="str">
        <f>TEXT(IF($B1862 = "Retail Item", IF((ROW($A1862) - 4504 - _xlfn.XMATCH($C1862, $C$4506:$C$5005, 0, 1)) &lt;= VLOOKUP($C1862, 'Instrument Table'!$B:$D, 3, FALSE), ROW($A1862) - 4504 - _xlfn.XMATCH($C1862, $C$4506:$C$5005, 0, 1), 0), 0), "00")</f>
        <v>00</v>
      </c>
      <c r="H1862" s="1" t="str">
        <f t="shared" si="169"/>
        <v>106</v>
      </c>
      <c r="I1862" s="1" t="str">
        <f t="shared" si="170"/>
        <v>13000-106</v>
      </c>
      <c r="J1862" s="1" t="str">
        <f t="shared" si="171"/>
        <v>Clarinet production item #106</v>
      </c>
      <c r="K1862" s="1" t="str">
        <f>IF(SUM(COUNTIFS(I:I, I1862)) &gt; 1, "DUPLICATE", "UNIQUE")</f>
        <v>UNIQUE</v>
      </c>
      <c r="L1862" s="18">
        <v>0</v>
      </c>
      <c r="M1862" s="28">
        <v>66</v>
      </c>
      <c r="N1862" s="6">
        <v>324</v>
      </c>
      <c r="O1862" s="30">
        <f t="shared" si="172"/>
        <v>0</v>
      </c>
      <c r="P1862" s="30">
        <f t="shared" si="173"/>
        <v>21384</v>
      </c>
      <c r="Q1862" s="1">
        <f>COUNTIFS($P:$P, "&gt;" &amp; $P1862) + 1</f>
        <v>984</v>
      </c>
      <c r="R1862" s="63">
        <f>(COUNTIFS($P:$P, "&gt;" &amp; $P1862) + 1) / (COUNTA($I:$I) - 1)</f>
        <v>0.1968</v>
      </c>
      <c r="S1862" s="23">
        <f>SUMIFS($P:$P, $Q:$Q, "&lt;" &amp; $Q1862)</f>
        <v>166150372</v>
      </c>
    </row>
    <row r="1863" spans="1:19" x14ac:dyDescent="0.25">
      <c r="A1863" s="1">
        <v>1858</v>
      </c>
      <c r="B1863" s="1" t="s">
        <v>2</v>
      </c>
      <c r="C1863" s="1" t="str">
        <f>IF($B1863 = "Production Item", _xlfn.XLOOKUP($A1863, 'Instrument Table'!$J:$J, 'Instrument Table'!$B:$B, $C1862), IF($B1863 = "Service Item", _xlfn.XLOOKUP($A1863, 'Instrument Table'!$I:$I, 'Instrument Table'!$B:$B, $C1862), _xlfn.XLOOKUP($A1863, 'Instrument Table'!$H:$H, 'Instrument Table'!$B:$B, $C1862)))</f>
        <v>Clarinet</v>
      </c>
      <c r="D1863" s="1" t="str">
        <f>VLOOKUP($C1863, 'Instrument Table'!$B:$C, 2, FALSE)</f>
        <v>Woodwinds</v>
      </c>
      <c r="E1863" s="1">
        <f t="shared" ref="E1863:E1926" si="174">IF($B1863 = "Production Item", 1, IF($B1863 = "Service Item", 2, IF($B1863 = "Retail Item", 3, "")))</f>
        <v>1</v>
      </c>
      <c r="F1863" s="1">
        <f>_xlfn.XLOOKUP($C1863, 'Instrument Table'!$B:$B, 'Instrument Table'!$A:$A, "")</f>
        <v>30</v>
      </c>
      <c r="G1863" s="1" t="str">
        <f>TEXT(IF($B1863 = "Retail Item", IF((ROW($A1863) - 4504 - _xlfn.XMATCH($C1863, $C$4506:$C$5005, 0, 1)) &lt;= VLOOKUP($C1863, 'Instrument Table'!$B:$D, 3, FALSE), ROW($A1863) - 4504 - _xlfn.XMATCH($C1863, $C$4506:$C$5005, 0, 1), 0), 0), "00")</f>
        <v>00</v>
      </c>
      <c r="H1863" s="1" t="str">
        <f t="shared" ref="H1863:H1926" si="175">TEXT(IF($E1863 &amp; $F1863 &amp; $G1863 = $E1862 &amp; $F1862 &amp; $G1862, 1 + H1862, 0), "000")</f>
        <v>107</v>
      </c>
      <c r="I1863" s="1" t="str">
        <f t="shared" ref="I1863:I1926" si="176" xml:space="preserve"> _xlfn.CONCAT($E1863, $F1863, $G1863, "-", H1863)</f>
        <v>13000-107</v>
      </c>
      <c r="J1863" s="1" t="str">
        <f t="shared" ref="J1863:J1926" si="177">LEFT($C1863, 1) &amp; LOWER(RIGHT($C1863, LEN($C1863) - 1)) &amp; IF(AND($G1863 &lt;&gt; "00", $B1863 = "Retail Item"), " model #" &amp; $G1863, " " &amp; LOWER($B1863) &amp; " #" &amp; $H1863)</f>
        <v>Clarinet production item #107</v>
      </c>
      <c r="K1863" s="1" t="str">
        <f>IF(SUM(COUNTIFS(I:I, I1863)) &gt; 1, "DUPLICATE", "UNIQUE")</f>
        <v>UNIQUE</v>
      </c>
      <c r="L1863" s="18">
        <v>2</v>
      </c>
      <c r="M1863" s="28">
        <v>37</v>
      </c>
      <c r="N1863" s="6">
        <v>100</v>
      </c>
      <c r="O1863" s="30">
        <f t="shared" ref="O1863:O1926" si="178">$L1863 * $M1863</f>
        <v>74</v>
      </c>
      <c r="P1863" s="30">
        <f t="shared" ref="P1863:P1926" si="179">$N1863 * $M1863</f>
        <v>3700</v>
      </c>
      <c r="Q1863" s="1">
        <f>COUNTIFS($P:$P, "&gt;" &amp; $P1863) + 1</f>
        <v>2724</v>
      </c>
      <c r="R1863" s="63">
        <f>(COUNTIFS($P:$P, "&gt;" &amp; $P1863) + 1) / (COUNTA($I:$I) - 1)</f>
        <v>0.54479999999999995</v>
      </c>
      <c r="S1863" s="23">
        <f>SUMIFS($P:$P, $Q:$Q, "&lt;" &amp; $Q1863)</f>
        <v>184056526</v>
      </c>
    </row>
    <row r="1864" spans="1:19" x14ac:dyDescent="0.25">
      <c r="A1864" s="1">
        <v>1859</v>
      </c>
      <c r="B1864" s="1" t="s">
        <v>2</v>
      </c>
      <c r="C1864" s="1" t="str">
        <f>IF($B1864 = "Production Item", _xlfn.XLOOKUP($A1864, 'Instrument Table'!$J:$J, 'Instrument Table'!$B:$B, $C1863), IF($B1864 = "Service Item", _xlfn.XLOOKUP($A1864, 'Instrument Table'!$I:$I, 'Instrument Table'!$B:$B, $C1863), _xlfn.XLOOKUP($A1864, 'Instrument Table'!$H:$H, 'Instrument Table'!$B:$B, $C1863)))</f>
        <v>Clarinet</v>
      </c>
      <c r="D1864" s="1" t="str">
        <f>VLOOKUP($C1864, 'Instrument Table'!$B:$C, 2, FALSE)</f>
        <v>Woodwinds</v>
      </c>
      <c r="E1864" s="1">
        <f t="shared" si="174"/>
        <v>1</v>
      </c>
      <c r="F1864" s="1">
        <f>_xlfn.XLOOKUP($C1864, 'Instrument Table'!$B:$B, 'Instrument Table'!$A:$A, "")</f>
        <v>30</v>
      </c>
      <c r="G1864" s="1" t="str">
        <f>TEXT(IF($B1864 = "Retail Item", IF((ROW($A1864) - 4504 - _xlfn.XMATCH($C1864, $C$4506:$C$5005, 0, 1)) &lt;= VLOOKUP($C1864, 'Instrument Table'!$B:$D, 3, FALSE), ROW($A1864) - 4504 - _xlfn.XMATCH($C1864, $C$4506:$C$5005, 0, 1), 0), 0), "00")</f>
        <v>00</v>
      </c>
      <c r="H1864" s="1" t="str">
        <f t="shared" si="175"/>
        <v>108</v>
      </c>
      <c r="I1864" s="1" t="str">
        <f t="shared" si="176"/>
        <v>13000-108</v>
      </c>
      <c r="J1864" s="1" t="str">
        <f t="shared" si="177"/>
        <v>Clarinet production item #108</v>
      </c>
      <c r="K1864" s="1" t="str">
        <f>IF(SUM(COUNTIFS(I:I, I1864)) &gt; 1, "DUPLICATE", "UNIQUE")</f>
        <v>UNIQUE</v>
      </c>
      <c r="L1864" s="18">
        <v>2</v>
      </c>
      <c r="M1864" s="28">
        <v>52</v>
      </c>
      <c r="N1864" s="6">
        <v>289</v>
      </c>
      <c r="O1864" s="30">
        <f t="shared" si="178"/>
        <v>104</v>
      </c>
      <c r="P1864" s="30">
        <f t="shared" si="179"/>
        <v>15028</v>
      </c>
      <c r="Q1864" s="1">
        <f>COUNTIFS($P:$P, "&gt;" &amp; $P1864) + 1</f>
        <v>1350</v>
      </c>
      <c r="R1864" s="63">
        <f>(COUNTIFS($P:$P, "&gt;" &amp; $P1864) + 1) / (COUNTA($I:$I) - 1)</f>
        <v>0.27</v>
      </c>
      <c r="S1864" s="23">
        <f>SUMIFS($P:$P, $Q:$Q, "&lt;" &amp; $Q1864)</f>
        <v>172742932</v>
      </c>
    </row>
    <row r="1865" spans="1:19" x14ac:dyDescent="0.25">
      <c r="A1865" s="1">
        <v>1860</v>
      </c>
      <c r="B1865" s="1" t="s">
        <v>2</v>
      </c>
      <c r="C1865" s="1" t="str">
        <f>IF($B1865 = "Production Item", _xlfn.XLOOKUP($A1865, 'Instrument Table'!$J:$J, 'Instrument Table'!$B:$B, $C1864), IF($B1865 = "Service Item", _xlfn.XLOOKUP($A1865, 'Instrument Table'!$I:$I, 'Instrument Table'!$B:$B, $C1864), _xlfn.XLOOKUP($A1865, 'Instrument Table'!$H:$H, 'Instrument Table'!$B:$B, $C1864)))</f>
        <v>Clarinet</v>
      </c>
      <c r="D1865" s="1" t="str">
        <f>VLOOKUP($C1865, 'Instrument Table'!$B:$C, 2, FALSE)</f>
        <v>Woodwinds</v>
      </c>
      <c r="E1865" s="1">
        <f t="shared" si="174"/>
        <v>1</v>
      </c>
      <c r="F1865" s="1">
        <f>_xlfn.XLOOKUP($C1865, 'Instrument Table'!$B:$B, 'Instrument Table'!$A:$A, "")</f>
        <v>30</v>
      </c>
      <c r="G1865" s="1" t="str">
        <f>TEXT(IF($B1865 = "Retail Item", IF((ROW($A1865) - 4504 - _xlfn.XMATCH($C1865, $C$4506:$C$5005, 0, 1)) &lt;= VLOOKUP($C1865, 'Instrument Table'!$B:$D, 3, FALSE), ROW($A1865) - 4504 - _xlfn.XMATCH($C1865, $C$4506:$C$5005, 0, 1), 0), 0), "00")</f>
        <v>00</v>
      </c>
      <c r="H1865" s="1" t="str">
        <f t="shared" si="175"/>
        <v>109</v>
      </c>
      <c r="I1865" s="1" t="str">
        <f t="shared" si="176"/>
        <v>13000-109</v>
      </c>
      <c r="J1865" s="1" t="str">
        <f t="shared" si="177"/>
        <v>Clarinet production item #109</v>
      </c>
      <c r="K1865" s="1" t="str">
        <f>IF(SUM(COUNTIFS(I:I, I1865)) &gt; 1, "DUPLICATE", "UNIQUE")</f>
        <v>UNIQUE</v>
      </c>
      <c r="L1865" s="18">
        <v>16</v>
      </c>
      <c r="M1865" s="28">
        <v>69</v>
      </c>
      <c r="N1865" s="6">
        <v>289</v>
      </c>
      <c r="O1865" s="30">
        <f t="shared" si="178"/>
        <v>1104</v>
      </c>
      <c r="P1865" s="30">
        <f t="shared" si="179"/>
        <v>19941</v>
      </c>
      <c r="Q1865" s="1">
        <f>COUNTIFS($P:$P, "&gt;" &amp; $P1865) + 1</f>
        <v>1062</v>
      </c>
      <c r="R1865" s="63">
        <f>(COUNTIFS($P:$P, "&gt;" &amp; $P1865) + 1) / (COUNTA($I:$I) - 1)</f>
        <v>0.21240000000000001</v>
      </c>
      <c r="S1865" s="23">
        <f>SUMIFS($P:$P, $Q:$Q, "&lt;" &amp; $Q1865)</f>
        <v>167763185</v>
      </c>
    </row>
    <row r="1866" spans="1:19" x14ac:dyDescent="0.25">
      <c r="A1866" s="1">
        <v>1861</v>
      </c>
      <c r="B1866" s="1" t="s">
        <v>2</v>
      </c>
      <c r="C1866" s="1" t="str">
        <f>IF($B1866 = "Production Item", _xlfn.XLOOKUP($A1866, 'Instrument Table'!$J:$J, 'Instrument Table'!$B:$B, $C1865), IF($B1866 = "Service Item", _xlfn.XLOOKUP($A1866, 'Instrument Table'!$I:$I, 'Instrument Table'!$B:$B, $C1865), _xlfn.XLOOKUP($A1866, 'Instrument Table'!$H:$H, 'Instrument Table'!$B:$B, $C1865)))</f>
        <v>Clarinet</v>
      </c>
      <c r="D1866" s="1" t="str">
        <f>VLOOKUP($C1866, 'Instrument Table'!$B:$C, 2, FALSE)</f>
        <v>Woodwinds</v>
      </c>
      <c r="E1866" s="1">
        <f t="shared" si="174"/>
        <v>1</v>
      </c>
      <c r="F1866" s="1">
        <f>_xlfn.XLOOKUP($C1866, 'Instrument Table'!$B:$B, 'Instrument Table'!$A:$A, "")</f>
        <v>30</v>
      </c>
      <c r="G1866" s="1" t="str">
        <f>TEXT(IF($B1866 = "Retail Item", IF((ROW($A1866) - 4504 - _xlfn.XMATCH($C1866, $C$4506:$C$5005, 0, 1)) &lt;= VLOOKUP($C1866, 'Instrument Table'!$B:$D, 3, FALSE), ROW($A1866) - 4504 - _xlfn.XMATCH($C1866, $C$4506:$C$5005, 0, 1), 0), 0), "00")</f>
        <v>00</v>
      </c>
      <c r="H1866" s="1" t="str">
        <f t="shared" si="175"/>
        <v>110</v>
      </c>
      <c r="I1866" s="1" t="str">
        <f t="shared" si="176"/>
        <v>13000-110</v>
      </c>
      <c r="J1866" s="1" t="str">
        <f t="shared" si="177"/>
        <v>Clarinet production item #110</v>
      </c>
      <c r="K1866" s="1" t="str">
        <f>IF(SUM(COUNTIFS(I:I, I1866)) &gt; 1, "DUPLICATE", "UNIQUE")</f>
        <v>UNIQUE</v>
      </c>
      <c r="L1866" s="18">
        <v>1</v>
      </c>
      <c r="M1866" s="28">
        <v>70</v>
      </c>
      <c r="N1866" s="6">
        <v>361</v>
      </c>
      <c r="O1866" s="30">
        <f t="shared" si="178"/>
        <v>70</v>
      </c>
      <c r="P1866" s="30">
        <f t="shared" si="179"/>
        <v>25270</v>
      </c>
      <c r="Q1866" s="1">
        <f>COUNTIFS($P:$P, "&gt;" &amp; $P1866) + 1</f>
        <v>817</v>
      </c>
      <c r="R1866" s="63">
        <f>(COUNTIFS($P:$P, "&gt;" &amp; $P1866) + 1) / (COUNTA($I:$I) - 1)</f>
        <v>0.16339999999999999</v>
      </c>
      <c r="S1866" s="23">
        <f>SUMIFS($P:$P, $Q:$Q, "&lt;" &amp; $Q1866)</f>
        <v>162262449</v>
      </c>
    </row>
    <row r="1867" spans="1:19" x14ac:dyDescent="0.25">
      <c r="A1867" s="1">
        <v>1862</v>
      </c>
      <c r="B1867" s="1" t="s">
        <v>2</v>
      </c>
      <c r="C1867" s="1" t="str">
        <f>IF($B1867 = "Production Item", _xlfn.XLOOKUP($A1867, 'Instrument Table'!$J:$J, 'Instrument Table'!$B:$B, $C1866), IF($B1867 = "Service Item", _xlfn.XLOOKUP($A1867, 'Instrument Table'!$I:$I, 'Instrument Table'!$B:$B, $C1866), _xlfn.XLOOKUP($A1867, 'Instrument Table'!$H:$H, 'Instrument Table'!$B:$B, $C1866)))</f>
        <v>Clarinet</v>
      </c>
      <c r="D1867" s="1" t="str">
        <f>VLOOKUP($C1867, 'Instrument Table'!$B:$C, 2, FALSE)</f>
        <v>Woodwinds</v>
      </c>
      <c r="E1867" s="1">
        <f t="shared" si="174"/>
        <v>1</v>
      </c>
      <c r="F1867" s="1">
        <f>_xlfn.XLOOKUP($C1867, 'Instrument Table'!$B:$B, 'Instrument Table'!$A:$A, "")</f>
        <v>30</v>
      </c>
      <c r="G1867" s="1" t="str">
        <f>TEXT(IF($B1867 = "Retail Item", IF((ROW($A1867) - 4504 - _xlfn.XMATCH($C1867, $C$4506:$C$5005, 0, 1)) &lt;= VLOOKUP($C1867, 'Instrument Table'!$B:$D, 3, FALSE), ROW($A1867) - 4504 - _xlfn.XMATCH($C1867, $C$4506:$C$5005, 0, 1), 0), 0), "00")</f>
        <v>00</v>
      </c>
      <c r="H1867" s="1" t="str">
        <f t="shared" si="175"/>
        <v>111</v>
      </c>
      <c r="I1867" s="1" t="str">
        <f t="shared" si="176"/>
        <v>13000-111</v>
      </c>
      <c r="J1867" s="1" t="str">
        <f t="shared" si="177"/>
        <v>Clarinet production item #111</v>
      </c>
      <c r="K1867" s="1" t="str">
        <f>IF(SUM(COUNTIFS(I:I, I1867)) &gt; 1, "DUPLICATE", "UNIQUE")</f>
        <v>UNIQUE</v>
      </c>
      <c r="L1867" s="18">
        <v>4</v>
      </c>
      <c r="M1867" s="28">
        <v>74</v>
      </c>
      <c r="N1867" s="6">
        <v>4</v>
      </c>
      <c r="O1867" s="30">
        <f t="shared" si="178"/>
        <v>296</v>
      </c>
      <c r="P1867" s="30">
        <f t="shared" si="179"/>
        <v>296</v>
      </c>
      <c r="Q1867" s="1">
        <f>COUNTIFS($P:$P, "&gt;" &amp; $P1867) + 1</f>
        <v>4223</v>
      </c>
      <c r="R1867" s="63">
        <f>(COUNTIFS($P:$P, "&gt;" &amp; $P1867) + 1) / (COUNTA($I:$I) - 1)</f>
        <v>0.84460000000000002</v>
      </c>
      <c r="S1867" s="23">
        <f>SUMIFS($P:$P, $Q:$Q, "&lt;" &amp; $Q1867)</f>
        <v>186487421</v>
      </c>
    </row>
    <row r="1868" spans="1:19" x14ac:dyDescent="0.25">
      <c r="A1868" s="1">
        <v>1863</v>
      </c>
      <c r="B1868" s="1" t="s">
        <v>2</v>
      </c>
      <c r="C1868" s="1" t="str">
        <f>IF($B1868 = "Production Item", _xlfn.XLOOKUP($A1868, 'Instrument Table'!$J:$J, 'Instrument Table'!$B:$B, $C1867), IF($B1868 = "Service Item", _xlfn.XLOOKUP($A1868, 'Instrument Table'!$I:$I, 'Instrument Table'!$B:$B, $C1867), _xlfn.XLOOKUP($A1868, 'Instrument Table'!$H:$H, 'Instrument Table'!$B:$B, $C1867)))</f>
        <v>Clarinet</v>
      </c>
      <c r="D1868" s="1" t="str">
        <f>VLOOKUP($C1868, 'Instrument Table'!$B:$C, 2, FALSE)</f>
        <v>Woodwinds</v>
      </c>
      <c r="E1868" s="1">
        <f t="shared" si="174"/>
        <v>1</v>
      </c>
      <c r="F1868" s="1">
        <f>_xlfn.XLOOKUP($C1868, 'Instrument Table'!$B:$B, 'Instrument Table'!$A:$A, "")</f>
        <v>30</v>
      </c>
      <c r="G1868" s="1" t="str">
        <f>TEXT(IF($B1868 = "Retail Item", IF((ROW($A1868) - 4504 - _xlfn.XMATCH($C1868, $C$4506:$C$5005, 0, 1)) &lt;= VLOOKUP($C1868, 'Instrument Table'!$B:$D, 3, FALSE), ROW($A1868) - 4504 - _xlfn.XMATCH($C1868, $C$4506:$C$5005, 0, 1), 0), 0), "00")</f>
        <v>00</v>
      </c>
      <c r="H1868" s="1" t="str">
        <f t="shared" si="175"/>
        <v>112</v>
      </c>
      <c r="I1868" s="1" t="str">
        <f t="shared" si="176"/>
        <v>13000-112</v>
      </c>
      <c r="J1868" s="1" t="str">
        <f t="shared" si="177"/>
        <v>Clarinet production item #112</v>
      </c>
      <c r="K1868" s="1" t="str">
        <f>IF(SUM(COUNTIFS(I:I, I1868)) &gt; 1, "DUPLICATE", "UNIQUE")</f>
        <v>UNIQUE</v>
      </c>
      <c r="L1868" s="18">
        <v>0</v>
      </c>
      <c r="M1868" s="28">
        <v>37</v>
      </c>
      <c r="N1868" s="6">
        <v>81</v>
      </c>
      <c r="O1868" s="30">
        <f t="shared" si="178"/>
        <v>0</v>
      </c>
      <c r="P1868" s="30">
        <f t="shared" si="179"/>
        <v>2997</v>
      </c>
      <c r="Q1868" s="1">
        <f>COUNTIFS($P:$P, "&gt;" &amp; $P1868) + 1</f>
        <v>2909</v>
      </c>
      <c r="R1868" s="63">
        <f>(COUNTIFS($P:$P, "&gt;" &amp; $P1868) + 1) / (COUNTA($I:$I) - 1)</f>
        <v>0.58179999999999998</v>
      </c>
      <c r="S1868" s="23">
        <f>SUMIFS($P:$P, $Q:$Q, "&lt;" &amp; $Q1868)</f>
        <v>184675418</v>
      </c>
    </row>
    <row r="1869" spans="1:19" x14ac:dyDescent="0.25">
      <c r="A1869" s="1">
        <v>1864</v>
      </c>
      <c r="B1869" s="1" t="s">
        <v>2</v>
      </c>
      <c r="C1869" s="1" t="str">
        <f>IF($B1869 = "Production Item", _xlfn.XLOOKUP($A1869, 'Instrument Table'!$J:$J, 'Instrument Table'!$B:$B, $C1868), IF($B1869 = "Service Item", _xlfn.XLOOKUP($A1869, 'Instrument Table'!$I:$I, 'Instrument Table'!$B:$B, $C1868), _xlfn.XLOOKUP($A1869, 'Instrument Table'!$H:$H, 'Instrument Table'!$B:$B, $C1868)))</f>
        <v>Clarinet</v>
      </c>
      <c r="D1869" s="1" t="str">
        <f>VLOOKUP($C1869, 'Instrument Table'!$B:$C, 2, FALSE)</f>
        <v>Woodwinds</v>
      </c>
      <c r="E1869" s="1">
        <f t="shared" si="174"/>
        <v>1</v>
      </c>
      <c r="F1869" s="1">
        <f>_xlfn.XLOOKUP($C1869, 'Instrument Table'!$B:$B, 'Instrument Table'!$A:$A, "")</f>
        <v>30</v>
      </c>
      <c r="G1869" s="1" t="str">
        <f>TEXT(IF($B1869 = "Retail Item", IF((ROW($A1869) - 4504 - _xlfn.XMATCH($C1869, $C$4506:$C$5005, 0, 1)) &lt;= VLOOKUP($C1869, 'Instrument Table'!$B:$D, 3, FALSE), ROW($A1869) - 4504 - _xlfn.XMATCH($C1869, $C$4506:$C$5005, 0, 1), 0), 0), "00")</f>
        <v>00</v>
      </c>
      <c r="H1869" s="1" t="str">
        <f t="shared" si="175"/>
        <v>113</v>
      </c>
      <c r="I1869" s="1" t="str">
        <f t="shared" si="176"/>
        <v>13000-113</v>
      </c>
      <c r="J1869" s="1" t="str">
        <f t="shared" si="177"/>
        <v>Clarinet production item #113</v>
      </c>
      <c r="K1869" s="1" t="str">
        <f>IF(SUM(COUNTIFS(I:I, I1869)) &gt; 1, "DUPLICATE", "UNIQUE")</f>
        <v>UNIQUE</v>
      </c>
      <c r="L1869" s="18">
        <v>1</v>
      </c>
      <c r="M1869" s="28">
        <v>42</v>
      </c>
      <c r="N1869" s="6">
        <v>121</v>
      </c>
      <c r="O1869" s="30">
        <f t="shared" si="178"/>
        <v>42</v>
      </c>
      <c r="P1869" s="30">
        <f t="shared" si="179"/>
        <v>5082</v>
      </c>
      <c r="Q1869" s="1">
        <f>COUNTIFS($P:$P, "&gt;" &amp; $P1869) + 1</f>
        <v>2432</v>
      </c>
      <c r="R1869" s="63">
        <f>(COUNTIFS($P:$P, "&gt;" &amp; $P1869) + 1) / (COUNTA($I:$I) - 1)</f>
        <v>0.4864</v>
      </c>
      <c r="S1869" s="23">
        <f>SUMIFS($P:$P, $Q:$Q, "&lt;" &amp; $Q1869)</f>
        <v>182781729</v>
      </c>
    </row>
    <row r="1870" spans="1:19" x14ac:dyDescent="0.25">
      <c r="A1870" s="1">
        <v>1865</v>
      </c>
      <c r="B1870" s="1" t="s">
        <v>2</v>
      </c>
      <c r="C1870" s="1" t="str">
        <f>IF($B1870 = "Production Item", _xlfn.XLOOKUP($A1870, 'Instrument Table'!$J:$J, 'Instrument Table'!$B:$B, $C1869), IF($B1870 = "Service Item", _xlfn.XLOOKUP($A1870, 'Instrument Table'!$I:$I, 'Instrument Table'!$B:$B, $C1869), _xlfn.XLOOKUP($A1870, 'Instrument Table'!$H:$H, 'Instrument Table'!$B:$B, $C1869)))</f>
        <v>Clarinet</v>
      </c>
      <c r="D1870" s="1" t="str">
        <f>VLOOKUP($C1870, 'Instrument Table'!$B:$C, 2, FALSE)</f>
        <v>Woodwinds</v>
      </c>
      <c r="E1870" s="1">
        <f t="shared" si="174"/>
        <v>1</v>
      </c>
      <c r="F1870" s="1">
        <f>_xlfn.XLOOKUP($C1870, 'Instrument Table'!$B:$B, 'Instrument Table'!$A:$A, "")</f>
        <v>30</v>
      </c>
      <c r="G1870" s="1" t="str">
        <f>TEXT(IF($B1870 = "Retail Item", IF((ROW($A1870) - 4504 - _xlfn.XMATCH($C1870, $C$4506:$C$5005, 0, 1)) &lt;= VLOOKUP($C1870, 'Instrument Table'!$B:$D, 3, FALSE), ROW($A1870) - 4504 - _xlfn.XMATCH($C1870, $C$4506:$C$5005, 0, 1), 0), 0), "00")</f>
        <v>00</v>
      </c>
      <c r="H1870" s="1" t="str">
        <f t="shared" si="175"/>
        <v>114</v>
      </c>
      <c r="I1870" s="1" t="str">
        <f t="shared" si="176"/>
        <v>13000-114</v>
      </c>
      <c r="J1870" s="1" t="str">
        <f t="shared" si="177"/>
        <v>Clarinet production item #114</v>
      </c>
      <c r="K1870" s="1" t="str">
        <f>IF(SUM(COUNTIFS(I:I, I1870)) &gt; 1, "DUPLICATE", "UNIQUE")</f>
        <v>UNIQUE</v>
      </c>
      <c r="L1870" s="18">
        <v>2</v>
      </c>
      <c r="M1870" s="28">
        <v>74</v>
      </c>
      <c r="N1870" s="6">
        <v>25</v>
      </c>
      <c r="O1870" s="30">
        <f t="shared" si="178"/>
        <v>148</v>
      </c>
      <c r="P1870" s="30">
        <f t="shared" si="179"/>
        <v>1850</v>
      </c>
      <c r="Q1870" s="1">
        <f>COUNTIFS($P:$P, "&gt;" &amp; $P1870) + 1</f>
        <v>3317</v>
      </c>
      <c r="R1870" s="63">
        <f>(COUNTIFS($P:$P, "&gt;" &amp; $P1870) + 1) / (COUNTA($I:$I) - 1)</f>
        <v>0.66339999999999999</v>
      </c>
      <c r="S1870" s="23">
        <f>SUMIFS($P:$P, $Q:$Q, "&lt;" &amp; $Q1870)</f>
        <v>185640897</v>
      </c>
    </row>
    <row r="1871" spans="1:19" x14ac:dyDescent="0.25">
      <c r="A1871" s="1">
        <v>1866</v>
      </c>
      <c r="B1871" s="1" t="s">
        <v>2</v>
      </c>
      <c r="C1871" s="1" t="str">
        <f>IF($B1871 = "Production Item", _xlfn.XLOOKUP($A1871, 'Instrument Table'!$J:$J, 'Instrument Table'!$B:$B, $C1870), IF($B1871 = "Service Item", _xlfn.XLOOKUP($A1871, 'Instrument Table'!$I:$I, 'Instrument Table'!$B:$B, $C1870), _xlfn.XLOOKUP($A1871, 'Instrument Table'!$H:$H, 'Instrument Table'!$B:$B, $C1870)))</f>
        <v>Clarinet</v>
      </c>
      <c r="D1871" s="1" t="str">
        <f>VLOOKUP($C1871, 'Instrument Table'!$B:$C, 2, FALSE)</f>
        <v>Woodwinds</v>
      </c>
      <c r="E1871" s="1">
        <f t="shared" si="174"/>
        <v>1</v>
      </c>
      <c r="F1871" s="1">
        <f>_xlfn.XLOOKUP($C1871, 'Instrument Table'!$B:$B, 'Instrument Table'!$A:$A, "")</f>
        <v>30</v>
      </c>
      <c r="G1871" s="1" t="str">
        <f>TEXT(IF($B1871 = "Retail Item", IF((ROW($A1871) - 4504 - _xlfn.XMATCH($C1871, $C$4506:$C$5005, 0, 1)) &lt;= VLOOKUP($C1871, 'Instrument Table'!$B:$D, 3, FALSE), ROW($A1871) - 4504 - _xlfn.XMATCH($C1871, $C$4506:$C$5005, 0, 1), 0), 0), "00")</f>
        <v>00</v>
      </c>
      <c r="H1871" s="1" t="str">
        <f t="shared" si="175"/>
        <v>115</v>
      </c>
      <c r="I1871" s="1" t="str">
        <f t="shared" si="176"/>
        <v>13000-115</v>
      </c>
      <c r="J1871" s="1" t="str">
        <f t="shared" si="177"/>
        <v>Clarinet production item #115</v>
      </c>
      <c r="K1871" s="1" t="str">
        <f>IF(SUM(COUNTIFS(I:I, I1871)) &gt; 1, "DUPLICATE", "UNIQUE")</f>
        <v>UNIQUE</v>
      </c>
      <c r="L1871" s="18">
        <v>8</v>
      </c>
      <c r="M1871" s="28">
        <v>48</v>
      </c>
      <c r="N1871" s="6">
        <v>81</v>
      </c>
      <c r="O1871" s="30">
        <f t="shared" si="178"/>
        <v>384</v>
      </c>
      <c r="P1871" s="30">
        <f t="shared" si="179"/>
        <v>3888</v>
      </c>
      <c r="Q1871" s="1">
        <f>COUNTIFS($P:$P, "&gt;" &amp; $P1871) + 1</f>
        <v>2679</v>
      </c>
      <c r="R1871" s="63">
        <f>(COUNTIFS($P:$P, "&gt;" &amp; $P1871) + 1) / (COUNTA($I:$I) - 1)</f>
        <v>0.53580000000000005</v>
      </c>
      <c r="S1871" s="23">
        <f>SUMIFS($P:$P, $Q:$Q, "&lt;" &amp; $Q1871)</f>
        <v>183885792</v>
      </c>
    </row>
    <row r="1872" spans="1:19" x14ac:dyDescent="0.25">
      <c r="A1872" s="1">
        <v>1867</v>
      </c>
      <c r="B1872" s="1" t="s">
        <v>2</v>
      </c>
      <c r="C1872" s="1" t="str">
        <f>IF($B1872 = "Production Item", _xlfn.XLOOKUP($A1872, 'Instrument Table'!$J:$J, 'Instrument Table'!$B:$B, $C1871), IF($B1872 = "Service Item", _xlfn.XLOOKUP($A1872, 'Instrument Table'!$I:$I, 'Instrument Table'!$B:$B, $C1871), _xlfn.XLOOKUP($A1872, 'Instrument Table'!$H:$H, 'Instrument Table'!$B:$B, $C1871)))</f>
        <v>Clarinet</v>
      </c>
      <c r="D1872" s="1" t="str">
        <f>VLOOKUP($C1872, 'Instrument Table'!$B:$C, 2, FALSE)</f>
        <v>Woodwinds</v>
      </c>
      <c r="E1872" s="1">
        <f t="shared" si="174"/>
        <v>1</v>
      </c>
      <c r="F1872" s="1">
        <f>_xlfn.XLOOKUP($C1872, 'Instrument Table'!$B:$B, 'Instrument Table'!$A:$A, "")</f>
        <v>30</v>
      </c>
      <c r="G1872" s="1" t="str">
        <f>TEXT(IF($B1872 = "Retail Item", IF((ROW($A1872) - 4504 - _xlfn.XMATCH($C1872, $C$4506:$C$5005, 0, 1)) &lt;= VLOOKUP($C1872, 'Instrument Table'!$B:$D, 3, FALSE), ROW($A1872) - 4504 - _xlfn.XMATCH($C1872, $C$4506:$C$5005, 0, 1), 0), 0), "00")</f>
        <v>00</v>
      </c>
      <c r="H1872" s="1" t="str">
        <f t="shared" si="175"/>
        <v>116</v>
      </c>
      <c r="I1872" s="1" t="str">
        <f t="shared" si="176"/>
        <v>13000-116</v>
      </c>
      <c r="J1872" s="1" t="str">
        <f t="shared" si="177"/>
        <v>Clarinet production item #116</v>
      </c>
      <c r="K1872" s="1" t="str">
        <f>IF(SUM(COUNTIFS(I:I, I1872)) &gt; 1, "DUPLICATE", "UNIQUE")</f>
        <v>UNIQUE</v>
      </c>
      <c r="L1872" s="18">
        <v>0</v>
      </c>
      <c r="M1872" s="28">
        <v>36</v>
      </c>
      <c r="N1872" s="6">
        <v>16</v>
      </c>
      <c r="O1872" s="30">
        <f t="shared" si="178"/>
        <v>0</v>
      </c>
      <c r="P1872" s="30">
        <f t="shared" si="179"/>
        <v>576</v>
      </c>
      <c r="Q1872" s="1">
        <f>COUNTIFS($P:$P, "&gt;" &amp; $P1872) + 1</f>
        <v>3957</v>
      </c>
      <c r="R1872" s="63">
        <f>(COUNTIFS($P:$P, "&gt;" &amp; $P1872) + 1) / (COUNTA($I:$I) - 1)</f>
        <v>0.79139999999999999</v>
      </c>
      <c r="S1872" s="23">
        <f>SUMIFS($P:$P, $Q:$Q, "&lt;" &amp; $Q1872)</f>
        <v>186374368</v>
      </c>
    </row>
    <row r="1873" spans="1:19" x14ac:dyDescent="0.25">
      <c r="A1873" s="1">
        <v>1868</v>
      </c>
      <c r="B1873" s="1" t="s">
        <v>2</v>
      </c>
      <c r="C1873" s="1" t="str">
        <f>IF($B1873 = "Production Item", _xlfn.XLOOKUP($A1873, 'Instrument Table'!$J:$J, 'Instrument Table'!$B:$B, $C1872), IF($B1873 = "Service Item", _xlfn.XLOOKUP($A1873, 'Instrument Table'!$I:$I, 'Instrument Table'!$B:$B, $C1872), _xlfn.XLOOKUP($A1873, 'Instrument Table'!$H:$H, 'Instrument Table'!$B:$B, $C1872)))</f>
        <v>Clarinet</v>
      </c>
      <c r="D1873" s="1" t="str">
        <f>VLOOKUP($C1873, 'Instrument Table'!$B:$C, 2, FALSE)</f>
        <v>Woodwinds</v>
      </c>
      <c r="E1873" s="1">
        <f t="shared" si="174"/>
        <v>1</v>
      </c>
      <c r="F1873" s="1">
        <f>_xlfn.XLOOKUP($C1873, 'Instrument Table'!$B:$B, 'Instrument Table'!$A:$A, "")</f>
        <v>30</v>
      </c>
      <c r="G1873" s="1" t="str">
        <f>TEXT(IF($B1873 = "Retail Item", IF((ROW($A1873) - 4504 - _xlfn.XMATCH($C1873, $C$4506:$C$5005, 0, 1)) &lt;= VLOOKUP($C1873, 'Instrument Table'!$B:$D, 3, FALSE), ROW($A1873) - 4504 - _xlfn.XMATCH($C1873, $C$4506:$C$5005, 0, 1), 0), 0), "00")</f>
        <v>00</v>
      </c>
      <c r="H1873" s="1" t="str">
        <f t="shared" si="175"/>
        <v>117</v>
      </c>
      <c r="I1873" s="1" t="str">
        <f t="shared" si="176"/>
        <v>13000-117</v>
      </c>
      <c r="J1873" s="1" t="str">
        <f t="shared" si="177"/>
        <v>Clarinet production item #117</v>
      </c>
      <c r="K1873" s="1" t="str">
        <f>IF(SUM(COUNTIFS(I:I, I1873)) &gt; 1, "DUPLICATE", "UNIQUE")</f>
        <v>UNIQUE</v>
      </c>
      <c r="L1873" s="18">
        <v>0</v>
      </c>
      <c r="M1873" s="28">
        <v>1</v>
      </c>
      <c r="N1873" s="6">
        <v>9</v>
      </c>
      <c r="O1873" s="30">
        <f t="shared" si="178"/>
        <v>0</v>
      </c>
      <c r="P1873" s="30">
        <f t="shared" si="179"/>
        <v>9</v>
      </c>
      <c r="Q1873" s="1">
        <f>COUNTIFS($P:$P, "&gt;" &amp; $P1873) + 1</f>
        <v>4723</v>
      </c>
      <c r="R1873" s="63">
        <f>(COUNTIFS($P:$P, "&gt;" &amp; $P1873) + 1) / (COUNTA($I:$I) - 1)</f>
        <v>0.9446</v>
      </c>
      <c r="S1873" s="23">
        <f>SUMIFS($P:$P, $Q:$Q, "&lt;" &amp; $Q1873)</f>
        <v>186547723</v>
      </c>
    </row>
    <row r="1874" spans="1:19" x14ac:dyDescent="0.25">
      <c r="A1874" s="1">
        <v>1869</v>
      </c>
      <c r="B1874" s="1" t="s">
        <v>2</v>
      </c>
      <c r="C1874" s="1" t="str">
        <f>IF($B1874 = "Production Item", _xlfn.XLOOKUP($A1874, 'Instrument Table'!$J:$J, 'Instrument Table'!$B:$B, $C1873), IF($B1874 = "Service Item", _xlfn.XLOOKUP($A1874, 'Instrument Table'!$I:$I, 'Instrument Table'!$B:$B, $C1873), _xlfn.XLOOKUP($A1874, 'Instrument Table'!$H:$H, 'Instrument Table'!$B:$B, $C1873)))</f>
        <v>Clarinet</v>
      </c>
      <c r="D1874" s="1" t="str">
        <f>VLOOKUP($C1874, 'Instrument Table'!$B:$C, 2, FALSE)</f>
        <v>Woodwinds</v>
      </c>
      <c r="E1874" s="1">
        <f t="shared" si="174"/>
        <v>1</v>
      </c>
      <c r="F1874" s="1">
        <f>_xlfn.XLOOKUP($C1874, 'Instrument Table'!$B:$B, 'Instrument Table'!$A:$A, "")</f>
        <v>30</v>
      </c>
      <c r="G1874" s="1" t="str">
        <f>TEXT(IF($B1874 = "Retail Item", IF((ROW($A1874) - 4504 - _xlfn.XMATCH($C1874, $C$4506:$C$5005, 0, 1)) &lt;= VLOOKUP($C1874, 'Instrument Table'!$B:$D, 3, FALSE), ROW($A1874) - 4504 - _xlfn.XMATCH($C1874, $C$4506:$C$5005, 0, 1), 0), 0), "00")</f>
        <v>00</v>
      </c>
      <c r="H1874" s="1" t="str">
        <f t="shared" si="175"/>
        <v>118</v>
      </c>
      <c r="I1874" s="1" t="str">
        <f t="shared" si="176"/>
        <v>13000-118</v>
      </c>
      <c r="J1874" s="1" t="str">
        <f t="shared" si="177"/>
        <v>Clarinet production item #118</v>
      </c>
      <c r="K1874" s="1" t="str">
        <f>IF(SUM(COUNTIFS(I:I, I1874)) &gt; 1, "DUPLICATE", "UNIQUE")</f>
        <v>UNIQUE</v>
      </c>
      <c r="L1874" s="18">
        <v>0</v>
      </c>
      <c r="M1874" s="28">
        <v>87</v>
      </c>
      <c r="N1874" s="6">
        <v>289</v>
      </c>
      <c r="O1874" s="30">
        <f t="shared" si="178"/>
        <v>0</v>
      </c>
      <c r="P1874" s="30">
        <f t="shared" si="179"/>
        <v>25143</v>
      </c>
      <c r="Q1874" s="1">
        <f>COUNTIFS($P:$P, "&gt;" &amp; $P1874) + 1</f>
        <v>822</v>
      </c>
      <c r="R1874" s="63">
        <f>(COUNTIFS($P:$P, "&gt;" &amp; $P1874) + 1) / (COUNTA($I:$I) - 1)</f>
        <v>0.16439999999999999</v>
      </c>
      <c r="S1874" s="23">
        <f>SUMIFS($P:$P, $Q:$Q, "&lt;" &amp; $Q1874)</f>
        <v>162388580</v>
      </c>
    </row>
    <row r="1875" spans="1:19" x14ac:dyDescent="0.25">
      <c r="A1875" s="1">
        <v>1870</v>
      </c>
      <c r="B1875" s="1" t="s">
        <v>2</v>
      </c>
      <c r="C1875" s="1" t="str">
        <f>IF($B1875 = "Production Item", _xlfn.XLOOKUP($A1875, 'Instrument Table'!$J:$J, 'Instrument Table'!$B:$B, $C1874), IF($B1875 = "Service Item", _xlfn.XLOOKUP($A1875, 'Instrument Table'!$I:$I, 'Instrument Table'!$B:$B, $C1874), _xlfn.XLOOKUP($A1875, 'Instrument Table'!$H:$H, 'Instrument Table'!$B:$B, $C1874)))</f>
        <v>Clarinet</v>
      </c>
      <c r="D1875" s="1" t="str">
        <f>VLOOKUP($C1875, 'Instrument Table'!$B:$C, 2, FALSE)</f>
        <v>Woodwinds</v>
      </c>
      <c r="E1875" s="1">
        <f t="shared" si="174"/>
        <v>1</v>
      </c>
      <c r="F1875" s="1">
        <f>_xlfn.XLOOKUP($C1875, 'Instrument Table'!$B:$B, 'Instrument Table'!$A:$A, "")</f>
        <v>30</v>
      </c>
      <c r="G1875" s="1" t="str">
        <f>TEXT(IF($B1875 = "Retail Item", IF((ROW($A1875) - 4504 - _xlfn.XMATCH($C1875, $C$4506:$C$5005, 0, 1)) &lt;= VLOOKUP($C1875, 'Instrument Table'!$B:$D, 3, FALSE), ROW($A1875) - 4504 - _xlfn.XMATCH($C1875, $C$4506:$C$5005, 0, 1), 0), 0), "00")</f>
        <v>00</v>
      </c>
      <c r="H1875" s="1" t="str">
        <f t="shared" si="175"/>
        <v>119</v>
      </c>
      <c r="I1875" s="1" t="str">
        <f t="shared" si="176"/>
        <v>13000-119</v>
      </c>
      <c r="J1875" s="1" t="str">
        <f t="shared" si="177"/>
        <v>Clarinet production item #119</v>
      </c>
      <c r="K1875" s="1" t="str">
        <f>IF(SUM(COUNTIFS(I:I, I1875)) &gt; 1, "DUPLICATE", "UNIQUE")</f>
        <v>UNIQUE</v>
      </c>
      <c r="L1875" s="18">
        <v>16</v>
      </c>
      <c r="M1875" s="28">
        <v>86</v>
      </c>
      <c r="N1875" s="6">
        <v>361</v>
      </c>
      <c r="O1875" s="30">
        <f t="shared" si="178"/>
        <v>1376</v>
      </c>
      <c r="P1875" s="30">
        <f t="shared" si="179"/>
        <v>31046</v>
      </c>
      <c r="Q1875" s="1">
        <f>COUNTIFS($P:$P, "&gt;" &amp; $P1875) + 1</f>
        <v>671</v>
      </c>
      <c r="R1875" s="63">
        <f>(COUNTIFS($P:$P, "&gt;" &amp; $P1875) + 1) / (COUNTA($I:$I) - 1)</f>
        <v>0.13420000000000001</v>
      </c>
      <c r="S1875" s="23">
        <f>SUMIFS($P:$P, $Q:$Q, "&lt;" &amp; $Q1875)</f>
        <v>158207335</v>
      </c>
    </row>
    <row r="1876" spans="1:19" x14ac:dyDescent="0.25">
      <c r="A1876" s="1">
        <v>1871</v>
      </c>
      <c r="B1876" s="1" t="s">
        <v>2</v>
      </c>
      <c r="C1876" s="1" t="str">
        <f>IF($B1876 = "Production Item", _xlfn.XLOOKUP($A1876, 'Instrument Table'!$J:$J, 'Instrument Table'!$B:$B, $C1875), IF($B1876 = "Service Item", _xlfn.XLOOKUP($A1876, 'Instrument Table'!$I:$I, 'Instrument Table'!$B:$B, $C1875), _xlfn.XLOOKUP($A1876, 'Instrument Table'!$H:$H, 'Instrument Table'!$B:$B, $C1875)))</f>
        <v>Clarinet</v>
      </c>
      <c r="D1876" s="1" t="str">
        <f>VLOOKUP($C1876, 'Instrument Table'!$B:$C, 2, FALSE)</f>
        <v>Woodwinds</v>
      </c>
      <c r="E1876" s="1">
        <f t="shared" si="174"/>
        <v>1</v>
      </c>
      <c r="F1876" s="1">
        <f>_xlfn.XLOOKUP($C1876, 'Instrument Table'!$B:$B, 'Instrument Table'!$A:$A, "")</f>
        <v>30</v>
      </c>
      <c r="G1876" s="1" t="str">
        <f>TEXT(IF($B1876 = "Retail Item", IF((ROW($A1876) - 4504 - _xlfn.XMATCH($C1876, $C$4506:$C$5005, 0, 1)) &lt;= VLOOKUP($C1876, 'Instrument Table'!$B:$D, 3, FALSE), ROW($A1876) - 4504 - _xlfn.XMATCH($C1876, $C$4506:$C$5005, 0, 1), 0), 0), "00")</f>
        <v>00</v>
      </c>
      <c r="H1876" s="1" t="str">
        <f t="shared" si="175"/>
        <v>120</v>
      </c>
      <c r="I1876" s="1" t="str">
        <f t="shared" si="176"/>
        <v>13000-120</v>
      </c>
      <c r="J1876" s="1" t="str">
        <f t="shared" si="177"/>
        <v>Clarinet production item #120</v>
      </c>
      <c r="K1876" s="1" t="str">
        <f>IF(SUM(COUNTIFS(I:I, I1876)) &gt; 1, "DUPLICATE", "UNIQUE")</f>
        <v>UNIQUE</v>
      </c>
      <c r="L1876" s="18">
        <v>8</v>
      </c>
      <c r="M1876" s="28">
        <v>18</v>
      </c>
      <c r="N1876" s="6">
        <v>196</v>
      </c>
      <c r="O1876" s="30">
        <f t="shared" si="178"/>
        <v>144</v>
      </c>
      <c r="P1876" s="30">
        <f t="shared" si="179"/>
        <v>3528</v>
      </c>
      <c r="Q1876" s="1">
        <f>COUNTIFS($P:$P, "&gt;" &amp; $P1876) + 1</f>
        <v>2761</v>
      </c>
      <c r="R1876" s="63">
        <f>(COUNTIFS($P:$P, "&gt;" &amp; $P1876) + 1) / (COUNTA($I:$I) - 1)</f>
        <v>0.55220000000000002</v>
      </c>
      <c r="S1876" s="23">
        <f>SUMIFS($P:$P, $Q:$Q, "&lt;" &amp; $Q1876)</f>
        <v>184189975</v>
      </c>
    </row>
    <row r="1877" spans="1:19" x14ac:dyDescent="0.25">
      <c r="A1877" s="1">
        <v>1872</v>
      </c>
      <c r="B1877" s="1" t="s">
        <v>2</v>
      </c>
      <c r="C1877" s="1" t="str">
        <f>IF($B1877 = "Production Item", _xlfn.XLOOKUP($A1877, 'Instrument Table'!$J:$J, 'Instrument Table'!$B:$B, $C1876), IF($B1877 = "Service Item", _xlfn.XLOOKUP($A1877, 'Instrument Table'!$I:$I, 'Instrument Table'!$B:$B, $C1876), _xlfn.XLOOKUP($A1877, 'Instrument Table'!$H:$H, 'Instrument Table'!$B:$B, $C1876)))</f>
        <v>Clarinet</v>
      </c>
      <c r="D1877" s="1" t="str">
        <f>VLOOKUP($C1877, 'Instrument Table'!$B:$C, 2, FALSE)</f>
        <v>Woodwinds</v>
      </c>
      <c r="E1877" s="1">
        <f t="shared" si="174"/>
        <v>1</v>
      </c>
      <c r="F1877" s="1">
        <f>_xlfn.XLOOKUP($C1877, 'Instrument Table'!$B:$B, 'Instrument Table'!$A:$A, "")</f>
        <v>30</v>
      </c>
      <c r="G1877" s="1" t="str">
        <f>TEXT(IF($B1877 = "Retail Item", IF((ROW($A1877) - 4504 - _xlfn.XMATCH($C1877, $C$4506:$C$5005, 0, 1)) &lt;= VLOOKUP($C1877, 'Instrument Table'!$B:$D, 3, FALSE), ROW($A1877) - 4504 - _xlfn.XMATCH($C1877, $C$4506:$C$5005, 0, 1), 0), 0), "00")</f>
        <v>00</v>
      </c>
      <c r="H1877" s="1" t="str">
        <f t="shared" si="175"/>
        <v>121</v>
      </c>
      <c r="I1877" s="1" t="str">
        <f t="shared" si="176"/>
        <v>13000-121</v>
      </c>
      <c r="J1877" s="1" t="str">
        <f t="shared" si="177"/>
        <v>Clarinet production item #121</v>
      </c>
      <c r="K1877" s="1" t="str">
        <f>IF(SUM(COUNTIFS(I:I, I1877)) &gt; 1, "DUPLICATE", "UNIQUE")</f>
        <v>UNIQUE</v>
      </c>
      <c r="L1877" s="18">
        <v>1</v>
      </c>
      <c r="M1877" s="28">
        <v>92</v>
      </c>
      <c r="N1877" s="6">
        <v>289</v>
      </c>
      <c r="O1877" s="30">
        <f t="shared" si="178"/>
        <v>92</v>
      </c>
      <c r="P1877" s="30">
        <f t="shared" si="179"/>
        <v>26588</v>
      </c>
      <c r="Q1877" s="1">
        <f>COUNTIFS($P:$P, "&gt;" &amp; $P1877) + 1</f>
        <v>769</v>
      </c>
      <c r="R1877" s="63">
        <f>(COUNTIFS($P:$P, "&gt;" &amp; $P1877) + 1) / (COUNTA($I:$I) - 1)</f>
        <v>0.15379999999999999</v>
      </c>
      <c r="S1877" s="23">
        <f>SUMIFS($P:$P, $Q:$Q, "&lt;" &amp; $Q1877)</f>
        <v>161016574</v>
      </c>
    </row>
    <row r="1878" spans="1:19" x14ac:dyDescent="0.25">
      <c r="A1878" s="1">
        <v>1873</v>
      </c>
      <c r="B1878" s="1" t="s">
        <v>2</v>
      </c>
      <c r="C1878" s="1" t="str">
        <f>IF($B1878 = "Production Item", _xlfn.XLOOKUP($A1878, 'Instrument Table'!$J:$J, 'Instrument Table'!$B:$B, $C1877), IF($B1878 = "Service Item", _xlfn.XLOOKUP($A1878, 'Instrument Table'!$I:$I, 'Instrument Table'!$B:$B, $C1877), _xlfn.XLOOKUP($A1878, 'Instrument Table'!$H:$H, 'Instrument Table'!$B:$B, $C1877)))</f>
        <v>Clarinet</v>
      </c>
      <c r="D1878" s="1" t="str">
        <f>VLOOKUP($C1878, 'Instrument Table'!$B:$C, 2, FALSE)</f>
        <v>Woodwinds</v>
      </c>
      <c r="E1878" s="1">
        <f t="shared" si="174"/>
        <v>1</v>
      </c>
      <c r="F1878" s="1">
        <f>_xlfn.XLOOKUP($C1878, 'Instrument Table'!$B:$B, 'Instrument Table'!$A:$A, "")</f>
        <v>30</v>
      </c>
      <c r="G1878" s="1" t="str">
        <f>TEXT(IF($B1878 = "Retail Item", IF((ROW($A1878) - 4504 - _xlfn.XMATCH($C1878, $C$4506:$C$5005, 0, 1)) &lt;= VLOOKUP($C1878, 'Instrument Table'!$B:$D, 3, FALSE), ROW($A1878) - 4504 - _xlfn.XMATCH($C1878, $C$4506:$C$5005, 0, 1), 0), 0), "00")</f>
        <v>00</v>
      </c>
      <c r="H1878" s="1" t="str">
        <f t="shared" si="175"/>
        <v>122</v>
      </c>
      <c r="I1878" s="1" t="str">
        <f t="shared" si="176"/>
        <v>13000-122</v>
      </c>
      <c r="J1878" s="1" t="str">
        <f t="shared" si="177"/>
        <v>Clarinet production item #122</v>
      </c>
      <c r="K1878" s="1" t="str">
        <f>IF(SUM(COUNTIFS(I:I, I1878)) &gt; 1, "DUPLICATE", "UNIQUE")</f>
        <v>UNIQUE</v>
      </c>
      <c r="L1878" s="18">
        <v>8</v>
      </c>
      <c r="M1878" s="28">
        <v>55</v>
      </c>
      <c r="N1878" s="6">
        <v>25</v>
      </c>
      <c r="O1878" s="30">
        <f t="shared" si="178"/>
        <v>440</v>
      </c>
      <c r="P1878" s="30">
        <f t="shared" si="179"/>
        <v>1375</v>
      </c>
      <c r="Q1878" s="1">
        <f>COUNTIFS($P:$P, "&gt;" &amp; $P1878) + 1</f>
        <v>3521</v>
      </c>
      <c r="R1878" s="63">
        <f>(COUNTIFS($P:$P, "&gt;" &amp; $P1878) + 1) / (COUNTA($I:$I) - 1)</f>
        <v>0.70420000000000005</v>
      </c>
      <c r="S1878" s="23">
        <f>SUMIFS($P:$P, $Q:$Q, "&lt;" &amp; $Q1878)</f>
        <v>185966843</v>
      </c>
    </row>
    <row r="1879" spans="1:19" x14ac:dyDescent="0.25">
      <c r="A1879" s="1">
        <v>1874</v>
      </c>
      <c r="B1879" s="1" t="s">
        <v>2</v>
      </c>
      <c r="C1879" s="1" t="str">
        <f>IF($B1879 = "Production Item", _xlfn.XLOOKUP($A1879, 'Instrument Table'!$J:$J, 'Instrument Table'!$B:$B, $C1878), IF($B1879 = "Service Item", _xlfn.XLOOKUP($A1879, 'Instrument Table'!$I:$I, 'Instrument Table'!$B:$B, $C1878), _xlfn.XLOOKUP($A1879, 'Instrument Table'!$H:$H, 'Instrument Table'!$B:$B, $C1878)))</f>
        <v>Clarinet</v>
      </c>
      <c r="D1879" s="1" t="str">
        <f>VLOOKUP($C1879, 'Instrument Table'!$B:$C, 2, FALSE)</f>
        <v>Woodwinds</v>
      </c>
      <c r="E1879" s="1">
        <f t="shared" si="174"/>
        <v>1</v>
      </c>
      <c r="F1879" s="1">
        <f>_xlfn.XLOOKUP($C1879, 'Instrument Table'!$B:$B, 'Instrument Table'!$A:$A, "")</f>
        <v>30</v>
      </c>
      <c r="G1879" s="1" t="str">
        <f>TEXT(IF($B1879 = "Retail Item", IF((ROW($A1879) - 4504 - _xlfn.XMATCH($C1879, $C$4506:$C$5005, 0, 1)) &lt;= VLOOKUP($C1879, 'Instrument Table'!$B:$D, 3, FALSE), ROW($A1879) - 4504 - _xlfn.XMATCH($C1879, $C$4506:$C$5005, 0, 1), 0), 0), "00")</f>
        <v>00</v>
      </c>
      <c r="H1879" s="1" t="str">
        <f t="shared" si="175"/>
        <v>123</v>
      </c>
      <c r="I1879" s="1" t="str">
        <f t="shared" si="176"/>
        <v>13000-123</v>
      </c>
      <c r="J1879" s="1" t="str">
        <f t="shared" si="177"/>
        <v>Clarinet production item #123</v>
      </c>
      <c r="K1879" s="1" t="str">
        <f>IF(SUM(COUNTIFS(I:I, I1879)) &gt; 1, "DUPLICATE", "UNIQUE")</f>
        <v>UNIQUE</v>
      </c>
      <c r="L1879" s="18">
        <v>32</v>
      </c>
      <c r="M1879" s="28">
        <v>18</v>
      </c>
      <c r="N1879" s="6">
        <v>169</v>
      </c>
      <c r="O1879" s="30">
        <f t="shared" si="178"/>
        <v>576</v>
      </c>
      <c r="P1879" s="30">
        <f t="shared" si="179"/>
        <v>3042</v>
      </c>
      <c r="Q1879" s="1">
        <f>COUNTIFS($P:$P, "&gt;" &amp; $P1879) + 1</f>
        <v>2893</v>
      </c>
      <c r="R1879" s="63">
        <f>(COUNTIFS($P:$P, "&gt;" &amp; $P1879) + 1) / (COUNTA($I:$I) - 1)</f>
        <v>0.5786</v>
      </c>
      <c r="S1879" s="23">
        <f>SUMIFS($P:$P, $Q:$Q, "&lt;" &amp; $Q1879)</f>
        <v>184626973</v>
      </c>
    </row>
    <row r="1880" spans="1:19" x14ac:dyDescent="0.25">
      <c r="A1880" s="1">
        <v>1875</v>
      </c>
      <c r="B1880" s="1" t="s">
        <v>2</v>
      </c>
      <c r="C1880" s="1" t="str">
        <f>IF($B1880 = "Production Item", _xlfn.XLOOKUP($A1880, 'Instrument Table'!$J:$J, 'Instrument Table'!$B:$B, $C1879), IF($B1880 = "Service Item", _xlfn.XLOOKUP($A1880, 'Instrument Table'!$I:$I, 'Instrument Table'!$B:$B, $C1879), _xlfn.XLOOKUP($A1880, 'Instrument Table'!$H:$H, 'Instrument Table'!$B:$B, $C1879)))</f>
        <v>Clarinet</v>
      </c>
      <c r="D1880" s="1" t="str">
        <f>VLOOKUP($C1880, 'Instrument Table'!$B:$C, 2, FALSE)</f>
        <v>Woodwinds</v>
      </c>
      <c r="E1880" s="1">
        <f t="shared" si="174"/>
        <v>1</v>
      </c>
      <c r="F1880" s="1">
        <f>_xlfn.XLOOKUP($C1880, 'Instrument Table'!$B:$B, 'Instrument Table'!$A:$A, "")</f>
        <v>30</v>
      </c>
      <c r="G1880" s="1" t="str">
        <f>TEXT(IF($B1880 = "Retail Item", IF((ROW($A1880) - 4504 - _xlfn.XMATCH($C1880, $C$4506:$C$5005, 0, 1)) &lt;= VLOOKUP($C1880, 'Instrument Table'!$B:$D, 3, FALSE), ROW($A1880) - 4504 - _xlfn.XMATCH($C1880, $C$4506:$C$5005, 0, 1), 0), 0), "00")</f>
        <v>00</v>
      </c>
      <c r="H1880" s="1" t="str">
        <f t="shared" si="175"/>
        <v>124</v>
      </c>
      <c r="I1880" s="1" t="str">
        <f t="shared" si="176"/>
        <v>13000-124</v>
      </c>
      <c r="J1880" s="1" t="str">
        <f t="shared" si="177"/>
        <v>Clarinet production item #124</v>
      </c>
      <c r="K1880" s="1" t="str">
        <f>IF(SUM(COUNTIFS(I:I, I1880)) &gt; 1, "DUPLICATE", "UNIQUE")</f>
        <v>UNIQUE</v>
      </c>
      <c r="L1880" s="18">
        <v>4</v>
      </c>
      <c r="M1880" s="28">
        <v>73</v>
      </c>
      <c r="N1880" s="6">
        <v>0</v>
      </c>
      <c r="O1880" s="30">
        <f t="shared" si="178"/>
        <v>292</v>
      </c>
      <c r="P1880" s="30">
        <f t="shared" si="179"/>
        <v>0</v>
      </c>
      <c r="Q1880" s="1">
        <f>COUNTIFS($P:$P, "&gt;" &amp; $P1880) + 1</f>
        <v>4746</v>
      </c>
      <c r="R1880" s="63">
        <f>(COUNTIFS($P:$P, "&gt;" &amp; $P1880) + 1) / (COUNTA($I:$I) - 1)</f>
        <v>0.94920000000000004</v>
      </c>
      <c r="S1880" s="23">
        <f>SUMIFS($P:$P, $Q:$Q, "&lt;" &amp; $Q1880)</f>
        <v>186547861</v>
      </c>
    </row>
    <row r="1881" spans="1:19" x14ac:dyDescent="0.25">
      <c r="A1881" s="1">
        <v>1876</v>
      </c>
      <c r="B1881" s="1" t="s">
        <v>2</v>
      </c>
      <c r="C1881" s="1" t="str">
        <f>IF($B1881 = "Production Item", _xlfn.XLOOKUP($A1881, 'Instrument Table'!$J:$J, 'Instrument Table'!$B:$B, $C1880), IF($B1881 = "Service Item", _xlfn.XLOOKUP($A1881, 'Instrument Table'!$I:$I, 'Instrument Table'!$B:$B, $C1880), _xlfn.XLOOKUP($A1881, 'Instrument Table'!$H:$H, 'Instrument Table'!$B:$B, $C1880)))</f>
        <v>Clarinet</v>
      </c>
      <c r="D1881" s="1" t="str">
        <f>VLOOKUP($C1881, 'Instrument Table'!$B:$C, 2, FALSE)</f>
        <v>Woodwinds</v>
      </c>
      <c r="E1881" s="1">
        <f t="shared" si="174"/>
        <v>1</v>
      </c>
      <c r="F1881" s="1">
        <f>_xlfn.XLOOKUP($C1881, 'Instrument Table'!$B:$B, 'Instrument Table'!$A:$A, "")</f>
        <v>30</v>
      </c>
      <c r="G1881" s="1" t="str">
        <f>TEXT(IF($B1881 = "Retail Item", IF((ROW($A1881) - 4504 - _xlfn.XMATCH($C1881, $C$4506:$C$5005, 0, 1)) &lt;= VLOOKUP($C1881, 'Instrument Table'!$B:$D, 3, FALSE), ROW($A1881) - 4504 - _xlfn.XMATCH($C1881, $C$4506:$C$5005, 0, 1), 0), 0), "00")</f>
        <v>00</v>
      </c>
      <c r="H1881" s="1" t="str">
        <f t="shared" si="175"/>
        <v>125</v>
      </c>
      <c r="I1881" s="1" t="str">
        <f t="shared" si="176"/>
        <v>13000-125</v>
      </c>
      <c r="J1881" s="1" t="str">
        <f t="shared" si="177"/>
        <v>Clarinet production item #125</v>
      </c>
      <c r="K1881" s="1" t="str">
        <f>IF(SUM(COUNTIFS(I:I, I1881)) &gt; 1, "DUPLICATE", "UNIQUE")</f>
        <v>UNIQUE</v>
      </c>
      <c r="L1881" s="18">
        <v>0</v>
      </c>
      <c r="M1881" s="28">
        <v>18</v>
      </c>
      <c r="N1881" s="6">
        <v>121</v>
      </c>
      <c r="O1881" s="30">
        <f t="shared" si="178"/>
        <v>0</v>
      </c>
      <c r="P1881" s="30">
        <f t="shared" si="179"/>
        <v>2178</v>
      </c>
      <c r="Q1881" s="1">
        <f>COUNTIFS($P:$P, "&gt;" &amp; $P1881) + 1</f>
        <v>3176</v>
      </c>
      <c r="R1881" s="63">
        <f>(COUNTIFS($P:$P, "&gt;" &amp; $P1881) + 1) / (COUNTA($I:$I) - 1)</f>
        <v>0.63519999999999999</v>
      </c>
      <c r="S1881" s="23">
        <f>SUMIFS($P:$P, $Q:$Q, "&lt;" &amp; $Q1881)</f>
        <v>185356182</v>
      </c>
    </row>
    <row r="1882" spans="1:19" x14ac:dyDescent="0.25">
      <c r="A1882" s="1">
        <v>1877</v>
      </c>
      <c r="B1882" s="1" t="s">
        <v>2</v>
      </c>
      <c r="C1882" s="1" t="str">
        <f>IF($B1882 = "Production Item", _xlfn.XLOOKUP($A1882, 'Instrument Table'!$J:$J, 'Instrument Table'!$B:$B, $C1881), IF($B1882 = "Service Item", _xlfn.XLOOKUP($A1882, 'Instrument Table'!$I:$I, 'Instrument Table'!$B:$B, $C1881), _xlfn.XLOOKUP($A1882, 'Instrument Table'!$H:$H, 'Instrument Table'!$B:$B, $C1881)))</f>
        <v>Clarinet</v>
      </c>
      <c r="D1882" s="1" t="str">
        <f>VLOOKUP($C1882, 'Instrument Table'!$B:$C, 2, FALSE)</f>
        <v>Woodwinds</v>
      </c>
      <c r="E1882" s="1">
        <f t="shared" si="174"/>
        <v>1</v>
      </c>
      <c r="F1882" s="1">
        <f>_xlfn.XLOOKUP($C1882, 'Instrument Table'!$B:$B, 'Instrument Table'!$A:$A, "")</f>
        <v>30</v>
      </c>
      <c r="G1882" s="1" t="str">
        <f>TEXT(IF($B1882 = "Retail Item", IF((ROW($A1882) - 4504 - _xlfn.XMATCH($C1882, $C$4506:$C$5005, 0, 1)) &lt;= VLOOKUP($C1882, 'Instrument Table'!$B:$D, 3, FALSE), ROW($A1882) - 4504 - _xlfn.XMATCH($C1882, $C$4506:$C$5005, 0, 1), 0), 0), "00")</f>
        <v>00</v>
      </c>
      <c r="H1882" s="1" t="str">
        <f t="shared" si="175"/>
        <v>126</v>
      </c>
      <c r="I1882" s="1" t="str">
        <f t="shared" si="176"/>
        <v>13000-126</v>
      </c>
      <c r="J1882" s="1" t="str">
        <f t="shared" si="177"/>
        <v>Clarinet production item #126</v>
      </c>
      <c r="K1882" s="1" t="str">
        <f>IF(SUM(COUNTIFS(I:I, I1882)) &gt; 1, "DUPLICATE", "UNIQUE")</f>
        <v>UNIQUE</v>
      </c>
      <c r="L1882" s="18">
        <v>1</v>
      </c>
      <c r="M1882" s="28">
        <v>86</v>
      </c>
      <c r="N1882" s="6">
        <v>289</v>
      </c>
      <c r="O1882" s="30">
        <f t="shared" si="178"/>
        <v>86</v>
      </c>
      <c r="P1882" s="30">
        <f t="shared" si="179"/>
        <v>24854</v>
      </c>
      <c r="Q1882" s="1">
        <f>COUNTIFS($P:$P, "&gt;" &amp; $P1882) + 1</f>
        <v>833</v>
      </c>
      <c r="R1882" s="63">
        <f>(COUNTIFS($P:$P, "&gt;" &amp; $P1882) + 1) / (COUNTA($I:$I) - 1)</f>
        <v>0.1666</v>
      </c>
      <c r="S1882" s="23">
        <f>SUMIFS($P:$P, $Q:$Q, "&lt;" &amp; $Q1882)</f>
        <v>162664133</v>
      </c>
    </row>
    <row r="1883" spans="1:19" x14ac:dyDescent="0.25">
      <c r="A1883" s="1">
        <v>1878</v>
      </c>
      <c r="B1883" s="1" t="s">
        <v>2</v>
      </c>
      <c r="C1883" s="1" t="str">
        <f>IF($B1883 = "Production Item", _xlfn.XLOOKUP($A1883, 'Instrument Table'!$J:$J, 'Instrument Table'!$B:$B, $C1882), IF($B1883 = "Service Item", _xlfn.XLOOKUP($A1883, 'Instrument Table'!$I:$I, 'Instrument Table'!$B:$B, $C1882), _xlfn.XLOOKUP($A1883, 'Instrument Table'!$H:$H, 'Instrument Table'!$B:$B, $C1882)))</f>
        <v>Clarinet</v>
      </c>
      <c r="D1883" s="1" t="str">
        <f>VLOOKUP($C1883, 'Instrument Table'!$B:$C, 2, FALSE)</f>
        <v>Woodwinds</v>
      </c>
      <c r="E1883" s="1">
        <f t="shared" si="174"/>
        <v>1</v>
      </c>
      <c r="F1883" s="1">
        <f>_xlfn.XLOOKUP($C1883, 'Instrument Table'!$B:$B, 'Instrument Table'!$A:$A, "")</f>
        <v>30</v>
      </c>
      <c r="G1883" s="1" t="str">
        <f>TEXT(IF($B1883 = "Retail Item", IF((ROW($A1883) - 4504 - _xlfn.XMATCH($C1883, $C$4506:$C$5005, 0, 1)) &lt;= VLOOKUP($C1883, 'Instrument Table'!$B:$D, 3, FALSE), ROW($A1883) - 4504 - _xlfn.XMATCH($C1883, $C$4506:$C$5005, 0, 1), 0), 0), "00")</f>
        <v>00</v>
      </c>
      <c r="H1883" s="1" t="str">
        <f t="shared" si="175"/>
        <v>127</v>
      </c>
      <c r="I1883" s="1" t="str">
        <f t="shared" si="176"/>
        <v>13000-127</v>
      </c>
      <c r="J1883" s="1" t="str">
        <f t="shared" si="177"/>
        <v>Clarinet production item #127</v>
      </c>
      <c r="K1883" s="1" t="str">
        <f>IF(SUM(COUNTIFS(I:I, I1883)) &gt; 1, "DUPLICATE", "UNIQUE")</f>
        <v>UNIQUE</v>
      </c>
      <c r="L1883" s="18">
        <v>0</v>
      </c>
      <c r="M1883" s="28">
        <v>22</v>
      </c>
      <c r="N1883" s="6">
        <v>196</v>
      </c>
      <c r="O1883" s="30">
        <f t="shared" si="178"/>
        <v>0</v>
      </c>
      <c r="P1883" s="30">
        <f t="shared" si="179"/>
        <v>4312</v>
      </c>
      <c r="Q1883" s="1">
        <f>COUNTIFS($P:$P, "&gt;" &amp; $P1883) + 1</f>
        <v>2585</v>
      </c>
      <c r="R1883" s="63">
        <f>(COUNTIFS($P:$P, "&gt;" &amp; $P1883) + 1) / (COUNTA($I:$I) - 1)</f>
        <v>0.51700000000000002</v>
      </c>
      <c r="S1883" s="23">
        <f>SUMIFS($P:$P, $Q:$Q, "&lt;" &amp; $Q1883)</f>
        <v>183499114</v>
      </c>
    </row>
    <row r="1884" spans="1:19" x14ac:dyDescent="0.25">
      <c r="A1884" s="1">
        <v>1879</v>
      </c>
      <c r="B1884" s="1" t="s">
        <v>2</v>
      </c>
      <c r="C1884" s="1" t="str">
        <f>IF($B1884 = "Production Item", _xlfn.XLOOKUP($A1884, 'Instrument Table'!$J:$J, 'Instrument Table'!$B:$B, $C1883), IF($B1884 = "Service Item", _xlfn.XLOOKUP($A1884, 'Instrument Table'!$I:$I, 'Instrument Table'!$B:$B, $C1883), _xlfn.XLOOKUP($A1884, 'Instrument Table'!$H:$H, 'Instrument Table'!$B:$B, $C1883)))</f>
        <v>Clarinet</v>
      </c>
      <c r="D1884" s="1" t="str">
        <f>VLOOKUP($C1884, 'Instrument Table'!$B:$C, 2, FALSE)</f>
        <v>Woodwinds</v>
      </c>
      <c r="E1884" s="1">
        <f t="shared" si="174"/>
        <v>1</v>
      </c>
      <c r="F1884" s="1">
        <f>_xlfn.XLOOKUP($C1884, 'Instrument Table'!$B:$B, 'Instrument Table'!$A:$A, "")</f>
        <v>30</v>
      </c>
      <c r="G1884" s="1" t="str">
        <f>TEXT(IF($B1884 = "Retail Item", IF((ROW($A1884) - 4504 - _xlfn.XMATCH($C1884, $C$4506:$C$5005, 0, 1)) &lt;= VLOOKUP($C1884, 'Instrument Table'!$B:$D, 3, FALSE), ROW($A1884) - 4504 - _xlfn.XMATCH($C1884, $C$4506:$C$5005, 0, 1), 0), 0), "00")</f>
        <v>00</v>
      </c>
      <c r="H1884" s="1" t="str">
        <f t="shared" si="175"/>
        <v>128</v>
      </c>
      <c r="I1884" s="1" t="str">
        <f t="shared" si="176"/>
        <v>13000-128</v>
      </c>
      <c r="J1884" s="1" t="str">
        <f t="shared" si="177"/>
        <v>Clarinet production item #128</v>
      </c>
      <c r="K1884" s="1" t="str">
        <f>IF(SUM(COUNTIFS(I:I, I1884)) &gt; 1, "DUPLICATE", "UNIQUE")</f>
        <v>UNIQUE</v>
      </c>
      <c r="L1884" s="18">
        <v>0</v>
      </c>
      <c r="M1884" s="28">
        <v>73</v>
      </c>
      <c r="N1884" s="6">
        <v>4</v>
      </c>
      <c r="O1884" s="30">
        <f t="shared" si="178"/>
        <v>0</v>
      </c>
      <c r="P1884" s="30">
        <f t="shared" si="179"/>
        <v>292</v>
      </c>
      <c r="Q1884" s="1">
        <f>COUNTIFS($P:$P, "&gt;" &amp; $P1884) + 1</f>
        <v>4228</v>
      </c>
      <c r="R1884" s="63">
        <f>(COUNTIFS($P:$P, "&gt;" &amp; $P1884) + 1) / (COUNTA($I:$I) - 1)</f>
        <v>0.84560000000000002</v>
      </c>
      <c r="S1884" s="23">
        <f>SUMIFS($P:$P, $Q:$Q, "&lt;" &amp; $Q1884)</f>
        <v>186488901</v>
      </c>
    </row>
    <row r="1885" spans="1:19" x14ac:dyDescent="0.25">
      <c r="A1885" s="1">
        <v>1880</v>
      </c>
      <c r="B1885" s="1" t="s">
        <v>2</v>
      </c>
      <c r="C1885" s="1" t="str">
        <f>IF($B1885 = "Production Item", _xlfn.XLOOKUP($A1885, 'Instrument Table'!$J:$J, 'Instrument Table'!$B:$B, $C1884), IF($B1885 = "Service Item", _xlfn.XLOOKUP($A1885, 'Instrument Table'!$I:$I, 'Instrument Table'!$B:$B, $C1884), _xlfn.XLOOKUP($A1885, 'Instrument Table'!$H:$H, 'Instrument Table'!$B:$B, $C1884)))</f>
        <v>Clarinet</v>
      </c>
      <c r="D1885" s="1" t="str">
        <f>VLOOKUP($C1885, 'Instrument Table'!$B:$C, 2, FALSE)</f>
        <v>Woodwinds</v>
      </c>
      <c r="E1885" s="1">
        <f t="shared" si="174"/>
        <v>1</v>
      </c>
      <c r="F1885" s="1">
        <f>_xlfn.XLOOKUP($C1885, 'Instrument Table'!$B:$B, 'Instrument Table'!$A:$A, "")</f>
        <v>30</v>
      </c>
      <c r="G1885" s="1" t="str">
        <f>TEXT(IF($B1885 = "Retail Item", IF((ROW($A1885) - 4504 - _xlfn.XMATCH($C1885, $C$4506:$C$5005, 0, 1)) &lt;= VLOOKUP($C1885, 'Instrument Table'!$B:$D, 3, FALSE), ROW($A1885) - 4504 - _xlfn.XMATCH($C1885, $C$4506:$C$5005, 0, 1), 0), 0), "00")</f>
        <v>00</v>
      </c>
      <c r="H1885" s="1" t="str">
        <f t="shared" si="175"/>
        <v>129</v>
      </c>
      <c r="I1885" s="1" t="str">
        <f t="shared" si="176"/>
        <v>13000-129</v>
      </c>
      <c r="J1885" s="1" t="str">
        <f t="shared" si="177"/>
        <v>Clarinet production item #129</v>
      </c>
      <c r="K1885" s="1" t="str">
        <f>IF(SUM(COUNTIFS(I:I, I1885)) &gt; 1, "DUPLICATE", "UNIQUE")</f>
        <v>UNIQUE</v>
      </c>
      <c r="L1885" s="18">
        <v>4</v>
      </c>
      <c r="M1885" s="28">
        <v>56</v>
      </c>
      <c r="N1885" s="6">
        <v>49</v>
      </c>
      <c r="O1885" s="30">
        <f t="shared" si="178"/>
        <v>224</v>
      </c>
      <c r="P1885" s="30">
        <f t="shared" si="179"/>
        <v>2744</v>
      </c>
      <c r="Q1885" s="1">
        <f>COUNTIFS($P:$P, "&gt;" &amp; $P1885) + 1</f>
        <v>2969</v>
      </c>
      <c r="R1885" s="63">
        <f>(COUNTIFS($P:$P, "&gt;" &amp; $P1885) + 1) / (COUNTA($I:$I) - 1)</f>
        <v>0.59379999999999999</v>
      </c>
      <c r="S1885" s="23">
        <f>SUMIFS($P:$P, $Q:$Q, "&lt;" &amp; $Q1885)</f>
        <v>184848382</v>
      </c>
    </row>
    <row r="1886" spans="1:19" x14ac:dyDescent="0.25">
      <c r="A1886" s="1">
        <v>1881</v>
      </c>
      <c r="B1886" s="1" t="s">
        <v>2</v>
      </c>
      <c r="C1886" s="1" t="str">
        <f>IF($B1886 = "Production Item", _xlfn.XLOOKUP($A1886, 'Instrument Table'!$J:$J, 'Instrument Table'!$B:$B, $C1885), IF($B1886 = "Service Item", _xlfn.XLOOKUP($A1886, 'Instrument Table'!$I:$I, 'Instrument Table'!$B:$B, $C1885), _xlfn.XLOOKUP($A1886, 'Instrument Table'!$H:$H, 'Instrument Table'!$B:$B, $C1885)))</f>
        <v>Clarinet</v>
      </c>
      <c r="D1886" s="1" t="str">
        <f>VLOOKUP($C1886, 'Instrument Table'!$B:$C, 2, FALSE)</f>
        <v>Woodwinds</v>
      </c>
      <c r="E1886" s="1">
        <f t="shared" si="174"/>
        <v>1</v>
      </c>
      <c r="F1886" s="1">
        <f>_xlfn.XLOOKUP($C1886, 'Instrument Table'!$B:$B, 'Instrument Table'!$A:$A, "")</f>
        <v>30</v>
      </c>
      <c r="G1886" s="1" t="str">
        <f>TEXT(IF($B1886 = "Retail Item", IF((ROW($A1886) - 4504 - _xlfn.XMATCH($C1886, $C$4506:$C$5005, 0, 1)) &lt;= VLOOKUP($C1886, 'Instrument Table'!$B:$D, 3, FALSE), ROW($A1886) - 4504 - _xlfn.XMATCH($C1886, $C$4506:$C$5005, 0, 1), 0), 0), "00")</f>
        <v>00</v>
      </c>
      <c r="H1886" s="1" t="str">
        <f t="shared" si="175"/>
        <v>130</v>
      </c>
      <c r="I1886" s="1" t="str">
        <f t="shared" si="176"/>
        <v>13000-130</v>
      </c>
      <c r="J1886" s="1" t="str">
        <f t="shared" si="177"/>
        <v>Clarinet production item #130</v>
      </c>
      <c r="K1886" s="1" t="str">
        <f>IF(SUM(COUNTIFS(I:I, I1886)) &gt; 1, "DUPLICATE", "UNIQUE")</f>
        <v>UNIQUE</v>
      </c>
      <c r="L1886" s="18">
        <v>0</v>
      </c>
      <c r="M1886" s="28">
        <v>70</v>
      </c>
      <c r="N1886" s="6">
        <v>16</v>
      </c>
      <c r="O1886" s="30">
        <f t="shared" si="178"/>
        <v>0</v>
      </c>
      <c r="P1886" s="30">
        <f t="shared" si="179"/>
        <v>1120</v>
      </c>
      <c r="Q1886" s="1">
        <f>COUNTIFS($P:$P, "&gt;" &amp; $P1886) + 1</f>
        <v>3644</v>
      </c>
      <c r="R1886" s="63">
        <f>(COUNTIFS($P:$P, "&gt;" &amp; $P1886) + 1) / (COUNTA($I:$I) - 1)</f>
        <v>0.7288</v>
      </c>
      <c r="S1886" s="23">
        <f>SUMIFS($P:$P, $Q:$Q, "&lt;" &amp; $Q1886)</f>
        <v>186121143</v>
      </c>
    </row>
    <row r="1887" spans="1:19" x14ac:dyDescent="0.25">
      <c r="A1887" s="1">
        <v>1882</v>
      </c>
      <c r="B1887" s="1" t="s">
        <v>2</v>
      </c>
      <c r="C1887" s="1" t="str">
        <f>IF($B1887 = "Production Item", _xlfn.XLOOKUP($A1887, 'Instrument Table'!$J:$J, 'Instrument Table'!$B:$B, $C1886), IF($B1887 = "Service Item", _xlfn.XLOOKUP($A1887, 'Instrument Table'!$I:$I, 'Instrument Table'!$B:$B, $C1886), _xlfn.XLOOKUP($A1887, 'Instrument Table'!$H:$H, 'Instrument Table'!$B:$B, $C1886)))</f>
        <v>Clarinet</v>
      </c>
      <c r="D1887" s="1" t="str">
        <f>VLOOKUP($C1887, 'Instrument Table'!$B:$C, 2, FALSE)</f>
        <v>Woodwinds</v>
      </c>
      <c r="E1887" s="1">
        <f t="shared" si="174"/>
        <v>1</v>
      </c>
      <c r="F1887" s="1">
        <f>_xlfn.XLOOKUP($C1887, 'Instrument Table'!$B:$B, 'Instrument Table'!$A:$A, "")</f>
        <v>30</v>
      </c>
      <c r="G1887" s="1" t="str">
        <f>TEXT(IF($B1887 = "Retail Item", IF((ROW($A1887) - 4504 - _xlfn.XMATCH($C1887, $C$4506:$C$5005, 0, 1)) &lt;= VLOOKUP($C1887, 'Instrument Table'!$B:$D, 3, FALSE), ROW($A1887) - 4504 - _xlfn.XMATCH($C1887, $C$4506:$C$5005, 0, 1), 0), 0), "00")</f>
        <v>00</v>
      </c>
      <c r="H1887" s="1" t="str">
        <f t="shared" si="175"/>
        <v>131</v>
      </c>
      <c r="I1887" s="1" t="str">
        <f t="shared" si="176"/>
        <v>13000-131</v>
      </c>
      <c r="J1887" s="1" t="str">
        <f t="shared" si="177"/>
        <v>Clarinet production item #131</v>
      </c>
      <c r="K1887" s="1" t="str">
        <f>IF(SUM(COUNTIFS(I:I, I1887)) &gt; 1, "DUPLICATE", "UNIQUE")</f>
        <v>UNIQUE</v>
      </c>
      <c r="L1887" s="18">
        <v>1</v>
      </c>
      <c r="M1887" s="28">
        <v>57</v>
      </c>
      <c r="N1887" s="6">
        <v>0</v>
      </c>
      <c r="O1887" s="30">
        <f t="shared" si="178"/>
        <v>57</v>
      </c>
      <c r="P1887" s="30">
        <f t="shared" si="179"/>
        <v>0</v>
      </c>
      <c r="Q1887" s="1">
        <f>COUNTIFS($P:$P, "&gt;" &amp; $P1887) + 1</f>
        <v>4746</v>
      </c>
      <c r="R1887" s="63">
        <f>(COUNTIFS($P:$P, "&gt;" &amp; $P1887) + 1) / (COUNTA($I:$I) - 1)</f>
        <v>0.94920000000000004</v>
      </c>
      <c r="S1887" s="23">
        <f>SUMIFS($P:$P, $Q:$Q, "&lt;" &amp; $Q1887)</f>
        <v>186547861</v>
      </c>
    </row>
    <row r="1888" spans="1:19" x14ac:dyDescent="0.25">
      <c r="A1888" s="1">
        <v>1883</v>
      </c>
      <c r="B1888" s="1" t="s">
        <v>2</v>
      </c>
      <c r="C1888" s="1" t="str">
        <f>IF($B1888 = "Production Item", _xlfn.XLOOKUP($A1888, 'Instrument Table'!$J:$J, 'Instrument Table'!$B:$B, $C1887), IF($B1888 = "Service Item", _xlfn.XLOOKUP($A1888, 'Instrument Table'!$I:$I, 'Instrument Table'!$B:$B, $C1887), _xlfn.XLOOKUP($A1888, 'Instrument Table'!$H:$H, 'Instrument Table'!$B:$B, $C1887)))</f>
        <v>Clarinet</v>
      </c>
      <c r="D1888" s="1" t="str">
        <f>VLOOKUP($C1888, 'Instrument Table'!$B:$C, 2, FALSE)</f>
        <v>Woodwinds</v>
      </c>
      <c r="E1888" s="1">
        <f t="shared" si="174"/>
        <v>1</v>
      </c>
      <c r="F1888" s="1">
        <f>_xlfn.XLOOKUP($C1888, 'Instrument Table'!$B:$B, 'Instrument Table'!$A:$A, "")</f>
        <v>30</v>
      </c>
      <c r="G1888" s="1" t="str">
        <f>TEXT(IF($B1888 = "Retail Item", IF((ROW($A1888) - 4504 - _xlfn.XMATCH($C1888, $C$4506:$C$5005, 0, 1)) &lt;= VLOOKUP($C1888, 'Instrument Table'!$B:$D, 3, FALSE), ROW($A1888) - 4504 - _xlfn.XMATCH($C1888, $C$4506:$C$5005, 0, 1), 0), 0), "00")</f>
        <v>00</v>
      </c>
      <c r="H1888" s="1" t="str">
        <f t="shared" si="175"/>
        <v>132</v>
      </c>
      <c r="I1888" s="1" t="str">
        <f t="shared" si="176"/>
        <v>13000-132</v>
      </c>
      <c r="J1888" s="1" t="str">
        <f t="shared" si="177"/>
        <v>Clarinet production item #132</v>
      </c>
      <c r="K1888" s="1" t="str">
        <f>IF(SUM(COUNTIFS(I:I, I1888)) &gt; 1, "DUPLICATE", "UNIQUE")</f>
        <v>UNIQUE</v>
      </c>
      <c r="L1888" s="18">
        <v>16</v>
      </c>
      <c r="M1888" s="28">
        <v>29</v>
      </c>
      <c r="N1888" s="6">
        <v>49</v>
      </c>
      <c r="O1888" s="30">
        <f t="shared" si="178"/>
        <v>464</v>
      </c>
      <c r="P1888" s="30">
        <f t="shared" si="179"/>
        <v>1421</v>
      </c>
      <c r="Q1888" s="1">
        <f>COUNTIFS($P:$P, "&gt;" &amp; $P1888) + 1</f>
        <v>3498</v>
      </c>
      <c r="R1888" s="63">
        <f>(COUNTIFS($P:$P, "&gt;" &amp; $P1888) + 1) / (COUNTA($I:$I) - 1)</f>
        <v>0.6996</v>
      </c>
      <c r="S1888" s="23">
        <f>SUMIFS($P:$P, $Q:$Q, "&lt;" &amp; $Q1888)</f>
        <v>185934616</v>
      </c>
    </row>
    <row r="1889" spans="1:19" x14ac:dyDescent="0.25">
      <c r="A1889" s="1">
        <v>1884</v>
      </c>
      <c r="B1889" s="1" t="s">
        <v>2</v>
      </c>
      <c r="C1889" s="1" t="str">
        <f>IF($B1889 = "Production Item", _xlfn.XLOOKUP($A1889, 'Instrument Table'!$J:$J, 'Instrument Table'!$B:$B, $C1888), IF($B1889 = "Service Item", _xlfn.XLOOKUP($A1889, 'Instrument Table'!$I:$I, 'Instrument Table'!$B:$B, $C1888), _xlfn.XLOOKUP($A1889, 'Instrument Table'!$H:$H, 'Instrument Table'!$B:$B, $C1888)))</f>
        <v>Clarinet</v>
      </c>
      <c r="D1889" s="1" t="str">
        <f>VLOOKUP($C1889, 'Instrument Table'!$B:$C, 2, FALSE)</f>
        <v>Woodwinds</v>
      </c>
      <c r="E1889" s="1">
        <f t="shared" si="174"/>
        <v>1</v>
      </c>
      <c r="F1889" s="1">
        <f>_xlfn.XLOOKUP($C1889, 'Instrument Table'!$B:$B, 'Instrument Table'!$A:$A, "")</f>
        <v>30</v>
      </c>
      <c r="G1889" s="1" t="str">
        <f>TEXT(IF($B1889 = "Retail Item", IF((ROW($A1889) - 4504 - _xlfn.XMATCH($C1889, $C$4506:$C$5005, 0, 1)) &lt;= VLOOKUP($C1889, 'Instrument Table'!$B:$D, 3, FALSE), ROW($A1889) - 4504 - _xlfn.XMATCH($C1889, $C$4506:$C$5005, 0, 1), 0), 0), "00")</f>
        <v>00</v>
      </c>
      <c r="H1889" s="1" t="str">
        <f t="shared" si="175"/>
        <v>133</v>
      </c>
      <c r="I1889" s="1" t="str">
        <f t="shared" si="176"/>
        <v>13000-133</v>
      </c>
      <c r="J1889" s="1" t="str">
        <f t="shared" si="177"/>
        <v>Clarinet production item #133</v>
      </c>
      <c r="K1889" s="1" t="str">
        <f>IF(SUM(COUNTIFS(I:I, I1889)) &gt; 1, "DUPLICATE", "UNIQUE")</f>
        <v>UNIQUE</v>
      </c>
      <c r="L1889" s="18">
        <v>1</v>
      </c>
      <c r="M1889" s="28">
        <v>92</v>
      </c>
      <c r="N1889" s="6">
        <v>0</v>
      </c>
      <c r="O1889" s="30">
        <f t="shared" si="178"/>
        <v>92</v>
      </c>
      <c r="P1889" s="30">
        <f t="shared" si="179"/>
        <v>0</v>
      </c>
      <c r="Q1889" s="1">
        <f>COUNTIFS($P:$P, "&gt;" &amp; $P1889) + 1</f>
        <v>4746</v>
      </c>
      <c r="R1889" s="63">
        <f>(COUNTIFS($P:$P, "&gt;" &amp; $P1889) + 1) / (COUNTA($I:$I) - 1)</f>
        <v>0.94920000000000004</v>
      </c>
      <c r="S1889" s="23">
        <f>SUMIFS($P:$P, $Q:$Q, "&lt;" &amp; $Q1889)</f>
        <v>186547861</v>
      </c>
    </row>
    <row r="1890" spans="1:19" x14ac:dyDescent="0.25">
      <c r="A1890" s="1">
        <v>1885</v>
      </c>
      <c r="B1890" s="1" t="s">
        <v>2</v>
      </c>
      <c r="C1890" s="1" t="str">
        <f>IF($B1890 = "Production Item", _xlfn.XLOOKUP($A1890, 'Instrument Table'!$J:$J, 'Instrument Table'!$B:$B, $C1889), IF($B1890 = "Service Item", _xlfn.XLOOKUP($A1890, 'Instrument Table'!$I:$I, 'Instrument Table'!$B:$B, $C1889), _xlfn.XLOOKUP($A1890, 'Instrument Table'!$H:$H, 'Instrument Table'!$B:$B, $C1889)))</f>
        <v>Clarinet</v>
      </c>
      <c r="D1890" s="1" t="str">
        <f>VLOOKUP($C1890, 'Instrument Table'!$B:$C, 2, FALSE)</f>
        <v>Woodwinds</v>
      </c>
      <c r="E1890" s="1">
        <f t="shared" si="174"/>
        <v>1</v>
      </c>
      <c r="F1890" s="1">
        <f>_xlfn.XLOOKUP($C1890, 'Instrument Table'!$B:$B, 'Instrument Table'!$A:$A, "")</f>
        <v>30</v>
      </c>
      <c r="G1890" s="1" t="str">
        <f>TEXT(IF($B1890 = "Retail Item", IF((ROW($A1890) - 4504 - _xlfn.XMATCH($C1890, $C$4506:$C$5005, 0, 1)) &lt;= VLOOKUP($C1890, 'Instrument Table'!$B:$D, 3, FALSE), ROW($A1890) - 4504 - _xlfn.XMATCH($C1890, $C$4506:$C$5005, 0, 1), 0), 0), "00")</f>
        <v>00</v>
      </c>
      <c r="H1890" s="1" t="str">
        <f t="shared" si="175"/>
        <v>134</v>
      </c>
      <c r="I1890" s="1" t="str">
        <f t="shared" si="176"/>
        <v>13000-134</v>
      </c>
      <c r="J1890" s="1" t="str">
        <f t="shared" si="177"/>
        <v>Clarinet production item #134</v>
      </c>
      <c r="K1890" s="1" t="str">
        <f>IF(SUM(COUNTIFS(I:I, I1890)) &gt; 1, "DUPLICATE", "UNIQUE")</f>
        <v>UNIQUE</v>
      </c>
      <c r="L1890" s="18">
        <v>8</v>
      </c>
      <c r="M1890" s="28">
        <v>24</v>
      </c>
      <c r="N1890" s="6">
        <v>361</v>
      </c>
      <c r="O1890" s="30">
        <f t="shared" si="178"/>
        <v>192</v>
      </c>
      <c r="P1890" s="30">
        <f t="shared" si="179"/>
        <v>8664</v>
      </c>
      <c r="Q1890" s="1">
        <f>COUNTIFS($P:$P, "&gt;" &amp; $P1890) + 1</f>
        <v>1911</v>
      </c>
      <c r="R1890" s="63">
        <f>(COUNTIFS($P:$P, "&gt;" &amp; $P1890) + 1) / (COUNTA($I:$I) - 1)</f>
        <v>0.38219999999999998</v>
      </c>
      <c r="S1890" s="23">
        <f>SUMIFS($P:$P, $Q:$Q, "&lt;" &amp; $Q1890)</f>
        <v>179259825</v>
      </c>
    </row>
    <row r="1891" spans="1:19" x14ac:dyDescent="0.25">
      <c r="A1891" s="1">
        <v>1886</v>
      </c>
      <c r="B1891" s="1" t="s">
        <v>2</v>
      </c>
      <c r="C1891" s="1" t="str">
        <f>IF($B1891 = "Production Item", _xlfn.XLOOKUP($A1891, 'Instrument Table'!$J:$J, 'Instrument Table'!$B:$B, $C1890), IF($B1891 = "Service Item", _xlfn.XLOOKUP($A1891, 'Instrument Table'!$I:$I, 'Instrument Table'!$B:$B, $C1890), _xlfn.XLOOKUP($A1891, 'Instrument Table'!$H:$H, 'Instrument Table'!$B:$B, $C1890)))</f>
        <v>Clarinet</v>
      </c>
      <c r="D1891" s="1" t="str">
        <f>VLOOKUP($C1891, 'Instrument Table'!$B:$C, 2, FALSE)</f>
        <v>Woodwinds</v>
      </c>
      <c r="E1891" s="1">
        <f t="shared" si="174"/>
        <v>1</v>
      </c>
      <c r="F1891" s="1">
        <f>_xlfn.XLOOKUP($C1891, 'Instrument Table'!$B:$B, 'Instrument Table'!$A:$A, "")</f>
        <v>30</v>
      </c>
      <c r="G1891" s="1" t="str">
        <f>TEXT(IF($B1891 = "Retail Item", IF((ROW($A1891) - 4504 - _xlfn.XMATCH($C1891, $C$4506:$C$5005, 0, 1)) &lt;= VLOOKUP($C1891, 'Instrument Table'!$B:$D, 3, FALSE), ROW($A1891) - 4504 - _xlfn.XMATCH($C1891, $C$4506:$C$5005, 0, 1), 0), 0), "00")</f>
        <v>00</v>
      </c>
      <c r="H1891" s="1" t="str">
        <f t="shared" si="175"/>
        <v>135</v>
      </c>
      <c r="I1891" s="1" t="str">
        <f t="shared" si="176"/>
        <v>13000-135</v>
      </c>
      <c r="J1891" s="1" t="str">
        <f t="shared" si="177"/>
        <v>Clarinet production item #135</v>
      </c>
      <c r="K1891" s="1" t="str">
        <f>IF(SUM(COUNTIFS(I:I, I1891)) &gt; 1, "DUPLICATE", "UNIQUE")</f>
        <v>UNIQUE</v>
      </c>
      <c r="L1891" s="18">
        <v>2</v>
      </c>
      <c r="M1891" s="28">
        <v>5</v>
      </c>
      <c r="N1891" s="6">
        <v>196</v>
      </c>
      <c r="O1891" s="30">
        <f t="shared" si="178"/>
        <v>10</v>
      </c>
      <c r="P1891" s="30">
        <f t="shared" si="179"/>
        <v>980</v>
      </c>
      <c r="Q1891" s="1">
        <f>COUNTIFS($P:$P, "&gt;" &amp; $P1891) + 1</f>
        <v>3689</v>
      </c>
      <c r="R1891" s="63">
        <f>(COUNTIFS($P:$P, "&gt;" &amp; $P1891) + 1) / (COUNTA($I:$I) - 1)</f>
        <v>0.73780000000000001</v>
      </c>
      <c r="S1891" s="23">
        <f>SUMIFS($P:$P, $Q:$Q, "&lt;" &amp; $Q1891)</f>
        <v>186168102</v>
      </c>
    </row>
    <row r="1892" spans="1:19" x14ac:dyDescent="0.25">
      <c r="A1892" s="1">
        <v>1887</v>
      </c>
      <c r="B1892" s="1" t="s">
        <v>2</v>
      </c>
      <c r="C1892" s="1" t="str">
        <f>IF($B1892 = "Production Item", _xlfn.XLOOKUP($A1892, 'Instrument Table'!$J:$J, 'Instrument Table'!$B:$B, $C1891), IF($B1892 = "Service Item", _xlfn.XLOOKUP($A1892, 'Instrument Table'!$I:$I, 'Instrument Table'!$B:$B, $C1891), _xlfn.XLOOKUP($A1892, 'Instrument Table'!$H:$H, 'Instrument Table'!$B:$B, $C1891)))</f>
        <v>Clarinet</v>
      </c>
      <c r="D1892" s="1" t="str">
        <f>VLOOKUP($C1892, 'Instrument Table'!$B:$C, 2, FALSE)</f>
        <v>Woodwinds</v>
      </c>
      <c r="E1892" s="1">
        <f t="shared" si="174"/>
        <v>1</v>
      </c>
      <c r="F1892" s="1">
        <f>_xlfn.XLOOKUP($C1892, 'Instrument Table'!$B:$B, 'Instrument Table'!$A:$A, "")</f>
        <v>30</v>
      </c>
      <c r="G1892" s="1" t="str">
        <f>TEXT(IF($B1892 = "Retail Item", IF((ROW($A1892) - 4504 - _xlfn.XMATCH($C1892, $C$4506:$C$5005, 0, 1)) &lt;= VLOOKUP($C1892, 'Instrument Table'!$B:$D, 3, FALSE), ROW($A1892) - 4504 - _xlfn.XMATCH($C1892, $C$4506:$C$5005, 0, 1), 0), 0), "00")</f>
        <v>00</v>
      </c>
      <c r="H1892" s="1" t="str">
        <f t="shared" si="175"/>
        <v>136</v>
      </c>
      <c r="I1892" s="1" t="str">
        <f t="shared" si="176"/>
        <v>13000-136</v>
      </c>
      <c r="J1892" s="1" t="str">
        <f t="shared" si="177"/>
        <v>Clarinet production item #136</v>
      </c>
      <c r="K1892" s="1" t="str">
        <f>IF(SUM(COUNTIFS(I:I, I1892)) &gt; 1, "DUPLICATE", "UNIQUE")</f>
        <v>UNIQUE</v>
      </c>
      <c r="L1892" s="18">
        <v>0</v>
      </c>
      <c r="M1892" s="28">
        <v>76</v>
      </c>
      <c r="N1892" s="6">
        <v>16</v>
      </c>
      <c r="O1892" s="30">
        <f t="shared" si="178"/>
        <v>0</v>
      </c>
      <c r="P1892" s="30">
        <f t="shared" si="179"/>
        <v>1216</v>
      </c>
      <c r="Q1892" s="1">
        <f>COUNTIFS($P:$P, "&gt;" &amp; $P1892) + 1</f>
        <v>3593</v>
      </c>
      <c r="R1892" s="63">
        <f>(COUNTIFS($P:$P, "&gt;" &amp; $P1892) + 1) / (COUNTA($I:$I) - 1)</f>
        <v>0.71860000000000002</v>
      </c>
      <c r="S1892" s="23">
        <f>SUMIFS($P:$P, $Q:$Q, "&lt;" &amp; $Q1892)</f>
        <v>186061231</v>
      </c>
    </row>
    <row r="1893" spans="1:19" x14ac:dyDescent="0.25">
      <c r="A1893" s="1">
        <v>1888</v>
      </c>
      <c r="B1893" s="1" t="s">
        <v>2</v>
      </c>
      <c r="C1893" s="1" t="str">
        <f>IF($B1893 = "Production Item", _xlfn.XLOOKUP($A1893, 'Instrument Table'!$J:$J, 'Instrument Table'!$B:$B, $C1892), IF($B1893 = "Service Item", _xlfn.XLOOKUP($A1893, 'Instrument Table'!$I:$I, 'Instrument Table'!$B:$B, $C1892), _xlfn.XLOOKUP($A1893, 'Instrument Table'!$H:$H, 'Instrument Table'!$B:$B, $C1892)))</f>
        <v>Clarinet</v>
      </c>
      <c r="D1893" s="1" t="str">
        <f>VLOOKUP($C1893, 'Instrument Table'!$B:$C, 2, FALSE)</f>
        <v>Woodwinds</v>
      </c>
      <c r="E1893" s="1">
        <f t="shared" si="174"/>
        <v>1</v>
      </c>
      <c r="F1893" s="1">
        <f>_xlfn.XLOOKUP($C1893, 'Instrument Table'!$B:$B, 'Instrument Table'!$A:$A, "")</f>
        <v>30</v>
      </c>
      <c r="G1893" s="1" t="str">
        <f>TEXT(IF($B1893 = "Retail Item", IF((ROW($A1893) - 4504 - _xlfn.XMATCH($C1893, $C$4506:$C$5005, 0, 1)) &lt;= VLOOKUP($C1893, 'Instrument Table'!$B:$D, 3, FALSE), ROW($A1893) - 4504 - _xlfn.XMATCH($C1893, $C$4506:$C$5005, 0, 1), 0), 0), "00")</f>
        <v>00</v>
      </c>
      <c r="H1893" s="1" t="str">
        <f t="shared" si="175"/>
        <v>137</v>
      </c>
      <c r="I1893" s="1" t="str">
        <f t="shared" si="176"/>
        <v>13000-137</v>
      </c>
      <c r="J1893" s="1" t="str">
        <f t="shared" si="177"/>
        <v>Clarinet production item #137</v>
      </c>
      <c r="K1893" s="1" t="str">
        <f>IF(SUM(COUNTIFS(I:I, I1893)) &gt; 1, "DUPLICATE", "UNIQUE")</f>
        <v>UNIQUE</v>
      </c>
      <c r="L1893" s="18">
        <v>0</v>
      </c>
      <c r="M1893" s="28">
        <v>64</v>
      </c>
      <c r="N1893" s="6">
        <v>64</v>
      </c>
      <c r="O1893" s="30">
        <f t="shared" si="178"/>
        <v>0</v>
      </c>
      <c r="P1893" s="30">
        <f t="shared" si="179"/>
        <v>4096</v>
      </c>
      <c r="Q1893" s="1">
        <f>COUNTIFS($P:$P, "&gt;" &amp; $P1893) + 1</f>
        <v>2638</v>
      </c>
      <c r="R1893" s="63">
        <f>(COUNTIFS($P:$P, "&gt;" &amp; $P1893) + 1) / (COUNTA($I:$I) - 1)</f>
        <v>0.52759999999999996</v>
      </c>
      <c r="S1893" s="23">
        <f>SUMIFS($P:$P, $Q:$Q, "&lt;" &amp; $Q1893)</f>
        <v>183722231</v>
      </c>
    </row>
    <row r="1894" spans="1:19" x14ac:dyDescent="0.25">
      <c r="A1894" s="1">
        <v>1889</v>
      </c>
      <c r="B1894" s="1" t="s">
        <v>2</v>
      </c>
      <c r="C1894" s="1" t="str">
        <f>IF($B1894 = "Production Item", _xlfn.XLOOKUP($A1894, 'Instrument Table'!$J:$J, 'Instrument Table'!$B:$B, $C1893), IF($B1894 = "Service Item", _xlfn.XLOOKUP($A1894, 'Instrument Table'!$I:$I, 'Instrument Table'!$B:$B, $C1893), _xlfn.XLOOKUP($A1894, 'Instrument Table'!$H:$H, 'Instrument Table'!$B:$B, $C1893)))</f>
        <v>Clarinet</v>
      </c>
      <c r="D1894" s="1" t="str">
        <f>VLOOKUP($C1894, 'Instrument Table'!$B:$C, 2, FALSE)</f>
        <v>Woodwinds</v>
      </c>
      <c r="E1894" s="1">
        <f t="shared" si="174"/>
        <v>1</v>
      </c>
      <c r="F1894" s="1">
        <f>_xlfn.XLOOKUP($C1894, 'Instrument Table'!$B:$B, 'Instrument Table'!$A:$A, "")</f>
        <v>30</v>
      </c>
      <c r="G1894" s="1" t="str">
        <f>TEXT(IF($B1894 = "Retail Item", IF((ROW($A1894) - 4504 - _xlfn.XMATCH($C1894, $C$4506:$C$5005, 0, 1)) &lt;= VLOOKUP($C1894, 'Instrument Table'!$B:$D, 3, FALSE), ROW($A1894) - 4504 - _xlfn.XMATCH($C1894, $C$4506:$C$5005, 0, 1), 0), 0), "00")</f>
        <v>00</v>
      </c>
      <c r="H1894" s="1" t="str">
        <f t="shared" si="175"/>
        <v>138</v>
      </c>
      <c r="I1894" s="1" t="str">
        <f t="shared" si="176"/>
        <v>13000-138</v>
      </c>
      <c r="J1894" s="1" t="str">
        <f t="shared" si="177"/>
        <v>Clarinet production item #138</v>
      </c>
      <c r="K1894" s="1" t="str">
        <f>IF(SUM(COUNTIFS(I:I, I1894)) &gt; 1, "DUPLICATE", "UNIQUE")</f>
        <v>UNIQUE</v>
      </c>
      <c r="L1894" s="18">
        <v>1</v>
      </c>
      <c r="M1894" s="28">
        <v>27</v>
      </c>
      <c r="N1894" s="6">
        <v>64</v>
      </c>
      <c r="O1894" s="30">
        <f t="shared" si="178"/>
        <v>27</v>
      </c>
      <c r="P1894" s="30">
        <f t="shared" si="179"/>
        <v>1728</v>
      </c>
      <c r="Q1894" s="1">
        <f>COUNTIFS($P:$P, "&gt;" &amp; $P1894) + 1</f>
        <v>3360</v>
      </c>
      <c r="R1894" s="63">
        <f>(COUNTIFS($P:$P, "&gt;" &amp; $P1894) + 1) / (COUNTA($I:$I) - 1)</f>
        <v>0.67200000000000004</v>
      </c>
      <c r="S1894" s="23">
        <f>SUMIFS($P:$P, $Q:$Q, "&lt;" &amp; $Q1894)</f>
        <v>185718037</v>
      </c>
    </row>
    <row r="1895" spans="1:19" x14ac:dyDescent="0.25">
      <c r="A1895" s="1">
        <v>1890</v>
      </c>
      <c r="B1895" s="1" t="s">
        <v>2</v>
      </c>
      <c r="C1895" s="1" t="str">
        <f>IF($B1895 = "Production Item", _xlfn.XLOOKUP($A1895, 'Instrument Table'!$J:$J, 'Instrument Table'!$B:$B, $C1894), IF($B1895 = "Service Item", _xlfn.XLOOKUP($A1895, 'Instrument Table'!$I:$I, 'Instrument Table'!$B:$B, $C1894), _xlfn.XLOOKUP($A1895, 'Instrument Table'!$H:$H, 'Instrument Table'!$B:$B, $C1894)))</f>
        <v>Clarinet</v>
      </c>
      <c r="D1895" s="1" t="str">
        <f>VLOOKUP($C1895, 'Instrument Table'!$B:$C, 2, FALSE)</f>
        <v>Woodwinds</v>
      </c>
      <c r="E1895" s="1">
        <f t="shared" si="174"/>
        <v>1</v>
      </c>
      <c r="F1895" s="1">
        <f>_xlfn.XLOOKUP($C1895, 'Instrument Table'!$B:$B, 'Instrument Table'!$A:$A, "")</f>
        <v>30</v>
      </c>
      <c r="G1895" s="1" t="str">
        <f>TEXT(IF($B1895 = "Retail Item", IF((ROW($A1895) - 4504 - _xlfn.XMATCH($C1895, $C$4506:$C$5005, 0, 1)) &lt;= VLOOKUP($C1895, 'Instrument Table'!$B:$D, 3, FALSE), ROW($A1895) - 4504 - _xlfn.XMATCH($C1895, $C$4506:$C$5005, 0, 1), 0), 0), "00")</f>
        <v>00</v>
      </c>
      <c r="H1895" s="1" t="str">
        <f t="shared" si="175"/>
        <v>139</v>
      </c>
      <c r="I1895" s="1" t="str">
        <f t="shared" si="176"/>
        <v>13000-139</v>
      </c>
      <c r="J1895" s="1" t="str">
        <f t="shared" si="177"/>
        <v>Clarinet production item #139</v>
      </c>
      <c r="K1895" s="1" t="str">
        <f>IF(SUM(COUNTIFS(I:I, I1895)) &gt; 1, "DUPLICATE", "UNIQUE")</f>
        <v>UNIQUE</v>
      </c>
      <c r="L1895" s="18">
        <v>0</v>
      </c>
      <c r="M1895" s="28">
        <v>89</v>
      </c>
      <c r="N1895" s="6">
        <v>289</v>
      </c>
      <c r="O1895" s="30">
        <f t="shared" si="178"/>
        <v>0</v>
      </c>
      <c r="P1895" s="30">
        <f t="shared" si="179"/>
        <v>25721</v>
      </c>
      <c r="Q1895" s="1">
        <f>COUNTIFS($P:$P, "&gt;" &amp; $P1895) + 1</f>
        <v>798</v>
      </c>
      <c r="R1895" s="63">
        <f>(COUNTIFS($P:$P, "&gt;" &amp; $P1895) + 1) / (COUNTA($I:$I) - 1)</f>
        <v>0.15959999999999999</v>
      </c>
      <c r="S1895" s="23">
        <f>SUMIFS($P:$P, $Q:$Q, "&lt;" &amp; $Q1895)</f>
        <v>161776320</v>
      </c>
    </row>
    <row r="1896" spans="1:19" x14ac:dyDescent="0.25">
      <c r="A1896" s="1">
        <v>1891</v>
      </c>
      <c r="B1896" s="1" t="s">
        <v>2</v>
      </c>
      <c r="C1896" s="1" t="str">
        <f>IF($B1896 = "Production Item", _xlfn.XLOOKUP($A1896, 'Instrument Table'!$J:$J, 'Instrument Table'!$B:$B, $C1895), IF($B1896 = "Service Item", _xlfn.XLOOKUP($A1896, 'Instrument Table'!$I:$I, 'Instrument Table'!$B:$B, $C1895), _xlfn.XLOOKUP($A1896, 'Instrument Table'!$H:$H, 'Instrument Table'!$B:$B, $C1895)))</f>
        <v>Clarinet</v>
      </c>
      <c r="D1896" s="1" t="str">
        <f>VLOOKUP($C1896, 'Instrument Table'!$B:$C, 2, FALSE)</f>
        <v>Woodwinds</v>
      </c>
      <c r="E1896" s="1">
        <f t="shared" si="174"/>
        <v>1</v>
      </c>
      <c r="F1896" s="1">
        <f>_xlfn.XLOOKUP($C1896, 'Instrument Table'!$B:$B, 'Instrument Table'!$A:$A, "")</f>
        <v>30</v>
      </c>
      <c r="G1896" s="1" t="str">
        <f>TEXT(IF($B1896 = "Retail Item", IF((ROW($A1896) - 4504 - _xlfn.XMATCH($C1896, $C$4506:$C$5005, 0, 1)) &lt;= VLOOKUP($C1896, 'Instrument Table'!$B:$D, 3, FALSE), ROW($A1896) - 4504 - _xlfn.XMATCH($C1896, $C$4506:$C$5005, 0, 1), 0), 0), "00")</f>
        <v>00</v>
      </c>
      <c r="H1896" s="1" t="str">
        <f t="shared" si="175"/>
        <v>140</v>
      </c>
      <c r="I1896" s="1" t="str">
        <f t="shared" si="176"/>
        <v>13000-140</v>
      </c>
      <c r="J1896" s="1" t="str">
        <f t="shared" si="177"/>
        <v>Clarinet production item #140</v>
      </c>
      <c r="K1896" s="1" t="str">
        <f>IF(SUM(COUNTIFS(I:I, I1896)) &gt; 1, "DUPLICATE", "UNIQUE")</f>
        <v>UNIQUE</v>
      </c>
      <c r="L1896" s="18">
        <v>0</v>
      </c>
      <c r="M1896" s="28">
        <v>50</v>
      </c>
      <c r="N1896" s="6">
        <v>100</v>
      </c>
      <c r="O1896" s="30">
        <f t="shared" si="178"/>
        <v>0</v>
      </c>
      <c r="P1896" s="30">
        <f t="shared" si="179"/>
        <v>5000</v>
      </c>
      <c r="Q1896" s="1">
        <f>COUNTIFS($P:$P, "&gt;" &amp; $P1896) + 1</f>
        <v>2447</v>
      </c>
      <c r="R1896" s="63">
        <f>(COUNTIFS($P:$P, "&gt;" &amp; $P1896) + 1) / (COUNTA($I:$I) - 1)</f>
        <v>0.4894</v>
      </c>
      <c r="S1896" s="23">
        <f>SUMIFS($P:$P, $Q:$Q, "&lt;" &amp; $Q1896)</f>
        <v>182857535</v>
      </c>
    </row>
    <row r="1897" spans="1:19" x14ac:dyDescent="0.25">
      <c r="A1897" s="1">
        <v>1892</v>
      </c>
      <c r="B1897" s="1" t="s">
        <v>2</v>
      </c>
      <c r="C1897" s="1" t="str">
        <f>IF($B1897 = "Production Item", _xlfn.XLOOKUP($A1897, 'Instrument Table'!$J:$J, 'Instrument Table'!$B:$B, $C1896), IF($B1897 = "Service Item", _xlfn.XLOOKUP($A1897, 'Instrument Table'!$I:$I, 'Instrument Table'!$B:$B, $C1896), _xlfn.XLOOKUP($A1897, 'Instrument Table'!$H:$H, 'Instrument Table'!$B:$B, $C1896)))</f>
        <v>Clarinet</v>
      </c>
      <c r="D1897" s="1" t="str">
        <f>VLOOKUP($C1897, 'Instrument Table'!$B:$C, 2, FALSE)</f>
        <v>Woodwinds</v>
      </c>
      <c r="E1897" s="1">
        <f t="shared" si="174"/>
        <v>1</v>
      </c>
      <c r="F1897" s="1">
        <f>_xlfn.XLOOKUP($C1897, 'Instrument Table'!$B:$B, 'Instrument Table'!$A:$A, "")</f>
        <v>30</v>
      </c>
      <c r="G1897" s="1" t="str">
        <f>TEXT(IF($B1897 = "Retail Item", IF((ROW($A1897) - 4504 - _xlfn.XMATCH($C1897, $C$4506:$C$5005, 0, 1)) &lt;= VLOOKUP($C1897, 'Instrument Table'!$B:$D, 3, FALSE), ROW($A1897) - 4504 - _xlfn.XMATCH($C1897, $C$4506:$C$5005, 0, 1), 0), 0), "00")</f>
        <v>00</v>
      </c>
      <c r="H1897" s="1" t="str">
        <f t="shared" si="175"/>
        <v>141</v>
      </c>
      <c r="I1897" s="1" t="str">
        <f t="shared" si="176"/>
        <v>13000-141</v>
      </c>
      <c r="J1897" s="1" t="str">
        <f t="shared" si="177"/>
        <v>Clarinet production item #141</v>
      </c>
      <c r="K1897" s="1" t="str">
        <f>IF(SUM(COUNTIFS(I:I, I1897)) &gt; 1, "DUPLICATE", "UNIQUE")</f>
        <v>UNIQUE</v>
      </c>
      <c r="L1897" s="18">
        <v>0</v>
      </c>
      <c r="M1897" s="28">
        <v>35</v>
      </c>
      <c r="N1897" s="6">
        <v>289</v>
      </c>
      <c r="O1897" s="30">
        <f t="shared" si="178"/>
        <v>0</v>
      </c>
      <c r="P1897" s="30">
        <f t="shared" si="179"/>
        <v>10115</v>
      </c>
      <c r="Q1897" s="1">
        <f>COUNTIFS($P:$P, "&gt;" &amp; $P1897) + 1</f>
        <v>1761</v>
      </c>
      <c r="R1897" s="63">
        <f>(COUNTIFS($P:$P, "&gt;" &amp; $P1897) + 1) / (COUNTA($I:$I) - 1)</f>
        <v>0.35220000000000001</v>
      </c>
      <c r="S1897" s="23">
        <f>SUMIFS($P:$P, $Q:$Q, "&lt;" &amp; $Q1897)</f>
        <v>177854947</v>
      </c>
    </row>
    <row r="1898" spans="1:19" x14ac:dyDescent="0.25">
      <c r="A1898" s="1">
        <v>1893</v>
      </c>
      <c r="B1898" s="1" t="s">
        <v>2</v>
      </c>
      <c r="C1898" s="1" t="str">
        <f>IF($B1898 = "Production Item", _xlfn.XLOOKUP($A1898, 'Instrument Table'!$J:$J, 'Instrument Table'!$B:$B, $C1897), IF($B1898 = "Service Item", _xlfn.XLOOKUP($A1898, 'Instrument Table'!$I:$I, 'Instrument Table'!$B:$B, $C1897), _xlfn.XLOOKUP($A1898, 'Instrument Table'!$H:$H, 'Instrument Table'!$B:$B, $C1897)))</f>
        <v>Clarinet</v>
      </c>
      <c r="D1898" s="1" t="str">
        <f>VLOOKUP($C1898, 'Instrument Table'!$B:$C, 2, FALSE)</f>
        <v>Woodwinds</v>
      </c>
      <c r="E1898" s="1">
        <f t="shared" si="174"/>
        <v>1</v>
      </c>
      <c r="F1898" s="1">
        <f>_xlfn.XLOOKUP($C1898, 'Instrument Table'!$B:$B, 'Instrument Table'!$A:$A, "")</f>
        <v>30</v>
      </c>
      <c r="G1898" s="1" t="str">
        <f>TEXT(IF($B1898 = "Retail Item", IF((ROW($A1898) - 4504 - _xlfn.XMATCH($C1898, $C$4506:$C$5005, 0, 1)) &lt;= VLOOKUP($C1898, 'Instrument Table'!$B:$D, 3, FALSE), ROW($A1898) - 4504 - _xlfn.XMATCH($C1898, $C$4506:$C$5005, 0, 1), 0), 0), "00")</f>
        <v>00</v>
      </c>
      <c r="H1898" s="1" t="str">
        <f t="shared" si="175"/>
        <v>142</v>
      </c>
      <c r="I1898" s="1" t="str">
        <f t="shared" si="176"/>
        <v>13000-142</v>
      </c>
      <c r="J1898" s="1" t="str">
        <f t="shared" si="177"/>
        <v>Clarinet production item #142</v>
      </c>
      <c r="K1898" s="1" t="str">
        <f>IF(SUM(COUNTIFS(I:I, I1898)) &gt; 1, "DUPLICATE", "UNIQUE")</f>
        <v>UNIQUE</v>
      </c>
      <c r="L1898" s="18">
        <v>16</v>
      </c>
      <c r="M1898" s="28">
        <v>30</v>
      </c>
      <c r="N1898" s="6">
        <v>361</v>
      </c>
      <c r="O1898" s="30">
        <f t="shared" si="178"/>
        <v>480</v>
      </c>
      <c r="P1898" s="30">
        <f t="shared" si="179"/>
        <v>10830</v>
      </c>
      <c r="Q1898" s="1">
        <f>COUNTIFS($P:$P, "&gt;" &amp; $P1898) + 1</f>
        <v>1698</v>
      </c>
      <c r="R1898" s="63">
        <f>(COUNTIFS($P:$P, "&gt;" &amp; $P1898) + 1) / (COUNTA($I:$I) - 1)</f>
        <v>0.33960000000000001</v>
      </c>
      <c r="S1898" s="23">
        <f>SUMIFS($P:$P, $Q:$Q, "&lt;" &amp; $Q1898)</f>
        <v>177191776</v>
      </c>
    </row>
    <row r="1899" spans="1:19" x14ac:dyDescent="0.25">
      <c r="A1899" s="1">
        <v>1894</v>
      </c>
      <c r="B1899" s="1" t="s">
        <v>2</v>
      </c>
      <c r="C1899" s="1" t="str">
        <f>IF($B1899 = "Production Item", _xlfn.XLOOKUP($A1899, 'Instrument Table'!$J:$J, 'Instrument Table'!$B:$B, $C1898), IF($B1899 = "Service Item", _xlfn.XLOOKUP($A1899, 'Instrument Table'!$I:$I, 'Instrument Table'!$B:$B, $C1898), _xlfn.XLOOKUP($A1899, 'Instrument Table'!$H:$H, 'Instrument Table'!$B:$B, $C1898)))</f>
        <v>Clarinet</v>
      </c>
      <c r="D1899" s="1" t="str">
        <f>VLOOKUP($C1899, 'Instrument Table'!$B:$C, 2, FALSE)</f>
        <v>Woodwinds</v>
      </c>
      <c r="E1899" s="1">
        <f t="shared" si="174"/>
        <v>1</v>
      </c>
      <c r="F1899" s="1">
        <f>_xlfn.XLOOKUP($C1899, 'Instrument Table'!$B:$B, 'Instrument Table'!$A:$A, "")</f>
        <v>30</v>
      </c>
      <c r="G1899" s="1" t="str">
        <f>TEXT(IF($B1899 = "Retail Item", IF((ROW($A1899) - 4504 - _xlfn.XMATCH($C1899, $C$4506:$C$5005, 0, 1)) &lt;= VLOOKUP($C1899, 'Instrument Table'!$B:$D, 3, FALSE), ROW($A1899) - 4504 - _xlfn.XMATCH($C1899, $C$4506:$C$5005, 0, 1), 0), 0), "00")</f>
        <v>00</v>
      </c>
      <c r="H1899" s="1" t="str">
        <f t="shared" si="175"/>
        <v>143</v>
      </c>
      <c r="I1899" s="1" t="str">
        <f t="shared" si="176"/>
        <v>13000-143</v>
      </c>
      <c r="J1899" s="1" t="str">
        <f t="shared" si="177"/>
        <v>Clarinet production item #143</v>
      </c>
      <c r="K1899" s="1" t="str">
        <f>IF(SUM(COUNTIFS(I:I, I1899)) &gt; 1, "DUPLICATE", "UNIQUE")</f>
        <v>UNIQUE</v>
      </c>
      <c r="L1899" s="18">
        <v>0</v>
      </c>
      <c r="M1899" s="28">
        <v>100</v>
      </c>
      <c r="N1899" s="6">
        <v>324</v>
      </c>
      <c r="O1899" s="30">
        <f t="shared" si="178"/>
        <v>0</v>
      </c>
      <c r="P1899" s="30">
        <f t="shared" si="179"/>
        <v>32400</v>
      </c>
      <c r="Q1899" s="1">
        <f>COUNTIFS($P:$P, "&gt;" &amp; $P1899) + 1</f>
        <v>636</v>
      </c>
      <c r="R1899" s="63">
        <f>(COUNTIFS($P:$P, "&gt;" &amp; $P1899) + 1) / (COUNTA($I:$I) - 1)</f>
        <v>0.12720000000000001</v>
      </c>
      <c r="S1899" s="23">
        <f>SUMIFS($P:$P, $Q:$Q, "&lt;" &amp; $Q1899)</f>
        <v>157094192</v>
      </c>
    </row>
    <row r="1900" spans="1:19" x14ac:dyDescent="0.25">
      <c r="A1900" s="1">
        <v>1895</v>
      </c>
      <c r="B1900" s="1" t="s">
        <v>2</v>
      </c>
      <c r="C1900" s="1" t="str">
        <f>IF($B1900 = "Production Item", _xlfn.XLOOKUP($A1900, 'Instrument Table'!$J:$J, 'Instrument Table'!$B:$B, $C1899), IF($B1900 = "Service Item", _xlfn.XLOOKUP($A1900, 'Instrument Table'!$I:$I, 'Instrument Table'!$B:$B, $C1899), _xlfn.XLOOKUP($A1900, 'Instrument Table'!$H:$H, 'Instrument Table'!$B:$B, $C1899)))</f>
        <v>Clarinet</v>
      </c>
      <c r="D1900" s="1" t="str">
        <f>VLOOKUP($C1900, 'Instrument Table'!$B:$C, 2, FALSE)</f>
        <v>Woodwinds</v>
      </c>
      <c r="E1900" s="1">
        <f t="shared" si="174"/>
        <v>1</v>
      </c>
      <c r="F1900" s="1">
        <f>_xlfn.XLOOKUP($C1900, 'Instrument Table'!$B:$B, 'Instrument Table'!$A:$A, "")</f>
        <v>30</v>
      </c>
      <c r="G1900" s="1" t="str">
        <f>TEXT(IF($B1900 = "Retail Item", IF((ROW($A1900) - 4504 - _xlfn.XMATCH($C1900, $C$4506:$C$5005, 0, 1)) &lt;= VLOOKUP($C1900, 'Instrument Table'!$B:$D, 3, FALSE), ROW($A1900) - 4504 - _xlfn.XMATCH($C1900, $C$4506:$C$5005, 0, 1), 0), 0), "00")</f>
        <v>00</v>
      </c>
      <c r="H1900" s="1" t="str">
        <f t="shared" si="175"/>
        <v>144</v>
      </c>
      <c r="I1900" s="1" t="str">
        <f t="shared" si="176"/>
        <v>13000-144</v>
      </c>
      <c r="J1900" s="1" t="str">
        <f t="shared" si="177"/>
        <v>Clarinet production item #144</v>
      </c>
      <c r="K1900" s="1" t="str">
        <f>IF(SUM(COUNTIFS(I:I, I1900)) &gt; 1, "DUPLICATE", "UNIQUE")</f>
        <v>UNIQUE</v>
      </c>
      <c r="L1900" s="18">
        <v>1</v>
      </c>
      <c r="M1900" s="28">
        <v>27</v>
      </c>
      <c r="N1900" s="6">
        <v>0</v>
      </c>
      <c r="O1900" s="30">
        <f t="shared" si="178"/>
        <v>27</v>
      </c>
      <c r="P1900" s="30">
        <f t="shared" si="179"/>
        <v>0</v>
      </c>
      <c r="Q1900" s="1">
        <f>COUNTIFS($P:$P, "&gt;" &amp; $P1900) + 1</f>
        <v>4746</v>
      </c>
      <c r="R1900" s="63">
        <f>(COUNTIFS($P:$P, "&gt;" &amp; $P1900) + 1) / (COUNTA($I:$I) - 1)</f>
        <v>0.94920000000000004</v>
      </c>
      <c r="S1900" s="23">
        <f>SUMIFS($P:$P, $Q:$Q, "&lt;" &amp; $Q1900)</f>
        <v>186547861</v>
      </c>
    </row>
    <row r="1901" spans="1:19" x14ac:dyDescent="0.25">
      <c r="A1901" s="1">
        <v>1896</v>
      </c>
      <c r="B1901" s="1" t="s">
        <v>2</v>
      </c>
      <c r="C1901" s="1" t="str">
        <f>IF($B1901 = "Production Item", _xlfn.XLOOKUP($A1901, 'Instrument Table'!$J:$J, 'Instrument Table'!$B:$B, $C1900), IF($B1901 = "Service Item", _xlfn.XLOOKUP($A1901, 'Instrument Table'!$I:$I, 'Instrument Table'!$B:$B, $C1900), _xlfn.XLOOKUP($A1901, 'Instrument Table'!$H:$H, 'Instrument Table'!$B:$B, $C1900)))</f>
        <v>Clarinet</v>
      </c>
      <c r="D1901" s="1" t="str">
        <f>VLOOKUP($C1901, 'Instrument Table'!$B:$C, 2, FALSE)</f>
        <v>Woodwinds</v>
      </c>
      <c r="E1901" s="1">
        <f t="shared" si="174"/>
        <v>1</v>
      </c>
      <c r="F1901" s="1">
        <f>_xlfn.XLOOKUP($C1901, 'Instrument Table'!$B:$B, 'Instrument Table'!$A:$A, "")</f>
        <v>30</v>
      </c>
      <c r="G1901" s="1" t="str">
        <f>TEXT(IF($B1901 = "Retail Item", IF((ROW($A1901) - 4504 - _xlfn.XMATCH($C1901, $C$4506:$C$5005, 0, 1)) &lt;= VLOOKUP($C1901, 'Instrument Table'!$B:$D, 3, FALSE), ROW($A1901) - 4504 - _xlfn.XMATCH($C1901, $C$4506:$C$5005, 0, 1), 0), 0), "00")</f>
        <v>00</v>
      </c>
      <c r="H1901" s="1" t="str">
        <f t="shared" si="175"/>
        <v>145</v>
      </c>
      <c r="I1901" s="1" t="str">
        <f t="shared" si="176"/>
        <v>13000-145</v>
      </c>
      <c r="J1901" s="1" t="str">
        <f t="shared" si="177"/>
        <v>Clarinet production item #145</v>
      </c>
      <c r="K1901" s="1" t="str">
        <f>IF(SUM(COUNTIFS(I:I, I1901)) &gt; 1, "DUPLICATE", "UNIQUE")</f>
        <v>UNIQUE</v>
      </c>
      <c r="L1901" s="18">
        <v>0</v>
      </c>
      <c r="M1901" s="28">
        <v>54</v>
      </c>
      <c r="N1901" s="6">
        <v>36</v>
      </c>
      <c r="O1901" s="30">
        <f t="shared" si="178"/>
        <v>0</v>
      </c>
      <c r="P1901" s="30">
        <f t="shared" si="179"/>
        <v>1944</v>
      </c>
      <c r="Q1901" s="1">
        <f>COUNTIFS($P:$P, "&gt;" &amp; $P1901) + 1</f>
        <v>3276</v>
      </c>
      <c r="R1901" s="63">
        <f>(COUNTIFS($P:$P, "&gt;" &amp; $P1901) + 1) / (COUNTA($I:$I) - 1)</f>
        <v>0.6552</v>
      </c>
      <c r="S1901" s="23">
        <f>SUMIFS($P:$P, $Q:$Q, "&lt;" &amp; $Q1901)</f>
        <v>185562800</v>
      </c>
    </row>
    <row r="1902" spans="1:19" x14ac:dyDescent="0.25">
      <c r="A1902" s="1">
        <v>1897</v>
      </c>
      <c r="B1902" s="1" t="s">
        <v>2</v>
      </c>
      <c r="C1902" s="1" t="str">
        <f>IF($B1902 = "Production Item", _xlfn.XLOOKUP($A1902, 'Instrument Table'!$J:$J, 'Instrument Table'!$B:$B, $C1901), IF($B1902 = "Service Item", _xlfn.XLOOKUP($A1902, 'Instrument Table'!$I:$I, 'Instrument Table'!$B:$B, $C1901), _xlfn.XLOOKUP($A1902, 'Instrument Table'!$H:$H, 'Instrument Table'!$B:$B, $C1901)))</f>
        <v>Clarinet</v>
      </c>
      <c r="D1902" s="1" t="str">
        <f>VLOOKUP($C1902, 'Instrument Table'!$B:$C, 2, FALSE)</f>
        <v>Woodwinds</v>
      </c>
      <c r="E1902" s="1">
        <f t="shared" si="174"/>
        <v>1</v>
      </c>
      <c r="F1902" s="1">
        <f>_xlfn.XLOOKUP($C1902, 'Instrument Table'!$B:$B, 'Instrument Table'!$A:$A, "")</f>
        <v>30</v>
      </c>
      <c r="G1902" s="1" t="str">
        <f>TEXT(IF($B1902 = "Retail Item", IF((ROW($A1902) - 4504 - _xlfn.XMATCH($C1902, $C$4506:$C$5005, 0, 1)) &lt;= VLOOKUP($C1902, 'Instrument Table'!$B:$D, 3, FALSE), ROW($A1902) - 4504 - _xlfn.XMATCH($C1902, $C$4506:$C$5005, 0, 1), 0), 0), "00")</f>
        <v>00</v>
      </c>
      <c r="H1902" s="1" t="str">
        <f t="shared" si="175"/>
        <v>146</v>
      </c>
      <c r="I1902" s="1" t="str">
        <f t="shared" si="176"/>
        <v>13000-146</v>
      </c>
      <c r="J1902" s="1" t="str">
        <f t="shared" si="177"/>
        <v>Clarinet production item #146</v>
      </c>
      <c r="K1902" s="1" t="str">
        <f>IF(SUM(COUNTIFS(I:I, I1902)) &gt; 1, "DUPLICATE", "UNIQUE")</f>
        <v>UNIQUE</v>
      </c>
      <c r="L1902" s="18">
        <v>2</v>
      </c>
      <c r="M1902" s="28">
        <v>84</v>
      </c>
      <c r="N1902" s="6">
        <v>9</v>
      </c>
      <c r="O1902" s="30">
        <f t="shared" si="178"/>
        <v>168</v>
      </c>
      <c r="P1902" s="30">
        <f t="shared" si="179"/>
        <v>756</v>
      </c>
      <c r="Q1902" s="1">
        <f>COUNTIFS($P:$P, "&gt;" &amp; $P1902) + 1</f>
        <v>3826</v>
      </c>
      <c r="R1902" s="63">
        <f>(COUNTIFS($P:$P, "&gt;" &amp; $P1902) + 1) / (COUNTA($I:$I) - 1)</f>
        <v>0.76519999999999999</v>
      </c>
      <c r="S1902" s="23">
        <f>SUMIFS($P:$P, $Q:$Q, "&lt;" &amp; $Q1902)</f>
        <v>186285726</v>
      </c>
    </row>
    <row r="1903" spans="1:19" x14ac:dyDescent="0.25">
      <c r="A1903" s="1">
        <v>1898</v>
      </c>
      <c r="B1903" s="1" t="s">
        <v>2</v>
      </c>
      <c r="C1903" s="1" t="str">
        <f>IF($B1903 = "Production Item", _xlfn.XLOOKUP($A1903, 'Instrument Table'!$J:$J, 'Instrument Table'!$B:$B, $C1902), IF($B1903 = "Service Item", _xlfn.XLOOKUP($A1903, 'Instrument Table'!$I:$I, 'Instrument Table'!$B:$B, $C1902), _xlfn.XLOOKUP($A1903, 'Instrument Table'!$H:$H, 'Instrument Table'!$B:$B, $C1902)))</f>
        <v>Clarinet</v>
      </c>
      <c r="D1903" s="1" t="str">
        <f>VLOOKUP($C1903, 'Instrument Table'!$B:$C, 2, FALSE)</f>
        <v>Woodwinds</v>
      </c>
      <c r="E1903" s="1">
        <f t="shared" si="174"/>
        <v>1</v>
      </c>
      <c r="F1903" s="1">
        <f>_xlfn.XLOOKUP($C1903, 'Instrument Table'!$B:$B, 'Instrument Table'!$A:$A, "")</f>
        <v>30</v>
      </c>
      <c r="G1903" s="1" t="str">
        <f>TEXT(IF($B1903 = "Retail Item", IF((ROW($A1903) - 4504 - _xlfn.XMATCH($C1903, $C$4506:$C$5005, 0, 1)) &lt;= VLOOKUP($C1903, 'Instrument Table'!$B:$D, 3, FALSE), ROW($A1903) - 4504 - _xlfn.XMATCH($C1903, $C$4506:$C$5005, 0, 1), 0), 0), "00")</f>
        <v>00</v>
      </c>
      <c r="H1903" s="1" t="str">
        <f t="shared" si="175"/>
        <v>147</v>
      </c>
      <c r="I1903" s="1" t="str">
        <f t="shared" si="176"/>
        <v>13000-147</v>
      </c>
      <c r="J1903" s="1" t="str">
        <f t="shared" si="177"/>
        <v>Clarinet production item #147</v>
      </c>
      <c r="K1903" s="1" t="str">
        <f>IF(SUM(COUNTIFS(I:I, I1903)) &gt; 1, "DUPLICATE", "UNIQUE")</f>
        <v>UNIQUE</v>
      </c>
      <c r="L1903" s="18">
        <v>16</v>
      </c>
      <c r="M1903" s="28">
        <v>64</v>
      </c>
      <c r="N1903" s="6">
        <v>9</v>
      </c>
      <c r="O1903" s="30">
        <f t="shared" si="178"/>
        <v>1024</v>
      </c>
      <c r="P1903" s="30">
        <f t="shared" si="179"/>
        <v>576</v>
      </c>
      <c r="Q1903" s="1">
        <f>COUNTIFS($P:$P, "&gt;" &amp; $P1903) + 1</f>
        <v>3957</v>
      </c>
      <c r="R1903" s="63">
        <f>(COUNTIFS($P:$P, "&gt;" &amp; $P1903) + 1) / (COUNTA($I:$I) - 1)</f>
        <v>0.79139999999999999</v>
      </c>
      <c r="S1903" s="23">
        <f>SUMIFS($P:$P, $Q:$Q, "&lt;" &amp; $Q1903)</f>
        <v>186374368</v>
      </c>
    </row>
    <row r="1904" spans="1:19" x14ac:dyDescent="0.25">
      <c r="A1904" s="1">
        <v>1899</v>
      </c>
      <c r="B1904" s="1" t="s">
        <v>2</v>
      </c>
      <c r="C1904" s="1" t="str">
        <f>IF($B1904 = "Production Item", _xlfn.XLOOKUP($A1904, 'Instrument Table'!$J:$J, 'Instrument Table'!$B:$B, $C1903), IF($B1904 = "Service Item", _xlfn.XLOOKUP($A1904, 'Instrument Table'!$I:$I, 'Instrument Table'!$B:$B, $C1903), _xlfn.XLOOKUP($A1904, 'Instrument Table'!$H:$H, 'Instrument Table'!$B:$B, $C1903)))</f>
        <v>Clarinet</v>
      </c>
      <c r="D1904" s="1" t="str">
        <f>VLOOKUP($C1904, 'Instrument Table'!$B:$C, 2, FALSE)</f>
        <v>Woodwinds</v>
      </c>
      <c r="E1904" s="1">
        <f t="shared" si="174"/>
        <v>1</v>
      </c>
      <c r="F1904" s="1">
        <f>_xlfn.XLOOKUP($C1904, 'Instrument Table'!$B:$B, 'Instrument Table'!$A:$A, "")</f>
        <v>30</v>
      </c>
      <c r="G1904" s="1" t="str">
        <f>TEXT(IF($B1904 = "Retail Item", IF((ROW($A1904) - 4504 - _xlfn.XMATCH($C1904, $C$4506:$C$5005, 0, 1)) &lt;= VLOOKUP($C1904, 'Instrument Table'!$B:$D, 3, FALSE), ROW($A1904) - 4504 - _xlfn.XMATCH($C1904, $C$4506:$C$5005, 0, 1), 0), 0), "00")</f>
        <v>00</v>
      </c>
      <c r="H1904" s="1" t="str">
        <f t="shared" si="175"/>
        <v>148</v>
      </c>
      <c r="I1904" s="1" t="str">
        <f t="shared" si="176"/>
        <v>13000-148</v>
      </c>
      <c r="J1904" s="1" t="str">
        <f t="shared" si="177"/>
        <v>Clarinet production item #148</v>
      </c>
      <c r="K1904" s="1" t="str">
        <f>IF(SUM(COUNTIFS(I:I, I1904)) &gt; 1, "DUPLICATE", "UNIQUE")</f>
        <v>UNIQUE</v>
      </c>
      <c r="L1904" s="18">
        <v>1</v>
      </c>
      <c r="M1904" s="28">
        <v>11</v>
      </c>
      <c r="N1904" s="6">
        <v>16</v>
      </c>
      <c r="O1904" s="30">
        <f t="shared" si="178"/>
        <v>11</v>
      </c>
      <c r="P1904" s="30">
        <f t="shared" si="179"/>
        <v>176</v>
      </c>
      <c r="Q1904" s="1">
        <f>COUNTIFS($P:$P, "&gt;" &amp; $P1904) + 1</f>
        <v>4365</v>
      </c>
      <c r="R1904" s="63">
        <f>(COUNTIFS($P:$P, "&gt;" &amp; $P1904) + 1) / (COUNTA($I:$I) - 1)</f>
        <v>0.873</v>
      </c>
      <c r="S1904" s="23">
        <f>SUMIFS($P:$P, $Q:$Q, "&lt;" &amp; $Q1904)</f>
        <v>186520292</v>
      </c>
    </row>
    <row r="1905" spans="1:19" x14ac:dyDescent="0.25">
      <c r="A1905" s="1">
        <v>1900</v>
      </c>
      <c r="B1905" s="1" t="s">
        <v>2</v>
      </c>
      <c r="C1905" s="1" t="str">
        <f>IF($B1905 = "Production Item", _xlfn.XLOOKUP($A1905, 'Instrument Table'!$J:$J, 'Instrument Table'!$B:$B, $C1904), IF($B1905 = "Service Item", _xlfn.XLOOKUP($A1905, 'Instrument Table'!$I:$I, 'Instrument Table'!$B:$B, $C1904), _xlfn.XLOOKUP($A1905, 'Instrument Table'!$H:$H, 'Instrument Table'!$B:$B, $C1904)))</f>
        <v>Clarinet</v>
      </c>
      <c r="D1905" s="1" t="str">
        <f>VLOOKUP($C1905, 'Instrument Table'!$B:$C, 2, FALSE)</f>
        <v>Woodwinds</v>
      </c>
      <c r="E1905" s="1">
        <f t="shared" si="174"/>
        <v>1</v>
      </c>
      <c r="F1905" s="1">
        <f>_xlfn.XLOOKUP($C1905, 'Instrument Table'!$B:$B, 'Instrument Table'!$A:$A, "")</f>
        <v>30</v>
      </c>
      <c r="G1905" s="1" t="str">
        <f>TEXT(IF($B1905 = "Retail Item", IF((ROW($A1905) - 4504 - _xlfn.XMATCH($C1905, $C$4506:$C$5005, 0, 1)) &lt;= VLOOKUP($C1905, 'Instrument Table'!$B:$D, 3, FALSE), ROW($A1905) - 4504 - _xlfn.XMATCH($C1905, $C$4506:$C$5005, 0, 1), 0), 0), "00")</f>
        <v>00</v>
      </c>
      <c r="H1905" s="1" t="str">
        <f t="shared" si="175"/>
        <v>149</v>
      </c>
      <c r="I1905" s="1" t="str">
        <f t="shared" si="176"/>
        <v>13000-149</v>
      </c>
      <c r="J1905" s="1" t="str">
        <f t="shared" si="177"/>
        <v>Clarinet production item #149</v>
      </c>
      <c r="K1905" s="1" t="str">
        <f>IF(SUM(COUNTIFS(I:I, I1905)) &gt; 1, "DUPLICATE", "UNIQUE")</f>
        <v>UNIQUE</v>
      </c>
      <c r="L1905" s="18">
        <v>0</v>
      </c>
      <c r="M1905" s="28">
        <v>5</v>
      </c>
      <c r="N1905" s="6">
        <v>9</v>
      </c>
      <c r="O1905" s="30">
        <f t="shared" si="178"/>
        <v>0</v>
      </c>
      <c r="P1905" s="30">
        <f t="shared" si="179"/>
        <v>45</v>
      </c>
      <c r="Q1905" s="1">
        <f>COUNTIFS($P:$P, "&gt;" &amp; $P1905) + 1</f>
        <v>4630</v>
      </c>
      <c r="R1905" s="63">
        <f>(COUNTIFS($P:$P, "&gt;" &amp; $P1905) + 1) / (COUNTA($I:$I) - 1)</f>
        <v>0.92600000000000005</v>
      </c>
      <c r="S1905" s="23">
        <f>SUMIFS($P:$P, $Q:$Q, "&lt;" &amp; $Q1905)</f>
        <v>186545205</v>
      </c>
    </row>
    <row r="1906" spans="1:19" x14ac:dyDescent="0.25">
      <c r="A1906" s="1">
        <v>1901</v>
      </c>
      <c r="B1906" s="1" t="s">
        <v>2</v>
      </c>
      <c r="C1906" s="1" t="str">
        <f>IF($B1906 = "Production Item", _xlfn.XLOOKUP($A1906, 'Instrument Table'!$J:$J, 'Instrument Table'!$B:$B, $C1905), IF($B1906 = "Service Item", _xlfn.XLOOKUP($A1906, 'Instrument Table'!$I:$I, 'Instrument Table'!$B:$B, $C1905), _xlfn.XLOOKUP($A1906, 'Instrument Table'!$H:$H, 'Instrument Table'!$B:$B, $C1905)))</f>
        <v>Clarinet</v>
      </c>
      <c r="D1906" s="1" t="str">
        <f>VLOOKUP($C1906, 'Instrument Table'!$B:$C, 2, FALSE)</f>
        <v>Woodwinds</v>
      </c>
      <c r="E1906" s="1">
        <f t="shared" si="174"/>
        <v>1</v>
      </c>
      <c r="F1906" s="1">
        <f>_xlfn.XLOOKUP($C1906, 'Instrument Table'!$B:$B, 'Instrument Table'!$A:$A, "")</f>
        <v>30</v>
      </c>
      <c r="G1906" s="1" t="str">
        <f>TEXT(IF($B1906 = "Retail Item", IF((ROW($A1906) - 4504 - _xlfn.XMATCH($C1906, $C$4506:$C$5005, 0, 1)) &lt;= VLOOKUP($C1906, 'Instrument Table'!$B:$D, 3, FALSE), ROW($A1906) - 4504 - _xlfn.XMATCH($C1906, $C$4506:$C$5005, 0, 1), 0), 0), "00")</f>
        <v>00</v>
      </c>
      <c r="H1906" s="1" t="str">
        <f t="shared" si="175"/>
        <v>150</v>
      </c>
      <c r="I1906" s="1" t="str">
        <f t="shared" si="176"/>
        <v>13000-150</v>
      </c>
      <c r="J1906" s="1" t="str">
        <f t="shared" si="177"/>
        <v>Clarinet production item #150</v>
      </c>
      <c r="K1906" s="1" t="str">
        <f>IF(SUM(COUNTIFS(I:I, I1906)) &gt; 1, "DUPLICATE", "UNIQUE")</f>
        <v>UNIQUE</v>
      </c>
      <c r="L1906" s="18">
        <v>0</v>
      </c>
      <c r="M1906" s="28">
        <v>4</v>
      </c>
      <c r="N1906" s="6">
        <v>0</v>
      </c>
      <c r="O1906" s="30">
        <f t="shared" si="178"/>
        <v>0</v>
      </c>
      <c r="P1906" s="30">
        <f t="shared" si="179"/>
        <v>0</v>
      </c>
      <c r="Q1906" s="1">
        <f>COUNTIFS($P:$P, "&gt;" &amp; $P1906) + 1</f>
        <v>4746</v>
      </c>
      <c r="R1906" s="63">
        <f>(COUNTIFS($P:$P, "&gt;" &amp; $P1906) + 1) / (COUNTA($I:$I) - 1)</f>
        <v>0.94920000000000004</v>
      </c>
      <c r="S1906" s="23">
        <f>SUMIFS($P:$P, $Q:$Q, "&lt;" &amp; $Q1906)</f>
        <v>186547861</v>
      </c>
    </row>
    <row r="1907" spans="1:19" x14ac:dyDescent="0.25">
      <c r="A1907" s="1">
        <v>1902</v>
      </c>
      <c r="B1907" s="1" t="s">
        <v>2</v>
      </c>
      <c r="C1907" s="1" t="str">
        <f>IF($B1907 = "Production Item", _xlfn.XLOOKUP($A1907, 'Instrument Table'!$J:$J, 'Instrument Table'!$B:$B, $C1906), IF($B1907 = "Service Item", _xlfn.XLOOKUP($A1907, 'Instrument Table'!$I:$I, 'Instrument Table'!$B:$B, $C1906), _xlfn.XLOOKUP($A1907, 'Instrument Table'!$H:$H, 'Instrument Table'!$B:$B, $C1906)))</f>
        <v>Clarinet</v>
      </c>
      <c r="D1907" s="1" t="str">
        <f>VLOOKUP($C1907, 'Instrument Table'!$B:$C, 2, FALSE)</f>
        <v>Woodwinds</v>
      </c>
      <c r="E1907" s="1">
        <f t="shared" si="174"/>
        <v>1</v>
      </c>
      <c r="F1907" s="1">
        <f>_xlfn.XLOOKUP($C1907, 'Instrument Table'!$B:$B, 'Instrument Table'!$A:$A, "")</f>
        <v>30</v>
      </c>
      <c r="G1907" s="1" t="str">
        <f>TEXT(IF($B1907 = "Retail Item", IF((ROW($A1907) - 4504 - _xlfn.XMATCH($C1907, $C$4506:$C$5005, 0, 1)) &lt;= VLOOKUP($C1907, 'Instrument Table'!$B:$D, 3, FALSE), ROW($A1907) - 4504 - _xlfn.XMATCH($C1907, $C$4506:$C$5005, 0, 1), 0), 0), "00")</f>
        <v>00</v>
      </c>
      <c r="H1907" s="1" t="str">
        <f t="shared" si="175"/>
        <v>151</v>
      </c>
      <c r="I1907" s="1" t="str">
        <f t="shared" si="176"/>
        <v>13000-151</v>
      </c>
      <c r="J1907" s="1" t="str">
        <f t="shared" si="177"/>
        <v>Clarinet production item #151</v>
      </c>
      <c r="K1907" s="1" t="str">
        <f>IF(SUM(COUNTIFS(I:I, I1907)) &gt; 1, "DUPLICATE", "UNIQUE")</f>
        <v>UNIQUE</v>
      </c>
      <c r="L1907" s="18">
        <v>8</v>
      </c>
      <c r="M1907" s="28">
        <v>17</v>
      </c>
      <c r="N1907" s="6">
        <v>225</v>
      </c>
      <c r="O1907" s="30">
        <f t="shared" si="178"/>
        <v>136</v>
      </c>
      <c r="P1907" s="30">
        <f t="shared" si="179"/>
        <v>3825</v>
      </c>
      <c r="Q1907" s="1">
        <f>COUNTIFS($P:$P, "&gt;" &amp; $P1907) + 1</f>
        <v>2692</v>
      </c>
      <c r="R1907" s="63">
        <f>(COUNTIFS($P:$P, "&gt;" &amp; $P1907) + 1) / (COUNTA($I:$I) - 1)</f>
        <v>0.53839999999999999</v>
      </c>
      <c r="S1907" s="23">
        <f>SUMIFS($P:$P, $Q:$Q, "&lt;" &amp; $Q1907)</f>
        <v>183936173</v>
      </c>
    </row>
    <row r="1908" spans="1:19" x14ac:dyDescent="0.25">
      <c r="A1908" s="1">
        <v>1903</v>
      </c>
      <c r="B1908" s="1" t="s">
        <v>2</v>
      </c>
      <c r="C1908" s="1" t="str">
        <f>IF($B1908 = "Production Item", _xlfn.XLOOKUP($A1908, 'Instrument Table'!$J:$J, 'Instrument Table'!$B:$B, $C1907), IF($B1908 = "Service Item", _xlfn.XLOOKUP($A1908, 'Instrument Table'!$I:$I, 'Instrument Table'!$B:$B, $C1907), _xlfn.XLOOKUP($A1908, 'Instrument Table'!$H:$H, 'Instrument Table'!$B:$B, $C1907)))</f>
        <v>Clarinet</v>
      </c>
      <c r="D1908" s="1" t="str">
        <f>VLOOKUP($C1908, 'Instrument Table'!$B:$C, 2, FALSE)</f>
        <v>Woodwinds</v>
      </c>
      <c r="E1908" s="1">
        <f t="shared" si="174"/>
        <v>1</v>
      </c>
      <c r="F1908" s="1">
        <f>_xlfn.XLOOKUP($C1908, 'Instrument Table'!$B:$B, 'Instrument Table'!$A:$A, "")</f>
        <v>30</v>
      </c>
      <c r="G1908" s="1" t="str">
        <f>TEXT(IF($B1908 = "Retail Item", IF((ROW($A1908) - 4504 - _xlfn.XMATCH($C1908, $C$4506:$C$5005, 0, 1)) &lt;= VLOOKUP($C1908, 'Instrument Table'!$B:$D, 3, FALSE), ROW($A1908) - 4504 - _xlfn.XMATCH($C1908, $C$4506:$C$5005, 0, 1), 0), 0), "00")</f>
        <v>00</v>
      </c>
      <c r="H1908" s="1" t="str">
        <f t="shared" si="175"/>
        <v>152</v>
      </c>
      <c r="I1908" s="1" t="str">
        <f t="shared" si="176"/>
        <v>13000-152</v>
      </c>
      <c r="J1908" s="1" t="str">
        <f t="shared" si="177"/>
        <v>Clarinet production item #152</v>
      </c>
      <c r="K1908" s="1" t="str">
        <f>IF(SUM(COUNTIFS(I:I, I1908)) &gt; 1, "DUPLICATE", "UNIQUE")</f>
        <v>UNIQUE</v>
      </c>
      <c r="L1908" s="18">
        <v>4</v>
      </c>
      <c r="M1908" s="28">
        <v>31</v>
      </c>
      <c r="N1908" s="6">
        <v>289</v>
      </c>
      <c r="O1908" s="30">
        <f t="shared" si="178"/>
        <v>124</v>
      </c>
      <c r="P1908" s="30">
        <f t="shared" si="179"/>
        <v>8959</v>
      </c>
      <c r="Q1908" s="1">
        <f>COUNTIFS($P:$P, "&gt;" &amp; $P1908) + 1</f>
        <v>1869</v>
      </c>
      <c r="R1908" s="63">
        <f>(COUNTIFS($P:$P, "&gt;" &amp; $P1908) + 1) / (COUNTA($I:$I) - 1)</f>
        <v>0.37380000000000002</v>
      </c>
      <c r="S1908" s="23">
        <f>SUMIFS($P:$P, $Q:$Q, "&lt;" &amp; $Q1908)</f>
        <v>178887373</v>
      </c>
    </row>
    <row r="1909" spans="1:19" x14ac:dyDescent="0.25">
      <c r="A1909" s="1">
        <v>1904</v>
      </c>
      <c r="B1909" s="1" t="s">
        <v>2</v>
      </c>
      <c r="C1909" s="1" t="str">
        <f>IF($B1909 = "Production Item", _xlfn.XLOOKUP($A1909, 'Instrument Table'!$J:$J, 'Instrument Table'!$B:$B, $C1908), IF($B1909 = "Service Item", _xlfn.XLOOKUP($A1909, 'Instrument Table'!$I:$I, 'Instrument Table'!$B:$B, $C1908), _xlfn.XLOOKUP($A1909, 'Instrument Table'!$H:$H, 'Instrument Table'!$B:$B, $C1908)))</f>
        <v>Clarinet</v>
      </c>
      <c r="D1909" s="1" t="str">
        <f>VLOOKUP($C1909, 'Instrument Table'!$B:$C, 2, FALSE)</f>
        <v>Woodwinds</v>
      </c>
      <c r="E1909" s="1">
        <f t="shared" si="174"/>
        <v>1</v>
      </c>
      <c r="F1909" s="1">
        <f>_xlfn.XLOOKUP($C1909, 'Instrument Table'!$B:$B, 'Instrument Table'!$A:$A, "")</f>
        <v>30</v>
      </c>
      <c r="G1909" s="1" t="str">
        <f>TEXT(IF($B1909 = "Retail Item", IF((ROW($A1909) - 4504 - _xlfn.XMATCH($C1909, $C$4506:$C$5005, 0, 1)) &lt;= VLOOKUP($C1909, 'Instrument Table'!$B:$D, 3, FALSE), ROW($A1909) - 4504 - _xlfn.XMATCH($C1909, $C$4506:$C$5005, 0, 1), 0), 0), "00")</f>
        <v>00</v>
      </c>
      <c r="H1909" s="1" t="str">
        <f t="shared" si="175"/>
        <v>153</v>
      </c>
      <c r="I1909" s="1" t="str">
        <f t="shared" si="176"/>
        <v>13000-153</v>
      </c>
      <c r="J1909" s="1" t="str">
        <f t="shared" si="177"/>
        <v>Clarinet production item #153</v>
      </c>
      <c r="K1909" s="1" t="str">
        <f>IF(SUM(COUNTIFS(I:I, I1909)) &gt; 1, "DUPLICATE", "UNIQUE")</f>
        <v>UNIQUE</v>
      </c>
      <c r="L1909" s="18">
        <v>0</v>
      </c>
      <c r="M1909" s="28">
        <v>2</v>
      </c>
      <c r="N1909" s="6">
        <v>36</v>
      </c>
      <c r="O1909" s="30">
        <f t="shared" si="178"/>
        <v>0</v>
      </c>
      <c r="P1909" s="30">
        <f t="shared" si="179"/>
        <v>72</v>
      </c>
      <c r="Q1909" s="1">
        <f>COUNTIFS($P:$P, "&gt;" &amp; $P1909) + 1</f>
        <v>4534</v>
      </c>
      <c r="R1909" s="63">
        <f>(COUNTIFS($P:$P, "&gt;" &amp; $P1909) + 1) / (COUNTA($I:$I) - 1)</f>
        <v>0.90680000000000005</v>
      </c>
      <c r="S1909" s="23">
        <f>SUMIFS($P:$P, $Q:$Q, "&lt;" &amp; $Q1909)</f>
        <v>186539538</v>
      </c>
    </row>
    <row r="1910" spans="1:19" x14ac:dyDescent="0.25">
      <c r="A1910" s="1">
        <v>1905</v>
      </c>
      <c r="B1910" s="1" t="s">
        <v>2</v>
      </c>
      <c r="C1910" s="1" t="str">
        <f>IF($B1910 = "Production Item", _xlfn.XLOOKUP($A1910, 'Instrument Table'!$J:$J, 'Instrument Table'!$B:$B, $C1909), IF($B1910 = "Service Item", _xlfn.XLOOKUP($A1910, 'Instrument Table'!$I:$I, 'Instrument Table'!$B:$B, $C1909), _xlfn.XLOOKUP($A1910, 'Instrument Table'!$H:$H, 'Instrument Table'!$B:$B, $C1909)))</f>
        <v>Clarinet</v>
      </c>
      <c r="D1910" s="1" t="str">
        <f>VLOOKUP($C1910, 'Instrument Table'!$B:$C, 2, FALSE)</f>
        <v>Woodwinds</v>
      </c>
      <c r="E1910" s="1">
        <f t="shared" si="174"/>
        <v>1</v>
      </c>
      <c r="F1910" s="1">
        <f>_xlfn.XLOOKUP($C1910, 'Instrument Table'!$B:$B, 'Instrument Table'!$A:$A, "")</f>
        <v>30</v>
      </c>
      <c r="G1910" s="1" t="str">
        <f>TEXT(IF($B1910 = "Retail Item", IF((ROW($A1910) - 4504 - _xlfn.XMATCH($C1910, $C$4506:$C$5005, 0, 1)) &lt;= VLOOKUP($C1910, 'Instrument Table'!$B:$D, 3, FALSE), ROW($A1910) - 4504 - _xlfn.XMATCH($C1910, $C$4506:$C$5005, 0, 1), 0), 0), "00")</f>
        <v>00</v>
      </c>
      <c r="H1910" s="1" t="str">
        <f t="shared" si="175"/>
        <v>154</v>
      </c>
      <c r="I1910" s="1" t="str">
        <f t="shared" si="176"/>
        <v>13000-154</v>
      </c>
      <c r="J1910" s="1" t="str">
        <f t="shared" si="177"/>
        <v>Clarinet production item #154</v>
      </c>
      <c r="K1910" s="1" t="str">
        <f>IF(SUM(COUNTIFS(I:I, I1910)) &gt; 1, "DUPLICATE", "UNIQUE")</f>
        <v>UNIQUE</v>
      </c>
      <c r="L1910" s="18">
        <v>2</v>
      </c>
      <c r="M1910" s="28">
        <v>40</v>
      </c>
      <c r="N1910" s="6">
        <v>361</v>
      </c>
      <c r="O1910" s="30">
        <f t="shared" si="178"/>
        <v>80</v>
      </c>
      <c r="P1910" s="30">
        <f t="shared" si="179"/>
        <v>14440</v>
      </c>
      <c r="Q1910" s="1">
        <f>COUNTIFS($P:$P, "&gt;" &amp; $P1910) + 1</f>
        <v>1388</v>
      </c>
      <c r="R1910" s="63">
        <f>(COUNTIFS($P:$P, "&gt;" &amp; $P1910) + 1) / (COUNTA($I:$I) - 1)</f>
        <v>0.27760000000000001</v>
      </c>
      <c r="S1910" s="23">
        <f>SUMIFS($P:$P, $Q:$Q, "&lt;" &amp; $Q1910)</f>
        <v>173303118</v>
      </c>
    </row>
    <row r="1911" spans="1:19" x14ac:dyDescent="0.25">
      <c r="A1911" s="1">
        <v>1906</v>
      </c>
      <c r="B1911" s="1" t="s">
        <v>2</v>
      </c>
      <c r="C1911" s="1" t="str">
        <f>IF($B1911 = "Production Item", _xlfn.XLOOKUP($A1911, 'Instrument Table'!$J:$J, 'Instrument Table'!$B:$B, $C1910), IF($B1911 = "Service Item", _xlfn.XLOOKUP($A1911, 'Instrument Table'!$I:$I, 'Instrument Table'!$B:$B, $C1910), _xlfn.XLOOKUP($A1911, 'Instrument Table'!$H:$H, 'Instrument Table'!$B:$B, $C1910)))</f>
        <v>Clarinet</v>
      </c>
      <c r="D1911" s="1" t="str">
        <f>VLOOKUP($C1911, 'Instrument Table'!$B:$C, 2, FALSE)</f>
        <v>Woodwinds</v>
      </c>
      <c r="E1911" s="1">
        <f t="shared" si="174"/>
        <v>1</v>
      </c>
      <c r="F1911" s="1">
        <f>_xlfn.XLOOKUP($C1911, 'Instrument Table'!$B:$B, 'Instrument Table'!$A:$A, "")</f>
        <v>30</v>
      </c>
      <c r="G1911" s="1" t="str">
        <f>TEXT(IF($B1911 = "Retail Item", IF((ROW($A1911) - 4504 - _xlfn.XMATCH($C1911, $C$4506:$C$5005, 0, 1)) &lt;= VLOOKUP($C1911, 'Instrument Table'!$B:$D, 3, FALSE), ROW($A1911) - 4504 - _xlfn.XMATCH($C1911, $C$4506:$C$5005, 0, 1), 0), 0), "00")</f>
        <v>00</v>
      </c>
      <c r="H1911" s="1" t="str">
        <f t="shared" si="175"/>
        <v>155</v>
      </c>
      <c r="I1911" s="1" t="str">
        <f t="shared" si="176"/>
        <v>13000-155</v>
      </c>
      <c r="J1911" s="1" t="str">
        <f t="shared" si="177"/>
        <v>Clarinet production item #155</v>
      </c>
      <c r="K1911" s="1" t="str">
        <f>IF(SUM(COUNTIFS(I:I, I1911)) &gt; 1, "DUPLICATE", "UNIQUE")</f>
        <v>UNIQUE</v>
      </c>
      <c r="L1911" s="18">
        <v>1</v>
      </c>
      <c r="M1911" s="28">
        <v>19</v>
      </c>
      <c r="N1911" s="6">
        <v>100</v>
      </c>
      <c r="O1911" s="30">
        <f t="shared" si="178"/>
        <v>19</v>
      </c>
      <c r="P1911" s="30">
        <f t="shared" si="179"/>
        <v>1900</v>
      </c>
      <c r="Q1911" s="1">
        <f>COUNTIFS($P:$P, "&gt;" &amp; $P1911) + 1</f>
        <v>3297</v>
      </c>
      <c r="R1911" s="63">
        <f>(COUNTIFS($P:$P, "&gt;" &amp; $P1911) + 1) / (COUNTA($I:$I) - 1)</f>
        <v>0.65939999999999999</v>
      </c>
      <c r="S1911" s="23">
        <f>SUMIFS($P:$P, $Q:$Q, "&lt;" &amp; $Q1911)</f>
        <v>185603355</v>
      </c>
    </row>
    <row r="1912" spans="1:19" x14ac:dyDescent="0.25">
      <c r="A1912" s="1">
        <v>1907</v>
      </c>
      <c r="B1912" s="1" t="s">
        <v>2</v>
      </c>
      <c r="C1912" s="1" t="str">
        <f>IF($B1912 = "Production Item", _xlfn.XLOOKUP($A1912, 'Instrument Table'!$J:$J, 'Instrument Table'!$B:$B, $C1911), IF($B1912 = "Service Item", _xlfn.XLOOKUP($A1912, 'Instrument Table'!$I:$I, 'Instrument Table'!$B:$B, $C1911), _xlfn.XLOOKUP($A1912, 'Instrument Table'!$H:$H, 'Instrument Table'!$B:$B, $C1911)))</f>
        <v>Clarinet</v>
      </c>
      <c r="D1912" s="1" t="str">
        <f>VLOOKUP($C1912, 'Instrument Table'!$B:$C, 2, FALSE)</f>
        <v>Woodwinds</v>
      </c>
      <c r="E1912" s="1">
        <f t="shared" si="174"/>
        <v>1</v>
      </c>
      <c r="F1912" s="1">
        <f>_xlfn.XLOOKUP($C1912, 'Instrument Table'!$B:$B, 'Instrument Table'!$A:$A, "")</f>
        <v>30</v>
      </c>
      <c r="G1912" s="1" t="str">
        <f>TEXT(IF($B1912 = "Retail Item", IF((ROW($A1912) - 4504 - _xlfn.XMATCH($C1912, $C$4506:$C$5005, 0, 1)) &lt;= VLOOKUP($C1912, 'Instrument Table'!$B:$D, 3, FALSE), ROW($A1912) - 4504 - _xlfn.XMATCH($C1912, $C$4506:$C$5005, 0, 1), 0), 0), "00")</f>
        <v>00</v>
      </c>
      <c r="H1912" s="1" t="str">
        <f t="shared" si="175"/>
        <v>156</v>
      </c>
      <c r="I1912" s="1" t="str">
        <f t="shared" si="176"/>
        <v>13000-156</v>
      </c>
      <c r="J1912" s="1" t="str">
        <f t="shared" si="177"/>
        <v>Clarinet production item #156</v>
      </c>
      <c r="K1912" s="1" t="str">
        <f>IF(SUM(COUNTIFS(I:I, I1912)) &gt; 1, "DUPLICATE", "UNIQUE")</f>
        <v>UNIQUE</v>
      </c>
      <c r="L1912" s="18">
        <v>1</v>
      </c>
      <c r="M1912" s="28">
        <v>75</v>
      </c>
      <c r="N1912" s="6">
        <v>25</v>
      </c>
      <c r="O1912" s="30">
        <f t="shared" si="178"/>
        <v>75</v>
      </c>
      <c r="P1912" s="30">
        <f t="shared" si="179"/>
        <v>1875</v>
      </c>
      <c r="Q1912" s="1">
        <f>COUNTIFS($P:$P, "&gt;" &amp; $P1912) + 1</f>
        <v>3303</v>
      </c>
      <c r="R1912" s="63">
        <f>(COUNTIFS($P:$P, "&gt;" &amp; $P1912) + 1) / (COUNTA($I:$I) - 1)</f>
        <v>0.66059999999999997</v>
      </c>
      <c r="S1912" s="23">
        <f>SUMIFS($P:$P, $Q:$Q, "&lt;" &amp; $Q1912)</f>
        <v>185614755</v>
      </c>
    </row>
    <row r="1913" spans="1:19" x14ac:dyDescent="0.25">
      <c r="A1913" s="1">
        <v>1908</v>
      </c>
      <c r="B1913" s="1" t="s">
        <v>2</v>
      </c>
      <c r="C1913" s="1" t="str">
        <f>IF($B1913 = "Production Item", _xlfn.XLOOKUP($A1913, 'Instrument Table'!$J:$J, 'Instrument Table'!$B:$B, $C1912), IF($B1913 = "Service Item", _xlfn.XLOOKUP($A1913, 'Instrument Table'!$I:$I, 'Instrument Table'!$B:$B, $C1912), _xlfn.XLOOKUP($A1913, 'Instrument Table'!$H:$H, 'Instrument Table'!$B:$B, $C1912)))</f>
        <v>Clarinet</v>
      </c>
      <c r="D1913" s="1" t="str">
        <f>VLOOKUP($C1913, 'Instrument Table'!$B:$C, 2, FALSE)</f>
        <v>Woodwinds</v>
      </c>
      <c r="E1913" s="1">
        <f t="shared" si="174"/>
        <v>1</v>
      </c>
      <c r="F1913" s="1">
        <f>_xlfn.XLOOKUP($C1913, 'Instrument Table'!$B:$B, 'Instrument Table'!$A:$A, "")</f>
        <v>30</v>
      </c>
      <c r="G1913" s="1" t="str">
        <f>TEXT(IF($B1913 = "Retail Item", IF((ROW($A1913) - 4504 - _xlfn.XMATCH($C1913, $C$4506:$C$5005, 0, 1)) &lt;= VLOOKUP($C1913, 'Instrument Table'!$B:$D, 3, FALSE), ROW($A1913) - 4504 - _xlfn.XMATCH($C1913, $C$4506:$C$5005, 0, 1), 0), 0), "00")</f>
        <v>00</v>
      </c>
      <c r="H1913" s="1" t="str">
        <f t="shared" si="175"/>
        <v>157</v>
      </c>
      <c r="I1913" s="1" t="str">
        <f t="shared" si="176"/>
        <v>13000-157</v>
      </c>
      <c r="J1913" s="1" t="str">
        <f t="shared" si="177"/>
        <v>Clarinet production item #157</v>
      </c>
      <c r="K1913" s="1" t="str">
        <f>IF(SUM(COUNTIFS(I:I, I1913)) &gt; 1, "DUPLICATE", "UNIQUE")</f>
        <v>UNIQUE</v>
      </c>
      <c r="L1913" s="18">
        <v>0</v>
      </c>
      <c r="M1913" s="28">
        <v>13</v>
      </c>
      <c r="N1913" s="6">
        <v>400</v>
      </c>
      <c r="O1913" s="30">
        <f t="shared" si="178"/>
        <v>0</v>
      </c>
      <c r="P1913" s="30">
        <f t="shared" si="179"/>
        <v>5200</v>
      </c>
      <c r="Q1913" s="1">
        <f>COUNTIFS($P:$P, "&gt;" &amp; $P1913) + 1</f>
        <v>2403</v>
      </c>
      <c r="R1913" s="63">
        <f>(COUNTIFS($P:$P, "&gt;" &amp; $P1913) + 1) / (COUNTA($I:$I) - 1)</f>
        <v>0.48060000000000003</v>
      </c>
      <c r="S1913" s="23">
        <f>SUMIFS($P:$P, $Q:$Q, "&lt;" &amp; $Q1913)</f>
        <v>182632128</v>
      </c>
    </row>
    <row r="1914" spans="1:19" x14ac:dyDescent="0.25">
      <c r="A1914" s="1">
        <v>1909</v>
      </c>
      <c r="B1914" s="1" t="s">
        <v>2</v>
      </c>
      <c r="C1914" s="1" t="str">
        <f>IF($B1914 = "Production Item", _xlfn.XLOOKUP($A1914, 'Instrument Table'!$J:$J, 'Instrument Table'!$B:$B, $C1913), IF($B1914 = "Service Item", _xlfn.XLOOKUP($A1914, 'Instrument Table'!$I:$I, 'Instrument Table'!$B:$B, $C1913), _xlfn.XLOOKUP($A1914, 'Instrument Table'!$H:$H, 'Instrument Table'!$B:$B, $C1913)))</f>
        <v>Clarinet</v>
      </c>
      <c r="D1914" s="1" t="str">
        <f>VLOOKUP($C1914, 'Instrument Table'!$B:$C, 2, FALSE)</f>
        <v>Woodwinds</v>
      </c>
      <c r="E1914" s="1">
        <f t="shared" si="174"/>
        <v>1</v>
      </c>
      <c r="F1914" s="1">
        <f>_xlfn.XLOOKUP($C1914, 'Instrument Table'!$B:$B, 'Instrument Table'!$A:$A, "")</f>
        <v>30</v>
      </c>
      <c r="G1914" s="1" t="str">
        <f>TEXT(IF($B1914 = "Retail Item", IF((ROW($A1914) - 4504 - _xlfn.XMATCH($C1914, $C$4506:$C$5005, 0, 1)) &lt;= VLOOKUP($C1914, 'Instrument Table'!$B:$D, 3, FALSE), ROW($A1914) - 4504 - _xlfn.XMATCH($C1914, $C$4506:$C$5005, 0, 1), 0), 0), "00")</f>
        <v>00</v>
      </c>
      <c r="H1914" s="1" t="str">
        <f t="shared" si="175"/>
        <v>158</v>
      </c>
      <c r="I1914" s="1" t="str">
        <f t="shared" si="176"/>
        <v>13000-158</v>
      </c>
      <c r="J1914" s="1" t="str">
        <f t="shared" si="177"/>
        <v>Clarinet production item #158</v>
      </c>
      <c r="K1914" s="1" t="str">
        <f>IF(SUM(COUNTIFS(I:I, I1914)) &gt; 1, "DUPLICATE", "UNIQUE")</f>
        <v>UNIQUE</v>
      </c>
      <c r="L1914" s="18">
        <v>0</v>
      </c>
      <c r="M1914" s="28">
        <v>70</v>
      </c>
      <c r="N1914" s="6">
        <v>256</v>
      </c>
      <c r="O1914" s="30">
        <f t="shared" si="178"/>
        <v>0</v>
      </c>
      <c r="P1914" s="30">
        <f t="shared" si="179"/>
        <v>17920</v>
      </c>
      <c r="Q1914" s="1">
        <f>COUNTIFS($P:$P, "&gt;" &amp; $P1914) + 1</f>
        <v>1168</v>
      </c>
      <c r="R1914" s="63">
        <f>(COUNTIFS($P:$P, "&gt;" &amp; $P1914) + 1) / (COUNTA($I:$I) - 1)</f>
        <v>0.2336</v>
      </c>
      <c r="S1914" s="23">
        <f>SUMIFS($P:$P, $Q:$Q, "&lt;" &amp; $Q1914)</f>
        <v>169762618</v>
      </c>
    </row>
    <row r="1915" spans="1:19" x14ac:dyDescent="0.25">
      <c r="A1915" s="1">
        <v>1910</v>
      </c>
      <c r="B1915" s="1" t="s">
        <v>2</v>
      </c>
      <c r="C1915" s="1" t="str">
        <f>IF($B1915 = "Production Item", _xlfn.XLOOKUP($A1915, 'Instrument Table'!$J:$J, 'Instrument Table'!$B:$B, $C1914), IF($B1915 = "Service Item", _xlfn.XLOOKUP($A1915, 'Instrument Table'!$I:$I, 'Instrument Table'!$B:$B, $C1914), _xlfn.XLOOKUP($A1915, 'Instrument Table'!$H:$H, 'Instrument Table'!$B:$B, $C1914)))</f>
        <v>Clarinet</v>
      </c>
      <c r="D1915" s="1" t="str">
        <f>VLOOKUP($C1915, 'Instrument Table'!$B:$C, 2, FALSE)</f>
        <v>Woodwinds</v>
      </c>
      <c r="E1915" s="1">
        <f t="shared" si="174"/>
        <v>1</v>
      </c>
      <c r="F1915" s="1">
        <f>_xlfn.XLOOKUP($C1915, 'Instrument Table'!$B:$B, 'Instrument Table'!$A:$A, "")</f>
        <v>30</v>
      </c>
      <c r="G1915" s="1" t="str">
        <f>TEXT(IF($B1915 = "Retail Item", IF((ROW($A1915) - 4504 - _xlfn.XMATCH($C1915, $C$4506:$C$5005, 0, 1)) &lt;= VLOOKUP($C1915, 'Instrument Table'!$B:$D, 3, FALSE), ROW($A1915) - 4504 - _xlfn.XMATCH($C1915, $C$4506:$C$5005, 0, 1), 0), 0), "00")</f>
        <v>00</v>
      </c>
      <c r="H1915" s="1" t="str">
        <f t="shared" si="175"/>
        <v>159</v>
      </c>
      <c r="I1915" s="1" t="str">
        <f t="shared" si="176"/>
        <v>13000-159</v>
      </c>
      <c r="J1915" s="1" t="str">
        <f t="shared" si="177"/>
        <v>Clarinet production item #159</v>
      </c>
      <c r="K1915" s="1" t="str">
        <f>IF(SUM(COUNTIFS(I:I, I1915)) &gt; 1, "DUPLICATE", "UNIQUE")</f>
        <v>UNIQUE</v>
      </c>
      <c r="L1915" s="18">
        <v>1</v>
      </c>
      <c r="M1915" s="28">
        <v>58</v>
      </c>
      <c r="N1915" s="6">
        <v>36</v>
      </c>
      <c r="O1915" s="30">
        <f t="shared" si="178"/>
        <v>58</v>
      </c>
      <c r="P1915" s="30">
        <f t="shared" si="179"/>
        <v>2088</v>
      </c>
      <c r="Q1915" s="1">
        <f>COUNTIFS($P:$P, "&gt;" &amp; $P1915) + 1</f>
        <v>3213</v>
      </c>
      <c r="R1915" s="63">
        <f>(COUNTIFS($P:$P, "&gt;" &amp; $P1915) + 1) / (COUNTA($I:$I) - 1)</f>
        <v>0.64259999999999995</v>
      </c>
      <c r="S1915" s="23">
        <f>SUMIFS($P:$P, $Q:$Q, "&lt;" &amp; $Q1915)</f>
        <v>185435050</v>
      </c>
    </row>
    <row r="1916" spans="1:19" x14ac:dyDescent="0.25">
      <c r="A1916" s="1">
        <v>1911</v>
      </c>
      <c r="B1916" s="1" t="s">
        <v>2</v>
      </c>
      <c r="C1916" s="1" t="str">
        <f>IF($B1916 = "Production Item", _xlfn.XLOOKUP($A1916, 'Instrument Table'!$J:$J, 'Instrument Table'!$B:$B, $C1915), IF($B1916 = "Service Item", _xlfn.XLOOKUP($A1916, 'Instrument Table'!$I:$I, 'Instrument Table'!$B:$B, $C1915), _xlfn.XLOOKUP($A1916, 'Instrument Table'!$H:$H, 'Instrument Table'!$B:$B, $C1915)))</f>
        <v>Clarinet</v>
      </c>
      <c r="D1916" s="1" t="str">
        <f>VLOOKUP($C1916, 'Instrument Table'!$B:$C, 2, FALSE)</f>
        <v>Woodwinds</v>
      </c>
      <c r="E1916" s="1">
        <f t="shared" si="174"/>
        <v>1</v>
      </c>
      <c r="F1916" s="1">
        <f>_xlfn.XLOOKUP($C1916, 'Instrument Table'!$B:$B, 'Instrument Table'!$A:$A, "")</f>
        <v>30</v>
      </c>
      <c r="G1916" s="1" t="str">
        <f>TEXT(IF($B1916 = "Retail Item", IF((ROW($A1916) - 4504 - _xlfn.XMATCH($C1916, $C$4506:$C$5005, 0, 1)) &lt;= VLOOKUP($C1916, 'Instrument Table'!$B:$D, 3, FALSE), ROW($A1916) - 4504 - _xlfn.XMATCH($C1916, $C$4506:$C$5005, 0, 1), 0), 0), "00")</f>
        <v>00</v>
      </c>
      <c r="H1916" s="1" t="str">
        <f t="shared" si="175"/>
        <v>160</v>
      </c>
      <c r="I1916" s="1" t="str">
        <f t="shared" si="176"/>
        <v>13000-160</v>
      </c>
      <c r="J1916" s="1" t="str">
        <f t="shared" si="177"/>
        <v>Clarinet production item #160</v>
      </c>
      <c r="K1916" s="1" t="str">
        <f>IF(SUM(COUNTIFS(I:I, I1916)) &gt; 1, "DUPLICATE", "UNIQUE")</f>
        <v>UNIQUE</v>
      </c>
      <c r="L1916" s="18">
        <v>0</v>
      </c>
      <c r="M1916" s="28">
        <v>26</v>
      </c>
      <c r="N1916" s="6">
        <v>36</v>
      </c>
      <c r="O1916" s="30">
        <f t="shared" si="178"/>
        <v>0</v>
      </c>
      <c r="P1916" s="30">
        <f t="shared" si="179"/>
        <v>936</v>
      </c>
      <c r="Q1916" s="1">
        <f>COUNTIFS($P:$P, "&gt;" &amp; $P1916) + 1</f>
        <v>3708</v>
      </c>
      <c r="R1916" s="63">
        <f>(COUNTIFS($P:$P, "&gt;" &amp; $P1916) + 1) / (COUNTA($I:$I) - 1)</f>
        <v>0.74160000000000004</v>
      </c>
      <c r="S1916" s="23">
        <f>SUMIFS($P:$P, $Q:$Q, "&lt;" &amp; $Q1916)</f>
        <v>186186457</v>
      </c>
    </row>
    <row r="1917" spans="1:19" x14ac:dyDescent="0.25">
      <c r="A1917" s="1">
        <v>1912</v>
      </c>
      <c r="B1917" s="1" t="s">
        <v>2</v>
      </c>
      <c r="C1917" s="1" t="str">
        <f>IF($B1917 = "Production Item", _xlfn.XLOOKUP($A1917, 'Instrument Table'!$J:$J, 'Instrument Table'!$B:$B, $C1916), IF($B1917 = "Service Item", _xlfn.XLOOKUP($A1917, 'Instrument Table'!$I:$I, 'Instrument Table'!$B:$B, $C1916), _xlfn.XLOOKUP($A1917, 'Instrument Table'!$H:$H, 'Instrument Table'!$B:$B, $C1916)))</f>
        <v>Clarinet</v>
      </c>
      <c r="D1917" s="1" t="str">
        <f>VLOOKUP($C1917, 'Instrument Table'!$B:$C, 2, FALSE)</f>
        <v>Woodwinds</v>
      </c>
      <c r="E1917" s="1">
        <f t="shared" si="174"/>
        <v>1</v>
      </c>
      <c r="F1917" s="1">
        <f>_xlfn.XLOOKUP($C1917, 'Instrument Table'!$B:$B, 'Instrument Table'!$A:$A, "")</f>
        <v>30</v>
      </c>
      <c r="G1917" s="1" t="str">
        <f>TEXT(IF($B1917 = "Retail Item", IF((ROW($A1917) - 4504 - _xlfn.XMATCH($C1917, $C$4506:$C$5005, 0, 1)) &lt;= VLOOKUP($C1917, 'Instrument Table'!$B:$D, 3, FALSE), ROW($A1917) - 4504 - _xlfn.XMATCH($C1917, $C$4506:$C$5005, 0, 1), 0), 0), "00")</f>
        <v>00</v>
      </c>
      <c r="H1917" s="1" t="str">
        <f t="shared" si="175"/>
        <v>161</v>
      </c>
      <c r="I1917" s="1" t="str">
        <f t="shared" si="176"/>
        <v>13000-161</v>
      </c>
      <c r="J1917" s="1" t="str">
        <f t="shared" si="177"/>
        <v>Clarinet production item #161</v>
      </c>
      <c r="K1917" s="1" t="str">
        <f>IF(SUM(COUNTIFS(I:I, I1917)) &gt; 1, "DUPLICATE", "UNIQUE")</f>
        <v>UNIQUE</v>
      </c>
      <c r="L1917" s="18">
        <v>1</v>
      </c>
      <c r="M1917" s="28">
        <v>94</v>
      </c>
      <c r="N1917" s="6">
        <v>289</v>
      </c>
      <c r="O1917" s="30">
        <f t="shared" si="178"/>
        <v>94</v>
      </c>
      <c r="P1917" s="30">
        <f t="shared" si="179"/>
        <v>27166</v>
      </c>
      <c r="Q1917" s="1">
        <f>COUNTIFS($P:$P, "&gt;" &amp; $P1917) + 1</f>
        <v>749</v>
      </c>
      <c r="R1917" s="63">
        <f>(COUNTIFS($P:$P, "&gt;" &amp; $P1917) + 1) / (COUNTA($I:$I) - 1)</f>
        <v>0.14979999999999999</v>
      </c>
      <c r="S1917" s="23">
        <f>SUMIFS($P:$P, $Q:$Q, "&lt;" &amp; $Q1917)</f>
        <v>160478430</v>
      </c>
    </row>
    <row r="1918" spans="1:19" x14ac:dyDescent="0.25">
      <c r="A1918" s="1">
        <v>1913</v>
      </c>
      <c r="B1918" s="1" t="s">
        <v>2</v>
      </c>
      <c r="C1918" s="1" t="str">
        <f>IF($B1918 = "Production Item", _xlfn.XLOOKUP($A1918, 'Instrument Table'!$J:$J, 'Instrument Table'!$B:$B, $C1917), IF($B1918 = "Service Item", _xlfn.XLOOKUP($A1918, 'Instrument Table'!$I:$I, 'Instrument Table'!$B:$B, $C1917), _xlfn.XLOOKUP($A1918, 'Instrument Table'!$H:$H, 'Instrument Table'!$B:$B, $C1917)))</f>
        <v>Clarinet</v>
      </c>
      <c r="D1918" s="1" t="str">
        <f>VLOOKUP($C1918, 'Instrument Table'!$B:$C, 2, FALSE)</f>
        <v>Woodwinds</v>
      </c>
      <c r="E1918" s="1">
        <f t="shared" si="174"/>
        <v>1</v>
      </c>
      <c r="F1918" s="1">
        <f>_xlfn.XLOOKUP($C1918, 'Instrument Table'!$B:$B, 'Instrument Table'!$A:$A, "")</f>
        <v>30</v>
      </c>
      <c r="G1918" s="1" t="str">
        <f>TEXT(IF($B1918 = "Retail Item", IF((ROW($A1918) - 4504 - _xlfn.XMATCH($C1918, $C$4506:$C$5005, 0, 1)) &lt;= VLOOKUP($C1918, 'Instrument Table'!$B:$D, 3, FALSE), ROW($A1918) - 4504 - _xlfn.XMATCH($C1918, $C$4506:$C$5005, 0, 1), 0), 0), "00")</f>
        <v>00</v>
      </c>
      <c r="H1918" s="1" t="str">
        <f t="shared" si="175"/>
        <v>162</v>
      </c>
      <c r="I1918" s="1" t="str">
        <f t="shared" si="176"/>
        <v>13000-162</v>
      </c>
      <c r="J1918" s="1" t="str">
        <f t="shared" si="177"/>
        <v>Clarinet production item #162</v>
      </c>
      <c r="K1918" s="1" t="str">
        <f>IF(SUM(COUNTIFS(I:I, I1918)) &gt; 1, "DUPLICATE", "UNIQUE")</f>
        <v>UNIQUE</v>
      </c>
      <c r="L1918" s="18">
        <v>0</v>
      </c>
      <c r="M1918" s="28">
        <v>31</v>
      </c>
      <c r="N1918" s="6">
        <v>1</v>
      </c>
      <c r="O1918" s="30">
        <f t="shared" si="178"/>
        <v>0</v>
      </c>
      <c r="P1918" s="30">
        <f t="shared" si="179"/>
        <v>31</v>
      </c>
      <c r="Q1918" s="1">
        <f>COUNTIFS($P:$P, "&gt;" &amp; $P1918) + 1</f>
        <v>4666</v>
      </c>
      <c r="R1918" s="63">
        <f>(COUNTIFS($P:$P, "&gt;" &amp; $P1918) + 1) / (COUNTA($I:$I) - 1)</f>
        <v>0.93320000000000003</v>
      </c>
      <c r="S1918" s="23">
        <f>SUMIFS($P:$P, $Q:$Q, "&lt;" &amp; $Q1918)</f>
        <v>186546564</v>
      </c>
    </row>
    <row r="1919" spans="1:19" x14ac:dyDescent="0.25">
      <c r="A1919" s="1">
        <v>1914</v>
      </c>
      <c r="B1919" s="1" t="s">
        <v>2</v>
      </c>
      <c r="C1919" s="1" t="str">
        <f>IF($B1919 = "Production Item", _xlfn.XLOOKUP($A1919, 'Instrument Table'!$J:$J, 'Instrument Table'!$B:$B, $C1918), IF($B1919 = "Service Item", _xlfn.XLOOKUP($A1919, 'Instrument Table'!$I:$I, 'Instrument Table'!$B:$B, $C1918), _xlfn.XLOOKUP($A1919, 'Instrument Table'!$H:$H, 'Instrument Table'!$B:$B, $C1918)))</f>
        <v>Clarinet</v>
      </c>
      <c r="D1919" s="1" t="str">
        <f>VLOOKUP($C1919, 'Instrument Table'!$B:$C, 2, FALSE)</f>
        <v>Woodwinds</v>
      </c>
      <c r="E1919" s="1">
        <f t="shared" si="174"/>
        <v>1</v>
      </c>
      <c r="F1919" s="1">
        <f>_xlfn.XLOOKUP($C1919, 'Instrument Table'!$B:$B, 'Instrument Table'!$A:$A, "")</f>
        <v>30</v>
      </c>
      <c r="G1919" s="1" t="str">
        <f>TEXT(IF($B1919 = "Retail Item", IF((ROW($A1919) - 4504 - _xlfn.XMATCH($C1919, $C$4506:$C$5005, 0, 1)) &lt;= VLOOKUP($C1919, 'Instrument Table'!$B:$D, 3, FALSE), ROW($A1919) - 4504 - _xlfn.XMATCH($C1919, $C$4506:$C$5005, 0, 1), 0), 0), "00")</f>
        <v>00</v>
      </c>
      <c r="H1919" s="1" t="str">
        <f t="shared" si="175"/>
        <v>163</v>
      </c>
      <c r="I1919" s="1" t="str">
        <f t="shared" si="176"/>
        <v>13000-163</v>
      </c>
      <c r="J1919" s="1" t="str">
        <f t="shared" si="177"/>
        <v>Clarinet production item #163</v>
      </c>
      <c r="K1919" s="1" t="str">
        <f>IF(SUM(COUNTIFS(I:I, I1919)) &gt; 1, "DUPLICATE", "UNIQUE")</f>
        <v>UNIQUE</v>
      </c>
      <c r="L1919" s="18">
        <v>0</v>
      </c>
      <c r="M1919" s="28">
        <v>1</v>
      </c>
      <c r="N1919" s="6">
        <v>196</v>
      </c>
      <c r="O1919" s="30">
        <f t="shared" si="178"/>
        <v>0</v>
      </c>
      <c r="P1919" s="30">
        <f t="shared" si="179"/>
        <v>196</v>
      </c>
      <c r="Q1919" s="1">
        <f>COUNTIFS($P:$P, "&gt;" &amp; $P1919) + 1</f>
        <v>4334</v>
      </c>
      <c r="R1919" s="63">
        <f>(COUNTIFS($P:$P, "&gt;" &amp; $P1919) + 1) / (COUNTA($I:$I) - 1)</f>
        <v>0.86680000000000001</v>
      </c>
      <c r="S1919" s="23">
        <f>SUMIFS($P:$P, $Q:$Q, "&lt;" &amp; $Q1919)</f>
        <v>186514493</v>
      </c>
    </row>
    <row r="1920" spans="1:19" x14ac:dyDescent="0.25">
      <c r="A1920" s="1">
        <v>1915</v>
      </c>
      <c r="B1920" s="1" t="s">
        <v>2</v>
      </c>
      <c r="C1920" s="1" t="str">
        <f>IF($B1920 = "Production Item", _xlfn.XLOOKUP($A1920, 'Instrument Table'!$J:$J, 'Instrument Table'!$B:$B, $C1919), IF($B1920 = "Service Item", _xlfn.XLOOKUP($A1920, 'Instrument Table'!$I:$I, 'Instrument Table'!$B:$B, $C1919), _xlfn.XLOOKUP($A1920, 'Instrument Table'!$H:$H, 'Instrument Table'!$B:$B, $C1919)))</f>
        <v>Clarinet</v>
      </c>
      <c r="D1920" s="1" t="str">
        <f>VLOOKUP($C1920, 'Instrument Table'!$B:$C, 2, FALSE)</f>
        <v>Woodwinds</v>
      </c>
      <c r="E1920" s="1">
        <f t="shared" si="174"/>
        <v>1</v>
      </c>
      <c r="F1920" s="1">
        <f>_xlfn.XLOOKUP($C1920, 'Instrument Table'!$B:$B, 'Instrument Table'!$A:$A, "")</f>
        <v>30</v>
      </c>
      <c r="G1920" s="1" t="str">
        <f>TEXT(IF($B1920 = "Retail Item", IF((ROW($A1920) - 4504 - _xlfn.XMATCH($C1920, $C$4506:$C$5005, 0, 1)) &lt;= VLOOKUP($C1920, 'Instrument Table'!$B:$D, 3, FALSE), ROW($A1920) - 4504 - _xlfn.XMATCH($C1920, $C$4506:$C$5005, 0, 1), 0), 0), "00")</f>
        <v>00</v>
      </c>
      <c r="H1920" s="1" t="str">
        <f t="shared" si="175"/>
        <v>164</v>
      </c>
      <c r="I1920" s="1" t="str">
        <f t="shared" si="176"/>
        <v>13000-164</v>
      </c>
      <c r="J1920" s="1" t="str">
        <f t="shared" si="177"/>
        <v>Clarinet production item #164</v>
      </c>
      <c r="K1920" s="1" t="str">
        <f>IF(SUM(COUNTIFS(I:I, I1920)) &gt; 1, "DUPLICATE", "UNIQUE")</f>
        <v>UNIQUE</v>
      </c>
      <c r="L1920" s="18">
        <v>4</v>
      </c>
      <c r="M1920" s="28">
        <v>9</v>
      </c>
      <c r="N1920" s="6">
        <v>256</v>
      </c>
      <c r="O1920" s="30">
        <f t="shared" si="178"/>
        <v>36</v>
      </c>
      <c r="P1920" s="30">
        <f t="shared" si="179"/>
        <v>2304</v>
      </c>
      <c r="Q1920" s="1">
        <f>COUNTIFS($P:$P, "&gt;" &amp; $P1920) + 1</f>
        <v>3118</v>
      </c>
      <c r="R1920" s="63">
        <f>(COUNTIFS($P:$P, "&gt;" &amp; $P1920) + 1) / (COUNTA($I:$I) - 1)</f>
        <v>0.62360000000000004</v>
      </c>
      <c r="S1920" s="23">
        <f>SUMIFS($P:$P, $Q:$Q, "&lt;" &amp; $Q1920)</f>
        <v>185224654</v>
      </c>
    </row>
    <row r="1921" spans="1:19" x14ac:dyDescent="0.25">
      <c r="A1921" s="1">
        <v>1916</v>
      </c>
      <c r="B1921" s="1" t="s">
        <v>2</v>
      </c>
      <c r="C1921" s="1" t="str">
        <f>IF($B1921 = "Production Item", _xlfn.XLOOKUP($A1921, 'Instrument Table'!$J:$J, 'Instrument Table'!$B:$B, $C1920), IF($B1921 = "Service Item", _xlfn.XLOOKUP($A1921, 'Instrument Table'!$I:$I, 'Instrument Table'!$B:$B, $C1920), _xlfn.XLOOKUP($A1921, 'Instrument Table'!$H:$H, 'Instrument Table'!$B:$B, $C1920)))</f>
        <v>Clarinet</v>
      </c>
      <c r="D1921" s="1" t="str">
        <f>VLOOKUP($C1921, 'Instrument Table'!$B:$C, 2, FALSE)</f>
        <v>Woodwinds</v>
      </c>
      <c r="E1921" s="1">
        <f t="shared" si="174"/>
        <v>1</v>
      </c>
      <c r="F1921" s="1">
        <f>_xlfn.XLOOKUP($C1921, 'Instrument Table'!$B:$B, 'Instrument Table'!$A:$A, "")</f>
        <v>30</v>
      </c>
      <c r="G1921" s="1" t="str">
        <f>TEXT(IF($B1921 = "Retail Item", IF((ROW($A1921) - 4504 - _xlfn.XMATCH($C1921, $C$4506:$C$5005, 0, 1)) &lt;= VLOOKUP($C1921, 'Instrument Table'!$B:$D, 3, FALSE), ROW($A1921) - 4504 - _xlfn.XMATCH($C1921, $C$4506:$C$5005, 0, 1), 0), 0), "00")</f>
        <v>00</v>
      </c>
      <c r="H1921" s="1" t="str">
        <f t="shared" si="175"/>
        <v>165</v>
      </c>
      <c r="I1921" s="1" t="str">
        <f t="shared" si="176"/>
        <v>13000-165</v>
      </c>
      <c r="J1921" s="1" t="str">
        <f t="shared" si="177"/>
        <v>Clarinet production item #165</v>
      </c>
      <c r="K1921" s="1" t="str">
        <f>IF(SUM(COUNTIFS(I:I, I1921)) &gt; 1, "DUPLICATE", "UNIQUE")</f>
        <v>UNIQUE</v>
      </c>
      <c r="L1921" s="18">
        <v>1</v>
      </c>
      <c r="M1921" s="28">
        <v>56</v>
      </c>
      <c r="N1921" s="6">
        <v>324</v>
      </c>
      <c r="O1921" s="30">
        <f t="shared" si="178"/>
        <v>56</v>
      </c>
      <c r="P1921" s="30">
        <f t="shared" si="179"/>
        <v>18144</v>
      </c>
      <c r="Q1921" s="1">
        <f>COUNTIFS($P:$P, "&gt;" &amp; $P1921) + 1</f>
        <v>1159</v>
      </c>
      <c r="R1921" s="63">
        <f>(COUNTIFS($P:$P, "&gt;" &amp; $P1921) + 1) / (COUNTA($I:$I) - 1)</f>
        <v>0.23180000000000001</v>
      </c>
      <c r="S1921" s="23">
        <f>SUMIFS($P:$P, $Q:$Q, "&lt;" &amp; $Q1921)</f>
        <v>169600340</v>
      </c>
    </row>
    <row r="1922" spans="1:19" x14ac:dyDescent="0.25">
      <c r="A1922" s="1">
        <v>1917</v>
      </c>
      <c r="B1922" s="1" t="s">
        <v>2</v>
      </c>
      <c r="C1922" s="1" t="str">
        <f>IF($B1922 = "Production Item", _xlfn.XLOOKUP($A1922, 'Instrument Table'!$J:$J, 'Instrument Table'!$B:$B, $C1921), IF($B1922 = "Service Item", _xlfn.XLOOKUP($A1922, 'Instrument Table'!$I:$I, 'Instrument Table'!$B:$B, $C1921), _xlfn.XLOOKUP($A1922, 'Instrument Table'!$H:$H, 'Instrument Table'!$B:$B, $C1921)))</f>
        <v>Clarinet</v>
      </c>
      <c r="D1922" s="1" t="str">
        <f>VLOOKUP($C1922, 'Instrument Table'!$B:$C, 2, FALSE)</f>
        <v>Woodwinds</v>
      </c>
      <c r="E1922" s="1">
        <f t="shared" si="174"/>
        <v>1</v>
      </c>
      <c r="F1922" s="1">
        <f>_xlfn.XLOOKUP($C1922, 'Instrument Table'!$B:$B, 'Instrument Table'!$A:$A, "")</f>
        <v>30</v>
      </c>
      <c r="G1922" s="1" t="str">
        <f>TEXT(IF($B1922 = "Retail Item", IF((ROW($A1922) - 4504 - _xlfn.XMATCH($C1922, $C$4506:$C$5005, 0, 1)) &lt;= VLOOKUP($C1922, 'Instrument Table'!$B:$D, 3, FALSE), ROW($A1922) - 4504 - _xlfn.XMATCH($C1922, $C$4506:$C$5005, 0, 1), 0), 0), "00")</f>
        <v>00</v>
      </c>
      <c r="H1922" s="1" t="str">
        <f t="shared" si="175"/>
        <v>166</v>
      </c>
      <c r="I1922" s="1" t="str">
        <f t="shared" si="176"/>
        <v>13000-166</v>
      </c>
      <c r="J1922" s="1" t="str">
        <f t="shared" si="177"/>
        <v>Clarinet production item #166</v>
      </c>
      <c r="K1922" s="1" t="str">
        <f>IF(SUM(COUNTIFS(I:I, I1922)) &gt; 1, "DUPLICATE", "UNIQUE")</f>
        <v>UNIQUE</v>
      </c>
      <c r="L1922" s="18">
        <v>2</v>
      </c>
      <c r="M1922" s="28">
        <v>7</v>
      </c>
      <c r="N1922" s="6">
        <v>225</v>
      </c>
      <c r="O1922" s="30">
        <f t="shared" si="178"/>
        <v>14</v>
      </c>
      <c r="P1922" s="30">
        <f t="shared" si="179"/>
        <v>1575</v>
      </c>
      <c r="Q1922" s="1">
        <f>COUNTIFS($P:$P, "&gt;" &amp; $P1922) + 1</f>
        <v>3424</v>
      </c>
      <c r="R1922" s="63">
        <f>(COUNTIFS($P:$P, "&gt;" &amp; $P1922) + 1) / (COUNTA($I:$I) - 1)</f>
        <v>0.68479999999999996</v>
      </c>
      <c r="S1922" s="23">
        <f>SUMIFS($P:$P, $Q:$Q, "&lt;" &amp; $Q1922)</f>
        <v>185823279</v>
      </c>
    </row>
    <row r="1923" spans="1:19" x14ac:dyDescent="0.25">
      <c r="A1923" s="1">
        <v>1918</v>
      </c>
      <c r="B1923" s="1" t="s">
        <v>2</v>
      </c>
      <c r="C1923" s="1" t="str">
        <f>IF($B1923 = "Production Item", _xlfn.XLOOKUP($A1923, 'Instrument Table'!$J:$J, 'Instrument Table'!$B:$B, $C1922), IF($B1923 = "Service Item", _xlfn.XLOOKUP($A1923, 'Instrument Table'!$I:$I, 'Instrument Table'!$B:$B, $C1922), _xlfn.XLOOKUP($A1923, 'Instrument Table'!$H:$H, 'Instrument Table'!$B:$B, $C1922)))</f>
        <v>Clarinet</v>
      </c>
      <c r="D1923" s="1" t="str">
        <f>VLOOKUP($C1923, 'Instrument Table'!$B:$C, 2, FALSE)</f>
        <v>Woodwinds</v>
      </c>
      <c r="E1923" s="1">
        <f t="shared" si="174"/>
        <v>1</v>
      </c>
      <c r="F1923" s="1">
        <f>_xlfn.XLOOKUP($C1923, 'Instrument Table'!$B:$B, 'Instrument Table'!$A:$A, "")</f>
        <v>30</v>
      </c>
      <c r="G1923" s="1" t="str">
        <f>TEXT(IF($B1923 = "Retail Item", IF((ROW($A1923) - 4504 - _xlfn.XMATCH($C1923, $C$4506:$C$5005, 0, 1)) &lt;= VLOOKUP($C1923, 'Instrument Table'!$B:$D, 3, FALSE), ROW($A1923) - 4504 - _xlfn.XMATCH($C1923, $C$4506:$C$5005, 0, 1), 0), 0), "00")</f>
        <v>00</v>
      </c>
      <c r="H1923" s="1" t="str">
        <f t="shared" si="175"/>
        <v>167</v>
      </c>
      <c r="I1923" s="1" t="str">
        <f t="shared" si="176"/>
        <v>13000-167</v>
      </c>
      <c r="J1923" s="1" t="str">
        <f t="shared" si="177"/>
        <v>Clarinet production item #167</v>
      </c>
      <c r="K1923" s="1" t="str">
        <f>IF(SUM(COUNTIFS(I:I, I1923)) &gt; 1, "DUPLICATE", "UNIQUE")</f>
        <v>UNIQUE</v>
      </c>
      <c r="L1923" s="18">
        <v>0</v>
      </c>
      <c r="M1923" s="28">
        <v>48</v>
      </c>
      <c r="N1923" s="6">
        <v>256</v>
      </c>
      <c r="O1923" s="30">
        <f t="shared" si="178"/>
        <v>0</v>
      </c>
      <c r="P1923" s="30">
        <f t="shared" si="179"/>
        <v>12288</v>
      </c>
      <c r="Q1923" s="1">
        <f>COUNTIFS($P:$P, "&gt;" &amp; $P1923) + 1</f>
        <v>1553</v>
      </c>
      <c r="R1923" s="63">
        <f>(COUNTIFS($P:$P, "&gt;" &amp; $P1923) + 1) / (COUNTA($I:$I) - 1)</f>
        <v>0.31059999999999999</v>
      </c>
      <c r="S1923" s="23">
        <f>SUMIFS($P:$P, $Q:$Q, "&lt;" &amp; $Q1923)</f>
        <v>175511990</v>
      </c>
    </row>
    <row r="1924" spans="1:19" x14ac:dyDescent="0.25">
      <c r="A1924" s="1">
        <v>1919</v>
      </c>
      <c r="B1924" s="1" t="s">
        <v>2</v>
      </c>
      <c r="C1924" s="1" t="str">
        <f>IF($B1924 = "Production Item", _xlfn.XLOOKUP($A1924, 'Instrument Table'!$J:$J, 'Instrument Table'!$B:$B, $C1923), IF($B1924 = "Service Item", _xlfn.XLOOKUP($A1924, 'Instrument Table'!$I:$I, 'Instrument Table'!$B:$B, $C1923), _xlfn.XLOOKUP($A1924, 'Instrument Table'!$H:$H, 'Instrument Table'!$B:$B, $C1923)))</f>
        <v>Clarinet</v>
      </c>
      <c r="D1924" s="1" t="str">
        <f>VLOOKUP($C1924, 'Instrument Table'!$B:$C, 2, FALSE)</f>
        <v>Woodwinds</v>
      </c>
      <c r="E1924" s="1">
        <f t="shared" si="174"/>
        <v>1</v>
      </c>
      <c r="F1924" s="1">
        <f>_xlfn.XLOOKUP($C1924, 'Instrument Table'!$B:$B, 'Instrument Table'!$A:$A, "")</f>
        <v>30</v>
      </c>
      <c r="G1924" s="1" t="str">
        <f>TEXT(IF($B1924 = "Retail Item", IF((ROW($A1924) - 4504 - _xlfn.XMATCH($C1924, $C$4506:$C$5005, 0, 1)) &lt;= VLOOKUP($C1924, 'Instrument Table'!$B:$D, 3, FALSE), ROW($A1924) - 4504 - _xlfn.XMATCH($C1924, $C$4506:$C$5005, 0, 1), 0), 0), "00")</f>
        <v>00</v>
      </c>
      <c r="H1924" s="1" t="str">
        <f t="shared" si="175"/>
        <v>168</v>
      </c>
      <c r="I1924" s="1" t="str">
        <f t="shared" si="176"/>
        <v>13000-168</v>
      </c>
      <c r="J1924" s="1" t="str">
        <f t="shared" si="177"/>
        <v>Clarinet production item #168</v>
      </c>
      <c r="K1924" s="1" t="str">
        <f>IF(SUM(COUNTIFS(I:I, I1924)) &gt; 1, "DUPLICATE", "UNIQUE")</f>
        <v>UNIQUE</v>
      </c>
      <c r="L1924" s="18">
        <v>0</v>
      </c>
      <c r="M1924" s="28">
        <v>16</v>
      </c>
      <c r="N1924" s="6">
        <v>100</v>
      </c>
      <c r="O1924" s="30">
        <f t="shared" si="178"/>
        <v>0</v>
      </c>
      <c r="P1924" s="30">
        <f t="shared" si="179"/>
        <v>1600</v>
      </c>
      <c r="Q1924" s="1">
        <f>COUNTIFS($P:$P, "&gt;" &amp; $P1924) + 1</f>
        <v>3401</v>
      </c>
      <c r="R1924" s="63">
        <f>(COUNTIFS($P:$P, "&gt;" &amp; $P1924) + 1) / (COUNTA($I:$I) - 1)</f>
        <v>0.68020000000000003</v>
      </c>
      <c r="S1924" s="23">
        <f>SUMIFS($P:$P, $Q:$Q, "&lt;" &amp; $Q1924)</f>
        <v>185786623</v>
      </c>
    </row>
    <row r="1925" spans="1:19" x14ac:dyDescent="0.25">
      <c r="A1925" s="1">
        <v>1920</v>
      </c>
      <c r="B1925" s="1" t="s">
        <v>2</v>
      </c>
      <c r="C1925" s="1" t="str">
        <f>IF($B1925 = "Production Item", _xlfn.XLOOKUP($A1925, 'Instrument Table'!$J:$J, 'Instrument Table'!$B:$B, $C1924), IF($B1925 = "Service Item", _xlfn.XLOOKUP($A1925, 'Instrument Table'!$I:$I, 'Instrument Table'!$B:$B, $C1924), _xlfn.XLOOKUP($A1925, 'Instrument Table'!$H:$H, 'Instrument Table'!$B:$B, $C1924)))</f>
        <v>Clarinet</v>
      </c>
      <c r="D1925" s="1" t="str">
        <f>VLOOKUP($C1925, 'Instrument Table'!$B:$C, 2, FALSE)</f>
        <v>Woodwinds</v>
      </c>
      <c r="E1925" s="1">
        <f t="shared" si="174"/>
        <v>1</v>
      </c>
      <c r="F1925" s="1">
        <f>_xlfn.XLOOKUP($C1925, 'Instrument Table'!$B:$B, 'Instrument Table'!$A:$A, "")</f>
        <v>30</v>
      </c>
      <c r="G1925" s="1" t="str">
        <f>TEXT(IF($B1925 = "Retail Item", IF((ROW($A1925) - 4504 - _xlfn.XMATCH($C1925, $C$4506:$C$5005, 0, 1)) &lt;= VLOOKUP($C1925, 'Instrument Table'!$B:$D, 3, FALSE), ROW($A1925) - 4504 - _xlfn.XMATCH($C1925, $C$4506:$C$5005, 0, 1), 0), 0), "00")</f>
        <v>00</v>
      </c>
      <c r="H1925" s="1" t="str">
        <f t="shared" si="175"/>
        <v>169</v>
      </c>
      <c r="I1925" s="1" t="str">
        <f t="shared" si="176"/>
        <v>13000-169</v>
      </c>
      <c r="J1925" s="1" t="str">
        <f t="shared" si="177"/>
        <v>Clarinet production item #169</v>
      </c>
      <c r="K1925" s="1" t="str">
        <f>IF(SUM(COUNTIFS(I:I, I1925)) &gt; 1, "DUPLICATE", "UNIQUE")</f>
        <v>UNIQUE</v>
      </c>
      <c r="L1925" s="18">
        <v>1</v>
      </c>
      <c r="M1925" s="28">
        <v>66</v>
      </c>
      <c r="N1925" s="6">
        <v>324</v>
      </c>
      <c r="O1925" s="30">
        <f t="shared" si="178"/>
        <v>66</v>
      </c>
      <c r="P1925" s="30">
        <f t="shared" si="179"/>
        <v>21384</v>
      </c>
      <c r="Q1925" s="1">
        <f>COUNTIFS($P:$P, "&gt;" &amp; $P1925) + 1</f>
        <v>984</v>
      </c>
      <c r="R1925" s="63">
        <f>(COUNTIFS($P:$P, "&gt;" &amp; $P1925) + 1) / (COUNTA($I:$I) - 1)</f>
        <v>0.1968</v>
      </c>
      <c r="S1925" s="23">
        <f>SUMIFS($P:$P, $Q:$Q, "&lt;" &amp; $Q1925)</f>
        <v>166150372</v>
      </c>
    </row>
    <row r="1926" spans="1:19" x14ac:dyDescent="0.25">
      <c r="A1926" s="1">
        <v>1921</v>
      </c>
      <c r="B1926" s="1" t="s">
        <v>2</v>
      </c>
      <c r="C1926" s="1" t="str">
        <f>IF($B1926 = "Production Item", _xlfn.XLOOKUP($A1926, 'Instrument Table'!$J:$J, 'Instrument Table'!$B:$B, $C1925), IF($B1926 = "Service Item", _xlfn.XLOOKUP($A1926, 'Instrument Table'!$I:$I, 'Instrument Table'!$B:$B, $C1925), _xlfn.XLOOKUP($A1926, 'Instrument Table'!$H:$H, 'Instrument Table'!$B:$B, $C1925)))</f>
        <v>Clarinet</v>
      </c>
      <c r="D1926" s="1" t="str">
        <f>VLOOKUP($C1926, 'Instrument Table'!$B:$C, 2, FALSE)</f>
        <v>Woodwinds</v>
      </c>
      <c r="E1926" s="1">
        <f t="shared" si="174"/>
        <v>1</v>
      </c>
      <c r="F1926" s="1">
        <f>_xlfn.XLOOKUP($C1926, 'Instrument Table'!$B:$B, 'Instrument Table'!$A:$A, "")</f>
        <v>30</v>
      </c>
      <c r="G1926" s="1" t="str">
        <f>TEXT(IF($B1926 = "Retail Item", IF((ROW($A1926) - 4504 - _xlfn.XMATCH($C1926, $C$4506:$C$5005, 0, 1)) &lt;= VLOOKUP($C1926, 'Instrument Table'!$B:$D, 3, FALSE), ROW($A1926) - 4504 - _xlfn.XMATCH($C1926, $C$4506:$C$5005, 0, 1), 0), 0), "00")</f>
        <v>00</v>
      </c>
      <c r="H1926" s="1" t="str">
        <f t="shared" si="175"/>
        <v>170</v>
      </c>
      <c r="I1926" s="1" t="str">
        <f t="shared" si="176"/>
        <v>13000-170</v>
      </c>
      <c r="J1926" s="1" t="str">
        <f t="shared" si="177"/>
        <v>Clarinet production item #170</v>
      </c>
      <c r="K1926" s="1" t="str">
        <f>IF(SUM(COUNTIFS(I:I, I1926)) &gt; 1, "DUPLICATE", "UNIQUE")</f>
        <v>UNIQUE</v>
      </c>
      <c r="L1926" s="18">
        <v>2</v>
      </c>
      <c r="M1926" s="28">
        <v>70</v>
      </c>
      <c r="N1926" s="6">
        <v>169</v>
      </c>
      <c r="O1926" s="30">
        <f t="shared" si="178"/>
        <v>140</v>
      </c>
      <c r="P1926" s="30">
        <f t="shared" si="179"/>
        <v>11830</v>
      </c>
      <c r="Q1926" s="1">
        <f>COUNTIFS($P:$P, "&gt;" &amp; $P1926) + 1</f>
        <v>1595</v>
      </c>
      <c r="R1926" s="63">
        <f>(COUNTIFS($P:$P, "&gt;" &amp; $P1926) + 1) / (COUNTA($I:$I) - 1)</f>
        <v>0.31900000000000001</v>
      </c>
      <c r="S1926" s="23">
        <f>SUMIFS($P:$P, $Q:$Q, "&lt;" &amp; $Q1926)</f>
        <v>176019596</v>
      </c>
    </row>
    <row r="1927" spans="1:19" x14ac:dyDescent="0.25">
      <c r="A1927" s="1">
        <v>1922</v>
      </c>
      <c r="B1927" s="1" t="s">
        <v>2</v>
      </c>
      <c r="C1927" s="1" t="str">
        <f>IF($B1927 = "Production Item", _xlfn.XLOOKUP($A1927, 'Instrument Table'!$J:$J, 'Instrument Table'!$B:$B, $C1926), IF($B1927 = "Service Item", _xlfn.XLOOKUP($A1927, 'Instrument Table'!$I:$I, 'Instrument Table'!$B:$B, $C1926), _xlfn.XLOOKUP($A1927, 'Instrument Table'!$H:$H, 'Instrument Table'!$B:$B, $C1926)))</f>
        <v>Clarinet</v>
      </c>
      <c r="D1927" s="1" t="str">
        <f>VLOOKUP($C1927, 'Instrument Table'!$B:$C, 2, FALSE)</f>
        <v>Woodwinds</v>
      </c>
      <c r="E1927" s="1">
        <f t="shared" ref="E1927:E1990" si="180">IF($B1927 = "Production Item", 1, IF($B1927 = "Service Item", 2, IF($B1927 = "Retail Item", 3, "")))</f>
        <v>1</v>
      </c>
      <c r="F1927" s="1">
        <f>_xlfn.XLOOKUP($C1927, 'Instrument Table'!$B:$B, 'Instrument Table'!$A:$A, "")</f>
        <v>30</v>
      </c>
      <c r="G1927" s="1" t="str">
        <f>TEXT(IF($B1927 = "Retail Item", IF((ROW($A1927) - 4504 - _xlfn.XMATCH($C1927, $C$4506:$C$5005, 0, 1)) &lt;= VLOOKUP($C1927, 'Instrument Table'!$B:$D, 3, FALSE), ROW($A1927) - 4504 - _xlfn.XMATCH($C1927, $C$4506:$C$5005, 0, 1), 0), 0), "00")</f>
        <v>00</v>
      </c>
      <c r="H1927" s="1" t="str">
        <f t="shared" ref="H1927:H1990" si="181">TEXT(IF($E1927 &amp; $F1927 &amp; $G1927 = $E1926 &amp; $F1926 &amp; $G1926, 1 + H1926, 0), "000")</f>
        <v>171</v>
      </c>
      <c r="I1927" s="1" t="str">
        <f t="shared" ref="I1927:I1990" si="182" xml:space="preserve"> _xlfn.CONCAT($E1927, $F1927, $G1927, "-", H1927)</f>
        <v>13000-171</v>
      </c>
      <c r="J1927" s="1" t="str">
        <f t="shared" ref="J1927:J1990" si="183">LEFT($C1927, 1) &amp; LOWER(RIGHT($C1927, LEN($C1927) - 1)) &amp; IF(AND($G1927 &lt;&gt; "00", $B1927 = "Retail Item"), " model #" &amp; $G1927, " " &amp; LOWER($B1927) &amp; " #" &amp; $H1927)</f>
        <v>Clarinet production item #171</v>
      </c>
      <c r="K1927" s="1" t="str">
        <f>IF(SUM(COUNTIFS(I:I, I1927)) &gt; 1, "DUPLICATE", "UNIQUE")</f>
        <v>UNIQUE</v>
      </c>
      <c r="L1927" s="18">
        <v>0</v>
      </c>
      <c r="M1927" s="28">
        <v>83</v>
      </c>
      <c r="N1927" s="6">
        <v>121</v>
      </c>
      <c r="O1927" s="30">
        <f t="shared" ref="O1927:O1990" si="184">$L1927 * $M1927</f>
        <v>0</v>
      </c>
      <c r="P1927" s="30">
        <f t="shared" ref="P1927:P1990" si="185">$N1927 * $M1927</f>
        <v>10043</v>
      </c>
      <c r="Q1927" s="1">
        <f>COUNTIFS($P:$P, "&gt;" &amp; $P1927) + 1</f>
        <v>1769</v>
      </c>
      <c r="R1927" s="63">
        <f>(COUNTIFS($P:$P, "&gt;" &amp; $P1927) + 1) / (COUNTA($I:$I) - 1)</f>
        <v>0.3538</v>
      </c>
      <c r="S1927" s="23">
        <f>SUMIFS($P:$P, $Q:$Q, "&lt;" &amp; $Q1927)</f>
        <v>177935609</v>
      </c>
    </row>
    <row r="1928" spans="1:19" x14ac:dyDescent="0.25">
      <c r="A1928" s="1">
        <v>1923</v>
      </c>
      <c r="B1928" s="1" t="s">
        <v>2</v>
      </c>
      <c r="C1928" s="1" t="str">
        <f>IF($B1928 = "Production Item", _xlfn.XLOOKUP($A1928, 'Instrument Table'!$J:$J, 'Instrument Table'!$B:$B, $C1927), IF($B1928 = "Service Item", _xlfn.XLOOKUP($A1928, 'Instrument Table'!$I:$I, 'Instrument Table'!$B:$B, $C1927), _xlfn.XLOOKUP($A1928, 'Instrument Table'!$H:$H, 'Instrument Table'!$B:$B, $C1927)))</f>
        <v>Clarinet</v>
      </c>
      <c r="D1928" s="1" t="str">
        <f>VLOOKUP($C1928, 'Instrument Table'!$B:$C, 2, FALSE)</f>
        <v>Woodwinds</v>
      </c>
      <c r="E1928" s="1">
        <f t="shared" si="180"/>
        <v>1</v>
      </c>
      <c r="F1928" s="1">
        <f>_xlfn.XLOOKUP($C1928, 'Instrument Table'!$B:$B, 'Instrument Table'!$A:$A, "")</f>
        <v>30</v>
      </c>
      <c r="G1928" s="1" t="str">
        <f>TEXT(IF($B1928 = "Retail Item", IF((ROW($A1928) - 4504 - _xlfn.XMATCH($C1928, $C$4506:$C$5005, 0, 1)) &lt;= VLOOKUP($C1928, 'Instrument Table'!$B:$D, 3, FALSE), ROW($A1928) - 4504 - _xlfn.XMATCH($C1928, $C$4506:$C$5005, 0, 1), 0), 0), "00")</f>
        <v>00</v>
      </c>
      <c r="H1928" s="1" t="str">
        <f t="shared" si="181"/>
        <v>172</v>
      </c>
      <c r="I1928" s="1" t="str">
        <f t="shared" si="182"/>
        <v>13000-172</v>
      </c>
      <c r="J1928" s="1" t="str">
        <f t="shared" si="183"/>
        <v>Clarinet production item #172</v>
      </c>
      <c r="K1928" s="1" t="str">
        <f>IF(SUM(COUNTIFS(I:I, I1928)) &gt; 1, "DUPLICATE", "UNIQUE")</f>
        <v>UNIQUE</v>
      </c>
      <c r="L1928" s="18">
        <v>1</v>
      </c>
      <c r="M1928" s="28">
        <v>30</v>
      </c>
      <c r="N1928" s="6">
        <v>49</v>
      </c>
      <c r="O1928" s="30">
        <f t="shared" si="184"/>
        <v>30</v>
      </c>
      <c r="P1928" s="30">
        <f t="shared" si="185"/>
        <v>1470</v>
      </c>
      <c r="Q1928" s="1">
        <f>COUNTIFS($P:$P, "&gt;" &amp; $P1928) + 1</f>
        <v>3473</v>
      </c>
      <c r="R1928" s="63">
        <f>(COUNTIFS($P:$P, "&gt;" &amp; $P1928) + 1) / (COUNTA($I:$I) - 1)</f>
        <v>0.6946</v>
      </c>
      <c r="S1928" s="23">
        <f>SUMIFS($P:$P, $Q:$Q, "&lt;" &amp; $Q1928)</f>
        <v>185898270</v>
      </c>
    </row>
    <row r="1929" spans="1:19" x14ac:dyDescent="0.25">
      <c r="A1929" s="1">
        <v>1924</v>
      </c>
      <c r="B1929" s="1" t="s">
        <v>2</v>
      </c>
      <c r="C1929" s="1" t="str">
        <f>IF($B1929 = "Production Item", _xlfn.XLOOKUP($A1929, 'Instrument Table'!$J:$J, 'Instrument Table'!$B:$B, $C1928), IF($B1929 = "Service Item", _xlfn.XLOOKUP($A1929, 'Instrument Table'!$I:$I, 'Instrument Table'!$B:$B, $C1928), _xlfn.XLOOKUP($A1929, 'Instrument Table'!$H:$H, 'Instrument Table'!$B:$B, $C1928)))</f>
        <v>Clarinet</v>
      </c>
      <c r="D1929" s="1" t="str">
        <f>VLOOKUP($C1929, 'Instrument Table'!$B:$C, 2, FALSE)</f>
        <v>Woodwinds</v>
      </c>
      <c r="E1929" s="1">
        <f t="shared" si="180"/>
        <v>1</v>
      </c>
      <c r="F1929" s="1">
        <f>_xlfn.XLOOKUP($C1929, 'Instrument Table'!$B:$B, 'Instrument Table'!$A:$A, "")</f>
        <v>30</v>
      </c>
      <c r="G1929" s="1" t="str">
        <f>TEXT(IF($B1929 = "Retail Item", IF((ROW($A1929) - 4504 - _xlfn.XMATCH($C1929, $C$4506:$C$5005, 0, 1)) &lt;= VLOOKUP($C1929, 'Instrument Table'!$B:$D, 3, FALSE), ROW($A1929) - 4504 - _xlfn.XMATCH($C1929, $C$4506:$C$5005, 0, 1), 0), 0), "00")</f>
        <v>00</v>
      </c>
      <c r="H1929" s="1" t="str">
        <f t="shared" si="181"/>
        <v>173</v>
      </c>
      <c r="I1929" s="1" t="str">
        <f t="shared" si="182"/>
        <v>13000-173</v>
      </c>
      <c r="J1929" s="1" t="str">
        <f t="shared" si="183"/>
        <v>Clarinet production item #173</v>
      </c>
      <c r="K1929" s="1" t="str">
        <f>IF(SUM(COUNTIFS(I:I, I1929)) &gt; 1, "DUPLICATE", "UNIQUE")</f>
        <v>UNIQUE</v>
      </c>
      <c r="L1929" s="18">
        <v>1</v>
      </c>
      <c r="M1929" s="28">
        <v>27</v>
      </c>
      <c r="N1929" s="6">
        <v>100</v>
      </c>
      <c r="O1929" s="30">
        <f t="shared" si="184"/>
        <v>27</v>
      </c>
      <c r="P1929" s="30">
        <f t="shared" si="185"/>
        <v>2700</v>
      </c>
      <c r="Q1929" s="1">
        <f>COUNTIFS($P:$P, "&gt;" &amp; $P1929) + 1</f>
        <v>2983</v>
      </c>
      <c r="R1929" s="63">
        <f>(COUNTIFS($P:$P, "&gt;" &amp; $P1929) + 1) / (COUNTA($I:$I) - 1)</f>
        <v>0.59660000000000002</v>
      </c>
      <c r="S1929" s="23">
        <f>SUMIFS($P:$P, $Q:$Q, "&lt;" &amp; $Q1929)</f>
        <v>184886582</v>
      </c>
    </row>
    <row r="1930" spans="1:19" x14ac:dyDescent="0.25">
      <c r="A1930" s="1">
        <v>1925</v>
      </c>
      <c r="B1930" s="1" t="s">
        <v>2</v>
      </c>
      <c r="C1930" s="1" t="str">
        <f>IF($B1930 = "Production Item", _xlfn.XLOOKUP($A1930, 'Instrument Table'!$J:$J, 'Instrument Table'!$B:$B, $C1929), IF($B1930 = "Service Item", _xlfn.XLOOKUP($A1930, 'Instrument Table'!$I:$I, 'Instrument Table'!$B:$B, $C1929), _xlfn.XLOOKUP($A1930, 'Instrument Table'!$H:$H, 'Instrument Table'!$B:$B, $C1929)))</f>
        <v>Clarinet</v>
      </c>
      <c r="D1930" s="1" t="str">
        <f>VLOOKUP($C1930, 'Instrument Table'!$B:$C, 2, FALSE)</f>
        <v>Woodwinds</v>
      </c>
      <c r="E1930" s="1">
        <f t="shared" si="180"/>
        <v>1</v>
      </c>
      <c r="F1930" s="1">
        <f>_xlfn.XLOOKUP($C1930, 'Instrument Table'!$B:$B, 'Instrument Table'!$A:$A, "")</f>
        <v>30</v>
      </c>
      <c r="G1930" s="1" t="str">
        <f>TEXT(IF($B1930 = "Retail Item", IF((ROW($A1930) - 4504 - _xlfn.XMATCH($C1930, $C$4506:$C$5005, 0, 1)) &lt;= VLOOKUP($C1930, 'Instrument Table'!$B:$D, 3, FALSE), ROW($A1930) - 4504 - _xlfn.XMATCH($C1930, $C$4506:$C$5005, 0, 1), 0), 0), "00")</f>
        <v>00</v>
      </c>
      <c r="H1930" s="1" t="str">
        <f t="shared" si="181"/>
        <v>174</v>
      </c>
      <c r="I1930" s="1" t="str">
        <f t="shared" si="182"/>
        <v>13000-174</v>
      </c>
      <c r="J1930" s="1" t="str">
        <f t="shared" si="183"/>
        <v>Clarinet production item #174</v>
      </c>
      <c r="K1930" s="1" t="str">
        <f>IF(SUM(COUNTIFS(I:I, I1930)) &gt; 1, "DUPLICATE", "UNIQUE")</f>
        <v>UNIQUE</v>
      </c>
      <c r="L1930" s="18">
        <v>1</v>
      </c>
      <c r="M1930" s="28">
        <v>76</v>
      </c>
      <c r="N1930" s="6">
        <v>4</v>
      </c>
      <c r="O1930" s="30">
        <f t="shared" si="184"/>
        <v>76</v>
      </c>
      <c r="P1930" s="30">
        <f t="shared" si="185"/>
        <v>304</v>
      </c>
      <c r="Q1930" s="1">
        <f>COUNTIFS($P:$P, "&gt;" &amp; $P1930) + 1</f>
        <v>4210</v>
      </c>
      <c r="R1930" s="63">
        <f>(COUNTIFS($P:$P, "&gt;" &amp; $P1930) + 1) / (COUNTA($I:$I) - 1)</f>
        <v>0.84199999999999997</v>
      </c>
      <c r="S1930" s="23">
        <f>SUMIFS($P:$P, $Q:$Q, "&lt;" &amp; $Q1930)</f>
        <v>186483507</v>
      </c>
    </row>
    <row r="1931" spans="1:19" x14ac:dyDescent="0.25">
      <c r="A1931" s="1">
        <v>1926</v>
      </c>
      <c r="B1931" s="1" t="s">
        <v>2</v>
      </c>
      <c r="C1931" s="1" t="str">
        <f>IF($B1931 = "Production Item", _xlfn.XLOOKUP($A1931, 'Instrument Table'!$J:$J, 'Instrument Table'!$B:$B, $C1930), IF($B1931 = "Service Item", _xlfn.XLOOKUP($A1931, 'Instrument Table'!$I:$I, 'Instrument Table'!$B:$B, $C1930), _xlfn.XLOOKUP($A1931, 'Instrument Table'!$H:$H, 'Instrument Table'!$B:$B, $C1930)))</f>
        <v>Clarinet</v>
      </c>
      <c r="D1931" s="1" t="str">
        <f>VLOOKUP($C1931, 'Instrument Table'!$B:$C, 2, FALSE)</f>
        <v>Woodwinds</v>
      </c>
      <c r="E1931" s="1">
        <f t="shared" si="180"/>
        <v>1</v>
      </c>
      <c r="F1931" s="1">
        <f>_xlfn.XLOOKUP($C1931, 'Instrument Table'!$B:$B, 'Instrument Table'!$A:$A, "")</f>
        <v>30</v>
      </c>
      <c r="G1931" s="1" t="str">
        <f>TEXT(IF($B1931 = "Retail Item", IF((ROW($A1931) - 4504 - _xlfn.XMATCH($C1931, $C$4506:$C$5005, 0, 1)) &lt;= VLOOKUP($C1931, 'Instrument Table'!$B:$D, 3, FALSE), ROW($A1931) - 4504 - _xlfn.XMATCH($C1931, $C$4506:$C$5005, 0, 1), 0), 0), "00")</f>
        <v>00</v>
      </c>
      <c r="H1931" s="1" t="str">
        <f t="shared" si="181"/>
        <v>175</v>
      </c>
      <c r="I1931" s="1" t="str">
        <f t="shared" si="182"/>
        <v>13000-175</v>
      </c>
      <c r="J1931" s="1" t="str">
        <f t="shared" si="183"/>
        <v>Clarinet production item #175</v>
      </c>
      <c r="K1931" s="1" t="str">
        <f>IF(SUM(COUNTIFS(I:I, I1931)) &gt; 1, "DUPLICATE", "UNIQUE")</f>
        <v>UNIQUE</v>
      </c>
      <c r="L1931" s="18">
        <v>1</v>
      </c>
      <c r="M1931" s="28">
        <v>80</v>
      </c>
      <c r="N1931" s="6">
        <v>16</v>
      </c>
      <c r="O1931" s="30">
        <f t="shared" si="184"/>
        <v>80</v>
      </c>
      <c r="P1931" s="30">
        <f t="shared" si="185"/>
        <v>1280</v>
      </c>
      <c r="Q1931" s="1">
        <f>COUNTIFS($P:$P, "&gt;" &amp; $P1931) + 1</f>
        <v>3569</v>
      </c>
      <c r="R1931" s="63">
        <f>(COUNTIFS($P:$P, "&gt;" &amp; $P1931) + 1) / (COUNTA($I:$I) - 1)</f>
        <v>0.71379999999999999</v>
      </c>
      <c r="S1931" s="23">
        <f>SUMIFS($P:$P, $Q:$Q, "&lt;" &amp; $Q1931)</f>
        <v>186031008</v>
      </c>
    </row>
    <row r="1932" spans="1:19" x14ac:dyDescent="0.25">
      <c r="A1932" s="1">
        <v>1927</v>
      </c>
      <c r="B1932" s="1" t="s">
        <v>2</v>
      </c>
      <c r="C1932" s="1" t="str">
        <f>IF($B1932 = "Production Item", _xlfn.XLOOKUP($A1932, 'Instrument Table'!$J:$J, 'Instrument Table'!$B:$B, $C1931), IF($B1932 = "Service Item", _xlfn.XLOOKUP($A1932, 'Instrument Table'!$I:$I, 'Instrument Table'!$B:$B, $C1931), _xlfn.XLOOKUP($A1932, 'Instrument Table'!$H:$H, 'Instrument Table'!$B:$B, $C1931)))</f>
        <v>Clarinet</v>
      </c>
      <c r="D1932" s="1" t="str">
        <f>VLOOKUP($C1932, 'Instrument Table'!$B:$C, 2, FALSE)</f>
        <v>Woodwinds</v>
      </c>
      <c r="E1932" s="1">
        <f t="shared" si="180"/>
        <v>1</v>
      </c>
      <c r="F1932" s="1">
        <f>_xlfn.XLOOKUP($C1932, 'Instrument Table'!$B:$B, 'Instrument Table'!$A:$A, "")</f>
        <v>30</v>
      </c>
      <c r="G1932" s="1" t="str">
        <f>TEXT(IF($B1932 = "Retail Item", IF((ROW($A1932) - 4504 - _xlfn.XMATCH($C1932, $C$4506:$C$5005, 0, 1)) &lt;= VLOOKUP($C1932, 'Instrument Table'!$B:$D, 3, FALSE), ROW($A1932) - 4504 - _xlfn.XMATCH($C1932, $C$4506:$C$5005, 0, 1), 0), 0), "00")</f>
        <v>00</v>
      </c>
      <c r="H1932" s="1" t="str">
        <f t="shared" si="181"/>
        <v>176</v>
      </c>
      <c r="I1932" s="1" t="str">
        <f t="shared" si="182"/>
        <v>13000-176</v>
      </c>
      <c r="J1932" s="1" t="str">
        <f t="shared" si="183"/>
        <v>Clarinet production item #176</v>
      </c>
      <c r="K1932" s="1" t="str">
        <f>IF(SUM(COUNTIFS(I:I, I1932)) &gt; 1, "DUPLICATE", "UNIQUE")</f>
        <v>UNIQUE</v>
      </c>
      <c r="L1932" s="18">
        <v>8</v>
      </c>
      <c r="M1932" s="28">
        <v>50</v>
      </c>
      <c r="N1932" s="6">
        <v>16</v>
      </c>
      <c r="O1932" s="30">
        <f t="shared" si="184"/>
        <v>400</v>
      </c>
      <c r="P1932" s="30">
        <f t="shared" si="185"/>
        <v>800</v>
      </c>
      <c r="Q1932" s="1">
        <f>COUNTIFS($P:$P, "&gt;" &amp; $P1932) + 1</f>
        <v>3790</v>
      </c>
      <c r="R1932" s="63">
        <f>(COUNTIFS($P:$P, "&gt;" &amp; $P1932) + 1) / (COUNTA($I:$I) - 1)</f>
        <v>0.75800000000000001</v>
      </c>
      <c r="S1932" s="23">
        <f>SUMIFS($P:$P, $Q:$Q, "&lt;" &amp; $Q1932)</f>
        <v>186257682</v>
      </c>
    </row>
    <row r="1933" spans="1:19" x14ac:dyDescent="0.25">
      <c r="A1933" s="1">
        <v>1928</v>
      </c>
      <c r="B1933" s="1" t="s">
        <v>2</v>
      </c>
      <c r="C1933" s="1" t="str">
        <f>IF($B1933 = "Production Item", _xlfn.XLOOKUP($A1933, 'Instrument Table'!$J:$J, 'Instrument Table'!$B:$B, $C1932), IF($B1933 = "Service Item", _xlfn.XLOOKUP($A1933, 'Instrument Table'!$I:$I, 'Instrument Table'!$B:$B, $C1932), _xlfn.XLOOKUP($A1933, 'Instrument Table'!$H:$H, 'Instrument Table'!$B:$B, $C1932)))</f>
        <v>Clarinet</v>
      </c>
      <c r="D1933" s="1" t="str">
        <f>VLOOKUP($C1933, 'Instrument Table'!$B:$C, 2, FALSE)</f>
        <v>Woodwinds</v>
      </c>
      <c r="E1933" s="1">
        <f t="shared" si="180"/>
        <v>1</v>
      </c>
      <c r="F1933" s="1">
        <f>_xlfn.XLOOKUP($C1933, 'Instrument Table'!$B:$B, 'Instrument Table'!$A:$A, "")</f>
        <v>30</v>
      </c>
      <c r="G1933" s="1" t="str">
        <f>TEXT(IF($B1933 = "Retail Item", IF((ROW($A1933) - 4504 - _xlfn.XMATCH($C1933, $C$4506:$C$5005, 0, 1)) &lt;= VLOOKUP($C1933, 'Instrument Table'!$B:$D, 3, FALSE), ROW($A1933) - 4504 - _xlfn.XMATCH($C1933, $C$4506:$C$5005, 0, 1), 0), 0), "00")</f>
        <v>00</v>
      </c>
      <c r="H1933" s="1" t="str">
        <f t="shared" si="181"/>
        <v>177</v>
      </c>
      <c r="I1933" s="1" t="str">
        <f t="shared" si="182"/>
        <v>13000-177</v>
      </c>
      <c r="J1933" s="1" t="str">
        <f t="shared" si="183"/>
        <v>Clarinet production item #177</v>
      </c>
      <c r="K1933" s="1" t="str">
        <f>IF(SUM(COUNTIFS(I:I, I1933)) &gt; 1, "DUPLICATE", "UNIQUE")</f>
        <v>UNIQUE</v>
      </c>
      <c r="L1933" s="18">
        <v>16</v>
      </c>
      <c r="M1933" s="28">
        <v>70</v>
      </c>
      <c r="N1933" s="6">
        <v>400</v>
      </c>
      <c r="O1933" s="30">
        <f t="shared" si="184"/>
        <v>1120</v>
      </c>
      <c r="P1933" s="30">
        <f t="shared" si="185"/>
        <v>28000</v>
      </c>
      <c r="Q1933" s="1">
        <f>COUNTIFS($P:$P, "&gt;" &amp; $P1933) + 1</f>
        <v>731</v>
      </c>
      <c r="R1933" s="63">
        <f>(COUNTIFS($P:$P, "&gt;" &amp; $P1933) + 1) / (COUNTA($I:$I) - 1)</f>
        <v>0.1462</v>
      </c>
      <c r="S1933" s="23">
        <f>SUMIFS($P:$P, $Q:$Q, "&lt;" &amp; $Q1933)</f>
        <v>159983730</v>
      </c>
    </row>
    <row r="1934" spans="1:19" x14ac:dyDescent="0.25">
      <c r="A1934" s="1">
        <v>1929</v>
      </c>
      <c r="B1934" s="1" t="s">
        <v>2</v>
      </c>
      <c r="C1934" s="1" t="str">
        <f>IF($B1934 = "Production Item", _xlfn.XLOOKUP($A1934, 'Instrument Table'!$J:$J, 'Instrument Table'!$B:$B, $C1933), IF($B1934 = "Service Item", _xlfn.XLOOKUP($A1934, 'Instrument Table'!$I:$I, 'Instrument Table'!$B:$B, $C1933), _xlfn.XLOOKUP($A1934, 'Instrument Table'!$H:$H, 'Instrument Table'!$B:$B, $C1933)))</f>
        <v>Clarinet</v>
      </c>
      <c r="D1934" s="1" t="str">
        <f>VLOOKUP($C1934, 'Instrument Table'!$B:$C, 2, FALSE)</f>
        <v>Woodwinds</v>
      </c>
      <c r="E1934" s="1">
        <f t="shared" si="180"/>
        <v>1</v>
      </c>
      <c r="F1934" s="1">
        <f>_xlfn.XLOOKUP($C1934, 'Instrument Table'!$B:$B, 'Instrument Table'!$A:$A, "")</f>
        <v>30</v>
      </c>
      <c r="G1934" s="1" t="str">
        <f>TEXT(IF($B1934 = "Retail Item", IF((ROW($A1934) - 4504 - _xlfn.XMATCH($C1934, $C$4506:$C$5005, 0, 1)) &lt;= VLOOKUP($C1934, 'Instrument Table'!$B:$D, 3, FALSE), ROW($A1934) - 4504 - _xlfn.XMATCH($C1934, $C$4506:$C$5005, 0, 1), 0), 0), "00")</f>
        <v>00</v>
      </c>
      <c r="H1934" s="1" t="str">
        <f t="shared" si="181"/>
        <v>178</v>
      </c>
      <c r="I1934" s="1" t="str">
        <f t="shared" si="182"/>
        <v>13000-178</v>
      </c>
      <c r="J1934" s="1" t="str">
        <f t="shared" si="183"/>
        <v>Clarinet production item #178</v>
      </c>
      <c r="K1934" s="1" t="str">
        <f>IF(SUM(COUNTIFS(I:I, I1934)) &gt; 1, "DUPLICATE", "UNIQUE")</f>
        <v>UNIQUE</v>
      </c>
      <c r="L1934" s="18">
        <v>4</v>
      </c>
      <c r="M1934" s="28">
        <v>13</v>
      </c>
      <c r="N1934" s="6">
        <v>400</v>
      </c>
      <c r="O1934" s="30">
        <f t="shared" si="184"/>
        <v>52</v>
      </c>
      <c r="P1934" s="30">
        <f t="shared" si="185"/>
        <v>5200</v>
      </c>
      <c r="Q1934" s="1">
        <f>COUNTIFS($P:$P, "&gt;" &amp; $P1934) + 1</f>
        <v>2403</v>
      </c>
      <c r="R1934" s="63">
        <f>(COUNTIFS($P:$P, "&gt;" &amp; $P1934) + 1) / (COUNTA($I:$I) - 1)</f>
        <v>0.48060000000000003</v>
      </c>
      <c r="S1934" s="23">
        <f>SUMIFS($P:$P, $Q:$Q, "&lt;" &amp; $Q1934)</f>
        <v>182632128</v>
      </c>
    </row>
    <row r="1935" spans="1:19" x14ac:dyDescent="0.25">
      <c r="A1935" s="1">
        <v>1930</v>
      </c>
      <c r="B1935" s="1" t="s">
        <v>2</v>
      </c>
      <c r="C1935" s="1" t="str">
        <f>IF($B1935 = "Production Item", _xlfn.XLOOKUP($A1935, 'Instrument Table'!$J:$J, 'Instrument Table'!$B:$B, $C1934), IF($B1935 = "Service Item", _xlfn.XLOOKUP($A1935, 'Instrument Table'!$I:$I, 'Instrument Table'!$B:$B, $C1934), _xlfn.XLOOKUP($A1935, 'Instrument Table'!$H:$H, 'Instrument Table'!$B:$B, $C1934)))</f>
        <v>Clarinet</v>
      </c>
      <c r="D1935" s="1" t="str">
        <f>VLOOKUP($C1935, 'Instrument Table'!$B:$C, 2, FALSE)</f>
        <v>Woodwinds</v>
      </c>
      <c r="E1935" s="1">
        <f t="shared" si="180"/>
        <v>1</v>
      </c>
      <c r="F1935" s="1">
        <f>_xlfn.XLOOKUP($C1935, 'Instrument Table'!$B:$B, 'Instrument Table'!$A:$A, "")</f>
        <v>30</v>
      </c>
      <c r="G1935" s="1" t="str">
        <f>TEXT(IF($B1935 = "Retail Item", IF((ROW($A1935) - 4504 - _xlfn.XMATCH($C1935, $C$4506:$C$5005, 0, 1)) &lt;= VLOOKUP($C1935, 'Instrument Table'!$B:$D, 3, FALSE), ROW($A1935) - 4504 - _xlfn.XMATCH($C1935, $C$4506:$C$5005, 0, 1), 0), 0), "00")</f>
        <v>00</v>
      </c>
      <c r="H1935" s="1" t="str">
        <f t="shared" si="181"/>
        <v>179</v>
      </c>
      <c r="I1935" s="1" t="str">
        <f t="shared" si="182"/>
        <v>13000-179</v>
      </c>
      <c r="J1935" s="1" t="str">
        <f t="shared" si="183"/>
        <v>Clarinet production item #179</v>
      </c>
      <c r="K1935" s="1" t="str">
        <f>IF(SUM(COUNTIFS(I:I, I1935)) &gt; 1, "DUPLICATE", "UNIQUE")</f>
        <v>UNIQUE</v>
      </c>
      <c r="L1935" s="18">
        <v>8</v>
      </c>
      <c r="M1935" s="28">
        <v>98</v>
      </c>
      <c r="N1935" s="6">
        <v>36</v>
      </c>
      <c r="O1935" s="30">
        <f t="shared" si="184"/>
        <v>784</v>
      </c>
      <c r="P1935" s="30">
        <f t="shared" si="185"/>
        <v>3528</v>
      </c>
      <c r="Q1935" s="1">
        <f>COUNTIFS($P:$P, "&gt;" &amp; $P1935) + 1</f>
        <v>2761</v>
      </c>
      <c r="R1935" s="63">
        <f>(COUNTIFS($P:$P, "&gt;" &amp; $P1935) + 1) / (COUNTA($I:$I) - 1)</f>
        <v>0.55220000000000002</v>
      </c>
      <c r="S1935" s="23">
        <f>SUMIFS($P:$P, $Q:$Q, "&lt;" &amp; $Q1935)</f>
        <v>184189975</v>
      </c>
    </row>
    <row r="1936" spans="1:19" x14ac:dyDescent="0.25">
      <c r="A1936" s="1">
        <v>1931</v>
      </c>
      <c r="B1936" s="1" t="s">
        <v>2</v>
      </c>
      <c r="C1936" s="1" t="str">
        <f>IF($B1936 = "Production Item", _xlfn.XLOOKUP($A1936, 'Instrument Table'!$J:$J, 'Instrument Table'!$B:$B, $C1935), IF($B1936 = "Service Item", _xlfn.XLOOKUP($A1936, 'Instrument Table'!$I:$I, 'Instrument Table'!$B:$B, $C1935), _xlfn.XLOOKUP($A1936, 'Instrument Table'!$H:$H, 'Instrument Table'!$B:$B, $C1935)))</f>
        <v>Clarinet</v>
      </c>
      <c r="D1936" s="1" t="str">
        <f>VLOOKUP($C1936, 'Instrument Table'!$B:$C, 2, FALSE)</f>
        <v>Woodwinds</v>
      </c>
      <c r="E1936" s="1">
        <f t="shared" si="180"/>
        <v>1</v>
      </c>
      <c r="F1936" s="1">
        <f>_xlfn.XLOOKUP($C1936, 'Instrument Table'!$B:$B, 'Instrument Table'!$A:$A, "")</f>
        <v>30</v>
      </c>
      <c r="G1936" s="1" t="str">
        <f>TEXT(IF($B1936 = "Retail Item", IF((ROW($A1936) - 4504 - _xlfn.XMATCH($C1936, $C$4506:$C$5005, 0, 1)) &lt;= VLOOKUP($C1936, 'Instrument Table'!$B:$D, 3, FALSE), ROW($A1936) - 4504 - _xlfn.XMATCH($C1936, $C$4506:$C$5005, 0, 1), 0), 0), "00")</f>
        <v>00</v>
      </c>
      <c r="H1936" s="1" t="str">
        <f t="shared" si="181"/>
        <v>180</v>
      </c>
      <c r="I1936" s="1" t="str">
        <f t="shared" si="182"/>
        <v>13000-180</v>
      </c>
      <c r="J1936" s="1" t="str">
        <f t="shared" si="183"/>
        <v>Clarinet production item #180</v>
      </c>
      <c r="K1936" s="1" t="str">
        <f>IF(SUM(COUNTIFS(I:I, I1936)) &gt; 1, "DUPLICATE", "UNIQUE")</f>
        <v>UNIQUE</v>
      </c>
      <c r="L1936" s="18">
        <v>1</v>
      </c>
      <c r="M1936" s="28">
        <v>100</v>
      </c>
      <c r="N1936" s="6">
        <v>144</v>
      </c>
      <c r="O1936" s="30">
        <f t="shared" si="184"/>
        <v>100</v>
      </c>
      <c r="P1936" s="30">
        <f t="shared" si="185"/>
        <v>14400</v>
      </c>
      <c r="Q1936" s="1">
        <f>COUNTIFS($P:$P, "&gt;" &amp; $P1936) + 1</f>
        <v>1389</v>
      </c>
      <c r="R1936" s="63">
        <f>(COUNTIFS($P:$P, "&gt;" &amp; $P1936) + 1) / (COUNTA($I:$I) - 1)</f>
        <v>0.27779999999999999</v>
      </c>
      <c r="S1936" s="23">
        <f>SUMIFS($P:$P, $Q:$Q, "&lt;" &amp; $Q1936)</f>
        <v>173317558</v>
      </c>
    </row>
    <row r="1937" spans="1:19" x14ac:dyDescent="0.25">
      <c r="A1937" s="1">
        <v>1932</v>
      </c>
      <c r="B1937" s="1" t="s">
        <v>2</v>
      </c>
      <c r="C1937" s="1" t="str">
        <f>IF($B1937 = "Production Item", _xlfn.XLOOKUP($A1937, 'Instrument Table'!$J:$J, 'Instrument Table'!$B:$B, $C1936), IF($B1937 = "Service Item", _xlfn.XLOOKUP($A1937, 'Instrument Table'!$I:$I, 'Instrument Table'!$B:$B, $C1936), _xlfn.XLOOKUP($A1937, 'Instrument Table'!$H:$H, 'Instrument Table'!$B:$B, $C1936)))</f>
        <v>Clarinet</v>
      </c>
      <c r="D1937" s="1" t="str">
        <f>VLOOKUP($C1937, 'Instrument Table'!$B:$C, 2, FALSE)</f>
        <v>Woodwinds</v>
      </c>
      <c r="E1937" s="1">
        <f t="shared" si="180"/>
        <v>1</v>
      </c>
      <c r="F1937" s="1">
        <f>_xlfn.XLOOKUP($C1937, 'Instrument Table'!$B:$B, 'Instrument Table'!$A:$A, "")</f>
        <v>30</v>
      </c>
      <c r="G1937" s="1" t="str">
        <f>TEXT(IF($B1937 = "Retail Item", IF((ROW($A1937) - 4504 - _xlfn.XMATCH($C1937, $C$4506:$C$5005, 0, 1)) &lt;= VLOOKUP($C1937, 'Instrument Table'!$B:$D, 3, FALSE), ROW($A1937) - 4504 - _xlfn.XMATCH($C1937, $C$4506:$C$5005, 0, 1), 0), 0), "00")</f>
        <v>00</v>
      </c>
      <c r="H1937" s="1" t="str">
        <f t="shared" si="181"/>
        <v>181</v>
      </c>
      <c r="I1937" s="1" t="str">
        <f t="shared" si="182"/>
        <v>13000-181</v>
      </c>
      <c r="J1937" s="1" t="str">
        <f t="shared" si="183"/>
        <v>Clarinet production item #181</v>
      </c>
      <c r="K1937" s="1" t="str">
        <f>IF(SUM(COUNTIFS(I:I, I1937)) &gt; 1, "DUPLICATE", "UNIQUE")</f>
        <v>UNIQUE</v>
      </c>
      <c r="L1937" s="18">
        <v>0</v>
      </c>
      <c r="M1937" s="28">
        <v>39</v>
      </c>
      <c r="N1937" s="6">
        <v>49</v>
      </c>
      <c r="O1937" s="30">
        <f t="shared" si="184"/>
        <v>0</v>
      </c>
      <c r="P1937" s="30">
        <f t="shared" si="185"/>
        <v>1911</v>
      </c>
      <c r="Q1937" s="1">
        <f>COUNTIFS($P:$P, "&gt;" &amp; $P1937) + 1</f>
        <v>3291</v>
      </c>
      <c r="R1937" s="63">
        <f>(COUNTIFS($P:$P, "&gt;" &amp; $P1937) + 1) / (COUNTA($I:$I) - 1)</f>
        <v>0.65820000000000001</v>
      </c>
      <c r="S1937" s="23">
        <f>SUMIFS($P:$P, $Q:$Q, "&lt;" &amp; $Q1937)</f>
        <v>185591898</v>
      </c>
    </row>
    <row r="1938" spans="1:19" x14ac:dyDescent="0.25">
      <c r="A1938" s="1">
        <v>1933</v>
      </c>
      <c r="B1938" s="1" t="s">
        <v>2</v>
      </c>
      <c r="C1938" s="1" t="str">
        <f>IF($B1938 = "Production Item", _xlfn.XLOOKUP($A1938, 'Instrument Table'!$J:$J, 'Instrument Table'!$B:$B, $C1937), IF($B1938 = "Service Item", _xlfn.XLOOKUP($A1938, 'Instrument Table'!$I:$I, 'Instrument Table'!$B:$B, $C1937), _xlfn.XLOOKUP($A1938, 'Instrument Table'!$H:$H, 'Instrument Table'!$B:$B, $C1937)))</f>
        <v>Clarinet</v>
      </c>
      <c r="D1938" s="1" t="str">
        <f>VLOOKUP($C1938, 'Instrument Table'!$B:$C, 2, FALSE)</f>
        <v>Woodwinds</v>
      </c>
      <c r="E1938" s="1">
        <f t="shared" si="180"/>
        <v>1</v>
      </c>
      <c r="F1938" s="1">
        <f>_xlfn.XLOOKUP($C1938, 'Instrument Table'!$B:$B, 'Instrument Table'!$A:$A, "")</f>
        <v>30</v>
      </c>
      <c r="G1938" s="1" t="str">
        <f>TEXT(IF($B1938 = "Retail Item", IF((ROW($A1938) - 4504 - _xlfn.XMATCH($C1938, $C$4506:$C$5005, 0, 1)) &lt;= VLOOKUP($C1938, 'Instrument Table'!$B:$D, 3, FALSE), ROW($A1938) - 4504 - _xlfn.XMATCH($C1938, $C$4506:$C$5005, 0, 1), 0), 0), "00")</f>
        <v>00</v>
      </c>
      <c r="H1938" s="1" t="str">
        <f t="shared" si="181"/>
        <v>182</v>
      </c>
      <c r="I1938" s="1" t="str">
        <f t="shared" si="182"/>
        <v>13000-182</v>
      </c>
      <c r="J1938" s="1" t="str">
        <f t="shared" si="183"/>
        <v>Clarinet production item #182</v>
      </c>
      <c r="K1938" s="1" t="str">
        <f>IF(SUM(COUNTIFS(I:I, I1938)) &gt; 1, "DUPLICATE", "UNIQUE")</f>
        <v>UNIQUE</v>
      </c>
      <c r="L1938" s="18">
        <v>0</v>
      </c>
      <c r="M1938" s="28">
        <v>44</v>
      </c>
      <c r="N1938" s="6">
        <v>49</v>
      </c>
      <c r="O1938" s="30">
        <f t="shared" si="184"/>
        <v>0</v>
      </c>
      <c r="P1938" s="30">
        <f t="shared" si="185"/>
        <v>2156</v>
      </c>
      <c r="Q1938" s="1">
        <f>COUNTIFS($P:$P, "&gt;" &amp; $P1938) + 1</f>
        <v>3184</v>
      </c>
      <c r="R1938" s="63">
        <f>(COUNTIFS($P:$P, "&gt;" &amp; $P1938) + 1) / (COUNTA($I:$I) - 1)</f>
        <v>0.63680000000000003</v>
      </c>
      <c r="S1938" s="23">
        <f>SUMIFS($P:$P, $Q:$Q, "&lt;" &amp; $Q1938)</f>
        <v>185373532</v>
      </c>
    </row>
    <row r="1939" spans="1:19" x14ac:dyDescent="0.25">
      <c r="A1939" s="1">
        <v>1934</v>
      </c>
      <c r="B1939" s="1" t="s">
        <v>2</v>
      </c>
      <c r="C1939" s="1" t="str">
        <f>IF($B1939 = "Production Item", _xlfn.XLOOKUP($A1939, 'Instrument Table'!$J:$J, 'Instrument Table'!$B:$B, $C1938), IF($B1939 = "Service Item", _xlfn.XLOOKUP($A1939, 'Instrument Table'!$I:$I, 'Instrument Table'!$B:$B, $C1938), _xlfn.XLOOKUP($A1939, 'Instrument Table'!$H:$H, 'Instrument Table'!$B:$B, $C1938)))</f>
        <v>Clarinet</v>
      </c>
      <c r="D1939" s="1" t="str">
        <f>VLOOKUP($C1939, 'Instrument Table'!$B:$C, 2, FALSE)</f>
        <v>Woodwinds</v>
      </c>
      <c r="E1939" s="1">
        <f t="shared" si="180"/>
        <v>1</v>
      </c>
      <c r="F1939" s="1">
        <f>_xlfn.XLOOKUP($C1939, 'Instrument Table'!$B:$B, 'Instrument Table'!$A:$A, "")</f>
        <v>30</v>
      </c>
      <c r="G1939" s="1" t="str">
        <f>TEXT(IF($B1939 = "Retail Item", IF((ROW($A1939) - 4504 - _xlfn.XMATCH($C1939, $C$4506:$C$5005, 0, 1)) &lt;= VLOOKUP($C1939, 'Instrument Table'!$B:$D, 3, FALSE), ROW($A1939) - 4504 - _xlfn.XMATCH($C1939, $C$4506:$C$5005, 0, 1), 0), 0), "00")</f>
        <v>00</v>
      </c>
      <c r="H1939" s="1" t="str">
        <f t="shared" si="181"/>
        <v>183</v>
      </c>
      <c r="I1939" s="1" t="str">
        <f t="shared" si="182"/>
        <v>13000-183</v>
      </c>
      <c r="J1939" s="1" t="str">
        <f t="shared" si="183"/>
        <v>Clarinet production item #183</v>
      </c>
      <c r="K1939" s="1" t="str">
        <f>IF(SUM(COUNTIFS(I:I, I1939)) &gt; 1, "DUPLICATE", "UNIQUE")</f>
        <v>UNIQUE</v>
      </c>
      <c r="L1939" s="18">
        <v>32</v>
      </c>
      <c r="M1939" s="28">
        <v>6</v>
      </c>
      <c r="N1939" s="6">
        <v>100</v>
      </c>
      <c r="O1939" s="30">
        <f t="shared" si="184"/>
        <v>192</v>
      </c>
      <c r="P1939" s="30">
        <f t="shared" si="185"/>
        <v>600</v>
      </c>
      <c r="Q1939" s="1">
        <f>COUNTIFS($P:$P, "&gt;" &amp; $P1939) + 1</f>
        <v>3936</v>
      </c>
      <c r="R1939" s="63">
        <f>(COUNTIFS($P:$P, "&gt;" &amp; $P1939) + 1) / (COUNTA($I:$I) - 1)</f>
        <v>0.78720000000000001</v>
      </c>
      <c r="S1939" s="23">
        <f>SUMIFS($P:$P, $Q:$Q, "&lt;" &amp; $Q1939)</f>
        <v>186361902</v>
      </c>
    </row>
    <row r="1940" spans="1:19" x14ac:dyDescent="0.25">
      <c r="A1940" s="1">
        <v>1935</v>
      </c>
      <c r="B1940" s="1" t="s">
        <v>2</v>
      </c>
      <c r="C1940" s="1" t="str">
        <f>IF($B1940 = "Production Item", _xlfn.XLOOKUP($A1940, 'Instrument Table'!$J:$J, 'Instrument Table'!$B:$B, $C1939), IF($B1940 = "Service Item", _xlfn.XLOOKUP($A1940, 'Instrument Table'!$I:$I, 'Instrument Table'!$B:$B, $C1939), _xlfn.XLOOKUP($A1940, 'Instrument Table'!$H:$H, 'Instrument Table'!$B:$B, $C1939)))</f>
        <v>Clarinet</v>
      </c>
      <c r="D1940" s="1" t="str">
        <f>VLOOKUP($C1940, 'Instrument Table'!$B:$C, 2, FALSE)</f>
        <v>Woodwinds</v>
      </c>
      <c r="E1940" s="1">
        <f t="shared" si="180"/>
        <v>1</v>
      </c>
      <c r="F1940" s="1">
        <f>_xlfn.XLOOKUP($C1940, 'Instrument Table'!$B:$B, 'Instrument Table'!$A:$A, "")</f>
        <v>30</v>
      </c>
      <c r="G1940" s="1" t="str">
        <f>TEXT(IF($B1940 = "Retail Item", IF((ROW($A1940) - 4504 - _xlfn.XMATCH($C1940, $C$4506:$C$5005, 0, 1)) &lt;= VLOOKUP($C1940, 'Instrument Table'!$B:$D, 3, FALSE), ROW($A1940) - 4504 - _xlfn.XMATCH($C1940, $C$4506:$C$5005, 0, 1), 0), 0), "00")</f>
        <v>00</v>
      </c>
      <c r="H1940" s="1" t="str">
        <f t="shared" si="181"/>
        <v>184</v>
      </c>
      <c r="I1940" s="1" t="str">
        <f t="shared" si="182"/>
        <v>13000-184</v>
      </c>
      <c r="J1940" s="1" t="str">
        <f t="shared" si="183"/>
        <v>Clarinet production item #184</v>
      </c>
      <c r="K1940" s="1" t="str">
        <f>IF(SUM(COUNTIFS(I:I, I1940)) &gt; 1, "DUPLICATE", "UNIQUE")</f>
        <v>UNIQUE</v>
      </c>
      <c r="L1940" s="18">
        <v>8</v>
      </c>
      <c r="M1940" s="28">
        <v>44</v>
      </c>
      <c r="N1940" s="6">
        <v>169</v>
      </c>
      <c r="O1940" s="30">
        <f t="shared" si="184"/>
        <v>352</v>
      </c>
      <c r="P1940" s="30">
        <f t="shared" si="185"/>
        <v>7436</v>
      </c>
      <c r="Q1940" s="1">
        <f>COUNTIFS($P:$P, "&gt;" &amp; $P1940) + 1</f>
        <v>2076</v>
      </c>
      <c r="R1940" s="63">
        <f>(COUNTIFS($P:$P, "&gt;" &amp; $P1940) + 1) / (COUNTA($I:$I) - 1)</f>
        <v>0.41520000000000001</v>
      </c>
      <c r="S1940" s="23">
        <f>SUMIFS($P:$P, $Q:$Q, "&lt;" &amp; $Q1940)</f>
        <v>180581691</v>
      </c>
    </row>
    <row r="1941" spans="1:19" x14ac:dyDescent="0.25">
      <c r="A1941" s="1">
        <v>1936</v>
      </c>
      <c r="B1941" s="1" t="s">
        <v>2</v>
      </c>
      <c r="C1941" s="1" t="str">
        <f>IF($B1941 = "Production Item", _xlfn.XLOOKUP($A1941, 'Instrument Table'!$J:$J, 'Instrument Table'!$B:$B, $C1940), IF($B1941 = "Service Item", _xlfn.XLOOKUP($A1941, 'Instrument Table'!$I:$I, 'Instrument Table'!$B:$B, $C1940), _xlfn.XLOOKUP($A1941, 'Instrument Table'!$H:$H, 'Instrument Table'!$B:$B, $C1940)))</f>
        <v>Clarinet</v>
      </c>
      <c r="D1941" s="1" t="str">
        <f>VLOOKUP($C1941, 'Instrument Table'!$B:$C, 2, FALSE)</f>
        <v>Woodwinds</v>
      </c>
      <c r="E1941" s="1">
        <f t="shared" si="180"/>
        <v>1</v>
      </c>
      <c r="F1941" s="1">
        <f>_xlfn.XLOOKUP($C1941, 'Instrument Table'!$B:$B, 'Instrument Table'!$A:$A, "")</f>
        <v>30</v>
      </c>
      <c r="G1941" s="1" t="str">
        <f>TEXT(IF($B1941 = "Retail Item", IF((ROW($A1941) - 4504 - _xlfn.XMATCH($C1941, $C$4506:$C$5005, 0, 1)) &lt;= VLOOKUP($C1941, 'Instrument Table'!$B:$D, 3, FALSE), ROW($A1941) - 4504 - _xlfn.XMATCH($C1941, $C$4506:$C$5005, 0, 1), 0), 0), "00")</f>
        <v>00</v>
      </c>
      <c r="H1941" s="1" t="str">
        <f t="shared" si="181"/>
        <v>185</v>
      </c>
      <c r="I1941" s="1" t="str">
        <f t="shared" si="182"/>
        <v>13000-185</v>
      </c>
      <c r="J1941" s="1" t="str">
        <f t="shared" si="183"/>
        <v>Clarinet production item #185</v>
      </c>
      <c r="K1941" s="1" t="str">
        <f>IF(SUM(COUNTIFS(I:I, I1941)) &gt; 1, "DUPLICATE", "UNIQUE")</f>
        <v>UNIQUE</v>
      </c>
      <c r="L1941" s="18">
        <v>8</v>
      </c>
      <c r="M1941" s="28">
        <v>97</v>
      </c>
      <c r="N1941" s="6">
        <v>0</v>
      </c>
      <c r="O1941" s="30">
        <f t="shared" si="184"/>
        <v>776</v>
      </c>
      <c r="P1941" s="30">
        <f t="shared" si="185"/>
        <v>0</v>
      </c>
      <c r="Q1941" s="1">
        <f>COUNTIFS($P:$P, "&gt;" &amp; $P1941) + 1</f>
        <v>4746</v>
      </c>
      <c r="R1941" s="63">
        <f>(COUNTIFS($P:$P, "&gt;" &amp; $P1941) + 1) / (COUNTA($I:$I) - 1)</f>
        <v>0.94920000000000004</v>
      </c>
      <c r="S1941" s="23">
        <f>SUMIFS($P:$P, $Q:$Q, "&lt;" &amp; $Q1941)</f>
        <v>186547861</v>
      </c>
    </row>
    <row r="1942" spans="1:19" x14ac:dyDescent="0.25">
      <c r="A1942" s="1">
        <v>1937</v>
      </c>
      <c r="B1942" s="1" t="s">
        <v>2</v>
      </c>
      <c r="C1942" s="1" t="str">
        <f>IF($B1942 = "Production Item", _xlfn.XLOOKUP($A1942, 'Instrument Table'!$J:$J, 'Instrument Table'!$B:$B, $C1941), IF($B1942 = "Service Item", _xlfn.XLOOKUP($A1942, 'Instrument Table'!$I:$I, 'Instrument Table'!$B:$B, $C1941), _xlfn.XLOOKUP($A1942, 'Instrument Table'!$H:$H, 'Instrument Table'!$B:$B, $C1941)))</f>
        <v>Clarinet</v>
      </c>
      <c r="D1942" s="1" t="str">
        <f>VLOOKUP($C1942, 'Instrument Table'!$B:$C, 2, FALSE)</f>
        <v>Woodwinds</v>
      </c>
      <c r="E1942" s="1">
        <f t="shared" si="180"/>
        <v>1</v>
      </c>
      <c r="F1942" s="1">
        <f>_xlfn.XLOOKUP($C1942, 'Instrument Table'!$B:$B, 'Instrument Table'!$A:$A, "")</f>
        <v>30</v>
      </c>
      <c r="G1942" s="1" t="str">
        <f>TEXT(IF($B1942 = "Retail Item", IF((ROW($A1942) - 4504 - _xlfn.XMATCH($C1942, $C$4506:$C$5005, 0, 1)) &lt;= VLOOKUP($C1942, 'Instrument Table'!$B:$D, 3, FALSE), ROW($A1942) - 4504 - _xlfn.XMATCH($C1942, $C$4506:$C$5005, 0, 1), 0), 0), "00")</f>
        <v>00</v>
      </c>
      <c r="H1942" s="1" t="str">
        <f t="shared" si="181"/>
        <v>186</v>
      </c>
      <c r="I1942" s="1" t="str">
        <f t="shared" si="182"/>
        <v>13000-186</v>
      </c>
      <c r="J1942" s="1" t="str">
        <f t="shared" si="183"/>
        <v>Clarinet production item #186</v>
      </c>
      <c r="K1942" s="1" t="str">
        <f>IF(SUM(COUNTIFS(I:I, I1942)) &gt; 1, "DUPLICATE", "UNIQUE")</f>
        <v>UNIQUE</v>
      </c>
      <c r="L1942" s="18">
        <v>1</v>
      </c>
      <c r="M1942" s="28">
        <v>48</v>
      </c>
      <c r="N1942" s="6">
        <v>169</v>
      </c>
      <c r="O1942" s="30">
        <f t="shared" si="184"/>
        <v>48</v>
      </c>
      <c r="P1942" s="30">
        <f t="shared" si="185"/>
        <v>8112</v>
      </c>
      <c r="Q1942" s="1">
        <f>COUNTIFS($P:$P, "&gt;" &amp; $P1942) + 1</f>
        <v>1968</v>
      </c>
      <c r="R1942" s="63">
        <f>(COUNTIFS($P:$P, "&gt;" &amp; $P1942) + 1) / (COUNTA($I:$I) - 1)</f>
        <v>0.39360000000000001</v>
      </c>
      <c r="S1942" s="23">
        <f>SUMIFS($P:$P, $Q:$Q, "&lt;" &amp; $Q1942)</f>
        <v>179739445</v>
      </c>
    </row>
    <row r="1943" spans="1:19" x14ac:dyDescent="0.25">
      <c r="A1943" s="1">
        <v>1938</v>
      </c>
      <c r="B1943" s="1" t="s">
        <v>2</v>
      </c>
      <c r="C1943" s="1" t="str">
        <f>IF($B1943 = "Production Item", _xlfn.XLOOKUP($A1943, 'Instrument Table'!$J:$J, 'Instrument Table'!$B:$B, $C1942), IF($B1943 = "Service Item", _xlfn.XLOOKUP($A1943, 'Instrument Table'!$I:$I, 'Instrument Table'!$B:$B, $C1942), _xlfn.XLOOKUP($A1943, 'Instrument Table'!$H:$H, 'Instrument Table'!$B:$B, $C1942)))</f>
        <v>Clarinet</v>
      </c>
      <c r="D1943" s="1" t="str">
        <f>VLOOKUP($C1943, 'Instrument Table'!$B:$C, 2, FALSE)</f>
        <v>Woodwinds</v>
      </c>
      <c r="E1943" s="1">
        <f t="shared" si="180"/>
        <v>1</v>
      </c>
      <c r="F1943" s="1">
        <f>_xlfn.XLOOKUP($C1943, 'Instrument Table'!$B:$B, 'Instrument Table'!$A:$A, "")</f>
        <v>30</v>
      </c>
      <c r="G1943" s="1" t="str">
        <f>TEXT(IF($B1943 = "Retail Item", IF((ROW($A1943) - 4504 - _xlfn.XMATCH($C1943, $C$4506:$C$5005, 0, 1)) &lt;= VLOOKUP($C1943, 'Instrument Table'!$B:$D, 3, FALSE), ROW($A1943) - 4504 - _xlfn.XMATCH($C1943, $C$4506:$C$5005, 0, 1), 0), 0), "00")</f>
        <v>00</v>
      </c>
      <c r="H1943" s="1" t="str">
        <f t="shared" si="181"/>
        <v>187</v>
      </c>
      <c r="I1943" s="1" t="str">
        <f t="shared" si="182"/>
        <v>13000-187</v>
      </c>
      <c r="J1943" s="1" t="str">
        <f t="shared" si="183"/>
        <v>Clarinet production item #187</v>
      </c>
      <c r="K1943" s="1" t="str">
        <f>IF(SUM(COUNTIFS(I:I, I1943)) &gt; 1, "DUPLICATE", "UNIQUE")</f>
        <v>UNIQUE</v>
      </c>
      <c r="L1943" s="18">
        <v>1</v>
      </c>
      <c r="M1943" s="28">
        <v>68</v>
      </c>
      <c r="N1943" s="6">
        <v>289</v>
      </c>
      <c r="O1943" s="30">
        <f t="shared" si="184"/>
        <v>68</v>
      </c>
      <c r="P1943" s="30">
        <f t="shared" si="185"/>
        <v>19652</v>
      </c>
      <c r="Q1943" s="1">
        <f>COUNTIFS($P:$P, "&gt;" &amp; $P1943) + 1</f>
        <v>1076</v>
      </c>
      <c r="R1943" s="63">
        <f>(COUNTIFS($P:$P, "&gt;" &amp; $P1943) + 1) / (COUNTA($I:$I) - 1)</f>
        <v>0.2152</v>
      </c>
      <c r="S1943" s="23">
        <f>SUMIFS($P:$P, $Q:$Q, "&lt;" &amp; $Q1943)</f>
        <v>168040041</v>
      </c>
    </row>
    <row r="1944" spans="1:19" x14ac:dyDescent="0.25">
      <c r="A1944" s="1">
        <v>1939</v>
      </c>
      <c r="B1944" s="1" t="s">
        <v>2</v>
      </c>
      <c r="C1944" s="1" t="str">
        <f>IF($B1944 = "Production Item", _xlfn.XLOOKUP($A1944, 'Instrument Table'!$J:$J, 'Instrument Table'!$B:$B, $C1943), IF($B1944 = "Service Item", _xlfn.XLOOKUP($A1944, 'Instrument Table'!$I:$I, 'Instrument Table'!$B:$B, $C1943), _xlfn.XLOOKUP($A1944, 'Instrument Table'!$H:$H, 'Instrument Table'!$B:$B, $C1943)))</f>
        <v>Clarinet</v>
      </c>
      <c r="D1944" s="1" t="str">
        <f>VLOOKUP($C1944, 'Instrument Table'!$B:$C, 2, FALSE)</f>
        <v>Woodwinds</v>
      </c>
      <c r="E1944" s="1">
        <f t="shared" si="180"/>
        <v>1</v>
      </c>
      <c r="F1944" s="1">
        <f>_xlfn.XLOOKUP($C1944, 'Instrument Table'!$B:$B, 'Instrument Table'!$A:$A, "")</f>
        <v>30</v>
      </c>
      <c r="G1944" s="1" t="str">
        <f>TEXT(IF($B1944 = "Retail Item", IF((ROW($A1944) - 4504 - _xlfn.XMATCH($C1944, $C$4506:$C$5005, 0, 1)) &lt;= VLOOKUP($C1944, 'Instrument Table'!$B:$D, 3, FALSE), ROW($A1944) - 4504 - _xlfn.XMATCH($C1944, $C$4506:$C$5005, 0, 1), 0), 0), "00")</f>
        <v>00</v>
      </c>
      <c r="H1944" s="1" t="str">
        <f t="shared" si="181"/>
        <v>188</v>
      </c>
      <c r="I1944" s="1" t="str">
        <f t="shared" si="182"/>
        <v>13000-188</v>
      </c>
      <c r="J1944" s="1" t="str">
        <f t="shared" si="183"/>
        <v>Clarinet production item #188</v>
      </c>
      <c r="K1944" s="1" t="str">
        <f>IF(SUM(COUNTIFS(I:I, I1944)) &gt; 1, "DUPLICATE", "UNIQUE")</f>
        <v>UNIQUE</v>
      </c>
      <c r="L1944" s="18">
        <v>2</v>
      </c>
      <c r="M1944" s="28">
        <v>96</v>
      </c>
      <c r="N1944" s="6">
        <v>36</v>
      </c>
      <c r="O1944" s="30">
        <f t="shared" si="184"/>
        <v>192</v>
      </c>
      <c r="P1944" s="30">
        <f t="shared" si="185"/>
        <v>3456</v>
      </c>
      <c r="Q1944" s="1">
        <f>COUNTIFS($P:$P, "&gt;" &amp; $P1944) + 1</f>
        <v>2787</v>
      </c>
      <c r="R1944" s="63">
        <f>(COUNTIFS($P:$P, "&gt;" &amp; $P1944) + 1) / (COUNTA($I:$I) - 1)</f>
        <v>0.55740000000000001</v>
      </c>
      <c r="S1944" s="23">
        <f>SUMIFS($P:$P, $Q:$Q, "&lt;" &amp; $Q1944)</f>
        <v>184281179</v>
      </c>
    </row>
    <row r="1945" spans="1:19" x14ac:dyDescent="0.25">
      <c r="A1945" s="1">
        <v>1940</v>
      </c>
      <c r="B1945" s="1" t="s">
        <v>2</v>
      </c>
      <c r="C1945" s="1" t="str">
        <f>IF($B1945 = "Production Item", _xlfn.XLOOKUP($A1945, 'Instrument Table'!$J:$J, 'Instrument Table'!$B:$B, $C1944), IF($B1945 = "Service Item", _xlfn.XLOOKUP($A1945, 'Instrument Table'!$I:$I, 'Instrument Table'!$B:$B, $C1944), _xlfn.XLOOKUP($A1945, 'Instrument Table'!$H:$H, 'Instrument Table'!$B:$B, $C1944)))</f>
        <v>Clarinet</v>
      </c>
      <c r="D1945" s="1" t="str">
        <f>VLOOKUP($C1945, 'Instrument Table'!$B:$C, 2, FALSE)</f>
        <v>Woodwinds</v>
      </c>
      <c r="E1945" s="1">
        <f t="shared" si="180"/>
        <v>1</v>
      </c>
      <c r="F1945" s="1">
        <f>_xlfn.XLOOKUP($C1945, 'Instrument Table'!$B:$B, 'Instrument Table'!$A:$A, "")</f>
        <v>30</v>
      </c>
      <c r="G1945" s="1" t="str">
        <f>TEXT(IF($B1945 = "Retail Item", IF((ROW($A1945) - 4504 - _xlfn.XMATCH($C1945, $C$4506:$C$5005, 0, 1)) &lt;= VLOOKUP($C1945, 'Instrument Table'!$B:$D, 3, FALSE), ROW($A1945) - 4504 - _xlfn.XMATCH($C1945, $C$4506:$C$5005, 0, 1), 0), 0), "00")</f>
        <v>00</v>
      </c>
      <c r="H1945" s="1" t="str">
        <f t="shared" si="181"/>
        <v>189</v>
      </c>
      <c r="I1945" s="1" t="str">
        <f t="shared" si="182"/>
        <v>13000-189</v>
      </c>
      <c r="J1945" s="1" t="str">
        <f t="shared" si="183"/>
        <v>Clarinet production item #189</v>
      </c>
      <c r="K1945" s="1" t="str">
        <f>IF(SUM(COUNTIFS(I:I, I1945)) &gt; 1, "DUPLICATE", "UNIQUE")</f>
        <v>UNIQUE</v>
      </c>
      <c r="L1945" s="18">
        <v>32</v>
      </c>
      <c r="M1945" s="28">
        <v>47</v>
      </c>
      <c r="N1945" s="6">
        <v>1</v>
      </c>
      <c r="O1945" s="30">
        <f t="shared" si="184"/>
        <v>1504</v>
      </c>
      <c r="P1945" s="30">
        <f t="shared" si="185"/>
        <v>47</v>
      </c>
      <c r="Q1945" s="1">
        <f>COUNTIFS($P:$P, "&gt;" &amp; $P1945) + 1</f>
        <v>4624</v>
      </c>
      <c r="R1945" s="63">
        <f>(COUNTIFS($P:$P, "&gt;" &amp; $P1945) + 1) / (COUNTA($I:$I) - 1)</f>
        <v>0.92479999999999996</v>
      </c>
      <c r="S1945" s="23">
        <f>SUMIFS($P:$P, $Q:$Q, "&lt;" &amp; $Q1945)</f>
        <v>186544925</v>
      </c>
    </row>
    <row r="1946" spans="1:19" x14ac:dyDescent="0.25">
      <c r="A1946" s="1">
        <v>1941</v>
      </c>
      <c r="B1946" s="1" t="s">
        <v>2</v>
      </c>
      <c r="C1946" s="1" t="str">
        <f>IF($B1946 = "Production Item", _xlfn.XLOOKUP($A1946, 'Instrument Table'!$J:$J, 'Instrument Table'!$B:$B, $C1945), IF($B1946 = "Service Item", _xlfn.XLOOKUP($A1946, 'Instrument Table'!$I:$I, 'Instrument Table'!$B:$B, $C1945), _xlfn.XLOOKUP($A1946, 'Instrument Table'!$H:$H, 'Instrument Table'!$B:$B, $C1945)))</f>
        <v>Clarinet</v>
      </c>
      <c r="D1946" s="1" t="str">
        <f>VLOOKUP($C1946, 'Instrument Table'!$B:$C, 2, FALSE)</f>
        <v>Woodwinds</v>
      </c>
      <c r="E1946" s="1">
        <f t="shared" si="180"/>
        <v>1</v>
      </c>
      <c r="F1946" s="1">
        <f>_xlfn.XLOOKUP($C1946, 'Instrument Table'!$B:$B, 'Instrument Table'!$A:$A, "")</f>
        <v>30</v>
      </c>
      <c r="G1946" s="1" t="str">
        <f>TEXT(IF($B1946 = "Retail Item", IF((ROW($A1946) - 4504 - _xlfn.XMATCH($C1946, $C$4506:$C$5005, 0, 1)) &lt;= VLOOKUP($C1946, 'Instrument Table'!$B:$D, 3, FALSE), ROW($A1946) - 4504 - _xlfn.XMATCH($C1946, $C$4506:$C$5005, 0, 1), 0), 0), "00")</f>
        <v>00</v>
      </c>
      <c r="H1946" s="1" t="str">
        <f t="shared" si="181"/>
        <v>190</v>
      </c>
      <c r="I1946" s="1" t="str">
        <f t="shared" si="182"/>
        <v>13000-190</v>
      </c>
      <c r="J1946" s="1" t="str">
        <f t="shared" si="183"/>
        <v>Clarinet production item #190</v>
      </c>
      <c r="K1946" s="1" t="str">
        <f>IF(SUM(COUNTIFS(I:I, I1946)) &gt; 1, "DUPLICATE", "UNIQUE")</f>
        <v>UNIQUE</v>
      </c>
      <c r="L1946" s="18">
        <v>1</v>
      </c>
      <c r="M1946" s="28">
        <v>85</v>
      </c>
      <c r="N1946" s="6">
        <v>0</v>
      </c>
      <c r="O1946" s="30">
        <f t="shared" si="184"/>
        <v>85</v>
      </c>
      <c r="P1946" s="30">
        <f t="shared" si="185"/>
        <v>0</v>
      </c>
      <c r="Q1946" s="1">
        <f>COUNTIFS($P:$P, "&gt;" &amp; $P1946) + 1</f>
        <v>4746</v>
      </c>
      <c r="R1946" s="63">
        <f>(COUNTIFS($P:$P, "&gt;" &amp; $P1946) + 1) / (COUNTA($I:$I) - 1)</f>
        <v>0.94920000000000004</v>
      </c>
      <c r="S1946" s="23">
        <f>SUMIFS($P:$P, $Q:$Q, "&lt;" &amp; $Q1946)</f>
        <v>186547861</v>
      </c>
    </row>
    <row r="1947" spans="1:19" x14ac:dyDescent="0.25">
      <c r="A1947" s="1">
        <v>1942</v>
      </c>
      <c r="B1947" s="1" t="s">
        <v>2</v>
      </c>
      <c r="C1947" s="1" t="str">
        <f>IF($B1947 = "Production Item", _xlfn.XLOOKUP($A1947, 'Instrument Table'!$J:$J, 'Instrument Table'!$B:$B, $C1946), IF($B1947 = "Service Item", _xlfn.XLOOKUP($A1947, 'Instrument Table'!$I:$I, 'Instrument Table'!$B:$B, $C1946), _xlfn.XLOOKUP($A1947, 'Instrument Table'!$H:$H, 'Instrument Table'!$B:$B, $C1946)))</f>
        <v>Clarinet</v>
      </c>
      <c r="D1947" s="1" t="str">
        <f>VLOOKUP($C1947, 'Instrument Table'!$B:$C, 2, FALSE)</f>
        <v>Woodwinds</v>
      </c>
      <c r="E1947" s="1">
        <f t="shared" si="180"/>
        <v>1</v>
      </c>
      <c r="F1947" s="1">
        <f>_xlfn.XLOOKUP($C1947, 'Instrument Table'!$B:$B, 'Instrument Table'!$A:$A, "")</f>
        <v>30</v>
      </c>
      <c r="G1947" s="1" t="str">
        <f>TEXT(IF($B1947 = "Retail Item", IF((ROW($A1947) - 4504 - _xlfn.XMATCH($C1947, $C$4506:$C$5005, 0, 1)) &lt;= VLOOKUP($C1947, 'Instrument Table'!$B:$D, 3, FALSE), ROW($A1947) - 4504 - _xlfn.XMATCH($C1947, $C$4506:$C$5005, 0, 1), 0), 0), "00")</f>
        <v>00</v>
      </c>
      <c r="H1947" s="1" t="str">
        <f t="shared" si="181"/>
        <v>191</v>
      </c>
      <c r="I1947" s="1" t="str">
        <f t="shared" si="182"/>
        <v>13000-191</v>
      </c>
      <c r="J1947" s="1" t="str">
        <f t="shared" si="183"/>
        <v>Clarinet production item #191</v>
      </c>
      <c r="K1947" s="1" t="str">
        <f>IF(SUM(COUNTIFS(I:I, I1947)) &gt; 1, "DUPLICATE", "UNIQUE")</f>
        <v>UNIQUE</v>
      </c>
      <c r="L1947" s="18">
        <v>1</v>
      </c>
      <c r="M1947" s="28">
        <v>33</v>
      </c>
      <c r="N1947" s="6">
        <v>289</v>
      </c>
      <c r="O1947" s="30">
        <f t="shared" si="184"/>
        <v>33</v>
      </c>
      <c r="P1947" s="30">
        <f t="shared" si="185"/>
        <v>9537</v>
      </c>
      <c r="Q1947" s="1">
        <f>COUNTIFS($P:$P, "&gt;" &amp; $P1947) + 1</f>
        <v>1811</v>
      </c>
      <c r="R1947" s="63">
        <f>(COUNTIFS($P:$P, "&gt;" &amp; $P1947) + 1) / (COUNTA($I:$I) - 1)</f>
        <v>0.36220000000000002</v>
      </c>
      <c r="S1947" s="23">
        <f>SUMIFS($P:$P, $Q:$Q, "&lt;" &amp; $Q1947)</f>
        <v>178347238</v>
      </c>
    </row>
    <row r="1948" spans="1:19" x14ac:dyDescent="0.25">
      <c r="A1948" s="1">
        <v>1943</v>
      </c>
      <c r="B1948" s="1" t="s">
        <v>2</v>
      </c>
      <c r="C1948" s="1" t="str">
        <f>IF($B1948 = "Production Item", _xlfn.XLOOKUP($A1948, 'Instrument Table'!$J:$J, 'Instrument Table'!$B:$B, $C1947), IF($B1948 = "Service Item", _xlfn.XLOOKUP($A1948, 'Instrument Table'!$I:$I, 'Instrument Table'!$B:$B, $C1947), _xlfn.XLOOKUP($A1948, 'Instrument Table'!$H:$H, 'Instrument Table'!$B:$B, $C1947)))</f>
        <v>Clarinet</v>
      </c>
      <c r="D1948" s="1" t="str">
        <f>VLOOKUP($C1948, 'Instrument Table'!$B:$C, 2, FALSE)</f>
        <v>Woodwinds</v>
      </c>
      <c r="E1948" s="1">
        <f t="shared" si="180"/>
        <v>1</v>
      </c>
      <c r="F1948" s="1">
        <f>_xlfn.XLOOKUP($C1948, 'Instrument Table'!$B:$B, 'Instrument Table'!$A:$A, "")</f>
        <v>30</v>
      </c>
      <c r="G1948" s="1" t="str">
        <f>TEXT(IF($B1948 = "Retail Item", IF((ROW($A1948) - 4504 - _xlfn.XMATCH($C1948, $C$4506:$C$5005, 0, 1)) &lt;= VLOOKUP($C1948, 'Instrument Table'!$B:$D, 3, FALSE), ROW($A1948) - 4504 - _xlfn.XMATCH($C1948, $C$4506:$C$5005, 0, 1), 0), 0), "00")</f>
        <v>00</v>
      </c>
      <c r="H1948" s="1" t="str">
        <f t="shared" si="181"/>
        <v>192</v>
      </c>
      <c r="I1948" s="1" t="str">
        <f t="shared" si="182"/>
        <v>13000-192</v>
      </c>
      <c r="J1948" s="1" t="str">
        <f t="shared" si="183"/>
        <v>Clarinet production item #192</v>
      </c>
      <c r="K1948" s="1" t="str">
        <f>IF(SUM(COUNTIFS(I:I, I1948)) &gt; 1, "DUPLICATE", "UNIQUE")</f>
        <v>UNIQUE</v>
      </c>
      <c r="L1948" s="18">
        <v>0</v>
      </c>
      <c r="M1948" s="28">
        <v>29</v>
      </c>
      <c r="N1948" s="6">
        <v>169</v>
      </c>
      <c r="O1948" s="30">
        <f t="shared" si="184"/>
        <v>0</v>
      </c>
      <c r="P1948" s="30">
        <f t="shared" si="185"/>
        <v>4901</v>
      </c>
      <c r="Q1948" s="1">
        <f>COUNTIFS($P:$P, "&gt;" &amp; $P1948) + 1</f>
        <v>2462</v>
      </c>
      <c r="R1948" s="63">
        <f>(COUNTIFS($P:$P, "&gt;" &amp; $P1948) + 1) / (COUNTA($I:$I) - 1)</f>
        <v>0.4924</v>
      </c>
      <c r="S1948" s="23">
        <f>SUMIFS($P:$P, $Q:$Q, "&lt;" &amp; $Q1948)</f>
        <v>182931819</v>
      </c>
    </row>
    <row r="1949" spans="1:19" x14ac:dyDescent="0.25">
      <c r="A1949" s="1">
        <v>1944</v>
      </c>
      <c r="B1949" s="1" t="s">
        <v>2</v>
      </c>
      <c r="C1949" s="1" t="str">
        <f>IF($B1949 = "Production Item", _xlfn.XLOOKUP($A1949, 'Instrument Table'!$J:$J, 'Instrument Table'!$B:$B, $C1948), IF($B1949 = "Service Item", _xlfn.XLOOKUP($A1949, 'Instrument Table'!$I:$I, 'Instrument Table'!$B:$B, $C1948), _xlfn.XLOOKUP($A1949, 'Instrument Table'!$H:$H, 'Instrument Table'!$B:$B, $C1948)))</f>
        <v>Clarinet</v>
      </c>
      <c r="D1949" s="1" t="str">
        <f>VLOOKUP($C1949, 'Instrument Table'!$B:$C, 2, FALSE)</f>
        <v>Woodwinds</v>
      </c>
      <c r="E1949" s="1">
        <f t="shared" si="180"/>
        <v>1</v>
      </c>
      <c r="F1949" s="1">
        <f>_xlfn.XLOOKUP($C1949, 'Instrument Table'!$B:$B, 'Instrument Table'!$A:$A, "")</f>
        <v>30</v>
      </c>
      <c r="G1949" s="1" t="str">
        <f>TEXT(IF($B1949 = "Retail Item", IF((ROW($A1949) - 4504 - _xlfn.XMATCH($C1949, $C$4506:$C$5005, 0, 1)) &lt;= VLOOKUP($C1949, 'Instrument Table'!$B:$D, 3, FALSE), ROW($A1949) - 4504 - _xlfn.XMATCH($C1949, $C$4506:$C$5005, 0, 1), 0), 0), "00")</f>
        <v>00</v>
      </c>
      <c r="H1949" s="1" t="str">
        <f t="shared" si="181"/>
        <v>193</v>
      </c>
      <c r="I1949" s="1" t="str">
        <f t="shared" si="182"/>
        <v>13000-193</v>
      </c>
      <c r="J1949" s="1" t="str">
        <f t="shared" si="183"/>
        <v>Clarinet production item #193</v>
      </c>
      <c r="K1949" s="1" t="str">
        <f>IF(SUM(COUNTIFS(I:I, I1949)) &gt; 1, "DUPLICATE", "UNIQUE")</f>
        <v>UNIQUE</v>
      </c>
      <c r="L1949" s="18">
        <v>0</v>
      </c>
      <c r="M1949" s="28">
        <v>96</v>
      </c>
      <c r="N1949" s="6">
        <v>81</v>
      </c>
      <c r="O1949" s="30">
        <f t="shared" si="184"/>
        <v>0</v>
      </c>
      <c r="P1949" s="30">
        <f t="shared" si="185"/>
        <v>7776</v>
      </c>
      <c r="Q1949" s="1">
        <f>COUNTIFS($P:$P, "&gt;" &amp; $P1949) + 1</f>
        <v>2019</v>
      </c>
      <c r="R1949" s="63">
        <f>(COUNTIFS($P:$P, "&gt;" &amp; $P1949) + 1) / (COUNTA($I:$I) - 1)</f>
        <v>0.40379999999999999</v>
      </c>
      <c r="S1949" s="23">
        <f>SUMIFS($P:$P, $Q:$Q, "&lt;" &amp; $Q1949)</f>
        <v>180145621</v>
      </c>
    </row>
    <row r="1950" spans="1:19" x14ac:dyDescent="0.25">
      <c r="A1950" s="1">
        <v>1945</v>
      </c>
      <c r="B1950" s="1" t="s">
        <v>2</v>
      </c>
      <c r="C1950" s="1" t="str">
        <f>IF($B1950 = "Production Item", _xlfn.XLOOKUP($A1950, 'Instrument Table'!$J:$J, 'Instrument Table'!$B:$B, $C1949), IF($B1950 = "Service Item", _xlfn.XLOOKUP($A1950, 'Instrument Table'!$I:$I, 'Instrument Table'!$B:$B, $C1949), _xlfn.XLOOKUP($A1950, 'Instrument Table'!$H:$H, 'Instrument Table'!$B:$B, $C1949)))</f>
        <v>Clarinet</v>
      </c>
      <c r="D1950" s="1" t="str">
        <f>VLOOKUP($C1950, 'Instrument Table'!$B:$C, 2, FALSE)</f>
        <v>Woodwinds</v>
      </c>
      <c r="E1950" s="1">
        <f t="shared" si="180"/>
        <v>1</v>
      </c>
      <c r="F1950" s="1">
        <f>_xlfn.XLOOKUP($C1950, 'Instrument Table'!$B:$B, 'Instrument Table'!$A:$A, "")</f>
        <v>30</v>
      </c>
      <c r="G1950" s="1" t="str">
        <f>TEXT(IF($B1950 = "Retail Item", IF((ROW($A1950) - 4504 - _xlfn.XMATCH($C1950, $C$4506:$C$5005, 0, 1)) &lt;= VLOOKUP($C1950, 'Instrument Table'!$B:$D, 3, FALSE), ROW($A1950) - 4504 - _xlfn.XMATCH($C1950, $C$4506:$C$5005, 0, 1), 0), 0), "00")</f>
        <v>00</v>
      </c>
      <c r="H1950" s="1" t="str">
        <f t="shared" si="181"/>
        <v>194</v>
      </c>
      <c r="I1950" s="1" t="str">
        <f t="shared" si="182"/>
        <v>13000-194</v>
      </c>
      <c r="J1950" s="1" t="str">
        <f t="shared" si="183"/>
        <v>Clarinet production item #194</v>
      </c>
      <c r="K1950" s="1" t="str">
        <f>IF(SUM(COUNTIFS(I:I, I1950)) &gt; 1, "DUPLICATE", "UNIQUE")</f>
        <v>UNIQUE</v>
      </c>
      <c r="L1950" s="18">
        <v>0</v>
      </c>
      <c r="M1950" s="28">
        <v>29</v>
      </c>
      <c r="N1950" s="6">
        <v>144</v>
      </c>
      <c r="O1950" s="30">
        <f t="shared" si="184"/>
        <v>0</v>
      </c>
      <c r="P1950" s="30">
        <f t="shared" si="185"/>
        <v>4176</v>
      </c>
      <c r="Q1950" s="1">
        <f>COUNTIFS($P:$P, "&gt;" &amp; $P1950) + 1</f>
        <v>2621</v>
      </c>
      <c r="R1950" s="63">
        <f>(COUNTIFS($P:$P, "&gt;" &amp; $P1950) + 1) / (COUNTA($I:$I) - 1)</f>
        <v>0.5242</v>
      </c>
      <c r="S1950" s="23">
        <f>SUMIFS($P:$P, $Q:$Q, "&lt;" &amp; $Q1950)</f>
        <v>183651994</v>
      </c>
    </row>
    <row r="1951" spans="1:19" x14ac:dyDescent="0.25">
      <c r="A1951" s="1">
        <v>1946</v>
      </c>
      <c r="B1951" s="1" t="s">
        <v>2</v>
      </c>
      <c r="C1951" s="1" t="str">
        <f>IF($B1951 = "Production Item", _xlfn.XLOOKUP($A1951, 'Instrument Table'!$J:$J, 'Instrument Table'!$B:$B, $C1950), IF($B1951 = "Service Item", _xlfn.XLOOKUP($A1951, 'Instrument Table'!$I:$I, 'Instrument Table'!$B:$B, $C1950), _xlfn.XLOOKUP($A1951, 'Instrument Table'!$H:$H, 'Instrument Table'!$B:$B, $C1950)))</f>
        <v>Clarinet</v>
      </c>
      <c r="D1951" s="1" t="str">
        <f>VLOOKUP($C1951, 'Instrument Table'!$B:$C, 2, FALSE)</f>
        <v>Woodwinds</v>
      </c>
      <c r="E1951" s="1">
        <f t="shared" si="180"/>
        <v>1</v>
      </c>
      <c r="F1951" s="1">
        <f>_xlfn.XLOOKUP($C1951, 'Instrument Table'!$B:$B, 'Instrument Table'!$A:$A, "")</f>
        <v>30</v>
      </c>
      <c r="G1951" s="1" t="str">
        <f>TEXT(IF($B1951 = "Retail Item", IF((ROW($A1951) - 4504 - _xlfn.XMATCH($C1951, $C$4506:$C$5005, 0, 1)) &lt;= VLOOKUP($C1951, 'Instrument Table'!$B:$D, 3, FALSE), ROW($A1951) - 4504 - _xlfn.XMATCH($C1951, $C$4506:$C$5005, 0, 1), 0), 0), "00")</f>
        <v>00</v>
      </c>
      <c r="H1951" s="1" t="str">
        <f t="shared" si="181"/>
        <v>195</v>
      </c>
      <c r="I1951" s="1" t="str">
        <f t="shared" si="182"/>
        <v>13000-195</v>
      </c>
      <c r="J1951" s="1" t="str">
        <f t="shared" si="183"/>
        <v>Clarinet production item #195</v>
      </c>
      <c r="K1951" s="1" t="str">
        <f>IF(SUM(COUNTIFS(I:I, I1951)) &gt; 1, "DUPLICATE", "UNIQUE")</f>
        <v>UNIQUE</v>
      </c>
      <c r="L1951" s="18">
        <v>1</v>
      </c>
      <c r="M1951" s="28">
        <v>18</v>
      </c>
      <c r="N1951" s="6">
        <v>81</v>
      </c>
      <c r="O1951" s="30">
        <f t="shared" si="184"/>
        <v>18</v>
      </c>
      <c r="P1951" s="30">
        <f t="shared" si="185"/>
        <v>1458</v>
      </c>
      <c r="Q1951" s="1">
        <f>COUNTIFS($P:$P, "&gt;" &amp; $P1951) + 1</f>
        <v>3477</v>
      </c>
      <c r="R1951" s="63">
        <f>(COUNTIFS($P:$P, "&gt;" &amp; $P1951) + 1) / (COUNTA($I:$I) - 1)</f>
        <v>0.69540000000000002</v>
      </c>
      <c r="S1951" s="23">
        <f>SUMIFS($P:$P, $Q:$Q, "&lt;" &amp; $Q1951)</f>
        <v>185904150</v>
      </c>
    </row>
    <row r="1952" spans="1:19" x14ac:dyDescent="0.25">
      <c r="A1952" s="1">
        <v>1947</v>
      </c>
      <c r="B1952" s="1" t="s">
        <v>2</v>
      </c>
      <c r="C1952" s="1" t="str">
        <f>IF($B1952 = "Production Item", _xlfn.XLOOKUP($A1952, 'Instrument Table'!$J:$J, 'Instrument Table'!$B:$B, $C1951), IF($B1952 = "Service Item", _xlfn.XLOOKUP($A1952, 'Instrument Table'!$I:$I, 'Instrument Table'!$B:$B, $C1951), _xlfn.XLOOKUP($A1952, 'Instrument Table'!$H:$H, 'Instrument Table'!$B:$B, $C1951)))</f>
        <v>Clarinet</v>
      </c>
      <c r="D1952" s="1" t="str">
        <f>VLOOKUP($C1952, 'Instrument Table'!$B:$C, 2, FALSE)</f>
        <v>Woodwinds</v>
      </c>
      <c r="E1952" s="1">
        <f t="shared" si="180"/>
        <v>1</v>
      </c>
      <c r="F1952" s="1">
        <f>_xlfn.XLOOKUP($C1952, 'Instrument Table'!$B:$B, 'Instrument Table'!$A:$A, "")</f>
        <v>30</v>
      </c>
      <c r="G1952" s="1" t="str">
        <f>TEXT(IF($B1952 = "Retail Item", IF((ROW($A1952) - 4504 - _xlfn.XMATCH($C1952, $C$4506:$C$5005, 0, 1)) &lt;= VLOOKUP($C1952, 'Instrument Table'!$B:$D, 3, FALSE), ROW($A1952) - 4504 - _xlfn.XMATCH($C1952, $C$4506:$C$5005, 0, 1), 0), 0), "00")</f>
        <v>00</v>
      </c>
      <c r="H1952" s="1" t="str">
        <f t="shared" si="181"/>
        <v>196</v>
      </c>
      <c r="I1952" s="1" t="str">
        <f t="shared" si="182"/>
        <v>13000-196</v>
      </c>
      <c r="J1952" s="1" t="str">
        <f t="shared" si="183"/>
        <v>Clarinet production item #196</v>
      </c>
      <c r="K1952" s="1" t="str">
        <f>IF(SUM(COUNTIFS(I:I, I1952)) &gt; 1, "DUPLICATE", "UNIQUE")</f>
        <v>UNIQUE</v>
      </c>
      <c r="L1952" s="18">
        <v>1</v>
      </c>
      <c r="M1952" s="28">
        <v>97</v>
      </c>
      <c r="N1952" s="6">
        <v>289</v>
      </c>
      <c r="O1952" s="30">
        <f t="shared" si="184"/>
        <v>97</v>
      </c>
      <c r="P1952" s="30">
        <f t="shared" si="185"/>
        <v>28033</v>
      </c>
      <c r="Q1952" s="1">
        <f>COUNTIFS($P:$P, "&gt;" &amp; $P1952) + 1</f>
        <v>729</v>
      </c>
      <c r="R1952" s="63">
        <f>(COUNTIFS($P:$P, "&gt;" &amp; $P1952) + 1) / (COUNTA($I:$I) - 1)</f>
        <v>0.14580000000000001</v>
      </c>
      <c r="S1952" s="23">
        <f>SUMIFS($P:$P, $Q:$Q, "&lt;" &amp; $Q1952)</f>
        <v>159927664</v>
      </c>
    </row>
    <row r="1953" spans="1:19" x14ac:dyDescent="0.25">
      <c r="A1953" s="1">
        <v>1948</v>
      </c>
      <c r="B1953" s="1" t="s">
        <v>2</v>
      </c>
      <c r="C1953" s="1" t="str">
        <f>IF($B1953 = "Production Item", _xlfn.XLOOKUP($A1953, 'Instrument Table'!$J:$J, 'Instrument Table'!$B:$B, $C1952), IF($B1953 = "Service Item", _xlfn.XLOOKUP($A1953, 'Instrument Table'!$I:$I, 'Instrument Table'!$B:$B, $C1952), _xlfn.XLOOKUP($A1953, 'Instrument Table'!$H:$H, 'Instrument Table'!$B:$B, $C1952)))</f>
        <v>Clarinet</v>
      </c>
      <c r="D1953" s="1" t="str">
        <f>VLOOKUP($C1953, 'Instrument Table'!$B:$C, 2, FALSE)</f>
        <v>Woodwinds</v>
      </c>
      <c r="E1953" s="1">
        <f t="shared" si="180"/>
        <v>1</v>
      </c>
      <c r="F1953" s="1">
        <f>_xlfn.XLOOKUP($C1953, 'Instrument Table'!$B:$B, 'Instrument Table'!$A:$A, "")</f>
        <v>30</v>
      </c>
      <c r="G1953" s="1" t="str">
        <f>TEXT(IF($B1953 = "Retail Item", IF((ROW($A1953) - 4504 - _xlfn.XMATCH($C1953, $C$4506:$C$5005, 0, 1)) &lt;= VLOOKUP($C1953, 'Instrument Table'!$B:$D, 3, FALSE), ROW($A1953) - 4504 - _xlfn.XMATCH($C1953, $C$4506:$C$5005, 0, 1), 0), 0), "00")</f>
        <v>00</v>
      </c>
      <c r="H1953" s="1" t="str">
        <f t="shared" si="181"/>
        <v>197</v>
      </c>
      <c r="I1953" s="1" t="str">
        <f t="shared" si="182"/>
        <v>13000-197</v>
      </c>
      <c r="J1953" s="1" t="str">
        <f t="shared" si="183"/>
        <v>Clarinet production item #197</v>
      </c>
      <c r="K1953" s="1" t="str">
        <f>IF(SUM(COUNTIFS(I:I, I1953)) &gt; 1, "DUPLICATE", "UNIQUE")</f>
        <v>UNIQUE</v>
      </c>
      <c r="L1953" s="18">
        <v>8</v>
      </c>
      <c r="M1953" s="28">
        <v>89</v>
      </c>
      <c r="N1953" s="6">
        <v>196</v>
      </c>
      <c r="O1953" s="30">
        <f t="shared" si="184"/>
        <v>712</v>
      </c>
      <c r="P1953" s="30">
        <f t="shared" si="185"/>
        <v>17444</v>
      </c>
      <c r="Q1953" s="1">
        <f>COUNTIFS($P:$P, "&gt;" &amp; $P1953) + 1</f>
        <v>1193</v>
      </c>
      <c r="R1953" s="63">
        <f>(COUNTIFS($P:$P, "&gt;" &amp; $P1953) + 1) / (COUNTA($I:$I) - 1)</f>
        <v>0.23860000000000001</v>
      </c>
      <c r="S1953" s="23">
        <f>SUMIFS($P:$P, $Q:$Q, "&lt;" &amp; $Q1953)</f>
        <v>170204437</v>
      </c>
    </row>
    <row r="1954" spans="1:19" x14ac:dyDescent="0.25">
      <c r="A1954" s="1">
        <v>1949</v>
      </c>
      <c r="B1954" s="1" t="s">
        <v>2</v>
      </c>
      <c r="C1954" s="1" t="str">
        <f>IF($B1954 = "Production Item", _xlfn.XLOOKUP($A1954, 'Instrument Table'!$J:$J, 'Instrument Table'!$B:$B, $C1953), IF($B1954 = "Service Item", _xlfn.XLOOKUP($A1954, 'Instrument Table'!$I:$I, 'Instrument Table'!$B:$B, $C1953), _xlfn.XLOOKUP($A1954, 'Instrument Table'!$H:$H, 'Instrument Table'!$B:$B, $C1953)))</f>
        <v>Clarinet</v>
      </c>
      <c r="D1954" s="1" t="str">
        <f>VLOOKUP($C1954, 'Instrument Table'!$B:$C, 2, FALSE)</f>
        <v>Woodwinds</v>
      </c>
      <c r="E1954" s="1">
        <f t="shared" si="180"/>
        <v>1</v>
      </c>
      <c r="F1954" s="1">
        <f>_xlfn.XLOOKUP($C1954, 'Instrument Table'!$B:$B, 'Instrument Table'!$A:$A, "")</f>
        <v>30</v>
      </c>
      <c r="G1954" s="1" t="str">
        <f>TEXT(IF($B1954 = "Retail Item", IF((ROW($A1954) - 4504 - _xlfn.XMATCH($C1954, $C$4506:$C$5005, 0, 1)) &lt;= VLOOKUP($C1954, 'Instrument Table'!$B:$D, 3, FALSE), ROW($A1954) - 4504 - _xlfn.XMATCH($C1954, $C$4506:$C$5005, 0, 1), 0), 0), "00")</f>
        <v>00</v>
      </c>
      <c r="H1954" s="1" t="str">
        <f t="shared" si="181"/>
        <v>198</v>
      </c>
      <c r="I1954" s="1" t="str">
        <f t="shared" si="182"/>
        <v>13000-198</v>
      </c>
      <c r="J1954" s="1" t="str">
        <f t="shared" si="183"/>
        <v>Clarinet production item #198</v>
      </c>
      <c r="K1954" s="1" t="str">
        <f>IF(SUM(COUNTIFS(I:I, I1954)) &gt; 1, "DUPLICATE", "UNIQUE")</f>
        <v>UNIQUE</v>
      </c>
      <c r="L1954" s="18">
        <v>32</v>
      </c>
      <c r="M1954" s="28">
        <v>6</v>
      </c>
      <c r="N1954" s="6">
        <v>9</v>
      </c>
      <c r="O1954" s="30">
        <f t="shared" si="184"/>
        <v>192</v>
      </c>
      <c r="P1954" s="30">
        <f t="shared" si="185"/>
        <v>54</v>
      </c>
      <c r="Q1954" s="1">
        <f>COUNTIFS($P:$P, "&gt;" &amp; $P1954) + 1</f>
        <v>4596</v>
      </c>
      <c r="R1954" s="63">
        <f>(COUNTIFS($P:$P, "&gt;" &amp; $P1954) + 1) / (COUNTA($I:$I) - 1)</f>
        <v>0.91920000000000002</v>
      </c>
      <c r="S1954" s="23">
        <f>SUMIFS($P:$P, $Q:$Q, "&lt;" &amp; $Q1954)</f>
        <v>186543478</v>
      </c>
    </row>
    <row r="1955" spans="1:19" x14ac:dyDescent="0.25">
      <c r="A1955" s="1">
        <v>1950</v>
      </c>
      <c r="B1955" s="1" t="s">
        <v>2</v>
      </c>
      <c r="C1955" s="1" t="str">
        <f>IF($B1955 = "Production Item", _xlfn.XLOOKUP($A1955, 'Instrument Table'!$J:$J, 'Instrument Table'!$B:$B, $C1954), IF($B1955 = "Service Item", _xlfn.XLOOKUP($A1955, 'Instrument Table'!$I:$I, 'Instrument Table'!$B:$B, $C1954), _xlfn.XLOOKUP($A1955, 'Instrument Table'!$H:$H, 'Instrument Table'!$B:$B, $C1954)))</f>
        <v>Clarinet</v>
      </c>
      <c r="D1955" s="1" t="str">
        <f>VLOOKUP($C1955, 'Instrument Table'!$B:$C, 2, FALSE)</f>
        <v>Woodwinds</v>
      </c>
      <c r="E1955" s="1">
        <f t="shared" si="180"/>
        <v>1</v>
      </c>
      <c r="F1955" s="1">
        <f>_xlfn.XLOOKUP($C1955, 'Instrument Table'!$B:$B, 'Instrument Table'!$A:$A, "")</f>
        <v>30</v>
      </c>
      <c r="G1955" s="1" t="str">
        <f>TEXT(IF($B1955 = "Retail Item", IF((ROW($A1955) - 4504 - _xlfn.XMATCH($C1955, $C$4506:$C$5005, 0, 1)) &lt;= VLOOKUP($C1955, 'Instrument Table'!$B:$D, 3, FALSE), ROW($A1955) - 4504 - _xlfn.XMATCH($C1955, $C$4506:$C$5005, 0, 1), 0), 0), "00")</f>
        <v>00</v>
      </c>
      <c r="H1955" s="1" t="str">
        <f t="shared" si="181"/>
        <v>199</v>
      </c>
      <c r="I1955" s="1" t="str">
        <f t="shared" si="182"/>
        <v>13000-199</v>
      </c>
      <c r="J1955" s="1" t="str">
        <f t="shared" si="183"/>
        <v>Clarinet production item #199</v>
      </c>
      <c r="K1955" s="1" t="str">
        <f>IF(SUM(COUNTIFS(I:I, I1955)) &gt; 1, "DUPLICATE", "UNIQUE")</f>
        <v>UNIQUE</v>
      </c>
      <c r="L1955" s="18">
        <v>8</v>
      </c>
      <c r="M1955" s="28">
        <v>29</v>
      </c>
      <c r="N1955" s="6">
        <v>49</v>
      </c>
      <c r="O1955" s="30">
        <f t="shared" si="184"/>
        <v>232</v>
      </c>
      <c r="P1955" s="30">
        <f t="shared" si="185"/>
        <v>1421</v>
      </c>
      <c r="Q1955" s="1">
        <f>COUNTIFS($P:$P, "&gt;" &amp; $P1955) + 1</f>
        <v>3498</v>
      </c>
      <c r="R1955" s="63">
        <f>(COUNTIFS($P:$P, "&gt;" &amp; $P1955) + 1) / (COUNTA($I:$I) - 1)</f>
        <v>0.6996</v>
      </c>
      <c r="S1955" s="23">
        <f>SUMIFS($P:$P, $Q:$Q, "&lt;" &amp; $Q1955)</f>
        <v>185934616</v>
      </c>
    </row>
    <row r="1956" spans="1:19" x14ac:dyDescent="0.25">
      <c r="A1956" s="1">
        <v>1951</v>
      </c>
      <c r="B1956" s="1" t="s">
        <v>2</v>
      </c>
      <c r="C1956" s="1" t="str">
        <f>IF($B1956 = "Production Item", _xlfn.XLOOKUP($A1956, 'Instrument Table'!$J:$J, 'Instrument Table'!$B:$B, $C1955), IF($B1956 = "Service Item", _xlfn.XLOOKUP($A1956, 'Instrument Table'!$I:$I, 'Instrument Table'!$B:$B, $C1955), _xlfn.XLOOKUP($A1956, 'Instrument Table'!$H:$H, 'Instrument Table'!$B:$B, $C1955)))</f>
        <v>Clarinet</v>
      </c>
      <c r="D1956" s="1" t="str">
        <f>VLOOKUP($C1956, 'Instrument Table'!$B:$C, 2, FALSE)</f>
        <v>Woodwinds</v>
      </c>
      <c r="E1956" s="1">
        <f t="shared" si="180"/>
        <v>1</v>
      </c>
      <c r="F1956" s="1">
        <f>_xlfn.XLOOKUP($C1956, 'Instrument Table'!$B:$B, 'Instrument Table'!$A:$A, "")</f>
        <v>30</v>
      </c>
      <c r="G1956" s="1" t="str">
        <f>TEXT(IF($B1956 = "Retail Item", IF((ROW($A1956) - 4504 - _xlfn.XMATCH($C1956, $C$4506:$C$5005, 0, 1)) &lt;= VLOOKUP($C1956, 'Instrument Table'!$B:$D, 3, FALSE), ROW($A1956) - 4504 - _xlfn.XMATCH($C1956, $C$4506:$C$5005, 0, 1), 0), 0), "00")</f>
        <v>00</v>
      </c>
      <c r="H1956" s="1" t="str">
        <f t="shared" si="181"/>
        <v>200</v>
      </c>
      <c r="I1956" s="1" t="str">
        <f t="shared" si="182"/>
        <v>13000-200</v>
      </c>
      <c r="J1956" s="1" t="str">
        <f t="shared" si="183"/>
        <v>Clarinet production item #200</v>
      </c>
      <c r="K1956" s="1" t="str">
        <f>IF(SUM(COUNTIFS(I:I, I1956)) &gt; 1, "DUPLICATE", "UNIQUE")</f>
        <v>UNIQUE</v>
      </c>
      <c r="L1956" s="18">
        <v>8</v>
      </c>
      <c r="M1956" s="28">
        <v>85</v>
      </c>
      <c r="N1956" s="6">
        <v>64</v>
      </c>
      <c r="O1956" s="30">
        <f t="shared" si="184"/>
        <v>680</v>
      </c>
      <c r="P1956" s="30">
        <f t="shared" si="185"/>
        <v>5440</v>
      </c>
      <c r="Q1956" s="1">
        <f>COUNTIFS($P:$P, "&gt;" &amp; $P1956) + 1</f>
        <v>2364</v>
      </c>
      <c r="R1956" s="63">
        <f>(COUNTIFS($P:$P, "&gt;" &amp; $P1956) + 1) / (COUNTA($I:$I) - 1)</f>
        <v>0.4728</v>
      </c>
      <c r="S1956" s="23">
        <f>SUMIFS($P:$P, $Q:$Q, "&lt;" &amp; $Q1956)</f>
        <v>182424297</v>
      </c>
    </row>
    <row r="1957" spans="1:19" x14ac:dyDescent="0.25">
      <c r="A1957" s="1">
        <v>1952</v>
      </c>
      <c r="B1957" s="1" t="s">
        <v>2</v>
      </c>
      <c r="C1957" s="1" t="str">
        <f>IF($B1957 = "Production Item", _xlfn.XLOOKUP($A1957, 'Instrument Table'!$J:$J, 'Instrument Table'!$B:$B, $C1956), IF($B1957 = "Service Item", _xlfn.XLOOKUP($A1957, 'Instrument Table'!$I:$I, 'Instrument Table'!$B:$B, $C1956), _xlfn.XLOOKUP($A1957, 'Instrument Table'!$H:$H, 'Instrument Table'!$B:$B, $C1956)))</f>
        <v>Clarinet</v>
      </c>
      <c r="D1957" s="1" t="str">
        <f>VLOOKUP($C1957, 'Instrument Table'!$B:$C, 2, FALSE)</f>
        <v>Woodwinds</v>
      </c>
      <c r="E1957" s="1">
        <f t="shared" si="180"/>
        <v>1</v>
      </c>
      <c r="F1957" s="1">
        <f>_xlfn.XLOOKUP($C1957, 'Instrument Table'!$B:$B, 'Instrument Table'!$A:$A, "")</f>
        <v>30</v>
      </c>
      <c r="G1957" s="1" t="str">
        <f>TEXT(IF($B1957 = "Retail Item", IF((ROW($A1957) - 4504 - _xlfn.XMATCH($C1957, $C$4506:$C$5005, 0, 1)) &lt;= VLOOKUP($C1957, 'Instrument Table'!$B:$D, 3, FALSE), ROW($A1957) - 4504 - _xlfn.XMATCH($C1957, $C$4506:$C$5005, 0, 1), 0), 0), "00")</f>
        <v>00</v>
      </c>
      <c r="H1957" s="1" t="str">
        <f t="shared" si="181"/>
        <v>201</v>
      </c>
      <c r="I1957" s="1" t="str">
        <f t="shared" si="182"/>
        <v>13000-201</v>
      </c>
      <c r="J1957" s="1" t="str">
        <f t="shared" si="183"/>
        <v>Clarinet production item #201</v>
      </c>
      <c r="K1957" s="1" t="str">
        <f>IF(SUM(COUNTIFS(I:I, I1957)) &gt; 1, "DUPLICATE", "UNIQUE")</f>
        <v>UNIQUE</v>
      </c>
      <c r="L1957" s="18">
        <v>1</v>
      </c>
      <c r="M1957" s="28">
        <v>78</v>
      </c>
      <c r="N1957" s="6">
        <v>1</v>
      </c>
      <c r="O1957" s="30">
        <f t="shared" si="184"/>
        <v>78</v>
      </c>
      <c r="P1957" s="30">
        <f t="shared" si="185"/>
        <v>78</v>
      </c>
      <c r="Q1957" s="1">
        <f>COUNTIFS($P:$P, "&gt;" &amp; $P1957) + 1</f>
        <v>4519</v>
      </c>
      <c r="R1957" s="63">
        <f>(COUNTIFS($P:$P, "&gt;" &amp; $P1957) + 1) / (COUNTA($I:$I) - 1)</f>
        <v>0.90380000000000005</v>
      </c>
      <c r="S1957" s="23">
        <f>SUMIFS($P:$P, $Q:$Q, "&lt;" &amp; $Q1957)</f>
        <v>186538402</v>
      </c>
    </row>
    <row r="1958" spans="1:19" x14ac:dyDescent="0.25">
      <c r="A1958" s="1">
        <v>1953</v>
      </c>
      <c r="B1958" s="1" t="s">
        <v>2</v>
      </c>
      <c r="C1958" s="1" t="str">
        <f>IF($B1958 = "Production Item", _xlfn.XLOOKUP($A1958, 'Instrument Table'!$J:$J, 'Instrument Table'!$B:$B, $C1957), IF($B1958 = "Service Item", _xlfn.XLOOKUP($A1958, 'Instrument Table'!$I:$I, 'Instrument Table'!$B:$B, $C1957), _xlfn.XLOOKUP($A1958, 'Instrument Table'!$H:$H, 'Instrument Table'!$B:$B, $C1957)))</f>
        <v>Clarinet</v>
      </c>
      <c r="D1958" s="1" t="str">
        <f>VLOOKUP($C1958, 'Instrument Table'!$B:$C, 2, FALSE)</f>
        <v>Woodwinds</v>
      </c>
      <c r="E1958" s="1">
        <f t="shared" si="180"/>
        <v>1</v>
      </c>
      <c r="F1958" s="1">
        <f>_xlfn.XLOOKUP($C1958, 'Instrument Table'!$B:$B, 'Instrument Table'!$A:$A, "")</f>
        <v>30</v>
      </c>
      <c r="G1958" s="1" t="str">
        <f>TEXT(IF($B1958 = "Retail Item", IF((ROW($A1958) - 4504 - _xlfn.XMATCH($C1958, $C$4506:$C$5005, 0, 1)) &lt;= VLOOKUP($C1958, 'Instrument Table'!$B:$D, 3, FALSE), ROW($A1958) - 4504 - _xlfn.XMATCH($C1958, $C$4506:$C$5005, 0, 1), 0), 0), "00")</f>
        <v>00</v>
      </c>
      <c r="H1958" s="1" t="str">
        <f t="shared" si="181"/>
        <v>202</v>
      </c>
      <c r="I1958" s="1" t="str">
        <f t="shared" si="182"/>
        <v>13000-202</v>
      </c>
      <c r="J1958" s="1" t="str">
        <f t="shared" si="183"/>
        <v>Clarinet production item #202</v>
      </c>
      <c r="K1958" s="1" t="str">
        <f>IF(SUM(COUNTIFS(I:I, I1958)) &gt; 1, "DUPLICATE", "UNIQUE")</f>
        <v>UNIQUE</v>
      </c>
      <c r="L1958" s="18">
        <v>1</v>
      </c>
      <c r="M1958" s="28">
        <v>100</v>
      </c>
      <c r="N1958" s="6">
        <v>225</v>
      </c>
      <c r="O1958" s="30">
        <f t="shared" si="184"/>
        <v>100</v>
      </c>
      <c r="P1958" s="30">
        <f t="shared" si="185"/>
        <v>22500</v>
      </c>
      <c r="Q1958" s="1">
        <f>COUNTIFS($P:$P, "&gt;" &amp; $P1958) + 1</f>
        <v>925</v>
      </c>
      <c r="R1958" s="63">
        <f>(COUNTIFS($P:$P, "&gt;" &amp; $P1958) + 1) / (COUNTA($I:$I) - 1)</f>
        <v>0.185</v>
      </c>
      <c r="S1958" s="23">
        <f>SUMIFS($P:$P, $Q:$Q, "&lt;" &amp; $Q1958)</f>
        <v>164851773</v>
      </c>
    </row>
    <row r="1959" spans="1:19" x14ac:dyDescent="0.25">
      <c r="A1959" s="1">
        <v>1954</v>
      </c>
      <c r="B1959" s="1" t="s">
        <v>2</v>
      </c>
      <c r="C1959" s="1" t="str">
        <f>IF($B1959 = "Production Item", _xlfn.XLOOKUP($A1959, 'Instrument Table'!$J:$J, 'Instrument Table'!$B:$B, $C1958), IF($B1959 = "Service Item", _xlfn.XLOOKUP($A1959, 'Instrument Table'!$I:$I, 'Instrument Table'!$B:$B, $C1958), _xlfn.XLOOKUP($A1959, 'Instrument Table'!$H:$H, 'Instrument Table'!$B:$B, $C1958)))</f>
        <v>Clarinet</v>
      </c>
      <c r="D1959" s="1" t="str">
        <f>VLOOKUP($C1959, 'Instrument Table'!$B:$C, 2, FALSE)</f>
        <v>Woodwinds</v>
      </c>
      <c r="E1959" s="1">
        <f t="shared" si="180"/>
        <v>1</v>
      </c>
      <c r="F1959" s="1">
        <f>_xlfn.XLOOKUP($C1959, 'Instrument Table'!$B:$B, 'Instrument Table'!$A:$A, "")</f>
        <v>30</v>
      </c>
      <c r="G1959" s="1" t="str">
        <f>TEXT(IF($B1959 = "Retail Item", IF((ROW($A1959) - 4504 - _xlfn.XMATCH($C1959, $C$4506:$C$5005, 0, 1)) &lt;= VLOOKUP($C1959, 'Instrument Table'!$B:$D, 3, FALSE), ROW($A1959) - 4504 - _xlfn.XMATCH($C1959, $C$4506:$C$5005, 0, 1), 0), 0), "00")</f>
        <v>00</v>
      </c>
      <c r="H1959" s="1" t="str">
        <f t="shared" si="181"/>
        <v>203</v>
      </c>
      <c r="I1959" s="1" t="str">
        <f t="shared" si="182"/>
        <v>13000-203</v>
      </c>
      <c r="J1959" s="1" t="str">
        <f t="shared" si="183"/>
        <v>Clarinet production item #203</v>
      </c>
      <c r="K1959" s="1" t="str">
        <f>IF(SUM(COUNTIFS(I:I, I1959)) &gt; 1, "DUPLICATE", "UNIQUE")</f>
        <v>UNIQUE</v>
      </c>
      <c r="L1959" s="18">
        <v>16</v>
      </c>
      <c r="M1959" s="28">
        <v>64</v>
      </c>
      <c r="N1959" s="6">
        <v>1</v>
      </c>
      <c r="O1959" s="30">
        <f t="shared" si="184"/>
        <v>1024</v>
      </c>
      <c r="P1959" s="30">
        <f t="shared" si="185"/>
        <v>64</v>
      </c>
      <c r="Q1959" s="1">
        <f>COUNTIFS($P:$P, "&gt;" &amp; $P1959) + 1</f>
        <v>4553</v>
      </c>
      <c r="R1959" s="63">
        <f>(COUNTIFS($P:$P, "&gt;" &amp; $P1959) + 1) / (COUNTA($I:$I) - 1)</f>
        <v>0.91059999999999997</v>
      </c>
      <c r="S1959" s="23">
        <f>SUMIFS($P:$P, $Q:$Q, "&lt;" &amp; $Q1959)</f>
        <v>186540850</v>
      </c>
    </row>
    <row r="1960" spans="1:19" x14ac:dyDescent="0.25">
      <c r="A1960" s="1">
        <v>1955</v>
      </c>
      <c r="B1960" s="1" t="s">
        <v>2</v>
      </c>
      <c r="C1960" s="1" t="str">
        <f>IF($B1960 = "Production Item", _xlfn.XLOOKUP($A1960, 'Instrument Table'!$J:$J, 'Instrument Table'!$B:$B, $C1959), IF($B1960 = "Service Item", _xlfn.XLOOKUP($A1960, 'Instrument Table'!$I:$I, 'Instrument Table'!$B:$B, $C1959), _xlfn.XLOOKUP($A1960, 'Instrument Table'!$H:$H, 'Instrument Table'!$B:$B, $C1959)))</f>
        <v>Clarinet</v>
      </c>
      <c r="D1960" s="1" t="str">
        <f>VLOOKUP($C1960, 'Instrument Table'!$B:$C, 2, FALSE)</f>
        <v>Woodwinds</v>
      </c>
      <c r="E1960" s="1">
        <f t="shared" si="180"/>
        <v>1</v>
      </c>
      <c r="F1960" s="1">
        <f>_xlfn.XLOOKUP($C1960, 'Instrument Table'!$B:$B, 'Instrument Table'!$A:$A, "")</f>
        <v>30</v>
      </c>
      <c r="G1960" s="1" t="str">
        <f>TEXT(IF($B1960 = "Retail Item", IF((ROW($A1960) - 4504 - _xlfn.XMATCH($C1960, $C$4506:$C$5005, 0, 1)) &lt;= VLOOKUP($C1960, 'Instrument Table'!$B:$D, 3, FALSE), ROW($A1960) - 4504 - _xlfn.XMATCH($C1960, $C$4506:$C$5005, 0, 1), 0), 0), "00")</f>
        <v>00</v>
      </c>
      <c r="H1960" s="1" t="str">
        <f t="shared" si="181"/>
        <v>204</v>
      </c>
      <c r="I1960" s="1" t="str">
        <f t="shared" si="182"/>
        <v>13000-204</v>
      </c>
      <c r="J1960" s="1" t="str">
        <f t="shared" si="183"/>
        <v>Clarinet production item #204</v>
      </c>
      <c r="K1960" s="1" t="str">
        <f>IF(SUM(COUNTIFS(I:I, I1960)) &gt; 1, "DUPLICATE", "UNIQUE")</f>
        <v>UNIQUE</v>
      </c>
      <c r="L1960" s="18">
        <v>4</v>
      </c>
      <c r="M1960" s="28">
        <v>50</v>
      </c>
      <c r="N1960" s="6">
        <v>100</v>
      </c>
      <c r="O1960" s="30">
        <f t="shared" si="184"/>
        <v>200</v>
      </c>
      <c r="P1960" s="30">
        <f t="shared" si="185"/>
        <v>5000</v>
      </c>
      <c r="Q1960" s="1">
        <f>COUNTIFS($P:$P, "&gt;" &amp; $P1960) + 1</f>
        <v>2447</v>
      </c>
      <c r="R1960" s="63">
        <f>(COUNTIFS($P:$P, "&gt;" &amp; $P1960) + 1) / (COUNTA($I:$I) - 1)</f>
        <v>0.4894</v>
      </c>
      <c r="S1960" s="23">
        <f>SUMIFS($P:$P, $Q:$Q, "&lt;" &amp; $Q1960)</f>
        <v>182857535</v>
      </c>
    </row>
    <row r="1961" spans="1:19" x14ac:dyDescent="0.25">
      <c r="A1961" s="1">
        <v>1956</v>
      </c>
      <c r="B1961" s="1" t="s">
        <v>2</v>
      </c>
      <c r="C1961" s="1" t="str">
        <f>IF($B1961 = "Production Item", _xlfn.XLOOKUP($A1961, 'Instrument Table'!$J:$J, 'Instrument Table'!$B:$B, $C1960), IF($B1961 = "Service Item", _xlfn.XLOOKUP($A1961, 'Instrument Table'!$I:$I, 'Instrument Table'!$B:$B, $C1960), _xlfn.XLOOKUP($A1961, 'Instrument Table'!$H:$H, 'Instrument Table'!$B:$B, $C1960)))</f>
        <v>Clarinet</v>
      </c>
      <c r="D1961" s="1" t="str">
        <f>VLOOKUP($C1961, 'Instrument Table'!$B:$C, 2, FALSE)</f>
        <v>Woodwinds</v>
      </c>
      <c r="E1961" s="1">
        <f t="shared" si="180"/>
        <v>1</v>
      </c>
      <c r="F1961" s="1">
        <f>_xlfn.XLOOKUP($C1961, 'Instrument Table'!$B:$B, 'Instrument Table'!$A:$A, "")</f>
        <v>30</v>
      </c>
      <c r="G1961" s="1" t="str">
        <f>TEXT(IF($B1961 = "Retail Item", IF((ROW($A1961) - 4504 - _xlfn.XMATCH($C1961, $C$4506:$C$5005, 0, 1)) &lt;= VLOOKUP($C1961, 'Instrument Table'!$B:$D, 3, FALSE), ROW($A1961) - 4504 - _xlfn.XMATCH($C1961, $C$4506:$C$5005, 0, 1), 0), 0), "00")</f>
        <v>00</v>
      </c>
      <c r="H1961" s="1" t="str">
        <f t="shared" si="181"/>
        <v>205</v>
      </c>
      <c r="I1961" s="1" t="str">
        <f t="shared" si="182"/>
        <v>13000-205</v>
      </c>
      <c r="J1961" s="1" t="str">
        <f t="shared" si="183"/>
        <v>Clarinet production item #205</v>
      </c>
      <c r="K1961" s="1" t="str">
        <f>IF(SUM(COUNTIFS(I:I, I1961)) &gt; 1, "DUPLICATE", "UNIQUE")</f>
        <v>UNIQUE</v>
      </c>
      <c r="L1961" s="18">
        <v>1</v>
      </c>
      <c r="M1961" s="28">
        <v>97</v>
      </c>
      <c r="N1961" s="6">
        <v>361</v>
      </c>
      <c r="O1961" s="30">
        <f t="shared" si="184"/>
        <v>97</v>
      </c>
      <c r="P1961" s="30">
        <f t="shared" si="185"/>
        <v>35017</v>
      </c>
      <c r="Q1961" s="1">
        <f>COUNTIFS($P:$P, "&gt;" &amp; $P1961) + 1</f>
        <v>603</v>
      </c>
      <c r="R1961" s="63">
        <f>(COUNTIFS($P:$P, "&gt;" &amp; $P1961) + 1) / (COUNTA($I:$I) - 1)</f>
        <v>0.1206</v>
      </c>
      <c r="S1961" s="23">
        <f>SUMIFS($P:$P, $Q:$Q, "&lt;" &amp; $Q1961)</f>
        <v>155975969</v>
      </c>
    </row>
    <row r="1962" spans="1:19" x14ac:dyDescent="0.25">
      <c r="A1962" s="1">
        <v>1957</v>
      </c>
      <c r="B1962" s="1" t="s">
        <v>2</v>
      </c>
      <c r="C1962" s="1" t="str">
        <f>IF($B1962 = "Production Item", _xlfn.XLOOKUP($A1962, 'Instrument Table'!$J:$J, 'Instrument Table'!$B:$B, $C1961), IF($B1962 = "Service Item", _xlfn.XLOOKUP($A1962, 'Instrument Table'!$I:$I, 'Instrument Table'!$B:$B, $C1961), _xlfn.XLOOKUP($A1962, 'Instrument Table'!$H:$H, 'Instrument Table'!$B:$B, $C1961)))</f>
        <v>Clarinet</v>
      </c>
      <c r="D1962" s="1" t="str">
        <f>VLOOKUP($C1962, 'Instrument Table'!$B:$C, 2, FALSE)</f>
        <v>Woodwinds</v>
      </c>
      <c r="E1962" s="1">
        <f t="shared" si="180"/>
        <v>1</v>
      </c>
      <c r="F1962" s="1">
        <f>_xlfn.XLOOKUP($C1962, 'Instrument Table'!$B:$B, 'Instrument Table'!$A:$A, "")</f>
        <v>30</v>
      </c>
      <c r="G1962" s="1" t="str">
        <f>TEXT(IF($B1962 = "Retail Item", IF((ROW($A1962) - 4504 - _xlfn.XMATCH($C1962, $C$4506:$C$5005, 0, 1)) &lt;= VLOOKUP($C1962, 'Instrument Table'!$B:$D, 3, FALSE), ROW($A1962) - 4504 - _xlfn.XMATCH($C1962, $C$4506:$C$5005, 0, 1), 0), 0), "00")</f>
        <v>00</v>
      </c>
      <c r="H1962" s="1" t="str">
        <f t="shared" si="181"/>
        <v>206</v>
      </c>
      <c r="I1962" s="1" t="str">
        <f t="shared" si="182"/>
        <v>13000-206</v>
      </c>
      <c r="J1962" s="1" t="str">
        <f t="shared" si="183"/>
        <v>Clarinet production item #206</v>
      </c>
      <c r="K1962" s="1" t="str">
        <f>IF(SUM(COUNTIFS(I:I, I1962)) &gt; 1, "DUPLICATE", "UNIQUE")</f>
        <v>UNIQUE</v>
      </c>
      <c r="L1962" s="18">
        <v>1</v>
      </c>
      <c r="M1962" s="28">
        <v>48</v>
      </c>
      <c r="N1962" s="6">
        <v>100</v>
      </c>
      <c r="O1962" s="30">
        <f t="shared" si="184"/>
        <v>48</v>
      </c>
      <c r="P1962" s="30">
        <f t="shared" si="185"/>
        <v>4800</v>
      </c>
      <c r="Q1962" s="1">
        <f>COUNTIFS($P:$P, "&gt;" &amp; $P1962) + 1</f>
        <v>2486</v>
      </c>
      <c r="R1962" s="63">
        <f>(COUNTIFS($P:$P, "&gt;" &amp; $P1962) + 1) / (COUNTA($I:$I) - 1)</f>
        <v>0.49719999999999998</v>
      </c>
      <c r="S1962" s="23">
        <f>SUMIFS($P:$P, $Q:$Q, "&lt;" &amp; $Q1962)</f>
        <v>183048530</v>
      </c>
    </row>
    <row r="1963" spans="1:19" x14ac:dyDescent="0.25">
      <c r="A1963" s="1">
        <v>1958</v>
      </c>
      <c r="B1963" s="1" t="s">
        <v>2</v>
      </c>
      <c r="C1963" s="1" t="str">
        <f>IF($B1963 = "Production Item", _xlfn.XLOOKUP($A1963, 'Instrument Table'!$J:$J, 'Instrument Table'!$B:$B, $C1962), IF($B1963 = "Service Item", _xlfn.XLOOKUP($A1963, 'Instrument Table'!$I:$I, 'Instrument Table'!$B:$B, $C1962), _xlfn.XLOOKUP($A1963, 'Instrument Table'!$H:$H, 'Instrument Table'!$B:$B, $C1962)))</f>
        <v>Clarinet</v>
      </c>
      <c r="D1963" s="1" t="str">
        <f>VLOOKUP($C1963, 'Instrument Table'!$B:$C, 2, FALSE)</f>
        <v>Woodwinds</v>
      </c>
      <c r="E1963" s="1">
        <f t="shared" si="180"/>
        <v>1</v>
      </c>
      <c r="F1963" s="1">
        <f>_xlfn.XLOOKUP($C1963, 'Instrument Table'!$B:$B, 'Instrument Table'!$A:$A, "")</f>
        <v>30</v>
      </c>
      <c r="G1963" s="1" t="str">
        <f>TEXT(IF($B1963 = "Retail Item", IF((ROW($A1963) - 4504 - _xlfn.XMATCH($C1963, $C$4506:$C$5005, 0, 1)) &lt;= VLOOKUP($C1963, 'Instrument Table'!$B:$D, 3, FALSE), ROW($A1963) - 4504 - _xlfn.XMATCH($C1963, $C$4506:$C$5005, 0, 1), 0), 0), "00")</f>
        <v>00</v>
      </c>
      <c r="H1963" s="1" t="str">
        <f t="shared" si="181"/>
        <v>207</v>
      </c>
      <c r="I1963" s="1" t="str">
        <f t="shared" si="182"/>
        <v>13000-207</v>
      </c>
      <c r="J1963" s="1" t="str">
        <f t="shared" si="183"/>
        <v>Clarinet production item #207</v>
      </c>
      <c r="K1963" s="1" t="str">
        <f>IF(SUM(COUNTIFS(I:I, I1963)) &gt; 1, "DUPLICATE", "UNIQUE")</f>
        <v>UNIQUE</v>
      </c>
      <c r="L1963" s="18">
        <v>1</v>
      </c>
      <c r="M1963" s="28">
        <v>77</v>
      </c>
      <c r="N1963" s="6">
        <v>144</v>
      </c>
      <c r="O1963" s="30">
        <f t="shared" si="184"/>
        <v>77</v>
      </c>
      <c r="P1963" s="30">
        <f t="shared" si="185"/>
        <v>11088</v>
      </c>
      <c r="Q1963" s="1">
        <f>COUNTIFS($P:$P, "&gt;" &amp; $P1963) + 1</f>
        <v>1675</v>
      </c>
      <c r="R1963" s="63">
        <f>(COUNTIFS($P:$P, "&gt;" &amp; $P1963) + 1) / (COUNTA($I:$I) - 1)</f>
        <v>0.33500000000000002</v>
      </c>
      <c r="S1963" s="23">
        <f>SUMIFS($P:$P, $Q:$Q, "&lt;" &amp; $Q1963)</f>
        <v>176939358</v>
      </c>
    </row>
    <row r="1964" spans="1:19" x14ac:dyDescent="0.25">
      <c r="A1964" s="1">
        <v>1959</v>
      </c>
      <c r="B1964" s="1" t="s">
        <v>2</v>
      </c>
      <c r="C1964" s="1" t="str">
        <f>IF($B1964 = "Production Item", _xlfn.XLOOKUP($A1964, 'Instrument Table'!$J:$J, 'Instrument Table'!$B:$B, $C1963), IF($B1964 = "Service Item", _xlfn.XLOOKUP($A1964, 'Instrument Table'!$I:$I, 'Instrument Table'!$B:$B, $C1963), _xlfn.XLOOKUP($A1964, 'Instrument Table'!$H:$H, 'Instrument Table'!$B:$B, $C1963)))</f>
        <v>Clarinet</v>
      </c>
      <c r="D1964" s="1" t="str">
        <f>VLOOKUP($C1964, 'Instrument Table'!$B:$C, 2, FALSE)</f>
        <v>Woodwinds</v>
      </c>
      <c r="E1964" s="1">
        <f t="shared" si="180"/>
        <v>1</v>
      </c>
      <c r="F1964" s="1">
        <f>_xlfn.XLOOKUP($C1964, 'Instrument Table'!$B:$B, 'Instrument Table'!$A:$A, "")</f>
        <v>30</v>
      </c>
      <c r="G1964" s="1" t="str">
        <f>TEXT(IF($B1964 = "Retail Item", IF((ROW($A1964) - 4504 - _xlfn.XMATCH($C1964, $C$4506:$C$5005, 0, 1)) &lt;= VLOOKUP($C1964, 'Instrument Table'!$B:$D, 3, FALSE), ROW($A1964) - 4504 - _xlfn.XMATCH($C1964, $C$4506:$C$5005, 0, 1), 0), 0), "00")</f>
        <v>00</v>
      </c>
      <c r="H1964" s="1" t="str">
        <f t="shared" si="181"/>
        <v>208</v>
      </c>
      <c r="I1964" s="1" t="str">
        <f t="shared" si="182"/>
        <v>13000-208</v>
      </c>
      <c r="J1964" s="1" t="str">
        <f t="shared" si="183"/>
        <v>Clarinet production item #208</v>
      </c>
      <c r="K1964" s="1" t="str">
        <f>IF(SUM(COUNTIFS(I:I, I1964)) &gt; 1, "DUPLICATE", "UNIQUE")</f>
        <v>UNIQUE</v>
      </c>
      <c r="L1964" s="18">
        <v>32</v>
      </c>
      <c r="M1964" s="28">
        <v>89</v>
      </c>
      <c r="N1964" s="6">
        <v>49</v>
      </c>
      <c r="O1964" s="30">
        <f t="shared" si="184"/>
        <v>2848</v>
      </c>
      <c r="P1964" s="30">
        <f t="shared" si="185"/>
        <v>4361</v>
      </c>
      <c r="Q1964" s="1">
        <f>COUNTIFS($P:$P, "&gt;" &amp; $P1964) + 1</f>
        <v>2572</v>
      </c>
      <c r="R1964" s="63">
        <f>(COUNTIFS($P:$P, "&gt;" &amp; $P1964) + 1) / (COUNTA($I:$I) - 1)</f>
        <v>0.51439999999999997</v>
      </c>
      <c r="S1964" s="23">
        <f>SUMIFS($P:$P, $Q:$Q, "&lt;" &amp; $Q1964)</f>
        <v>183442642</v>
      </c>
    </row>
    <row r="1965" spans="1:19" x14ac:dyDescent="0.25">
      <c r="A1965" s="1">
        <v>1960</v>
      </c>
      <c r="B1965" s="1" t="s">
        <v>2</v>
      </c>
      <c r="C1965" s="1" t="str">
        <f>IF($B1965 = "Production Item", _xlfn.XLOOKUP($A1965, 'Instrument Table'!$J:$J, 'Instrument Table'!$B:$B, $C1964), IF($B1965 = "Service Item", _xlfn.XLOOKUP($A1965, 'Instrument Table'!$I:$I, 'Instrument Table'!$B:$B, $C1964), _xlfn.XLOOKUP($A1965, 'Instrument Table'!$H:$H, 'Instrument Table'!$B:$B, $C1964)))</f>
        <v>Clarinet</v>
      </c>
      <c r="D1965" s="1" t="str">
        <f>VLOOKUP($C1965, 'Instrument Table'!$B:$C, 2, FALSE)</f>
        <v>Woodwinds</v>
      </c>
      <c r="E1965" s="1">
        <f t="shared" si="180"/>
        <v>1</v>
      </c>
      <c r="F1965" s="1">
        <f>_xlfn.XLOOKUP($C1965, 'Instrument Table'!$B:$B, 'Instrument Table'!$A:$A, "")</f>
        <v>30</v>
      </c>
      <c r="G1965" s="1" t="str">
        <f>TEXT(IF($B1965 = "Retail Item", IF((ROW($A1965) - 4504 - _xlfn.XMATCH($C1965, $C$4506:$C$5005, 0, 1)) &lt;= VLOOKUP($C1965, 'Instrument Table'!$B:$D, 3, FALSE), ROW($A1965) - 4504 - _xlfn.XMATCH($C1965, $C$4506:$C$5005, 0, 1), 0), 0), "00")</f>
        <v>00</v>
      </c>
      <c r="H1965" s="1" t="str">
        <f t="shared" si="181"/>
        <v>209</v>
      </c>
      <c r="I1965" s="1" t="str">
        <f t="shared" si="182"/>
        <v>13000-209</v>
      </c>
      <c r="J1965" s="1" t="str">
        <f t="shared" si="183"/>
        <v>Clarinet production item #209</v>
      </c>
      <c r="K1965" s="1" t="str">
        <f>IF(SUM(COUNTIFS(I:I, I1965)) &gt; 1, "DUPLICATE", "UNIQUE")</f>
        <v>UNIQUE</v>
      </c>
      <c r="L1965" s="18">
        <v>1</v>
      </c>
      <c r="M1965" s="28">
        <v>3</v>
      </c>
      <c r="N1965" s="6">
        <v>289</v>
      </c>
      <c r="O1965" s="30">
        <f t="shared" si="184"/>
        <v>3</v>
      </c>
      <c r="P1965" s="30">
        <f t="shared" si="185"/>
        <v>867</v>
      </c>
      <c r="Q1965" s="1">
        <f>COUNTIFS($P:$P, "&gt;" &amp; $P1965) + 1</f>
        <v>3748</v>
      </c>
      <c r="R1965" s="63">
        <f>(COUNTIFS($P:$P, "&gt;" &amp; $P1965) + 1) / (COUNTA($I:$I) - 1)</f>
        <v>0.74960000000000004</v>
      </c>
      <c r="S1965" s="23">
        <f>SUMIFS($P:$P, $Q:$Q, "&lt;" &amp; $Q1965)</f>
        <v>186222444</v>
      </c>
    </row>
    <row r="1966" spans="1:19" x14ac:dyDescent="0.25">
      <c r="A1966" s="1">
        <v>1961</v>
      </c>
      <c r="B1966" s="1" t="s">
        <v>2</v>
      </c>
      <c r="C1966" s="1" t="str">
        <f>IF($B1966 = "Production Item", _xlfn.XLOOKUP($A1966, 'Instrument Table'!$J:$J, 'Instrument Table'!$B:$B, $C1965), IF($B1966 = "Service Item", _xlfn.XLOOKUP($A1966, 'Instrument Table'!$I:$I, 'Instrument Table'!$B:$B, $C1965), _xlfn.XLOOKUP($A1966, 'Instrument Table'!$H:$H, 'Instrument Table'!$B:$B, $C1965)))</f>
        <v>Clarinet</v>
      </c>
      <c r="D1966" s="1" t="str">
        <f>VLOOKUP($C1966, 'Instrument Table'!$B:$C, 2, FALSE)</f>
        <v>Woodwinds</v>
      </c>
      <c r="E1966" s="1">
        <f t="shared" si="180"/>
        <v>1</v>
      </c>
      <c r="F1966" s="1">
        <f>_xlfn.XLOOKUP($C1966, 'Instrument Table'!$B:$B, 'Instrument Table'!$A:$A, "")</f>
        <v>30</v>
      </c>
      <c r="G1966" s="1" t="str">
        <f>TEXT(IF($B1966 = "Retail Item", IF((ROW($A1966) - 4504 - _xlfn.XMATCH($C1966, $C$4506:$C$5005, 0, 1)) &lt;= VLOOKUP($C1966, 'Instrument Table'!$B:$D, 3, FALSE), ROW($A1966) - 4504 - _xlfn.XMATCH($C1966, $C$4506:$C$5005, 0, 1), 0), 0), "00")</f>
        <v>00</v>
      </c>
      <c r="H1966" s="1" t="str">
        <f t="shared" si="181"/>
        <v>210</v>
      </c>
      <c r="I1966" s="1" t="str">
        <f t="shared" si="182"/>
        <v>13000-210</v>
      </c>
      <c r="J1966" s="1" t="str">
        <f t="shared" si="183"/>
        <v>Clarinet production item #210</v>
      </c>
      <c r="K1966" s="1" t="str">
        <f>IF(SUM(COUNTIFS(I:I, I1966)) &gt; 1, "DUPLICATE", "UNIQUE")</f>
        <v>UNIQUE</v>
      </c>
      <c r="L1966" s="18">
        <v>0</v>
      </c>
      <c r="M1966" s="28">
        <v>74</v>
      </c>
      <c r="N1966" s="6">
        <v>16</v>
      </c>
      <c r="O1966" s="30">
        <f t="shared" si="184"/>
        <v>0</v>
      </c>
      <c r="P1966" s="30">
        <f t="shared" si="185"/>
        <v>1184</v>
      </c>
      <c r="Q1966" s="1">
        <f>COUNTIFS($P:$P, "&gt;" &amp; $P1966) + 1</f>
        <v>3615</v>
      </c>
      <c r="R1966" s="63">
        <f>(COUNTIFS($P:$P, "&gt;" &amp; $P1966) + 1) / (COUNTA($I:$I) - 1)</f>
        <v>0.72299999999999998</v>
      </c>
      <c r="S1966" s="23">
        <f>SUMIFS($P:$P, $Q:$Q, "&lt;" &amp; $Q1966)</f>
        <v>186087826</v>
      </c>
    </row>
    <row r="1967" spans="1:19" x14ac:dyDescent="0.25">
      <c r="A1967" s="1">
        <v>1962</v>
      </c>
      <c r="B1967" s="1" t="s">
        <v>2</v>
      </c>
      <c r="C1967" s="1" t="str">
        <f>IF($B1967 = "Production Item", _xlfn.XLOOKUP($A1967, 'Instrument Table'!$J:$J, 'Instrument Table'!$B:$B, $C1966), IF($B1967 = "Service Item", _xlfn.XLOOKUP($A1967, 'Instrument Table'!$I:$I, 'Instrument Table'!$B:$B, $C1966), _xlfn.XLOOKUP($A1967, 'Instrument Table'!$H:$H, 'Instrument Table'!$B:$B, $C1966)))</f>
        <v>Clarinet</v>
      </c>
      <c r="D1967" s="1" t="str">
        <f>VLOOKUP($C1967, 'Instrument Table'!$B:$C, 2, FALSE)</f>
        <v>Woodwinds</v>
      </c>
      <c r="E1967" s="1">
        <f t="shared" si="180"/>
        <v>1</v>
      </c>
      <c r="F1967" s="1">
        <f>_xlfn.XLOOKUP($C1967, 'Instrument Table'!$B:$B, 'Instrument Table'!$A:$A, "")</f>
        <v>30</v>
      </c>
      <c r="G1967" s="1" t="str">
        <f>TEXT(IF($B1967 = "Retail Item", IF((ROW($A1967) - 4504 - _xlfn.XMATCH($C1967, $C$4506:$C$5005, 0, 1)) &lt;= VLOOKUP($C1967, 'Instrument Table'!$B:$D, 3, FALSE), ROW($A1967) - 4504 - _xlfn.XMATCH($C1967, $C$4506:$C$5005, 0, 1), 0), 0), "00")</f>
        <v>00</v>
      </c>
      <c r="H1967" s="1" t="str">
        <f t="shared" si="181"/>
        <v>211</v>
      </c>
      <c r="I1967" s="1" t="str">
        <f t="shared" si="182"/>
        <v>13000-211</v>
      </c>
      <c r="J1967" s="1" t="str">
        <f t="shared" si="183"/>
        <v>Clarinet production item #211</v>
      </c>
      <c r="K1967" s="1" t="str">
        <f>IF(SUM(COUNTIFS(I:I, I1967)) &gt; 1, "DUPLICATE", "UNIQUE")</f>
        <v>UNIQUE</v>
      </c>
      <c r="L1967" s="18">
        <v>8</v>
      </c>
      <c r="M1967" s="28">
        <v>78</v>
      </c>
      <c r="N1967" s="6">
        <v>400</v>
      </c>
      <c r="O1967" s="30">
        <f t="shared" si="184"/>
        <v>624</v>
      </c>
      <c r="P1967" s="30">
        <f t="shared" si="185"/>
        <v>31200</v>
      </c>
      <c r="Q1967" s="1">
        <f>COUNTIFS($P:$P, "&gt;" &amp; $P1967) + 1</f>
        <v>666</v>
      </c>
      <c r="R1967" s="63">
        <f>(COUNTIFS($P:$P, "&gt;" &amp; $P1967) + 1) / (COUNTA($I:$I) - 1)</f>
        <v>0.13320000000000001</v>
      </c>
      <c r="S1967" s="23">
        <f>SUMIFS($P:$P, $Q:$Q, "&lt;" &amp; $Q1967)</f>
        <v>158051627</v>
      </c>
    </row>
    <row r="1968" spans="1:19" x14ac:dyDescent="0.25">
      <c r="A1968" s="1">
        <v>1963</v>
      </c>
      <c r="B1968" s="1" t="s">
        <v>2</v>
      </c>
      <c r="C1968" s="1" t="str">
        <f>IF($B1968 = "Production Item", _xlfn.XLOOKUP($A1968, 'Instrument Table'!$J:$J, 'Instrument Table'!$B:$B, $C1967), IF($B1968 = "Service Item", _xlfn.XLOOKUP($A1968, 'Instrument Table'!$I:$I, 'Instrument Table'!$B:$B, $C1967), _xlfn.XLOOKUP($A1968, 'Instrument Table'!$H:$H, 'Instrument Table'!$B:$B, $C1967)))</f>
        <v>Clarinet</v>
      </c>
      <c r="D1968" s="1" t="str">
        <f>VLOOKUP($C1968, 'Instrument Table'!$B:$C, 2, FALSE)</f>
        <v>Woodwinds</v>
      </c>
      <c r="E1968" s="1">
        <f t="shared" si="180"/>
        <v>1</v>
      </c>
      <c r="F1968" s="1">
        <f>_xlfn.XLOOKUP($C1968, 'Instrument Table'!$B:$B, 'Instrument Table'!$A:$A, "")</f>
        <v>30</v>
      </c>
      <c r="G1968" s="1" t="str">
        <f>TEXT(IF($B1968 = "Retail Item", IF((ROW($A1968) - 4504 - _xlfn.XMATCH($C1968, $C$4506:$C$5005, 0, 1)) &lt;= VLOOKUP($C1968, 'Instrument Table'!$B:$D, 3, FALSE), ROW($A1968) - 4504 - _xlfn.XMATCH($C1968, $C$4506:$C$5005, 0, 1), 0), 0), "00")</f>
        <v>00</v>
      </c>
      <c r="H1968" s="1" t="str">
        <f t="shared" si="181"/>
        <v>212</v>
      </c>
      <c r="I1968" s="1" t="str">
        <f t="shared" si="182"/>
        <v>13000-212</v>
      </c>
      <c r="J1968" s="1" t="str">
        <f t="shared" si="183"/>
        <v>Clarinet production item #212</v>
      </c>
      <c r="K1968" s="1" t="str">
        <f>IF(SUM(COUNTIFS(I:I, I1968)) &gt; 1, "DUPLICATE", "UNIQUE")</f>
        <v>UNIQUE</v>
      </c>
      <c r="L1968" s="18">
        <v>8</v>
      </c>
      <c r="M1968" s="28">
        <v>88</v>
      </c>
      <c r="N1968" s="6">
        <v>1</v>
      </c>
      <c r="O1968" s="30">
        <f t="shared" si="184"/>
        <v>704</v>
      </c>
      <c r="P1968" s="30">
        <f t="shared" si="185"/>
        <v>88</v>
      </c>
      <c r="Q1968" s="1">
        <f>COUNTIFS($P:$P, "&gt;" &amp; $P1968) + 1</f>
        <v>4484</v>
      </c>
      <c r="R1968" s="63">
        <f>(COUNTIFS($P:$P, "&gt;" &amp; $P1968) + 1) / (COUNTA($I:$I) - 1)</f>
        <v>0.89680000000000004</v>
      </c>
      <c r="S1968" s="23">
        <f>SUMIFS($P:$P, $Q:$Q, "&lt;" &amp; $Q1968)</f>
        <v>186535476</v>
      </c>
    </row>
    <row r="1969" spans="1:19" x14ac:dyDescent="0.25">
      <c r="A1969" s="1">
        <v>1964</v>
      </c>
      <c r="B1969" s="1" t="s">
        <v>2</v>
      </c>
      <c r="C1969" s="1" t="str">
        <f>IF($B1969 = "Production Item", _xlfn.XLOOKUP($A1969, 'Instrument Table'!$J:$J, 'Instrument Table'!$B:$B, $C1968), IF($B1969 = "Service Item", _xlfn.XLOOKUP($A1969, 'Instrument Table'!$I:$I, 'Instrument Table'!$B:$B, $C1968), _xlfn.XLOOKUP($A1969, 'Instrument Table'!$H:$H, 'Instrument Table'!$B:$B, $C1968)))</f>
        <v>Clarinet</v>
      </c>
      <c r="D1969" s="1" t="str">
        <f>VLOOKUP($C1969, 'Instrument Table'!$B:$C, 2, FALSE)</f>
        <v>Woodwinds</v>
      </c>
      <c r="E1969" s="1">
        <f t="shared" si="180"/>
        <v>1</v>
      </c>
      <c r="F1969" s="1">
        <f>_xlfn.XLOOKUP($C1969, 'Instrument Table'!$B:$B, 'Instrument Table'!$A:$A, "")</f>
        <v>30</v>
      </c>
      <c r="G1969" s="1" t="str">
        <f>TEXT(IF($B1969 = "Retail Item", IF((ROW($A1969) - 4504 - _xlfn.XMATCH($C1969, $C$4506:$C$5005, 0, 1)) &lt;= VLOOKUP($C1969, 'Instrument Table'!$B:$D, 3, FALSE), ROW($A1969) - 4504 - _xlfn.XMATCH($C1969, $C$4506:$C$5005, 0, 1), 0), 0), "00")</f>
        <v>00</v>
      </c>
      <c r="H1969" s="1" t="str">
        <f t="shared" si="181"/>
        <v>213</v>
      </c>
      <c r="I1969" s="1" t="str">
        <f t="shared" si="182"/>
        <v>13000-213</v>
      </c>
      <c r="J1969" s="1" t="str">
        <f t="shared" si="183"/>
        <v>Clarinet production item #213</v>
      </c>
      <c r="K1969" s="1" t="str">
        <f>IF(SUM(COUNTIFS(I:I, I1969)) &gt; 1, "DUPLICATE", "UNIQUE")</f>
        <v>UNIQUE</v>
      </c>
      <c r="L1969" s="18">
        <v>0</v>
      </c>
      <c r="M1969" s="28">
        <v>92</v>
      </c>
      <c r="N1969" s="6">
        <v>36</v>
      </c>
      <c r="O1969" s="30">
        <f t="shared" si="184"/>
        <v>0</v>
      </c>
      <c r="P1969" s="30">
        <f t="shared" si="185"/>
        <v>3312</v>
      </c>
      <c r="Q1969" s="1">
        <f>COUNTIFS($P:$P, "&gt;" &amp; $P1969) + 1</f>
        <v>2826</v>
      </c>
      <c r="R1969" s="63">
        <f>(COUNTIFS($P:$P, "&gt;" &amp; $P1969) + 1) / (COUNTA($I:$I) - 1)</f>
        <v>0.56520000000000004</v>
      </c>
      <c r="S1969" s="23">
        <f>SUMIFS($P:$P, $Q:$Q, "&lt;" &amp; $Q1969)</f>
        <v>184413337</v>
      </c>
    </row>
    <row r="1970" spans="1:19" x14ac:dyDescent="0.25">
      <c r="A1970" s="1">
        <v>1965</v>
      </c>
      <c r="B1970" s="1" t="s">
        <v>2</v>
      </c>
      <c r="C1970" s="1" t="str">
        <f>IF($B1970 = "Production Item", _xlfn.XLOOKUP($A1970, 'Instrument Table'!$J:$J, 'Instrument Table'!$B:$B, $C1969), IF($B1970 = "Service Item", _xlfn.XLOOKUP($A1970, 'Instrument Table'!$I:$I, 'Instrument Table'!$B:$B, $C1969), _xlfn.XLOOKUP($A1970, 'Instrument Table'!$H:$H, 'Instrument Table'!$B:$B, $C1969)))</f>
        <v>Clarinet</v>
      </c>
      <c r="D1970" s="1" t="str">
        <f>VLOOKUP($C1970, 'Instrument Table'!$B:$C, 2, FALSE)</f>
        <v>Woodwinds</v>
      </c>
      <c r="E1970" s="1">
        <f t="shared" si="180"/>
        <v>1</v>
      </c>
      <c r="F1970" s="1">
        <f>_xlfn.XLOOKUP($C1970, 'Instrument Table'!$B:$B, 'Instrument Table'!$A:$A, "")</f>
        <v>30</v>
      </c>
      <c r="G1970" s="1" t="str">
        <f>TEXT(IF($B1970 = "Retail Item", IF((ROW($A1970) - 4504 - _xlfn.XMATCH($C1970, $C$4506:$C$5005, 0, 1)) &lt;= VLOOKUP($C1970, 'Instrument Table'!$B:$D, 3, FALSE), ROW($A1970) - 4504 - _xlfn.XMATCH($C1970, $C$4506:$C$5005, 0, 1), 0), 0), "00")</f>
        <v>00</v>
      </c>
      <c r="H1970" s="1" t="str">
        <f t="shared" si="181"/>
        <v>214</v>
      </c>
      <c r="I1970" s="1" t="str">
        <f t="shared" si="182"/>
        <v>13000-214</v>
      </c>
      <c r="J1970" s="1" t="str">
        <f t="shared" si="183"/>
        <v>Clarinet production item #214</v>
      </c>
      <c r="K1970" s="1" t="str">
        <f>IF(SUM(COUNTIFS(I:I, I1970)) &gt; 1, "DUPLICATE", "UNIQUE")</f>
        <v>UNIQUE</v>
      </c>
      <c r="L1970" s="18">
        <v>0</v>
      </c>
      <c r="M1970" s="28">
        <v>53</v>
      </c>
      <c r="N1970" s="6">
        <v>49</v>
      </c>
      <c r="O1970" s="30">
        <f t="shared" si="184"/>
        <v>0</v>
      </c>
      <c r="P1970" s="30">
        <f t="shared" si="185"/>
        <v>2597</v>
      </c>
      <c r="Q1970" s="1">
        <f>COUNTIFS($P:$P, "&gt;" &amp; $P1970) + 1</f>
        <v>3010</v>
      </c>
      <c r="R1970" s="63">
        <f>(COUNTIFS($P:$P, "&gt;" &amp; $P1970) + 1) / (COUNTA($I:$I) - 1)</f>
        <v>0.60199999999999998</v>
      </c>
      <c r="S1970" s="23">
        <f>SUMIFS($P:$P, $Q:$Q, "&lt;" &amp; $Q1970)</f>
        <v>184958272</v>
      </c>
    </row>
    <row r="1971" spans="1:19" x14ac:dyDescent="0.25">
      <c r="A1971" s="1">
        <v>1966</v>
      </c>
      <c r="B1971" s="1" t="s">
        <v>2</v>
      </c>
      <c r="C1971" s="1" t="str">
        <f>IF($B1971 = "Production Item", _xlfn.XLOOKUP($A1971, 'Instrument Table'!$J:$J, 'Instrument Table'!$B:$B, $C1970), IF($B1971 = "Service Item", _xlfn.XLOOKUP($A1971, 'Instrument Table'!$I:$I, 'Instrument Table'!$B:$B, $C1970), _xlfn.XLOOKUP($A1971, 'Instrument Table'!$H:$H, 'Instrument Table'!$B:$B, $C1970)))</f>
        <v>Clarinet</v>
      </c>
      <c r="D1971" s="1" t="str">
        <f>VLOOKUP($C1971, 'Instrument Table'!$B:$C, 2, FALSE)</f>
        <v>Woodwinds</v>
      </c>
      <c r="E1971" s="1">
        <f t="shared" si="180"/>
        <v>1</v>
      </c>
      <c r="F1971" s="1">
        <f>_xlfn.XLOOKUP($C1971, 'Instrument Table'!$B:$B, 'Instrument Table'!$A:$A, "")</f>
        <v>30</v>
      </c>
      <c r="G1971" s="1" t="str">
        <f>TEXT(IF($B1971 = "Retail Item", IF((ROW($A1971) - 4504 - _xlfn.XMATCH($C1971, $C$4506:$C$5005, 0, 1)) &lt;= VLOOKUP($C1971, 'Instrument Table'!$B:$D, 3, FALSE), ROW($A1971) - 4504 - _xlfn.XMATCH($C1971, $C$4506:$C$5005, 0, 1), 0), 0), "00")</f>
        <v>00</v>
      </c>
      <c r="H1971" s="1" t="str">
        <f t="shared" si="181"/>
        <v>215</v>
      </c>
      <c r="I1971" s="1" t="str">
        <f t="shared" si="182"/>
        <v>13000-215</v>
      </c>
      <c r="J1971" s="1" t="str">
        <f t="shared" si="183"/>
        <v>Clarinet production item #215</v>
      </c>
      <c r="K1971" s="1" t="str">
        <f>IF(SUM(COUNTIFS(I:I, I1971)) &gt; 1, "DUPLICATE", "UNIQUE")</f>
        <v>UNIQUE</v>
      </c>
      <c r="L1971" s="18">
        <v>1</v>
      </c>
      <c r="M1971" s="28">
        <v>55</v>
      </c>
      <c r="N1971" s="6">
        <v>16</v>
      </c>
      <c r="O1971" s="30">
        <f t="shared" si="184"/>
        <v>55</v>
      </c>
      <c r="P1971" s="30">
        <f t="shared" si="185"/>
        <v>880</v>
      </c>
      <c r="Q1971" s="1">
        <f>COUNTIFS($P:$P, "&gt;" &amp; $P1971) + 1</f>
        <v>3738</v>
      </c>
      <c r="R1971" s="63">
        <f>(COUNTIFS($P:$P, "&gt;" &amp; $P1971) + 1) / (COUNTA($I:$I) - 1)</f>
        <v>0.74760000000000004</v>
      </c>
      <c r="S1971" s="23">
        <f>SUMIFS($P:$P, $Q:$Q, "&lt;" &amp; $Q1971)</f>
        <v>186213678</v>
      </c>
    </row>
    <row r="1972" spans="1:19" x14ac:dyDescent="0.25">
      <c r="A1972" s="1">
        <v>1967</v>
      </c>
      <c r="B1972" s="1" t="s">
        <v>2</v>
      </c>
      <c r="C1972" s="1" t="str">
        <f>IF($B1972 = "Production Item", _xlfn.XLOOKUP($A1972, 'Instrument Table'!$J:$J, 'Instrument Table'!$B:$B, $C1971), IF($B1972 = "Service Item", _xlfn.XLOOKUP($A1972, 'Instrument Table'!$I:$I, 'Instrument Table'!$B:$B, $C1971), _xlfn.XLOOKUP($A1972, 'Instrument Table'!$H:$H, 'Instrument Table'!$B:$B, $C1971)))</f>
        <v>Clarinet</v>
      </c>
      <c r="D1972" s="1" t="str">
        <f>VLOOKUP($C1972, 'Instrument Table'!$B:$C, 2, FALSE)</f>
        <v>Woodwinds</v>
      </c>
      <c r="E1972" s="1">
        <f t="shared" si="180"/>
        <v>1</v>
      </c>
      <c r="F1972" s="1">
        <f>_xlfn.XLOOKUP($C1972, 'Instrument Table'!$B:$B, 'Instrument Table'!$A:$A, "")</f>
        <v>30</v>
      </c>
      <c r="G1972" s="1" t="str">
        <f>TEXT(IF($B1972 = "Retail Item", IF((ROW($A1972) - 4504 - _xlfn.XMATCH($C1972, $C$4506:$C$5005, 0, 1)) &lt;= VLOOKUP($C1972, 'Instrument Table'!$B:$D, 3, FALSE), ROW($A1972) - 4504 - _xlfn.XMATCH($C1972, $C$4506:$C$5005, 0, 1), 0), 0), "00")</f>
        <v>00</v>
      </c>
      <c r="H1972" s="1" t="str">
        <f t="shared" si="181"/>
        <v>216</v>
      </c>
      <c r="I1972" s="1" t="str">
        <f t="shared" si="182"/>
        <v>13000-216</v>
      </c>
      <c r="J1972" s="1" t="str">
        <f t="shared" si="183"/>
        <v>Clarinet production item #216</v>
      </c>
      <c r="K1972" s="1" t="str">
        <f>IF(SUM(COUNTIFS(I:I, I1972)) &gt; 1, "DUPLICATE", "UNIQUE")</f>
        <v>UNIQUE</v>
      </c>
      <c r="L1972" s="18">
        <v>1</v>
      </c>
      <c r="M1972" s="28">
        <v>80</v>
      </c>
      <c r="N1972" s="6">
        <v>64</v>
      </c>
      <c r="O1972" s="30">
        <f t="shared" si="184"/>
        <v>80</v>
      </c>
      <c r="P1972" s="30">
        <f t="shared" si="185"/>
        <v>5120</v>
      </c>
      <c r="Q1972" s="1">
        <f>COUNTIFS($P:$P, "&gt;" &amp; $P1972) + 1</f>
        <v>2421</v>
      </c>
      <c r="R1972" s="63">
        <f>(COUNTIFS($P:$P, "&gt;" &amp; $P1972) + 1) / (COUNTA($I:$I) - 1)</f>
        <v>0.48420000000000002</v>
      </c>
      <c r="S1972" s="23">
        <f>SUMIFS($P:$P, $Q:$Q, "&lt;" &amp; $Q1972)</f>
        <v>182725575</v>
      </c>
    </row>
    <row r="1973" spans="1:19" x14ac:dyDescent="0.25">
      <c r="A1973" s="1">
        <v>1968</v>
      </c>
      <c r="B1973" s="1" t="s">
        <v>2</v>
      </c>
      <c r="C1973" s="1" t="str">
        <f>IF($B1973 = "Production Item", _xlfn.XLOOKUP($A1973, 'Instrument Table'!$J:$J, 'Instrument Table'!$B:$B, $C1972), IF($B1973 = "Service Item", _xlfn.XLOOKUP($A1973, 'Instrument Table'!$I:$I, 'Instrument Table'!$B:$B, $C1972), _xlfn.XLOOKUP($A1973, 'Instrument Table'!$H:$H, 'Instrument Table'!$B:$B, $C1972)))</f>
        <v>Clarinet</v>
      </c>
      <c r="D1973" s="1" t="str">
        <f>VLOOKUP($C1973, 'Instrument Table'!$B:$C, 2, FALSE)</f>
        <v>Woodwinds</v>
      </c>
      <c r="E1973" s="1">
        <f t="shared" si="180"/>
        <v>1</v>
      </c>
      <c r="F1973" s="1">
        <f>_xlfn.XLOOKUP($C1973, 'Instrument Table'!$B:$B, 'Instrument Table'!$A:$A, "")</f>
        <v>30</v>
      </c>
      <c r="G1973" s="1" t="str">
        <f>TEXT(IF($B1973 = "Retail Item", IF((ROW($A1973) - 4504 - _xlfn.XMATCH($C1973, $C$4506:$C$5005, 0, 1)) &lt;= VLOOKUP($C1973, 'Instrument Table'!$B:$D, 3, FALSE), ROW($A1973) - 4504 - _xlfn.XMATCH($C1973, $C$4506:$C$5005, 0, 1), 0), 0), "00")</f>
        <v>00</v>
      </c>
      <c r="H1973" s="1" t="str">
        <f t="shared" si="181"/>
        <v>217</v>
      </c>
      <c r="I1973" s="1" t="str">
        <f t="shared" si="182"/>
        <v>13000-217</v>
      </c>
      <c r="J1973" s="1" t="str">
        <f t="shared" si="183"/>
        <v>Clarinet production item #217</v>
      </c>
      <c r="K1973" s="1" t="str">
        <f>IF(SUM(COUNTIFS(I:I, I1973)) &gt; 1, "DUPLICATE", "UNIQUE")</f>
        <v>UNIQUE</v>
      </c>
      <c r="L1973" s="18">
        <v>1</v>
      </c>
      <c r="M1973" s="28">
        <v>63</v>
      </c>
      <c r="N1973" s="6">
        <v>225</v>
      </c>
      <c r="O1973" s="30">
        <f t="shared" si="184"/>
        <v>63</v>
      </c>
      <c r="P1973" s="30">
        <f t="shared" si="185"/>
        <v>14175</v>
      </c>
      <c r="Q1973" s="1">
        <f>COUNTIFS($P:$P, "&gt;" &amp; $P1973) + 1</f>
        <v>1406</v>
      </c>
      <c r="R1973" s="63">
        <f>(COUNTIFS($P:$P, "&gt;" &amp; $P1973) + 1) / (COUNTA($I:$I) - 1)</f>
        <v>0.28120000000000001</v>
      </c>
      <c r="S1973" s="23">
        <f>SUMIFS($P:$P, $Q:$Q, "&lt;" &amp; $Q1973)</f>
        <v>173561305</v>
      </c>
    </row>
    <row r="1974" spans="1:19" x14ac:dyDescent="0.25">
      <c r="A1974" s="1">
        <v>1969</v>
      </c>
      <c r="B1974" s="1" t="s">
        <v>2</v>
      </c>
      <c r="C1974" s="1" t="str">
        <f>IF($B1974 = "Production Item", _xlfn.XLOOKUP($A1974, 'Instrument Table'!$J:$J, 'Instrument Table'!$B:$B, $C1973), IF($B1974 = "Service Item", _xlfn.XLOOKUP($A1974, 'Instrument Table'!$I:$I, 'Instrument Table'!$B:$B, $C1973), _xlfn.XLOOKUP($A1974, 'Instrument Table'!$H:$H, 'Instrument Table'!$B:$B, $C1973)))</f>
        <v>Clarinet</v>
      </c>
      <c r="D1974" s="1" t="str">
        <f>VLOOKUP($C1974, 'Instrument Table'!$B:$C, 2, FALSE)</f>
        <v>Woodwinds</v>
      </c>
      <c r="E1974" s="1">
        <f t="shared" si="180"/>
        <v>1</v>
      </c>
      <c r="F1974" s="1">
        <f>_xlfn.XLOOKUP($C1974, 'Instrument Table'!$B:$B, 'Instrument Table'!$A:$A, "")</f>
        <v>30</v>
      </c>
      <c r="G1974" s="1" t="str">
        <f>TEXT(IF($B1974 = "Retail Item", IF((ROW($A1974) - 4504 - _xlfn.XMATCH($C1974, $C$4506:$C$5005, 0, 1)) &lt;= VLOOKUP($C1974, 'Instrument Table'!$B:$D, 3, FALSE), ROW($A1974) - 4504 - _xlfn.XMATCH($C1974, $C$4506:$C$5005, 0, 1), 0), 0), "00")</f>
        <v>00</v>
      </c>
      <c r="H1974" s="1" t="str">
        <f t="shared" si="181"/>
        <v>218</v>
      </c>
      <c r="I1974" s="1" t="str">
        <f t="shared" si="182"/>
        <v>13000-218</v>
      </c>
      <c r="J1974" s="1" t="str">
        <f t="shared" si="183"/>
        <v>Clarinet production item #218</v>
      </c>
      <c r="K1974" s="1" t="str">
        <f>IF(SUM(COUNTIFS(I:I, I1974)) &gt; 1, "DUPLICATE", "UNIQUE")</f>
        <v>UNIQUE</v>
      </c>
      <c r="L1974" s="18">
        <v>1</v>
      </c>
      <c r="M1974" s="28">
        <v>69</v>
      </c>
      <c r="N1974" s="6">
        <v>100</v>
      </c>
      <c r="O1974" s="30">
        <f t="shared" si="184"/>
        <v>69</v>
      </c>
      <c r="P1974" s="30">
        <f t="shared" si="185"/>
        <v>6900</v>
      </c>
      <c r="Q1974" s="1">
        <f>COUNTIFS($P:$P, "&gt;" &amp; $P1974) + 1</f>
        <v>2150</v>
      </c>
      <c r="R1974" s="63">
        <f>(COUNTIFS($P:$P, "&gt;" &amp; $P1974) + 1) / (COUNTA($I:$I) - 1)</f>
        <v>0.43</v>
      </c>
      <c r="S1974" s="23">
        <f>SUMIFS($P:$P, $Q:$Q, "&lt;" &amp; $Q1974)</f>
        <v>181113669</v>
      </c>
    </row>
    <row r="1975" spans="1:19" x14ac:dyDescent="0.25">
      <c r="A1975" s="1">
        <v>1970</v>
      </c>
      <c r="B1975" s="1" t="s">
        <v>2</v>
      </c>
      <c r="C1975" s="1" t="str">
        <f>IF($B1975 = "Production Item", _xlfn.XLOOKUP($A1975, 'Instrument Table'!$J:$J, 'Instrument Table'!$B:$B, $C1974), IF($B1975 = "Service Item", _xlfn.XLOOKUP($A1975, 'Instrument Table'!$I:$I, 'Instrument Table'!$B:$B, $C1974), _xlfn.XLOOKUP($A1975, 'Instrument Table'!$H:$H, 'Instrument Table'!$B:$B, $C1974)))</f>
        <v>Clarinet</v>
      </c>
      <c r="D1975" s="1" t="str">
        <f>VLOOKUP($C1975, 'Instrument Table'!$B:$C, 2, FALSE)</f>
        <v>Woodwinds</v>
      </c>
      <c r="E1975" s="1">
        <f t="shared" si="180"/>
        <v>1</v>
      </c>
      <c r="F1975" s="1">
        <f>_xlfn.XLOOKUP($C1975, 'Instrument Table'!$B:$B, 'Instrument Table'!$A:$A, "")</f>
        <v>30</v>
      </c>
      <c r="G1975" s="1" t="str">
        <f>TEXT(IF($B1975 = "Retail Item", IF((ROW($A1975) - 4504 - _xlfn.XMATCH($C1975, $C$4506:$C$5005, 0, 1)) &lt;= VLOOKUP($C1975, 'Instrument Table'!$B:$D, 3, FALSE), ROW($A1975) - 4504 - _xlfn.XMATCH($C1975, $C$4506:$C$5005, 0, 1), 0), 0), "00")</f>
        <v>00</v>
      </c>
      <c r="H1975" s="1" t="str">
        <f t="shared" si="181"/>
        <v>219</v>
      </c>
      <c r="I1975" s="1" t="str">
        <f t="shared" si="182"/>
        <v>13000-219</v>
      </c>
      <c r="J1975" s="1" t="str">
        <f t="shared" si="183"/>
        <v>Clarinet production item #219</v>
      </c>
      <c r="K1975" s="1" t="str">
        <f>IF(SUM(COUNTIFS(I:I, I1975)) &gt; 1, "DUPLICATE", "UNIQUE")</f>
        <v>UNIQUE</v>
      </c>
      <c r="L1975" s="18">
        <v>16</v>
      </c>
      <c r="M1975" s="28">
        <v>57</v>
      </c>
      <c r="N1975" s="6">
        <v>16</v>
      </c>
      <c r="O1975" s="30">
        <f t="shared" si="184"/>
        <v>912</v>
      </c>
      <c r="P1975" s="30">
        <f t="shared" si="185"/>
        <v>912</v>
      </c>
      <c r="Q1975" s="1">
        <f>COUNTIFS($P:$P, "&gt;" &amp; $P1975) + 1</f>
        <v>3719</v>
      </c>
      <c r="R1975" s="63">
        <f>(COUNTIFS($P:$P, "&gt;" &amp; $P1975) + 1) / (COUNTA($I:$I) - 1)</f>
        <v>0.74380000000000002</v>
      </c>
      <c r="S1975" s="23">
        <f>SUMIFS($P:$P, $Q:$Q, "&lt;" &amp; $Q1975)</f>
        <v>186196664</v>
      </c>
    </row>
    <row r="1976" spans="1:19" x14ac:dyDescent="0.25">
      <c r="A1976" s="1">
        <v>1971</v>
      </c>
      <c r="B1976" s="1" t="s">
        <v>2</v>
      </c>
      <c r="C1976" s="1" t="str">
        <f>IF($B1976 = "Production Item", _xlfn.XLOOKUP($A1976, 'Instrument Table'!$J:$J, 'Instrument Table'!$B:$B, $C1975), IF($B1976 = "Service Item", _xlfn.XLOOKUP($A1976, 'Instrument Table'!$I:$I, 'Instrument Table'!$B:$B, $C1975), _xlfn.XLOOKUP($A1976, 'Instrument Table'!$H:$H, 'Instrument Table'!$B:$B, $C1975)))</f>
        <v>Clarinet</v>
      </c>
      <c r="D1976" s="1" t="str">
        <f>VLOOKUP($C1976, 'Instrument Table'!$B:$C, 2, FALSE)</f>
        <v>Woodwinds</v>
      </c>
      <c r="E1976" s="1">
        <f t="shared" si="180"/>
        <v>1</v>
      </c>
      <c r="F1976" s="1">
        <f>_xlfn.XLOOKUP($C1976, 'Instrument Table'!$B:$B, 'Instrument Table'!$A:$A, "")</f>
        <v>30</v>
      </c>
      <c r="G1976" s="1" t="str">
        <f>TEXT(IF($B1976 = "Retail Item", IF((ROW($A1976) - 4504 - _xlfn.XMATCH($C1976, $C$4506:$C$5005, 0, 1)) &lt;= VLOOKUP($C1976, 'Instrument Table'!$B:$D, 3, FALSE), ROW($A1976) - 4504 - _xlfn.XMATCH($C1976, $C$4506:$C$5005, 0, 1), 0), 0), "00")</f>
        <v>00</v>
      </c>
      <c r="H1976" s="1" t="str">
        <f t="shared" si="181"/>
        <v>220</v>
      </c>
      <c r="I1976" s="1" t="str">
        <f t="shared" si="182"/>
        <v>13000-220</v>
      </c>
      <c r="J1976" s="1" t="str">
        <f t="shared" si="183"/>
        <v>Clarinet production item #220</v>
      </c>
      <c r="K1976" s="1" t="str">
        <f>IF(SUM(COUNTIFS(I:I, I1976)) &gt; 1, "DUPLICATE", "UNIQUE")</f>
        <v>UNIQUE</v>
      </c>
      <c r="L1976" s="18">
        <v>1</v>
      </c>
      <c r="M1976" s="28">
        <v>100</v>
      </c>
      <c r="N1976" s="6">
        <v>400</v>
      </c>
      <c r="O1976" s="30">
        <f t="shared" si="184"/>
        <v>100</v>
      </c>
      <c r="P1976" s="30">
        <f t="shared" si="185"/>
        <v>40000</v>
      </c>
      <c r="Q1976" s="1">
        <f>COUNTIFS($P:$P, "&gt;" &amp; $P1976) + 1</f>
        <v>551</v>
      </c>
      <c r="R1976" s="63">
        <f>(COUNTIFS($P:$P, "&gt;" &amp; $P1976) + 1) / (COUNTA($I:$I) - 1)</f>
        <v>0.11020000000000001</v>
      </c>
      <c r="S1976" s="23">
        <f>SUMIFS($P:$P, $Q:$Q, "&lt;" &amp; $Q1976)</f>
        <v>154017534</v>
      </c>
    </row>
    <row r="1977" spans="1:19" x14ac:dyDescent="0.25">
      <c r="A1977" s="1">
        <v>1972</v>
      </c>
      <c r="B1977" s="1" t="s">
        <v>2</v>
      </c>
      <c r="C1977" s="1" t="str">
        <f>IF($B1977 = "Production Item", _xlfn.XLOOKUP($A1977, 'Instrument Table'!$J:$J, 'Instrument Table'!$B:$B, $C1976), IF($B1977 = "Service Item", _xlfn.XLOOKUP($A1977, 'Instrument Table'!$I:$I, 'Instrument Table'!$B:$B, $C1976), _xlfn.XLOOKUP($A1977, 'Instrument Table'!$H:$H, 'Instrument Table'!$B:$B, $C1976)))</f>
        <v>Clarinet</v>
      </c>
      <c r="D1977" s="1" t="str">
        <f>VLOOKUP($C1977, 'Instrument Table'!$B:$C, 2, FALSE)</f>
        <v>Woodwinds</v>
      </c>
      <c r="E1977" s="1">
        <f t="shared" si="180"/>
        <v>1</v>
      </c>
      <c r="F1977" s="1">
        <f>_xlfn.XLOOKUP($C1977, 'Instrument Table'!$B:$B, 'Instrument Table'!$A:$A, "")</f>
        <v>30</v>
      </c>
      <c r="G1977" s="1" t="str">
        <f>TEXT(IF($B1977 = "Retail Item", IF((ROW($A1977) - 4504 - _xlfn.XMATCH($C1977, $C$4506:$C$5005, 0, 1)) &lt;= VLOOKUP($C1977, 'Instrument Table'!$B:$D, 3, FALSE), ROW($A1977) - 4504 - _xlfn.XMATCH($C1977, $C$4506:$C$5005, 0, 1), 0), 0), "00")</f>
        <v>00</v>
      </c>
      <c r="H1977" s="1" t="str">
        <f t="shared" si="181"/>
        <v>221</v>
      </c>
      <c r="I1977" s="1" t="str">
        <f t="shared" si="182"/>
        <v>13000-221</v>
      </c>
      <c r="J1977" s="1" t="str">
        <f t="shared" si="183"/>
        <v>Clarinet production item #221</v>
      </c>
      <c r="K1977" s="1" t="str">
        <f>IF(SUM(COUNTIFS(I:I, I1977)) &gt; 1, "DUPLICATE", "UNIQUE")</f>
        <v>UNIQUE</v>
      </c>
      <c r="L1977" s="18">
        <v>1</v>
      </c>
      <c r="M1977" s="28">
        <v>3</v>
      </c>
      <c r="N1977" s="6">
        <v>9</v>
      </c>
      <c r="O1977" s="30">
        <f t="shared" si="184"/>
        <v>3</v>
      </c>
      <c r="P1977" s="30">
        <f t="shared" si="185"/>
        <v>27</v>
      </c>
      <c r="Q1977" s="1">
        <f>COUNTIFS($P:$P, "&gt;" &amp; $P1977) + 1</f>
        <v>4677</v>
      </c>
      <c r="R1977" s="63">
        <f>(COUNTIFS($P:$P, "&gt;" &amp; $P1977) + 1) / (COUNTA($I:$I) - 1)</f>
        <v>0.93540000000000001</v>
      </c>
      <c r="S1977" s="23">
        <f>SUMIFS($P:$P, $Q:$Q, "&lt;" &amp; $Q1977)</f>
        <v>186546888</v>
      </c>
    </row>
    <row r="1978" spans="1:19" x14ac:dyDescent="0.25">
      <c r="A1978" s="1">
        <v>1973</v>
      </c>
      <c r="B1978" s="1" t="s">
        <v>2</v>
      </c>
      <c r="C1978" s="1" t="str">
        <f>IF($B1978 = "Production Item", _xlfn.XLOOKUP($A1978, 'Instrument Table'!$J:$J, 'Instrument Table'!$B:$B, $C1977), IF($B1978 = "Service Item", _xlfn.XLOOKUP($A1978, 'Instrument Table'!$I:$I, 'Instrument Table'!$B:$B, $C1977), _xlfn.XLOOKUP($A1978, 'Instrument Table'!$H:$H, 'Instrument Table'!$B:$B, $C1977)))</f>
        <v>Clarinet</v>
      </c>
      <c r="D1978" s="1" t="str">
        <f>VLOOKUP($C1978, 'Instrument Table'!$B:$C, 2, FALSE)</f>
        <v>Woodwinds</v>
      </c>
      <c r="E1978" s="1">
        <f t="shared" si="180"/>
        <v>1</v>
      </c>
      <c r="F1978" s="1">
        <f>_xlfn.XLOOKUP($C1978, 'Instrument Table'!$B:$B, 'Instrument Table'!$A:$A, "")</f>
        <v>30</v>
      </c>
      <c r="G1978" s="1" t="str">
        <f>TEXT(IF($B1978 = "Retail Item", IF((ROW($A1978) - 4504 - _xlfn.XMATCH($C1978, $C$4506:$C$5005, 0, 1)) &lt;= VLOOKUP($C1978, 'Instrument Table'!$B:$D, 3, FALSE), ROW($A1978) - 4504 - _xlfn.XMATCH($C1978, $C$4506:$C$5005, 0, 1), 0), 0), "00")</f>
        <v>00</v>
      </c>
      <c r="H1978" s="1" t="str">
        <f t="shared" si="181"/>
        <v>222</v>
      </c>
      <c r="I1978" s="1" t="str">
        <f t="shared" si="182"/>
        <v>13000-222</v>
      </c>
      <c r="J1978" s="1" t="str">
        <f t="shared" si="183"/>
        <v>Clarinet production item #222</v>
      </c>
      <c r="K1978" s="1" t="str">
        <f>IF(SUM(COUNTIFS(I:I, I1978)) &gt; 1, "DUPLICATE", "UNIQUE")</f>
        <v>UNIQUE</v>
      </c>
      <c r="L1978" s="18">
        <v>1</v>
      </c>
      <c r="M1978" s="28">
        <v>55</v>
      </c>
      <c r="N1978" s="6">
        <v>100</v>
      </c>
      <c r="O1978" s="30">
        <f t="shared" si="184"/>
        <v>55</v>
      </c>
      <c r="P1978" s="30">
        <f t="shared" si="185"/>
        <v>5500</v>
      </c>
      <c r="Q1978" s="1">
        <f>COUNTIFS($P:$P, "&gt;" &amp; $P1978) + 1</f>
        <v>2351</v>
      </c>
      <c r="R1978" s="63">
        <f>(COUNTIFS($P:$P, "&gt;" &amp; $P1978) + 1) / (COUNTA($I:$I) - 1)</f>
        <v>0.47020000000000001</v>
      </c>
      <c r="S1978" s="23">
        <f>SUMIFS($P:$P, $Q:$Q, "&lt;" &amp; $Q1978)</f>
        <v>182353049</v>
      </c>
    </row>
    <row r="1979" spans="1:19" x14ac:dyDescent="0.25">
      <c r="A1979" s="1">
        <v>1974</v>
      </c>
      <c r="B1979" s="1" t="s">
        <v>2</v>
      </c>
      <c r="C1979" s="1" t="str">
        <f>IF($B1979 = "Production Item", _xlfn.XLOOKUP($A1979, 'Instrument Table'!$J:$J, 'Instrument Table'!$B:$B, $C1978), IF($B1979 = "Service Item", _xlfn.XLOOKUP($A1979, 'Instrument Table'!$I:$I, 'Instrument Table'!$B:$B, $C1978), _xlfn.XLOOKUP($A1979, 'Instrument Table'!$H:$H, 'Instrument Table'!$B:$B, $C1978)))</f>
        <v>Clarinet</v>
      </c>
      <c r="D1979" s="1" t="str">
        <f>VLOOKUP($C1979, 'Instrument Table'!$B:$C, 2, FALSE)</f>
        <v>Woodwinds</v>
      </c>
      <c r="E1979" s="1">
        <f t="shared" si="180"/>
        <v>1</v>
      </c>
      <c r="F1979" s="1">
        <f>_xlfn.XLOOKUP($C1979, 'Instrument Table'!$B:$B, 'Instrument Table'!$A:$A, "")</f>
        <v>30</v>
      </c>
      <c r="G1979" s="1" t="str">
        <f>TEXT(IF($B1979 = "Retail Item", IF((ROW($A1979) - 4504 - _xlfn.XMATCH($C1979, $C$4506:$C$5005, 0, 1)) &lt;= VLOOKUP($C1979, 'Instrument Table'!$B:$D, 3, FALSE), ROW($A1979) - 4504 - _xlfn.XMATCH($C1979, $C$4506:$C$5005, 0, 1), 0), 0), "00")</f>
        <v>00</v>
      </c>
      <c r="H1979" s="1" t="str">
        <f t="shared" si="181"/>
        <v>223</v>
      </c>
      <c r="I1979" s="1" t="str">
        <f t="shared" si="182"/>
        <v>13000-223</v>
      </c>
      <c r="J1979" s="1" t="str">
        <f t="shared" si="183"/>
        <v>Clarinet production item #223</v>
      </c>
      <c r="K1979" s="1" t="str">
        <f>IF(SUM(COUNTIFS(I:I, I1979)) &gt; 1, "DUPLICATE", "UNIQUE")</f>
        <v>UNIQUE</v>
      </c>
      <c r="L1979" s="18">
        <v>1</v>
      </c>
      <c r="M1979" s="28">
        <v>55</v>
      </c>
      <c r="N1979" s="6">
        <v>400</v>
      </c>
      <c r="O1979" s="30">
        <f t="shared" si="184"/>
        <v>55</v>
      </c>
      <c r="P1979" s="30">
        <f t="shared" si="185"/>
        <v>22000</v>
      </c>
      <c r="Q1979" s="1">
        <f>COUNTIFS($P:$P, "&gt;" &amp; $P1979) + 1</f>
        <v>958</v>
      </c>
      <c r="R1979" s="63">
        <f>(COUNTIFS($P:$P, "&gt;" &amp; $P1979) + 1) / (COUNTA($I:$I) - 1)</f>
        <v>0.19159999999999999</v>
      </c>
      <c r="S1979" s="23">
        <f>SUMIFS($P:$P, $Q:$Q, "&lt;" &amp; $Q1979)</f>
        <v>165585692</v>
      </c>
    </row>
    <row r="1980" spans="1:19" x14ac:dyDescent="0.25">
      <c r="A1980" s="1">
        <v>1975</v>
      </c>
      <c r="B1980" s="1" t="s">
        <v>2</v>
      </c>
      <c r="C1980" s="1" t="str">
        <f>IF($B1980 = "Production Item", _xlfn.XLOOKUP($A1980, 'Instrument Table'!$J:$J, 'Instrument Table'!$B:$B, $C1979), IF($B1980 = "Service Item", _xlfn.XLOOKUP($A1980, 'Instrument Table'!$I:$I, 'Instrument Table'!$B:$B, $C1979), _xlfn.XLOOKUP($A1980, 'Instrument Table'!$H:$H, 'Instrument Table'!$B:$B, $C1979)))</f>
        <v>Clarinet</v>
      </c>
      <c r="D1980" s="1" t="str">
        <f>VLOOKUP($C1980, 'Instrument Table'!$B:$C, 2, FALSE)</f>
        <v>Woodwinds</v>
      </c>
      <c r="E1980" s="1">
        <f t="shared" si="180"/>
        <v>1</v>
      </c>
      <c r="F1980" s="1">
        <f>_xlfn.XLOOKUP($C1980, 'Instrument Table'!$B:$B, 'Instrument Table'!$A:$A, "")</f>
        <v>30</v>
      </c>
      <c r="G1980" s="1" t="str">
        <f>TEXT(IF($B1980 = "Retail Item", IF((ROW($A1980) - 4504 - _xlfn.XMATCH($C1980, $C$4506:$C$5005, 0, 1)) &lt;= VLOOKUP($C1980, 'Instrument Table'!$B:$D, 3, FALSE), ROW($A1980) - 4504 - _xlfn.XMATCH($C1980, $C$4506:$C$5005, 0, 1), 0), 0), "00")</f>
        <v>00</v>
      </c>
      <c r="H1980" s="1" t="str">
        <f t="shared" si="181"/>
        <v>224</v>
      </c>
      <c r="I1980" s="1" t="str">
        <f t="shared" si="182"/>
        <v>13000-224</v>
      </c>
      <c r="J1980" s="1" t="str">
        <f t="shared" si="183"/>
        <v>Clarinet production item #224</v>
      </c>
      <c r="K1980" s="1" t="str">
        <f>IF(SUM(COUNTIFS(I:I, I1980)) &gt; 1, "DUPLICATE", "UNIQUE")</f>
        <v>UNIQUE</v>
      </c>
      <c r="L1980" s="18">
        <v>1</v>
      </c>
      <c r="M1980" s="28">
        <v>89</v>
      </c>
      <c r="N1980" s="6">
        <v>36</v>
      </c>
      <c r="O1980" s="30">
        <f t="shared" si="184"/>
        <v>89</v>
      </c>
      <c r="P1980" s="30">
        <f t="shared" si="185"/>
        <v>3204</v>
      </c>
      <c r="Q1980" s="1">
        <f>COUNTIFS($P:$P, "&gt;" &amp; $P1980) + 1</f>
        <v>2853</v>
      </c>
      <c r="R1980" s="63">
        <f>(COUNTIFS($P:$P, "&gt;" &amp; $P1980) + 1) / (COUNTA($I:$I) - 1)</f>
        <v>0.5706</v>
      </c>
      <c r="S1980" s="23">
        <f>SUMIFS($P:$P, $Q:$Q, "&lt;" &amp; $Q1980)</f>
        <v>184501440</v>
      </c>
    </row>
    <row r="1981" spans="1:19" x14ac:dyDescent="0.25">
      <c r="A1981" s="1">
        <v>1976</v>
      </c>
      <c r="B1981" s="1" t="s">
        <v>2</v>
      </c>
      <c r="C1981" s="1" t="str">
        <f>IF($B1981 = "Production Item", _xlfn.XLOOKUP($A1981, 'Instrument Table'!$J:$J, 'Instrument Table'!$B:$B, $C1980), IF($B1981 = "Service Item", _xlfn.XLOOKUP($A1981, 'Instrument Table'!$I:$I, 'Instrument Table'!$B:$B, $C1980), _xlfn.XLOOKUP($A1981, 'Instrument Table'!$H:$H, 'Instrument Table'!$B:$B, $C1980)))</f>
        <v>Clarinet</v>
      </c>
      <c r="D1981" s="1" t="str">
        <f>VLOOKUP($C1981, 'Instrument Table'!$B:$C, 2, FALSE)</f>
        <v>Woodwinds</v>
      </c>
      <c r="E1981" s="1">
        <f t="shared" si="180"/>
        <v>1</v>
      </c>
      <c r="F1981" s="1">
        <f>_xlfn.XLOOKUP($C1981, 'Instrument Table'!$B:$B, 'Instrument Table'!$A:$A, "")</f>
        <v>30</v>
      </c>
      <c r="G1981" s="1" t="str">
        <f>TEXT(IF($B1981 = "Retail Item", IF((ROW($A1981) - 4504 - _xlfn.XMATCH($C1981, $C$4506:$C$5005, 0, 1)) &lt;= VLOOKUP($C1981, 'Instrument Table'!$B:$D, 3, FALSE), ROW($A1981) - 4504 - _xlfn.XMATCH($C1981, $C$4506:$C$5005, 0, 1), 0), 0), "00")</f>
        <v>00</v>
      </c>
      <c r="H1981" s="1" t="str">
        <f t="shared" si="181"/>
        <v>225</v>
      </c>
      <c r="I1981" s="1" t="str">
        <f t="shared" si="182"/>
        <v>13000-225</v>
      </c>
      <c r="J1981" s="1" t="str">
        <f t="shared" si="183"/>
        <v>Clarinet production item #225</v>
      </c>
      <c r="K1981" s="1" t="str">
        <f>IF(SUM(COUNTIFS(I:I, I1981)) &gt; 1, "DUPLICATE", "UNIQUE")</f>
        <v>UNIQUE</v>
      </c>
      <c r="L1981" s="18">
        <v>0</v>
      </c>
      <c r="M1981" s="28">
        <v>60</v>
      </c>
      <c r="N1981" s="6">
        <v>16</v>
      </c>
      <c r="O1981" s="30">
        <f t="shared" si="184"/>
        <v>0</v>
      </c>
      <c r="P1981" s="30">
        <f t="shared" si="185"/>
        <v>960</v>
      </c>
      <c r="Q1981" s="1">
        <f>COUNTIFS($P:$P, "&gt;" &amp; $P1981) + 1</f>
        <v>3701</v>
      </c>
      <c r="R1981" s="63">
        <f>(COUNTIFS($P:$P, "&gt;" &amp; $P1981) + 1) / (COUNTA($I:$I) - 1)</f>
        <v>0.74019999999999997</v>
      </c>
      <c r="S1981" s="23">
        <f>SUMIFS($P:$P, $Q:$Q, "&lt;" &amp; $Q1981)</f>
        <v>186179798</v>
      </c>
    </row>
    <row r="1982" spans="1:19" x14ac:dyDescent="0.25">
      <c r="A1982" s="1">
        <v>1977</v>
      </c>
      <c r="B1982" s="1" t="s">
        <v>2</v>
      </c>
      <c r="C1982" s="1" t="str">
        <f>IF($B1982 = "Production Item", _xlfn.XLOOKUP($A1982, 'Instrument Table'!$J:$J, 'Instrument Table'!$B:$B, $C1981), IF($B1982 = "Service Item", _xlfn.XLOOKUP($A1982, 'Instrument Table'!$I:$I, 'Instrument Table'!$B:$B, $C1981), _xlfn.XLOOKUP($A1982, 'Instrument Table'!$H:$H, 'Instrument Table'!$B:$B, $C1981)))</f>
        <v>Clarinet</v>
      </c>
      <c r="D1982" s="1" t="str">
        <f>VLOOKUP($C1982, 'Instrument Table'!$B:$C, 2, FALSE)</f>
        <v>Woodwinds</v>
      </c>
      <c r="E1982" s="1">
        <f t="shared" si="180"/>
        <v>1</v>
      </c>
      <c r="F1982" s="1">
        <f>_xlfn.XLOOKUP($C1982, 'Instrument Table'!$B:$B, 'Instrument Table'!$A:$A, "")</f>
        <v>30</v>
      </c>
      <c r="G1982" s="1" t="str">
        <f>TEXT(IF($B1982 = "Retail Item", IF((ROW($A1982) - 4504 - _xlfn.XMATCH($C1982, $C$4506:$C$5005, 0, 1)) &lt;= VLOOKUP($C1982, 'Instrument Table'!$B:$D, 3, FALSE), ROW($A1982) - 4504 - _xlfn.XMATCH($C1982, $C$4506:$C$5005, 0, 1), 0), 0), "00")</f>
        <v>00</v>
      </c>
      <c r="H1982" s="1" t="str">
        <f t="shared" si="181"/>
        <v>226</v>
      </c>
      <c r="I1982" s="1" t="str">
        <f t="shared" si="182"/>
        <v>13000-226</v>
      </c>
      <c r="J1982" s="1" t="str">
        <f t="shared" si="183"/>
        <v>Clarinet production item #226</v>
      </c>
      <c r="K1982" s="1" t="str">
        <f>IF(SUM(COUNTIFS(I:I, I1982)) &gt; 1, "DUPLICATE", "UNIQUE")</f>
        <v>UNIQUE</v>
      </c>
      <c r="L1982" s="18">
        <v>1</v>
      </c>
      <c r="M1982" s="28">
        <v>25</v>
      </c>
      <c r="N1982" s="6">
        <v>121</v>
      </c>
      <c r="O1982" s="30">
        <f t="shared" si="184"/>
        <v>25</v>
      </c>
      <c r="P1982" s="30">
        <f t="shared" si="185"/>
        <v>3025</v>
      </c>
      <c r="Q1982" s="1">
        <f>COUNTIFS($P:$P, "&gt;" &amp; $P1982) + 1</f>
        <v>2900</v>
      </c>
      <c r="R1982" s="63">
        <f>(COUNTIFS($P:$P, "&gt;" &amp; $P1982) + 1) / (COUNTA($I:$I) - 1)</f>
        <v>0.57999999999999996</v>
      </c>
      <c r="S1982" s="23">
        <f>SUMIFS($P:$P, $Q:$Q, "&lt;" &amp; $Q1982)</f>
        <v>184648263</v>
      </c>
    </row>
    <row r="1983" spans="1:19" x14ac:dyDescent="0.25">
      <c r="A1983" s="1">
        <v>1978</v>
      </c>
      <c r="B1983" s="1" t="s">
        <v>2</v>
      </c>
      <c r="C1983" s="1" t="str">
        <f>IF($B1983 = "Production Item", _xlfn.XLOOKUP($A1983, 'Instrument Table'!$J:$J, 'Instrument Table'!$B:$B, $C1982), IF($B1983 = "Service Item", _xlfn.XLOOKUP($A1983, 'Instrument Table'!$I:$I, 'Instrument Table'!$B:$B, $C1982), _xlfn.XLOOKUP($A1983, 'Instrument Table'!$H:$H, 'Instrument Table'!$B:$B, $C1982)))</f>
        <v>Clarinet</v>
      </c>
      <c r="D1983" s="1" t="str">
        <f>VLOOKUP($C1983, 'Instrument Table'!$B:$C, 2, FALSE)</f>
        <v>Woodwinds</v>
      </c>
      <c r="E1983" s="1">
        <f t="shared" si="180"/>
        <v>1</v>
      </c>
      <c r="F1983" s="1">
        <f>_xlfn.XLOOKUP($C1983, 'Instrument Table'!$B:$B, 'Instrument Table'!$A:$A, "")</f>
        <v>30</v>
      </c>
      <c r="G1983" s="1" t="str">
        <f>TEXT(IF($B1983 = "Retail Item", IF((ROW($A1983) - 4504 - _xlfn.XMATCH($C1983, $C$4506:$C$5005, 0, 1)) &lt;= VLOOKUP($C1983, 'Instrument Table'!$B:$D, 3, FALSE), ROW($A1983) - 4504 - _xlfn.XMATCH($C1983, $C$4506:$C$5005, 0, 1), 0), 0), "00")</f>
        <v>00</v>
      </c>
      <c r="H1983" s="1" t="str">
        <f t="shared" si="181"/>
        <v>227</v>
      </c>
      <c r="I1983" s="1" t="str">
        <f t="shared" si="182"/>
        <v>13000-227</v>
      </c>
      <c r="J1983" s="1" t="str">
        <f t="shared" si="183"/>
        <v>Clarinet production item #227</v>
      </c>
      <c r="K1983" s="1" t="str">
        <f>IF(SUM(COUNTIFS(I:I, I1983)) &gt; 1, "DUPLICATE", "UNIQUE")</f>
        <v>UNIQUE</v>
      </c>
      <c r="L1983" s="18">
        <v>1</v>
      </c>
      <c r="M1983" s="28">
        <v>55</v>
      </c>
      <c r="N1983" s="6">
        <v>100</v>
      </c>
      <c r="O1983" s="30">
        <f t="shared" si="184"/>
        <v>55</v>
      </c>
      <c r="P1983" s="30">
        <f t="shared" si="185"/>
        <v>5500</v>
      </c>
      <c r="Q1983" s="1">
        <f>COUNTIFS($P:$P, "&gt;" &amp; $P1983) + 1</f>
        <v>2351</v>
      </c>
      <c r="R1983" s="63">
        <f>(COUNTIFS($P:$P, "&gt;" &amp; $P1983) + 1) / (COUNTA($I:$I) - 1)</f>
        <v>0.47020000000000001</v>
      </c>
      <c r="S1983" s="23">
        <f>SUMIFS($P:$P, $Q:$Q, "&lt;" &amp; $Q1983)</f>
        <v>182353049</v>
      </c>
    </row>
    <row r="1984" spans="1:19" x14ac:dyDescent="0.25">
      <c r="A1984" s="1">
        <v>1979</v>
      </c>
      <c r="B1984" s="1" t="s">
        <v>2</v>
      </c>
      <c r="C1984" s="1" t="str">
        <f>IF($B1984 = "Production Item", _xlfn.XLOOKUP($A1984, 'Instrument Table'!$J:$J, 'Instrument Table'!$B:$B, $C1983), IF($B1984 = "Service Item", _xlfn.XLOOKUP($A1984, 'Instrument Table'!$I:$I, 'Instrument Table'!$B:$B, $C1983), _xlfn.XLOOKUP($A1984, 'Instrument Table'!$H:$H, 'Instrument Table'!$B:$B, $C1983)))</f>
        <v>Clarinet</v>
      </c>
      <c r="D1984" s="1" t="str">
        <f>VLOOKUP($C1984, 'Instrument Table'!$B:$C, 2, FALSE)</f>
        <v>Woodwinds</v>
      </c>
      <c r="E1984" s="1">
        <f t="shared" si="180"/>
        <v>1</v>
      </c>
      <c r="F1984" s="1">
        <f>_xlfn.XLOOKUP($C1984, 'Instrument Table'!$B:$B, 'Instrument Table'!$A:$A, "")</f>
        <v>30</v>
      </c>
      <c r="G1984" s="1" t="str">
        <f>TEXT(IF($B1984 = "Retail Item", IF((ROW($A1984) - 4504 - _xlfn.XMATCH($C1984, $C$4506:$C$5005, 0, 1)) &lt;= VLOOKUP($C1984, 'Instrument Table'!$B:$D, 3, FALSE), ROW($A1984) - 4504 - _xlfn.XMATCH($C1984, $C$4506:$C$5005, 0, 1), 0), 0), "00")</f>
        <v>00</v>
      </c>
      <c r="H1984" s="1" t="str">
        <f t="shared" si="181"/>
        <v>228</v>
      </c>
      <c r="I1984" s="1" t="str">
        <f t="shared" si="182"/>
        <v>13000-228</v>
      </c>
      <c r="J1984" s="1" t="str">
        <f t="shared" si="183"/>
        <v>Clarinet production item #228</v>
      </c>
      <c r="K1984" s="1" t="str">
        <f>IF(SUM(COUNTIFS(I:I, I1984)) &gt; 1, "DUPLICATE", "UNIQUE")</f>
        <v>UNIQUE</v>
      </c>
      <c r="L1984" s="18">
        <v>32</v>
      </c>
      <c r="M1984" s="28">
        <v>37</v>
      </c>
      <c r="N1984" s="6">
        <v>361</v>
      </c>
      <c r="O1984" s="30">
        <f t="shared" si="184"/>
        <v>1184</v>
      </c>
      <c r="P1984" s="30">
        <f t="shared" si="185"/>
        <v>13357</v>
      </c>
      <c r="Q1984" s="1">
        <f>COUNTIFS($P:$P, "&gt;" &amp; $P1984) + 1</f>
        <v>1468</v>
      </c>
      <c r="R1984" s="63">
        <f>(COUNTIFS($P:$P, "&gt;" &amp; $P1984) + 1) / (COUNTA($I:$I) - 1)</f>
        <v>0.29360000000000003</v>
      </c>
      <c r="S1984" s="23">
        <f>SUMIFS($P:$P, $Q:$Q, "&lt;" &amp; $Q1984)</f>
        <v>174416557</v>
      </c>
    </row>
    <row r="1985" spans="1:19" x14ac:dyDescent="0.25">
      <c r="A1985" s="1">
        <v>1980</v>
      </c>
      <c r="B1985" s="1" t="s">
        <v>2</v>
      </c>
      <c r="C1985" s="1" t="str">
        <f>IF($B1985 = "Production Item", _xlfn.XLOOKUP($A1985, 'Instrument Table'!$J:$J, 'Instrument Table'!$B:$B, $C1984), IF($B1985 = "Service Item", _xlfn.XLOOKUP($A1985, 'Instrument Table'!$I:$I, 'Instrument Table'!$B:$B, $C1984), _xlfn.XLOOKUP($A1985, 'Instrument Table'!$H:$H, 'Instrument Table'!$B:$B, $C1984)))</f>
        <v>Clarinet</v>
      </c>
      <c r="D1985" s="1" t="str">
        <f>VLOOKUP($C1985, 'Instrument Table'!$B:$C, 2, FALSE)</f>
        <v>Woodwinds</v>
      </c>
      <c r="E1985" s="1">
        <f t="shared" si="180"/>
        <v>1</v>
      </c>
      <c r="F1985" s="1">
        <f>_xlfn.XLOOKUP($C1985, 'Instrument Table'!$B:$B, 'Instrument Table'!$A:$A, "")</f>
        <v>30</v>
      </c>
      <c r="G1985" s="1" t="str">
        <f>TEXT(IF($B1985 = "Retail Item", IF((ROW($A1985) - 4504 - _xlfn.XMATCH($C1985, $C$4506:$C$5005, 0, 1)) &lt;= VLOOKUP($C1985, 'Instrument Table'!$B:$D, 3, FALSE), ROW($A1985) - 4504 - _xlfn.XMATCH($C1985, $C$4506:$C$5005, 0, 1), 0), 0), "00")</f>
        <v>00</v>
      </c>
      <c r="H1985" s="1" t="str">
        <f t="shared" si="181"/>
        <v>229</v>
      </c>
      <c r="I1985" s="1" t="str">
        <f t="shared" si="182"/>
        <v>13000-229</v>
      </c>
      <c r="J1985" s="1" t="str">
        <f t="shared" si="183"/>
        <v>Clarinet production item #229</v>
      </c>
      <c r="K1985" s="1" t="str">
        <f>IF(SUM(COUNTIFS(I:I, I1985)) &gt; 1, "DUPLICATE", "UNIQUE")</f>
        <v>UNIQUE</v>
      </c>
      <c r="L1985" s="18">
        <v>1</v>
      </c>
      <c r="M1985" s="28">
        <v>94</v>
      </c>
      <c r="N1985" s="6">
        <v>4</v>
      </c>
      <c r="O1985" s="30">
        <f t="shared" si="184"/>
        <v>94</v>
      </c>
      <c r="P1985" s="30">
        <f t="shared" si="185"/>
        <v>376</v>
      </c>
      <c r="Q1985" s="1">
        <f>COUNTIFS($P:$P, "&gt;" &amp; $P1985) + 1</f>
        <v>4125</v>
      </c>
      <c r="R1985" s="63">
        <f>(COUNTIFS($P:$P, "&gt;" &amp; $P1985) + 1) / (COUNTA($I:$I) - 1)</f>
        <v>0.82499999999999996</v>
      </c>
      <c r="S1985" s="23">
        <f>SUMIFS($P:$P, $Q:$Q, "&lt;" &amp; $Q1985)</f>
        <v>186454629</v>
      </c>
    </row>
    <row r="1986" spans="1:19" x14ac:dyDescent="0.25">
      <c r="A1986" s="1">
        <v>1981</v>
      </c>
      <c r="B1986" s="1" t="s">
        <v>2</v>
      </c>
      <c r="C1986" s="1" t="str">
        <f>IF($B1986 = "Production Item", _xlfn.XLOOKUP($A1986, 'Instrument Table'!$J:$J, 'Instrument Table'!$B:$B, $C1985), IF($B1986 = "Service Item", _xlfn.XLOOKUP($A1986, 'Instrument Table'!$I:$I, 'Instrument Table'!$B:$B, $C1985), _xlfn.XLOOKUP($A1986, 'Instrument Table'!$H:$H, 'Instrument Table'!$B:$B, $C1985)))</f>
        <v>Clarinet</v>
      </c>
      <c r="D1986" s="1" t="str">
        <f>VLOOKUP($C1986, 'Instrument Table'!$B:$C, 2, FALSE)</f>
        <v>Woodwinds</v>
      </c>
      <c r="E1986" s="1">
        <f t="shared" si="180"/>
        <v>1</v>
      </c>
      <c r="F1986" s="1">
        <f>_xlfn.XLOOKUP($C1986, 'Instrument Table'!$B:$B, 'Instrument Table'!$A:$A, "")</f>
        <v>30</v>
      </c>
      <c r="G1986" s="1" t="str">
        <f>TEXT(IF($B1986 = "Retail Item", IF((ROW($A1986) - 4504 - _xlfn.XMATCH($C1986, $C$4506:$C$5005, 0, 1)) &lt;= VLOOKUP($C1986, 'Instrument Table'!$B:$D, 3, FALSE), ROW($A1986) - 4504 - _xlfn.XMATCH($C1986, $C$4506:$C$5005, 0, 1), 0), 0), "00")</f>
        <v>00</v>
      </c>
      <c r="H1986" s="1" t="str">
        <f t="shared" si="181"/>
        <v>230</v>
      </c>
      <c r="I1986" s="1" t="str">
        <f t="shared" si="182"/>
        <v>13000-230</v>
      </c>
      <c r="J1986" s="1" t="str">
        <f t="shared" si="183"/>
        <v>Clarinet production item #230</v>
      </c>
      <c r="K1986" s="1" t="str">
        <f>IF(SUM(COUNTIFS(I:I, I1986)) &gt; 1, "DUPLICATE", "UNIQUE")</f>
        <v>UNIQUE</v>
      </c>
      <c r="L1986" s="18">
        <v>1</v>
      </c>
      <c r="M1986" s="28">
        <v>66</v>
      </c>
      <c r="N1986" s="6">
        <v>64</v>
      </c>
      <c r="O1986" s="30">
        <f t="shared" si="184"/>
        <v>66</v>
      </c>
      <c r="P1986" s="30">
        <f t="shared" si="185"/>
        <v>4224</v>
      </c>
      <c r="Q1986" s="1">
        <f>COUNTIFS($P:$P, "&gt;" &amp; $P1986) + 1</f>
        <v>2605</v>
      </c>
      <c r="R1986" s="63">
        <f>(COUNTIFS($P:$P, "&gt;" &amp; $P1986) + 1) / (COUNTA($I:$I) - 1)</f>
        <v>0.52100000000000002</v>
      </c>
      <c r="S1986" s="23">
        <f>SUMIFS($P:$P, $Q:$Q, "&lt;" &amp; $Q1986)</f>
        <v>183584543</v>
      </c>
    </row>
    <row r="1987" spans="1:19" x14ac:dyDescent="0.25">
      <c r="A1987" s="1">
        <v>1982</v>
      </c>
      <c r="B1987" s="1" t="s">
        <v>2</v>
      </c>
      <c r="C1987" s="1" t="str">
        <f>IF($B1987 = "Production Item", _xlfn.XLOOKUP($A1987, 'Instrument Table'!$J:$J, 'Instrument Table'!$B:$B, $C1986), IF($B1987 = "Service Item", _xlfn.XLOOKUP($A1987, 'Instrument Table'!$I:$I, 'Instrument Table'!$B:$B, $C1986), _xlfn.XLOOKUP($A1987, 'Instrument Table'!$H:$H, 'Instrument Table'!$B:$B, $C1986)))</f>
        <v>Clarinet</v>
      </c>
      <c r="D1987" s="1" t="str">
        <f>VLOOKUP($C1987, 'Instrument Table'!$B:$C, 2, FALSE)</f>
        <v>Woodwinds</v>
      </c>
      <c r="E1987" s="1">
        <f t="shared" si="180"/>
        <v>1</v>
      </c>
      <c r="F1987" s="1">
        <f>_xlfn.XLOOKUP($C1987, 'Instrument Table'!$B:$B, 'Instrument Table'!$A:$A, "")</f>
        <v>30</v>
      </c>
      <c r="G1987" s="1" t="str">
        <f>TEXT(IF($B1987 = "Retail Item", IF((ROW($A1987) - 4504 - _xlfn.XMATCH($C1987, $C$4506:$C$5005, 0, 1)) &lt;= VLOOKUP($C1987, 'Instrument Table'!$B:$D, 3, FALSE), ROW($A1987) - 4504 - _xlfn.XMATCH($C1987, $C$4506:$C$5005, 0, 1), 0), 0), "00")</f>
        <v>00</v>
      </c>
      <c r="H1987" s="1" t="str">
        <f t="shared" si="181"/>
        <v>231</v>
      </c>
      <c r="I1987" s="1" t="str">
        <f t="shared" si="182"/>
        <v>13000-231</v>
      </c>
      <c r="J1987" s="1" t="str">
        <f t="shared" si="183"/>
        <v>Clarinet production item #231</v>
      </c>
      <c r="K1987" s="1" t="str">
        <f>IF(SUM(COUNTIFS(I:I, I1987)) &gt; 1, "DUPLICATE", "UNIQUE")</f>
        <v>UNIQUE</v>
      </c>
      <c r="L1987" s="18">
        <v>0</v>
      </c>
      <c r="M1987" s="28">
        <v>51</v>
      </c>
      <c r="N1987" s="6">
        <v>49</v>
      </c>
      <c r="O1987" s="30">
        <f t="shared" si="184"/>
        <v>0</v>
      </c>
      <c r="P1987" s="30">
        <f t="shared" si="185"/>
        <v>2499</v>
      </c>
      <c r="Q1987" s="1">
        <f>COUNTIFS($P:$P, "&gt;" &amp; $P1987) + 1</f>
        <v>3050</v>
      </c>
      <c r="R1987" s="63">
        <f>(COUNTIFS($P:$P, "&gt;" &amp; $P1987) + 1) / (COUNTA($I:$I) - 1)</f>
        <v>0.61</v>
      </c>
      <c r="S1987" s="23">
        <f>SUMIFS($P:$P, $Q:$Q, "&lt;" &amp; $Q1987)</f>
        <v>185060549</v>
      </c>
    </row>
    <row r="1988" spans="1:19" x14ac:dyDescent="0.25">
      <c r="A1988" s="1">
        <v>1983</v>
      </c>
      <c r="B1988" s="1" t="s">
        <v>2</v>
      </c>
      <c r="C1988" s="1" t="str">
        <f>IF($B1988 = "Production Item", _xlfn.XLOOKUP($A1988, 'Instrument Table'!$J:$J, 'Instrument Table'!$B:$B, $C1987), IF($B1988 = "Service Item", _xlfn.XLOOKUP($A1988, 'Instrument Table'!$I:$I, 'Instrument Table'!$B:$B, $C1987), _xlfn.XLOOKUP($A1988, 'Instrument Table'!$H:$H, 'Instrument Table'!$B:$B, $C1987)))</f>
        <v>Clarinet</v>
      </c>
      <c r="D1988" s="1" t="str">
        <f>VLOOKUP($C1988, 'Instrument Table'!$B:$C, 2, FALSE)</f>
        <v>Woodwinds</v>
      </c>
      <c r="E1988" s="1">
        <f t="shared" si="180"/>
        <v>1</v>
      </c>
      <c r="F1988" s="1">
        <f>_xlfn.XLOOKUP($C1988, 'Instrument Table'!$B:$B, 'Instrument Table'!$A:$A, "")</f>
        <v>30</v>
      </c>
      <c r="G1988" s="1" t="str">
        <f>TEXT(IF($B1988 = "Retail Item", IF((ROW($A1988) - 4504 - _xlfn.XMATCH($C1988, $C$4506:$C$5005, 0, 1)) &lt;= VLOOKUP($C1988, 'Instrument Table'!$B:$D, 3, FALSE), ROW($A1988) - 4504 - _xlfn.XMATCH($C1988, $C$4506:$C$5005, 0, 1), 0), 0), "00")</f>
        <v>00</v>
      </c>
      <c r="H1988" s="1" t="str">
        <f t="shared" si="181"/>
        <v>232</v>
      </c>
      <c r="I1988" s="1" t="str">
        <f t="shared" si="182"/>
        <v>13000-232</v>
      </c>
      <c r="J1988" s="1" t="str">
        <f t="shared" si="183"/>
        <v>Clarinet production item #232</v>
      </c>
      <c r="K1988" s="1" t="str">
        <f>IF(SUM(COUNTIFS(I:I, I1988)) &gt; 1, "DUPLICATE", "UNIQUE")</f>
        <v>UNIQUE</v>
      </c>
      <c r="L1988" s="18">
        <v>0</v>
      </c>
      <c r="M1988" s="28">
        <v>68</v>
      </c>
      <c r="N1988" s="6">
        <v>256</v>
      </c>
      <c r="O1988" s="30">
        <f t="shared" si="184"/>
        <v>0</v>
      </c>
      <c r="P1988" s="30">
        <f t="shared" si="185"/>
        <v>17408</v>
      </c>
      <c r="Q1988" s="1">
        <f>COUNTIFS($P:$P, "&gt;" &amp; $P1988) + 1</f>
        <v>1195</v>
      </c>
      <c r="R1988" s="63">
        <f>(COUNTIFS($P:$P, "&gt;" &amp; $P1988) + 1) / (COUNTA($I:$I) - 1)</f>
        <v>0.23899999999999999</v>
      </c>
      <c r="S1988" s="23">
        <f>SUMIFS($P:$P, $Q:$Q, "&lt;" &amp; $Q1988)</f>
        <v>170239325</v>
      </c>
    </row>
    <row r="1989" spans="1:19" x14ac:dyDescent="0.25">
      <c r="A1989" s="1">
        <v>1984</v>
      </c>
      <c r="B1989" s="1" t="s">
        <v>2</v>
      </c>
      <c r="C1989" s="1" t="str">
        <f>IF($B1989 = "Production Item", _xlfn.XLOOKUP($A1989, 'Instrument Table'!$J:$J, 'Instrument Table'!$B:$B, $C1988), IF($B1989 = "Service Item", _xlfn.XLOOKUP($A1989, 'Instrument Table'!$I:$I, 'Instrument Table'!$B:$B, $C1988), _xlfn.XLOOKUP($A1989, 'Instrument Table'!$H:$H, 'Instrument Table'!$B:$B, $C1988)))</f>
        <v>Clarinet</v>
      </c>
      <c r="D1989" s="1" t="str">
        <f>VLOOKUP($C1989, 'Instrument Table'!$B:$C, 2, FALSE)</f>
        <v>Woodwinds</v>
      </c>
      <c r="E1989" s="1">
        <f t="shared" si="180"/>
        <v>1</v>
      </c>
      <c r="F1989" s="1">
        <f>_xlfn.XLOOKUP($C1989, 'Instrument Table'!$B:$B, 'Instrument Table'!$A:$A, "")</f>
        <v>30</v>
      </c>
      <c r="G1989" s="1" t="str">
        <f>TEXT(IF($B1989 = "Retail Item", IF((ROW($A1989) - 4504 - _xlfn.XMATCH($C1989, $C$4506:$C$5005, 0, 1)) &lt;= VLOOKUP($C1989, 'Instrument Table'!$B:$D, 3, FALSE), ROW($A1989) - 4504 - _xlfn.XMATCH($C1989, $C$4506:$C$5005, 0, 1), 0), 0), "00")</f>
        <v>00</v>
      </c>
      <c r="H1989" s="1" t="str">
        <f t="shared" si="181"/>
        <v>233</v>
      </c>
      <c r="I1989" s="1" t="str">
        <f t="shared" si="182"/>
        <v>13000-233</v>
      </c>
      <c r="J1989" s="1" t="str">
        <f t="shared" si="183"/>
        <v>Clarinet production item #233</v>
      </c>
      <c r="K1989" s="1" t="str">
        <f>IF(SUM(COUNTIFS(I:I, I1989)) &gt; 1, "DUPLICATE", "UNIQUE")</f>
        <v>UNIQUE</v>
      </c>
      <c r="L1989" s="18">
        <v>1</v>
      </c>
      <c r="M1989" s="28">
        <v>85</v>
      </c>
      <c r="N1989" s="6">
        <v>361</v>
      </c>
      <c r="O1989" s="30">
        <f t="shared" si="184"/>
        <v>85</v>
      </c>
      <c r="P1989" s="30">
        <f t="shared" si="185"/>
        <v>30685</v>
      </c>
      <c r="Q1989" s="1">
        <f>COUNTIFS($P:$P, "&gt;" &amp; $P1989) + 1</f>
        <v>679</v>
      </c>
      <c r="R1989" s="63">
        <f>(COUNTIFS($P:$P, "&gt;" &amp; $P1989) + 1) / (COUNTA($I:$I) - 1)</f>
        <v>0.1358</v>
      </c>
      <c r="S1989" s="23">
        <f>SUMIFS($P:$P, $Q:$Q, "&lt;" &amp; $Q1989)</f>
        <v>158454634</v>
      </c>
    </row>
    <row r="1990" spans="1:19" x14ac:dyDescent="0.25">
      <c r="A1990" s="1">
        <v>1985</v>
      </c>
      <c r="B1990" s="1" t="s">
        <v>2</v>
      </c>
      <c r="C1990" s="1" t="str">
        <f>IF($B1990 = "Production Item", _xlfn.XLOOKUP($A1990, 'Instrument Table'!$J:$J, 'Instrument Table'!$B:$B, $C1989), IF($B1990 = "Service Item", _xlfn.XLOOKUP($A1990, 'Instrument Table'!$I:$I, 'Instrument Table'!$B:$B, $C1989), _xlfn.XLOOKUP($A1990, 'Instrument Table'!$H:$H, 'Instrument Table'!$B:$B, $C1989)))</f>
        <v>Clarinet</v>
      </c>
      <c r="D1990" s="1" t="str">
        <f>VLOOKUP($C1990, 'Instrument Table'!$B:$C, 2, FALSE)</f>
        <v>Woodwinds</v>
      </c>
      <c r="E1990" s="1">
        <f t="shared" si="180"/>
        <v>1</v>
      </c>
      <c r="F1990" s="1">
        <f>_xlfn.XLOOKUP($C1990, 'Instrument Table'!$B:$B, 'Instrument Table'!$A:$A, "")</f>
        <v>30</v>
      </c>
      <c r="G1990" s="1" t="str">
        <f>TEXT(IF($B1990 = "Retail Item", IF((ROW($A1990) - 4504 - _xlfn.XMATCH($C1990, $C$4506:$C$5005, 0, 1)) &lt;= VLOOKUP($C1990, 'Instrument Table'!$B:$D, 3, FALSE), ROW($A1990) - 4504 - _xlfn.XMATCH($C1990, $C$4506:$C$5005, 0, 1), 0), 0), "00")</f>
        <v>00</v>
      </c>
      <c r="H1990" s="1" t="str">
        <f t="shared" si="181"/>
        <v>234</v>
      </c>
      <c r="I1990" s="1" t="str">
        <f t="shared" si="182"/>
        <v>13000-234</v>
      </c>
      <c r="J1990" s="1" t="str">
        <f t="shared" si="183"/>
        <v>Clarinet production item #234</v>
      </c>
      <c r="K1990" s="1" t="str">
        <f>IF(SUM(COUNTIFS(I:I, I1990)) &gt; 1, "DUPLICATE", "UNIQUE")</f>
        <v>UNIQUE</v>
      </c>
      <c r="L1990" s="18">
        <v>1</v>
      </c>
      <c r="M1990" s="28">
        <v>28</v>
      </c>
      <c r="N1990" s="6">
        <v>81</v>
      </c>
      <c r="O1990" s="30">
        <f t="shared" si="184"/>
        <v>28</v>
      </c>
      <c r="P1990" s="30">
        <f t="shared" si="185"/>
        <v>2268</v>
      </c>
      <c r="Q1990" s="1">
        <f>COUNTIFS($P:$P, "&gt;" &amp; $P1990) + 1</f>
        <v>3145</v>
      </c>
      <c r="R1990" s="63">
        <f>(COUNTIFS($P:$P, "&gt;" &amp; $P1990) + 1) / (COUNTA($I:$I) - 1)</f>
        <v>0.629</v>
      </c>
      <c r="S1990" s="23">
        <f>SUMIFS($P:$P, $Q:$Q, "&lt;" &amp; $Q1990)</f>
        <v>185286773</v>
      </c>
    </row>
    <row r="1991" spans="1:19" x14ac:dyDescent="0.25">
      <c r="A1991" s="1">
        <v>1986</v>
      </c>
      <c r="B1991" s="1" t="s">
        <v>2</v>
      </c>
      <c r="C1991" s="1" t="str">
        <f>IF($B1991 = "Production Item", _xlfn.XLOOKUP($A1991, 'Instrument Table'!$J:$J, 'Instrument Table'!$B:$B, $C1990), IF($B1991 = "Service Item", _xlfn.XLOOKUP($A1991, 'Instrument Table'!$I:$I, 'Instrument Table'!$B:$B, $C1990), _xlfn.XLOOKUP($A1991, 'Instrument Table'!$H:$H, 'Instrument Table'!$B:$B, $C1990)))</f>
        <v>Clarinet</v>
      </c>
      <c r="D1991" s="1" t="str">
        <f>VLOOKUP($C1991, 'Instrument Table'!$B:$C, 2, FALSE)</f>
        <v>Woodwinds</v>
      </c>
      <c r="E1991" s="1">
        <f t="shared" ref="E1991:E2054" si="186">IF($B1991 = "Production Item", 1, IF($B1991 = "Service Item", 2, IF($B1991 = "Retail Item", 3, "")))</f>
        <v>1</v>
      </c>
      <c r="F1991" s="1">
        <f>_xlfn.XLOOKUP($C1991, 'Instrument Table'!$B:$B, 'Instrument Table'!$A:$A, "")</f>
        <v>30</v>
      </c>
      <c r="G1991" s="1" t="str">
        <f>TEXT(IF($B1991 = "Retail Item", IF((ROW($A1991) - 4504 - _xlfn.XMATCH($C1991, $C$4506:$C$5005, 0, 1)) &lt;= VLOOKUP($C1991, 'Instrument Table'!$B:$D, 3, FALSE), ROW($A1991) - 4504 - _xlfn.XMATCH($C1991, $C$4506:$C$5005, 0, 1), 0), 0), "00")</f>
        <v>00</v>
      </c>
      <c r="H1991" s="1" t="str">
        <f t="shared" ref="H1991:H2054" si="187">TEXT(IF($E1991 &amp; $F1991 &amp; $G1991 = $E1990 &amp; $F1990 &amp; $G1990, 1 + H1990, 0), "000")</f>
        <v>235</v>
      </c>
      <c r="I1991" s="1" t="str">
        <f t="shared" ref="I1991:I2054" si="188" xml:space="preserve"> _xlfn.CONCAT($E1991, $F1991, $G1991, "-", H1991)</f>
        <v>13000-235</v>
      </c>
      <c r="J1991" s="1" t="str">
        <f t="shared" ref="J1991:J2054" si="189">LEFT($C1991, 1) &amp; LOWER(RIGHT($C1991, LEN($C1991) - 1)) &amp; IF(AND($G1991 &lt;&gt; "00", $B1991 = "Retail Item"), " model #" &amp; $G1991, " " &amp; LOWER($B1991) &amp; " #" &amp; $H1991)</f>
        <v>Clarinet production item #235</v>
      </c>
      <c r="K1991" s="1" t="str">
        <f>IF(SUM(COUNTIFS(I:I, I1991)) &gt; 1, "DUPLICATE", "UNIQUE")</f>
        <v>UNIQUE</v>
      </c>
      <c r="L1991" s="18">
        <v>0</v>
      </c>
      <c r="M1991" s="28">
        <v>35</v>
      </c>
      <c r="N1991" s="6">
        <v>36</v>
      </c>
      <c r="O1991" s="30">
        <f t="shared" ref="O1991:O2054" si="190">$L1991 * $M1991</f>
        <v>0</v>
      </c>
      <c r="P1991" s="30">
        <f t="shared" ref="P1991:P2054" si="191">$N1991 * $M1991</f>
        <v>1260</v>
      </c>
      <c r="Q1991" s="1">
        <f>COUNTIFS($P:$P, "&gt;" &amp; $P1991) + 1</f>
        <v>3582</v>
      </c>
      <c r="R1991" s="63">
        <f>(COUNTIFS($P:$P, "&gt;" &amp; $P1991) + 1) / (COUNTA($I:$I) - 1)</f>
        <v>0.71640000000000004</v>
      </c>
      <c r="S1991" s="23">
        <f>SUMIFS($P:$P, $Q:$Q, "&lt;" &amp; $Q1991)</f>
        <v>186047610</v>
      </c>
    </row>
    <row r="1992" spans="1:19" x14ac:dyDescent="0.25">
      <c r="A1992" s="1">
        <v>1987</v>
      </c>
      <c r="B1992" s="1" t="s">
        <v>2</v>
      </c>
      <c r="C1992" s="1" t="str">
        <f>IF($B1992 = "Production Item", _xlfn.XLOOKUP($A1992, 'Instrument Table'!$J:$J, 'Instrument Table'!$B:$B, $C1991), IF($B1992 = "Service Item", _xlfn.XLOOKUP($A1992, 'Instrument Table'!$I:$I, 'Instrument Table'!$B:$B, $C1991), _xlfn.XLOOKUP($A1992, 'Instrument Table'!$H:$H, 'Instrument Table'!$B:$B, $C1991)))</f>
        <v>Clarinet</v>
      </c>
      <c r="D1992" s="1" t="str">
        <f>VLOOKUP($C1992, 'Instrument Table'!$B:$C, 2, FALSE)</f>
        <v>Woodwinds</v>
      </c>
      <c r="E1992" s="1">
        <f t="shared" si="186"/>
        <v>1</v>
      </c>
      <c r="F1992" s="1">
        <f>_xlfn.XLOOKUP($C1992, 'Instrument Table'!$B:$B, 'Instrument Table'!$A:$A, "")</f>
        <v>30</v>
      </c>
      <c r="G1992" s="1" t="str">
        <f>TEXT(IF($B1992 = "Retail Item", IF((ROW($A1992) - 4504 - _xlfn.XMATCH($C1992, $C$4506:$C$5005, 0, 1)) &lt;= VLOOKUP($C1992, 'Instrument Table'!$B:$D, 3, FALSE), ROW($A1992) - 4504 - _xlfn.XMATCH($C1992, $C$4506:$C$5005, 0, 1), 0), 0), "00")</f>
        <v>00</v>
      </c>
      <c r="H1992" s="1" t="str">
        <f t="shared" si="187"/>
        <v>236</v>
      </c>
      <c r="I1992" s="1" t="str">
        <f t="shared" si="188"/>
        <v>13000-236</v>
      </c>
      <c r="J1992" s="1" t="str">
        <f t="shared" si="189"/>
        <v>Clarinet production item #236</v>
      </c>
      <c r="K1992" s="1" t="str">
        <f>IF(SUM(COUNTIFS(I:I, I1992)) &gt; 1, "DUPLICATE", "UNIQUE")</f>
        <v>UNIQUE</v>
      </c>
      <c r="L1992" s="18">
        <v>0</v>
      </c>
      <c r="M1992" s="28">
        <v>25</v>
      </c>
      <c r="N1992" s="6">
        <v>144</v>
      </c>
      <c r="O1992" s="30">
        <f t="shared" si="190"/>
        <v>0</v>
      </c>
      <c r="P1992" s="30">
        <f t="shared" si="191"/>
        <v>3600</v>
      </c>
      <c r="Q1992" s="1">
        <f>COUNTIFS($P:$P, "&gt;" &amp; $P1992) + 1</f>
        <v>2737</v>
      </c>
      <c r="R1992" s="63">
        <f>(COUNTIFS($P:$P, "&gt;" &amp; $P1992) + 1) / (COUNTA($I:$I) - 1)</f>
        <v>0.5474</v>
      </c>
      <c r="S1992" s="23">
        <f>SUMIFS($P:$P, $Q:$Q, "&lt;" &amp; $Q1992)</f>
        <v>184104041</v>
      </c>
    </row>
    <row r="1993" spans="1:19" x14ac:dyDescent="0.25">
      <c r="A1993" s="1">
        <v>1988</v>
      </c>
      <c r="B1993" s="1" t="s">
        <v>2</v>
      </c>
      <c r="C1993" s="1" t="str">
        <f>IF($B1993 = "Production Item", _xlfn.XLOOKUP($A1993, 'Instrument Table'!$J:$J, 'Instrument Table'!$B:$B, $C1992), IF($B1993 = "Service Item", _xlfn.XLOOKUP($A1993, 'Instrument Table'!$I:$I, 'Instrument Table'!$B:$B, $C1992), _xlfn.XLOOKUP($A1993, 'Instrument Table'!$H:$H, 'Instrument Table'!$B:$B, $C1992)))</f>
        <v>Clarinet</v>
      </c>
      <c r="D1993" s="1" t="str">
        <f>VLOOKUP($C1993, 'Instrument Table'!$B:$C, 2, FALSE)</f>
        <v>Woodwinds</v>
      </c>
      <c r="E1993" s="1">
        <f t="shared" si="186"/>
        <v>1</v>
      </c>
      <c r="F1993" s="1">
        <f>_xlfn.XLOOKUP($C1993, 'Instrument Table'!$B:$B, 'Instrument Table'!$A:$A, "")</f>
        <v>30</v>
      </c>
      <c r="G1993" s="1" t="str">
        <f>TEXT(IF($B1993 = "Retail Item", IF((ROW($A1993) - 4504 - _xlfn.XMATCH($C1993, $C$4506:$C$5005, 0, 1)) &lt;= VLOOKUP($C1993, 'Instrument Table'!$B:$D, 3, FALSE), ROW($A1993) - 4504 - _xlfn.XMATCH($C1993, $C$4506:$C$5005, 0, 1), 0), 0), "00")</f>
        <v>00</v>
      </c>
      <c r="H1993" s="1" t="str">
        <f t="shared" si="187"/>
        <v>237</v>
      </c>
      <c r="I1993" s="1" t="str">
        <f t="shared" si="188"/>
        <v>13000-237</v>
      </c>
      <c r="J1993" s="1" t="str">
        <f t="shared" si="189"/>
        <v>Clarinet production item #237</v>
      </c>
      <c r="K1993" s="1" t="str">
        <f>IF(SUM(COUNTIFS(I:I, I1993)) &gt; 1, "DUPLICATE", "UNIQUE")</f>
        <v>UNIQUE</v>
      </c>
      <c r="L1993" s="18">
        <v>1</v>
      </c>
      <c r="M1993" s="28">
        <v>51</v>
      </c>
      <c r="N1993" s="6">
        <v>169</v>
      </c>
      <c r="O1993" s="30">
        <f t="shared" si="190"/>
        <v>51</v>
      </c>
      <c r="P1993" s="30">
        <f t="shared" si="191"/>
        <v>8619</v>
      </c>
      <c r="Q1993" s="1">
        <f>COUNTIFS($P:$P, "&gt;" &amp; $P1993) + 1</f>
        <v>1920</v>
      </c>
      <c r="R1993" s="63">
        <f>(COUNTIFS($P:$P, "&gt;" &amp; $P1993) + 1) / (COUNTA($I:$I) - 1)</f>
        <v>0.38400000000000001</v>
      </c>
      <c r="S1993" s="23">
        <f>SUMIFS($P:$P, $Q:$Q, "&lt;" &amp; $Q1993)</f>
        <v>179337593</v>
      </c>
    </row>
    <row r="1994" spans="1:19" x14ac:dyDescent="0.25">
      <c r="A1994" s="1">
        <v>1989</v>
      </c>
      <c r="B1994" s="1" t="s">
        <v>2</v>
      </c>
      <c r="C1994" s="1" t="str">
        <f>IF($B1994 = "Production Item", _xlfn.XLOOKUP($A1994, 'Instrument Table'!$J:$J, 'Instrument Table'!$B:$B, $C1993), IF($B1994 = "Service Item", _xlfn.XLOOKUP($A1994, 'Instrument Table'!$I:$I, 'Instrument Table'!$B:$B, $C1993), _xlfn.XLOOKUP($A1994, 'Instrument Table'!$H:$H, 'Instrument Table'!$B:$B, $C1993)))</f>
        <v>Clarinet</v>
      </c>
      <c r="D1994" s="1" t="str">
        <f>VLOOKUP($C1994, 'Instrument Table'!$B:$C, 2, FALSE)</f>
        <v>Woodwinds</v>
      </c>
      <c r="E1994" s="1">
        <f t="shared" si="186"/>
        <v>1</v>
      </c>
      <c r="F1994" s="1">
        <f>_xlfn.XLOOKUP($C1994, 'Instrument Table'!$B:$B, 'Instrument Table'!$A:$A, "")</f>
        <v>30</v>
      </c>
      <c r="G1994" s="1" t="str">
        <f>TEXT(IF($B1994 = "Retail Item", IF((ROW($A1994) - 4504 - _xlfn.XMATCH($C1994, $C$4506:$C$5005, 0, 1)) &lt;= VLOOKUP($C1994, 'Instrument Table'!$B:$D, 3, FALSE), ROW($A1994) - 4504 - _xlfn.XMATCH($C1994, $C$4506:$C$5005, 0, 1), 0), 0), "00")</f>
        <v>00</v>
      </c>
      <c r="H1994" s="1" t="str">
        <f t="shared" si="187"/>
        <v>238</v>
      </c>
      <c r="I1994" s="1" t="str">
        <f t="shared" si="188"/>
        <v>13000-238</v>
      </c>
      <c r="J1994" s="1" t="str">
        <f t="shared" si="189"/>
        <v>Clarinet production item #238</v>
      </c>
      <c r="K1994" s="1" t="str">
        <f>IF(SUM(COUNTIFS(I:I, I1994)) &gt; 1, "DUPLICATE", "UNIQUE")</f>
        <v>UNIQUE</v>
      </c>
      <c r="L1994" s="18">
        <v>1</v>
      </c>
      <c r="M1994" s="28">
        <v>68</v>
      </c>
      <c r="N1994" s="6">
        <v>1</v>
      </c>
      <c r="O1994" s="30">
        <f t="shared" si="190"/>
        <v>68</v>
      </c>
      <c r="P1994" s="30">
        <f t="shared" si="191"/>
        <v>68</v>
      </c>
      <c r="Q1994" s="1">
        <f>COUNTIFS($P:$P, "&gt;" &amp; $P1994) + 1</f>
        <v>4544</v>
      </c>
      <c r="R1994" s="63">
        <f>(COUNTIFS($P:$P, "&gt;" &amp; $P1994) + 1) / (COUNTA($I:$I) - 1)</f>
        <v>0.90880000000000005</v>
      </c>
      <c r="S1994" s="23">
        <f>SUMIFS($P:$P, $Q:$Q, "&lt;" &amp; $Q1994)</f>
        <v>186540253</v>
      </c>
    </row>
    <row r="1995" spans="1:19" x14ac:dyDescent="0.25">
      <c r="A1995" s="1">
        <v>1990</v>
      </c>
      <c r="B1995" s="1" t="s">
        <v>2</v>
      </c>
      <c r="C1995" s="1" t="str">
        <f>IF($B1995 = "Production Item", _xlfn.XLOOKUP($A1995, 'Instrument Table'!$J:$J, 'Instrument Table'!$B:$B, $C1994), IF($B1995 = "Service Item", _xlfn.XLOOKUP($A1995, 'Instrument Table'!$I:$I, 'Instrument Table'!$B:$B, $C1994), _xlfn.XLOOKUP($A1995, 'Instrument Table'!$H:$H, 'Instrument Table'!$B:$B, $C1994)))</f>
        <v>Clarinet</v>
      </c>
      <c r="D1995" s="1" t="str">
        <f>VLOOKUP($C1995, 'Instrument Table'!$B:$C, 2, FALSE)</f>
        <v>Woodwinds</v>
      </c>
      <c r="E1995" s="1">
        <f t="shared" si="186"/>
        <v>1</v>
      </c>
      <c r="F1995" s="1">
        <f>_xlfn.XLOOKUP($C1995, 'Instrument Table'!$B:$B, 'Instrument Table'!$A:$A, "")</f>
        <v>30</v>
      </c>
      <c r="G1995" s="1" t="str">
        <f>TEXT(IF($B1995 = "Retail Item", IF((ROW($A1995) - 4504 - _xlfn.XMATCH($C1995, $C$4506:$C$5005, 0, 1)) &lt;= VLOOKUP($C1995, 'Instrument Table'!$B:$D, 3, FALSE), ROW($A1995) - 4504 - _xlfn.XMATCH($C1995, $C$4506:$C$5005, 0, 1), 0), 0), "00")</f>
        <v>00</v>
      </c>
      <c r="H1995" s="1" t="str">
        <f t="shared" si="187"/>
        <v>239</v>
      </c>
      <c r="I1995" s="1" t="str">
        <f t="shared" si="188"/>
        <v>13000-239</v>
      </c>
      <c r="J1995" s="1" t="str">
        <f t="shared" si="189"/>
        <v>Clarinet production item #239</v>
      </c>
      <c r="K1995" s="1" t="str">
        <f>IF(SUM(COUNTIFS(I:I, I1995)) &gt; 1, "DUPLICATE", "UNIQUE")</f>
        <v>UNIQUE</v>
      </c>
      <c r="L1995" s="18">
        <v>0</v>
      </c>
      <c r="M1995" s="28">
        <v>88</v>
      </c>
      <c r="N1995" s="6">
        <v>169</v>
      </c>
      <c r="O1995" s="30">
        <f t="shared" si="190"/>
        <v>0</v>
      </c>
      <c r="P1995" s="30">
        <f t="shared" si="191"/>
        <v>14872</v>
      </c>
      <c r="Q1995" s="1">
        <f>COUNTIFS($P:$P, "&gt;" &amp; $P1995) + 1</f>
        <v>1359</v>
      </c>
      <c r="R1995" s="63">
        <f>(COUNTIFS($P:$P, "&gt;" &amp; $P1995) + 1) / (COUNTA($I:$I) - 1)</f>
        <v>0.27179999999999999</v>
      </c>
      <c r="S1995" s="23">
        <f>SUMIFS($P:$P, $Q:$Q, "&lt;" &amp; $Q1995)</f>
        <v>172877462</v>
      </c>
    </row>
    <row r="1996" spans="1:19" x14ac:dyDescent="0.25">
      <c r="A1996" s="1">
        <v>1991</v>
      </c>
      <c r="B1996" s="1" t="s">
        <v>2</v>
      </c>
      <c r="C1996" s="1" t="str">
        <f>IF($B1996 = "Production Item", _xlfn.XLOOKUP($A1996, 'Instrument Table'!$J:$J, 'Instrument Table'!$B:$B, $C1995), IF($B1996 = "Service Item", _xlfn.XLOOKUP($A1996, 'Instrument Table'!$I:$I, 'Instrument Table'!$B:$B, $C1995), _xlfn.XLOOKUP($A1996, 'Instrument Table'!$H:$H, 'Instrument Table'!$B:$B, $C1995)))</f>
        <v>Clarinet</v>
      </c>
      <c r="D1996" s="1" t="str">
        <f>VLOOKUP($C1996, 'Instrument Table'!$B:$C, 2, FALSE)</f>
        <v>Woodwinds</v>
      </c>
      <c r="E1996" s="1">
        <f t="shared" si="186"/>
        <v>1</v>
      </c>
      <c r="F1996" s="1">
        <f>_xlfn.XLOOKUP($C1996, 'Instrument Table'!$B:$B, 'Instrument Table'!$A:$A, "")</f>
        <v>30</v>
      </c>
      <c r="G1996" s="1" t="str">
        <f>TEXT(IF($B1996 = "Retail Item", IF((ROW($A1996) - 4504 - _xlfn.XMATCH($C1996, $C$4506:$C$5005, 0, 1)) &lt;= VLOOKUP($C1996, 'Instrument Table'!$B:$D, 3, FALSE), ROW($A1996) - 4504 - _xlfn.XMATCH($C1996, $C$4506:$C$5005, 0, 1), 0), 0), "00")</f>
        <v>00</v>
      </c>
      <c r="H1996" s="1" t="str">
        <f t="shared" si="187"/>
        <v>240</v>
      </c>
      <c r="I1996" s="1" t="str">
        <f t="shared" si="188"/>
        <v>13000-240</v>
      </c>
      <c r="J1996" s="1" t="str">
        <f t="shared" si="189"/>
        <v>Clarinet production item #240</v>
      </c>
      <c r="K1996" s="1" t="str">
        <f>IF(SUM(COUNTIFS(I:I, I1996)) &gt; 1, "DUPLICATE", "UNIQUE")</f>
        <v>UNIQUE</v>
      </c>
      <c r="L1996" s="18">
        <v>1</v>
      </c>
      <c r="M1996" s="28">
        <v>61</v>
      </c>
      <c r="N1996" s="6">
        <v>9</v>
      </c>
      <c r="O1996" s="30">
        <f t="shared" si="190"/>
        <v>61</v>
      </c>
      <c r="P1996" s="30">
        <f t="shared" si="191"/>
        <v>549</v>
      </c>
      <c r="Q1996" s="1">
        <f>COUNTIFS($P:$P, "&gt;" &amp; $P1996) + 1</f>
        <v>3983</v>
      </c>
      <c r="R1996" s="63">
        <f>(COUNTIFS($P:$P, "&gt;" &amp; $P1996) + 1) / (COUNTA($I:$I) - 1)</f>
        <v>0.79659999999999997</v>
      </c>
      <c r="S1996" s="23">
        <f>SUMIFS($P:$P, $Q:$Q, "&lt;" &amp; $Q1996)</f>
        <v>186389121</v>
      </c>
    </row>
    <row r="1997" spans="1:19" x14ac:dyDescent="0.25">
      <c r="A1997" s="1">
        <v>1992</v>
      </c>
      <c r="B1997" s="1" t="s">
        <v>2</v>
      </c>
      <c r="C1997" s="1" t="str">
        <f>IF($B1997 = "Production Item", _xlfn.XLOOKUP($A1997, 'Instrument Table'!$J:$J, 'Instrument Table'!$B:$B, $C1996), IF($B1997 = "Service Item", _xlfn.XLOOKUP($A1997, 'Instrument Table'!$I:$I, 'Instrument Table'!$B:$B, $C1996), _xlfn.XLOOKUP($A1997, 'Instrument Table'!$H:$H, 'Instrument Table'!$B:$B, $C1996)))</f>
        <v>Clarinet</v>
      </c>
      <c r="D1997" s="1" t="str">
        <f>VLOOKUP($C1997, 'Instrument Table'!$B:$C, 2, FALSE)</f>
        <v>Woodwinds</v>
      </c>
      <c r="E1997" s="1">
        <f t="shared" si="186"/>
        <v>1</v>
      </c>
      <c r="F1997" s="1">
        <f>_xlfn.XLOOKUP($C1997, 'Instrument Table'!$B:$B, 'Instrument Table'!$A:$A, "")</f>
        <v>30</v>
      </c>
      <c r="G1997" s="1" t="str">
        <f>TEXT(IF($B1997 = "Retail Item", IF((ROW($A1997) - 4504 - _xlfn.XMATCH($C1997, $C$4506:$C$5005, 0, 1)) &lt;= VLOOKUP($C1997, 'Instrument Table'!$B:$D, 3, FALSE), ROW($A1997) - 4504 - _xlfn.XMATCH($C1997, $C$4506:$C$5005, 0, 1), 0), 0), "00")</f>
        <v>00</v>
      </c>
      <c r="H1997" s="1" t="str">
        <f t="shared" si="187"/>
        <v>241</v>
      </c>
      <c r="I1997" s="1" t="str">
        <f t="shared" si="188"/>
        <v>13000-241</v>
      </c>
      <c r="J1997" s="1" t="str">
        <f t="shared" si="189"/>
        <v>Clarinet production item #241</v>
      </c>
      <c r="K1997" s="1" t="str">
        <f>IF(SUM(COUNTIFS(I:I, I1997)) &gt; 1, "DUPLICATE", "UNIQUE")</f>
        <v>UNIQUE</v>
      </c>
      <c r="L1997" s="18">
        <v>16</v>
      </c>
      <c r="M1997" s="28">
        <v>73</v>
      </c>
      <c r="N1997" s="6">
        <v>121</v>
      </c>
      <c r="O1997" s="30">
        <f t="shared" si="190"/>
        <v>1168</v>
      </c>
      <c r="P1997" s="30">
        <f t="shared" si="191"/>
        <v>8833</v>
      </c>
      <c r="Q1997" s="1">
        <f>COUNTIFS($P:$P, "&gt;" &amp; $P1997) + 1</f>
        <v>1892</v>
      </c>
      <c r="R1997" s="63">
        <f>(COUNTIFS($P:$P, "&gt;" &amp; $P1997) + 1) / (COUNTA($I:$I) - 1)</f>
        <v>0.37840000000000001</v>
      </c>
      <c r="S1997" s="23">
        <f>SUMIFS($P:$P, $Q:$Q, "&lt;" &amp; $Q1997)</f>
        <v>179092955</v>
      </c>
    </row>
    <row r="1998" spans="1:19" x14ac:dyDescent="0.25">
      <c r="A1998" s="1">
        <v>1993</v>
      </c>
      <c r="B1998" s="1" t="s">
        <v>2</v>
      </c>
      <c r="C1998" s="1" t="str">
        <f>IF($B1998 = "Production Item", _xlfn.XLOOKUP($A1998, 'Instrument Table'!$J:$J, 'Instrument Table'!$B:$B, $C1997), IF($B1998 = "Service Item", _xlfn.XLOOKUP($A1998, 'Instrument Table'!$I:$I, 'Instrument Table'!$B:$B, $C1997), _xlfn.XLOOKUP($A1998, 'Instrument Table'!$H:$H, 'Instrument Table'!$B:$B, $C1997)))</f>
        <v>Clarinet</v>
      </c>
      <c r="D1998" s="1" t="str">
        <f>VLOOKUP($C1998, 'Instrument Table'!$B:$C, 2, FALSE)</f>
        <v>Woodwinds</v>
      </c>
      <c r="E1998" s="1">
        <f t="shared" si="186"/>
        <v>1</v>
      </c>
      <c r="F1998" s="1">
        <f>_xlfn.XLOOKUP($C1998, 'Instrument Table'!$B:$B, 'Instrument Table'!$A:$A, "")</f>
        <v>30</v>
      </c>
      <c r="G1998" s="1" t="str">
        <f>TEXT(IF($B1998 = "Retail Item", IF((ROW($A1998) - 4504 - _xlfn.XMATCH($C1998, $C$4506:$C$5005, 0, 1)) &lt;= VLOOKUP($C1998, 'Instrument Table'!$B:$D, 3, FALSE), ROW($A1998) - 4504 - _xlfn.XMATCH($C1998, $C$4506:$C$5005, 0, 1), 0), 0), "00")</f>
        <v>00</v>
      </c>
      <c r="H1998" s="1" t="str">
        <f t="shared" si="187"/>
        <v>242</v>
      </c>
      <c r="I1998" s="1" t="str">
        <f t="shared" si="188"/>
        <v>13000-242</v>
      </c>
      <c r="J1998" s="1" t="str">
        <f t="shared" si="189"/>
        <v>Clarinet production item #242</v>
      </c>
      <c r="K1998" s="1" t="str">
        <f>IF(SUM(COUNTIFS(I:I, I1998)) &gt; 1, "DUPLICATE", "UNIQUE")</f>
        <v>UNIQUE</v>
      </c>
      <c r="L1998" s="18">
        <v>1</v>
      </c>
      <c r="M1998" s="28">
        <v>52</v>
      </c>
      <c r="N1998" s="6">
        <v>121</v>
      </c>
      <c r="O1998" s="30">
        <f t="shared" si="190"/>
        <v>52</v>
      </c>
      <c r="P1998" s="30">
        <f t="shared" si="191"/>
        <v>6292</v>
      </c>
      <c r="Q1998" s="1">
        <f>COUNTIFS($P:$P, "&gt;" &amp; $P1998) + 1</f>
        <v>2228</v>
      </c>
      <c r="R1998" s="63">
        <f>(COUNTIFS($P:$P, "&gt;" &amp; $P1998) + 1) / (COUNTA($I:$I) - 1)</f>
        <v>0.4456</v>
      </c>
      <c r="S1998" s="23">
        <f>SUMIFS($P:$P, $Q:$Q, "&lt;" &amp; $Q1998)</f>
        <v>181631674</v>
      </c>
    </row>
    <row r="1999" spans="1:19" x14ac:dyDescent="0.25">
      <c r="A1999" s="1">
        <v>1994</v>
      </c>
      <c r="B1999" s="1" t="s">
        <v>2</v>
      </c>
      <c r="C1999" s="1" t="str">
        <f>IF($B1999 = "Production Item", _xlfn.XLOOKUP($A1999, 'Instrument Table'!$J:$J, 'Instrument Table'!$B:$B, $C1998), IF($B1999 = "Service Item", _xlfn.XLOOKUP($A1999, 'Instrument Table'!$I:$I, 'Instrument Table'!$B:$B, $C1998), _xlfn.XLOOKUP($A1999, 'Instrument Table'!$H:$H, 'Instrument Table'!$B:$B, $C1998)))</f>
        <v>Clarinet</v>
      </c>
      <c r="D1999" s="1" t="str">
        <f>VLOOKUP($C1999, 'Instrument Table'!$B:$C, 2, FALSE)</f>
        <v>Woodwinds</v>
      </c>
      <c r="E1999" s="1">
        <f t="shared" si="186"/>
        <v>1</v>
      </c>
      <c r="F1999" s="1">
        <f>_xlfn.XLOOKUP($C1999, 'Instrument Table'!$B:$B, 'Instrument Table'!$A:$A, "")</f>
        <v>30</v>
      </c>
      <c r="G1999" s="1" t="str">
        <f>TEXT(IF($B1999 = "Retail Item", IF((ROW($A1999) - 4504 - _xlfn.XMATCH($C1999, $C$4506:$C$5005, 0, 1)) &lt;= VLOOKUP($C1999, 'Instrument Table'!$B:$D, 3, FALSE), ROW($A1999) - 4504 - _xlfn.XMATCH($C1999, $C$4506:$C$5005, 0, 1), 0), 0), "00")</f>
        <v>00</v>
      </c>
      <c r="H1999" s="1" t="str">
        <f t="shared" si="187"/>
        <v>243</v>
      </c>
      <c r="I1999" s="1" t="str">
        <f t="shared" si="188"/>
        <v>13000-243</v>
      </c>
      <c r="J1999" s="1" t="str">
        <f t="shared" si="189"/>
        <v>Clarinet production item #243</v>
      </c>
      <c r="K1999" s="1" t="str">
        <f>IF(SUM(COUNTIFS(I:I, I1999)) &gt; 1, "DUPLICATE", "UNIQUE")</f>
        <v>UNIQUE</v>
      </c>
      <c r="L1999" s="18">
        <v>0</v>
      </c>
      <c r="M1999" s="28">
        <v>80</v>
      </c>
      <c r="N1999" s="6">
        <v>144</v>
      </c>
      <c r="O1999" s="30">
        <f t="shared" si="190"/>
        <v>0</v>
      </c>
      <c r="P1999" s="30">
        <f t="shared" si="191"/>
        <v>11520</v>
      </c>
      <c r="Q1999" s="1">
        <f>COUNTIFS($P:$P, "&gt;" &amp; $P1999) + 1</f>
        <v>1634</v>
      </c>
      <c r="R1999" s="63">
        <f>(COUNTIFS($P:$P, "&gt;" &amp; $P1999) + 1) / (COUNTA($I:$I) - 1)</f>
        <v>0.32679999999999998</v>
      </c>
      <c r="S1999" s="23">
        <f>SUMIFS($P:$P, $Q:$Q, "&lt;" &amp; $Q1999)</f>
        <v>176474475</v>
      </c>
    </row>
    <row r="2000" spans="1:19" x14ac:dyDescent="0.25">
      <c r="A2000" s="1">
        <v>1995</v>
      </c>
      <c r="B2000" s="1" t="s">
        <v>2</v>
      </c>
      <c r="C2000" s="1" t="str">
        <f>IF($B2000 = "Production Item", _xlfn.XLOOKUP($A2000, 'Instrument Table'!$J:$J, 'Instrument Table'!$B:$B, $C1999), IF($B2000 = "Service Item", _xlfn.XLOOKUP($A2000, 'Instrument Table'!$I:$I, 'Instrument Table'!$B:$B, $C1999), _xlfn.XLOOKUP($A2000, 'Instrument Table'!$H:$H, 'Instrument Table'!$B:$B, $C1999)))</f>
        <v>Clarinet</v>
      </c>
      <c r="D2000" s="1" t="str">
        <f>VLOOKUP($C2000, 'Instrument Table'!$B:$C, 2, FALSE)</f>
        <v>Woodwinds</v>
      </c>
      <c r="E2000" s="1">
        <f t="shared" si="186"/>
        <v>1</v>
      </c>
      <c r="F2000" s="1">
        <f>_xlfn.XLOOKUP($C2000, 'Instrument Table'!$B:$B, 'Instrument Table'!$A:$A, "")</f>
        <v>30</v>
      </c>
      <c r="G2000" s="1" t="str">
        <f>TEXT(IF($B2000 = "Retail Item", IF((ROW($A2000) - 4504 - _xlfn.XMATCH($C2000, $C$4506:$C$5005, 0, 1)) &lt;= VLOOKUP($C2000, 'Instrument Table'!$B:$D, 3, FALSE), ROW($A2000) - 4504 - _xlfn.XMATCH($C2000, $C$4506:$C$5005, 0, 1), 0), 0), "00")</f>
        <v>00</v>
      </c>
      <c r="H2000" s="1" t="str">
        <f t="shared" si="187"/>
        <v>244</v>
      </c>
      <c r="I2000" s="1" t="str">
        <f t="shared" si="188"/>
        <v>13000-244</v>
      </c>
      <c r="J2000" s="1" t="str">
        <f t="shared" si="189"/>
        <v>Clarinet production item #244</v>
      </c>
      <c r="K2000" s="1" t="str">
        <f>IF(SUM(COUNTIFS(I:I, I2000)) &gt; 1, "DUPLICATE", "UNIQUE")</f>
        <v>UNIQUE</v>
      </c>
      <c r="L2000" s="18">
        <v>32</v>
      </c>
      <c r="M2000" s="28">
        <v>84</v>
      </c>
      <c r="N2000" s="6">
        <v>169</v>
      </c>
      <c r="O2000" s="30">
        <f t="shared" si="190"/>
        <v>2688</v>
      </c>
      <c r="P2000" s="30">
        <f t="shared" si="191"/>
        <v>14196</v>
      </c>
      <c r="Q2000" s="1">
        <f>COUNTIFS($P:$P, "&gt;" &amp; $P2000) + 1</f>
        <v>1403</v>
      </c>
      <c r="R2000" s="63">
        <f>(COUNTIFS($P:$P, "&gt;" &amp; $P2000) + 1) / (COUNTA($I:$I) - 1)</f>
        <v>0.28060000000000002</v>
      </c>
      <c r="S2000" s="23">
        <f>SUMIFS($P:$P, $Q:$Q, "&lt;" &amp; $Q2000)</f>
        <v>173518717</v>
      </c>
    </row>
    <row r="2001" spans="1:19" x14ac:dyDescent="0.25">
      <c r="A2001" s="1">
        <v>1996</v>
      </c>
      <c r="B2001" s="1" t="s">
        <v>2</v>
      </c>
      <c r="C2001" s="1" t="str">
        <f>IF($B2001 = "Production Item", _xlfn.XLOOKUP($A2001, 'Instrument Table'!$J:$J, 'Instrument Table'!$B:$B, $C2000), IF($B2001 = "Service Item", _xlfn.XLOOKUP($A2001, 'Instrument Table'!$I:$I, 'Instrument Table'!$B:$B, $C2000), _xlfn.XLOOKUP($A2001, 'Instrument Table'!$H:$H, 'Instrument Table'!$B:$B, $C2000)))</f>
        <v>Clarinet</v>
      </c>
      <c r="D2001" s="1" t="str">
        <f>VLOOKUP($C2001, 'Instrument Table'!$B:$C, 2, FALSE)</f>
        <v>Woodwinds</v>
      </c>
      <c r="E2001" s="1">
        <f t="shared" si="186"/>
        <v>1</v>
      </c>
      <c r="F2001" s="1">
        <f>_xlfn.XLOOKUP($C2001, 'Instrument Table'!$B:$B, 'Instrument Table'!$A:$A, "")</f>
        <v>30</v>
      </c>
      <c r="G2001" s="1" t="str">
        <f>TEXT(IF($B2001 = "Retail Item", IF((ROW($A2001) - 4504 - _xlfn.XMATCH($C2001, $C$4506:$C$5005, 0, 1)) &lt;= VLOOKUP($C2001, 'Instrument Table'!$B:$D, 3, FALSE), ROW($A2001) - 4504 - _xlfn.XMATCH($C2001, $C$4506:$C$5005, 0, 1), 0), 0), "00")</f>
        <v>00</v>
      </c>
      <c r="H2001" s="1" t="str">
        <f t="shared" si="187"/>
        <v>245</v>
      </c>
      <c r="I2001" s="1" t="str">
        <f t="shared" si="188"/>
        <v>13000-245</v>
      </c>
      <c r="J2001" s="1" t="str">
        <f t="shared" si="189"/>
        <v>Clarinet production item #245</v>
      </c>
      <c r="K2001" s="1" t="str">
        <f>IF(SUM(COUNTIFS(I:I, I2001)) &gt; 1, "DUPLICATE", "UNIQUE")</f>
        <v>UNIQUE</v>
      </c>
      <c r="L2001" s="18">
        <v>2</v>
      </c>
      <c r="M2001" s="28">
        <v>7</v>
      </c>
      <c r="N2001" s="6">
        <v>36</v>
      </c>
      <c r="O2001" s="30">
        <f t="shared" si="190"/>
        <v>14</v>
      </c>
      <c r="P2001" s="30">
        <f t="shared" si="191"/>
        <v>252</v>
      </c>
      <c r="Q2001" s="1">
        <f>COUNTIFS($P:$P, "&gt;" &amp; $P2001) + 1</f>
        <v>4269</v>
      </c>
      <c r="R2001" s="63">
        <f>(COUNTIFS($P:$P, "&gt;" &amp; $P2001) + 1) / (COUNTA($I:$I) - 1)</f>
        <v>0.8538</v>
      </c>
      <c r="S2001" s="23">
        <f>SUMIFS($P:$P, $Q:$Q, "&lt;" &amp; $Q2001)</f>
        <v>186500011</v>
      </c>
    </row>
    <row r="2002" spans="1:19" x14ac:dyDescent="0.25">
      <c r="A2002" s="1">
        <v>1997</v>
      </c>
      <c r="B2002" s="1" t="s">
        <v>2</v>
      </c>
      <c r="C2002" s="1" t="str">
        <f>IF($B2002 = "Production Item", _xlfn.XLOOKUP($A2002, 'Instrument Table'!$J:$J, 'Instrument Table'!$B:$B, $C2001), IF($B2002 = "Service Item", _xlfn.XLOOKUP($A2002, 'Instrument Table'!$I:$I, 'Instrument Table'!$B:$B, $C2001), _xlfn.XLOOKUP($A2002, 'Instrument Table'!$H:$H, 'Instrument Table'!$B:$B, $C2001)))</f>
        <v>Clarinet</v>
      </c>
      <c r="D2002" s="1" t="str">
        <f>VLOOKUP($C2002, 'Instrument Table'!$B:$C, 2, FALSE)</f>
        <v>Woodwinds</v>
      </c>
      <c r="E2002" s="1">
        <f t="shared" si="186"/>
        <v>1</v>
      </c>
      <c r="F2002" s="1">
        <f>_xlfn.XLOOKUP($C2002, 'Instrument Table'!$B:$B, 'Instrument Table'!$A:$A, "")</f>
        <v>30</v>
      </c>
      <c r="G2002" s="1" t="str">
        <f>TEXT(IF($B2002 = "Retail Item", IF((ROW($A2002) - 4504 - _xlfn.XMATCH($C2002, $C$4506:$C$5005, 0, 1)) &lt;= VLOOKUP($C2002, 'Instrument Table'!$B:$D, 3, FALSE), ROW($A2002) - 4504 - _xlfn.XMATCH($C2002, $C$4506:$C$5005, 0, 1), 0), 0), "00")</f>
        <v>00</v>
      </c>
      <c r="H2002" s="1" t="str">
        <f t="shared" si="187"/>
        <v>246</v>
      </c>
      <c r="I2002" s="1" t="str">
        <f t="shared" si="188"/>
        <v>13000-246</v>
      </c>
      <c r="J2002" s="1" t="str">
        <f t="shared" si="189"/>
        <v>Clarinet production item #246</v>
      </c>
      <c r="K2002" s="1" t="str">
        <f>IF(SUM(COUNTIFS(I:I, I2002)) &gt; 1, "DUPLICATE", "UNIQUE")</f>
        <v>UNIQUE</v>
      </c>
      <c r="L2002" s="18">
        <v>8</v>
      </c>
      <c r="M2002" s="28">
        <v>97</v>
      </c>
      <c r="N2002" s="6">
        <v>64</v>
      </c>
      <c r="O2002" s="30">
        <f t="shared" si="190"/>
        <v>776</v>
      </c>
      <c r="P2002" s="30">
        <f t="shared" si="191"/>
        <v>6208</v>
      </c>
      <c r="Q2002" s="1">
        <f>COUNTIFS($P:$P, "&gt;" &amp; $P2002) + 1</f>
        <v>2233</v>
      </c>
      <c r="R2002" s="63">
        <f>(COUNTIFS($P:$P, "&gt;" &amp; $P2002) + 1) / (COUNTA($I:$I) - 1)</f>
        <v>0.4466</v>
      </c>
      <c r="S2002" s="23">
        <f>SUMIFS($P:$P, $Q:$Q, "&lt;" &amp; $Q2002)</f>
        <v>181662903</v>
      </c>
    </row>
    <row r="2003" spans="1:19" x14ac:dyDescent="0.25">
      <c r="A2003" s="1">
        <v>1998</v>
      </c>
      <c r="B2003" s="1" t="s">
        <v>2</v>
      </c>
      <c r="C2003" s="1" t="str">
        <f>IF($B2003 = "Production Item", _xlfn.XLOOKUP($A2003, 'Instrument Table'!$J:$J, 'Instrument Table'!$B:$B, $C2002), IF($B2003 = "Service Item", _xlfn.XLOOKUP($A2003, 'Instrument Table'!$I:$I, 'Instrument Table'!$B:$B, $C2002), _xlfn.XLOOKUP($A2003, 'Instrument Table'!$H:$H, 'Instrument Table'!$B:$B, $C2002)))</f>
        <v>Clarinet</v>
      </c>
      <c r="D2003" s="1" t="str">
        <f>VLOOKUP($C2003, 'Instrument Table'!$B:$C, 2, FALSE)</f>
        <v>Woodwinds</v>
      </c>
      <c r="E2003" s="1">
        <f t="shared" si="186"/>
        <v>1</v>
      </c>
      <c r="F2003" s="1">
        <f>_xlfn.XLOOKUP($C2003, 'Instrument Table'!$B:$B, 'Instrument Table'!$A:$A, "")</f>
        <v>30</v>
      </c>
      <c r="G2003" s="1" t="str">
        <f>TEXT(IF($B2003 = "Retail Item", IF((ROW($A2003) - 4504 - _xlfn.XMATCH($C2003, $C$4506:$C$5005, 0, 1)) &lt;= VLOOKUP($C2003, 'Instrument Table'!$B:$D, 3, FALSE), ROW($A2003) - 4504 - _xlfn.XMATCH($C2003, $C$4506:$C$5005, 0, 1), 0), 0), "00")</f>
        <v>00</v>
      </c>
      <c r="H2003" s="1" t="str">
        <f t="shared" si="187"/>
        <v>247</v>
      </c>
      <c r="I2003" s="1" t="str">
        <f t="shared" si="188"/>
        <v>13000-247</v>
      </c>
      <c r="J2003" s="1" t="str">
        <f t="shared" si="189"/>
        <v>Clarinet production item #247</v>
      </c>
      <c r="K2003" s="1" t="str">
        <f>IF(SUM(COUNTIFS(I:I, I2003)) &gt; 1, "DUPLICATE", "UNIQUE")</f>
        <v>UNIQUE</v>
      </c>
      <c r="L2003" s="18">
        <v>0</v>
      </c>
      <c r="M2003" s="28">
        <v>83</v>
      </c>
      <c r="N2003" s="6">
        <v>144</v>
      </c>
      <c r="O2003" s="30">
        <f t="shared" si="190"/>
        <v>0</v>
      </c>
      <c r="P2003" s="30">
        <f t="shared" si="191"/>
        <v>11952</v>
      </c>
      <c r="Q2003" s="1">
        <f>COUNTIFS($P:$P, "&gt;" &amp; $P2003) + 1</f>
        <v>1588</v>
      </c>
      <c r="R2003" s="63">
        <f>(COUNTIFS($P:$P, "&gt;" &amp; $P2003) + 1) / (COUNTA($I:$I) - 1)</f>
        <v>0.31759999999999999</v>
      </c>
      <c r="S2003" s="23">
        <f>SUMIFS($P:$P, $Q:$Q, "&lt;" &amp; $Q2003)</f>
        <v>175936250</v>
      </c>
    </row>
    <row r="2004" spans="1:19" x14ac:dyDescent="0.25">
      <c r="A2004" s="1">
        <v>1999</v>
      </c>
      <c r="B2004" s="1" t="s">
        <v>2</v>
      </c>
      <c r="C2004" s="1" t="str">
        <f>IF($B2004 = "Production Item", _xlfn.XLOOKUP($A2004, 'Instrument Table'!$J:$J, 'Instrument Table'!$B:$B, $C2003), IF($B2004 = "Service Item", _xlfn.XLOOKUP($A2004, 'Instrument Table'!$I:$I, 'Instrument Table'!$B:$B, $C2003), _xlfn.XLOOKUP($A2004, 'Instrument Table'!$H:$H, 'Instrument Table'!$B:$B, $C2003)))</f>
        <v>Clarinet</v>
      </c>
      <c r="D2004" s="1" t="str">
        <f>VLOOKUP($C2004, 'Instrument Table'!$B:$C, 2, FALSE)</f>
        <v>Woodwinds</v>
      </c>
      <c r="E2004" s="1">
        <f t="shared" si="186"/>
        <v>1</v>
      </c>
      <c r="F2004" s="1">
        <f>_xlfn.XLOOKUP($C2004, 'Instrument Table'!$B:$B, 'Instrument Table'!$A:$A, "")</f>
        <v>30</v>
      </c>
      <c r="G2004" s="1" t="str">
        <f>TEXT(IF($B2004 = "Retail Item", IF((ROW($A2004) - 4504 - _xlfn.XMATCH($C2004, $C$4506:$C$5005, 0, 1)) &lt;= VLOOKUP($C2004, 'Instrument Table'!$B:$D, 3, FALSE), ROW($A2004) - 4504 - _xlfn.XMATCH($C2004, $C$4506:$C$5005, 0, 1), 0), 0), "00")</f>
        <v>00</v>
      </c>
      <c r="H2004" s="1" t="str">
        <f t="shared" si="187"/>
        <v>248</v>
      </c>
      <c r="I2004" s="1" t="str">
        <f t="shared" si="188"/>
        <v>13000-248</v>
      </c>
      <c r="J2004" s="1" t="str">
        <f t="shared" si="189"/>
        <v>Clarinet production item #248</v>
      </c>
      <c r="K2004" s="1" t="str">
        <f>IF(SUM(COUNTIFS(I:I, I2004)) &gt; 1, "DUPLICATE", "UNIQUE")</f>
        <v>UNIQUE</v>
      </c>
      <c r="L2004" s="18">
        <v>1</v>
      </c>
      <c r="M2004" s="28">
        <v>47</v>
      </c>
      <c r="N2004" s="6">
        <v>25</v>
      </c>
      <c r="O2004" s="30">
        <f t="shared" si="190"/>
        <v>47</v>
      </c>
      <c r="P2004" s="30">
        <f t="shared" si="191"/>
        <v>1175</v>
      </c>
      <c r="Q2004" s="1">
        <f>COUNTIFS($P:$P, "&gt;" &amp; $P2004) + 1</f>
        <v>3617</v>
      </c>
      <c r="R2004" s="63">
        <f>(COUNTIFS($P:$P, "&gt;" &amp; $P2004) + 1) / (COUNTA($I:$I) - 1)</f>
        <v>0.72340000000000004</v>
      </c>
      <c r="S2004" s="23">
        <f>SUMIFS($P:$P, $Q:$Q, "&lt;" &amp; $Q2004)</f>
        <v>186090194</v>
      </c>
    </row>
    <row r="2005" spans="1:19" x14ac:dyDescent="0.25">
      <c r="A2005" s="1">
        <v>2000</v>
      </c>
      <c r="B2005" s="1" t="s">
        <v>2</v>
      </c>
      <c r="C2005" s="1" t="str">
        <f>IF($B2005 = "Production Item", _xlfn.XLOOKUP($A2005, 'Instrument Table'!$J:$J, 'Instrument Table'!$B:$B, $C2004), IF($B2005 = "Service Item", _xlfn.XLOOKUP($A2005, 'Instrument Table'!$I:$I, 'Instrument Table'!$B:$B, $C2004), _xlfn.XLOOKUP($A2005, 'Instrument Table'!$H:$H, 'Instrument Table'!$B:$B, $C2004)))</f>
        <v>Clarinet</v>
      </c>
      <c r="D2005" s="1" t="str">
        <f>VLOOKUP($C2005, 'Instrument Table'!$B:$C, 2, FALSE)</f>
        <v>Woodwinds</v>
      </c>
      <c r="E2005" s="1">
        <f t="shared" si="186"/>
        <v>1</v>
      </c>
      <c r="F2005" s="1">
        <f>_xlfn.XLOOKUP($C2005, 'Instrument Table'!$B:$B, 'Instrument Table'!$A:$A, "")</f>
        <v>30</v>
      </c>
      <c r="G2005" s="1" t="str">
        <f>TEXT(IF($B2005 = "Retail Item", IF((ROW($A2005) - 4504 - _xlfn.XMATCH($C2005, $C$4506:$C$5005, 0, 1)) &lt;= VLOOKUP($C2005, 'Instrument Table'!$B:$D, 3, FALSE), ROW($A2005) - 4504 - _xlfn.XMATCH($C2005, $C$4506:$C$5005, 0, 1), 0), 0), "00")</f>
        <v>00</v>
      </c>
      <c r="H2005" s="1" t="str">
        <f t="shared" si="187"/>
        <v>249</v>
      </c>
      <c r="I2005" s="1" t="str">
        <f t="shared" si="188"/>
        <v>13000-249</v>
      </c>
      <c r="J2005" s="1" t="str">
        <f t="shared" si="189"/>
        <v>Clarinet production item #249</v>
      </c>
      <c r="K2005" s="1" t="str">
        <f>IF(SUM(COUNTIFS(I:I, I2005)) &gt; 1, "DUPLICATE", "UNIQUE")</f>
        <v>UNIQUE</v>
      </c>
      <c r="L2005" s="18">
        <v>0</v>
      </c>
      <c r="M2005" s="28">
        <v>32</v>
      </c>
      <c r="N2005" s="6">
        <v>289</v>
      </c>
      <c r="O2005" s="30">
        <f t="shared" si="190"/>
        <v>0</v>
      </c>
      <c r="P2005" s="30">
        <f t="shared" si="191"/>
        <v>9248</v>
      </c>
      <c r="Q2005" s="1">
        <f>COUNTIFS($P:$P, "&gt;" &amp; $P2005) + 1</f>
        <v>1843</v>
      </c>
      <c r="R2005" s="63">
        <f>(COUNTIFS($P:$P, "&gt;" &amp; $P2005) + 1) / (COUNTA($I:$I) - 1)</f>
        <v>0.36859999999999998</v>
      </c>
      <c r="S2005" s="23">
        <f>SUMIFS($P:$P, $Q:$Q, "&lt;" &amp; $Q2005)</f>
        <v>178649134</v>
      </c>
    </row>
    <row r="2006" spans="1:19" x14ac:dyDescent="0.25">
      <c r="A2006" s="1">
        <v>2001</v>
      </c>
      <c r="B2006" s="1" t="s">
        <v>2</v>
      </c>
      <c r="C2006" s="1" t="str">
        <f>IF($B2006 = "Production Item", _xlfn.XLOOKUP($A2006, 'Instrument Table'!$J:$J, 'Instrument Table'!$B:$B, $C2005), IF($B2006 = "Service Item", _xlfn.XLOOKUP($A2006, 'Instrument Table'!$I:$I, 'Instrument Table'!$B:$B, $C2005), _xlfn.XLOOKUP($A2006, 'Instrument Table'!$H:$H, 'Instrument Table'!$B:$B, $C2005)))</f>
        <v>Clarinet</v>
      </c>
      <c r="D2006" s="1" t="str">
        <f>VLOOKUP($C2006, 'Instrument Table'!$B:$C, 2, FALSE)</f>
        <v>Woodwinds</v>
      </c>
      <c r="E2006" s="1">
        <f t="shared" si="186"/>
        <v>1</v>
      </c>
      <c r="F2006" s="1">
        <f>_xlfn.XLOOKUP($C2006, 'Instrument Table'!$B:$B, 'Instrument Table'!$A:$A, "")</f>
        <v>30</v>
      </c>
      <c r="G2006" s="1" t="str">
        <f>TEXT(IF($B2006 = "Retail Item", IF((ROW($A2006) - 4504 - _xlfn.XMATCH($C2006, $C$4506:$C$5005, 0, 1)) &lt;= VLOOKUP($C2006, 'Instrument Table'!$B:$D, 3, FALSE), ROW($A2006) - 4504 - _xlfn.XMATCH($C2006, $C$4506:$C$5005, 0, 1), 0), 0), "00")</f>
        <v>00</v>
      </c>
      <c r="H2006" s="1" t="str">
        <f t="shared" si="187"/>
        <v>250</v>
      </c>
      <c r="I2006" s="1" t="str">
        <f t="shared" si="188"/>
        <v>13000-250</v>
      </c>
      <c r="J2006" s="1" t="str">
        <f t="shared" si="189"/>
        <v>Clarinet production item #250</v>
      </c>
      <c r="K2006" s="1" t="str">
        <f>IF(SUM(COUNTIFS(I:I, I2006)) &gt; 1, "DUPLICATE", "UNIQUE")</f>
        <v>UNIQUE</v>
      </c>
      <c r="L2006" s="18">
        <v>1</v>
      </c>
      <c r="M2006" s="28">
        <v>33</v>
      </c>
      <c r="N2006" s="6">
        <v>289</v>
      </c>
      <c r="O2006" s="30">
        <f t="shared" si="190"/>
        <v>33</v>
      </c>
      <c r="P2006" s="30">
        <f t="shared" si="191"/>
        <v>9537</v>
      </c>
      <c r="Q2006" s="1">
        <f>COUNTIFS($P:$P, "&gt;" &amp; $P2006) + 1</f>
        <v>1811</v>
      </c>
      <c r="R2006" s="63">
        <f>(COUNTIFS($P:$P, "&gt;" &amp; $P2006) + 1) / (COUNTA($I:$I) - 1)</f>
        <v>0.36220000000000002</v>
      </c>
      <c r="S2006" s="23">
        <f>SUMIFS($P:$P, $Q:$Q, "&lt;" &amp; $Q2006)</f>
        <v>178347238</v>
      </c>
    </row>
    <row r="2007" spans="1:19" x14ac:dyDescent="0.25">
      <c r="A2007" s="1">
        <v>2002</v>
      </c>
      <c r="B2007" s="1" t="s">
        <v>2</v>
      </c>
      <c r="C2007" s="1" t="str">
        <f>IF($B2007 = "Production Item", _xlfn.XLOOKUP($A2007, 'Instrument Table'!$J:$J, 'Instrument Table'!$B:$B, $C2006), IF($B2007 = "Service Item", _xlfn.XLOOKUP($A2007, 'Instrument Table'!$I:$I, 'Instrument Table'!$B:$B, $C2006), _xlfn.XLOOKUP($A2007, 'Instrument Table'!$H:$H, 'Instrument Table'!$B:$B, $C2006)))</f>
        <v>Clarinet</v>
      </c>
      <c r="D2007" s="1" t="str">
        <f>VLOOKUP($C2007, 'Instrument Table'!$B:$C, 2, FALSE)</f>
        <v>Woodwinds</v>
      </c>
      <c r="E2007" s="1">
        <f t="shared" si="186"/>
        <v>1</v>
      </c>
      <c r="F2007" s="1">
        <f>_xlfn.XLOOKUP($C2007, 'Instrument Table'!$B:$B, 'Instrument Table'!$A:$A, "")</f>
        <v>30</v>
      </c>
      <c r="G2007" s="1" t="str">
        <f>TEXT(IF($B2007 = "Retail Item", IF((ROW($A2007) - 4504 - _xlfn.XMATCH($C2007, $C$4506:$C$5005, 0, 1)) &lt;= VLOOKUP($C2007, 'Instrument Table'!$B:$D, 3, FALSE), ROW($A2007) - 4504 - _xlfn.XMATCH($C2007, $C$4506:$C$5005, 0, 1), 0), 0), "00")</f>
        <v>00</v>
      </c>
      <c r="H2007" s="1" t="str">
        <f t="shared" si="187"/>
        <v>251</v>
      </c>
      <c r="I2007" s="1" t="str">
        <f t="shared" si="188"/>
        <v>13000-251</v>
      </c>
      <c r="J2007" s="1" t="str">
        <f t="shared" si="189"/>
        <v>Clarinet production item #251</v>
      </c>
      <c r="K2007" s="1" t="str">
        <f>IF(SUM(COUNTIFS(I:I, I2007)) &gt; 1, "DUPLICATE", "UNIQUE")</f>
        <v>UNIQUE</v>
      </c>
      <c r="L2007" s="18">
        <v>2</v>
      </c>
      <c r="M2007" s="28">
        <v>39</v>
      </c>
      <c r="N2007" s="6">
        <v>169</v>
      </c>
      <c r="O2007" s="30">
        <f t="shared" si="190"/>
        <v>78</v>
      </c>
      <c r="P2007" s="30">
        <f t="shared" si="191"/>
        <v>6591</v>
      </c>
      <c r="Q2007" s="1">
        <f>COUNTIFS($P:$P, "&gt;" &amp; $P2007) + 1</f>
        <v>2198</v>
      </c>
      <c r="R2007" s="63">
        <f>(COUNTIFS($P:$P, "&gt;" &amp; $P2007) + 1) / (COUNTA($I:$I) - 1)</f>
        <v>0.43959999999999999</v>
      </c>
      <c r="S2007" s="23">
        <f>SUMIFS($P:$P, $Q:$Q, "&lt;" &amp; $Q2007)</f>
        <v>181438279</v>
      </c>
    </row>
    <row r="2008" spans="1:19" x14ac:dyDescent="0.25">
      <c r="A2008" s="1">
        <v>2003</v>
      </c>
      <c r="B2008" s="1" t="s">
        <v>2</v>
      </c>
      <c r="C2008" s="1" t="str">
        <f>IF($B2008 = "Production Item", _xlfn.XLOOKUP($A2008, 'Instrument Table'!$J:$J, 'Instrument Table'!$B:$B, $C2007), IF($B2008 = "Service Item", _xlfn.XLOOKUP($A2008, 'Instrument Table'!$I:$I, 'Instrument Table'!$B:$B, $C2007), _xlfn.XLOOKUP($A2008, 'Instrument Table'!$H:$H, 'Instrument Table'!$B:$B, $C2007)))</f>
        <v>Clarinet</v>
      </c>
      <c r="D2008" s="1" t="str">
        <f>VLOOKUP($C2008, 'Instrument Table'!$B:$C, 2, FALSE)</f>
        <v>Woodwinds</v>
      </c>
      <c r="E2008" s="1">
        <f t="shared" si="186"/>
        <v>1</v>
      </c>
      <c r="F2008" s="1">
        <f>_xlfn.XLOOKUP($C2008, 'Instrument Table'!$B:$B, 'Instrument Table'!$A:$A, "")</f>
        <v>30</v>
      </c>
      <c r="G2008" s="1" t="str">
        <f>TEXT(IF($B2008 = "Retail Item", IF((ROW($A2008) - 4504 - _xlfn.XMATCH($C2008, $C$4506:$C$5005, 0, 1)) &lt;= VLOOKUP($C2008, 'Instrument Table'!$B:$D, 3, FALSE), ROW($A2008) - 4504 - _xlfn.XMATCH($C2008, $C$4506:$C$5005, 0, 1), 0), 0), "00")</f>
        <v>00</v>
      </c>
      <c r="H2008" s="1" t="str">
        <f t="shared" si="187"/>
        <v>252</v>
      </c>
      <c r="I2008" s="1" t="str">
        <f t="shared" si="188"/>
        <v>13000-252</v>
      </c>
      <c r="J2008" s="1" t="str">
        <f t="shared" si="189"/>
        <v>Clarinet production item #252</v>
      </c>
      <c r="K2008" s="1" t="str">
        <f>IF(SUM(COUNTIFS(I:I, I2008)) &gt; 1, "DUPLICATE", "UNIQUE")</f>
        <v>UNIQUE</v>
      </c>
      <c r="L2008" s="18">
        <v>1</v>
      </c>
      <c r="M2008" s="28">
        <v>8</v>
      </c>
      <c r="N2008" s="6">
        <v>100</v>
      </c>
      <c r="O2008" s="30">
        <f t="shared" si="190"/>
        <v>8</v>
      </c>
      <c r="P2008" s="30">
        <f t="shared" si="191"/>
        <v>800</v>
      </c>
      <c r="Q2008" s="1">
        <f>COUNTIFS($P:$P, "&gt;" &amp; $P2008) + 1</f>
        <v>3790</v>
      </c>
      <c r="R2008" s="63">
        <f>(COUNTIFS($P:$P, "&gt;" &amp; $P2008) + 1) / (COUNTA($I:$I) - 1)</f>
        <v>0.75800000000000001</v>
      </c>
      <c r="S2008" s="23">
        <f>SUMIFS($P:$P, $Q:$Q, "&lt;" &amp; $Q2008)</f>
        <v>186257682</v>
      </c>
    </row>
    <row r="2009" spans="1:19" x14ac:dyDescent="0.25">
      <c r="A2009" s="1">
        <v>2004</v>
      </c>
      <c r="B2009" s="1" t="s">
        <v>2</v>
      </c>
      <c r="C2009" s="1" t="str">
        <f>IF($B2009 = "Production Item", _xlfn.XLOOKUP($A2009, 'Instrument Table'!$J:$J, 'Instrument Table'!$B:$B, $C2008), IF($B2009 = "Service Item", _xlfn.XLOOKUP($A2009, 'Instrument Table'!$I:$I, 'Instrument Table'!$B:$B, $C2008), _xlfn.XLOOKUP($A2009, 'Instrument Table'!$H:$H, 'Instrument Table'!$B:$B, $C2008)))</f>
        <v>Clarinet</v>
      </c>
      <c r="D2009" s="1" t="str">
        <f>VLOOKUP($C2009, 'Instrument Table'!$B:$C, 2, FALSE)</f>
        <v>Woodwinds</v>
      </c>
      <c r="E2009" s="1">
        <f t="shared" si="186"/>
        <v>1</v>
      </c>
      <c r="F2009" s="1">
        <f>_xlfn.XLOOKUP($C2009, 'Instrument Table'!$B:$B, 'Instrument Table'!$A:$A, "")</f>
        <v>30</v>
      </c>
      <c r="G2009" s="1" t="str">
        <f>TEXT(IF($B2009 = "Retail Item", IF((ROW($A2009) - 4504 - _xlfn.XMATCH($C2009, $C$4506:$C$5005, 0, 1)) &lt;= VLOOKUP($C2009, 'Instrument Table'!$B:$D, 3, FALSE), ROW($A2009) - 4504 - _xlfn.XMATCH($C2009, $C$4506:$C$5005, 0, 1), 0), 0), "00")</f>
        <v>00</v>
      </c>
      <c r="H2009" s="1" t="str">
        <f t="shared" si="187"/>
        <v>253</v>
      </c>
      <c r="I2009" s="1" t="str">
        <f t="shared" si="188"/>
        <v>13000-253</v>
      </c>
      <c r="J2009" s="1" t="str">
        <f t="shared" si="189"/>
        <v>Clarinet production item #253</v>
      </c>
      <c r="K2009" s="1" t="str">
        <f>IF(SUM(COUNTIFS(I:I, I2009)) &gt; 1, "DUPLICATE", "UNIQUE")</f>
        <v>UNIQUE</v>
      </c>
      <c r="L2009" s="18">
        <v>2</v>
      </c>
      <c r="M2009" s="28">
        <v>74</v>
      </c>
      <c r="N2009" s="6">
        <v>100</v>
      </c>
      <c r="O2009" s="30">
        <f t="shared" si="190"/>
        <v>148</v>
      </c>
      <c r="P2009" s="30">
        <f t="shared" si="191"/>
        <v>7400</v>
      </c>
      <c r="Q2009" s="1">
        <f>COUNTIFS($P:$P, "&gt;" &amp; $P2009) + 1</f>
        <v>2082</v>
      </c>
      <c r="R2009" s="63">
        <f>(COUNTIFS($P:$P, "&gt;" &amp; $P2009) + 1) / (COUNTA($I:$I) - 1)</f>
        <v>0.41639999999999999</v>
      </c>
      <c r="S2009" s="23">
        <f>SUMIFS($P:$P, $Q:$Q, "&lt;" &amp; $Q2009)</f>
        <v>180626249</v>
      </c>
    </row>
    <row r="2010" spans="1:19" x14ac:dyDescent="0.25">
      <c r="A2010" s="1">
        <v>2005</v>
      </c>
      <c r="B2010" s="1" t="s">
        <v>2</v>
      </c>
      <c r="C2010" s="1" t="str">
        <f>IF($B2010 = "Production Item", _xlfn.XLOOKUP($A2010, 'Instrument Table'!$J:$J, 'Instrument Table'!$B:$B, $C2009), IF($B2010 = "Service Item", _xlfn.XLOOKUP($A2010, 'Instrument Table'!$I:$I, 'Instrument Table'!$B:$B, $C2009), _xlfn.XLOOKUP($A2010, 'Instrument Table'!$H:$H, 'Instrument Table'!$B:$B, $C2009)))</f>
        <v>Clarinet</v>
      </c>
      <c r="D2010" s="1" t="str">
        <f>VLOOKUP($C2010, 'Instrument Table'!$B:$C, 2, FALSE)</f>
        <v>Woodwinds</v>
      </c>
      <c r="E2010" s="1">
        <f t="shared" si="186"/>
        <v>1</v>
      </c>
      <c r="F2010" s="1">
        <f>_xlfn.XLOOKUP($C2010, 'Instrument Table'!$B:$B, 'Instrument Table'!$A:$A, "")</f>
        <v>30</v>
      </c>
      <c r="G2010" s="1" t="str">
        <f>TEXT(IF($B2010 = "Retail Item", IF((ROW($A2010) - 4504 - _xlfn.XMATCH($C2010, $C$4506:$C$5005, 0, 1)) &lt;= VLOOKUP($C2010, 'Instrument Table'!$B:$D, 3, FALSE), ROW($A2010) - 4504 - _xlfn.XMATCH($C2010, $C$4506:$C$5005, 0, 1), 0), 0), "00")</f>
        <v>00</v>
      </c>
      <c r="H2010" s="1" t="str">
        <f t="shared" si="187"/>
        <v>254</v>
      </c>
      <c r="I2010" s="1" t="str">
        <f t="shared" si="188"/>
        <v>13000-254</v>
      </c>
      <c r="J2010" s="1" t="str">
        <f t="shared" si="189"/>
        <v>Clarinet production item #254</v>
      </c>
      <c r="K2010" s="1" t="str">
        <f>IF(SUM(COUNTIFS(I:I, I2010)) &gt; 1, "DUPLICATE", "UNIQUE")</f>
        <v>UNIQUE</v>
      </c>
      <c r="L2010" s="18">
        <v>1</v>
      </c>
      <c r="M2010" s="28">
        <v>91</v>
      </c>
      <c r="N2010" s="6">
        <v>144</v>
      </c>
      <c r="O2010" s="30">
        <f t="shared" si="190"/>
        <v>91</v>
      </c>
      <c r="P2010" s="30">
        <f t="shared" si="191"/>
        <v>13104</v>
      </c>
      <c r="Q2010" s="1">
        <f>COUNTIFS($P:$P, "&gt;" &amp; $P2010) + 1</f>
        <v>1493</v>
      </c>
      <c r="R2010" s="63">
        <f>(COUNTIFS($P:$P, "&gt;" &amp; $P2010) + 1) / (COUNTA($I:$I) - 1)</f>
        <v>0.29859999999999998</v>
      </c>
      <c r="S2010" s="23">
        <f>SUMIFS($P:$P, $Q:$Q, "&lt;" &amp; $Q2010)</f>
        <v>174748501</v>
      </c>
    </row>
    <row r="2011" spans="1:19" x14ac:dyDescent="0.25">
      <c r="A2011" s="1">
        <v>2006</v>
      </c>
      <c r="B2011" s="1" t="s">
        <v>2</v>
      </c>
      <c r="C2011" s="1" t="str">
        <f>IF($B2011 = "Production Item", _xlfn.XLOOKUP($A2011, 'Instrument Table'!$J:$J, 'Instrument Table'!$B:$B, $C2010), IF($B2011 = "Service Item", _xlfn.XLOOKUP($A2011, 'Instrument Table'!$I:$I, 'Instrument Table'!$B:$B, $C2010), _xlfn.XLOOKUP($A2011, 'Instrument Table'!$H:$H, 'Instrument Table'!$B:$B, $C2010)))</f>
        <v>Clarinet</v>
      </c>
      <c r="D2011" s="1" t="str">
        <f>VLOOKUP($C2011, 'Instrument Table'!$B:$C, 2, FALSE)</f>
        <v>Woodwinds</v>
      </c>
      <c r="E2011" s="1">
        <f t="shared" si="186"/>
        <v>1</v>
      </c>
      <c r="F2011" s="1">
        <f>_xlfn.XLOOKUP($C2011, 'Instrument Table'!$B:$B, 'Instrument Table'!$A:$A, "")</f>
        <v>30</v>
      </c>
      <c r="G2011" s="1" t="str">
        <f>TEXT(IF($B2011 = "Retail Item", IF((ROW($A2011) - 4504 - _xlfn.XMATCH($C2011, $C$4506:$C$5005, 0, 1)) &lt;= VLOOKUP($C2011, 'Instrument Table'!$B:$D, 3, FALSE), ROW($A2011) - 4504 - _xlfn.XMATCH($C2011, $C$4506:$C$5005, 0, 1), 0), 0), "00")</f>
        <v>00</v>
      </c>
      <c r="H2011" s="1" t="str">
        <f t="shared" si="187"/>
        <v>255</v>
      </c>
      <c r="I2011" s="1" t="str">
        <f t="shared" si="188"/>
        <v>13000-255</v>
      </c>
      <c r="J2011" s="1" t="str">
        <f t="shared" si="189"/>
        <v>Clarinet production item #255</v>
      </c>
      <c r="K2011" s="1" t="str">
        <f>IF(SUM(COUNTIFS(I:I, I2011)) &gt; 1, "DUPLICATE", "UNIQUE")</f>
        <v>UNIQUE</v>
      </c>
      <c r="L2011" s="18">
        <v>1</v>
      </c>
      <c r="M2011" s="28">
        <v>36</v>
      </c>
      <c r="N2011" s="6">
        <v>324</v>
      </c>
      <c r="O2011" s="30">
        <f t="shared" si="190"/>
        <v>36</v>
      </c>
      <c r="P2011" s="30">
        <f t="shared" si="191"/>
        <v>11664</v>
      </c>
      <c r="Q2011" s="1">
        <f>COUNTIFS($P:$P, "&gt;" &amp; $P2011) + 1</f>
        <v>1607</v>
      </c>
      <c r="R2011" s="63">
        <f>(COUNTIFS($P:$P, "&gt;" &amp; $P2011) + 1) / (COUNTA($I:$I) - 1)</f>
        <v>0.32140000000000002</v>
      </c>
      <c r="S2011" s="23">
        <f>SUMIFS($P:$P, $Q:$Q, "&lt;" &amp; $Q2011)</f>
        <v>176160715</v>
      </c>
    </row>
    <row r="2012" spans="1:19" x14ac:dyDescent="0.25">
      <c r="A2012" s="1">
        <v>2007</v>
      </c>
      <c r="B2012" s="1" t="s">
        <v>2</v>
      </c>
      <c r="C2012" s="1" t="str">
        <f>IF($B2012 = "Production Item", _xlfn.XLOOKUP($A2012, 'Instrument Table'!$J:$J, 'Instrument Table'!$B:$B, $C2011), IF($B2012 = "Service Item", _xlfn.XLOOKUP($A2012, 'Instrument Table'!$I:$I, 'Instrument Table'!$B:$B, $C2011), _xlfn.XLOOKUP($A2012, 'Instrument Table'!$H:$H, 'Instrument Table'!$B:$B, $C2011)))</f>
        <v>Clarinet</v>
      </c>
      <c r="D2012" s="1" t="str">
        <f>VLOOKUP($C2012, 'Instrument Table'!$B:$C, 2, FALSE)</f>
        <v>Woodwinds</v>
      </c>
      <c r="E2012" s="1">
        <f t="shared" si="186"/>
        <v>1</v>
      </c>
      <c r="F2012" s="1">
        <f>_xlfn.XLOOKUP($C2012, 'Instrument Table'!$B:$B, 'Instrument Table'!$A:$A, "")</f>
        <v>30</v>
      </c>
      <c r="G2012" s="1" t="str">
        <f>TEXT(IF($B2012 = "Retail Item", IF((ROW($A2012) - 4504 - _xlfn.XMATCH($C2012, $C$4506:$C$5005, 0, 1)) &lt;= VLOOKUP($C2012, 'Instrument Table'!$B:$D, 3, FALSE), ROW($A2012) - 4504 - _xlfn.XMATCH($C2012, $C$4506:$C$5005, 0, 1), 0), 0), "00")</f>
        <v>00</v>
      </c>
      <c r="H2012" s="1" t="str">
        <f t="shared" si="187"/>
        <v>256</v>
      </c>
      <c r="I2012" s="1" t="str">
        <f t="shared" si="188"/>
        <v>13000-256</v>
      </c>
      <c r="J2012" s="1" t="str">
        <f t="shared" si="189"/>
        <v>Clarinet production item #256</v>
      </c>
      <c r="K2012" s="1" t="str">
        <f>IF(SUM(COUNTIFS(I:I, I2012)) &gt; 1, "DUPLICATE", "UNIQUE")</f>
        <v>UNIQUE</v>
      </c>
      <c r="L2012" s="18">
        <v>32</v>
      </c>
      <c r="M2012" s="28">
        <v>32</v>
      </c>
      <c r="N2012" s="6">
        <v>36</v>
      </c>
      <c r="O2012" s="30">
        <f t="shared" si="190"/>
        <v>1024</v>
      </c>
      <c r="P2012" s="30">
        <f t="shared" si="191"/>
        <v>1152</v>
      </c>
      <c r="Q2012" s="1">
        <f>COUNTIFS($P:$P, "&gt;" &amp; $P2012) + 1</f>
        <v>3621</v>
      </c>
      <c r="R2012" s="63">
        <f>(COUNTIFS($P:$P, "&gt;" &amp; $P2012) + 1) / (COUNTA($I:$I) - 1)</f>
        <v>0.72419999999999995</v>
      </c>
      <c r="S2012" s="23">
        <f>SUMIFS($P:$P, $Q:$Q, "&lt;" &amp; $Q2012)</f>
        <v>186094880</v>
      </c>
    </row>
    <row r="2013" spans="1:19" x14ac:dyDescent="0.25">
      <c r="A2013" s="1">
        <v>2008</v>
      </c>
      <c r="B2013" s="1" t="s">
        <v>2</v>
      </c>
      <c r="C2013" s="1" t="str">
        <f>IF($B2013 = "Production Item", _xlfn.XLOOKUP($A2013, 'Instrument Table'!$J:$J, 'Instrument Table'!$B:$B, $C2012), IF($B2013 = "Service Item", _xlfn.XLOOKUP($A2013, 'Instrument Table'!$I:$I, 'Instrument Table'!$B:$B, $C2012), _xlfn.XLOOKUP($A2013, 'Instrument Table'!$H:$H, 'Instrument Table'!$B:$B, $C2012)))</f>
        <v>Clarinet</v>
      </c>
      <c r="D2013" s="1" t="str">
        <f>VLOOKUP($C2013, 'Instrument Table'!$B:$C, 2, FALSE)</f>
        <v>Woodwinds</v>
      </c>
      <c r="E2013" s="1">
        <f t="shared" si="186"/>
        <v>1</v>
      </c>
      <c r="F2013" s="1">
        <f>_xlfn.XLOOKUP($C2013, 'Instrument Table'!$B:$B, 'Instrument Table'!$A:$A, "")</f>
        <v>30</v>
      </c>
      <c r="G2013" s="1" t="str">
        <f>TEXT(IF($B2013 = "Retail Item", IF((ROW($A2013) - 4504 - _xlfn.XMATCH($C2013, $C$4506:$C$5005, 0, 1)) &lt;= VLOOKUP($C2013, 'Instrument Table'!$B:$D, 3, FALSE), ROW($A2013) - 4504 - _xlfn.XMATCH($C2013, $C$4506:$C$5005, 0, 1), 0), 0), "00")</f>
        <v>00</v>
      </c>
      <c r="H2013" s="1" t="str">
        <f t="shared" si="187"/>
        <v>257</v>
      </c>
      <c r="I2013" s="1" t="str">
        <f t="shared" si="188"/>
        <v>13000-257</v>
      </c>
      <c r="J2013" s="1" t="str">
        <f t="shared" si="189"/>
        <v>Clarinet production item #257</v>
      </c>
      <c r="K2013" s="1" t="str">
        <f>IF(SUM(COUNTIFS(I:I, I2013)) &gt; 1, "DUPLICATE", "UNIQUE")</f>
        <v>UNIQUE</v>
      </c>
      <c r="L2013" s="18">
        <v>1</v>
      </c>
      <c r="M2013" s="28">
        <v>96</v>
      </c>
      <c r="N2013" s="6">
        <v>25</v>
      </c>
      <c r="O2013" s="30">
        <f t="shared" si="190"/>
        <v>96</v>
      </c>
      <c r="P2013" s="30">
        <f t="shared" si="191"/>
        <v>2400</v>
      </c>
      <c r="Q2013" s="1">
        <f>COUNTIFS($P:$P, "&gt;" &amp; $P2013) + 1</f>
        <v>3090</v>
      </c>
      <c r="R2013" s="63">
        <f>(COUNTIFS($P:$P, "&gt;" &amp; $P2013) + 1) / (COUNTA($I:$I) - 1)</f>
        <v>0.61799999999999999</v>
      </c>
      <c r="S2013" s="23">
        <f>SUMIFS($P:$P, $Q:$Q, "&lt;" &amp; $Q2013)</f>
        <v>185158622</v>
      </c>
    </row>
    <row r="2014" spans="1:19" x14ac:dyDescent="0.25">
      <c r="A2014" s="1">
        <v>2009</v>
      </c>
      <c r="B2014" s="1" t="s">
        <v>2</v>
      </c>
      <c r="C2014" s="1" t="str">
        <f>IF($B2014 = "Production Item", _xlfn.XLOOKUP($A2014, 'Instrument Table'!$J:$J, 'Instrument Table'!$B:$B, $C2013), IF($B2014 = "Service Item", _xlfn.XLOOKUP($A2014, 'Instrument Table'!$I:$I, 'Instrument Table'!$B:$B, $C2013), _xlfn.XLOOKUP($A2014, 'Instrument Table'!$H:$H, 'Instrument Table'!$B:$B, $C2013)))</f>
        <v>Clarinet</v>
      </c>
      <c r="D2014" s="1" t="str">
        <f>VLOOKUP($C2014, 'Instrument Table'!$B:$C, 2, FALSE)</f>
        <v>Woodwinds</v>
      </c>
      <c r="E2014" s="1">
        <f t="shared" si="186"/>
        <v>1</v>
      </c>
      <c r="F2014" s="1">
        <f>_xlfn.XLOOKUP($C2014, 'Instrument Table'!$B:$B, 'Instrument Table'!$A:$A, "")</f>
        <v>30</v>
      </c>
      <c r="G2014" s="1" t="str">
        <f>TEXT(IF($B2014 = "Retail Item", IF((ROW($A2014) - 4504 - _xlfn.XMATCH($C2014, $C$4506:$C$5005, 0, 1)) &lt;= VLOOKUP($C2014, 'Instrument Table'!$B:$D, 3, FALSE), ROW($A2014) - 4504 - _xlfn.XMATCH($C2014, $C$4506:$C$5005, 0, 1), 0), 0), "00")</f>
        <v>00</v>
      </c>
      <c r="H2014" s="1" t="str">
        <f t="shared" si="187"/>
        <v>258</v>
      </c>
      <c r="I2014" s="1" t="str">
        <f t="shared" si="188"/>
        <v>13000-258</v>
      </c>
      <c r="J2014" s="1" t="str">
        <f t="shared" si="189"/>
        <v>Clarinet production item #258</v>
      </c>
      <c r="K2014" s="1" t="str">
        <f>IF(SUM(COUNTIFS(I:I, I2014)) &gt; 1, "DUPLICATE", "UNIQUE")</f>
        <v>UNIQUE</v>
      </c>
      <c r="L2014" s="18">
        <v>2</v>
      </c>
      <c r="M2014" s="28">
        <v>96</v>
      </c>
      <c r="N2014" s="6">
        <v>49</v>
      </c>
      <c r="O2014" s="30">
        <f t="shared" si="190"/>
        <v>192</v>
      </c>
      <c r="P2014" s="30">
        <f t="shared" si="191"/>
        <v>4704</v>
      </c>
      <c r="Q2014" s="1">
        <f>COUNTIFS($P:$P, "&gt;" &amp; $P2014) + 1</f>
        <v>2500</v>
      </c>
      <c r="R2014" s="63">
        <f>(COUNTIFS($P:$P, "&gt;" &amp; $P2014) + 1) / (COUNTA($I:$I) - 1)</f>
        <v>0.5</v>
      </c>
      <c r="S2014" s="23">
        <f>SUMIFS($P:$P, $Q:$Q, "&lt;" &amp; $Q2014)</f>
        <v>183115244</v>
      </c>
    </row>
    <row r="2015" spans="1:19" x14ac:dyDescent="0.25">
      <c r="A2015" s="1">
        <v>2010</v>
      </c>
      <c r="B2015" s="1" t="s">
        <v>2</v>
      </c>
      <c r="C2015" s="1" t="str">
        <f>IF($B2015 = "Production Item", _xlfn.XLOOKUP($A2015, 'Instrument Table'!$J:$J, 'Instrument Table'!$B:$B, $C2014), IF($B2015 = "Service Item", _xlfn.XLOOKUP($A2015, 'Instrument Table'!$I:$I, 'Instrument Table'!$B:$B, $C2014), _xlfn.XLOOKUP($A2015, 'Instrument Table'!$H:$H, 'Instrument Table'!$B:$B, $C2014)))</f>
        <v>Clarinet</v>
      </c>
      <c r="D2015" s="1" t="str">
        <f>VLOOKUP($C2015, 'Instrument Table'!$B:$C, 2, FALSE)</f>
        <v>Woodwinds</v>
      </c>
      <c r="E2015" s="1">
        <f t="shared" si="186"/>
        <v>1</v>
      </c>
      <c r="F2015" s="1">
        <f>_xlfn.XLOOKUP($C2015, 'Instrument Table'!$B:$B, 'Instrument Table'!$A:$A, "")</f>
        <v>30</v>
      </c>
      <c r="G2015" s="1" t="str">
        <f>TEXT(IF($B2015 = "Retail Item", IF((ROW($A2015) - 4504 - _xlfn.XMATCH($C2015, $C$4506:$C$5005, 0, 1)) &lt;= VLOOKUP($C2015, 'Instrument Table'!$B:$D, 3, FALSE), ROW($A2015) - 4504 - _xlfn.XMATCH($C2015, $C$4506:$C$5005, 0, 1), 0), 0), "00")</f>
        <v>00</v>
      </c>
      <c r="H2015" s="1" t="str">
        <f t="shared" si="187"/>
        <v>259</v>
      </c>
      <c r="I2015" s="1" t="str">
        <f t="shared" si="188"/>
        <v>13000-259</v>
      </c>
      <c r="J2015" s="1" t="str">
        <f t="shared" si="189"/>
        <v>Clarinet production item #259</v>
      </c>
      <c r="K2015" s="1" t="str">
        <f>IF(SUM(COUNTIFS(I:I, I2015)) &gt; 1, "DUPLICATE", "UNIQUE")</f>
        <v>UNIQUE</v>
      </c>
      <c r="L2015" s="18">
        <v>0</v>
      </c>
      <c r="M2015" s="28">
        <v>71</v>
      </c>
      <c r="N2015" s="6">
        <v>256</v>
      </c>
      <c r="O2015" s="30">
        <f t="shared" si="190"/>
        <v>0</v>
      </c>
      <c r="P2015" s="30">
        <f t="shared" si="191"/>
        <v>18176</v>
      </c>
      <c r="Q2015" s="1">
        <f>COUNTIFS($P:$P, "&gt;" &amp; $P2015) + 1</f>
        <v>1155</v>
      </c>
      <c r="R2015" s="63">
        <f>(COUNTIFS($P:$P, "&gt;" &amp; $P2015) + 1) / (COUNTA($I:$I) - 1)</f>
        <v>0.23100000000000001</v>
      </c>
      <c r="S2015" s="23">
        <f>SUMIFS($P:$P, $Q:$Q, "&lt;" &amp; $Q2015)</f>
        <v>169527657</v>
      </c>
    </row>
    <row r="2016" spans="1:19" x14ac:dyDescent="0.25">
      <c r="A2016" s="1">
        <v>2011</v>
      </c>
      <c r="B2016" s="1" t="s">
        <v>2</v>
      </c>
      <c r="C2016" s="1" t="str">
        <f>IF($B2016 = "Production Item", _xlfn.XLOOKUP($A2016, 'Instrument Table'!$J:$J, 'Instrument Table'!$B:$B, $C2015), IF($B2016 = "Service Item", _xlfn.XLOOKUP($A2016, 'Instrument Table'!$I:$I, 'Instrument Table'!$B:$B, $C2015), _xlfn.XLOOKUP($A2016, 'Instrument Table'!$H:$H, 'Instrument Table'!$B:$B, $C2015)))</f>
        <v>Clarinet</v>
      </c>
      <c r="D2016" s="1" t="str">
        <f>VLOOKUP($C2016, 'Instrument Table'!$B:$C, 2, FALSE)</f>
        <v>Woodwinds</v>
      </c>
      <c r="E2016" s="1">
        <f t="shared" si="186"/>
        <v>1</v>
      </c>
      <c r="F2016" s="1">
        <f>_xlfn.XLOOKUP($C2016, 'Instrument Table'!$B:$B, 'Instrument Table'!$A:$A, "")</f>
        <v>30</v>
      </c>
      <c r="G2016" s="1" t="str">
        <f>TEXT(IF($B2016 = "Retail Item", IF((ROW($A2016) - 4504 - _xlfn.XMATCH($C2016, $C$4506:$C$5005, 0, 1)) &lt;= VLOOKUP($C2016, 'Instrument Table'!$B:$D, 3, FALSE), ROW($A2016) - 4504 - _xlfn.XMATCH($C2016, $C$4506:$C$5005, 0, 1), 0), 0), "00")</f>
        <v>00</v>
      </c>
      <c r="H2016" s="1" t="str">
        <f t="shared" si="187"/>
        <v>260</v>
      </c>
      <c r="I2016" s="1" t="str">
        <f t="shared" si="188"/>
        <v>13000-260</v>
      </c>
      <c r="J2016" s="1" t="str">
        <f t="shared" si="189"/>
        <v>Clarinet production item #260</v>
      </c>
      <c r="K2016" s="1" t="str">
        <f>IF(SUM(COUNTIFS(I:I, I2016)) &gt; 1, "DUPLICATE", "UNIQUE")</f>
        <v>UNIQUE</v>
      </c>
      <c r="L2016" s="18">
        <v>1</v>
      </c>
      <c r="M2016" s="28">
        <v>74</v>
      </c>
      <c r="N2016" s="6">
        <v>225</v>
      </c>
      <c r="O2016" s="30">
        <f t="shared" si="190"/>
        <v>74</v>
      </c>
      <c r="P2016" s="30">
        <f t="shared" si="191"/>
        <v>16650</v>
      </c>
      <c r="Q2016" s="1">
        <f>COUNTIFS($P:$P, "&gt;" &amp; $P2016) + 1</f>
        <v>1238</v>
      </c>
      <c r="R2016" s="63">
        <f>(COUNTIFS($P:$P, "&gt;" &amp; $P2016) + 1) / (COUNTA($I:$I) - 1)</f>
        <v>0.24759999999999999</v>
      </c>
      <c r="S2016" s="23">
        <f>SUMIFS($P:$P, $Q:$Q, "&lt;" &amp; $Q2016)</f>
        <v>170970724</v>
      </c>
    </row>
    <row r="2017" spans="1:19" x14ac:dyDescent="0.25">
      <c r="A2017" s="1">
        <v>2012</v>
      </c>
      <c r="B2017" s="1" t="s">
        <v>2</v>
      </c>
      <c r="C2017" s="1" t="str">
        <f>IF($B2017 = "Production Item", _xlfn.XLOOKUP($A2017, 'Instrument Table'!$J:$J, 'Instrument Table'!$B:$B, $C2016), IF($B2017 = "Service Item", _xlfn.XLOOKUP($A2017, 'Instrument Table'!$I:$I, 'Instrument Table'!$B:$B, $C2016), _xlfn.XLOOKUP($A2017, 'Instrument Table'!$H:$H, 'Instrument Table'!$B:$B, $C2016)))</f>
        <v>Clarinet</v>
      </c>
      <c r="D2017" s="1" t="str">
        <f>VLOOKUP($C2017, 'Instrument Table'!$B:$C, 2, FALSE)</f>
        <v>Woodwinds</v>
      </c>
      <c r="E2017" s="1">
        <f t="shared" si="186"/>
        <v>1</v>
      </c>
      <c r="F2017" s="1">
        <f>_xlfn.XLOOKUP($C2017, 'Instrument Table'!$B:$B, 'Instrument Table'!$A:$A, "")</f>
        <v>30</v>
      </c>
      <c r="G2017" s="1" t="str">
        <f>TEXT(IF($B2017 = "Retail Item", IF((ROW($A2017) - 4504 - _xlfn.XMATCH($C2017, $C$4506:$C$5005, 0, 1)) &lt;= VLOOKUP($C2017, 'Instrument Table'!$B:$D, 3, FALSE), ROW($A2017) - 4504 - _xlfn.XMATCH($C2017, $C$4506:$C$5005, 0, 1), 0), 0), "00")</f>
        <v>00</v>
      </c>
      <c r="H2017" s="1" t="str">
        <f t="shared" si="187"/>
        <v>261</v>
      </c>
      <c r="I2017" s="1" t="str">
        <f t="shared" si="188"/>
        <v>13000-261</v>
      </c>
      <c r="J2017" s="1" t="str">
        <f t="shared" si="189"/>
        <v>Clarinet production item #261</v>
      </c>
      <c r="K2017" s="1" t="str">
        <f>IF(SUM(COUNTIFS(I:I, I2017)) &gt; 1, "DUPLICATE", "UNIQUE")</f>
        <v>UNIQUE</v>
      </c>
      <c r="L2017" s="18">
        <v>1</v>
      </c>
      <c r="M2017" s="28">
        <v>58</v>
      </c>
      <c r="N2017" s="6">
        <v>4</v>
      </c>
      <c r="O2017" s="30">
        <f t="shared" si="190"/>
        <v>58</v>
      </c>
      <c r="P2017" s="30">
        <f t="shared" si="191"/>
        <v>232</v>
      </c>
      <c r="Q2017" s="1">
        <f>COUNTIFS($P:$P, "&gt;" &amp; $P2017) + 1</f>
        <v>4291</v>
      </c>
      <c r="R2017" s="63">
        <f>(COUNTIFS($P:$P, "&gt;" &amp; $P2017) + 1) / (COUNTA($I:$I) - 1)</f>
        <v>0.85819999999999996</v>
      </c>
      <c r="S2017" s="23">
        <f>SUMIFS($P:$P, $Q:$Q, "&lt;" &amp; $Q2017)</f>
        <v>186505409</v>
      </c>
    </row>
    <row r="2018" spans="1:19" x14ac:dyDescent="0.25">
      <c r="A2018" s="1">
        <v>2013</v>
      </c>
      <c r="B2018" s="1" t="s">
        <v>2</v>
      </c>
      <c r="C2018" s="1" t="str">
        <f>IF($B2018 = "Production Item", _xlfn.XLOOKUP($A2018, 'Instrument Table'!$J:$J, 'Instrument Table'!$B:$B, $C2017), IF($B2018 = "Service Item", _xlfn.XLOOKUP($A2018, 'Instrument Table'!$I:$I, 'Instrument Table'!$B:$B, $C2017), _xlfn.XLOOKUP($A2018, 'Instrument Table'!$H:$H, 'Instrument Table'!$B:$B, $C2017)))</f>
        <v>Clarinet</v>
      </c>
      <c r="D2018" s="1" t="str">
        <f>VLOOKUP($C2018, 'Instrument Table'!$B:$C, 2, FALSE)</f>
        <v>Woodwinds</v>
      </c>
      <c r="E2018" s="1">
        <f t="shared" si="186"/>
        <v>1</v>
      </c>
      <c r="F2018" s="1">
        <f>_xlfn.XLOOKUP($C2018, 'Instrument Table'!$B:$B, 'Instrument Table'!$A:$A, "")</f>
        <v>30</v>
      </c>
      <c r="G2018" s="1" t="str">
        <f>TEXT(IF($B2018 = "Retail Item", IF((ROW($A2018) - 4504 - _xlfn.XMATCH($C2018, $C$4506:$C$5005, 0, 1)) &lt;= VLOOKUP($C2018, 'Instrument Table'!$B:$D, 3, FALSE), ROW($A2018) - 4504 - _xlfn.XMATCH($C2018, $C$4506:$C$5005, 0, 1), 0), 0), "00")</f>
        <v>00</v>
      </c>
      <c r="H2018" s="1" t="str">
        <f t="shared" si="187"/>
        <v>262</v>
      </c>
      <c r="I2018" s="1" t="str">
        <f t="shared" si="188"/>
        <v>13000-262</v>
      </c>
      <c r="J2018" s="1" t="str">
        <f t="shared" si="189"/>
        <v>Clarinet production item #262</v>
      </c>
      <c r="K2018" s="1" t="str">
        <f>IF(SUM(COUNTIFS(I:I, I2018)) &gt; 1, "DUPLICATE", "UNIQUE")</f>
        <v>UNIQUE</v>
      </c>
      <c r="L2018" s="18">
        <v>0</v>
      </c>
      <c r="M2018" s="28">
        <v>75</v>
      </c>
      <c r="N2018" s="6">
        <v>361</v>
      </c>
      <c r="O2018" s="30">
        <f t="shared" si="190"/>
        <v>0</v>
      </c>
      <c r="P2018" s="30">
        <f t="shared" si="191"/>
        <v>27075</v>
      </c>
      <c r="Q2018" s="1">
        <f>COUNTIFS($P:$P, "&gt;" &amp; $P2018) + 1</f>
        <v>752</v>
      </c>
      <c r="R2018" s="63">
        <f>(COUNTIFS($P:$P, "&gt;" &amp; $P2018) + 1) / (COUNTA($I:$I) - 1)</f>
        <v>0.15040000000000001</v>
      </c>
      <c r="S2018" s="23">
        <f>SUMIFS($P:$P, $Q:$Q, "&lt;" &amp; $Q2018)</f>
        <v>160559928</v>
      </c>
    </row>
    <row r="2019" spans="1:19" x14ac:dyDescent="0.25">
      <c r="A2019" s="1">
        <v>2014</v>
      </c>
      <c r="B2019" s="1" t="s">
        <v>2</v>
      </c>
      <c r="C2019" s="1" t="str">
        <f>IF($B2019 = "Production Item", _xlfn.XLOOKUP($A2019, 'Instrument Table'!$J:$J, 'Instrument Table'!$B:$B, $C2018), IF($B2019 = "Service Item", _xlfn.XLOOKUP($A2019, 'Instrument Table'!$I:$I, 'Instrument Table'!$B:$B, $C2018), _xlfn.XLOOKUP($A2019, 'Instrument Table'!$H:$H, 'Instrument Table'!$B:$B, $C2018)))</f>
        <v>Clarinet</v>
      </c>
      <c r="D2019" s="1" t="str">
        <f>VLOOKUP($C2019, 'Instrument Table'!$B:$C, 2, FALSE)</f>
        <v>Woodwinds</v>
      </c>
      <c r="E2019" s="1">
        <f t="shared" si="186"/>
        <v>1</v>
      </c>
      <c r="F2019" s="1">
        <f>_xlfn.XLOOKUP($C2019, 'Instrument Table'!$B:$B, 'Instrument Table'!$A:$A, "")</f>
        <v>30</v>
      </c>
      <c r="G2019" s="1" t="str">
        <f>TEXT(IF($B2019 = "Retail Item", IF((ROW($A2019) - 4504 - _xlfn.XMATCH($C2019, $C$4506:$C$5005, 0, 1)) &lt;= VLOOKUP($C2019, 'Instrument Table'!$B:$D, 3, FALSE), ROW($A2019) - 4504 - _xlfn.XMATCH($C2019, $C$4506:$C$5005, 0, 1), 0), 0), "00")</f>
        <v>00</v>
      </c>
      <c r="H2019" s="1" t="str">
        <f t="shared" si="187"/>
        <v>263</v>
      </c>
      <c r="I2019" s="1" t="str">
        <f t="shared" si="188"/>
        <v>13000-263</v>
      </c>
      <c r="J2019" s="1" t="str">
        <f t="shared" si="189"/>
        <v>Clarinet production item #263</v>
      </c>
      <c r="K2019" s="1" t="str">
        <f>IF(SUM(COUNTIFS(I:I, I2019)) &gt; 1, "DUPLICATE", "UNIQUE")</f>
        <v>UNIQUE</v>
      </c>
      <c r="L2019" s="18">
        <v>1</v>
      </c>
      <c r="M2019" s="28">
        <v>56</v>
      </c>
      <c r="N2019" s="6">
        <v>36</v>
      </c>
      <c r="O2019" s="30">
        <f t="shared" si="190"/>
        <v>56</v>
      </c>
      <c r="P2019" s="30">
        <f t="shared" si="191"/>
        <v>2016</v>
      </c>
      <c r="Q2019" s="1">
        <f>COUNTIFS($P:$P, "&gt;" &amp; $P2019) + 1</f>
        <v>3252</v>
      </c>
      <c r="R2019" s="63">
        <f>(COUNTIFS($P:$P, "&gt;" &amp; $P2019) + 1) / (COUNTA($I:$I) - 1)</f>
        <v>0.65039999999999998</v>
      </c>
      <c r="S2019" s="23">
        <f>SUMIFS($P:$P, $Q:$Q, "&lt;" &amp; $Q2019)</f>
        <v>185515132</v>
      </c>
    </row>
    <row r="2020" spans="1:19" x14ac:dyDescent="0.25">
      <c r="A2020" s="1">
        <v>2015</v>
      </c>
      <c r="B2020" s="1" t="s">
        <v>2</v>
      </c>
      <c r="C2020" s="1" t="str">
        <f>IF($B2020 = "Production Item", _xlfn.XLOOKUP($A2020, 'Instrument Table'!$J:$J, 'Instrument Table'!$B:$B, $C2019), IF($B2020 = "Service Item", _xlfn.XLOOKUP($A2020, 'Instrument Table'!$I:$I, 'Instrument Table'!$B:$B, $C2019), _xlfn.XLOOKUP($A2020, 'Instrument Table'!$H:$H, 'Instrument Table'!$B:$B, $C2019)))</f>
        <v>Clarinet</v>
      </c>
      <c r="D2020" s="1" t="str">
        <f>VLOOKUP($C2020, 'Instrument Table'!$B:$C, 2, FALSE)</f>
        <v>Woodwinds</v>
      </c>
      <c r="E2020" s="1">
        <f t="shared" si="186"/>
        <v>1</v>
      </c>
      <c r="F2020" s="1">
        <f>_xlfn.XLOOKUP($C2020, 'Instrument Table'!$B:$B, 'Instrument Table'!$A:$A, "")</f>
        <v>30</v>
      </c>
      <c r="G2020" s="1" t="str">
        <f>TEXT(IF($B2020 = "Retail Item", IF((ROW($A2020) - 4504 - _xlfn.XMATCH($C2020, $C$4506:$C$5005, 0, 1)) &lt;= VLOOKUP($C2020, 'Instrument Table'!$B:$D, 3, FALSE), ROW($A2020) - 4504 - _xlfn.XMATCH($C2020, $C$4506:$C$5005, 0, 1), 0), 0), "00")</f>
        <v>00</v>
      </c>
      <c r="H2020" s="1" t="str">
        <f t="shared" si="187"/>
        <v>264</v>
      </c>
      <c r="I2020" s="1" t="str">
        <f t="shared" si="188"/>
        <v>13000-264</v>
      </c>
      <c r="J2020" s="1" t="str">
        <f t="shared" si="189"/>
        <v>Clarinet production item #264</v>
      </c>
      <c r="K2020" s="1" t="str">
        <f>IF(SUM(COUNTIFS(I:I, I2020)) &gt; 1, "DUPLICATE", "UNIQUE")</f>
        <v>UNIQUE</v>
      </c>
      <c r="L2020" s="18">
        <v>1</v>
      </c>
      <c r="M2020" s="28">
        <v>80</v>
      </c>
      <c r="N2020" s="6">
        <v>4</v>
      </c>
      <c r="O2020" s="30">
        <f t="shared" si="190"/>
        <v>80</v>
      </c>
      <c r="P2020" s="30">
        <f t="shared" si="191"/>
        <v>320</v>
      </c>
      <c r="Q2020" s="1">
        <f>COUNTIFS($P:$P, "&gt;" &amp; $P2020) + 1</f>
        <v>4192</v>
      </c>
      <c r="R2020" s="63">
        <f>(COUNTIFS($P:$P, "&gt;" &amp; $P2020) + 1) / (COUNTA($I:$I) - 1)</f>
        <v>0.83840000000000003</v>
      </c>
      <c r="S2020" s="23">
        <f>SUMIFS($P:$P, $Q:$Q, "&lt;" &amp; $Q2020)</f>
        <v>186477838</v>
      </c>
    </row>
    <row r="2021" spans="1:19" x14ac:dyDescent="0.25">
      <c r="A2021" s="1">
        <v>2016</v>
      </c>
      <c r="B2021" s="1" t="s">
        <v>2</v>
      </c>
      <c r="C2021" s="1" t="str">
        <f>IF($B2021 = "Production Item", _xlfn.XLOOKUP($A2021, 'Instrument Table'!$J:$J, 'Instrument Table'!$B:$B, $C2020), IF($B2021 = "Service Item", _xlfn.XLOOKUP($A2021, 'Instrument Table'!$I:$I, 'Instrument Table'!$B:$B, $C2020), _xlfn.XLOOKUP($A2021, 'Instrument Table'!$H:$H, 'Instrument Table'!$B:$B, $C2020)))</f>
        <v>Clarinet</v>
      </c>
      <c r="D2021" s="1" t="str">
        <f>VLOOKUP($C2021, 'Instrument Table'!$B:$C, 2, FALSE)</f>
        <v>Woodwinds</v>
      </c>
      <c r="E2021" s="1">
        <f t="shared" si="186"/>
        <v>1</v>
      </c>
      <c r="F2021" s="1">
        <f>_xlfn.XLOOKUP($C2021, 'Instrument Table'!$B:$B, 'Instrument Table'!$A:$A, "")</f>
        <v>30</v>
      </c>
      <c r="G2021" s="1" t="str">
        <f>TEXT(IF($B2021 = "Retail Item", IF((ROW($A2021) - 4504 - _xlfn.XMATCH($C2021, $C$4506:$C$5005, 0, 1)) &lt;= VLOOKUP($C2021, 'Instrument Table'!$B:$D, 3, FALSE), ROW($A2021) - 4504 - _xlfn.XMATCH($C2021, $C$4506:$C$5005, 0, 1), 0), 0), "00")</f>
        <v>00</v>
      </c>
      <c r="H2021" s="1" t="str">
        <f t="shared" si="187"/>
        <v>265</v>
      </c>
      <c r="I2021" s="1" t="str">
        <f t="shared" si="188"/>
        <v>13000-265</v>
      </c>
      <c r="J2021" s="1" t="str">
        <f t="shared" si="189"/>
        <v>Clarinet production item #265</v>
      </c>
      <c r="K2021" s="1" t="str">
        <f>IF(SUM(COUNTIFS(I:I, I2021)) &gt; 1, "DUPLICATE", "UNIQUE")</f>
        <v>UNIQUE</v>
      </c>
      <c r="L2021" s="18">
        <v>0</v>
      </c>
      <c r="M2021" s="28">
        <v>8</v>
      </c>
      <c r="N2021" s="6">
        <v>64</v>
      </c>
      <c r="O2021" s="30">
        <f t="shared" si="190"/>
        <v>0</v>
      </c>
      <c r="P2021" s="30">
        <f t="shared" si="191"/>
        <v>512</v>
      </c>
      <c r="Q2021" s="1">
        <f>COUNTIFS($P:$P, "&gt;" &amp; $P2021) + 1</f>
        <v>4012</v>
      </c>
      <c r="R2021" s="63">
        <f>(COUNTIFS($P:$P, "&gt;" &amp; $P2021) + 1) / (COUNTA($I:$I) - 1)</f>
        <v>0.8024</v>
      </c>
      <c r="S2021" s="23">
        <f>SUMIFS($P:$P, $Q:$Q, "&lt;" &amp; $Q2021)</f>
        <v>186404530</v>
      </c>
    </row>
    <row r="2022" spans="1:19" x14ac:dyDescent="0.25">
      <c r="A2022" s="1">
        <v>2017</v>
      </c>
      <c r="B2022" s="1" t="s">
        <v>2</v>
      </c>
      <c r="C2022" s="1" t="str">
        <f>IF($B2022 = "Production Item", _xlfn.XLOOKUP($A2022, 'Instrument Table'!$J:$J, 'Instrument Table'!$B:$B, $C2021), IF($B2022 = "Service Item", _xlfn.XLOOKUP($A2022, 'Instrument Table'!$I:$I, 'Instrument Table'!$B:$B, $C2021), _xlfn.XLOOKUP($A2022, 'Instrument Table'!$H:$H, 'Instrument Table'!$B:$B, $C2021)))</f>
        <v>Clarinet</v>
      </c>
      <c r="D2022" s="1" t="str">
        <f>VLOOKUP($C2022, 'Instrument Table'!$B:$C, 2, FALSE)</f>
        <v>Woodwinds</v>
      </c>
      <c r="E2022" s="1">
        <f t="shared" si="186"/>
        <v>1</v>
      </c>
      <c r="F2022" s="1">
        <f>_xlfn.XLOOKUP($C2022, 'Instrument Table'!$B:$B, 'Instrument Table'!$A:$A, "")</f>
        <v>30</v>
      </c>
      <c r="G2022" s="1" t="str">
        <f>TEXT(IF($B2022 = "Retail Item", IF((ROW($A2022) - 4504 - _xlfn.XMATCH($C2022, $C$4506:$C$5005, 0, 1)) &lt;= VLOOKUP($C2022, 'Instrument Table'!$B:$D, 3, FALSE), ROW($A2022) - 4504 - _xlfn.XMATCH($C2022, $C$4506:$C$5005, 0, 1), 0), 0), "00")</f>
        <v>00</v>
      </c>
      <c r="H2022" s="1" t="str">
        <f t="shared" si="187"/>
        <v>266</v>
      </c>
      <c r="I2022" s="1" t="str">
        <f t="shared" si="188"/>
        <v>13000-266</v>
      </c>
      <c r="J2022" s="1" t="str">
        <f t="shared" si="189"/>
        <v>Clarinet production item #266</v>
      </c>
      <c r="K2022" s="1" t="str">
        <f>IF(SUM(COUNTIFS(I:I, I2022)) &gt; 1, "DUPLICATE", "UNIQUE")</f>
        <v>UNIQUE</v>
      </c>
      <c r="L2022" s="18">
        <v>0</v>
      </c>
      <c r="M2022" s="28">
        <v>63</v>
      </c>
      <c r="N2022" s="6">
        <v>169</v>
      </c>
      <c r="O2022" s="30">
        <f t="shared" si="190"/>
        <v>0</v>
      </c>
      <c r="P2022" s="30">
        <f t="shared" si="191"/>
        <v>10647</v>
      </c>
      <c r="Q2022" s="1">
        <f>COUNTIFS($P:$P, "&gt;" &amp; $P2022) + 1</f>
        <v>1718</v>
      </c>
      <c r="R2022" s="63">
        <f>(COUNTIFS($P:$P, "&gt;" &amp; $P2022) + 1) / (COUNTA($I:$I) - 1)</f>
        <v>0.34360000000000002</v>
      </c>
      <c r="S2022" s="23">
        <f>SUMIFS($P:$P, $Q:$Q, "&lt;" &amp; $Q2022)</f>
        <v>177407092</v>
      </c>
    </row>
    <row r="2023" spans="1:19" x14ac:dyDescent="0.25">
      <c r="A2023" s="1">
        <v>2018</v>
      </c>
      <c r="B2023" s="1" t="s">
        <v>2</v>
      </c>
      <c r="C2023" s="1" t="str">
        <f>IF($B2023 = "Production Item", _xlfn.XLOOKUP($A2023, 'Instrument Table'!$J:$J, 'Instrument Table'!$B:$B, $C2022), IF($B2023 = "Service Item", _xlfn.XLOOKUP($A2023, 'Instrument Table'!$I:$I, 'Instrument Table'!$B:$B, $C2022), _xlfn.XLOOKUP($A2023, 'Instrument Table'!$H:$H, 'Instrument Table'!$B:$B, $C2022)))</f>
        <v>Clarinet</v>
      </c>
      <c r="D2023" s="1" t="str">
        <f>VLOOKUP($C2023, 'Instrument Table'!$B:$C, 2, FALSE)</f>
        <v>Woodwinds</v>
      </c>
      <c r="E2023" s="1">
        <f t="shared" si="186"/>
        <v>1</v>
      </c>
      <c r="F2023" s="1">
        <f>_xlfn.XLOOKUP($C2023, 'Instrument Table'!$B:$B, 'Instrument Table'!$A:$A, "")</f>
        <v>30</v>
      </c>
      <c r="G2023" s="1" t="str">
        <f>TEXT(IF($B2023 = "Retail Item", IF((ROW($A2023) - 4504 - _xlfn.XMATCH($C2023, $C$4506:$C$5005, 0, 1)) &lt;= VLOOKUP($C2023, 'Instrument Table'!$B:$D, 3, FALSE), ROW($A2023) - 4504 - _xlfn.XMATCH($C2023, $C$4506:$C$5005, 0, 1), 0), 0), "00")</f>
        <v>00</v>
      </c>
      <c r="H2023" s="1" t="str">
        <f t="shared" si="187"/>
        <v>267</v>
      </c>
      <c r="I2023" s="1" t="str">
        <f t="shared" si="188"/>
        <v>13000-267</v>
      </c>
      <c r="J2023" s="1" t="str">
        <f t="shared" si="189"/>
        <v>Clarinet production item #267</v>
      </c>
      <c r="K2023" s="1" t="str">
        <f>IF(SUM(COUNTIFS(I:I, I2023)) &gt; 1, "DUPLICATE", "UNIQUE")</f>
        <v>UNIQUE</v>
      </c>
      <c r="L2023" s="18">
        <v>16</v>
      </c>
      <c r="M2023" s="28">
        <v>54</v>
      </c>
      <c r="N2023" s="6">
        <v>289</v>
      </c>
      <c r="O2023" s="30">
        <f t="shared" si="190"/>
        <v>864</v>
      </c>
      <c r="P2023" s="30">
        <f t="shared" si="191"/>
        <v>15606</v>
      </c>
      <c r="Q2023" s="1">
        <f>COUNTIFS($P:$P, "&gt;" &amp; $P2023) + 1</f>
        <v>1305</v>
      </c>
      <c r="R2023" s="63">
        <f>(COUNTIFS($P:$P, "&gt;" &amp; $P2023) + 1) / (COUNTA($I:$I) - 1)</f>
        <v>0.26100000000000001</v>
      </c>
      <c r="S2023" s="23">
        <f>SUMIFS($P:$P, $Q:$Q, "&lt;" &amp; $Q2023)</f>
        <v>172052197</v>
      </c>
    </row>
    <row r="2024" spans="1:19" x14ac:dyDescent="0.25">
      <c r="A2024" s="1">
        <v>2019</v>
      </c>
      <c r="B2024" s="1" t="s">
        <v>2</v>
      </c>
      <c r="C2024" s="1" t="str">
        <f>IF($B2024 = "Production Item", _xlfn.XLOOKUP($A2024, 'Instrument Table'!$J:$J, 'Instrument Table'!$B:$B, $C2023), IF($B2024 = "Service Item", _xlfn.XLOOKUP($A2024, 'Instrument Table'!$I:$I, 'Instrument Table'!$B:$B, $C2023), _xlfn.XLOOKUP($A2024, 'Instrument Table'!$H:$H, 'Instrument Table'!$B:$B, $C2023)))</f>
        <v>Clarinet</v>
      </c>
      <c r="D2024" s="1" t="str">
        <f>VLOOKUP($C2024, 'Instrument Table'!$B:$C, 2, FALSE)</f>
        <v>Woodwinds</v>
      </c>
      <c r="E2024" s="1">
        <f t="shared" si="186"/>
        <v>1</v>
      </c>
      <c r="F2024" s="1">
        <f>_xlfn.XLOOKUP($C2024, 'Instrument Table'!$B:$B, 'Instrument Table'!$A:$A, "")</f>
        <v>30</v>
      </c>
      <c r="G2024" s="1" t="str">
        <f>TEXT(IF($B2024 = "Retail Item", IF((ROW($A2024) - 4504 - _xlfn.XMATCH($C2024, $C$4506:$C$5005, 0, 1)) &lt;= VLOOKUP($C2024, 'Instrument Table'!$B:$D, 3, FALSE), ROW($A2024) - 4504 - _xlfn.XMATCH($C2024, $C$4506:$C$5005, 0, 1), 0), 0), "00")</f>
        <v>00</v>
      </c>
      <c r="H2024" s="1" t="str">
        <f t="shared" si="187"/>
        <v>268</v>
      </c>
      <c r="I2024" s="1" t="str">
        <f t="shared" si="188"/>
        <v>13000-268</v>
      </c>
      <c r="J2024" s="1" t="str">
        <f t="shared" si="189"/>
        <v>Clarinet production item #268</v>
      </c>
      <c r="K2024" s="1" t="str">
        <f>IF(SUM(COUNTIFS(I:I, I2024)) &gt; 1, "DUPLICATE", "UNIQUE")</f>
        <v>UNIQUE</v>
      </c>
      <c r="L2024" s="18">
        <v>32</v>
      </c>
      <c r="M2024" s="28">
        <v>63</v>
      </c>
      <c r="N2024" s="6">
        <v>1</v>
      </c>
      <c r="O2024" s="30">
        <f t="shared" si="190"/>
        <v>2016</v>
      </c>
      <c r="P2024" s="30">
        <f t="shared" si="191"/>
        <v>63</v>
      </c>
      <c r="Q2024" s="1">
        <f>COUNTIFS($P:$P, "&gt;" &amp; $P2024) + 1</f>
        <v>4568</v>
      </c>
      <c r="R2024" s="63">
        <f>(COUNTIFS($P:$P, "&gt;" &amp; $P2024) + 1) / (COUNTA($I:$I) - 1)</f>
        <v>0.91359999999999997</v>
      </c>
      <c r="S2024" s="23">
        <f>SUMIFS($P:$P, $Q:$Q, "&lt;" &amp; $Q2024)</f>
        <v>186541810</v>
      </c>
    </row>
    <row r="2025" spans="1:19" x14ac:dyDescent="0.25">
      <c r="A2025" s="1">
        <v>2020</v>
      </c>
      <c r="B2025" s="1" t="s">
        <v>2</v>
      </c>
      <c r="C2025" s="1" t="str">
        <f>IF($B2025 = "Production Item", _xlfn.XLOOKUP($A2025, 'Instrument Table'!$J:$J, 'Instrument Table'!$B:$B, $C2024), IF($B2025 = "Service Item", _xlfn.XLOOKUP($A2025, 'Instrument Table'!$I:$I, 'Instrument Table'!$B:$B, $C2024), _xlfn.XLOOKUP($A2025, 'Instrument Table'!$H:$H, 'Instrument Table'!$B:$B, $C2024)))</f>
        <v>Clarinet</v>
      </c>
      <c r="D2025" s="1" t="str">
        <f>VLOOKUP($C2025, 'Instrument Table'!$B:$C, 2, FALSE)</f>
        <v>Woodwinds</v>
      </c>
      <c r="E2025" s="1">
        <f t="shared" si="186"/>
        <v>1</v>
      </c>
      <c r="F2025" s="1">
        <f>_xlfn.XLOOKUP($C2025, 'Instrument Table'!$B:$B, 'Instrument Table'!$A:$A, "")</f>
        <v>30</v>
      </c>
      <c r="G2025" s="1" t="str">
        <f>TEXT(IF($B2025 = "Retail Item", IF((ROW($A2025) - 4504 - _xlfn.XMATCH($C2025, $C$4506:$C$5005, 0, 1)) &lt;= VLOOKUP($C2025, 'Instrument Table'!$B:$D, 3, FALSE), ROW($A2025) - 4504 - _xlfn.XMATCH($C2025, $C$4506:$C$5005, 0, 1), 0), 0), "00")</f>
        <v>00</v>
      </c>
      <c r="H2025" s="1" t="str">
        <f t="shared" si="187"/>
        <v>269</v>
      </c>
      <c r="I2025" s="1" t="str">
        <f t="shared" si="188"/>
        <v>13000-269</v>
      </c>
      <c r="J2025" s="1" t="str">
        <f t="shared" si="189"/>
        <v>Clarinet production item #269</v>
      </c>
      <c r="K2025" s="1" t="str">
        <f>IF(SUM(COUNTIFS(I:I, I2025)) &gt; 1, "DUPLICATE", "UNIQUE")</f>
        <v>UNIQUE</v>
      </c>
      <c r="L2025" s="18">
        <v>8</v>
      </c>
      <c r="M2025" s="28">
        <v>43</v>
      </c>
      <c r="N2025" s="6">
        <v>81</v>
      </c>
      <c r="O2025" s="30">
        <f t="shared" si="190"/>
        <v>344</v>
      </c>
      <c r="P2025" s="30">
        <f t="shared" si="191"/>
        <v>3483</v>
      </c>
      <c r="Q2025" s="1">
        <f>COUNTIFS($P:$P, "&gt;" &amp; $P2025) + 1</f>
        <v>2780</v>
      </c>
      <c r="R2025" s="63">
        <f>(COUNTIFS($P:$P, "&gt;" &amp; $P2025) + 1) / (COUNTA($I:$I) - 1)</f>
        <v>0.55600000000000005</v>
      </c>
      <c r="S2025" s="23">
        <f>SUMIFS($P:$P, $Q:$Q, "&lt;" &amp; $Q2025)</f>
        <v>184256836</v>
      </c>
    </row>
    <row r="2026" spans="1:19" x14ac:dyDescent="0.25">
      <c r="A2026" s="1">
        <v>2021</v>
      </c>
      <c r="B2026" s="1" t="s">
        <v>2</v>
      </c>
      <c r="C2026" s="1" t="str">
        <f>IF($B2026 = "Production Item", _xlfn.XLOOKUP($A2026, 'Instrument Table'!$J:$J, 'Instrument Table'!$B:$B, $C2025), IF($B2026 = "Service Item", _xlfn.XLOOKUP($A2026, 'Instrument Table'!$I:$I, 'Instrument Table'!$B:$B, $C2025), _xlfn.XLOOKUP($A2026, 'Instrument Table'!$H:$H, 'Instrument Table'!$B:$B, $C2025)))</f>
        <v>Clarinet</v>
      </c>
      <c r="D2026" s="1" t="str">
        <f>VLOOKUP($C2026, 'Instrument Table'!$B:$C, 2, FALSE)</f>
        <v>Woodwinds</v>
      </c>
      <c r="E2026" s="1">
        <f t="shared" si="186"/>
        <v>1</v>
      </c>
      <c r="F2026" s="1">
        <f>_xlfn.XLOOKUP($C2026, 'Instrument Table'!$B:$B, 'Instrument Table'!$A:$A, "")</f>
        <v>30</v>
      </c>
      <c r="G2026" s="1" t="str">
        <f>TEXT(IF($B2026 = "Retail Item", IF((ROW($A2026) - 4504 - _xlfn.XMATCH($C2026, $C$4506:$C$5005, 0, 1)) &lt;= VLOOKUP($C2026, 'Instrument Table'!$B:$D, 3, FALSE), ROW($A2026) - 4504 - _xlfn.XMATCH($C2026, $C$4506:$C$5005, 0, 1), 0), 0), "00")</f>
        <v>00</v>
      </c>
      <c r="H2026" s="1" t="str">
        <f t="shared" si="187"/>
        <v>270</v>
      </c>
      <c r="I2026" s="1" t="str">
        <f t="shared" si="188"/>
        <v>13000-270</v>
      </c>
      <c r="J2026" s="1" t="str">
        <f t="shared" si="189"/>
        <v>Clarinet production item #270</v>
      </c>
      <c r="K2026" s="1" t="str">
        <f>IF(SUM(COUNTIFS(I:I, I2026)) &gt; 1, "DUPLICATE", "UNIQUE")</f>
        <v>UNIQUE</v>
      </c>
      <c r="L2026" s="18">
        <v>0</v>
      </c>
      <c r="M2026" s="28">
        <v>45</v>
      </c>
      <c r="N2026" s="6">
        <v>121</v>
      </c>
      <c r="O2026" s="30">
        <f t="shared" si="190"/>
        <v>0</v>
      </c>
      <c r="P2026" s="30">
        <f t="shared" si="191"/>
        <v>5445</v>
      </c>
      <c r="Q2026" s="1">
        <f>COUNTIFS($P:$P, "&gt;" &amp; $P2026) + 1</f>
        <v>2362</v>
      </c>
      <c r="R2026" s="63">
        <f>(COUNTIFS($P:$P, "&gt;" &amp; $P2026) + 1) / (COUNTA($I:$I) - 1)</f>
        <v>0.47239999999999999</v>
      </c>
      <c r="S2026" s="23">
        <f>SUMIFS($P:$P, $Q:$Q, "&lt;" &amp; $Q2026)</f>
        <v>182413407</v>
      </c>
    </row>
    <row r="2027" spans="1:19" x14ac:dyDescent="0.25">
      <c r="A2027" s="1">
        <v>2022</v>
      </c>
      <c r="B2027" s="1" t="s">
        <v>2</v>
      </c>
      <c r="C2027" s="1" t="str">
        <f>IF($B2027 = "Production Item", _xlfn.XLOOKUP($A2027, 'Instrument Table'!$J:$J, 'Instrument Table'!$B:$B, $C2026), IF($B2027 = "Service Item", _xlfn.XLOOKUP($A2027, 'Instrument Table'!$I:$I, 'Instrument Table'!$B:$B, $C2026), _xlfn.XLOOKUP($A2027, 'Instrument Table'!$H:$H, 'Instrument Table'!$B:$B, $C2026)))</f>
        <v>Clarinet</v>
      </c>
      <c r="D2027" s="1" t="str">
        <f>VLOOKUP($C2027, 'Instrument Table'!$B:$C, 2, FALSE)</f>
        <v>Woodwinds</v>
      </c>
      <c r="E2027" s="1">
        <f t="shared" si="186"/>
        <v>1</v>
      </c>
      <c r="F2027" s="1">
        <f>_xlfn.XLOOKUP($C2027, 'Instrument Table'!$B:$B, 'Instrument Table'!$A:$A, "")</f>
        <v>30</v>
      </c>
      <c r="G2027" s="1" t="str">
        <f>TEXT(IF($B2027 = "Retail Item", IF((ROW($A2027) - 4504 - _xlfn.XMATCH($C2027, $C$4506:$C$5005, 0, 1)) &lt;= VLOOKUP($C2027, 'Instrument Table'!$B:$D, 3, FALSE), ROW($A2027) - 4504 - _xlfn.XMATCH($C2027, $C$4506:$C$5005, 0, 1), 0), 0), "00")</f>
        <v>00</v>
      </c>
      <c r="H2027" s="1" t="str">
        <f t="shared" si="187"/>
        <v>271</v>
      </c>
      <c r="I2027" s="1" t="str">
        <f t="shared" si="188"/>
        <v>13000-271</v>
      </c>
      <c r="J2027" s="1" t="str">
        <f t="shared" si="189"/>
        <v>Clarinet production item #271</v>
      </c>
      <c r="K2027" s="1" t="str">
        <f>IF(SUM(COUNTIFS(I:I, I2027)) &gt; 1, "DUPLICATE", "UNIQUE")</f>
        <v>UNIQUE</v>
      </c>
      <c r="L2027" s="18">
        <v>0</v>
      </c>
      <c r="M2027" s="28">
        <v>69</v>
      </c>
      <c r="N2027" s="6">
        <v>81</v>
      </c>
      <c r="O2027" s="30">
        <f t="shared" si="190"/>
        <v>0</v>
      </c>
      <c r="P2027" s="30">
        <f t="shared" si="191"/>
        <v>5589</v>
      </c>
      <c r="Q2027" s="1">
        <f>COUNTIFS($P:$P, "&gt;" &amp; $P2027) + 1</f>
        <v>2337</v>
      </c>
      <c r="R2027" s="63">
        <f>(COUNTIFS($P:$P, "&gt;" &amp; $P2027) + 1) / (COUNTA($I:$I) - 1)</f>
        <v>0.46739999999999998</v>
      </c>
      <c r="S2027" s="23">
        <f>SUMIFS($P:$P, $Q:$Q, "&lt;" &amp; $Q2027)</f>
        <v>182275320</v>
      </c>
    </row>
    <row r="2028" spans="1:19" x14ac:dyDescent="0.25">
      <c r="A2028" s="1">
        <v>2023</v>
      </c>
      <c r="B2028" s="1" t="s">
        <v>2</v>
      </c>
      <c r="C2028" s="1" t="str">
        <f>IF($B2028 = "Production Item", _xlfn.XLOOKUP($A2028, 'Instrument Table'!$J:$J, 'Instrument Table'!$B:$B, $C2027), IF($B2028 = "Service Item", _xlfn.XLOOKUP($A2028, 'Instrument Table'!$I:$I, 'Instrument Table'!$B:$B, $C2027), _xlfn.XLOOKUP($A2028, 'Instrument Table'!$H:$H, 'Instrument Table'!$B:$B, $C2027)))</f>
        <v>Clarinet</v>
      </c>
      <c r="D2028" s="1" t="str">
        <f>VLOOKUP($C2028, 'Instrument Table'!$B:$C, 2, FALSE)</f>
        <v>Woodwinds</v>
      </c>
      <c r="E2028" s="1">
        <f t="shared" si="186"/>
        <v>1</v>
      </c>
      <c r="F2028" s="1">
        <f>_xlfn.XLOOKUP($C2028, 'Instrument Table'!$B:$B, 'Instrument Table'!$A:$A, "")</f>
        <v>30</v>
      </c>
      <c r="G2028" s="1" t="str">
        <f>TEXT(IF($B2028 = "Retail Item", IF((ROW($A2028) - 4504 - _xlfn.XMATCH($C2028, $C$4506:$C$5005, 0, 1)) &lt;= VLOOKUP($C2028, 'Instrument Table'!$B:$D, 3, FALSE), ROW($A2028) - 4504 - _xlfn.XMATCH($C2028, $C$4506:$C$5005, 0, 1), 0), 0), "00")</f>
        <v>00</v>
      </c>
      <c r="H2028" s="1" t="str">
        <f t="shared" si="187"/>
        <v>272</v>
      </c>
      <c r="I2028" s="1" t="str">
        <f t="shared" si="188"/>
        <v>13000-272</v>
      </c>
      <c r="J2028" s="1" t="str">
        <f t="shared" si="189"/>
        <v>Clarinet production item #272</v>
      </c>
      <c r="K2028" s="1" t="str">
        <f>IF(SUM(COUNTIFS(I:I, I2028)) &gt; 1, "DUPLICATE", "UNIQUE")</f>
        <v>UNIQUE</v>
      </c>
      <c r="L2028" s="18">
        <v>1</v>
      </c>
      <c r="M2028" s="28">
        <v>70</v>
      </c>
      <c r="N2028" s="6">
        <v>289</v>
      </c>
      <c r="O2028" s="30">
        <f t="shared" si="190"/>
        <v>70</v>
      </c>
      <c r="P2028" s="30">
        <f t="shared" si="191"/>
        <v>20230</v>
      </c>
      <c r="Q2028" s="1">
        <f>COUNTIFS($P:$P, "&gt;" &amp; $P2028) + 1</f>
        <v>1043</v>
      </c>
      <c r="R2028" s="63">
        <f>(COUNTIFS($P:$P, "&gt;" &amp; $P2028) + 1) / (COUNTA($I:$I) - 1)</f>
        <v>0.20860000000000001</v>
      </c>
      <c r="S2028" s="23">
        <f>SUMIFS($P:$P, $Q:$Q, "&lt;" &amp; $Q2028)</f>
        <v>167380806</v>
      </c>
    </row>
    <row r="2029" spans="1:19" x14ac:dyDescent="0.25">
      <c r="A2029" s="1">
        <v>2024</v>
      </c>
      <c r="B2029" s="1" t="s">
        <v>2</v>
      </c>
      <c r="C2029" s="1" t="str">
        <f>IF($B2029 = "Production Item", _xlfn.XLOOKUP($A2029, 'Instrument Table'!$J:$J, 'Instrument Table'!$B:$B, $C2028), IF($B2029 = "Service Item", _xlfn.XLOOKUP($A2029, 'Instrument Table'!$I:$I, 'Instrument Table'!$B:$B, $C2028), _xlfn.XLOOKUP($A2029, 'Instrument Table'!$H:$H, 'Instrument Table'!$B:$B, $C2028)))</f>
        <v>Clarinet</v>
      </c>
      <c r="D2029" s="1" t="str">
        <f>VLOOKUP($C2029, 'Instrument Table'!$B:$C, 2, FALSE)</f>
        <v>Woodwinds</v>
      </c>
      <c r="E2029" s="1">
        <f t="shared" si="186"/>
        <v>1</v>
      </c>
      <c r="F2029" s="1">
        <f>_xlfn.XLOOKUP($C2029, 'Instrument Table'!$B:$B, 'Instrument Table'!$A:$A, "")</f>
        <v>30</v>
      </c>
      <c r="G2029" s="1" t="str">
        <f>TEXT(IF($B2029 = "Retail Item", IF((ROW($A2029) - 4504 - _xlfn.XMATCH($C2029, $C$4506:$C$5005, 0, 1)) &lt;= VLOOKUP($C2029, 'Instrument Table'!$B:$D, 3, FALSE), ROW($A2029) - 4504 - _xlfn.XMATCH($C2029, $C$4506:$C$5005, 0, 1), 0), 0), "00")</f>
        <v>00</v>
      </c>
      <c r="H2029" s="1" t="str">
        <f t="shared" si="187"/>
        <v>273</v>
      </c>
      <c r="I2029" s="1" t="str">
        <f t="shared" si="188"/>
        <v>13000-273</v>
      </c>
      <c r="J2029" s="1" t="str">
        <f t="shared" si="189"/>
        <v>Clarinet production item #273</v>
      </c>
      <c r="K2029" s="1" t="str">
        <f>IF(SUM(COUNTIFS(I:I, I2029)) &gt; 1, "DUPLICATE", "UNIQUE")</f>
        <v>UNIQUE</v>
      </c>
      <c r="L2029" s="18">
        <v>1</v>
      </c>
      <c r="M2029" s="28">
        <v>99</v>
      </c>
      <c r="N2029" s="6">
        <v>225</v>
      </c>
      <c r="O2029" s="30">
        <f t="shared" si="190"/>
        <v>99</v>
      </c>
      <c r="P2029" s="30">
        <f t="shared" si="191"/>
        <v>22275</v>
      </c>
      <c r="Q2029" s="1">
        <f>COUNTIFS($P:$P, "&gt;" &amp; $P2029) + 1</f>
        <v>937</v>
      </c>
      <c r="R2029" s="63">
        <f>(COUNTIFS($P:$P, "&gt;" &amp; $P2029) + 1) / (COUNTA($I:$I) - 1)</f>
        <v>0.18740000000000001</v>
      </c>
      <c r="S2029" s="23">
        <f>SUMIFS($P:$P, $Q:$Q, "&lt;" &amp; $Q2029)</f>
        <v>165120949</v>
      </c>
    </row>
    <row r="2030" spans="1:19" x14ac:dyDescent="0.25">
      <c r="A2030" s="1">
        <v>2025</v>
      </c>
      <c r="B2030" s="1" t="s">
        <v>2</v>
      </c>
      <c r="C2030" s="1" t="str">
        <f>IF($B2030 = "Production Item", _xlfn.XLOOKUP($A2030, 'Instrument Table'!$J:$J, 'Instrument Table'!$B:$B, $C2029), IF($B2030 = "Service Item", _xlfn.XLOOKUP($A2030, 'Instrument Table'!$I:$I, 'Instrument Table'!$B:$B, $C2029), _xlfn.XLOOKUP($A2030, 'Instrument Table'!$H:$H, 'Instrument Table'!$B:$B, $C2029)))</f>
        <v>Clarinet</v>
      </c>
      <c r="D2030" s="1" t="str">
        <f>VLOOKUP($C2030, 'Instrument Table'!$B:$C, 2, FALSE)</f>
        <v>Woodwinds</v>
      </c>
      <c r="E2030" s="1">
        <f t="shared" si="186"/>
        <v>1</v>
      </c>
      <c r="F2030" s="1">
        <f>_xlfn.XLOOKUP($C2030, 'Instrument Table'!$B:$B, 'Instrument Table'!$A:$A, "")</f>
        <v>30</v>
      </c>
      <c r="G2030" s="1" t="str">
        <f>TEXT(IF($B2030 = "Retail Item", IF((ROW($A2030) - 4504 - _xlfn.XMATCH($C2030, $C$4506:$C$5005, 0, 1)) &lt;= VLOOKUP($C2030, 'Instrument Table'!$B:$D, 3, FALSE), ROW($A2030) - 4504 - _xlfn.XMATCH($C2030, $C$4506:$C$5005, 0, 1), 0), 0), "00")</f>
        <v>00</v>
      </c>
      <c r="H2030" s="1" t="str">
        <f t="shared" si="187"/>
        <v>274</v>
      </c>
      <c r="I2030" s="1" t="str">
        <f t="shared" si="188"/>
        <v>13000-274</v>
      </c>
      <c r="J2030" s="1" t="str">
        <f t="shared" si="189"/>
        <v>Clarinet production item #274</v>
      </c>
      <c r="K2030" s="1" t="str">
        <f>IF(SUM(COUNTIFS(I:I, I2030)) &gt; 1, "DUPLICATE", "UNIQUE")</f>
        <v>UNIQUE</v>
      </c>
      <c r="L2030" s="18">
        <v>8</v>
      </c>
      <c r="M2030" s="28">
        <v>79</v>
      </c>
      <c r="N2030" s="6">
        <v>256</v>
      </c>
      <c r="O2030" s="30">
        <f t="shared" si="190"/>
        <v>632</v>
      </c>
      <c r="P2030" s="30">
        <f t="shared" si="191"/>
        <v>20224</v>
      </c>
      <c r="Q2030" s="1">
        <f>COUNTIFS($P:$P, "&gt;" &amp; $P2030) + 1</f>
        <v>1048</v>
      </c>
      <c r="R2030" s="63">
        <f>(COUNTIFS($P:$P, "&gt;" &amp; $P2030) + 1) / (COUNTA($I:$I) - 1)</f>
        <v>0.20960000000000001</v>
      </c>
      <c r="S2030" s="23">
        <f>SUMIFS($P:$P, $Q:$Q, "&lt;" &amp; $Q2030)</f>
        <v>167481956</v>
      </c>
    </row>
    <row r="2031" spans="1:19" x14ac:dyDescent="0.25">
      <c r="A2031" s="1">
        <v>2026</v>
      </c>
      <c r="B2031" s="1" t="s">
        <v>2</v>
      </c>
      <c r="C2031" s="1" t="str">
        <f>IF($B2031 = "Production Item", _xlfn.XLOOKUP($A2031, 'Instrument Table'!$J:$J, 'Instrument Table'!$B:$B, $C2030), IF($B2031 = "Service Item", _xlfn.XLOOKUP($A2031, 'Instrument Table'!$I:$I, 'Instrument Table'!$B:$B, $C2030), _xlfn.XLOOKUP($A2031, 'Instrument Table'!$H:$H, 'Instrument Table'!$B:$B, $C2030)))</f>
        <v>Clarinet</v>
      </c>
      <c r="D2031" s="1" t="str">
        <f>VLOOKUP($C2031, 'Instrument Table'!$B:$C, 2, FALSE)</f>
        <v>Woodwinds</v>
      </c>
      <c r="E2031" s="1">
        <f t="shared" si="186"/>
        <v>1</v>
      </c>
      <c r="F2031" s="1">
        <f>_xlfn.XLOOKUP($C2031, 'Instrument Table'!$B:$B, 'Instrument Table'!$A:$A, "")</f>
        <v>30</v>
      </c>
      <c r="G2031" s="1" t="str">
        <f>TEXT(IF($B2031 = "Retail Item", IF((ROW($A2031) - 4504 - _xlfn.XMATCH($C2031, $C$4506:$C$5005, 0, 1)) &lt;= VLOOKUP($C2031, 'Instrument Table'!$B:$D, 3, FALSE), ROW($A2031) - 4504 - _xlfn.XMATCH($C2031, $C$4506:$C$5005, 0, 1), 0), 0), "00")</f>
        <v>00</v>
      </c>
      <c r="H2031" s="1" t="str">
        <f t="shared" si="187"/>
        <v>275</v>
      </c>
      <c r="I2031" s="1" t="str">
        <f t="shared" si="188"/>
        <v>13000-275</v>
      </c>
      <c r="J2031" s="1" t="str">
        <f t="shared" si="189"/>
        <v>Clarinet production item #275</v>
      </c>
      <c r="K2031" s="1" t="str">
        <f>IF(SUM(COUNTIFS(I:I, I2031)) &gt; 1, "DUPLICATE", "UNIQUE")</f>
        <v>UNIQUE</v>
      </c>
      <c r="L2031" s="18">
        <v>1</v>
      </c>
      <c r="M2031" s="28">
        <v>41</v>
      </c>
      <c r="N2031" s="6">
        <v>64</v>
      </c>
      <c r="O2031" s="30">
        <f t="shared" si="190"/>
        <v>41</v>
      </c>
      <c r="P2031" s="30">
        <f t="shared" si="191"/>
        <v>2624</v>
      </c>
      <c r="Q2031" s="1">
        <f>COUNTIFS($P:$P, "&gt;" &amp; $P2031) + 1</f>
        <v>3002</v>
      </c>
      <c r="R2031" s="63">
        <f>(COUNTIFS($P:$P, "&gt;" &amp; $P2031) + 1) / (COUNTA($I:$I) - 1)</f>
        <v>0.60040000000000004</v>
      </c>
      <c r="S2031" s="23">
        <f>SUMIFS($P:$P, $Q:$Q, "&lt;" &amp; $Q2031)</f>
        <v>184937374</v>
      </c>
    </row>
    <row r="2032" spans="1:19" x14ac:dyDescent="0.25">
      <c r="A2032" s="1">
        <v>2027</v>
      </c>
      <c r="B2032" s="1" t="s">
        <v>2</v>
      </c>
      <c r="C2032" s="1" t="str">
        <f>IF($B2032 = "Production Item", _xlfn.XLOOKUP($A2032, 'Instrument Table'!$J:$J, 'Instrument Table'!$B:$B, $C2031), IF($B2032 = "Service Item", _xlfn.XLOOKUP($A2032, 'Instrument Table'!$I:$I, 'Instrument Table'!$B:$B, $C2031), _xlfn.XLOOKUP($A2032, 'Instrument Table'!$H:$H, 'Instrument Table'!$B:$B, $C2031)))</f>
        <v>Clarinet</v>
      </c>
      <c r="D2032" s="1" t="str">
        <f>VLOOKUP($C2032, 'Instrument Table'!$B:$C, 2, FALSE)</f>
        <v>Woodwinds</v>
      </c>
      <c r="E2032" s="1">
        <f t="shared" si="186"/>
        <v>1</v>
      </c>
      <c r="F2032" s="1">
        <f>_xlfn.XLOOKUP($C2032, 'Instrument Table'!$B:$B, 'Instrument Table'!$A:$A, "")</f>
        <v>30</v>
      </c>
      <c r="G2032" s="1" t="str">
        <f>TEXT(IF($B2032 = "Retail Item", IF((ROW($A2032) - 4504 - _xlfn.XMATCH($C2032, $C$4506:$C$5005, 0, 1)) &lt;= VLOOKUP($C2032, 'Instrument Table'!$B:$D, 3, FALSE), ROW($A2032) - 4504 - _xlfn.XMATCH($C2032, $C$4506:$C$5005, 0, 1), 0), 0), "00")</f>
        <v>00</v>
      </c>
      <c r="H2032" s="1" t="str">
        <f t="shared" si="187"/>
        <v>276</v>
      </c>
      <c r="I2032" s="1" t="str">
        <f t="shared" si="188"/>
        <v>13000-276</v>
      </c>
      <c r="J2032" s="1" t="str">
        <f t="shared" si="189"/>
        <v>Clarinet production item #276</v>
      </c>
      <c r="K2032" s="1" t="str">
        <f>IF(SUM(COUNTIFS(I:I, I2032)) &gt; 1, "DUPLICATE", "UNIQUE")</f>
        <v>UNIQUE</v>
      </c>
      <c r="L2032" s="18">
        <v>1</v>
      </c>
      <c r="M2032" s="28">
        <v>19</v>
      </c>
      <c r="N2032" s="6">
        <v>400</v>
      </c>
      <c r="O2032" s="30">
        <f t="shared" si="190"/>
        <v>19</v>
      </c>
      <c r="P2032" s="30">
        <f t="shared" si="191"/>
        <v>7600</v>
      </c>
      <c r="Q2032" s="1">
        <f>COUNTIFS($P:$P, "&gt;" &amp; $P2032) + 1</f>
        <v>2061</v>
      </c>
      <c r="R2032" s="63">
        <f>(COUNTIFS($P:$P, "&gt;" &amp; $P2032) + 1) / (COUNTA($I:$I) - 1)</f>
        <v>0.41220000000000001</v>
      </c>
      <c r="S2032" s="23">
        <f>SUMIFS($P:$P, $Q:$Q, "&lt;" &amp; $Q2032)</f>
        <v>180468906</v>
      </c>
    </row>
    <row r="2033" spans="1:19" x14ac:dyDescent="0.25">
      <c r="A2033" s="1">
        <v>2028</v>
      </c>
      <c r="B2033" s="1" t="s">
        <v>2</v>
      </c>
      <c r="C2033" s="1" t="str">
        <f>IF($B2033 = "Production Item", _xlfn.XLOOKUP($A2033, 'Instrument Table'!$J:$J, 'Instrument Table'!$B:$B, $C2032), IF($B2033 = "Service Item", _xlfn.XLOOKUP($A2033, 'Instrument Table'!$I:$I, 'Instrument Table'!$B:$B, $C2032), _xlfn.XLOOKUP($A2033, 'Instrument Table'!$H:$H, 'Instrument Table'!$B:$B, $C2032)))</f>
        <v>Clarinet</v>
      </c>
      <c r="D2033" s="1" t="str">
        <f>VLOOKUP($C2033, 'Instrument Table'!$B:$C, 2, FALSE)</f>
        <v>Woodwinds</v>
      </c>
      <c r="E2033" s="1">
        <f t="shared" si="186"/>
        <v>1</v>
      </c>
      <c r="F2033" s="1">
        <f>_xlfn.XLOOKUP($C2033, 'Instrument Table'!$B:$B, 'Instrument Table'!$A:$A, "")</f>
        <v>30</v>
      </c>
      <c r="G2033" s="1" t="str">
        <f>TEXT(IF($B2033 = "Retail Item", IF((ROW($A2033) - 4504 - _xlfn.XMATCH($C2033, $C$4506:$C$5005, 0, 1)) &lt;= VLOOKUP($C2033, 'Instrument Table'!$B:$D, 3, FALSE), ROW($A2033) - 4504 - _xlfn.XMATCH($C2033, $C$4506:$C$5005, 0, 1), 0), 0), "00")</f>
        <v>00</v>
      </c>
      <c r="H2033" s="1" t="str">
        <f t="shared" si="187"/>
        <v>277</v>
      </c>
      <c r="I2033" s="1" t="str">
        <f t="shared" si="188"/>
        <v>13000-277</v>
      </c>
      <c r="J2033" s="1" t="str">
        <f t="shared" si="189"/>
        <v>Clarinet production item #277</v>
      </c>
      <c r="K2033" s="1" t="str">
        <f>IF(SUM(COUNTIFS(I:I, I2033)) &gt; 1, "DUPLICATE", "UNIQUE")</f>
        <v>UNIQUE</v>
      </c>
      <c r="L2033" s="18">
        <v>0</v>
      </c>
      <c r="M2033" s="28">
        <v>36</v>
      </c>
      <c r="N2033" s="6">
        <v>81</v>
      </c>
      <c r="O2033" s="30">
        <f t="shared" si="190"/>
        <v>0</v>
      </c>
      <c r="P2033" s="30">
        <f t="shared" si="191"/>
        <v>2916</v>
      </c>
      <c r="Q2033" s="1">
        <f>COUNTIFS($P:$P, "&gt;" &amp; $P2033) + 1</f>
        <v>2925</v>
      </c>
      <c r="R2033" s="63">
        <f>(COUNTIFS($P:$P, "&gt;" &amp; $P2033) + 1) / (COUNTA($I:$I) - 1)</f>
        <v>0.58499999999999996</v>
      </c>
      <c r="S2033" s="23">
        <f>SUMIFS($P:$P, $Q:$Q, "&lt;" &amp; $Q2033)</f>
        <v>184722737</v>
      </c>
    </row>
    <row r="2034" spans="1:19" x14ac:dyDescent="0.25">
      <c r="A2034" s="1">
        <v>2029</v>
      </c>
      <c r="B2034" s="1" t="s">
        <v>2</v>
      </c>
      <c r="C2034" s="1" t="str">
        <f>IF($B2034 = "Production Item", _xlfn.XLOOKUP($A2034, 'Instrument Table'!$J:$J, 'Instrument Table'!$B:$B, $C2033), IF($B2034 = "Service Item", _xlfn.XLOOKUP($A2034, 'Instrument Table'!$I:$I, 'Instrument Table'!$B:$B, $C2033), _xlfn.XLOOKUP($A2034, 'Instrument Table'!$H:$H, 'Instrument Table'!$B:$B, $C2033)))</f>
        <v>Clarinet</v>
      </c>
      <c r="D2034" s="1" t="str">
        <f>VLOOKUP($C2034, 'Instrument Table'!$B:$C, 2, FALSE)</f>
        <v>Woodwinds</v>
      </c>
      <c r="E2034" s="1">
        <f t="shared" si="186"/>
        <v>1</v>
      </c>
      <c r="F2034" s="1">
        <f>_xlfn.XLOOKUP($C2034, 'Instrument Table'!$B:$B, 'Instrument Table'!$A:$A, "")</f>
        <v>30</v>
      </c>
      <c r="G2034" s="1" t="str">
        <f>TEXT(IF($B2034 = "Retail Item", IF((ROW($A2034) - 4504 - _xlfn.XMATCH($C2034, $C$4506:$C$5005, 0, 1)) &lt;= VLOOKUP($C2034, 'Instrument Table'!$B:$D, 3, FALSE), ROW($A2034) - 4504 - _xlfn.XMATCH($C2034, $C$4506:$C$5005, 0, 1), 0), 0), "00")</f>
        <v>00</v>
      </c>
      <c r="H2034" s="1" t="str">
        <f t="shared" si="187"/>
        <v>278</v>
      </c>
      <c r="I2034" s="1" t="str">
        <f t="shared" si="188"/>
        <v>13000-278</v>
      </c>
      <c r="J2034" s="1" t="str">
        <f t="shared" si="189"/>
        <v>Clarinet production item #278</v>
      </c>
      <c r="K2034" s="1" t="str">
        <f>IF(SUM(COUNTIFS(I:I, I2034)) &gt; 1, "DUPLICATE", "UNIQUE")</f>
        <v>UNIQUE</v>
      </c>
      <c r="L2034" s="18">
        <v>1</v>
      </c>
      <c r="M2034" s="28">
        <v>13</v>
      </c>
      <c r="N2034" s="6">
        <v>289</v>
      </c>
      <c r="O2034" s="30">
        <f t="shared" si="190"/>
        <v>13</v>
      </c>
      <c r="P2034" s="30">
        <f t="shared" si="191"/>
        <v>3757</v>
      </c>
      <c r="Q2034" s="1">
        <f>COUNTIFS($P:$P, "&gt;" &amp; $P2034) + 1</f>
        <v>2704</v>
      </c>
      <c r="R2034" s="63">
        <f>(COUNTIFS($P:$P, "&gt;" &amp; $P2034) + 1) / (COUNTA($I:$I) - 1)</f>
        <v>0.54079999999999995</v>
      </c>
      <c r="S2034" s="23">
        <f>SUMIFS($P:$P, $Q:$Q, "&lt;" &amp; $Q2034)</f>
        <v>183981858</v>
      </c>
    </row>
    <row r="2035" spans="1:19" x14ac:dyDescent="0.25">
      <c r="A2035" s="1">
        <v>2030</v>
      </c>
      <c r="B2035" s="1" t="s">
        <v>2</v>
      </c>
      <c r="C2035" s="1" t="str">
        <f>IF($B2035 = "Production Item", _xlfn.XLOOKUP($A2035, 'Instrument Table'!$J:$J, 'Instrument Table'!$B:$B, $C2034), IF($B2035 = "Service Item", _xlfn.XLOOKUP($A2035, 'Instrument Table'!$I:$I, 'Instrument Table'!$B:$B, $C2034), _xlfn.XLOOKUP($A2035, 'Instrument Table'!$H:$H, 'Instrument Table'!$B:$B, $C2034)))</f>
        <v>Clarinet</v>
      </c>
      <c r="D2035" s="1" t="str">
        <f>VLOOKUP($C2035, 'Instrument Table'!$B:$C, 2, FALSE)</f>
        <v>Woodwinds</v>
      </c>
      <c r="E2035" s="1">
        <f t="shared" si="186"/>
        <v>1</v>
      </c>
      <c r="F2035" s="1">
        <f>_xlfn.XLOOKUP($C2035, 'Instrument Table'!$B:$B, 'Instrument Table'!$A:$A, "")</f>
        <v>30</v>
      </c>
      <c r="G2035" s="1" t="str">
        <f>TEXT(IF($B2035 = "Retail Item", IF((ROW($A2035) - 4504 - _xlfn.XMATCH($C2035, $C$4506:$C$5005, 0, 1)) &lt;= VLOOKUP($C2035, 'Instrument Table'!$B:$D, 3, FALSE), ROW($A2035) - 4504 - _xlfn.XMATCH($C2035, $C$4506:$C$5005, 0, 1), 0), 0), "00")</f>
        <v>00</v>
      </c>
      <c r="H2035" s="1" t="str">
        <f t="shared" si="187"/>
        <v>279</v>
      </c>
      <c r="I2035" s="1" t="str">
        <f t="shared" si="188"/>
        <v>13000-279</v>
      </c>
      <c r="J2035" s="1" t="str">
        <f t="shared" si="189"/>
        <v>Clarinet production item #279</v>
      </c>
      <c r="K2035" s="1" t="str">
        <f>IF(SUM(COUNTIFS(I:I, I2035)) &gt; 1, "DUPLICATE", "UNIQUE")</f>
        <v>UNIQUE</v>
      </c>
      <c r="L2035" s="18">
        <v>2</v>
      </c>
      <c r="M2035" s="28">
        <v>28</v>
      </c>
      <c r="N2035" s="6">
        <v>9</v>
      </c>
      <c r="O2035" s="30">
        <f t="shared" si="190"/>
        <v>56</v>
      </c>
      <c r="P2035" s="30">
        <f t="shared" si="191"/>
        <v>252</v>
      </c>
      <c r="Q2035" s="1">
        <f>COUNTIFS($P:$P, "&gt;" &amp; $P2035) + 1</f>
        <v>4269</v>
      </c>
      <c r="R2035" s="63">
        <f>(COUNTIFS($P:$P, "&gt;" &amp; $P2035) + 1) / (COUNTA($I:$I) - 1)</f>
        <v>0.8538</v>
      </c>
      <c r="S2035" s="23">
        <f>SUMIFS($P:$P, $Q:$Q, "&lt;" &amp; $Q2035)</f>
        <v>186500011</v>
      </c>
    </row>
    <row r="2036" spans="1:19" x14ac:dyDescent="0.25">
      <c r="A2036" s="1">
        <v>2031</v>
      </c>
      <c r="B2036" s="1" t="s">
        <v>2</v>
      </c>
      <c r="C2036" s="1" t="str">
        <f>IF($B2036 = "Production Item", _xlfn.XLOOKUP($A2036, 'Instrument Table'!$J:$J, 'Instrument Table'!$B:$B, $C2035), IF($B2036 = "Service Item", _xlfn.XLOOKUP($A2036, 'Instrument Table'!$I:$I, 'Instrument Table'!$B:$B, $C2035), _xlfn.XLOOKUP($A2036, 'Instrument Table'!$H:$H, 'Instrument Table'!$B:$B, $C2035)))</f>
        <v>Clarinet</v>
      </c>
      <c r="D2036" s="1" t="str">
        <f>VLOOKUP($C2036, 'Instrument Table'!$B:$C, 2, FALSE)</f>
        <v>Woodwinds</v>
      </c>
      <c r="E2036" s="1">
        <f t="shared" si="186"/>
        <v>1</v>
      </c>
      <c r="F2036" s="1">
        <f>_xlfn.XLOOKUP($C2036, 'Instrument Table'!$B:$B, 'Instrument Table'!$A:$A, "")</f>
        <v>30</v>
      </c>
      <c r="G2036" s="1" t="str">
        <f>TEXT(IF($B2036 = "Retail Item", IF((ROW($A2036) - 4504 - _xlfn.XMATCH($C2036, $C$4506:$C$5005, 0, 1)) &lt;= VLOOKUP($C2036, 'Instrument Table'!$B:$D, 3, FALSE), ROW($A2036) - 4504 - _xlfn.XMATCH($C2036, $C$4506:$C$5005, 0, 1), 0), 0), "00")</f>
        <v>00</v>
      </c>
      <c r="H2036" s="1" t="str">
        <f t="shared" si="187"/>
        <v>280</v>
      </c>
      <c r="I2036" s="1" t="str">
        <f t="shared" si="188"/>
        <v>13000-280</v>
      </c>
      <c r="J2036" s="1" t="str">
        <f t="shared" si="189"/>
        <v>Clarinet production item #280</v>
      </c>
      <c r="K2036" s="1" t="str">
        <f>IF(SUM(COUNTIFS(I:I, I2036)) &gt; 1, "DUPLICATE", "UNIQUE")</f>
        <v>UNIQUE</v>
      </c>
      <c r="L2036" s="18">
        <v>8</v>
      </c>
      <c r="M2036" s="28">
        <v>27</v>
      </c>
      <c r="N2036" s="6">
        <v>144</v>
      </c>
      <c r="O2036" s="30">
        <f t="shared" si="190"/>
        <v>216</v>
      </c>
      <c r="P2036" s="30">
        <f t="shared" si="191"/>
        <v>3888</v>
      </c>
      <c r="Q2036" s="1">
        <f>COUNTIFS($P:$P, "&gt;" &amp; $P2036) + 1</f>
        <v>2679</v>
      </c>
      <c r="R2036" s="63">
        <f>(COUNTIFS($P:$P, "&gt;" &amp; $P2036) + 1) / (COUNTA($I:$I) - 1)</f>
        <v>0.53580000000000005</v>
      </c>
      <c r="S2036" s="23">
        <f>SUMIFS($P:$P, $Q:$Q, "&lt;" &amp; $Q2036)</f>
        <v>183885792</v>
      </c>
    </row>
    <row r="2037" spans="1:19" x14ac:dyDescent="0.25">
      <c r="A2037" s="1">
        <v>2032</v>
      </c>
      <c r="B2037" s="1" t="s">
        <v>2</v>
      </c>
      <c r="C2037" s="1" t="str">
        <f>IF($B2037 = "Production Item", _xlfn.XLOOKUP($A2037, 'Instrument Table'!$J:$J, 'Instrument Table'!$B:$B, $C2036), IF($B2037 = "Service Item", _xlfn.XLOOKUP($A2037, 'Instrument Table'!$I:$I, 'Instrument Table'!$B:$B, $C2036), _xlfn.XLOOKUP($A2037, 'Instrument Table'!$H:$H, 'Instrument Table'!$B:$B, $C2036)))</f>
        <v>Clarinet</v>
      </c>
      <c r="D2037" s="1" t="str">
        <f>VLOOKUP($C2037, 'Instrument Table'!$B:$C, 2, FALSE)</f>
        <v>Woodwinds</v>
      </c>
      <c r="E2037" s="1">
        <f t="shared" si="186"/>
        <v>1</v>
      </c>
      <c r="F2037" s="1">
        <f>_xlfn.XLOOKUP($C2037, 'Instrument Table'!$B:$B, 'Instrument Table'!$A:$A, "")</f>
        <v>30</v>
      </c>
      <c r="G2037" s="1" t="str">
        <f>TEXT(IF($B2037 = "Retail Item", IF((ROW($A2037) - 4504 - _xlfn.XMATCH($C2037, $C$4506:$C$5005, 0, 1)) &lt;= VLOOKUP($C2037, 'Instrument Table'!$B:$D, 3, FALSE), ROW($A2037) - 4504 - _xlfn.XMATCH($C2037, $C$4506:$C$5005, 0, 1), 0), 0), "00")</f>
        <v>00</v>
      </c>
      <c r="H2037" s="1" t="str">
        <f t="shared" si="187"/>
        <v>281</v>
      </c>
      <c r="I2037" s="1" t="str">
        <f t="shared" si="188"/>
        <v>13000-281</v>
      </c>
      <c r="J2037" s="1" t="str">
        <f t="shared" si="189"/>
        <v>Clarinet production item #281</v>
      </c>
      <c r="K2037" s="1" t="str">
        <f>IF(SUM(COUNTIFS(I:I, I2037)) &gt; 1, "DUPLICATE", "UNIQUE")</f>
        <v>UNIQUE</v>
      </c>
      <c r="L2037" s="18">
        <v>0</v>
      </c>
      <c r="M2037" s="28">
        <v>73</v>
      </c>
      <c r="N2037" s="6">
        <v>64</v>
      </c>
      <c r="O2037" s="30">
        <f t="shared" si="190"/>
        <v>0</v>
      </c>
      <c r="P2037" s="30">
        <f t="shared" si="191"/>
        <v>4672</v>
      </c>
      <c r="Q2037" s="1">
        <f>COUNTIFS($P:$P, "&gt;" &amp; $P2037) + 1</f>
        <v>2509</v>
      </c>
      <c r="R2037" s="63">
        <f>(COUNTIFS($P:$P, "&gt;" &amp; $P2037) + 1) / (COUNTA($I:$I) - 1)</f>
        <v>0.50180000000000002</v>
      </c>
      <c r="S2037" s="23">
        <f>SUMIFS($P:$P, $Q:$Q, "&lt;" &amp; $Q2037)</f>
        <v>183157566</v>
      </c>
    </row>
    <row r="2038" spans="1:19" x14ac:dyDescent="0.25">
      <c r="A2038" s="1">
        <v>2033</v>
      </c>
      <c r="B2038" s="1" t="s">
        <v>2</v>
      </c>
      <c r="C2038" s="1" t="str">
        <f>IF($B2038 = "Production Item", _xlfn.XLOOKUP($A2038, 'Instrument Table'!$J:$J, 'Instrument Table'!$B:$B, $C2037), IF($B2038 = "Service Item", _xlfn.XLOOKUP($A2038, 'Instrument Table'!$I:$I, 'Instrument Table'!$B:$B, $C2037), _xlfn.XLOOKUP($A2038, 'Instrument Table'!$H:$H, 'Instrument Table'!$B:$B, $C2037)))</f>
        <v>Clarinet</v>
      </c>
      <c r="D2038" s="1" t="str">
        <f>VLOOKUP($C2038, 'Instrument Table'!$B:$C, 2, FALSE)</f>
        <v>Woodwinds</v>
      </c>
      <c r="E2038" s="1">
        <f t="shared" si="186"/>
        <v>1</v>
      </c>
      <c r="F2038" s="1">
        <f>_xlfn.XLOOKUP($C2038, 'Instrument Table'!$B:$B, 'Instrument Table'!$A:$A, "")</f>
        <v>30</v>
      </c>
      <c r="G2038" s="1" t="str">
        <f>TEXT(IF($B2038 = "Retail Item", IF((ROW($A2038) - 4504 - _xlfn.XMATCH($C2038, $C$4506:$C$5005, 0, 1)) &lt;= VLOOKUP($C2038, 'Instrument Table'!$B:$D, 3, FALSE), ROW($A2038) - 4504 - _xlfn.XMATCH($C2038, $C$4506:$C$5005, 0, 1), 0), 0), "00")</f>
        <v>00</v>
      </c>
      <c r="H2038" s="1" t="str">
        <f t="shared" si="187"/>
        <v>282</v>
      </c>
      <c r="I2038" s="1" t="str">
        <f t="shared" si="188"/>
        <v>13000-282</v>
      </c>
      <c r="J2038" s="1" t="str">
        <f t="shared" si="189"/>
        <v>Clarinet production item #282</v>
      </c>
      <c r="K2038" s="1" t="str">
        <f>IF(SUM(COUNTIFS(I:I, I2038)) &gt; 1, "DUPLICATE", "UNIQUE")</f>
        <v>UNIQUE</v>
      </c>
      <c r="L2038" s="18">
        <v>32</v>
      </c>
      <c r="M2038" s="28">
        <v>89</v>
      </c>
      <c r="N2038" s="6">
        <v>100</v>
      </c>
      <c r="O2038" s="30">
        <f t="shared" si="190"/>
        <v>2848</v>
      </c>
      <c r="P2038" s="30">
        <f t="shared" si="191"/>
        <v>8900</v>
      </c>
      <c r="Q2038" s="1">
        <f>COUNTIFS($P:$P, "&gt;" &amp; $P2038) + 1</f>
        <v>1886</v>
      </c>
      <c r="R2038" s="63">
        <f>(COUNTIFS($P:$P, "&gt;" &amp; $P2038) + 1) / (COUNTA($I:$I) - 1)</f>
        <v>0.37719999999999998</v>
      </c>
      <c r="S2038" s="23">
        <f>SUMIFS($P:$P, $Q:$Q, "&lt;" &amp; $Q2038)</f>
        <v>179039555</v>
      </c>
    </row>
    <row r="2039" spans="1:19" x14ac:dyDescent="0.25">
      <c r="A2039" s="1">
        <v>2034</v>
      </c>
      <c r="B2039" s="1" t="s">
        <v>2</v>
      </c>
      <c r="C2039" s="1" t="str">
        <f>IF($B2039 = "Production Item", _xlfn.XLOOKUP($A2039, 'Instrument Table'!$J:$J, 'Instrument Table'!$B:$B, $C2038), IF($B2039 = "Service Item", _xlfn.XLOOKUP($A2039, 'Instrument Table'!$I:$I, 'Instrument Table'!$B:$B, $C2038), _xlfn.XLOOKUP($A2039, 'Instrument Table'!$H:$H, 'Instrument Table'!$B:$B, $C2038)))</f>
        <v>Clarinet</v>
      </c>
      <c r="D2039" s="1" t="str">
        <f>VLOOKUP($C2039, 'Instrument Table'!$B:$C, 2, FALSE)</f>
        <v>Woodwinds</v>
      </c>
      <c r="E2039" s="1">
        <f t="shared" si="186"/>
        <v>1</v>
      </c>
      <c r="F2039" s="1">
        <f>_xlfn.XLOOKUP($C2039, 'Instrument Table'!$B:$B, 'Instrument Table'!$A:$A, "")</f>
        <v>30</v>
      </c>
      <c r="G2039" s="1" t="str">
        <f>TEXT(IF($B2039 = "Retail Item", IF((ROW($A2039) - 4504 - _xlfn.XMATCH($C2039, $C$4506:$C$5005, 0, 1)) &lt;= VLOOKUP($C2039, 'Instrument Table'!$B:$D, 3, FALSE), ROW($A2039) - 4504 - _xlfn.XMATCH($C2039, $C$4506:$C$5005, 0, 1), 0), 0), "00")</f>
        <v>00</v>
      </c>
      <c r="H2039" s="1" t="str">
        <f t="shared" si="187"/>
        <v>283</v>
      </c>
      <c r="I2039" s="1" t="str">
        <f t="shared" si="188"/>
        <v>13000-283</v>
      </c>
      <c r="J2039" s="1" t="str">
        <f t="shared" si="189"/>
        <v>Clarinet production item #283</v>
      </c>
      <c r="K2039" s="1" t="str">
        <f>IF(SUM(COUNTIFS(I:I, I2039)) &gt; 1, "DUPLICATE", "UNIQUE")</f>
        <v>UNIQUE</v>
      </c>
      <c r="L2039" s="18">
        <v>0</v>
      </c>
      <c r="M2039" s="28">
        <v>3</v>
      </c>
      <c r="N2039" s="6">
        <v>81</v>
      </c>
      <c r="O2039" s="30">
        <f t="shared" si="190"/>
        <v>0</v>
      </c>
      <c r="P2039" s="30">
        <f t="shared" si="191"/>
        <v>243</v>
      </c>
      <c r="Q2039" s="1">
        <f>COUNTIFS($P:$P, "&gt;" &amp; $P2039) + 1</f>
        <v>4281</v>
      </c>
      <c r="R2039" s="63">
        <f>(COUNTIFS($P:$P, "&gt;" &amp; $P2039) + 1) / (COUNTA($I:$I) - 1)</f>
        <v>0.85619999999999996</v>
      </c>
      <c r="S2039" s="23">
        <f>SUMIFS($P:$P, $Q:$Q, "&lt;" &amp; $Q2039)</f>
        <v>186503016</v>
      </c>
    </row>
    <row r="2040" spans="1:19" x14ac:dyDescent="0.25">
      <c r="A2040" s="1">
        <v>2035</v>
      </c>
      <c r="B2040" s="1" t="s">
        <v>2</v>
      </c>
      <c r="C2040" s="1" t="str">
        <f>IF($B2040 = "Production Item", _xlfn.XLOOKUP($A2040, 'Instrument Table'!$J:$J, 'Instrument Table'!$B:$B, $C2039), IF($B2040 = "Service Item", _xlfn.XLOOKUP($A2040, 'Instrument Table'!$I:$I, 'Instrument Table'!$B:$B, $C2039), _xlfn.XLOOKUP($A2040, 'Instrument Table'!$H:$H, 'Instrument Table'!$B:$B, $C2039)))</f>
        <v>Clarinet</v>
      </c>
      <c r="D2040" s="1" t="str">
        <f>VLOOKUP($C2040, 'Instrument Table'!$B:$C, 2, FALSE)</f>
        <v>Woodwinds</v>
      </c>
      <c r="E2040" s="1">
        <f t="shared" si="186"/>
        <v>1</v>
      </c>
      <c r="F2040" s="1">
        <f>_xlfn.XLOOKUP($C2040, 'Instrument Table'!$B:$B, 'Instrument Table'!$A:$A, "")</f>
        <v>30</v>
      </c>
      <c r="G2040" s="1" t="str">
        <f>TEXT(IF($B2040 = "Retail Item", IF((ROW($A2040) - 4504 - _xlfn.XMATCH($C2040, $C$4506:$C$5005, 0, 1)) &lt;= VLOOKUP($C2040, 'Instrument Table'!$B:$D, 3, FALSE), ROW($A2040) - 4504 - _xlfn.XMATCH($C2040, $C$4506:$C$5005, 0, 1), 0), 0), "00")</f>
        <v>00</v>
      </c>
      <c r="H2040" s="1" t="str">
        <f t="shared" si="187"/>
        <v>284</v>
      </c>
      <c r="I2040" s="1" t="str">
        <f t="shared" si="188"/>
        <v>13000-284</v>
      </c>
      <c r="J2040" s="1" t="str">
        <f t="shared" si="189"/>
        <v>Clarinet production item #284</v>
      </c>
      <c r="K2040" s="1" t="str">
        <f>IF(SUM(COUNTIFS(I:I, I2040)) &gt; 1, "DUPLICATE", "UNIQUE")</f>
        <v>UNIQUE</v>
      </c>
      <c r="L2040" s="18">
        <v>0</v>
      </c>
      <c r="M2040" s="28">
        <v>9</v>
      </c>
      <c r="N2040" s="6">
        <v>144</v>
      </c>
      <c r="O2040" s="30">
        <f t="shared" si="190"/>
        <v>0</v>
      </c>
      <c r="P2040" s="30">
        <f t="shared" si="191"/>
        <v>1296</v>
      </c>
      <c r="Q2040" s="1">
        <f>COUNTIFS($P:$P, "&gt;" &amp; $P2040) + 1</f>
        <v>3564</v>
      </c>
      <c r="R2040" s="63">
        <f>(COUNTIFS($P:$P, "&gt;" &amp; $P2040) + 1) / (COUNTA($I:$I) - 1)</f>
        <v>0.71279999999999999</v>
      </c>
      <c r="S2040" s="23">
        <f>SUMIFS($P:$P, $Q:$Q, "&lt;" &amp; $Q2040)</f>
        <v>186024528</v>
      </c>
    </row>
    <row r="2041" spans="1:19" x14ac:dyDescent="0.25">
      <c r="A2041" s="1">
        <v>2036</v>
      </c>
      <c r="B2041" s="1" t="s">
        <v>2</v>
      </c>
      <c r="C2041" s="1" t="str">
        <f>IF($B2041 = "Production Item", _xlfn.XLOOKUP($A2041, 'Instrument Table'!$J:$J, 'Instrument Table'!$B:$B, $C2040), IF($B2041 = "Service Item", _xlfn.XLOOKUP($A2041, 'Instrument Table'!$I:$I, 'Instrument Table'!$B:$B, $C2040), _xlfn.XLOOKUP($A2041, 'Instrument Table'!$H:$H, 'Instrument Table'!$B:$B, $C2040)))</f>
        <v>Clarinet</v>
      </c>
      <c r="D2041" s="1" t="str">
        <f>VLOOKUP($C2041, 'Instrument Table'!$B:$C, 2, FALSE)</f>
        <v>Woodwinds</v>
      </c>
      <c r="E2041" s="1">
        <f t="shared" si="186"/>
        <v>1</v>
      </c>
      <c r="F2041" s="1">
        <f>_xlfn.XLOOKUP($C2041, 'Instrument Table'!$B:$B, 'Instrument Table'!$A:$A, "")</f>
        <v>30</v>
      </c>
      <c r="G2041" s="1" t="str">
        <f>TEXT(IF($B2041 = "Retail Item", IF((ROW($A2041) - 4504 - _xlfn.XMATCH($C2041, $C$4506:$C$5005, 0, 1)) &lt;= VLOOKUP($C2041, 'Instrument Table'!$B:$D, 3, FALSE), ROW($A2041) - 4504 - _xlfn.XMATCH($C2041, $C$4506:$C$5005, 0, 1), 0), 0), "00")</f>
        <v>00</v>
      </c>
      <c r="H2041" s="1" t="str">
        <f t="shared" si="187"/>
        <v>285</v>
      </c>
      <c r="I2041" s="1" t="str">
        <f t="shared" si="188"/>
        <v>13000-285</v>
      </c>
      <c r="J2041" s="1" t="str">
        <f t="shared" si="189"/>
        <v>Clarinet production item #285</v>
      </c>
      <c r="K2041" s="1" t="str">
        <f>IF(SUM(COUNTIFS(I:I, I2041)) &gt; 1, "DUPLICATE", "UNIQUE")</f>
        <v>UNIQUE</v>
      </c>
      <c r="L2041" s="18">
        <v>1</v>
      </c>
      <c r="M2041" s="28">
        <v>3</v>
      </c>
      <c r="N2041" s="6">
        <v>225</v>
      </c>
      <c r="O2041" s="30">
        <f t="shared" si="190"/>
        <v>3</v>
      </c>
      <c r="P2041" s="30">
        <f t="shared" si="191"/>
        <v>675</v>
      </c>
      <c r="Q2041" s="1">
        <f>COUNTIFS($P:$P, "&gt;" &amp; $P2041) + 1</f>
        <v>3894</v>
      </c>
      <c r="R2041" s="63">
        <f>(COUNTIFS($P:$P, "&gt;" &amp; $P2041) + 1) / (COUNTA($I:$I) - 1)</f>
        <v>0.77880000000000005</v>
      </c>
      <c r="S2041" s="23">
        <f>SUMIFS($P:$P, $Q:$Q, "&lt;" &amp; $Q2041)</f>
        <v>186334804</v>
      </c>
    </row>
    <row r="2042" spans="1:19" x14ac:dyDescent="0.25">
      <c r="A2042" s="1">
        <v>2037</v>
      </c>
      <c r="B2042" s="1" t="s">
        <v>2</v>
      </c>
      <c r="C2042" s="1" t="str">
        <f>IF($B2042 = "Production Item", _xlfn.XLOOKUP($A2042, 'Instrument Table'!$J:$J, 'Instrument Table'!$B:$B, $C2041), IF($B2042 = "Service Item", _xlfn.XLOOKUP($A2042, 'Instrument Table'!$I:$I, 'Instrument Table'!$B:$B, $C2041), _xlfn.XLOOKUP($A2042, 'Instrument Table'!$H:$H, 'Instrument Table'!$B:$B, $C2041)))</f>
        <v>Clarinet</v>
      </c>
      <c r="D2042" s="1" t="str">
        <f>VLOOKUP($C2042, 'Instrument Table'!$B:$C, 2, FALSE)</f>
        <v>Woodwinds</v>
      </c>
      <c r="E2042" s="1">
        <f t="shared" si="186"/>
        <v>1</v>
      </c>
      <c r="F2042" s="1">
        <f>_xlfn.XLOOKUP($C2042, 'Instrument Table'!$B:$B, 'Instrument Table'!$A:$A, "")</f>
        <v>30</v>
      </c>
      <c r="G2042" s="1" t="str">
        <f>TEXT(IF($B2042 = "Retail Item", IF((ROW($A2042) - 4504 - _xlfn.XMATCH($C2042, $C$4506:$C$5005, 0, 1)) &lt;= VLOOKUP($C2042, 'Instrument Table'!$B:$D, 3, FALSE), ROW($A2042) - 4504 - _xlfn.XMATCH($C2042, $C$4506:$C$5005, 0, 1), 0), 0), "00")</f>
        <v>00</v>
      </c>
      <c r="H2042" s="1" t="str">
        <f t="shared" si="187"/>
        <v>286</v>
      </c>
      <c r="I2042" s="1" t="str">
        <f t="shared" si="188"/>
        <v>13000-286</v>
      </c>
      <c r="J2042" s="1" t="str">
        <f t="shared" si="189"/>
        <v>Clarinet production item #286</v>
      </c>
      <c r="K2042" s="1" t="str">
        <f>IF(SUM(COUNTIFS(I:I, I2042)) &gt; 1, "DUPLICATE", "UNIQUE")</f>
        <v>UNIQUE</v>
      </c>
      <c r="L2042" s="18">
        <v>32</v>
      </c>
      <c r="M2042" s="28">
        <v>22</v>
      </c>
      <c r="N2042" s="6">
        <v>36</v>
      </c>
      <c r="O2042" s="30">
        <f t="shared" si="190"/>
        <v>704</v>
      </c>
      <c r="P2042" s="30">
        <f t="shared" si="191"/>
        <v>792</v>
      </c>
      <c r="Q2042" s="1">
        <f>COUNTIFS($P:$P, "&gt;" &amp; $P2042) + 1</f>
        <v>3796</v>
      </c>
      <c r="R2042" s="63">
        <f>(COUNTIFS($P:$P, "&gt;" &amp; $P2042) + 1) / (COUNTA($I:$I) - 1)</f>
        <v>0.75919999999999999</v>
      </c>
      <c r="S2042" s="23">
        <f>SUMIFS($P:$P, $Q:$Q, "&lt;" &amp; $Q2042)</f>
        <v>186262482</v>
      </c>
    </row>
    <row r="2043" spans="1:19" x14ac:dyDescent="0.25">
      <c r="A2043" s="1">
        <v>2038</v>
      </c>
      <c r="B2043" s="1" t="s">
        <v>2</v>
      </c>
      <c r="C2043" s="1" t="str">
        <f>IF($B2043 = "Production Item", _xlfn.XLOOKUP($A2043, 'Instrument Table'!$J:$J, 'Instrument Table'!$B:$B, $C2042), IF($B2043 = "Service Item", _xlfn.XLOOKUP($A2043, 'Instrument Table'!$I:$I, 'Instrument Table'!$B:$B, $C2042), _xlfn.XLOOKUP($A2043, 'Instrument Table'!$H:$H, 'Instrument Table'!$B:$B, $C2042)))</f>
        <v>Clarinet</v>
      </c>
      <c r="D2043" s="1" t="str">
        <f>VLOOKUP($C2043, 'Instrument Table'!$B:$C, 2, FALSE)</f>
        <v>Woodwinds</v>
      </c>
      <c r="E2043" s="1">
        <f t="shared" si="186"/>
        <v>1</v>
      </c>
      <c r="F2043" s="1">
        <f>_xlfn.XLOOKUP($C2043, 'Instrument Table'!$B:$B, 'Instrument Table'!$A:$A, "")</f>
        <v>30</v>
      </c>
      <c r="G2043" s="1" t="str">
        <f>TEXT(IF($B2043 = "Retail Item", IF((ROW($A2043) - 4504 - _xlfn.XMATCH($C2043, $C$4506:$C$5005, 0, 1)) &lt;= VLOOKUP($C2043, 'Instrument Table'!$B:$D, 3, FALSE), ROW($A2043) - 4504 - _xlfn.XMATCH($C2043, $C$4506:$C$5005, 0, 1), 0), 0), "00")</f>
        <v>00</v>
      </c>
      <c r="H2043" s="1" t="str">
        <f t="shared" si="187"/>
        <v>287</v>
      </c>
      <c r="I2043" s="1" t="str">
        <f t="shared" si="188"/>
        <v>13000-287</v>
      </c>
      <c r="J2043" s="1" t="str">
        <f t="shared" si="189"/>
        <v>Clarinet production item #287</v>
      </c>
      <c r="K2043" s="1" t="str">
        <f>IF(SUM(COUNTIFS(I:I, I2043)) &gt; 1, "DUPLICATE", "UNIQUE")</f>
        <v>UNIQUE</v>
      </c>
      <c r="L2043" s="18">
        <v>2</v>
      </c>
      <c r="M2043" s="28">
        <v>71</v>
      </c>
      <c r="N2043" s="6">
        <v>256</v>
      </c>
      <c r="O2043" s="30">
        <f t="shared" si="190"/>
        <v>142</v>
      </c>
      <c r="P2043" s="30">
        <f t="shared" si="191"/>
        <v>18176</v>
      </c>
      <c r="Q2043" s="1">
        <f>COUNTIFS($P:$P, "&gt;" &amp; $P2043) + 1</f>
        <v>1155</v>
      </c>
      <c r="R2043" s="63">
        <f>(COUNTIFS($P:$P, "&gt;" &amp; $P2043) + 1) / (COUNTA($I:$I) - 1)</f>
        <v>0.23100000000000001</v>
      </c>
      <c r="S2043" s="23">
        <f>SUMIFS($P:$P, $Q:$Q, "&lt;" &amp; $Q2043)</f>
        <v>169527657</v>
      </c>
    </row>
    <row r="2044" spans="1:19" x14ac:dyDescent="0.25">
      <c r="A2044" s="1">
        <v>2039</v>
      </c>
      <c r="B2044" s="1" t="s">
        <v>2</v>
      </c>
      <c r="C2044" s="1" t="str">
        <f>IF($B2044 = "Production Item", _xlfn.XLOOKUP($A2044, 'Instrument Table'!$J:$J, 'Instrument Table'!$B:$B, $C2043), IF($B2044 = "Service Item", _xlfn.XLOOKUP($A2044, 'Instrument Table'!$I:$I, 'Instrument Table'!$B:$B, $C2043), _xlfn.XLOOKUP($A2044, 'Instrument Table'!$H:$H, 'Instrument Table'!$B:$B, $C2043)))</f>
        <v>Clarinet</v>
      </c>
      <c r="D2044" s="1" t="str">
        <f>VLOOKUP($C2044, 'Instrument Table'!$B:$C, 2, FALSE)</f>
        <v>Woodwinds</v>
      </c>
      <c r="E2044" s="1">
        <f t="shared" si="186"/>
        <v>1</v>
      </c>
      <c r="F2044" s="1">
        <f>_xlfn.XLOOKUP($C2044, 'Instrument Table'!$B:$B, 'Instrument Table'!$A:$A, "")</f>
        <v>30</v>
      </c>
      <c r="G2044" s="1" t="str">
        <f>TEXT(IF($B2044 = "Retail Item", IF((ROW($A2044) - 4504 - _xlfn.XMATCH($C2044, $C$4506:$C$5005, 0, 1)) &lt;= VLOOKUP($C2044, 'Instrument Table'!$B:$D, 3, FALSE), ROW($A2044) - 4504 - _xlfn.XMATCH($C2044, $C$4506:$C$5005, 0, 1), 0), 0), "00")</f>
        <v>00</v>
      </c>
      <c r="H2044" s="1" t="str">
        <f t="shared" si="187"/>
        <v>288</v>
      </c>
      <c r="I2044" s="1" t="str">
        <f t="shared" si="188"/>
        <v>13000-288</v>
      </c>
      <c r="J2044" s="1" t="str">
        <f t="shared" si="189"/>
        <v>Clarinet production item #288</v>
      </c>
      <c r="K2044" s="1" t="str">
        <f>IF(SUM(COUNTIFS(I:I, I2044)) &gt; 1, "DUPLICATE", "UNIQUE")</f>
        <v>UNIQUE</v>
      </c>
      <c r="L2044" s="18">
        <v>0</v>
      </c>
      <c r="M2044" s="28">
        <v>87</v>
      </c>
      <c r="N2044" s="6">
        <v>9</v>
      </c>
      <c r="O2044" s="30">
        <f t="shared" si="190"/>
        <v>0</v>
      </c>
      <c r="P2044" s="30">
        <f t="shared" si="191"/>
        <v>783</v>
      </c>
      <c r="Q2044" s="1">
        <f>COUNTIFS($P:$P, "&gt;" &amp; $P2044) + 1</f>
        <v>3806</v>
      </c>
      <c r="R2044" s="63">
        <f>(COUNTIFS($P:$P, "&gt;" &amp; $P2044) + 1) / (COUNTA($I:$I) - 1)</f>
        <v>0.76119999999999999</v>
      </c>
      <c r="S2044" s="23">
        <f>SUMIFS($P:$P, $Q:$Q, "&lt;" &amp; $Q2044)</f>
        <v>186270347</v>
      </c>
    </row>
    <row r="2045" spans="1:19" x14ac:dyDescent="0.25">
      <c r="A2045" s="1">
        <v>2040</v>
      </c>
      <c r="B2045" s="1" t="s">
        <v>2</v>
      </c>
      <c r="C2045" s="1" t="str">
        <f>IF($B2045 = "Production Item", _xlfn.XLOOKUP($A2045, 'Instrument Table'!$J:$J, 'Instrument Table'!$B:$B, $C2044), IF($B2045 = "Service Item", _xlfn.XLOOKUP($A2045, 'Instrument Table'!$I:$I, 'Instrument Table'!$B:$B, $C2044), _xlfn.XLOOKUP($A2045, 'Instrument Table'!$H:$H, 'Instrument Table'!$B:$B, $C2044)))</f>
        <v>Clarinet</v>
      </c>
      <c r="D2045" s="1" t="str">
        <f>VLOOKUP($C2045, 'Instrument Table'!$B:$C, 2, FALSE)</f>
        <v>Woodwinds</v>
      </c>
      <c r="E2045" s="1">
        <f t="shared" si="186"/>
        <v>1</v>
      </c>
      <c r="F2045" s="1">
        <f>_xlfn.XLOOKUP($C2045, 'Instrument Table'!$B:$B, 'Instrument Table'!$A:$A, "")</f>
        <v>30</v>
      </c>
      <c r="G2045" s="1" t="str">
        <f>TEXT(IF($B2045 = "Retail Item", IF((ROW($A2045) - 4504 - _xlfn.XMATCH($C2045, $C$4506:$C$5005, 0, 1)) &lt;= VLOOKUP($C2045, 'Instrument Table'!$B:$D, 3, FALSE), ROW($A2045) - 4504 - _xlfn.XMATCH($C2045, $C$4506:$C$5005, 0, 1), 0), 0), "00")</f>
        <v>00</v>
      </c>
      <c r="H2045" s="1" t="str">
        <f t="shared" si="187"/>
        <v>289</v>
      </c>
      <c r="I2045" s="1" t="str">
        <f t="shared" si="188"/>
        <v>13000-289</v>
      </c>
      <c r="J2045" s="1" t="str">
        <f t="shared" si="189"/>
        <v>Clarinet production item #289</v>
      </c>
      <c r="K2045" s="1" t="str">
        <f>IF(SUM(COUNTIFS(I:I, I2045)) &gt; 1, "DUPLICATE", "UNIQUE")</f>
        <v>UNIQUE</v>
      </c>
      <c r="L2045" s="18">
        <v>16</v>
      </c>
      <c r="M2045" s="28">
        <v>89</v>
      </c>
      <c r="N2045" s="6">
        <v>49</v>
      </c>
      <c r="O2045" s="30">
        <f t="shared" si="190"/>
        <v>1424</v>
      </c>
      <c r="P2045" s="30">
        <f t="shared" si="191"/>
        <v>4361</v>
      </c>
      <c r="Q2045" s="1">
        <f>COUNTIFS($P:$P, "&gt;" &amp; $P2045) + 1</f>
        <v>2572</v>
      </c>
      <c r="R2045" s="63">
        <f>(COUNTIFS($P:$P, "&gt;" &amp; $P2045) + 1) / (COUNTA($I:$I) - 1)</f>
        <v>0.51439999999999997</v>
      </c>
      <c r="S2045" s="23">
        <f>SUMIFS($P:$P, $Q:$Q, "&lt;" &amp; $Q2045)</f>
        <v>183442642</v>
      </c>
    </row>
    <row r="2046" spans="1:19" x14ac:dyDescent="0.25">
      <c r="A2046" s="1">
        <v>2041</v>
      </c>
      <c r="B2046" s="1" t="s">
        <v>2</v>
      </c>
      <c r="C2046" s="1" t="str">
        <f>IF($B2046 = "Production Item", _xlfn.XLOOKUP($A2046, 'Instrument Table'!$J:$J, 'Instrument Table'!$B:$B, $C2045), IF($B2046 = "Service Item", _xlfn.XLOOKUP($A2046, 'Instrument Table'!$I:$I, 'Instrument Table'!$B:$B, $C2045), _xlfn.XLOOKUP($A2046, 'Instrument Table'!$H:$H, 'Instrument Table'!$B:$B, $C2045)))</f>
        <v>Clarinet</v>
      </c>
      <c r="D2046" s="1" t="str">
        <f>VLOOKUP($C2046, 'Instrument Table'!$B:$C, 2, FALSE)</f>
        <v>Woodwinds</v>
      </c>
      <c r="E2046" s="1">
        <f t="shared" si="186"/>
        <v>1</v>
      </c>
      <c r="F2046" s="1">
        <f>_xlfn.XLOOKUP($C2046, 'Instrument Table'!$B:$B, 'Instrument Table'!$A:$A, "")</f>
        <v>30</v>
      </c>
      <c r="G2046" s="1" t="str">
        <f>TEXT(IF($B2046 = "Retail Item", IF((ROW($A2046) - 4504 - _xlfn.XMATCH($C2046, $C$4506:$C$5005, 0, 1)) &lt;= VLOOKUP($C2046, 'Instrument Table'!$B:$D, 3, FALSE), ROW($A2046) - 4504 - _xlfn.XMATCH($C2046, $C$4506:$C$5005, 0, 1), 0), 0), "00")</f>
        <v>00</v>
      </c>
      <c r="H2046" s="1" t="str">
        <f t="shared" si="187"/>
        <v>290</v>
      </c>
      <c r="I2046" s="1" t="str">
        <f t="shared" si="188"/>
        <v>13000-290</v>
      </c>
      <c r="J2046" s="1" t="str">
        <f t="shared" si="189"/>
        <v>Clarinet production item #290</v>
      </c>
      <c r="K2046" s="1" t="str">
        <f>IF(SUM(COUNTIFS(I:I, I2046)) &gt; 1, "DUPLICATE", "UNIQUE")</f>
        <v>UNIQUE</v>
      </c>
      <c r="L2046" s="18">
        <v>0</v>
      </c>
      <c r="M2046" s="28">
        <v>2</v>
      </c>
      <c r="N2046" s="6">
        <v>81</v>
      </c>
      <c r="O2046" s="30">
        <f t="shared" si="190"/>
        <v>0</v>
      </c>
      <c r="P2046" s="30">
        <f t="shared" si="191"/>
        <v>162</v>
      </c>
      <c r="Q2046" s="1">
        <f>COUNTIFS($P:$P, "&gt;" &amp; $P2046) + 1</f>
        <v>4383</v>
      </c>
      <c r="R2046" s="63">
        <f>(COUNTIFS($P:$P, "&gt;" &amp; $P2046) + 1) / (COUNTA($I:$I) - 1)</f>
        <v>0.87660000000000005</v>
      </c>
      <c r="S2046" s="23">
        <f>SUMIFS($P:$P, $Q:$Q, "&lt;" &amp; $Q2046)</f>
        <v>186523354</v>
      </c>
    </row>
    <row r="2047" spans="1:19" x14ac:dyDescent="0.25">
      <c r="A2047" s="1">
        <v>2042</v>
      </c>
      <c r="B2047" s="1" t="s">
        <v>2</v>
      </c>
      <c r="C2047" s="1" t="str">
        <f>IF($B2047 = "Production Item", _xlfn.XLOOKUP($A2047, 'Instrument Table'!$J:$J, 'Instrument Table'!$B:$B, $C2046), IF($B2047 = "Service Item", _xlfn.XLOOKUP($A2047, 'Instrument Table'!$I:$I, 'Instrument Table'!$B:$B, $C2046), _xlfn.XLOOKUP($A2047, 'Instrument Table'!$H:$H, 'Instrument Table'!$B:$B, $C2046)))</f>
        <v>Clarinet</v>
      </c>
      <c r="D2047" s="1" t="str">
        <f>VLOOKUP($C2047, 'Instrument Table'!$B:$C, 2, FALSE)</f>
        <v>Woodwinds</v>
      </c>
      <c r="E2047" s="1">
        <f t="shared" si="186"/>
        <v>1</v>
      </c>
      <c r="F2047" s="1">
        <f>_xlfn.XLOOKUP($C2047, 'Instrument Table'!$B:$B, 'Instrument Table'!$A:$A, "")</f>
        <v>30</v>
      </c>
      <c r="G2047" s="1" t="str">
        <f>TEXT(IF($B2047 = "Retail Item", IF((ROW($A2047) - 4504 - _xlfn.XMATCH($C2047, $C$4506:$C$5005, 0, 1)) &lt;= VLOOKUP($C2047, 'Instrument Table'!$B:$D, 3, FALSE), ROW($A2047) - 4504 - _xlfn.XMATCH($C2047, $C$4506:$C$5005, 0, 1), 0), 0), "00")</f>
        <v>00</v>
      </c>
      <c r="H2047" s="1" t="str">
        <f t="shared" si="187"/>
        <v>291</v>
      </c>
      <c r="I2047" s="1" t="str">
        <f t="shared" si="188"/>
        <v>13000-291</v>
      </c>
      <c r="J2047" s="1" t="str">
        <f t="shared" si="189"/>
        <v>Clarinet production item #291</v>
      </c>
      <c r="K2047" s="1" t="str">
        <f>IF(SUM(COUNTIFS(I:I, I2047)) &gt; 1, "DUPLICATE", "UNIQUE")</f>
        <v>UNIQUE</v>
      </c>
      <c r="L2047" s="18">
        <v>1</v>
      </c>
      <c r="M2047" s="28">
        <v>43</v>
      </c>
      <c r="N2047" s="6">
        <v>289</v>
      </c>
      <c r="O2047" s="30">
        <f t="shared" si="190"/>
        <v>43</v>
      </c>
      <c r="P2047" s="30">
        <f t="shared" si="191"/>
        <v>12427</v>
      </c>
      <c r="Q2047" s="1">
        <f>COUNTIFS($P:$P, "&gt;" &amp; $P2047) + 1</f>
        <v>1542</v>
      </c>
      <c r="R2047" s="63">
        <f>(COUNTIFS($P:$P, "&gt;" &amp; $P2047) + 1) / (COUNTA($I:$I) - 1)</f>
        <v>0.30840000000000001</v>
      </c>
      <c r="S2047" s="23">
        <f>SUMIFS($P:$P, $Q:$Q, "&lt;" &amp; $Q2047)</f>
        <v>175375767</v>
      </c>
    </row>
    <row r="2048" spans="1:19" x14ac:dyDescent="0.25">
      <c r="A2048" s="1">
        <v>2043</v>
      </c>
      <c r="B2048" s="1" t="s">
        <v>2</v>
      </c>
      <c r="C2048" s="1" t="str">
        <f>IF($B2048 = "Production Item", _xlfn.XLOOKUP($A2048, 'Instrument Table'!$J:$J, 'Instrument Table'!$B:$B, $C2047), IF($B2048 = "Service Item", _xlfn.XLOOKUP($A2048, 'Instrument Table'!$I:$I, 'Instrument Table'!$B:$B, $C2047), _xlfn.XLOOKUP($A2048, 'Instrument Table'!$H:$H, 'Instrument Table'!$B:$B, $C2047)))</f>
        <v>Clarinet</v>
      </c>
      <c r="D2048" s="1" t="str">
        <f>VLOOKUP($C2048, 'Instrument Table'!$B:$C, 2, FALSE)</f>
        <v>Woodwinds</v>
      </c>
      <c r="E2048" s="1">
        <f t="shared" si="186"/>
        <v>1</v>
      </c>
      <c r="F2048" s="1">
        <f>_xlfn.XLOOKUP($C2048, 'Instrument Table'!$B:$B, 'Instrument Table'!$A:$A, "")</f>
        <v>30</v>
      </c>
      <c r="G2048" s="1" t="str">
        <f>TEXT(IF($B2048 = "Retail Item", IF((ROW($A2048) - 4504 - _xlfn.XMATCH($C2048, $C$4506:$C$5005, 0, 1)) &lt;= VLOOKUP($C2048, 'Instrument Table'!$B:$D, 3, FALSE), ROW($A2048) - 4504 - _xlfn.XMATCH($C2048, $C$4506:$C$5005, 0, 1), 0), 0), "00")</f>
        <v>00</v>
      </c>
      <c r="H2048" s="1" t="str">
        <f t="shared" si="187"/>
        <v>292</v>
      </c>
      <c r="I2048" s="1" t="str">
        <f t="shared" si="188"/>
        <v>13000-292</v>
      </c>
      <c r="J2048" s="1" t="str">
        <f t="shared" si="189"/>
        <v>Clarinet production item #292</v>
      </c>
      <c r="K2048" s="1" t="str">
        <f>IF(SUM(COUNTIFS(I:I, I2048)) &gt; 1, "DUPLICATE", "UNIQUE")</f>
        <v>UNIQUE</v>
      </c>
      <c r="L2048" s="18">
        <v>0</v>
      </c>
      <c r="M2048" s="28">
        <v>19</v>
      </c>
      <c r="N2048" s="6">
        <v>289</v>
      </c>
      <c r="O2048" s="30">
        <f t="shared" si="190"/>
        <v>0</v>
      </c>
      <c r="P2048" s="30">
        <f t="shared" si="191"/>
        <v>5491</v>
      </c>
      <c r="Q2048" s="1">
        <f>COUNTIFS($P:$P, "&gt;" &amp; $P2048) + 1</f>
        <v>2355</v>
      </c>
      <c r="R2048" s="63">
        <f>(COUNTIFS($P:$P, "&gt;" &amp; $P2048) + 1) / (COUNTA($I:$I) - 1)</f>
        <v>0.47099999999999997</v>
      </c>
      <c r="S2048" s="23">
        <f>SUMIFS($P:$P, $Q:$Q, "&lt;" &amp; $Q2048)</f>
        <v>182375049</v>
      </c>
    </row>
    <row r="2049" spans="1:19" x14ac:dyDescent="0.25">
      <c r="A2049" s="1">
        <v>2044</v>
      </c>
      <c r="B2049" s="1" t="s">
        <v>2</v>
      </c>
      <c r="C2049" s="1" t="str">
        <f>IF($B2049 = "Production Item", _xlfn.XLOOKUP($A2049, 'Instrument Table'!$J:$J, 'Instrument Table'!$B:$B, $C2048), IF($B2049 = "Service Item", _xlfn.XLOOKUP($A2049, 'Instrument Table'!$I:$I, 'Instrument Table'!$B:$B, $C2048), _xlfn.XLOOKUP($A2049, 'Instrument Table'!$H:$H, 'Instrument Table'!$B:$B, $C2048)))</f>
        <v>Clarinet</v>
      </c>
      <c r="D2049" s="1" t="str">
        <f>VLOOKUP($C2049, 'Instrument Table'!$B:$C, 2, FALSE)</f>
        <v>Woodwinds</v>
      </c>
      <c r="E2049" s="1">
        <f t="shared" si="186"/>
        <v>1</v>
      </c>
      <c r="F2049" s="1">
        <f>_xlfn.XLOOKUP($C2049, 'Instrument Table'!$B:$B, 'Instrument Table'!$A:$A, "")</f>
        <v>30</v>
      </c>
      <c r="G2049" s="1" t="str">
        <f>TEXT(IF($B2049 = "Retail Item", IF((ROW($A2049) - 4504 - _xlfn.XMATCH($C2049, $C$4506:$C$5005, 0, 1)) &lt;= VLOOKUP($C2049, 'Instrument Table'!$B:$D, 3, FALSE), ROW($A2049) - 4504 - _xlfn.XMATCH($C2049, $C$4506:$C$5005, 0, 1), 0), 0), "00")</f>
        <v>00</v>
      </c>
      <c r="H2049" s="1" t="str">
        <f t="shared" si="187"/>
        <v>293</v>
      </c>
      <c r="I2049" s="1" t="str">
        <f t="shared" si="188"/>
        <v>13000-293</v>
      </c>
      <c r="J2049" s="1" t="str">
        <f t="shared" si="189"/>
        <v>Clarinet production item #293</v>
      </c>
      <c r="K2049" s="1" t="str">
        <f>IF(SUM(COUNTIFS(I:I, I2049)) &gt; 1, "DUPLICATE", "UNIQUE")</f>
        <v>UNIQUE</v>
      </c>
      <c r="L2049" s="18">
        <v>0</v>
      </c>
      <c r="M2049" s="28">
        <v>8</v>
      </c>
      <c r="N2049" s="6">
        <v>196</v>
      </c>
      <c r="O2049" s="30">
        <f t="shared" si="190"/>
        <v>0</v>
      </c>
      <c r="P2049" s="30">
        <f t="shared" si="191"/>
        <v>1568</v>
      </c>
      <c r="Q2049" s="1">
        <f>COUNTIFS($P:$P, "&gt;" &amp; $P2049) + 1</f>
        <v>3434</v>
      </c>
      <c r="R2049" s="63">
        <f>(COUNTIFS($P:$P, "&gt;" &amp; $P2049) + 1) / (COUNTA($I:$I) - 1)</f>
        <v>0.68679999999999997</v>
      </c>
      <c r="S2049" s="23">
        <f>SUMIFS($P:$P, $Q:$Q, "&lt;" &amp; $Q2049)</f>
        <v>185839021</v>
      </c>
    </row>
    <row r="2050" spans="1:19" x14ac:dyDescent="0.25">
      <c r="A2050" s="1">
        <v>2045</v>
      </c>
      <c r="B2050" s="1" t="s">
        <v>2</v>
      </c>
      <c r="C2050" s="1" t="str">
        <f>IF($B2050 = "Production Item", _xlfn.XLOOKUP($A2050, 'Instrument Table'!$J:$J, 'Instrument Table'!$B:$B, $C2049), IF($B2050 = "Service Item", _xlfn.XLOOKUP($A2050, 'Instrument Table'!$I:$I, 'Instrument Table'!$B:$B, $C2049), _xlfn.XLOOKUP($A2050, 'Instrument Table'!$H:$H, 'Instrument Table'!$B:$B, $C2049)))</f>
        <v>Clarinet</v>
      </c>
      <c r="D2050" s="1" t="str">
        <f>VLOOKUP($C2050, 'Instrument Table'!$B:$C, 2, FALSE)</f>
        <v>Woodwinds</v>
      </c>
      <c r="E2050" s="1">
        <f t="shared" si="186"/>
        <v>1</v>
      </c>
      <c r="F2050" s="1">
        <f>_xlfn.XLOOKUP($C2050, 'Instrument Table'!$B:$B, 'Instrument Table'!$A:$A, "")</f>
        <v>30</v>
      </c>
      <c r="G2050" s="1" t="str">
        <f>TEXT(IF($B2050 = "Retail Item", IF((ROW($A2050) - 4504 - _xlfn.XMATCH($C2050, $C$4506:$C$5005, 0, 1)) &lt;= VLOOKUP($C2050, 'Instrument Table'!$B:$D, 3, FALSE), ROW($A2050) - 4504 - _xlfn.XMATCH($C2050, $C$4506:$C$5005, 0, 1), 0), 0), "00")</f>
        <v>00</v>
      </c>
      <c r="H2050" s="1" t="str">
        <f t="shared" si="187"/>
        <v>294</v>
      </c>
      <c r="I2050" s="1" t="str">
        <f t="shared" si="188"/>
        <v>13000-294</v>
      </c>
      <c r="J2050" s="1" t="str">
        <f t="shared" si="189"/>
        <v>Clarinet production item #294</v>
      </c>
      <c r="K2050" s="1" t="str">
        <f>IF(SUM(COUNTIFS(I:I, I2050)) &gt; 1, "DUPLICATE", "UNIQUE")</f>
        <v>UNIQUE</v>
      </c>
      <c r="L2050" s="18">
        <v>2</v>
      </c>
      <c r="M2050" s="28">
        <v>35</v>
      </c>
      <c r="N2050" s="6">
        <v>16</v>
      </c>
      <c r="O2050" s="30">
        <f t="shared" si="190"/>
        <v>70</v>
      </c>
      <c r="P2050" s="30">
        <f t="shared" si="191"/>
        <v>560</v>
      </c>
      <c r="Q2050" s="1">
        <f>COUNTIFS($P:$P, "&gt;" &amp; $P2050) + 1</f>
        <v>3974</v>
      </c>
      <c r="R2050" s="63">
        <f>(COUNTIFS($P:$P, "&gt;" &amp; $P2050) + 1) / (COUNTA($I:$I) - 1)</f>
        <v>0.79479999999999995</v>
      </c>
      <c r="S2050" s="23">
        <f>SUMIFS($P:$P, $Q:$Q, "&lt;" &amp; $Q2050)</f>
        <v>186384141</v>
      </c>
    </row>
    <row r="2051" spans="1:19" x14ac:dyDescent="0.25">
      <c r="A2051" s="1">
        <v>2046</v>
      </c>
      <c r="B2051" s="1" t="s">
        <v>2</v>
      </c>
      <c r="C2051" s="1" t="str">
        <f>IF($B2051 = "Production Item", _xlfn.XLOOKUP($A2051, 'Instrument Table'!$J:$J, 'Instrument Table'!$B:$B, $C2050), IF($B2051 = "Service Item", _xlfn.XLOOKUP($A2051, 'Instrument Table'!$I:$I, 'Instrument Table'!$B:$B, $C2050), _xlfn.XLOOKUP($A2051, 'Instrument Table'!$H:$H, 'Instrument Table'!$B:$B, $C2050)))</f>
        <v>Clarinet</v>
      </c>
      <c r="D2051" s="1" t="str">
        <f>VLOOKUP($C2051, 'Instrument Table'!$B:$C, 2, FALSE)</f>
        <v>Woodwinds</v>
      </c>
      <c r="E2051" s="1">
        <f t="shared" si="186"/>
        <v>1</v>
      </c>
      <c r="F2051" s="1">
        <f>_xlfn.XLOOKUP($C2051, 'Instrument Table'!$B:$B, 'Instrument Table'!$A:$A, "")</f>
        <v>30</v>
      </c>
      <c r="G2051" s="1" t="str">
        <f>TEXT(IF($B2051 = "Retail Item", IF((ROW($A2051) - 4504 - _xlfn.XMATCH($C2051, $C$4506:$C$5005, 0, 1)) &lt;= VLOOKUP($C2051, 'Instrument Table'!$B:$D, 3, FALSE), ROW($A2051) - 4504 - _xlfn.XMATCH($C2051, $C$4506:$C$5005, 0, 1), 0), 0), "00")</f>
        <v>00</v>
      </c>
      <c r="H2051" s="1" t="str">
        <f t="shared" si="187"/>
        <v>295</v>
      </c>
      <c r="I2051" s="1" t="str">
        <f t="shared" si="188"/>
        <v>13000-295</v>
      </c>
      <c r="J2051" s="1" t="str">
        <f t="shared" si="189"/>
        <v>Clarinet production item #295</v>
      </c>
      <c r="K2051" s="1" t="str">
        <f>IF(SUM(COUNTIFS(I:I, I2051)) &gt; 1, "DUPLICATE", "UNIQUE")</f>
        <v>UNIQUE</v>
      </c>
      <c r="L2051" s="18">
        <v>0</v>
      </c>
      <c r="M2051" s="28">
        <v>25</v>
      </c>
      <c r="N2051" s="6">
        <v>64</v>
      </c>
      <c r="O2051" s="30">
        <f t="shared" si="190"/>
        <v>0</v>
      </c>
      <c r="P2051" s="30">
        <f t="shared" si="191"/>
        <v>1600</v>
      </c>
      <c r="Q2051" s="1">
        <f>COUNTIFS($P:$P, "&gt;" &amp; $P2051) + 1</f>
        <v>3401</v>
      </c>
      <c r="R2051" s="63">
        <f>(COUNTIFS($P:$P, "&gt;" &amp; $P2051) + 1) / (COUNTA($I:$I) - 1)</f>
        <v>0.68020000000000003</v>
      </c>
      <c r="S2051" s="23">
        <f>SUMIFS($P:$P, $Q:$Q, "&lt;" &amp; $Q2051)</f>
        <v>185786623</v>
      </c>
    </row>
    <row r="2052" spans="1:19" x14ac:dyDescent="0.25">
      <c r="A2052" s="1">
        <v>2047</v>
      </c>
      <c r="B2052" s="1" t="s">
        <v>2</v>
      </c>
      <c r="C2052" s="1" t="str">
        <f>IF($B2052 = "Production Item", _xlfn.XLOOKUP($A2052, 'Instrument Table'!$J:$J, 'Instrument Table'!$B:$B, $C2051), IF($B2052 = "Service Item", _xlfn.XLOOKUP($A2052, 'Instrument Table'!$I:$I, 'Instrument Table'!$B:$B, $C2051), _xlfn.XLOOKUP($A2052, 'Instrument Table'!$H:$H, 'Instrument Table'!$B:$B, $C2051)))</f>
        <v>Clarinet</v>
      </c>
      <c r="D2052" s="1" t="str">
        <f>VLOOKUP($C2052, 'Instrument Table'!$B:$C, 2, FALSE)</f>
        <v>Woodwinds</v>
      </c>
      <c r="E2052" s="1">
        <f t="shared" si="186"/>
        <v>1</v>
      </c>
      <c r="F2052" s="1">
        <f>_xlfn.XLOOKUP($C2052, 'Instrument Table'!$B:$B, 'Instrument Table'!$A:$A, "")</f>
        <v>30</v>
      </c>
      <c r="G2052" s="1" t="str">
        <f>TEXT(IF($B2052 = "Retail Item", IF((ROW($A2052) - 4504 - _xlfn.XMATCH($C2052, $C$4506:$C$5005, 0, 1)) &lt;= VLOOKUP($C2052, 'Instrument Table'!$B:$D, 3, FALSE), ROW($A2052) - 4504 - _xlfn.XMATCH($C2052, $C$4506:$C$5005, 0, 1), 0), 0), "00")</f>
        <v>00</v>
      </c>
      <c r="H2052" s="1" t="str">
        <f t="shared" si="187"/>
        <v>296</v>
      </c>
      <c r="I2052" s="1" t="str">
        <f t="shared" si="188"/>
        <v>13000-296</v>
      </c>
      <c r="J2052" s="1" t="str">
        <f t="shared" si="189"/>
        <v>Clarinet production item #296</v>
      </c>
      <c r="K2052" s="1" t="str">
        <f>IF(SUM(COUNTIFS(I:I, I2052)) &gt; 1, "DUPLICATE", "UNIQUE")</f>
        <v>UNIQUE</v>
      </c>
      <c r="L2052" s="18">
        <v>1</v>
      </c>
      <c r="M2052" s="28">
        <v>60</v>
      </c>
      <c r="N2052" s="6">
        <v>225</v>
      </c>
      <c r="O2052" s="30">
        <f t="shared" si="190"/>
        <v>60</v>
      </c>
      <c r="P2052" s="30">
        <f t="shared" si="191"/>
        <v>13500</v>
      </c>
      <c r="Q2052" s="1">
        <f>COUNTIFS($P:$P, "&gt;" &amp; $P2052) + 1</f>
        <v>1462</v>
      </c>
      <c r="R2052" s="63">
        <f>(COUNTIFS($P:$P, "&gt;" &amp; $P2052) + 1) / (COUNTA($I:$I) - 1)</f>
        <v>0.29239999999999999</v>
      </c>
      <c r="S2052" s="23">
        <f>SUMIFS($P:$P, $Q:$Q, "&lt;" &amp; $Q2052)</f>
        <v>174335881</v>
      </c>
    </row>
    <row r="2053" spans="1:19" x14ac:dyDescent="0.25">
      <c r="A2053" s="1">
        <v>2048</v>
      </c>
      <c r="B2053" s="1" t="s">
        <v>2</v>
      </c>
      <c r="C2053" s="1" t="str">
        <f>IF($B2053 = "Production Item", _xlfn.XLOOKUP($A2053, 'Instrument Table'!$J:$J, 'Instrument Table'!$B:$B, $C2052), IF($B2053 = "Service Item", _xlfn.XLOOKUP($A2053, 'Instrument Table'!$I:$I, 'Instrument Table'!$B:$B, $C2052), _xlfn.XLOOKUP($A2053, 'Instrument Table'!$H:$H, 'Instrument Table'!$B:$B, $C2052)))</f>
        <v>Clarinet</v>
      </c>
      <c r="D2053" s="1" t="str">
        <f>VLOOKUP($C2053, 'Instrument Table'!$B:$C, 2, FALSE)</f>
        <v>Woodwinds</v>
      </c>
      <c r="E2053" s="1">
        <f t="shared" si="186"/>
        <v>1</v>
      </c>
      <c r="F2053" s="1">
        <f>_xlfn.XLOOKUP($C2053, 'Instrument Table'!$B:$B, 'Instrument Table'!$A:$A, "")</f>
        <v>30</v>
      </c>
      <c r="G2053" s="1" t="str">
        <f>TEXT(IF($B2053 = "Retail Item", IF((ROW($A2053) - 4504 - _xlfn.XMATCH($C2053, $C$4506:$C$5005, 0, 1)) &lt;= VLOOKUP($C2053, 'Instrument Table'!$B:$D, 3, FALSE), ROW($A2053) - 4504 - _xlfn.XMATCH($C2053, $C$4506:$C$5005, 0, 1), 0), 0), "00")</f>
        <v>00</v>
      </c>
      <c r="H2053" s="1" t="str">
        <f t="shared" si="187"/>
        <v>297</v>
      </c>
      <c r="I2053" s="1" t="str">
        <f t="shared" si="188"/>
        <v>13000-297</v>
      </c>
      <c r="J2053" s="1" t="str">
        <f t="shared" si="189"/>
        <v>Clarinet production item #297</v>
      </c>
      <c r="K2053" s="1" t="str">
        <f>IF(SUM(COUNTIFS(I:I, I2053)) &gt; 1, "DUPLICATE", "UNIQUE")</f>
        <v>UNIQUE</v>
      </c>
      <c r="L2053" s="18">
        <v>16</v>
      </c>
      <c r="M2053" s="28">
        <v>4</v>
      </c>
      <c r="N2053" s="6">
        <v>49</v>
      </c>
      <c r="O2053" s="30">
        <f t="shared" si="190"/>
        <v>64</v>
      </c>
      <c r="P2053" s="30">
        <f t="shared" si="191"/>
        <v>196</v>
      </c>
      <c r="Q2053" s="1">
        <f>COUNTIFS($P:$P, "&gt;" &amp; $P2053) + 1</f>
        <v>4334</v>
      </c>
      <c r="R2053" s="63">
        <f>(COUNTIFS($P:$P, "&gt;" &amp; $P2053) + 1) / (COUNTA($I:$I) - 1)</f>
        <v>0.86680000000000001</v>
      </c>
      <c r="S2053" s="23">
        <f>SUMIFS($P:$P, $Q:$Q, "&lt;" &amp; $Q2053)</f>
        <v>186514493</v>
      </c>
    </row>
    <row r="2054" spans="1:19" x14ac:dyDescent="0.25">
      <c r="A2054" s="1">
        <v>2049</v>
      </c>
      <c r="B2054" s="1" t="s">
        <v>2</v>
      </c>
      <c r="C2054" s="1" t="str">
        <f>IF($B2054 = "Production Item", _xlfn.XLOOKUP($A2054, 'Instrument Table'!$J:$J, 'Instrument Table'!$B:$B, $C2053), IF($B2054 = "Service Item", _xlfn.XLOOKUP($A2054, 'Instrument Table'!$I:$I, 'Instrument Table'!$B:$B, $C2053), _xlfn.XLOOKUP($A2054, 'Instrument Table'!$H:$H, 'Instrument Table'!$B:$B, $C2053)))</f>
        <v>Clarinet</v>
      </c>
      <c r="D2054" s="1" t="str">
        <f>VLOOKUP($C2054, 'Instrument Table'!$B:$C, 2, FALSE)</f>
        <v>Woodwinds</v>
      </c>
      <c r="E2054" s="1">
        <f t="shared" si="186"/>
        <v>1</v>
      </c>
      <c r="F2054" s="1">
        <f>_xlfn.XLOOKUP($C2054, 'Instrument Table'!$B:$B, 'Instrument Table'!$A:$A, "")</f>
        <v>30</v>
      </c>
      <c r="G2054" s="1" t="str">
        <f>TEXT(IF($B2054 = "Retail Item", IF((ROW($A2054) - 4504 - _xlfn.XMATCH($C2054, $C$4506:$C$5005, 0, 1)) &lt;= VLOOKUP($C2054, 'Instrument Table'!$B:$D, 3, FALSE), ROW($A2054) - 4504 - _xlfn.XMATCH($C2054, $C$4506:$C$5005, 0, 1), 0), 0), "00")</f>
        <v>00</v>
      </c>
      <c r="H2054" s="1" t="str">
        <f t="shared" si="187"/>
        <v>298</v>
      </c>
      <c r="I2054" s="1" t="str">
        <f t="shared" si="188"/>
        <v>13000-298</v>
      </c>
      <c r="J2054" s="1" t="str">
        <f t="shared" si="189"/>
        <v>Clarinet production item #298</v>
      </c>
      <c r="K2054" s="1" t="str">
        <f>IF(SUM(COUNTIFS(I:I, I2054)) &gt; 1, "DUPLICATE", "UNIQUE")</f>
        <v>UNIQUE</v>
      </c>
      <c r="L2054" s="18">
        <v>1</v>
      </c>
      <c r="M2054" s="28">
        <v>20</v>
      </c>
      <c r="N2054" s="6">
        <v>64</v>
      </c>
      <c r="O2054" s="30">
        <f t="shared" si="190"/>
        <v>20</v>
      </c>
      <c r="P2054" s="30">
        <f t="shared" si="191"/>
        <v>1280</v>
      </c>
      <c r="Q2054" s="1">
        <f>COUNTIFS($P:$P, "&gt;" &amp; $P2054) + 1</f>
        <v>3569</v>
      </c>
      <c r="R2054" s="63">
        <f>(COUNTIFS($P:$P, "&gt;" &amp; $P2054) + 1) / (COUNTA($I:$I) - 1)</f>
        <v>0.71379999999999999</v>
      </c>
      <c r="S2054" s="23">
        <f>SUMIFS($P:$P, $Q:$Q, "&lt;" &amp; $Q2054)</f>
        <v>186031008</v>
      </c>
    </row>
    <row r="2055" spans="1:19" x14ac:dyDescent="0.25">
      <c r="A2055" s="1">
        <v>2050</v>
      </c>
      <c r="B2055" s="1" t="s">
        <v>2</v>
      </c>
      <c r="C2055" s="1" t="str">
        <f>IF($B2055 = "Production Item", _xlfn.XLOOKUP($A2055, 'Instrument Table'!$J:$J, 'Instrument Table'!$B:$B, $C2054), IF($B2055 = "Service Item", _xlfn.XLOOKUP($A2055, 'Instrument Table'!$I:$I, 'Instrument Table'!$B:$B, $C2054), _xlfn.XLOOKUP($A2055, 'Instrument Table'!$H:$H, 'Instrument Table'!$B:$B, $C2054)))</f>
        <v>Clarinet</v>
      </c>
      <c r="D2055" s="1" t="str">
        <f>VLOOKUP($C2055, 'Instrument Table'!$B:$C, 2, FALSE)</f>
        <v>Woodwinds</v>
      </c>
      <c r="E2055" s="1">
        <f t="shared" ref="E2055:E2118" si="192">IF($B2055 = "Production Item", 1, IF($B2055 = "Service Item", 2, IF($B2055 = "Retail Item", 3, "")))</f>
        <v>1</v>
      </c>
      <c r="F2055" s="1">
        <f>_xlfn.XLOOKUP($C2055, 'Instrument Table'!$B:$B, 'Instrument Table'!$A:$A, "")</f>
        <v>30</v>
      </c>
      <c r="G2055" s="1" t="str">
        <f>TEXT(IF($B2055 = "Retail Item", IF((ROW($A2055) - 4504 - _xlfn.XMATCH($C2055, $C$4506:$C$5005, 0, 1)) &lt;= VLOOKUP($C2055, 'Instrument Table'!$B:$D, 3, FALSE), ROW($A2055) - 4504 - _xlfn.XMATCH($C2055, $C$4506:$C$5005, 0, 1), 0), 0), "00")</f>
        <v>00</v>
      </c>
      <c r="H2055" s="1" t="str">
        <f t="shared" ref="H2055:H2118" si="193">TEXT(IF($E2055 &amp; $F2055 &amp; $G2055 = $E2054 &amp; $F2054 &amp; $G2054, 1 + H2054, 0), "000")</f>
        <v>299</v>
      </c>
      <c r="I2055" s="1" t="str">
        <f t="shared" ref="I2055:I2118" si="194" xml:space="preserve"> _xlfn.CONCAT($E2055, $F2055, $G2055, "-", H2055)</f>
        <v>13000-299</v>
      </c>
      <c r="J2055" s="1" t="str">
        <f t="shared" ref="J2055:J2118" si="195">LEFT($C2055, 1) &amp; LOWER(RIGHT($C2055, LEN($C2055) - 1)) &amp; IF(AND($G2055 &lt;&gt; "00", $B2055 = "Retail Item"), " model #" &amp; $G2055, " " &amp; LOWER($B2055) &amp; " #" &amp; $H2055)</f>
        <v>Clarinet production item #299</v>
      </c>
      <c r="K2055" s="1" t="str">
        <f>IF(SUM(COUNTIFS(I:I, I2055)) &gt; 1, "DUPLICATE", "UNIQUE")</f>
        <v>UNIQUE</v>
      </c>
      <c r="L2055" s="18">
        <v>4</v>
      </c>
      <c r="M2055" s="28">
        <v>87</v>
      </c>
      <c r="N2055" s="6">
        <v>361</v>
      </c>
      <c r="O2055" s="30">
        <f t="shared" ref="O2055:O2118" si="196">$L2055 * $M2055</f>
        <v>348</v>
      </c>
      <c r="P2055" s="30">
        <f t="shared" ref="P2055:P2118" si="197">$N2055 * $M2055</f>
        <v>31407</v>
      </c>
      <c r="Q2055" s="1">
        <f>COUNTIFS($P:$P, "&gt;" &amp; $P2055) + 1</f>
        <v>661</v>
      </c>
      <c r="R2055" s="63">
        <f>(COUNTIFS($P:$P, "&gt;" &amp; $P2055) + 1) / (COUNTA($I:$I) - 1)</f>
        <v>0.13220000000000001</v>
      </c>
      <c r="S2055" s="23">
        <f>SUMIFS($P:$P, $Q:$Q, "&lt;" &amp; $Q2055)</f>
        <v>157894639</v>
      </c>
    </row>
    <row r="2056" spans="1:19" x14ac:dyDescent="0.25">
      <c r="A2056" s="1">
        <v>2051</v>
      </c>
      <c r="B2056" s="1" t="s">
        <v>2</v>
      </c>
      <c r="C2056" s="1" t="str">
        <f>IF($B2056 = "Production Item", _xlfn.XLOOKUP($A2056, 'Instrument Table'!$J:$J, 'Instrument Table'!$B:$B, $C2055), IF($B2056 = "Service Item", _xlfn.XLOOKUP($A2056, 'Instrument Table'!$I:$I, 'Instrument Table'!$B:$B, $C2055), _xlfn.XLOOKUP($A2056, 'Instrument Table'!$H:$H, 'Instrument Table'!$B:$B, $C2055)))</f>
        <v>Clarinet</v>
      </c>
      <c r="D2056" s="1" t="str">
        <f>VLOOKUP($C2056, 'Instrument Table'!$B:$C, 2, FALSE)</f>
        <v>Woodwinds</v>
      </c>
      <c r="E2056" s="1">
        <f t="shared" si="192"/>
        <v>1</v>
      </c>
      <c r="F2056" s="1">
        <f>_xlfn.XLOOKUP($C2056, 'Instrument Table'!$B:$B, 'Instrument Table'!$A:$A, "")</f>
        <v>30</v>
      </c>
      <c r="G2056" s="1" t="str">
        <f>TEXT(IF($B2056 = "Retail Item", IF((ROW($A2056) - 4504 - _xlfn.XMATCH($C2056, $C$4506:$C$5005, 0, 1)) &lt;= VLOOKUP($C2056, 'Instrument Table'!$B:$D, 3, FALSE), ROW($A2056) - 4504 - _xlfn.XMATCH($C2056, $C$4506:$C$5005, 0, 1), 0), 0), "00")</f>
        <v>00</v>
      </c>
      <c r="H2056" s="1" t="str">
        <f t="shared" si="193"/>
        <v>300</v>
      </c>
      <c r="I2056" s="1" t="str">
        <f t="shared" si="194"/>
        <v>13000-300</v>
      </c>
      <c r="J2056" s="1" t="str">
        <f t="shared" si="195"/>
        <v>Clarinet production item #300</v>
      </c>
      <c r="K2056" s="1" t="str">
        <f>IF(SUM(COUNTIFS(I:I, I2056)) &gt; 1, "DUPLICATE", "UNIQUE")</f>
        <v>UNIQUE</v>
      </c>
      <c r="L2056" s="18">
        <v>0</v>
      </c>
      <c r="M2056" s="28">
        <v>63</v>
      </c>
      <c r="N2056" s="6">
        <v>400</v>
      </c>
      <c r="O2056" s="30">
        <f t="shared" si="196"/>
        <v>0</v>
      </c>
      <c r="P2056" s="30">
        <f t="shared" si="197"/>
        <v>25200</v>
      </c>
      <c r="Q2056" s="1">
        <f>COUNTIFS($P:$P, "&gt;" &amp; $P2056) + 1</f>
        <v>819</v>
      </c>
      <c r="R2056" s="63">
        <f>(COUNTIFS($P:$P, "&gt;" &amp; $P2056) + 1) / (COUNTA($I:$I) - 1)</f>
        <v>0.1638</v>
      </c>
      <c r="S2056" s="23">
        <f>SUMIFS($P:$P, $Q:$Q, "&lt;" &amp; $Q2056)</f>
        <v>162312989</v>
      </c>
    </row>
    <row r="2057" spans="1:19" x14ac:dyDescent="0.25">
      <c r="A2057" s="1">
        <v>2052</v>
      </c>
      <c r="B2057" s="1" t="s">
        <v>2</v>
      </c>
      <c r="C2057" s="1" t="str">
        <f>IF($B2057 = "Production Item", _xlfn.XLOOKUP($A2057, 'Instrument Table'!$J:$J, 'Instrument Table'!$B:$B, $C2056), IF($B2057 = "Service Item", _xlfn.XLOOKUP($A2057, 'Instrument Table'!$I:$I, 'Instrument Table'!$B:$B, $C2056), _xlfn.XLOOKUP($A2057, 'Instrument Table'!$H:$H, 'Instrument Table'!$B:$B, $C2056)))</f>
        <v>Clarinet</v>
      </c>
      <c r="D2057" s="1" t="str">
        <f>VLOOKUP($C2057, 'Instrument Table'!$B:$C, 2, FALSE)</f>
        <v>Woodwinds</v>
      </c>
      <c r="E2057" s="1">
        <f t="shared" si="192"/>
        <v>1</v>
      </c>
      <c r="F2057" s="1">
        <f>_xlfn.XLOOKUP($C2057, 'Instrument Table'!$B:$B, 'Instrument Table'!$A:$A, "")</f>
        <v>30</v>
      </c>
      <c r="G2057" s="1" t="str">
        <f>TEXT(IF($B2057 = "Retail Item", IF((ROW($A2057) - 4504 - _xlfn.XMATCH($C2057, $C$4506:$C$5005, 0, 1)) &lt;= VLOOKUP($C2057, 'Instrument Table'!$B:$D, 3, FALSE), ROW($A2057) - 4504 - _xlfn.XMATCH($C2057, $C$4506:$C$5005, 0, 1), 0), 0), "00")</f>
        <v>00</v>
      </c>
      <c r="H2057" s="1" t="str">
        <f t="shared" si="193"/>
        <v>301</v>
      </c>
      <c r="I2057" s="1" t="str">
        <f t="shared" si="194"/>
        <v>13000-301</v>
      </c>
      <c r="J2057" s="1" t="str">
        <f t="shared" si="195"/>
        <v>Clarinet production item #301</v>
      </c>
      <c r="K2057" s="1" t="str">
        <f>IF(SUM(COUNTIFS(I:I, I2057)) &gt; 1, "DUPLICATE", "UNIQUE")</f>
        <v>UNIQUE</v>
      </c>
      <c r="L2057" s="18">
        <v>1</v>
      </c>
      <c r="M2057" s="28">
        <v>61</v>
      </c>
      <c r="N2057" s="6">
        <v>81</v>
      </c>
      <c r="O2057" s="30">
        <f t="shared" si="196"/>
        <v>61</v>
      </c>
      <c r="P2057" s="30">
        <f t="shared" si="197"/>
        <v>4941</v>
      </c>
      <c r="Q2057" s="1">
        <f>COUNTIFS($P:$P, "&gt;" &amp; $P2057) + 1</f>
        <v>2455</v>
      </c>
      <c r="R2057" s="63">
        <f>(COUNTIFS($P:$P, "&gt;" &amp; $P2057) + 1) / (COUNTA($I:$I) - 1)</f>
        <v>0.49099999999999999</v>
      </c>
      <c r="S2057" s="23">
        <f>SUMIFS($P:$P, $Q:$Q, "&lt;" &amp; $Q2057)</f>
        <v>182897299</v>
      </c>
    </row>
    <row r="2058" spans="1:19" x14ac:dyDescent="0.25">
      <c r="A2058" s="1">
        <v>2053</v>
      </c>
      <c r="B2058" s="1" t="s">
        <v>2</v>
      </c>
      <c r="C2058" s="1" t="str">
        <f>IF($B2058 = "Production Item", _xlfn.XLOOKUP($A2058, 'Instrument Table'!$J:$J, 'Instrument Table'!$B:$B, $C2057), IF($B2058 = "Service Item", _xlfn.XLOOKUP($A2058, 'Instrument Table'!$I:$I, 'Instrument Table'!$B:$B, $C2057), _xlfn.XLOOKUP($A2058, 'Instrument Table'!$H:$H, 'Instrument Table'!$B:$B, $C2057)))</f>
        <v>Clarinet</v>
      </c>
      <c r="D2058" s="1" t="str">
        <f>VLOOKUP($C2058, 'Instrument Table'!$B:$C, 2, FALSE)</f>
        <v>Woodwinds</v>
      </c>
      <c r="E2058" s="1">
        <f t="shared" si="192"/>
        <v>1</v>
      </c>
      <c r="F2058" s="1">
        <f>_xlfn.XLOOKUP($C2058, 'Instrument Table'!$B:$B, 'Instrument Table'!$A:$A, "")</f>
        <v>30</v>
      </c>
      <c r="G2058" s="1" t="str">
        <f>TEXT(IF($B2058 = "Retail Item", IF((ROW($A2058) - 4504 - _xlfn.XMATCH($C2058, $C$4506:$C$5005, 0, 1)) &lt;= VLOOKUP($C2058, 'Instrument Table'!$B:$D, 3, FALSE), ROW($A2058) - 4504 - _xlfn.XMATCH($C2058, $C$4506:$C$5005, 0, 1), 0), 0), "00")</f>
        <v>00</v>
      </c>
      <c r="H2058" s="1" t="str">
        <f t="shared" si="193"/>
        <v>302</v>
      </c>
      <c r="I2058" s="1" t="str">
        <f t="shared" si="194"/>
        <v>13000-302</v>
      </c>
      <c r="J2058" s="1" t="str">
        <f t="shared" si="195"/>
        <v>Clarinet production item #302</v>
      </c>
      <c r="K2058" s="1" t="str">
        <f>IF(SUM(COUNTIFS(I:I, I2058)) &gt; 1, "DUPLICATE", "UNIQUE")</f>
        <v>UNIQUE</v>
      </c>
      <c r="L2058" s="18">
        <v>0</v>
      </c>
      <c r="M2058" s="28">
        <v>81</v>
      </c>
      <c r="N2058" s="6">
        <v>225</v>
      </c>
      <c r="O2058" s="30">
        <f t="shared" si="196"/>
        <v>0</v>
      </c>
      <c r="P2058" s="30">
        <f t="shared" si="197"/>
        <v>18225</v>
      </c>
      <c r="Q2058" s="1">
        <f>COUNTIFS($P:$P, "&gt;" &amp; $P2058) + 1</f>
        <v>1151</v>
      </c>
      <c r="R2058" s="63">
        <f>(COUNTIFS($P:$P, "&gt;" &amp; $P2058) + 1) / (COUNTA($I:$I) - 1)</f>
        <v>0.23019999999999999</v>
      </c>
      <c r="S2058" s="23">
        <f>SUMIFS($P:$P, $Q:$Q, "&lt;" &amp; $Q2058)</f>
        <v>169454775</v>
      </c>
    </row>
    <row r="2059" spans="1:19" x14ac:dyDescent="0.25">
      <c r="A2059" s="1">
        <v>2054</v>
      </c>
      <c r="B2059" s="1" t="s">
        <v>2</v>
      </c>
      <c r="C2059" s="1" t="str">
        <f>IF($B2059 = "Production Item", _xlfn.XLOOKUP($A2059, 'Instrument Table'!$J:$J, 'Instrument Table'!$B:$B, $C2058), IF($B2059 = "Service Item", _xlfn.XLOOKUP($A2059, 'Instrument Table'!$I:$I, 'Instrument Table'!$B:$B, $C2058), _xlfn.XLOOKUP($A2059, 'Instrument Table'!$H:$H, 'Instrument Table'!$B:$B, $C2058)))</f>
        <v>Clarinet</v>
      </c>
      <c r="D2059" s="1" t="str">
        <f>VLOOKUP($C2059, 'Instrument Table'!$B:$C, 2, FALSE)</f>
        <v>Woodwinds</v>
      </c>
      <c r="E2059" s="1">
        <f t="shared" si="192"/>
        <v>1</v>
      </c>
      <c r="F2059" s="1">
        <f>_xlfn.XLOOKUP($C2059, 'Instrument Table'!$B:$B, 'Instrument Table'!$A:$A, "")</f>
        <v>30</v>
      </c>
      <c r="G2059" s="1" t="str">
        <f>TEXT(IF($B2059 = "Retail Item", IF((ROW($A2059) - 4504 - _xlfn.XMATCH($C2059, $C$4506:$C$5005, 0, 1)) &lt;= VLOOKUP($C2059, 'Instrument Table'!$B:$D, 3, FALSE), ROW($A2059) - 4504 - _xlfn.XMATCH($C2059, $C$4506:$C$5005, 0, 1), 0), 0), "00")</f>
        <v>00</v>
      </c>
      <c r="H2059" s="1" t="str">
        <f t="shared" si="193"/>
        <v>303</v>
      </c>
      <c r="I2059" s="1" t="str">
        <f t="shared" si="194"/>
        <v>13000-303</v>
      </c>
      <c r="J2059" s="1" t="str">
        <f t="shared" si="195"/>
        <v>Clarinet production item #303</v>
      </c>
      <c r="K2059" s="1" t="str">
        <f>IF(SUM(COUNTIFS(I:I, I2059)) &gt; 1, "DUPLICATE", "UNIQUE")</f>
        <v>UNIQUE</v>
      </c>
      <c r="L2059" s="18">
        <v>1</v>
      </c>
      <c r="M2059" s="28">
        <v>94</v>
      </c>
      <c r="N2059" s="6">
        <v>196</v>
      </c>
      <c r="O2059" s="30">
        <f t="shared" si="196"/>
        <v>94</v>
      </c>
      <c r="P2059" s="30">
        <f t="shared" si="197"/>
        <v>18424</v>
      </c>
      <c r="Q2059" s="1">
        <f>COUNTIFS($P:$P, "&gt;" &amp; $P2059) + 1</f>
        <v>1141</v>
      </c>
      <c r="R2059" s="63">
        <f>(COUNTIFS($P:$P, "&gt;" &amp; $P2059) + 1) / (COUNTA($I:$I) - 1)</f>
        <v>0.22819999999999999</v>
      </c>
      <c r="S2059" s="23">
        <f>SUMIFS($P:$P, $Q:$Q, "&lt;" &amp; $Q2059)</f>
        <v>169271117</v>
      </c>
    </row>
    <row r="2060" spans="1:19" x14ac:dyDescent="0.25">
      <c r="A2060" s="1">
        <v>2055</v>
      </c>
      <c r="B2060" s="1" t="s">
        <v>2</v>
      </c>
      <c r="C2060" s="1" t="str">
        <f>IF($B2060 = "Production Item", _xlfn.XLOOKUP($A2060, 'Instrument Table'!$J:$J, 'Instrument Table'!$B:$B, $C2059), IF($B2060 = "Service Item", _xlfn.XLOOKUP($A2060, 'Instrument Table'!$I:$I, 'Instrument Table'!$B:$B, $C2059), _xlfn.XLOOKUP($A2060, 'Instrument Table'!$H:$H, 'Instrument Table'!$B:$B, $C2059)))</f>
        <v>Clarinet</v>
      </c>
      <c r="D2060" s="1" t="str">
        <f>VLOOKUP($C2060, 'Instrument Table'!$B:$C, 2, FALSE)</f>
        <v>Woodwinds</v>
      </c>
      <c r="E2060" s="1">
        <f t="shared" si="192"/>
        <v>1</v>
      </c>
      <c r="F2060" s="1">
        <f>_xlfn.XLOOKUP($C2060, 'Instrument Table'!$B:$B, 'Instrument Table'!$A:$A, "")</f>
        <v>30</v>
      </c>
      <c r="G2060" s="1" t="str">
        <f>TEXT(IF($B2060 = "Retail Item", IF((ROW($A2060) - 4504 - _xlfn.XMATCH($C2060, $C$4506:$C$5005, 0, 1)) &lt;= VLOOKUP($C2060, 'Instrument Table'!$B:$D, 3, FALSE), ROW($A2060) - 4504 - _xlfn.XMATCH($C2060, $C$4506:$C$5005, 0, 1), 0), 0), "00")</f>
        <v>00</v>
      </c>
      <c r="H2060" s="1" t="str">
        <f t="shared" si="193"/>
        <v>304</v>
      </c>
      <c r="I2060" s="1" t="str">
        <f t="shared" si="194"/>
        <v>13000-304</v>
      </c>
      <c r="J2060" s="1" t="str">
        <f t="shared" si="195"/>
        <v>Clarinet production item #304</v>
      </c>
      <c r="K2060" s="1" t="str">
        <f>IF(SUM(COUNTIFS(I:I, I2060)) &gt; 1, "DUPLICATE", "UNIQUE")</f>
        <v>UNIQUE</v>
      </c>
      <c r="L2060" s="18">
        <v>8</v>
      </c>
      <c r="M2060" s="28">
        <v>91</v>
      </c>
      <c r="N2060" s="6">
        <v>289</v>
      </c>
      <c r="O2060" s="30">
        <f t="shared" si="196"/>
        <v>728</v>
      </c>
      <c r="P2060" s="30">
        <f t="shared" si="197"/>
        <v>26299</v>
      </c>
      <c r="Q2060" s="1">
        <f>COUNTIFS($P:$P, "&gt;" &amp; $P2060) + 1</f>
        <v>780</v>
      </c>
      <c r="R2060" s="63">
        <f>(COUNTIFS($P:$P, "&gt;" &amp; $P2060) + 1) / (COUNTA($I:$I) - 1)</f>
        <v>0.156</v>
      </c>
      <c r="S2060" s="23">
        <f>SUMIFS($P:$P, $Q:$Q, "&lt;" &amp; $Q2060)</f>
        <v>161307723</v>
      </c>
    </row>
    <row r="2061" spans="1:19" x14ac:dyDescent="0.25">
      <c r="A2061" s="1">
        <v>2056</v>
      </c>
      <c r="B2061" s="1" t="s">
        <v>2</v>
      </c>
      <c r="C2061" s="1" t="str">
        <f>IF($B2061 = "Production Item", _xlfn.XLOOKUP($A2061, 'Instrument Table'!$J:$J, 'Instrument Table'!$B:$B, $C2060), IF($B2061 = "Service Item", _xlfn.XLOOKUP($A2061, 'Instrument Table'!$I:$I, 'Instrument Table'!$B:$B, $C2060), _xlfn.XLOOKUP($A2061, 'Instrument Table'!$H:$H, 'Instrument Table'!$B:$B, $C2060)))</f>
        <v>Clarinet</v>
      </c>
      <c r="D2061" s="1" t="str">
        <f>VLOOKUP($C2061, 'Instrument Table'!$B:$C, 2, FALSE)</f>
        <v>Woodwinds</v>
      </c>
      <c r="E2061" s="1">
        <f t="shared" si="192"/>
        <v>1</v>
      </c>
      <c r="F2061" s="1">
        <f>_xlfn.XLOOKUP($C2061, 'Instrument Table'!$B:$B, 'Instrument Table'!$A:$A, "")</f>
        <v>30</v>
      </c>
      <c r="G2061" s="1" t="str">
        <f>TEXT(IF($B2061 = "Retail Item", IF((ROW($A2061) - 4504 - _xlfn.XMATCH($C2061, $C$4506:$C$5005, 0, 1)) &lt;= VLOOKUP($C2061, 'Instrument Table'!$B:$D, 3, FALSE), ROW($A2061) - 4504 - _xlfn.XMATCH($C2061, $C$4506:$C$5005, 0, 1), 0), 0), "00")</f>
        <v>00</v>
      </c>
      <c r="H2061" s="1" t="str">
        <f t="shared" si="193"/>
        <v>305</v>
      </c>
      <c r="I2061" s="1" t="str">
        <f t="shared" si="194"/>
        <v>13000-305</v>
      </c>
      <c r="J2061" s="1" t="str">
        <f t="shared" si="195"/>
        <v>Clarinet production item #305</v>
      </c>
      <c r="K2061" s="1" t="str">
        <f>IF(SUM(COUNTIFS(I:I, I2061)) &gt; 1, "DUPLICATE", "UNIQUE")</f>
        <v>UNIQUE</v>
      </c>
      <c r="L2061" s="18">
        <v>2</v>
      </c>
      <c r="M2061" s="28">
        <v>99</v>
      </c>
      <c r="N2061" s="6">
        <v>100</v>
      </c>
      <c r="O2061" s="30">
        <f t="shared" si="196"/>
        <v>198</v>
      </c>
      <c r="P2061" s="30">
        <f t="shared" si="197"/>
        <v>9900</v>
      </c>
      <c r="Q2061" s="1">
        <f>COUNTIFS($P:$P, "&gt;" &amp; $P2061) + 1</f>
        <v>1779</v>
      </c>
      <c r="R2061" s="63">
        <f>(COUNTIFS($P:$P, "&gt;" &amp; $P2061) + 1) / (COUNTA($I:$I) - 1)</f>
        <v>0.35580000000000001</v>
      </c>
      <c r="S2061" s="23">
        <f>SUMIFS($P:$P, $Q:$Q, "&lt;" &amp; $Q2061)</f>
        <v>178035601</v>
      </c>
    </row>
    <row r="2062" spans="1:19" x14ac:dyDescent="0.25">
      <c r="A2062" s="1">
        <v>2057</v>
      </c>
      <c r="B2062" s="1" t="s">
        <v>2</v>
      </c>
      <c r="C2062" s="1" t="str">
        <f>IF($B2062 = "Production Item", _xlfn.XLOOKUP($A2062, 'Instrument Table'!$J:$J, 'Instrument Table'!$B:$B, $C2061), IF($B2062 = "Service Item", _xlfn.XLOOKUP($A2062, 'Instrument Table'!$I:$I, 'Instrument Table'!$B:$B, $C2061), _xlfn.XLOOKUP($A2062, 'Instrument Table'!$H:$H, 'Instrument Table'!$B:$B, $C2061)))</f>
        <v>Clarinet</v>
      </c>
      <c r="D2062" s="1" t="str">
        <f>VLOOKUP($C2062, 'Instrument Table'!$B:$C, 2, FALSE)</f>
        <v>Woodwinds</v>
      </c>
      <c r="E2062" s="1">
        <f t="shared" si="192"/>
        <v>1</v>
      </c>
      <c r="F2062" s="1">
        <f>_xlfn.XLOOKUP($C2062, 'Instrument Table'!$B:$B, 'Instrument Table'!$A:$A, "")</f>
        <v>30</v>
      </c>
      <c r="G2062" s="1" t="str">
        <f>TEXT(IF($B2062 = "Retail Item", IF((ROW($A2062) - 4504 - _xlfn.XMATCH($C2062, $C$4506:$C$5005, 0, 1)) &lt;= VLOOKUP($C2062, 'Instrument Table'!$B:$D, 3, FALSE), ROW($A2062) - 4504 - _xlfn.XMATCH($C2062, $C$4506:$C$5005, 0, 1), 0), 0), "00")</f>
        <v>00</v>
      </c>
      <c r="H2062" s="1" t="str">
        <f t="shared" si="193"/>
        <v>306</v>
      </c>
      <c r="I2062" s="1" t="str">
        <f t="shared" si="194"/>
        <v>13000-306</v>
      </c>
      <c r="J2062" s="1" t="str">
        <f t="shared" si="195"/>
        <v>Clarinet production item #306</v>
      </c>
      <c r="K2062" s="1" t="str">
        <f>IF(SUM(COUNTIFS(I:I, I2062)) &gt; 1, "DUPLICATE", "UNIQUE")</f>
        <v>UNIQUE</v>
      </c>
      <c r="L2062" s="18">
        <v>4</v>
      </c>
      <c r="M2062" s="28">
        <v>61</v>
      </c>
      <c r="N2062" s="6">
        <v>64</v>
      </c>
      <c r="O2062" s="30">
        <f t="shared" si="196"/>
        <v>244</v>
      </c>
      <c r="P2062" s="30">
        <f t="shared" si="197"/>
        <v>3904</v>
      </c>
      <c r="Q2062" s="1">
        <f>COUNTIFS($P:$P, "&gt;" &amp; $P2062) + 1</f>
        <v>2675</v>
      </c>
      <c r="R2062" s="63">
        <f>(COUNTIFS($P:$P, "&gt;" &amp; $P2062) + 1) / (COUNTA($I:$I) - 1)</f>
        <v>0.53500000000000003</v>
      </c>
      <c r="S2062" s="23">
        <f>SUMIFS($P:$P, $Q:$Q, "&lt;" &amp; $Q2062)</f>
        <v>183870184</v>
      </c>
    </row>
    <row r="2063" spans="1:19" x14ac:dyDescent="0.25">
      <c r="A2063" s="1">
        <v>2058</v>
      </c>
      <c r="B2063" s="1" t="s">
        <v>2</v>
      </c>
      <c r="C2063" s="1" t="str">
        <f>IF($B2063 = "Production Item", _xlfn.XLOOKUP($A2063, 'Instrument Table'!$J:$J, 'Instrument Table'!$B:$B, $C2062), IF($B2063 = "Service Item", _xlfn.XLOOKUP($A2063, 'Instrument Table'!$I:$I, 'Instrument Table'!$B:$B, $C2062), _xlfn.XLOOKUP($A2063, 'Instrument Table'!$H:$H, 'Instrument Table'!$B:$B, $C2062)))</f>
        <v>Clarinet</v>
      </c>
      <c r="D2063" s="1" t="str">
        <f>VLOOKUP($C2063, 'Instrument Table'!$B:$C, 2, FALSE)</f>
        <v>Woodwinds</v>
      </c>
      <c r="E2063" s="1">
        <f t="shared" si="192"/>
        <v>1</v>
      </c>
      <c r="F2063" s="1">
        <f>_xlfn.XLOOKUP($C2063, 'Instrument Table'!$B:$B, 'Instrument Table'!$A:$A, "")</f>
        <v>30</v>
      </c>
      <c r="G2063" s="1" t="str">
        <f>TEXT(IF($B2063 = "Retail Item", IF((ROW($A2063) - 4504 - _xlfn.XMATCH($C2063, $C$4506:$C$5005, 0, 1)) &lt;= VLOOKUP($C2063, 'Instrument Table'!$B:$D, 3, FALSE), ROW($A2063) - 4504 - _xlfn.XMATCH($C2063, $C$4506:$C$5005, 0, 1), 0), 0), "00")</f>
        <v>00</v>
      </c>
      <c r="H2063" s="1" t="str">
        <f t="shared" si="193"/>
        <v>307</v>
      </c>
      <c r="I2063" s="1" t="str">
        <f t="shared" si="194"/>
        <v>13000-307</v>
      </c>
      <c r="J2063" s="1" t="str">
        <f t="shared" si="195"/>
        <v>Clarinet production item #307</v>
      </c>
      <c r="K2063" s="1" t="str">
        <f>IF(SUM(COUNTIFS(I:I, I2063)) &gt; 1, "DUPLICATE", "UNIQUE")</f>
        <v>UNIQUE</v>
      </c>
      <c r="L2063" s="18">
        <v>8</v>
      </c>
      <c r="M2063" s="28">
        <v>18</v>
      </c>
      <c r="N2063" s="6">
        <v>64</v>
      </c>
      <c r="O2063" s="30">
        <f t="shared" si="196"/>
        <v>144</v>
      </c>
      <c r="P2063" s="30">
        <f t="shared" si="197"/>
        <v>1152</v>
      </c>
      <c r="Q2063" s="1">
        <f>COUNTIFS($P:$P, "&gt;" &amp; $P2063) + 1</f>
        <v>3621</v>
      </c>
      <c r="R2063" s="63">
        <f>(COUNTIFS($P:$P, "&gt;" &amp; $P2063) + 1) / (COUNTA($I:$I) - 1)</f>
        <v>0.72419999999999995</v>
      </c>
      <c r="S2063" s="23">
        <f>SUMIFS($P:$P, $Q:$Q, "&lt;" &amp; $Q2063)</f>
        <v>186094880</v>
      </c>
    </row>
    <row r="2064" spans="1:19" x14ac:dyDescent="0.25">
      <c r="A2064" s="1">
        <v>2059</v>
      </c>
      <c r="B2064" s="1" t="s">
        <v>2</v>
      </c>
      <c r="C2064" s="1" t="str">
        <f>IF($B2064 = "Production Item", _xlfn.XLOOKUP($A2064, 'Instrument Table'!$J:$J, 'Instrument Table'!$B:$B, $C2063), IF($B2064 = "Service Item", _xlfn.XLOOKUP($A2064, 'Instrument Table'!$I:$I, 'Instrument Table'!$B:$B, $C2063), _xlfn.XLOOKUP($A2064, 'Instrument Table'!$H:$H, 'Instrument Table'!$B:$B, $C2063)))</f>
        <v>Clarinet</v>
      </c>
      <c r="D2064" s="1" t="str">
        <f>VLOOKUP($C2064, 'Instrument Table'!$B:$C, 2, FALSE)</f>
        <v>Woodwinds</v>
      </c>
      <c r="E2064" s="1">
        <f t="shared" si="192"/>
        <v>1</v>
      </c>
      <c r="F2064" s="1">
        <f>_xlfn.XLOOKUP($C2064, 'Instrument Table'!$B:$B, 'Instrument Table'!$A:$A, "")</f>
        <v>30</v>
      </c>
      <c r="G2064" s="1" t="str">
        <f>TEXT(IF($B2064 = "Retail Item", IF((ROW($A2064) - 4504 - _xlfn.XMATCH($C2064, $C$4506:$C$5005, 0, 1)) &lt;= VLOOKUP($C2064, 'Instrument Table'!$B:$D, 3, FALSE), ROW($A2064) - 4504 - _xlfn.XMATCH($C2064, $C$4506:$C$5005, 0, 1), 0), 0), "00")</f>
        <v>00</v>
      </c>
      <c r="H2064" s="1" t="str">
        <f t="shared" si="193"/>
        <v>308</v>
      </c>
      <c r="I2064" s="1" t="str">
        <f t="shared" si="194"/>
        <v>13000-308</v>
      </c>
      <c r="J2064" s="1" t="str">
        <f t="shared" si="195"/>
        <v>Clarinet production item #308</v>
      </c>
      <c r="K2064" s="1" t="str">
        <f>IF(SUM(COUNTIFS(I:I, I2064)) &gt; 1, "DUPLICATE", "UNIQUE")</f>
        <v>UNIQUE</v>
      </c>
      <c r="L2064" s="18">
        <v>2</v>
      </c>
      <c r="M2064" s="28">
        <v>100</v>
      </c>
      <c r="N2064" s="6">
        <v>9</v>
      </c>
      <c r="O2064" s="30">
        <f t="shared" si="196"/>
        <v>200</v>
      </c>
      <c r="P2064" s="30">
        <f t="shared" si="197"/>
        <v>900</v>
      </c>
      <c r="Q2064" s="1">
        <f>COUNTIFS($P:$P, "&gt;" &amp; $P2064) + 1</f>
        <v>3722</v>
      </c>
      <c r="R2064" s="63">
        <f>(COUNTIFS($P:$P, "&gt;" &amp; $P2064) + 1) / (COUNTA($I:$I) - 1)</f>
        <v>0.74439999999999995</v>
      </c>
      <c r="S2064" s="23">
        <f>SUMIFS($P:$P, $Q:$Q, "&lt;" &amp; $Q2064)</f>
        <v>186199390</v>
      </c>
    </row>
    <row r="2065" spans="1:19" x14ac:dyDescent="0.25">
      <c r="A2065" s="1">
        <v>2060</v>
      </c>
      <c r="B2065" s="1" t="s">
        <v>2</v>
      </c>
      <c r="C2065" s="1" t="str">
        <f>IF($B2065 = "Production Item", _xlfn.XLOOKUP($A2065, 'Instrument Table'!$J:$J, 'Instrument Table'!$B:$B, $C2064), IF($B2065 = "Service Item", _xlfn.XLOOKUP($A2065, 'Instrument Table'!$I:$I, 'Instrument Table'!$B:$B, $C2064), _xlfn.XLOOKUP($A2065, 'Instrument Table'!$H:$H, 'Instrument Table'!$B:$B, $C2064)))</f>
        <v>Clarinet</v>
      </c>
      <c r="D2065" s="1" t="str">
        <f>VLOOKUP($C2065, 'Instrument Table'!$B:$C, 2, FALSE)</f>
        <v>Woodwinds</v>
      </c>
      <c r="E2065" s="1">
        <f t="shared" si="192"/>
        <v>1</v>
      </c>
      <c r="F2065" s="1">
        <f>_xlfn.XLOOKUP($C2065, 'Instrument Table'!$B:$B, 'Instrument Table'!$A:$A, "")</f>
        <v>30</v>
      </c>
      <c r="G2065" s="1" t="str">
        <f>TEXT(IF($B2065 = "Retail Item", IF((ROW($A2065) - 4504 - _xlfn.XMATCH($C2065, $C$4506:$C$5005, 0, 1)) &lt;= VLOOKUP($C2065, 'Instrument Table'!$B:$D, 3, FALSE), ROW($A2065) - 4504 - _xlfn.XMATCH($C2065, $C$4506:$C$5005, 0, 1), 0), 0), "00")</f>
        <v>00</v>
      </c>
      <c r="H2065" s="1" t="str">
        <f t="shared" si="193"/>
        <v>309</v>
      </c>
      <c r="I2065" s="1" t="str">
        <f t="shared" si="194"/>
        <v>13000-309</v>
      </c>
      <c r="J2065" s="1" t="str">
        <f t="shared" si="195"/>
        <v>Clarinet production item #309</v>
      </c>
      <c r="K2065" s="1" t="str">
        <f>IF(SUM(COUNTIFS(I:I, I2065)) &gt; 1, "DUPLICATE", "UNIQUE")</f>
        <v>UNIQUE</v>
      </c>
      <c r="L2065" s="18">
        <v>1</v>
      </c>
      <c r="M2065" s="28">
        <v>15</v>
      </c>
      <c r="N2065" s="6">
        <v>289</v>
      </c>
      <c r="O2065" s="30">
        <f t="shared" si="196"/>
        <v>15</v>
      </c>
      <c r="P2065" s="30">
        <f t="shared" si="197"/>
        <v>4335</v>
      </c>
      <c r="Q2065" s="1">
        <f>COUNTIFS($P:$P, "&gt;" &amp; $P2065) + 1</f>
        <v>2578</v>
      </c>
      <c r="R2065" s="63">
        <f>(COUNTIFS($P:$P, "&gt;" &amp; $P2065) + 1) / (COUNTA($I:$I) - 1)</f>
        <v>0.51559999999999995</v>
      </c>
      <c r="S2065" s="23">
        <f>SUMIFS($P:$P, $Q:$Q, "&lt;" &amp; $Q2065)</f>
        <v>183468790</v>
      </c>
    </row>
    <row r="2066" spans="1:19" x14ac:dyDescent="0.25">
      <c r="A2066" s="1">
        <v>2061</v>
      </c>
      <c r="B2066" s="1" t="s">
        <v>2</v>
      </c>
      <c r="C2066" s="1" t="str">
        <f>IF($B2066 = "Production Item", _xlfn.XLOOKUP($A2066, 'Instrument Table'!$J:$J, 'Instrument Table'!$B:$B, $C2065), IF($B2066 = "Service Item", _xlfn.XLOOKUP($A2066, 'Instrument Table'!$I:$I, 'Instrument Table'!$B:$B, $C2065), _xlfn.XLOOKUP($A2066, 'Instrument Table'!$H:$H, 'Instrument Table'!$B:$B, $C2065)))</f>
        <v>Clarinet</v>
      </c>
      <c r="D2066" s="1" t="str">
        <f>VLOOKUP($C2066, 'Instrument Table'!$B:$C, 2, FALSE)</f>
        <v>Woodwinds</v>
      </c>
      <c r="E2066" s="1">
        <f t="shared" si="192"/>
        <v>1</v>
      </c>
      <c r="F2066" s="1">
        <f>_xlfn.XLOOKUP($C2066, 'Instrument Table'!$B:$B, 'Instrument Table'!$A:$A, "")</f>
        <v>30</v>
      </c>
      <c r="G2066" s="1" t="str">
        <f>TEXT(IF($B2066 = "Retail Item", IF((ROW($A2066) - 4504 - _xlfn.XMATCH($C2066, $C$4506:$C$5005, 0, 1)) &lt;= VLOOKUP($C2066, 'Instrument Table'!$B:$D, 3, FALSE), ROW($A2066) - 4504 - _xlfn.XMATCH($C2066, $C$4506:$C$5005, 0, 1), 0), 0), "00")</f>
        <v>00</v>
      </c>
      <c r="H2066" s="1" t="str">
        <f t="shared" si="193"/>
        <v>310</v>
      </c>
      <c r="I2066" s="1" t="str">
        <f t="shared" si="194"/>
        <v>13000-310</v>
      </c>
      <c r="J2066" s="1" t="str">
        <f t="shared" si="195"/>
        <v>Clarinet production item #310</v>
      </c>
      <c r="K2066" s="1" t="str">
        <f>IF(SUM(COUNTIFS(I:I, I2066)) &gt; 1, "DUPLICATE", "UNIQUE")</f>
        <v>UNIQUE</v>
      </c>
      <c r="L2066" s="18">
        <v>4</v>
      </c>
      <c r="M2066" s="28">
        <v>10</v>
      </c>
      <c r="N2066" s="6">
        <v>225</v>
      </c>
      <c r="O2066" s="30">
        <f t="shared" si="196"/>
        <v>40</v>
      </c>
      <c r="P2066" s="30">
        <f t="shared" si="197"/>
        <v>2250</v>
      </c>
      <c r="Q2066" s="1">
        <f>COUNTIFS($P:$P, "&gt;" &amp; $P2066) + 1</f>
        <v>3159</v>
      </c>
      <c r="R2066" s="63">
        <f>(COUNTIFS($P:$P, "&gt;" &amp; $P2066) + 1) / (COUNTA($I:$I) - 1)</f>
        <v>0.63180000000000003</v>
      </c>
      <c r="S2066" s="23">
        <f>SUMIFS($P:$P, $Q:$Q, "&lt;" &amp; $Q2066)</f>
        <v>185318469</v>
      </c>
    </row>
    <row r="2067" spans="1:19" x14ac:dyDescent="0.25">
      <c r="A2067" s="1">
        <v>2062</v>
      </c>
      <c r="B2067" s="1" t="s">
        <v>2</v>
      </c>
      <c r="C2067" s="1" t="str">
        <f>IF($B2067 = "Production Item", _xlfn.XLOOKUP($A2067, 'Instrument Table'!$J:$J, 'Instrument Table'!$B:$B, $C2066), IF($B2067 = "Service Item", _xlfn.XLOOKUP($A2067, 'Instrument Table'!$I:$I, 'Instrument Table'!$B:$B, $C2066), _xlfn.XLOOKUP($A2067, 'Instrument Table'!$H:$H, 'Instrument Table'!$B:$B, $C2066)))</f>
        <v>Clarinet</v>
      </c>
      <c r="D2067" s="1" t="str">
        <f>VLOOKUP($C2067, 'Instrument Table'!$B:$C, 2, FALSE)</f>
        <v>Woodwinds</v>
      </c>
      <c r="E2067" s="1">
        <f t="shared" si="192"/>
        <v>1</v>
      </c>
      <c r="F2067" s="1">
        <f>_xlfn.XLOOKUP($C2067, 'Instrument Table'!$B:$B, 'Instrument Table'!$A:$A, "")</f>
        <v>30</v>
      </c>
      <c r="G2067" s="1" t="str">
        <f>TEXT(IF($B2067 = "Retail Item", IF((ROW($A2067) - 4504 - _xlfn.XMATCH($C2067, $C$4506:$C$5005, 0, 1)) &lt;= VLOOKUP($C2067, 'Instrument Table'!$B:$D, 3, FALSE), ROW($A2067) - 4504 - _xlfn.XMATCH($C2067, $C$4506:$C$5005, 0, 1), 0), 0), "00")</f>
        <v>00</v>
      </c>
      <c r="H2067" s="1" t="str">
        <f t="shared" si="193"/>
        <v>311</v>
      </c>
      <c r="I2067" s="1" t="str">
        <f t="shared" si="194"/>
        <v>13000-311</v>
      </c>
      <c r="J2067" s="1" t="str">
        <f t="shared" si="195"/>
        <v>Clarinet production item #311</v>
      </c>
      <c r="K2067" s="1" t="str">
        <f>IF(SUM(COUNTIFS(I:I, I2067)) &gt; 1, "DUPLICATE", "UNIQUE")</f>
        <v>UNIQUE</v>
      </c>
      <c r="L2067" s="18">
        <v>0</v>
      </c>
      <c r="M2067" s="28">
        <v>91</v>
      </c>
      <c r="N2067" s="6">
        <v>64</v>
      </c>
      <c r="O2067" s="30">
        <f t="shared" si="196"/>
        <v>0</v>
      </c>
      <c r="P2067" s="30">
        <f t="shared" si="197"/>
        <v>5824</v>
      </c>
      <c r="Q2067" s="1">
        <f>COUNTIFS($P:$P, "&gt;" &amp; $P2067) + 1</f>
        <v>2293</v>
      </c>
      <c r="R2067" s="63">
        <f>(COUNTIFS($P:$P, "&gt;" &amp; $P2067) + 1) / (COUNTA($I:$I) - 1)</f>
        <v>0.45860000000000001</v>
      </c>
      <c r="S2067" s="23">
        <f>SUMIFS($P:$P, $Q:$Q, "&lt;" &amp; $Q2067)</f>
        <v>182023514</v>
      </c>
    </row>
    <row r="2068" spans="1:19" x14ac:dyDescent="0.25">
      <c r="A2068" s="1">
        <v>2063</v>
      </c>
      <c r="B2068" s="1" t="s">
        <v>2</v>
      </c>
      <c r="C2068" s="1" t="str">
        <f>IF($B2068 = "Production Item", _xlfn.XLOOKUP($A2068, 'Instrument Table'!$J:$J, 'Instrument Table'!$B:$B, $C2067), IF($B2068 = "Service Item", _xlfn.XLOOKUP($A2068, 'Instrument Table'!$I:$I, 'Instrument Table'!$B:$B, $C2067), _xlfn.XLOOKUP($A2068, 'Instrument Table'!$H:$H, 'Instrument Table'!$B:$B, $C2067)))</f>
        <v>Clarinet</v>
      </c>
      <c r="D2068" s="1" t="str">
        <f>VLOOKUP($C2068, 'Instrument Table'!$B:$C, 2, FALSE)</f>
        <v>Woodwinds</v>
      </c>
      <c r="E2068" s="1">
        <f t="shared" si="192"/>
        <v>1</v>
      </c>
      <c r="F2068" s="1">
        <f>_xlfn.XLOOKUP($C2068, 'Instrument Table'!$B:$B, 'Instrument Table'!$A:$A, "")</f>
        <v>30</v>
      </c>
      <c r="G2068" s="1" t="str">
        <f>TEXT(IF($B2068 = "Retail Item", IF((ROW($A2068) - 4504 - _xlfn.XMATCH($C2068, $C$4506:$C$5005, 0, 1)) &lt;= VLOOKUP($C2068, 'Instrument Table'!$B:$D, 3, FALSE), ROW($A2068) - 4504 - _xlfn.XMATCH($C2068, $C$4506:$C$5005, 0, 1), 0), 0), "00")</f>
        <v>00</v>
      </c>
      <c r="H2068" s="1" t="str">
        <f t="shared" si="193"/>
        <v>312</v>
      </c>
      <c r="I2068" s="1" t="str">
        <f t="shared" si="194"/>
        <v>13000-312</v>
      </c>
      <c r="J2068" s="1" t="str">
        <f t="shared" si="195"/>
        <v>Clarinet production item #312</v>
      </c>
      <c r="K2068" s="1" t="str">
        <f>IF(SUM(COUNTIFS(I:I, I2068)) &gt; 1, "DUPLICATE", "UNIQUE")</f>
        <v>UNIQUE</v>
      </c>
      <c r="L2068" s="18">
        <v>4</v>
      </c>
      <c r="M2068" s="28">
        <v>14</v>
      </c>
      <c r="N2068" s="6">
        <v>36</v>
      </c>
      <c r="O2068" s="30">
        <f t="shared" si="196"/>
        <v>56</v>
      </c>
      <c r="P2068" s="30">
        <f t="shared" si="197"/>
        <v>504</v>
      </c>
      <c r="Q2068" s="1">
        <f>COUNTIFS($P:$P, "&gt;" &amp; $P2068) + 1</f>
        <v>4023</v>
      </c>
      <c r="R2068" s="63">
        <f>(COUNTIFS($P:$P, "&gt;" &amp; $P2068) + 1) / (COUNTA($I:$I) - 1)</f>
        <v>0.80459999999999998</v>
      </c>
      <c r="S2068" s="23">
        <f>SUMIFS($P:$P, $Q:$Q, "&lt;" &amp; $Q2068)</f>
        <v>186410147</v>
      </c>
    </row>
    <row r="2069" spans="1:19" x14ac:dyDescent="0.25">
      <c r="A2069" s="1">
        <v>2064</v>
      </c>
      <c r="B2069" s="1" t="s">
        <v>2</v>
      </c>
      <c r="C2069" s="1" t="str">
        <f>IF($B2069 = "Production Item", _xlfn.XLOOKUP($A2069, 'Instrument Table'!$J:$J, 'Instrument Table'!$B:$B, $C2068), IF($B2069 = "Service Item", _xlfn.XLOOKUP($A2069, 'Instrument Table'!$I:$I, 'Instrument Table'!$B:$B, $C2068), _xlfn.XLOOKUP($A2069, 'Instrument Table'!$H:$H, 'Instrument Table'!$B:$B, $C2068)))</f>
        <v>Clarinet</v>
      </c>
      <c r="D2069" s="1" t="str">
        <f>VLOOKUP($C2069, 'Instrument Table'!$B:$C, 2, FALSE)</f>
        <v>Woodwinds</v>
      </c>
      <c r="E2069" s="1">
        <f t="shared" si="192"/>
        <v>1</v>
      </c>
      <c r="F2069" s="1">
        <f>_xlfn.XLOOKUP($C2069, 'Instrument Table'!$B:$B, 'Instrument Table'!$A:$A, "")</f>
        <v>30</v>
      </c>
      <c r="G2069" s="1" t="str">
        <f>TEXT(IF($B2069 = "Retail Item", IF((ROW($A2069) - 4504 - _xlfn.XMATCH($C2069, $C$4506:$C$5005, 0, 1)) &lt;= VLOOKUP($C2069, 'Instrument Table'!$B:$D, 3, FALSE), ROW($A2069) - 4504 - _xlfn.XMATCH($C2069, $C$4506:$C$5005, 0, 1), 0), 0), "00")</f>
        <v>00</v>
      </c>
      <c r="H2069" s="1" t="str">
        <f t="shared" si="193"/>
        <v>313</v>
      </c>
      <c r="I2069" s="1" t="str">
        <f t="shared" si="194"/>
        <v>13000-313</v>
      </c>
      <c r="J2069" s="1" t="str">
        <f t="shared" si="195"/>
        <v>Clarinet production item #313</v>
      </c>
      <c r="K2069" s="1" t="str">
        <f>IF(SUM(COUNTIFS(I:I, I2069)) &gt; 1, "DUPLICATE", "UNIQUE")</f>
        <v>UNIQUE</v>
      </c>
      <c r="L2069" s="18">
        <v>4</v>
      </c>
      <c r="M2069" s="28">
        <v>20</v>
      </c>
      <c r="N2069" s="6">
        <v>0</v>
      </c>
      <c r="O2069" s="30">
        <f t="shared" si="196"/>
        <v>80</v>
      </c>
      <c r="P2069" s="30">
        <f t="shared" si="197"/>
        <v>0</v>
      </c>
      <c r="Q2069" s="1">
        <f>COUNTIFS($P:$P, "&gt;" &amp; $P2069) + 1</f>
        <v>4746</v>
      </c>
      <c r="R2069" s="63">
        <f>(COUNTIFS($P:$P, "&gt;" &amp; $P2069) + 1) / (COUNTA($I:$I) - 1)</f>
        <v>0.94920000000000004</v>
      </c>
      <c r="S2069" s="23">
        <f>SUMIFS($P:$P, $Q:$Q, "&lt;" &amp; $Q2069)</f>
        <v>186547861</v>
      </c>
    </row>
    <row r="2070" spans="1:19" x14ac:dyDescent="0.25">
      <c r="A2070" s="1">
        <v>2065</v>
      </c>
      <c r="B2070" s="1" t="s">
        <v>2</v>
      </c>
      <c r="C2070" s="1" t="str">
        <f>IF($B2070 = "Production Item", _xlfn.XLOOKUP($A2070, 'Instrument Table'!$J:$J, 'Instrument Table'!$B:$B, $C2069), IF($B2070 = "Service Item", _xlfn.XLOOKUP($A2070, 'Instrument Table'!$I:$I, 'Instrument Table'!$B:$B, $C2069), _xlfn.XLOOKUP($A2070, 'Instrument Table'!$H:$H, 'Instrument Table'!$B:$B, $C2069)))</f>
        <v>Clarinet</v>
      </c>
      <c r="D2070" s="1" t="str">
        <f>VLOOKUP($C2070, 'Instrument Table'!$B:$C, 2, FALSE)</f>
        <v>Woodwinds</v>
      </c>
      <c r="E2070" s="1">
        <f t="shared" si="192"/>
        <v>1</v>
      </c>
      <c r="F2070" s="1">
        <f>_xlfn.XLOOKUP($C2070, 'Instrument Table'!$B:$B, 'Instrument Table'!$A:$A, "")</f>
        <v>30</v>
      </c>
      <c r="G2070" s="1" t="str">
        <f>TEXT(IF($B2070 = "Retail Item", IF((ROW($A2070) - 4504 - _xlfn.XMATCH($C2070, $C$4506:$C$5005, 0, 1)) &lt;= VLOOKUP($C2070, 'Instrument Table'!$B:$D, 3, FALSE), ROW($A2070) - 4504 - _xlfn.XMATCH($C2070, $C$4506:$C$5005, 0, 1), 0), 0), "00")</f>
        <v>00</v>
      </c>
      <c r="H2070" s="1" t="str">
        <f t="shared" si="193"/>
        <v>314</v>
      </c>
      <c r="I2070" s="1" t="str">
        <f t="shared" si="194"/>
        <v>13000-314</v>
      </c>
      <c r="J2070" s="1" t="str">
        <f t="shared" si="195"/>
        <v>Clarinet production item #314</v>
      </c>
      <c r="K2070" s="1" t="str">
        <f>IF(SUM(COUNTIFS(I:I, I2070)) &gt; 1, "DUPLICATE", "UNIQUE")</f>
        <v>UNIQUE</v>
      </c>
      <c r="L2070" s="18">
        <v>0</v>
      </c>
      <c r="M2070" s="28">
        <v>63</v>
      </c>
      <c r="N2070" s="6">
        <v>36</v>
      </c>
      <c r="O2070" s="30">
        <f t="shared" si="196"/>
        <v>0</v>
      </c>
      <c r="P2070" s="30">
        <f t="shared" si="197"/>
        <v>2268</v>
      </c>
      <c r="Q2070" s="1">
        <f>COUNTIFS($P:$P, "&gt;" &amp; $P2070) + 1</f>
        <v>3145</v>
      </c>
      <c r="R2070" s="63">
        <f>(COUNTIFS($P:$P, "&gt;" &amp; $P2070) + 1) / (COUNTA($I:$I) - 1)</f>
        <v>0.629</v>
      </c>
      <c r="S2070" s="23">
        <f>SUMIFS($P:$P, $Q:$Q, "&lt;" &amp; $Q2070)</f>
        <v>185286773</v>
      </c>
    </row>
    <row r="2071" spans="1:19" x14ac:dyDescent="0.25">
      <c r="A2071" s="1">
        <v>2066</v>
      </c>
      <c r="B2071" s="1" t="s">
        <v>2</v>
      </c>
      <c r="C2071" s="1" t="str">
        <f>IF($B2071 = "Production Item", _xlfn.XLOOKUP($A2071, 'Instrument Table'!$J:$J, 'Instrument Table'!$B:$B, $C2070), IF($B2071 = "Service Item", _xlfn.XLOOKUP($A2071, 'Instrument Table'!$I:$I, 'Instrument Table'!$B:$B, $C2070), _xlfn.XLOOKUP($A2071, 'Instrument Table'!$H:$H, 'Instrument Table'!$B:$B, $C2070)))</f>
        <v>Clarinet</v>
      </c>
      <c r="D2071" s="1" t="str">
        <f>VLOOKUP($C2071, 'Instrument Table'!$B:$C, 2, FALSE)</f>
        <v>Woodwinds</v>
      </c>
      <c r="E2071" s="1">
        <f t="shared" si="192"/>
        <v>1</v>
      </c>
      <c r="F2071" s="1">
        <f>_xlfn.XLOOKUP($C2071, 'Instrument Table'!$B:$B, 'Instrument Table'!$A:$A, "")</f>
        <v>30</v>
      </c>
      <c r="G2071" s="1" t="str">
        <f>TEXT(IF($B2071 = "Retail Item", IF((ROW($A2071) - 4504 - _xlfn.XMATCH($C2071, $C$4506:$C$5005, 0, 1)) &lt;= VLOOKUP($C2071, 'Instrument Table'!$B:$D, 3, FALSE), ROW($A2071) - 4504 - _xlfn.XMATCH($C2071, $C$4506:$C$5005, 0, 1), 0), 0), "00")</f>
        <v>00</v>
      </c>
      <c r="H2071" s="1" t="str">
        <f t="shared" si="193"/>
        <v>315</v>
      </c>
      <c r="I2071" s="1" t="str">
        <f t="shared" si="194"/>
        <v>13000-315</v>
      </c>
      <c r="J2071" s="1" t="str">
        <f t="shared" si="195"/>
        <v>Clarinet production item #315</v>
      </c>
      <c r="K2071" s="1" t="str">
        <f>IF(SUM(COUNTIFS(I:I, I2071)) &gt; 1, "DUPLICATE", "UNIQUE")</f>
        <v>UNIQUE</v>
      </c>
      <c r="L2071" s="18">
        <v>1</v>
      </c>
      <c r="M2071" s="28">
        <v>28</v>
      </c>
      <c r="N2071" s="6">
        <v>81</v>
      </c>
      <c r="O2071" s="30">
        <f t="shared" si="196"/>
        <v>28</v>
      </c>
      <c r="P2071" s="30">
        <f t="shared" si="197"/>
        <v>2268</v>
      </c>
      <c r="Q2071" s="1">
        <f>COUNTIFS($P:$P, "&gt;" &amp; $P2071) + 1</f>
        <v>3145</v>
      </c>
      <c r="R2071" s="63">
        <f>(COUNTIFS($P:$P, "&gt;" &amp; $P2071) + 1) / (COUNTA($I:$I) - 1)</f>
        <v>0.629</v>
      </c>
      <c r="S2071" s="23">
        <f>SUMIFS($P:$P, $Q:$Q, "&lt;" &amp; $Q2071)</f>
        <v>185286773</v>
      </c>
    </row>
    <row r="2072" spans="1:19" x14ac:dyDescent="0.25">
      <c r="A2072" s="1">
        <v>2067</v>
      </c>
      <c r="B2072" s="1" t="s">
        <v>2</v>
      </c>
      <c r="C2072" s="1" t="str">
        <f>IF($B2072 = "Production Item", _xlfn.XLOOKUP($A2072, 'Instrument Table'!$J:$J, 'Instrument Table'!$B:$B, $C2071), IF($B2072 = "Service Item", _xlfn.XLOOKUP($A2072, 'Instrument Table'!$I:$I, 'Instrument Table'!$B:$B, $C2071), _xlfn.XLOOKUP($A2072, 'Instrument Table'!$H:$H, 'Instrument Table'!$B:$B, $C2071)))</f>
        <v>Clarinet</v>
      </c>
      <c r="D2072" s="1" t="str">
        <f>VLOOKUP($C2072, 'Instrument Table'!$B:$C, 2, FALSE)</f>
        <v>Woodwinds</v>
      </c>
      <c r="E2072" s="1">
        <f t="shared" si="192"/>
        <v>1</v>
      </c>
      <c r="F2072" s="1">
        <f>_xlfn.XLOOKUP($C2072, 'Instrument Table'!$B:$B, 'Instrument Table'!$A:$A, "")</f>
        <v>30</v>
      </c>
      <c r="G2072" s="1" t="str">
        <f>TEXT(IF($B2072 = "Retail Item", IF((ROW($A2072) - 4504 - _xlfn.XMATCH($C2072, $C$4506:$C$5005, 0, 1)) &lt;= VLOOKUP($C2072, 'Instrument Table'!$B:$D, 3, FALSE), ROW($A2072) - 4504 - _xlfn.XMATCH($C2072, $C$4506:$C$5005, 0, 1), 0), 0), "00")</f>
        <v>00</v>
      </c>
      <c r="H2072" s="1" t="str">
        <f t="shared" si="193"/>
        <v>316</v>
      </c>
      <c r="I2072" s="1" t="str">
        <f t="shared" si="194"/>
        <v>13000-316</v>
      </c>
      <c r="J2072" s="1" t="str">
        <f t="shared" si="195"/>
        <v>Clarinet production item #316</v>
      </c>
      <c r="K2072" s="1" t="str">
        <f>IF(SUM(COUNTIFS(I:I, I2072)) &gt; 1, "DUPLICATE", "UNIQUE")</f>
        <v>UNIQUE</v>
      </c>
      <c r="L2072" s="18">
        <v>0</v>
      </c>
      <c r="M2072" s="28">
        <v>8</v>
      </c>
      <c r="N2072" s="6">
        <v>64</v>
      </c>
      <c r="O2072" s="30">
        <f t="shared" si="196"/>
        <v>0</v>
      </c>
      <c r="P2072" s="30">
        <f t="shared" si="197"/>
        <v>512</v>
      </c>
      <c r="Q2072" s="1">
        <f>COUNTIFS($P:$P, "&gt;" &amp; $P2072) + 1</f>
        <v>4012</v>
      </c>
      <c r="R2072" s="63">
        <f>(COUNTIFS($P:$P, "&gt;" &amp; $P2072) + 1) / (COUNTA($I:$I) - 1)</f>
        <v>0.8024</v>
      </c>
      <c r="S2072" s="23">
        <f>SUMIFS($P:$P, $Q:$Q, "&lt;" &amp; $Q2072)</f>
        <v>186404530</v>
      </c>
    </row>
    <row r="2073" spans="1:19" x14ac:dyDescent="0.25">
      <c r="A2073" s="1">
        <v>2068</v>
      </c>
      <c r="B2073" s="1" t="s">
        <v>2</v>
      </c>
      <c r="C2073" s="1" t="str">
        <f>IF($B2073 = "Production Item", _xlfn.XLOOKUP($A2073, 'Instrument Table'!$J:$J, 'Instrument Table'!$B:$B, $C2072), IF($B2073 = "Service Item", _xlfn.XLOOKUP($A2073, 'Instrument Table'!$I:$I, 'Instrument Table'!$B:$B, $C2072), _xlfn.XLOOKUP($A2073, 'Instrument Table'!$H:$H, 'Instrument Table'!$B:$B, $C2072)))</f>
        <v>Clarinet</v>
      </c>
      <c r="D2073" s="1" t="str">
        <f>VLOOKUP($C2073, 'Instrument Table'!$B:$C, 2, FALSE)</f>
        <v>Woodwinds</v>
      </c>
      <c r="E2073" s="1">
        <f t="shared" si="192"/>
        <v>1</v>
      </c>
      <c r="F2073" s="1">
        <f>_xlfn.XLOOKUP($C2073, 'Instrument Table'!$B:$B, 'Instrument Table'!$A:$A, "")</f>
        <v>30</v>
      </c>
      <c r="G2073" s="1" t="str">
        <f>TEXT(IF($B2073 = "Retail Item", IF((ROW($A2073) - 4504 - _xlfn.XMATCH($C2073, $C$4506:$C$5005, 0, 1)) &lt;= VLOOKUP($C2073, 'Instrument Table'!$B:$D, 3, FALSE), ROW($A2073) - 4504 - _xlfn.XMATCH($C2073, $C$4506:$C$5005, 0, 1), 0), 0), "00")</f>
        <v>00</v>
      </c>
      <c r="H2073" s="1" t="str">
        <f t="shared" si="193"/>
        <v>317</v>
      </c>
      <c r="I2073" s="1" t="str">
        <f t="shared" si="194"/>
        <v>13000-317</v>
      </c>
      <c r="J2073" s="1" t="str">
        <f t="shared" si="195"/>
        <v>Clarinet production item #317</v>
      </c>
      <c r="K2073" s="1" t="str">
        <f>IF(SUM(COUNTIFS(I:I, I2073)) &gt; 1, "DUPLICATE", "UNIQUE")</f>
        <v>UNIQUE</v>
      </c>
      <c r="L2073" s="18">
        <v>0</v>
      </c>
      <c r="M2073" s="28">
        <v>10</v>
      </c>
      <c r="N2073" s="6">
        <v>121</v>
      </c>
      <c r="O2073" s="30">
        <f t="shared" si="196"/>
        <v>0</v>
      </c>
      <c r="P2073" s="30">
        <f t="shared" si="197"/>
        <v>1210</v>
      </c>
      <c r="Q2073" s="1">
        <f>COUNTIFS($P:$P, "&gt;" &amp; $P2073) + 1</f>
        <v>3603</v>
      </c>
      <c r="R2073" s="63">
        <f>(COUNTIFS($P:$P, "&gt;" &amp; $P2073) + 1) / (COUNTA($I:$I) - 1)</f>
        <v>0.72060000000000002</v>
      </c>
      <c r="S2073" s="23">
        <f>SUMIFS($P:$P, $Q:$Q, "&lt;" &amp; $Q2073)</f>
        <v>186073388</v>
      </c>
    </row>
    <row r="2074" spans="1:19" x14ac:dyDescent="0.25">
      <c r="A2074" s="1">
        <v>2069</v>
      </c>
      <c r="B2074" s="1" t="s">
        <v>2</v>
      </c>
      <c r="C2074" s="1" t="str">
        <f>IF($B2074 = "Production Item", _xlfn.XLOOKUP($A2074, 'Instrument Table'!$J:$J, 'Instrument Table'!$B:$B, $C2073), IF($B2074 = "Service Item", _xlfn.XLOOKUP($A2074, 'Instrument Table'!$I:$I, 'Instrument Table'!$B:$B, $C2073), _xlfn.XLOOKUP($A2074, 'Instrument Table'!$H:$H, 'Instrument Table'!$B:$B, $C2073)))</f>
        <v>Clarinet</v>
      </c>
      <c r="D2074" s="1" t="str">
        <f>VLOOKUP($C2074, 'Instrument Table'!$B:$C, 2, FALSE)</f>
        <v>Woodwinds</v>
      </c>
      <c r="E2074" s="1">
        <f t="shared" si="192"/>
        <v>1</v>
      </c>
      <c r="F2074" s="1">
        <f>_xlfn.XLOOKUP($C2074, 'Instrument Table'!$B:$B, 'Instrument Table'!$A:$A, "")</f>
        <v>30</v>
      </c>
      <c r="G2074" s="1" t="str">
        <f>TEXT(IF($B2074 = "Retail Item", IF((ROW($A2074) - 4504 - _xlfn.XMATCH($C2074, $C$4506:$C$5005, 0, 1)) &lt;= VLOOKUP($C2074, 'Instrument Table'!$B:$D, 3, FALSE), ROW($A2074) - 4504 - _xlfn.XMATCH($C2074, $C$4506:$C$5005, 0, 1), 0), 0), "00")</f>
        <v>00</v>
      </c>
      <c r="H2074" s="1" t="str">
        <f t="shared" si="193"/>
        <v>318</v>
      </c>
      <c r="I2074" s="1" t="str">
        <f t="shared" si="194"/>
        <v>13000-318</v>
      </c>
      <c r="J2074" s="1" t="str">
        <f t="shared" si="195"/>
        <v>Clarinet production item #318</v>
      </c>
      <c r="K2074" s="1" t="str">
        <f>IF(SUM(COUNTIFS(I:I, I2074)) &gt; 1, "DUPLICATE", "UNIQUE")</f>
        <v>UNIQUE</v>
      </c>
      <c r="L2074" s="18">
        <v>0</v>
      </c>
      <c r="M2074" s="28">
        <v>86</v>
      </c>
      <c r="N2074" s="6">
        <v>81</v>
      </c>
      <c r="O2074" s="30">
        <f t="shared" si="196"/>
        <v>0</v>
      </c>
      <c r="P2074" s="30">
        <f t="shared" si="197"/>
        <v>6966</v>
      </c>
      <c r="Q2074" s="1">
        <f>COUNTIFS($P:$P, "&gt;" &amp; $P2074) + 1</f>
        <v>2138</v>
      </c>
      <c r="R2074" s="63">
        <f>(COUNTIFS($P:$P, "&gt;" &amp; $P2074) + 1) / (COUNTA($I:$I) - 1)</f>
        <v>0.42759999999999998</v>
      </c>
      <c r="S2074" s="23">
        <f>SUMIFS($P:$P, $Q:$Q, "&lt;" &amp; $Q2074)</f>
        <v>181030428</v>
      </c>
    </row>
    <row r="2075" spans="1:19" x14ac:dyDescent="0.25">
      <c r="A2075" s="1">
        <v>2070</v>
      </c>
      <c r="B2075" s="1" t="s">
        <v>2</v>
      </c>
      <c r="C2075" s="1" t="str">
        <f>IF($B2075 = "Production Item", _xlfn.XLOOKUP($A2075, 'Instrument Table'!$J:$J, 'Instrument Table'!$B:$B, $C2074), IF($B2075 = "Service Item", _xlfn.XLOOKUP($A2075, 'Instrument Table'!$I:$I, 'Instrument Table'!$B:$B, $C2074), _xlfn.XLOOKUP($A2075, 'Instrument Table'!$H:$H, 'Instrument Table'!$B:$B, $C2074)))</f>
        <v>Clarinet</v>
      </c>
      <c r="D2075" s="1" t="str">
        <f>VLOOKUP($C2075, 'Instrument Table'!$B:$C, 2, FALSE)</f>
        <v>Woodwinds</v>
      </c>
      <c r="E2075" s="1">
        <f t="shared" si="192"/>
        <v>1</v>
      </c>
      <c r="F2075" s="1">
        <f>_xlfn.XLOOKUP($C2075, 'Instrument Table'!$B:$B, 'Instrument Table'!$A:$A, "")</f>
        <v>30</v>
      </c>
      <c r="G2075" s="1" t="str">
        <f>TEXT(IF($B2075 = "Retail Item", IF((ROW($A2075) - 4504 - _xlfn.XMATCH($C2075, $C$4506:$C$5005, 0, 1)) &lt;= VLOOKUP($C2075, 'Instrument Table'!$B:$D, 3, FALSE), ROW($A2075) - 4504 - _xlfn.XMATCH($C2075, $C$4506:$C$5005, 0, 1), 0), 0), "00")</f>
        <v>00</v>
      </c>
      <c r="H2075" s="1" t="str">
        <f t="shared" si="193"/>
        <v>319</v>
      </c>
      <c r="I2075" s="1" t="str">
        <f t="shared" si="194"/>
        <v>13000-319</v>
      </c>
      <c r="J2075" s="1" t="str">
        <f t="shared" si="195"/>
        <v>Clarinet production item #319</v>
      </c>
      <c r="K2075" s="1" t="str">
        <f>IF(SUM(COUNTIFS(I:I, I2075)) &gt; 1, "DUPLICATE", "UNIQUE")</f>
        <v>UNIQUE</v>
      </c>
      <c r="L2075" s="18">
        <v>2</v>
      </c>
      <c r="M2075" s="28">
        <v>41</v>
      </c>
      <c r="N2075" s="6">
        <v>49</v>
      </c>
      <c r="O2075" s="30">
        <f t="shared" si="196"/>
        <v>82</v>
      </c>
      <c r="P2075" s="30">
        <f t="shared" si="197"/>
        <v>2009</v>
      </c>
      <c r="Q2075" s="1">
        <f>COUNTIFS($P:$P, "&gt;" &amp; $P2075) + 1</f>
        <v>3254</v>
      </c>
      <c r="R2075" s="63">
        <f>(COUNTIFS($P:$P, "&gt;" &amp; $P2075) + 1) / (COUNTA($I:$I) - 1)</f>
        <v>0.65080000000000005</v>
      </c>
      <c r="S2075" s="23">
        <f>SUMIFS($P:$P, $Q:$Q, "&lt;" &amp; $Q2075)</f>
        <v>185519164</v>
      </c>
    </row>
    <row r="2076" spans="1:19" x14ac:dyDescent="0.25">
      <c r="A2076" s="1">
        <v>2071</v>
      </c>
      <c r="B2076" s="1" t="s">
        <v>2</v>
      </c>
      <c r="C2076" s="1" t="str">
        <f>IF($B2076 = "Production Item", _xlfn.XLOOKUP($A2076, 'Instrument Table'!$J:$J, 'Instrument Table'!$B:$B, $C2075), IF($B2076 = "Service Item", _xlfn.XLOOKUP($A2076, 'Instrument Table'!$I:$I, 'Instrument Table'!$B:$B, $C2075), _xlfn.XLOOKUP($A2076, 'Instrument Table'!$H:$H, 'Instrument Table'!$B:$B, $C2075)))</f>
        <v>Clarinet</v>
      </c>
      <c r="D2076" s="1" t="str">
        <f>VLOOKUP($C2076, 'Instrument Table'!$B:$C, 2, FALSE)</f>
        <v>Woodwinds</v>
      </c>
      <c r="E2076" s="1">
        <f t="shared" si="192"/>
        <v>1</v>
      </c>
      <c r="F2076" s="1">
        <f>_xlfn.XLOOKUP($C2076, 'Instrument Table'!$B:$B, 'Instrument Table'!$A:$A, "")</f>
        <v>30</v>
      </c>
      <c r="G2076" s="1" t="str">
        <f>TEXT(IF($B2076 = "Retail Item", IF((ROW($A2076) - 4504 - _xlfn.XMATCH($C2076, $C$4506:$C$5005, 0, 1)) &lt;= VLOOKUP($C2076, 'Instrument Table'!$B:$D, 3, FALSE), ROW($A2076) - 4504 - _xlfn.XMATCH($C2076, $C$4506:$C$5005, 0, 1), 0), 0), "00")</f>
        <v>00</v>
      </c>
      <c r="H2076" s="1" t="str">
        <f t="shared" si="193"/>
        <v>320</v>
      </c>
      <c r="I2076" s="1" t="str">
        <f t="shared" si="194"/>
        <v>13000-320</v>
      </c>
      <c r="J2076" s="1" t="str">
        <f t="shared" si="195"/>
        <v>Clarinet production item #320</v>
      </c>
      <c r="K2076" s="1" t="str">
        <f>IF(SUM(COUNTIFS(I:I, I2076)) &gt; 1, "DUPLICATE", "UNIQUE")</f>
        <v>UNIQUE</v>
      </c>
      <c r="L2076" s="18">
        <v>1</v>
      </c>
      <c r="M2076" s="28">
        <v>63</v>
      </c>
      <c r="N2076" s="6">
        <v>81</v>
      </c>
      <c r="O2076" s="30">
        <f t="shared" si="196"/>
        <v>63</v>
      </c>
      <c r="P2076" s="30">
        <f t="shared" si="197"/>
        <v>5103</v>
      </c>
      <c r="Q2076" s="1">
        <f>COUNTIFS($P:$P, "&gt;" &amp; $P2076) + 1</f>
        <v>2425</v>
      </c>
      <c r="R2076" s="63">
        <f>(COUNTIFS($P:$P, "&gt;" &amp; $P2076) + 1) / (COUNTA($I:$I) - 1)</f>
        <v>0.48499999999999999</v>
      </c>
      <c r="S2076" s="23">
        <f>SUMIFS($P:$P, $Q:$Q, "&lt;" &amp; $Q2076)</f>
        <v>182746031</v>
      </c>
    </row>
    <row r="2077" spans="1:19" x14ac:dyDescent="0.25">
      <c r="A2077" s="1">
        <v>2072</v>
      </c>
      <c r="B2077" s="1" t="s">
        <v>2</v>
      </c>
      <c r="C2077" s="1" t="str">
        <f>IF($B2077 = "Production Item", _xlfn.XLOOKUP($A2077, 'Instrument Table'!$J:$J, 'Instrument Table'!$B:$B, $C2076), IF($B2077 = "Service Item", _xlfn.XLOOKUP($A2077, 'Instrument Table'!$I:$I, 'Instrument Table'!$B:$B, $C2076), _xlfn.XLOOKUP($A2077, 'Instrument Table'!$H:$H, 'Instrument Table'!$B:$B, $C2076)))</f>
        <v>Clarinet</v>
      </c>
      <c r="D2077" s="1" t="str">
        <f>VLOOKUP($C2077, 'Instrument Table'!$B:$C, 2, FALSE)</f>
        <v>Woodwinds</v>
      </c>
      <c r="E2077" s="1">
        <f t="shared" si="192"/>
        <v>1</v>
      </c>
      <c r="F2077" s="1">
        <f>_xlfn.XLOOKUP($C2077, 'Instrument Table'!$B:$B, 'Instrument Table'!$A:$A, "")</f>
        <v>30</v>
      </c>
      <c r="G2077" s="1" t="str">
        <f>TEXT(IF($B2077 = "Retail Item", IF((ROW($A2077) - 4504 - _xlfn.XMATCH($C2077, $C$4506:$C$5005, 0, 1)) &lt;= VLOOKUP($C2077, 'Instrument Table'!$B:$D, 3, FALSE), ROW($A2077) - 4504 - _xlfn.XMATCH($C2077, $C$4506:$C$5005, 0, 1), 0), 0), "00")</f>
        <v>00</v>
      </c>
      <c r="H2077" s="1" t="str">
        <f t="shared" si="193"/>
        <v>321</v>
      </c>
      <c r="I2077" s="1" t="str">
        <f t="shared" si="194"/>
        <v>13000-321</v>
      </c>
      <c r="J2077" s="1" t="str">
        <f t="shared" si="195"/>
        <v>Clarinet production item #321</v>
      </c>
      <c r="K2077" s="1" t="str">
        <f>IF(SUM(COUNTIFS(I:I, I2077)) &gt; 1, "DUPLICATE", "UNIQUE")</f>
        <v>UNIQUE</v>
      </c>
      <c r="L2077" s="18">
        <v>1</v>
      </c>
      <c r="M2077" s="28">
        <v>71</v>
      </c>
      <c r="N2077" s="6">
        <v>100</v>
      </c>
      <c r="O2077" s="30">
        <f t="shared" si="196"/>
        <v>71</v>
      </c>
      <c r="P2077" s="30">
        <f t="shared" si="197"/>
        <v>7100</v>
      </c>
      <c r="Q2077" s="1">
        <f>COUNTIFS($P:$P, "&gt;" &amp; $P2077) + 1</f>
        <v>2124</v>
      </c>
      <c r="R2077" s="63">
        <f>(COUNTIFS($P:$P, "&gt;" &amp; $P2077) + 1) / (COUNTA($I:$I) - 1)</f>
        <v>0.42480000000000001</v>
      </c>
      <c r="S2077" s="23">
        <f>SUMIFS($P:$P, $Q:$Q, "&lt;" &amp; $Q2077)</f>
        <v>180931888</v>
      </c>
    </row>
    <row r="2078" spans="1:19" x14ac:dyDescent="0.25">
      <c r="A2078" s="1">
        <v>2073</v>
      </c>
      <c r="B2078" s="1" t="s">
        <v>2</v>
      </c>
      <c r="C2078" s="1" t="str">
        <f>IF($B2078 = "Production Item", _xlfn.XLOOKUP($A2078, 'Instrument Table'!$J:$J, 'Instrument Table'!$B:$B, $C2077), IF($B2078 = "Service Item", _xlfn.XLOOKUP($A2078, 'Instrument Table'!$I:$I, 'Instrument Table'!$B:$B, $C2077), _xlfn.XLOOKUP($A2078, 'Instrument Table'!$H:$H, 'Instrument Table'!$B:$B, $C2077)))</f>
        <v>Clarinet</v>
      </c>
      <c r="D2078" s="1" t="str">
        <f>VLOOKUP($C2078, 'Instrument Table'!$B:$C, 2, FALSE)</f>
        <v>Woodwinds</v>
      </c>
      <c r="E2078" s="1">
        <f t="shared" si="192"/>
        <v>1</v>
      </c>
      <c r="F2078" s="1">
        <f>_xlfn.XLOOKUP($C2078, 'Instrument Table'!$B:$B, 'Instrument Table'!$A:$A, "")</f>
        <v>30</v>
      </c>
      <c r="G2078" s="1" t="str">
        <f>TEXT(IF($B2078 = "Retail Item", IF((ROW($A2078) - 4504 - _xlfn.XMATCH($C2078, $C$4506:$C$5005, 0, 1)) &lt;= VLOOKUP($C2078, 'Instrument Table'!$B:$D, 3, FALSE), ROW($A2078) - 4504 - _xlfn.XMATCH($C2078, $C$4506:$C$5005, 0, 1), 0), 0), "00")</f>
        <v>00</v>
      </c>
      <c r="H2078" s="1" t="str">
        <f t="shared" si="193"/>
        <v>322</v>
      </c>
      <c r="I2078" s="1" t="str">
        <f t="shared" si="194"/>
        <v>13000-322</v>
      </c>
      <c r="J2078" s="1" t="str">
        <f t="shared" si="195"/>
        <v>Clarinet production item #322</v>
      </c>
      <c r="K2078" s="1" t="str">
        <f>IF(SUM(COUNTIFS(I:I, I2078)) &gt; 1, "DUPLICATE", "UNIQUE")</f>
        <v>UNIQUE</v>
      </c>
      <c r="L2078" s="18">
        <v>2</v>
      </c>
      <c r="M2078" s="28">
        <v>15</v>
      </c>
      <c r="N2078" s="6">
        <v>100</v>
      </c>
      <c r="O2078" s="30">
        <f t="shared" si="196"/>
        <v>30</v>
      </c>
      <c r="P2078" s="30">
        <f t="shared" si="197"/>
        <v>1500</v>
      </c>
      <c r="Q2078" s="1">
        <f>COUNTIFS($P:$P, "&gt;" &amp; $P2078) + 1</f>
        <v>3459</v>
      </c>
      <c r="R2078" s="63">
        <f>(COUNTIFS($P:$P, "&gt;" &amp; $P2078) + 1) / (COUNTA($I:$I) - 1)</f>
        <v>0.69179999999999997</v>
      </c>
      <c r="S2078" s="23">
        <f>SUMIFS($P:$P, $Q:$Q, "&lt;" &amp; $Q2078)</f>
        <v>185877471</v>
      </c>
    </row>
    <row r="2079" spans="1:19" x14ac:dyDescent="0.25">
      <c r="A2079" s="1">
        <v>2074</v>
      </c>
      <c r="B2079" s="1" t="s">
        <v>2</v>
      </c>
      <c r="C2079" s="1" t="str">
        <f>IF($B2079 = "Production Item", _xlfn.XLOOKUP($A2079, 'Instrument Table'!$J:$J, 'Instrument Table'!$B:$B, $C2078), IF($B2079 = "Service Item", _xlfn.XLOOKUP($A2079, 'Instrument Table'!$I:$I, 'Instrument Table'!$B:$B, $C2078), _xlfn.XLOOKUP($A2079, 'Instrument Table'!$H:$H, 'Instrument Table'!$B:$B, $C2078)))</f>
        <v>Clarinet</v>
      </c>
      <c r="D2079" s="1" t="str">
        <f>VLOOKUP($C2079, 'Instrument Table'!$B:$C, 2, FALSE)</f>
        <v>Woodwinds</v>
      </c>
      <c r="E2079" s="1">
        <f t="shared" si="192"/>
        <v>1</v>
      </c>
      <c r="F2079" s="1">
        <f>_xlfn.XLOOKUP($C2079, 'Instrument Table'!$B:$B, 'Instrument Table'!$A:$A, "")</f>
        <v>30</v>
      </c>
      <c r="G2079" s="1" t="str">
        <f>TEXT(IF($B2079 = "Retail Item", IF((ROW($A2079) - 4504 - _xlfn.XMATCH($C2079, $C$4506:$C$5005, 0, 1)) &lt;= VLOOKUP($C2079, 'Instrument Table'!$B:$D, 3, FALSE), ROW($A2079) - 4504 - _xlfn.XMATCH($C2079, $C$4506:$C$5005, 0, 1), 0), 0), "00")</f>
        <v>00</v>
      </c>
      <c r="H2079" s="1" t="str">
        <f t="shared" si="193"/>
        <v>323</v>
      </c>
      <c r="I2079" s="1" t="str">
        <f t="shared" si="194"/>
        <v>13000-323</v>
      </c>
      <c r="J2079" s="1" t="str">
        <f t="shared" si="195"/>
        <v>Clarinet production item #323</v>
      </c>
      <c r="K2079" s="1" t="str">
        <f>IF(SUM(COUNTIFS(I:I, I2079)) &gt; 1, "DUPLICATE", "UNIQUE")</f>
        <v>UNIQUE</v>
      </c>
      <c r="L2079" s="18">
        <v>16</v>
      </c>
      <c r="M2079" s="28">
        <v>14</v>
      </c>
      <c r="N2079" s="6">
        <v>4</v>
      </c>
      <c r="O2079" s="30">
        <f t="shared" si="196"/>
        <v>224</v>
      </c>
      <c r="P2079" s="30">
        <f t="shared" si="197"/>
        <v>56</v>
      </c>
      <c r="Q2079" s="1">
        <f>COUNTIFS($P:$P, "&gt;" &amp; $P2079) + 1</f>
        <v>4589</v>
      </c>
      <c r="R2079" s="63">
        <f>(COUNTIFS($P:$P, "&gt;" &amp; $P2079) + 1) / (COUNTA($I:$I) - 1)</f>
        <v>0.91779999999999995</v>
      </c>
      <c r="S2079" s="23">
        <f>SUMIFS($P:$P, $Q:$Q, "&lt;" &amp; $Q2079)</f>
        <v>186543088</v>
      </c>
    </row>
    <row r="2080" spans="1:19" x14ac:dyDescent="0.25">
      <c r="A2080" s="1">
        <v>2075</v>
      </c>
      <c r="B2080" s="1" t="s">
        <v>2</v>
      </c>
      <c r="C2080" s="1" t="str">
        <f>IF($B2080 = "Production Item", _xlfn.XLOOKUP($A2080, 'Instrument Table'!$J:$J, 'Instrument Table'!$B:$B, $C2079), IF($B2080 = "Service Item", _xlfn.XLOOKUP($A2080, 'Instrument Table'!$I:$I, 'Instrument Table'!$B:$B, $C2079), _xlfn.XLOOKUP($A2080, 'Instrument Table'!$H:$H, 'Instrument Table'!$B:$B, $C2079)))</f>
        <v>Clarinet</v>
      </c>
      <c r="D2080" s="1" t="str">
        <f>VLOOKUP($C2080, 'Instrument Table'!$B:$C, 2, FALSE)</f>
        <v>Woodwinds</v>
      </c>
      <c r="E2080" s="1">
        <f t="shared" si="192"/>
        <v>1</v>
      </c>
      <c r="F2080" s="1">
        <f>_xlfn.XLOOKUP($C2080, 'Instrument Table'!$B:$B, 'Instrument Table'!$A:$A, "")</f>
        <v>30</v>
      </c>
      <c r="G2080" s="1" t="str">
        <f>TEXT(IF($B2080 = "Retail Item", IF((ROW($A2080) - 4504 - _xlfn.XMATCH($C2080, $C$4506:$C$5005, 0, 1)) &lt;= VLOOKUP($C2080, 'Instrument Table'!$B:$D, 3, FALSE), ROW($A2080) - 4504 - _xlfn.XMATCH($C2080, $C$4506:$C$5005, 0, 1), 0), 0), "00")</f>
        <v>00</v>
      </c>
      <c r="H2080" s="1" t="str">
        <f t="shared" si="193"/>
        <v>324</v>
      </c>
      <c r="I2080" s="1" t="str">
        <f t="shared" si="194"/>
        <v>13000-324</v>
      </c>
      <c r="J2080" s="1" t="str">
        <f t="shared" si="195"/>
        <v>Clarinet production item #324</v>
      </c>
      <c r="K2080" s="1" t="str">
        <f>IF(SUM(COUNTIFS(I:I, I2080)) &gt; 1, "DUPLICATE", "UNIQUE")</f>
        <v>UNIQUE</v>
      </c>
      <c r="L2080" s="18">
        <v>1</v>
      </c>
      <c r="M2080" s="28">
        <v>70</v>
      </c>
      <c r="N2080" s="6">
        <v>225</v>
      </c>
      <c r="O2080" s="30">
        <f t="shared" si="196"/>
        <v>70</v>
      </c>
      <c r="P2080" s="30">
        <f t="shared" si="197"/>
        <v>15750</v>
      </c>
      <c r="Q2080" s="1">
        <f>COUNTIFS($P:$P, "&gt;" &amp; $P2080) + 1</f>
        <v>1295</v>
      </c>
      <c r="R2080" s="63">
        <f>(COUNTIFS($P:$P, "&gt;" &amp; $P2080) + 1) / (COUNTA($I:$I) - 1)</f>
        <v>0.25900000000000001</v>
      </c>
      <c r="S2080" s="23">
        <f>SUMIFS($P:$P, $Q:$Q, "&lt;" &amp; $Q2080)</f>
        <v>171895204</v>
      </c>
    </row>
    <row r="2081" spans="1:19" x14ac:dyDescent="0.25">
      <c r="A2081" s="1">
        <v>2076</v>
      </c>
      <c r="B2081" s="1" t="s">
        <v>2</v>
      </c>
      <c r="C2081" s="1" t="str">
        <f>IF($B2081 = "Production Item", _xlfn.XLOOKUP($A2081, 'Instrument Table'!$J:$J, 'Instrument Table'!$B:$B, $C2080), IF($B2081 = "Service Item", _xlfn.XLOOKUP($A2081, 'Instrument Table'!$I:$I, 'Instrument Table'!$B:$B, $C2080), _xlfn.XLOOKUP($A2081, 'Instrument Table'!$H:$H, 'Instrument Table'!$B:$B, $C2080)))</f>
        <v>Clarinet</v>
      </c>
      <c r="D2081" s="1" t="str">
        <f>VLOOKUP($C2081, 'Instrument Table'!$B:$C, 2, FALSE)</f>
        <v>Woodwinds</v>
      </c>
      <c r="E2081" s="1">
        <f t="shared" si="192"/>
        <v>1</v>
      </c>
      <c r="F2081" s="1">
        <f>_xlfn.XLOOKUP($C2081, 'Instrument Table'!$B:$B, 'Instrument Table'!$A:$A, "")</f>
        <v>30</v>
      </c>
      <c r="G2081" s="1" t="str">
        <f>TEXT(IF($B2081 = "Retail Item", IF((ROW($A2081) - 4504 - _xlfn.XMATCH($C2081, $C$4506:$C$5005, 0, 1)) &lt;= VLOOKUP($C2081, 'Instrument Table'!$B:$D, 3, FALSE), ROW($A2081) - 4504 - _xlfn.XMATCH($C2081, $C$4506:$C$5005, 0, 1), 0), 0), "00")</f>
        <v>00</v>
      </c>
      <c r="H2081" s="1" t="str">
        <f t="shared" si="193"/>
        <v>325</v>
      </c>
      <c r="I2081" s="1" t="str">
        <f t="shared" si="194"/>
        <v>13000-325</v>
      </c>
      <c r="J2081" s="1" t="str">
        <f t="shared" si="195"/>
        <v>Clarinet production item #325</v>
      </c>
      <c r="K2081" s="1" t="str">
        <f>IF(SUM(COUNTIFS(I:I, I2081)) &gt; 1, "DUPLICATE", "UNIQUE")</f>
        <v>UNIQUE</v>
      </c>
      <c r="L2081" s="18">
        <v>0</v>
      </c>
      <c r="M2081" s="28">
        <v>14</v>
      </c>
      <c r="N2081" s="6">
        <v>289</v>
      </c>
      <c r="O2081" s="30">
        <f t="shared" si="196"/>
        <v>0</v>
      </c>
      <c r="P2081" s="30">
        <f t="shared" si="197"/>
        <v>4046</v>
      </c>
      <c r="Q2081" s="1">
        <f>COUNTIFS($P:$P, "&gt;" &amp; $P2081) + 1</f>
        <v>2647</v>
      </c>
      <c r="R2081" s="63">
        <f>(COUNTIFS($P:$P, "&gt;" &amp; $P2081) + 1) / (COUNTA($I:$I) - 1)</f>
        <v>0.52939999999999998</v>
      </c>
      <c r="S2081" s="23">
        <f>SUMIFS($P:$P, $Q:$Q, "&lt;" &amp; $Q2081)</f>
        <v>183758888</v>
      </c>
    </row>
    <row r="2082" spans="1:19" x14ac:dyDescent="0.25">
      <c r="A2082" s="1">
        <v>2077</v>
      </c>
      <c r="B2082" s="1" t="s">
        <v>2</v>
      </c>
      <c r="C2082" s="1" t="str">
        <f>IF($B2082 = "Production Item", _xlfn.XLOOKUP($A2082, 'Instrument Table'!$J:$J, 'Instrument Table'!$B:$B, $C2081), IF($B2082 = "Service Item", _xlfn.XLOOKUP($A2082, 'Instrument Table'!$I:$I, 'Instrument Table'!$B:$B, $C2081), _xlfn.XLOOKUP($A2082, 'Instrument Table'!$H:$H, 'Instrument Table'!$B:$B, $C2081)))</f>
        <v>Clarinet</v>
      </c>
      <c r="D2082" s="1" t="str">
        <f>VLOOKUP($C2082, 'Instrument Table'!$B:$C, 2, FALSE)</f>
        <v>Woodwinds</v>
      </c>
      <c r="E2082" s="1">
        <f t="shared" si="192"/>
        <v>1</v>
      </c>
      <c r="F2082" s="1">
        <f>_xlfn.XLOOKUP($C2082, 'Instrument Table'!$B:$B, 'Instrument Table'!$A:$A, "")</f>
        <v>30</v>
      </c>
      <c r="G2082" s="1" t="str">
        <f>TEXT(IF($B2082 = "Retail Item", IF((ROW($A2082) - 4504 - _xlfn.XMATCH($C2082, $C$4506:$C$5005, 0, 1)) &lt;= VLOOKUP($C2082, 'Instrument Table'!$B:$D, 3, FALSE), ROW($A2082) - 4504 - _xlfn.XMATCH($C2082, $C$4506:$C$5005, 0, 1), 0), 0), "00")</f>
        <v>00</v>
      </c>
      <c r="H2082" s="1" t="str">
        <f t="shared" si="193"/>
        <v>326</v>
      </c>
      <c r="I2082" s="1" t="str">
        <f t="shared" si="194"/>
        <v>13000-326</v>
      </c>
      <c r="J2082" s="1" t="str">
        <f t="shared" si="195"/>
        <v>Clarinet production item #326</v>
      </c>
      <c r="K2082" s="1" t="str">
        <f>IF(SUM(COUNTIFS(I:I, I2082)) &gt; 1, "DUPLICATE", "UNIQUE")</f>
        <v>UNIQUE</v>
      </c>
      <c r="L2082" s="18">
        <v>16</v>
      </c>
      <c r="M2082" s="28">
        <v>82</v>
      </c>
      <c r="N2082" s="6">
        <v>81</v>
      </c>
      <c r="O2082" s="30">
        <f t="shared" si="196"/>
        <v>1312</v>
      </c>
      <c r="P2082" s="30">
        <f t="shared" si="197"/>
        <v>6642</v>
      </c>
      <c r="Q2082" s="1">
        <f>COUNTIFS($P:$P, "&gt;" &amp; $P2082) + 1</f>
        <v>2192</v>
      </c>
      <c r="R2082" s="63">
        <f>(COUNTIFS($P:$P, "&gt;" &amp; $P2082) + 1) / (COUNTA($I:$I) - 1)</f>
        <v>0.43840000000000001</v>
      </c>
      <c r="S2082" s="23">
        <f>SUMIFS($P:$P, $Q:$Q, "&lt;" &amp; $Q2082)</f>
        <v>181398564</v>
      </c>
    </row>
    <row r="2083" spans="1:19" x14ac:dyDescent="0.25">
      <c r="A2083" s="1">
        <v>2078</v>
      </c>
      <c r="B2083" s="1" t="s">
        <v>2</v>
      </c>
      <c r="C2083" s="1" t="str">
        <f>IF($B2083 = "Production Item", _xlfn.XLOOKUP($A2083, 'Instrument Table'!$J:$J, 'Instrument Table'!$B:$B, $C2082), IF($B2083 = "Service Item", _xlfn.XLOOKUP($A2083, 'Instrument Table'!$I:$I, 'Instrument Table'!$B:$B, $C2082), _xlfn.XLOOKUP($A2083, 'Instrument Table'!$H:$H, 'Instrument Table'!$B:$B, $C2082)))</f>
        <v>Clarinet</v>
      </c>
      <c r="D2083" s="1" t="str">
        <f>VLOOKUP($C2083, 'Instrument Table'!$B:$C, 2, FALSE)</f>
        <v>Woodwinds</v>
      </c>
      <c r="E2083" s="1">
        <f t="shared" si="192"/>
        <v>1</v>
      </c>
      <c r="F2083" s="1">
        <f>_xlfn.XLOOKUP($C2083, 'Instrument Table'!$B:$B, 'Instrument Table'!$A:$A, "")</f>
        <v>30</v>
      </c>
      <c r="G2083" s="1" t="str">
        <f>TEXT(IF($B2083 = "Retail Item", IF((ROW($A2083) - 4504 - _xlfn.XMATCH($C2083, $C$4506:$C$5005, 0, 1)) &lt;= VLOOKUP($C2083, 'Instrument Table'!$B:$D, 3, FALSE), ROW($A2083) - 4504 - _xlfn.XMATCH($C2083, $C$4506:$C$5005, 0, 1), 0), 0), "00")</f>
        <v>00</v>
      </c>
      <c r="H2083" s="1" t="str">
        <f t="shared" si="193"/>
        <v>327</v>
      </c>
      <c r="I2083" s="1" t="str">
        <f t="shared" si="194"/>
        <v>13000-327</v>
      </c>
      <c r="J2083" s="1" t="str">
        <f t="shared" si="195"/>
        <v>Clarinet production item #327</v>
      </c>
      <c r="K2083" s="1" t="str">
        <f>IF(SUM(COUNTIFS(I:I, I2083)) &gt; 1, "DUPLICATE", "UNIQUE")</f>
        <v>UNIQUE</v>
      </c>
      <c r="L2083" s="18">
        <v>4</v>
      </c>
      <c r="M2083" s="28">
        <v>84</v>
      </c>
      <c r="N2083" s="6">
        <v>25</v>
      </c>
      <c r="O2083" s="30">
        <f t="shared" si="196"/>
        <v>336</v>
      </c>
      <c r="P2083" s="30">
        <f t="shared" si="197"/>
        <v>2100</v>
      </c>
      <c r="Q2083" s="1">
        <f>COUNTIFS($P:$P, "&gt;" &amp; $P2083) + 1</f>
        <v>3207</v>
      </c>
      <c r="R2083" s="63">
        <f>(COUNTIFS($P:$P, "&gt;" &amp; $P2083) + 1) / (COUNTA($I:$I) - 1)</f>
        <v>0.64139999999999997</v>
      </c>
      <c r="S2083" s="23">
        <f>SUMIFS($P:$P, $Q:$Q, "&lt;" &amp; $Q2083)</f>
        <v>185422450</v>
      </c>
    </row>
    <row r="2084" spans="1:19" x14ac:dyDescent="0.25">
      <c r="A2084" s="1">
        <v>2079</v>
      </c>
      <c r="B2084" s="1" t="s">
        <v>2</v>
      </c>
      <c r="C2084" s="1" t="str">
        <f>IF($B2084 = "Production Item", _xlfn.XLOOKUP($A2084, 'Instrument Table'!$J:$J, 'Instrument Table'!$B:$B, $C2083), IF($B2084 = "Service Item", _xlfn.XLOOKUP($A2084, 'Instrument Table'!$I:$I, 'Instrument Table'!$B:$B, $C2083), _xlfn.XLOOKUP($A2084, 'Instrument Table'!$H:$H, 'Instrument Table'!$B:$B, $C2083)))</f>
        <v>Clarinet</v>
      </c>
      <c r="D2084" s="1" t="str">
        <f>VLOOKUP($C2084, 'Instrument Table'!$B:$C, 2, FALSE)</f>
        <v>Woodwinds</v>
      </c>
      <c r="E2084" s="1">
        <f t="shared" si="192"/>
        <v>1</v>
      </c>
      <c r="F2084" s="1">
        <f>_xlfn.XLOOKUP($C2084, 'Instrument Table'!$B:$B, 'Instrument Table'!$A:$A, "")</f>
        <v>30</v>
      </c>
      <c r="G2084" s="1" t="str">
        <f>TEXT(IF($B2084 = "Retail Item", IF((ROW($A2084) - 4504 - _xlfn.XMATCH($C2084, $C$4506:$C$5005, 0, 1)) &lt;= VLOOKUP($C2084, 'Instrument Table'!$B:$D, 3, FALSE), ROW($A2084) - 4504 - _xlfn.XMATCH($C2084, $C$4506:$C$5005, 0, 1), 0), 0), "00")</f>
        <v>00</v>
      </c>
      <c r="H2084" s="1" t="str">
        <f t="shared" si="193"/>
        <v>328</v>
      </c>
      <c r="I2084" s="1" t="str">
        <f t="shared" si="194"/>
        <v>13000-328</v>
      </c>
      <c r="J2084" s="1" t="str">
        <f t="shared" si="195"/>
        <v>Clarinet production item #328</v>
      </c>
      <c r="K2084" s="1" t="str">
        <f>IF(SUM(COUNTIFS(I:I, I2084)) &gt; 1, "DUPLICATE", "UNIQUE")</f>
        <v>UNIQUE</v>
      </c>
      <c r="L2084" s="18">
        <v>1</v>
      </c>
      <c r="M2084" s="28">
        <v>85</v>
      </c>
      <c r="N2084" s="6">
        <v>289</v>
      </c>
      <c r="O2084" s="30">
        <f t="shared" si="196"/>
        <v>85</v>
      </c>
      <c r="P2084" s="30">
        <f t="shared" si="197"/>
        <v>24565</v>
      </c>
      <c r="Q2084" s="1">
        <f>COUNTIFS($P:$P, "&gt;" &amp; $P2084) + 1</f>
        <v>847</v>
      </c>
      <c r="R2084" s="63">
        <f>(COUNTIFS($P:$P, "&gt;" &amp; $P2084) + 1) / (COUNTA($I:$I) - 1)</f>
        <v>0.1694</v>
      </c>
      <c r="S2084" s="23">
        <f>SUMIFS($P:$P, $Q:$Q, "&lt;" &amp; $Q2084)</f>
        <v>163009892</v>
      </c>
    </row>
    <row r="2085" spans="1:19" x14ac:dyDescent="0.25">
      <c r="A2085" s="1">
        <v>2080</v>
      </c>
      <c r="B2085" s="1" t="s">
        <v>2</v>
      </c>
      <c r="C2085" s="1" t="str">
        <f>IF($B2085 = "Production Item", _xlfn.XLOOKUP($A2085, 'Instrument Table'!$J:$J, 'Instrument Table'!$B:$B, $C2084), IF($B2085 = "Service Item", _xlfn.XLOOKUP($A2085, 'Instrument Table'!$I:$I, 'Instrument Table'!$B:$B, $C2084), _xlfn.XLOOKUP($A2085, 'Instrument Table'!$H:$H, 'Instrument Table'!$B:$B, $C2084)))</f>
        <v>Clarinet</v>
      </c>
      <c r="D2085" s="1" t="str">
        <f>VLOOKUP($C2085, 'Instrument Table'!$B:$C, 2, FALSE)</f>
        <v>Woodwinds</v>
      </c>
      <c r="E2085" s="1">
        <f t="shared" si="192"/>
        <v>1</v>
      </c>
      <c r="F2085" s="1">
        <f>_xlfn.XLOOKUP($C2085, 'Instrument Table'!$B:$B, 'Instrument Table'!$A:$A, "")</f>
        <v>30</v>
      </c>
      <c r="G2085" s="1" t="str">
        <f>TEXT(IF($B2085 = "Retail Item", IF((ROW($A2085) - 4504 - _xlfn.XMATCH($C2085, $C$4506:$C$5005, 0, 1)) &lt;= VLOOKUP($C2085, 'Instrument Table'!$B:$D, 3, FALSE), ROW($A2085) - 4504 - _xlfn.XMATCH($C2085, $C$4506:$C$5005, 0, 1), 0), 0), "00")</f>
        <v>00</v>
      </c>
      <c r="H2085" s="1" t="str">
        <f t="shared" si="193"/>
        <v>329</v>
      </c>
      <c r="I2085" s="1" t="str">
        <f t="shared" si="194"/>
        <v>13000-329</v>
      </c>
      <c r="J2085" s="1" t="str">
        <f t="shared" si="195"/>
        <v>Clarinet production item #329</v>
      </c>
      <c r="K2085" s="1" t="str">
        <f>IF(SUM(COUNTIFS(I:I, I2085)) &gt; 1, "DUPLICATE", "UNIQUE")</f>
        <v>UNIQUE</v>
      </c>
      <c r="L2085" s="18">
        <v>1</v>
      </c>
      <c r="M2085" s="28">
        <v>36</v>
      </c>
      <c r="N2085" s="6">
        <v>324</v>
      </c>
      <c r="O2085" s="30">
        <f t="shared" si="196"/>
        <v>36</v>
      </c>
      <c r="P2085" s="30">
        <f t="shared" si="197"/>
        <v>11664</v>
      </c>
      <c r="Q2085" s="1">
        <f>COUNTIFS($P:$P, "&gt;" &amp; $P2085) + 1</f>
        <v>1607</v>
      </c>
      <c r="R2085" s="63">
        <f>(COUNTIFS($P:$P, "&gt;" &amp; $P2085) + 1) / (COUNTA($I:$I) - 1)</f>
        <v>0.32140000000000002</v>
      </c>
      <c r="S2085" s="23">
        <f>SUMIFS($P:$P, $Q:$Q, "&lt;" &amp; $Q2085)</f>
        <v>176160715</v>
      </c>
    </row>
    <row r="2086" spans="1:19" x14ac:dyDescent="0.25">
      <c r="A2086" s="1">
        <v>2081</v>
      </c>
      <c r="B2086" s="1" t="s">
        <v>2</v>
      </c>
      <c r="C2086" s="1" t="str">
        <f>IF($B2086 = "Production Item", _xlfn.XLOOKUP($A2086, 'Instrument Table'!$J:$J, 'Instrument Table'!$B:$B, $C2085), IF($B2086 = "Service Item", _xlfn.XLOOKUP($A2086, 'Instrument Table'!$I:$I, 'Instrument Table'!$B:$B, $C2085), _xlfn.XLOOKUP($A2086, 'Instrument Table'!$H:$H, 'Instrument Table'!$B:$B, $C2085)))</f>
        <v>Clarinet</v>
      </c>
      <c r="D2086" s="1" t="str">
        <f>VLOOKUP($C2086, 'Instrument Table'!$B:$C, 2, FALSE)</f>
        <v>Woodwinds</v>
      </c>
      <c r="E2086" s="1">
        <f t="shared" si="192"/>
        <v>1</v>
      </c>
      <c r="F2086" s="1">
        <f>_xlfn.XLOOKUP($C2086, 'Instrument Table'!$B:$B, 'Instrument Table'!$A:$A, "")</f>
        <v>30</v>
      </c>
      <c r="G2086" s="1" t="str">
        <f>TEXT(IF($B2086 = "Retail Item", IF((ROW($A2086) - 4504 - _xlfn.XMATCH($C2086, $C$4506:$C$5005, 0, 1)) &lt;= VLOOKUP($C2086, 'Instrument Table'!$B:$D, 3, FALSE), ROW($A2086) - 4504 - _xlfn.XMATCH($C2086, $C$4506:$C$5005, 0, 1), 0), 0), "00")</f>
        <v>00</v>
      </c>
      <c r="H2086" s="1" t="str">
        <f t="shared" si="193"/>
        <v>330</v>
      </c>
      <c r="I2086" s="1" t="str">
        <f t="shared" si="194"/>
        <v>13000-330</v>
      </c>
      <c r="J2086" s="1" t="str">
        <f t="shared" si="195"/>
        <v>Clarinet production item #330</v>
      </c>
      <c r="K2086" s="1" t="str">
        <f>IF(SUM(COUNTIFS(I:I, I2086)) &gt; 1, "DUPLICATE", "UNIQUE")</f>
        <v>UNIQUE</v>
      </c>
      <c r="L2086" s="18">
        <v>0</v>
      </c>
      <c r="M2086" s="28">
        <v>96</v>
      </c>
      <c r="N2086" s="6">
        <v>16</v>
      </c>
      <c r="O2086" s="30">
        <f t="shared" si="196"/>
        <v>0</v>
      </c>
      <c r="P2086" s="30">
        <f t="shared" si="197"/>
        <v>1536</v>
      </c>
      <c r="Q2086" s="1">
        <f>COUNTIFS($P:$P, "&gt;" &amp; $P2086) + 1</f>
        <v>3444</v>
      </c>
      <c r="R2086" s="63">
        <f>(COUNTIFS($P:$P, "&gt;" &amp; $P2086) + 1) / (COUNTA($I:$I) - 1)</f>
        <v>0.68879999999999997</v>
      </c>
      <c r="S2086" s="23">
        <f>SUMIFS($P:$P, $Q:$Q, "&lt;" &amp; $Q2086)</f>
        <v>185854606</v>
      </c>
    </row>
    <row r="2087" spans="1:19" x14ac:dyDescent="0.25">
      <c r="A2087" s="1">
        <v>2082</v>
      </c>
      <c r="B2087" s="1" t="s">
        <v>2</v>
      </c>
      <c r="C2087" s="1" t="str">
        <f>IF($B2087 = "Production Item", _xlfn.XLOOKUP($A2087, 'Instrument Table'!$J:$J, 'Instrument Table'!$B:$B, $C2086), IF($B2087 = "Service Item", _xlfn.XLOOKUP($A2087, 'Instrument Table'!$I:$I, 'Instrument Table'!$B:$B, $C2086), _xlfn.XLOOKUP($A2087, 'Instrument Table'!$H:$H, 'Instrument Table'!$B:$B, $C2086)))</f>
        <v>Clarinet</v>
      </c>
      <c r="D2087" s="1" t="str">
        <f>VLOOKUP($C2087, 'Instrument Table'!$B:$C, 2, FALSE)</f>
        <v>Woodwinds</v>
      </c>
      <c r="E2087" s="1">
        <f t="shared" si="192"/>
        <v>1</v>
      </c>
      <c r="F2087" s="1">
        <f>_xlfn.XLOOKUP($C2087, 'Instrument Table'!$B:$B, 'Instrument Table'!$A:$A, "")</f>
        <v>30</v>
      </c>
      <c r="G2087" s="1" t="str">
        <f>TEXT(IF($B2087 = "Retail Item", IF((ROW($A2087) - 4504 - _xlfn.XMATCH($C2087, $C$4506:$C$5005, 0, 1)) &lt;= VLOOKUP($C2087, 'Instrument Table'!$B:$D, 3, FALSE), ROW($A2087) - 4504 - _xlfn.XMATCH($C2087, $C$4506:$C$5005, 0, 1), 0), 0), "00")</f>
        <v>00</v>
      </c>
      <c r="H2087" s="1" t="str">
        <f t="shared" si="193"/>
        <v>331</v>
      </c>
      <c r="I2087" s="1" t="str">
        <f t="shared" si="194"/>
        <v>13000-331</v>
      </c>
      <c r="J2087" s="1" t="str">
        <f t="shared" si="195"/>
        <v>Clarinet production item #331</v>
      </c>
      <c r="K2087" s="1" t="str">
        <f>IF(SUM(COUNTIFS(I:I, I2087)) &gt; 1, "DUPLICATE", "UNIQUE")</f>
        <v>UNIQUE</v>
      </c>
      <c r="L2087" s="18">
        <v>1</v>
      </c>
      <c r="M2087" s="28">
        <v>52</v>
      </c>
      <c r="N2087" s="6">
        <v>4</v>
      </c>
      <c r="O2087" s="30">
        <f t="shared" si="196"/>
        <v>52</v>
      </c>
      <c r="P2087" s="30">
        <f t="shared" si="197"/>
        <v>208</v>
      </c>
      <c r="Q2087" s="1">
        <f>COUNTIFS($P:$P, "&gt;" &amp; $P2087) + 1</f>
        <v>4309</v>
      </c>
      <c r="R2087" s="63">
        <f>(COUNTIFS($P:$P, "&gt;" &amp; $P2087) + 1) / (COUNTA($I:$I) - 1)</f>
        <v>0.86180000000000001</v>
      </c>
      <c r="S2087" s="23">
        <f>SUMIFS($P:$P, $Q:$Q, "&lt;" &amp; $Q2087)</f>
        <v>186509406</v>
      </c>
    </row>
    <row r="2088" spans="1:19" x14ac:dyDescent="0.25">
      <c r="A2088" s="1">
        <v>2083</v>
      </c>
      <c r="B2088" s="1" t="s">
        <v>2</v>
      </c>
      <c r="C2088" s="1" t="str">
        <f>IF($B2088 = "Production Item", _xlfn.XLOOKUP($A2088, 'Instrument Table'!$J:$J, 'Instrument Table'!$B:$B, $C2087), IF($B2088 = "Service Item", _xlfn.XLOOKUP($A2088, 'Instrument Table'!$I:$I, 'Instrument Table'!$B:$B, $C2087), _xlfn.XLOOKUP($A2088, 'Instrument Table'!$H:$H, 'Instrument Table'!$B:$B, $C2087)))</f>
        <v>Clarinet</v>
      </c>
      <c r="D2088" s="1" t="str">
        <f>VLOOKUP($C2088, 'Instrument Table'!$B:$C, 2, FALSE)</f>
        <v>Woodwinds</v>
      </c>
      <c r="E2088" s="1">
        <f t="shared" si="192"/>
        <v>1</v>
      </c>
      <c r="F2088" s="1">
        <f>_xlfn.XLOOKUP($C2088, 'Instrument Table'!$B:$B, 'Instrument Table'!$A:$A, "")</f>
        <v>30</v>
      </c>
      <c r="G2088" s="1" t="str">
        <f>TEXT(IF($B2088 = "Retail Item", IF((ROW($A2088) - 4504 - _xlfn.XMATCH($C2088, $C$4506:$C$5005, 0, 1)) &lt;= VLOOKUP($C2088, 'Instrument Table'!$B:$D, 3, FALSE), ROW($A2088) - 4504 - _xlfn.XMATCH($C2088, $C$4506:$C$5005, 0, 1), 0), 0), "00")</f>
        <v>00</v>
      </c>
      <c r="H2088" s="1" t="str">
        <f t="shared" si="193"/>
        <v>332</v>
      </c>
      <c r="I2088" s="1" t="str">
        <f t="shared" si="194"/>
        <v>13000-332</v>
      </c>
      <c r="J2088" s="1" t="str">
        <f t="shared" si="195"/>
        <v>Clarinet production item #332</v>
      </c>
      <c r="K2088" s="1" t="str">
        <f>IF(SUM(COUNTIFS(I:I, I2088)) &gt; 1, "DUPLICATE", "UNIQUE")</f>
        <v>UNIQUE</v>
      </c>
      <c r="L2088" s="18">
        <v>8</v>
      </c>
      <c r="M2088" s="28">
        <v>77</v>
      </c>
      <c r="N2088" s="6">
        <v>81</v>
      </c>
      <c r="O2088" s="30">
        <f t="shared" si="196"/>
        <v>616</v>
      </c>
      <c r="P2088" s="30">
        <f t="shared" si="197"/>
        <v>6237</v>
      </c>
      <c r="Q2088" s="1">
        <f>COUNTIFS($P:$P, "&gt;" &amp; $P2088) + 1</f>
        <v>2230</v>
      </c>
      <c r="R2088" s="63">
        <f>(COUNTIFS($P:$P, "&gt;" &amp; $P2088) + 1) / (COUNTA($I:$I) - 1)</f>
        <v>0.44600000000000001</v>
      </c>
      <c r="S2088" s="23">
        <f>SUMIFS($P:$P, $Q:$Q, "&lt;" &amp; $Q2088)</f>
        <v>181644219</v>
      </c>
    </row>
    <row r="2089" spans="1:19" x14ac:dyDescent="0.25">
      <c r="A2089" s="1">
        <v>2084</v>
      </c>
      <c r="B2089" s="1" t="s">
        <v>2</v>
      </c>
      <c r="C2089" s="1" t="str">
        <f>IF($B2089 = "Production Item", _xlfn.XLOOKUP($A2089, 'Instrument Table'!$J:$J, 'Instrument Table'!$B:$B, $C2088), IF($B2089 = "Service Item", _xlfn.XLOOKUP($A2089, 'Instrument Table'!$I:$I, 'Instrument Table'!$B:$B, $C2088), _xlfn.XLOOKUP($A2089, 'Instrument Table'!$H:$H, 'Instrument Table'!$B:$B, $C2088)))</f>
        <v>Clarinet</v>
      </c>
      <c r="D2089" s="1" t="str">
        <f>VLOOKUP($C2089, 'Instrument Table'!$B:$C, 2, FALSE)</f>
        <v>Woodwinds</v>
      </c>
      <c r="E2089" s="1">
        <f t="shared" si="192"/>
        <v>1</v>
      </c>
      <c r="F2089" s="1">
        <f>_xlfn.XLOOKUP($C2089, 'Instrument Table'!$B:$B, 'Instrument Table'!$A:$A, "")</f>
        <v>30</v>
      </c>
      <c r="G2089" s="1" t="str">
        <f>TEXT(IF($B2089 = "Retail Item", IF((ROW($A2089) - 4504 - _xlfn.XMATCH($C2089, $C$4506:$C$5005, 0, 1)) &lt;= VLOOKUP($C2089, 'Instrument Table'!$B:$D, 3, FALSE), ROW($A2089) - 4504 - _xlfn.XMATCH($C2089, $C$4506:$C$5005, 0, 1), 0), 0), "00")</f>
        <v>00</v>
      </c>
      <c r="H2089" s="1" t="str">
        <f t="shared" si="193"/>
        <v>333</v>
      </c>
      <c r="I2089" s="1" t="str">
        <f t="shared" si="194"/>
        <v>13000-333</v>
      </c>
      <c r="J2089" s="1" t="str">
        <f t="shared" si="195"/>
        <v>Clarinet production item #333</v>
      </c>
      <c r="K2089" s="1" t="str">
        <f>IF(SUM(COUNTIFS(I:I, I2089)) &gt; 1, "DUPLICATE", "UNIQUE")</f>
        <v>UNIQUE</v>
      </c>
      <c r="L2089" s="18">
        <v>1</v>
      </c>
      <c r="M2089" s="28">
        <v>72</v>
      </c>
      <c r="N2089" s="6">
        <v>16</v>
      </c>
      <c r="O2089" s="30">
        <f t="shared" si="196"/>
        <v>72</v>
      </c>
      <c r="P2089" s="30">
        <f t="shared" si="197"/>
        <v>1152</v>
      </c>
      <c r="Q2089" s="1">
        <f>COUNTIFS($P:$P, "&gt;" &amp; $P2089) + 1</f>
        <v>3621</v>
      </c>
      <c r="R2089" s="63">
        <f>(COUNTIFS($P:$P, "&gt;" &amp; $P2089) + 1) / (COUNTA($I:$I) - 1)</f>
        <v>0.72419999999999995</v>
      </c>
      <c r="S2089" s="23">
        <f>SUMIFS($P:$P, $Q:$Q, "&lt;" &amp; $Q2089)</f>
        <v>186094880</v>
      </c>
    </row>
    <row r="2090" spans="1:19" x14ac:dyDescent="0.25">
      <c r="A2090" s="1">
        <v>2085</v>
      </c>
      <c r="B2090" s="1" t="s">
        <v>2</v>
      </c>
      <c r="C2090" s="1" t="str">
        <f>IF($B2090 = "Production Item", _xlfn.XLOOKUP($A2090, 'Instrument Table'!$J:$J, 'Instrument Table'!$B:$B, $C2089), IF($B2090 = "Service Item", _xlfn.XLOOKUP($A2090, 'Instrument Table'!$I:$I, 'Instrument Table'!$B:$B, $C2089), _xlfn.XLOOKUP($A2090, 'Instrument Table'!$H:$H, 'Instrument Table'!$B:$B, $C2089)))</f>
        <v>Clarinet</v>
      </c>
      <c r="D2090" s="1" t="str">
        <f>VLOOKUP($C2090, 'Instrument Table'!$B:$C, 2, FALSE)</f>
        <v>Woodwinds</v>
      </c>
      <c r="E2090" s="1">
        <f t="shared" si="192"/>
        <v>1</v>
      </c>
      <c r="F2090" s="1">
        <f>_xlfn.XLOOKUP($C2090, 'Instrument Table'!$B:$B, 'Instrument Table'!$A:$A, "")</f>
        <v>30</v>
      </c>
      <c r="G2090" s="1" t="str">
        <f>TEXT(IF($B2090 = "Retail Item", IF((ROW($A2090) - 4504 - _xlfn.XMATCH($C2090, $C$4506:$C$5005, 0, 1)) &lt;= VLOOKUP($C2090, 'Instrument Table'!$B:$D, 3, FALSE), ROW($A2090) - 4504 - _xlfn.XMATCH($C2090, $C$4506:$C$5005, 0, 1), 0), 0), "00")</f>
        <v>00</v>
      </c>
      <c r="H2090" s="1" t="str">
        <f t="shared" si="193"/>
        <v>334</v>
      </c>
      <c r="I2090" s="1" t="str">
        <f t="shared" si="194"/>
        <v>13000-334</v>
      </c>
      <c r="J2090" s="1" t="str">
        <f t="shared" si="195"/>
        <v>Clarinet production item #334</v>
      </c>
      <c r="K2090" s="1" t="str">
        <f>IF(SUM(COUNTIFS(I:I, I2090)) &gt; 1, "DUPLICATE", "UNIQUE")</f>
        <v>UNIQUE</v>
      </c>
      <c r="L2090" s="18">
        <v>8</v>
      </c>
      <c r="M2090" s="28">
        <v>72</v>
      </c>
      <c r="N2090" s="6">
        <v>289</v>
      </c>
      <c r="O2090" s="30">
        <f t="shared" si="196"/>
        <v>576</v>
      </c>
      <c r="P2090" s="30">
        <f t="shared" si="197"/>
        <v>20808</v>
      </c>
      <c r="Q2090" s="1">
        <f>COUNTIFS($P:$P, "&gt;" &amp; $P2090) + 1</f>
        <v>1012</v>
      </c>
      <c r="R2090" s="63">
        <f>(COUNTIFS($P:$P, "&gt;" &amp; $P2090) + 1) / (COUNTA($I:$I) - 1)</f>
        <v>0.2024</v>
      </c>
      <c r="S2090" s="23">
        <f>SUMIFS($P:$P, $Q:$Q, "&lt;" &amp; $Q2090)</f>
        <v>166743217</v>
      </c>
    </row>
    <row r="2091" spans="1:19" x14ac:dyDescent="0.25">
      <c r="A2091" s="1">
        <v>2086</v>
      </c>
      <c r="B2091" s="1" t="s">
        <v>2</v>
      </c>
      <c r="C2091" s="1" t="str">
        <f>IF($B2091 = "Production Item", _xlfn.XLOOKUP($A2091, 'Instrument Table'!$J:$J, 'Instrument Table'!$B:$B, $C2090), IF($B2091 = "Service Item", _xlfn.XLOOKUP($A2091, 'Instrument Table'!$I:$I, 'Instrument Table'!$B:$B, $C2090), _xlfn.XLOOKUP($A2091, 'Instrument Table'!$H:$H, 'Instrument Table'!$B:$B, $C2090)))</f>
        <v>Clarinet</v>
      </c>
      <c r="D2091" s="1" t="str">
        <f>VLOOKUP($C2091, 'Instrument Table'!$B:$C, 2, FALSE)</f>
        <v>Woodwinds</v>
      </c>
      <c r="E2091" s="1">
        <f t="shared" si="192"/>
        <v>1</v>
      </c>
      <c r="F2091" s="1">
        <f>_xlfn.XLOOKUP($C2091, 'Instrument Table'!$B:$B, 'Instrument Table'!$A:$A, "")</f>
        <v>30</v>
      </c>
      <c r="G2091" s="1" t="str">
        <f>TEXT(IF($B2091 = "Retail Item", IF((ROW($A2091) - 4504 - _xlfn.XMATCH($C2091, $C$4506:$C$5005, 0, 1)) &lt;= VLOOKUP($C2091, 'Instrument Table'!$B:$D, 3, FALSE), ROW($A2091) - 4504 - _xlfn.XMATCH($C2091, $C$4506:$C$5005, 0, 1), 0), 0), "00")</f>
        <v>00</v>
      </c>
      <c r="H2091" s="1" t="str">
        <f t="shared" si="193"/>
        <v>335</v>
      </c>
      <c r="I2091" s="1" t="str">
        <f t="shared" si="194"/>
        <v>13000-335</v>
      </c>
      <c r="J2091" s="1" t="str">
        <f t="shared" si="195"/>
        <v>Clarinet production item #335</v>
      </c>
      <c r="K2091" s="1" t="str">
        <f>IF(SUM(COUNTIFS(I:I, I2091)) &gt; 1, "DUPLICATE", "UNIQUE")</f>
        <v>UNIQUE</v>
      </c>
      <c r="L2091" s="18">
        <v>1</v>
      </c>
      <c r="M2091" s="28">
        <v>57</v>
      </c>
      <c r="N2091" s="6">
        <v>0</v>
      </c>
      <c r="O2091" s="30">
        <f t="shared" si="196"/>
        <v>57</v>
      </c>
      <c r="P2091" s="30">
        <f t="shared" si="197"/>
        <v>0</v>
      </c>
      <c r="Q2091" s="1">
        <f>COUNTIFS($P:$P, "&gt;" &amp; $P2091) + 1</f>
        <v>4746</v>
      </c>
      <c r="R2091" s="63">
        <f>(COUNTIFS($P:$P, "&gt;" &amp; $P2091) + 1) / (COUNTA($I:$I) - 1)</f>
        <v>0.94920000000000004</v>
      </c>
      <c r="S2091" s="23">
        <f>SUMIFS($P:$P, $Q:$Q, "&lt;" &amp; $Q2091)</f>
        <v>186547861</v>
      </c>
    </row>
    <row r="2092" spans="1:19" x14ac:dyDescent="0.25">
      <c r="A2092" s="1">
        <v>2087</v>
      </c>
      <c r="B2092" s="1" t="s">
        <v>2</v>
      </c>
      <c r="C2092" s="1" t="str">
        <f>IF($B2092 = "Production Item", _xlfn.XLOOKUP($A2092, 'Instrument Table'!$J:$J, 'Instrument Table'!$B:$B, $C2091), IF($B2092 = "Service Item", _xlfn.XLOOKUP($A2092, 'Instrument Table'!$I:$I, 'Instrument Table'!$B:$B, $C2091), _xlfn.XLOOKUP($A2092, 'Instrument Table'!$H:$H, 'Instrument Table'!$B:$B, $C2091)))</f>
        <v>Clarinet</v>
      </c>
      <c r="D2092" s="1" t="str">
        <f>VLOOKUP($C2092, 'Instrument Table'!$B:$C, 2, FALSE)</f>
        <v>Woodwinds</v>
      </c>
      <c r="E2092" s="1">
        <f t="shared" si="192"/>
        <v>1</v>
      </c>
      <c r="F2092" s="1">
        <f>_xlfn.XLOOKUP($C2092, 'Instrument Table'!$B:$B, 'Instrument Table'!$A:$A, "")</f>
        <v>30</v>
      </c>
      <c r="G2092" s="1" t="str">
        <f>TEXT(IF($B2092 = "Retail Item", IF((ROW($A2092) - 4504 - _xlfn.XMATCH($C2092, $C$4506:$C$5005, 0, 1)) &lt;= VLOOKUP($C2092, 'Instrument Table'!$B:$D, 3, FALSE), ROW($A2092) - 4504 - _xlfn.XMATCH($C2092, $C$4506:$C$5005, 0, 1), 0), 0), "00")</f>
        <v>00</v>
      </c>
      <c r="H2092" s="1" t="str">
        <f t="shared" si="193"/>
        <v>336</v>
      </c>
      <c r="I2092" s="1" t="str">
        <f t="shared" si="194"/>
        <v>13000-336</v>
      </c>
      <c r="J2092" s="1" t="str">
        <f t="shared" si="195"/>
        <v>Clarinet production item #336</v>
      </c>
      <c r="K2092" s="1" t="str">
        <f>IF(SUM(COUNTIFS(I:I, I2092)) &gt; 1, "DUPLICATE", "UNIQUE")</f>
        <v>UNIQUE</v>
      </c>
      <c r="L2092" s="18">
        <v>32</v>
      </c>
      <c r="M2092" s="28">
        <v>75</v>
      </c>
      <c r="N2092" s="6">
        <v>324</v>
      </c>
      <c r="O2092" s="30">
        <f t="shared" si="196"/>
        <v>2400</v>
      </c>
      <c r="P2092" s="30">
        <f t="shared" si="197"/>
        <v>24300</v>
      </c>
      <c r="Q2092" s="1">
        <f>COUNTIFS($P:$P, "&gt;" &amp; $P2092) + 1</f>
        <v>863</v>
      </c>
      <c r="R2092" s="63">
        <f>(COUNTIFS($P:$P, "&gt;" &amp; $P2092) + 1) / (COUNTA($I:$I) - 1)</f>
        <v>0.1726</v>
      </c>
      <c r="S2092" s="23">
        <f>SUMIFS($P:$P, $Q:$Q, "&lt;" &amp; $Q2092)</f>
        <v>163401697</v>
      </c>
    </row>
    <row r="2093" spans="1:19" x14ac:dyDescent="0.25">
      <c r="A2093" s="1">
        <v>2088</v>
      </c>
      <c r="B2093" s="1" t="s">
        <v>2</v>
      </c>
      <c r="C2093" s="1" t="str">
        <f>IF($B2093 = "Production Item", _xlfn.XLOOKUP($A2093, 'Instrument Table'!$J:$J, 'Instrument Table'!$B:$B, $C2092), IF($B2093 = "Service Item", _xlfn.XLOOKUP($A2093, 'Instrument Table'!$I:$I, 'Instrument Table'!$B:$B, $C2092), _xlfn.XLOOKUP($A2093, 'Instrument Table'!$H:$H, 'Instrument Table'!$B:$B, $C2092)))</f>
        <v>Clarinet</v>
      </c>
      <c r="D2093" s="1" t="str">
        <f>VLOOKUP($C2093, 'Instrument Table'!$B:$C, 2, FALSE)</f>
        <v>Woodwinds</v>
      </c>
      <c r="E2093" s="1">
        <f t="shared" si="192"/>
        <v>1</v>
      </c>
      <c r="F2093" s="1">
        <f>_xlfn.XLOOKUP($C2093, 'Instrument Table'!$B:$B, 'Instrument Table'!$A:$A, "")</f>
        <v>30</v>
      </c>
      <c r="G2093" s="1" t="str">
        <f>TEXT(IF($B2093 = "Retail Item", IF((ROW($A2093) - 4504 - _xlfn.XMATCH($C2093, $C$4506:$C$5005, 0, 1)) &lt;= VLOOKUP($C2093, 'Instrument Table'!$B:$D, 3, FALSE), ROW($A2093) - 4504 - _xlfn.XMATCH($C2093, $C$4506:$C$5005, 0, 1), 0), 0), "00")</f>
        <v>00</v>
      </c>
      <c r="H2093" s="1" t="str">
        <f t="shared" si="193"/>
        <v>337</v>
      </c>
      <c r="I2093" s="1" t="str">
        <f t="shared" si="194"/>
        <v>13000-337</v>
      </c>
      <c r="J2093" s="1" t="str">
        <f t="shared" si="195"/>
        <v>Clarinet production item #337</v>
      </c>
      <c r="K2093" s="1" t="str">
        <f>IF(SUM(COUNTIFS(I:I, I2093)) &gt; 1, "DUPLICATE", "UNIQUE")</f>
        <v>UNIQUE</v>
      </c>
      <c r="L2093" s="18">
        <v>1</v>
      </c>
      <c r="M2093" s="28">
        <v>4</v>
      </c>
      <c r="N2093" s="6">
        <v>100</v>
      </c>
      <c r="O2093" s="30">
        <f t="shared" si="196"/>
        <v>4</v>
      </c>
      <c r="P2093" s="30">
        <f t="shared" si="197"/>
        <v>400</v>
      </c>
      <c r="Q2093" s="1">
        <f>COUNTIFS($P:$P, "&gt;" &amp; $P2093) + 1</f>
        <v>4090</v>
      </c>
      <c r="R2093" s="63">
        <f>(COUNTIFS($P:$P, "&gt;" &amp; $P2093) + 1) / (COUNTA($I:$I) - 1)</f>
        <v>0.81799999999999995</v>
      </c>
      <c r="S2093" s="23">
        <f>SUMIFS($P:$P, $Q:$Q, "&lt;" &amp; $Q2093)</f>
        <v>186440882</v>
      </c>
    </row>
    <row r="2094" spans="1:19" x14ac:dyDescent="0.25">
      <c r="A2094" s="1">
        <v>2089</v>
      </c>
      <c r="B2094" s="1" t="s">
        <v>2</v>
      </c>
      <c r="C2094" s="1" t="str">
        <f>IF($B2094 = "Production Item", _xlfn.XLOOKUP($A2094, 'Instrument Table'!$J:$J, 'Instrument Table'!$B:$B, $C2093), IF($B2094 = "Service Item", _xlfn.XLOOKUP($A2094, 'Instrument Table'!$I:$I, 'Instrument Table'!$B:$B, $C2093), _xlfn.XLOOKUP($A2094, 'Instrument Table'!$H:$H, 'Instrument Table'!$B:$B, $C2093)))</f>
        <v>Clarinet</v>
      </c>
      <c r="D2094" s="1" t="str">
        <f>VLOOKUP($C2094, 'Instrument Table'!$B:$C, 2, FALSE)</f>
        <v>Woodwinds</v>
      </c>
      <c r="E2094" s="1">
        <f t="shared" si="192"/>
        <v>1</v>
      </c>
      <c r="F2094" s="1">
        <f>_xlfn.XLOOKUP($C2094, 'Instrument Table'!$B:$B, 'Instrument Table'!$A:$A, "")</f>
        <v>30</v>
      </c>
      <c r="G2094" s="1" t="str">
        <f>TEXT(IF($B2094 = "Retail Item", IF((ROW($A2094) - 4504 - _xlfn.XMATCH($C2094, $C$4506:$C$5005, 0, 1)) &lt;= VLOOKUP($C2094, 'Instrument Table'!$B:$D, 3, FALSE), ROW($A2094) - 4504 - _xlfn.XMATCH($C2094, $C$4506:$C$5005, 0, 1), 0), 0), "00")</f>
        <v>00</v>
      </c>
      <c r="H2094" s="1" t="str">
        <f t="shared" si="193"/>
        <v>338</v>
      </c>
      <c r="I2094" s="1" t="str">
        <f t="shared" si="194"/>
        <v>13000-338</v>
      </c>
      <c r="J2094" s="1" t="str">
        <f t="shared" si="195"/>
        <v>Clarinet production item #338</v>
      </c>
      <c r="K2094" s="1" t="str">
        <f>IF(SUM(COUNTIFS(I:I, I2094)) &gt; 1, "DUPLICATE", "UNIQUE")</f>
        <v>UNIQUE</v>
      </c>
      <c r="L2094" s="18">
        <v>0</v>
      </c>
      <c r="M2094" s="28">
        <v>43</v>
      </c>
      <c r="N2094" s="6">
        <v>196</v>
      </c>
      <c r="O2094" s="30">
        <f t="shared" si="196"/>
        <v>0</v>
      </c>
      <c r="P2094" s="30">
        <f t="shared" si="197"/>
        <v>8428</v>
      </c>
      <c r="Q2094" s="1">
        <f>COUNTIFS($P:$P, "&gt;" &amp; $P2094) + 1</f>
        <v>1933</v>
      </c>
      <c r="R2094" s="63">
        <f>(COUNTIFS($P:$P, "&gt;" &amp; $P2094) + 1) / (COUNTA($I:$I) - 1)</f>
        <v>0.3866</v>
      </c>
      <c r="S2094" s="23">
        <f>SUMIFS($P:$P, $Q:$Q, "&lt;" &amp; $Q2094)</f>
        <v>179448605</v>
      </c>
    </row>
    <row r="2095" spans="1:19" x14ac:dyDescent="0.25">
      <c r="A2095" s="1">
        <v>2090</v>
      </c>
      <c r="B2095" s="1" t="s">
        <v>2</v>
      </c>
      <c r="C2095" s="1" t="str">
        <f>IF($B2095 = "Production Item", _xlfn.XLOOKUP($A2095, 'Instrument Table'!$J:$J, 'Instrument Table'!$B:$B, $C2094), IF($B2095 = "Service Item", _xlfn.XLOOKUP($A2095, 'Instrument Table'!$I:$I, 'Instrument Table'!$B:$B, $C2094), _xlfn.XLOOKUP($A2095, 'Instrument Table'!$H:$H, 'Instrument Table'!$B:$B, $C2094)))</f>
        <v>Clarinet</v>
      </c>
      <c r="D2095" s="1" t="str">
        <f>VLOOKUP($C2095, 'Instrument Table'!$B:$C, 2, FALSE)</f>
        <v>Woodwinds</v>
      </c>
      <c r="E2095" s="1">
        <f t="shared" si="192"/>
        <v>1</v>
      </c>
      <c r="F2095" s="1">
        <f>_xlfn.XLOOKUP($C2095, 'Instrument Table'!$B:$B, 'Instrument Table'!$A:$A, "")</f>
        <v>30</v>
      </c>
      <c r="G2095" s="1" t="str">
        <f>TEXT(IF($B2095 = "Retail Item", IF((ROW($A2095) - 4504 - _xlfn.XMATCH($C2095, $C$4506:$C$5005, 0, 1)) &lt;= VLOOKUP($C2095, 'Instrument Table'!$B:$D, 3, FALSE), ROW($A2095) - 4504 - _xlfn.XMATCH($C2095, $C$4506:$C$5005, 0, 1), 0), 0), "00")</f>
        <v>00</v>
      </c>
      <c r="H2095" s="1" t="str">
        <f t="shared" si="193"/>
        <v>339</v>
      </c>
      <c r="I2095" s="1" t="str">
        <f t="shared" si="194"/>
        <v>13000-339</v>
      </c>
      <c r="J2095" s="1" t="str">
        <f t="shared" si="195"/>
        <v>Clarinet production item #339</v>
      </c>
      <c r="K2095" s="1" t="str">
        <f>IF(SUM(COUNTIFS(I:I, I2095)) &gt; 1, "DUPLICATE", "UNIQUE")</f>
        <v>UNIQUE</v>
      </c>
      <c r="L2095" s="18">
        <v>32</v>
      </c>
      <c r="M2095" s="28">
        <v>81</v>
      </c>
      <c r="N2095" s="6">
        <v>225</v>
      </c>
      <c r="O2095" s="30">
        <f t="shared" si="196"/>
        <v>2592</v>
      </c>
      <c r="P2095" s="30">
        <f t="shared" si="197"/>
        <v>18225</v>
      </c>
      <c r="Q2095" s="1">
        <f>COUNTIFS($P:$P, "&gt;" &amp; $P2095) + 1</f>
        <v>1151</v>
      </c>
      <c r="R2095" s="63">
        <f>(COUNTIFS($P:$P, "&gt;" &amp; $P2095) + 1) / (COUNTA($I:$I) - 1)</f>
        <v>0.23019999999999999</v>
      </c>
      <c r="S2095" s="23">
        <f>SUMIFS($P:$P, $Q:$Q, "&lt;" &amp; $Q2095)</f>
        <v>169454775</v>
      </c>
    </row>
    <row r="2096" spans="1:19" x14ac:dyDescent="0.25">
      <c r="A2096" s="1">
        <v>2091</v>
      </c>
      <c r="B2096" s="1" t="s">
        <v>2</v>
      </c>
      <c r="C2096" s="1" t="str">
        <f>IF($B2096 = "Production Item", _xlfn.XLOOKUP($A2096, 'Instrument Table'!$J:$J, 'Instrument Table'!$B:$B, $C2095), IF($B2096 = "Service Item", _xlfn.XLOOKUP($A2096, 'Instrument Table'!$I:$I, 'Instrument Table'!$B:$B, $C2095), _xlfn.XLOOKUP($A2096, 'Instrument Table'!$H:$H, 'Instrument Table'!$B:$B, $C2095)))</f>
        <v>Clarinet</v>
      </c>
      <c r="D2096" s="1" t="str">
        <f>VLOOKUP($C2096, 'Instrument Table'!$B:$C, 2, FALSE)</f>
        <v>Woodwinds</v>
      </c>
      <c r="E2096" s="1">
        <f t="shared" si="192"/>
        <v>1</v>
      </c>
      <c r="F2096" s="1">
        <f>_xlfn.XLOOKUP($C2096, 'Instrument Table'!$B:$B, 'Instrument Table'!$A:$A, "")</f>
        <v>30</v>
      </c>
      <c r="G2096" s="1" t="str">
        <f>TEXT(IF($B2096 = "Retail Item", IF((ROW($A2096) - 4504 - _xlfn.XMATCH($C2096, $C$4506:$C$5005, 0, 1)) &lt;= VLOOKUP($C2096, 'Instrument Table'!$B:$D, 3, FALSE), ROW($A2096) - 4504 - _xlfn.XMATCH($C2096, $C$4506:$C$5005, 0, 1), 0), 0), "00")</f>
        <v>00</v>
      </c>
      <c r="H2096" s="1" t="str">
        <f t="shared" si="193"/>
        <v>340</v>
      </c>
      <c r="I2096" s="1" t="str">
        <f t="shared" si="194"/>
        <v>13000-340</v>
      </c>
      <c r="J2096" s="1" t="str">
        <f t="shared" si="195"/>
        <v>Clarinet production item #340</v>
      </c>
      <c r="K2096" s="1" t="str">
        <f>IF(SUM(COUNTIFS(I:I, I2096)) &gt; 1, "DUPLICATE", "UNIQUE")</f>
        <v>UNIQUE</v>
      </c>
      <c r="L2096" s="18">
        <v>1</v>
      </c>
      <c r="M2096" s="28">
        <v>15</v>
      </c>
      <c r="N2096" s="6">
        <v>100</v>
      </c>
      <c r="O2096" s="30">
        <f t="shared" si="196"/>
        <v>15</v>
      </c>
      <c r="P2096" s="30">
        <f t="shared" si="197"/>
        <v>1500</v>
      </c>
      <c r="Q2096" s="1">
        <f>COUNTIFS($P:$P, "&gt;" &amp; $P2096) + 1</f>
        <v>3459</v>
      </c>
      <c r="R2096" s="63">
        <f>(COUNTIFS($P:$P, "&gt;" &amp; $P2096) + 1) / (COUNTA($I:$I) - 1)</f>
        <v>0.69179999999999997</v>
      </c>
      <c r="S2096" s="23">
        <f>SUMIFS($P:$P, $Q:$Q, "&lt;" &amp; $Q2096)</f>
        <v>185877471</v>
      </c>
    </row>
    <row r="2097" spans="1:19" x14ac:dyDescent="0.25">
      <c r="A2097" s="1">
        <v>2092</v>
      </c>
      <c r="B2097" s="1" t="s">
        <v>2</v>
      </c>
      <c r="C2097" s="1" t="str">
        <f>IF($B2097 = "Production Item", _xlfn.XLOOKUP($A2097, 'Instrument Table'!$J:$J, 'Instrument Table'!$B:$B, $C2096), IF($B2097 = "Service Item", _xlfn.XLOOKUP($A2097, 'Instrument Table'!$I:$I, 'Instrument Table'!$B:$B, $C2096), _xlfn.XLOOKUP($A2097, 'Instrument Table'!$H:$H, 'Instrument Table'!$B:$B, $C2096)))</f>
        <v>Clarinet</v>
      </c>
      <c r="D2097" s="1" t="str">
        <f>VLOOKUP($C2097, 'Instrument Table'!$B:$C, 2, FALSE)</f>
        <v>Woodwinds</v>
      </c>
      <c r="E2097" s="1">
        <f t="shared" si="192"/>
        <v>1</v>
      </c>
      <c r="F2097" s="1">
        <f>_xlfn.XLOOKUP($C2097, 'Instrument Table'!$B:$B, 'Instrument Table'!$A:$A, "")</f>
        <v>30</v>
      </c>
      <c r="G2097" s="1" t="str">
        <f>TEXT(IF($B2097 = "Retail Item", IF((ROW($A2097) - 4504 - _xlfn.XMATCH($C2097, $C$4506:$C$5005, 0, 1)) &lt;= VLOOKUP($C2097, 'Instrument Table'!$B:$D, 3, FALSE), ROW($A2097) - 4504 - _xlfn.XMATCH($C2097, $C$4506:$C$5005, 0, 1), 0), 0), "00")</f>
        <v>00</v>
      </c>
      <c r="H2097" s="1" t="str">
        <f t="shared" si="193"/>
        <v>341</v>
      </c>
      <c r="I2097" s="1" t="str">
        <f t="shared" si="194"/>
        <v>13000-341</v>
      </c>
      <c r="J2097" s="1" t="str">
        <f t="shared" si="195"/>
        <v>Clarinet production item #341</v>
      </c>
      <c r="K2097" s="1" t="str">
        <f>IF(SUM(COUNTIFS(I:I, I2097)) &gt; 1, "DUPLICATE", "UNIQUE")</f>
        <v>UNIQUE</v>
      </c>
      <c r="L2097" s="18">
        <v>0</v>
      </c>
      <c r="M2097" s="28">
        <v>58</v>
      </c>
      <c r="N2097" s="6">
        <v>36</v>
      </c>
      <c r="O2097" s="30">
        <f t="shared" si="196"/>
        <v>0</v>
      </c>
      <c r="P2097" s="30">
        <f t="shared" si="197"/>
        <v>2088</v>
      </c>
      <c r="Q2097" s="1">
        <f>COUNTIFS($P:$P, "&gt;" &amp; $P2097) + 1</f>
        <v>3213</v>
      </c>
      <c r="R2097" s="63">
        <f>(COUNTIFS($P:$P, "&gt;" &amp; $P2097) + 1) / (COUNTA($I:$I) - 1)</f>
        <v>0.64259999999999995</v>
      </c>
      <c r="S2097" s="23">
        <f>SUMIFS($P:$P, $Q:$Q, "&lt;" &amp; $Q2097)</f>
        <v>185435050</v>
      </c>
    </row>
    <row r="2098" spans="1:19" x14ac:dyDescent="0.25">
      <c r="A2098" s="1">
        <v>2093</v>
      </c>
      <c r="B2098" s="1" t="s">
        <v>2</v>
      </c>
      <c r="C2098" s="1" t="str">
        <f>IF($B2098 = "Production Item", _xlfn.XLOOKUP($A2098, 'Instrument Table'!$J:$J, 'Instrument Table'!$B:$B, $C2097), IF($B2098 = "Service Item", _xlfn.XLOOKUP($A2098, 'Instrument Table'!$I:$I, 'Instrument Table'!$B:$B, $C2097), _xlfn.XLOOKUP($A2098, 'Instrument Table'!$H:$H, 'Instrument Table'!$B:$B, $C2097)))</f>
        <v>Clarinet</v>
      </c>
      <c r="D2098" s="1" t="str">
        <f>VLOOKUP($C2098, 'Instrument Table'!$B:$C, 2, FALSE)</f>
        <v>Woodwinds</v>
      </c>
      <c r="E2098" s="1">
        <f t="shared" si="192"/>
        <v>1</v>
      </c>
      <c r="F2098" s="1">
        <f>_xlfn.XLOOKUP($C2098, 'Instrument Table'!$B:$B, 'Instrument Table'!$A:$A, "")</f>
        <v>30</v>
      </c>
      <c r="G2098" s="1" t="str">
        <f>TEXT(IF($B2098 = "Retail Item", IF((ROW($A2098) - 4504 - _xlfn.XMATCH($C2098, $C$4506:$C$5005, 0, 1)) &lt;= VLOOKUP($C2098, 'Instrument Table'!$B:$D, 3, FALSE), ROW($A2098) - 4504 - _xlfn.XMATCH($C2098, $C$4506:$C$5005, 0, 1), 0), 0), "00")</f>
        <v>00</v>
      </c>
      <c r="H2098" s="1" t="str">
        <f t="shared" si="193"/>
        <v>342</v>
      </c>
      <c r="I2098" s="1" t="str">
        <f t="shared" si="194"/>
        <v>13000-342</v>
      </c>
      <c r="J2098" s="1" t="str">
        <f t="shared" si="195"/>
        <v>Clarinet production item #342</v>
      </c>
      <c r="K2098" s="1" t="str">
        <f>IF(SUM(COUNTIFS(I:I, I2098)) &gt; 1, "DUPLICATE", "UNIQUE")</f>
        <v>UNIQUE</v>
      </c>
      <c r="L2098" s="18">
        <v>32</v>
      </c>
      <c r="M2098" s="28">
        <v>5</v>
      </c>
      <c r="N2098" s="6">
        <v>289</v>
      </c>
      <c r="O2098" s="30">
        <f t="shared" si="196"/>
        <v>160</v>
      </c>
      <c r="P2098" s="30">
        <f t="shared" si="197"/>
        <v>1445</v>
      </c>
      <c r="Q2098" s="1">
        <f>COUNTIFS($P:$P, "&gt;" &amp; $P2098) + 1</f>
        <v>3491</v>
      </c>
      <c r="R2098" s="63">
        <f>(COUNTIFS($P:$P, "&gt;" &amp; $P2098) + 1) / (COUNTA($I:$I) - 1)</f>
        <v>0.69820000000000004</v>
      </c>
      <c r="S2098" s="23">
        <f>SUMIFS($P:$P, $Q:$Q, "&lt;" &amp; $Q2098)</f>
        <v>185924522</v>
      </c>
    </row>
    <row r="2099" spans="1:19" x14ac:dyDescent="0.25">
      <c r="A2099" s="1">
        <v>2094</v>
      </c>
      <c r="B2099" s="1" t="s">
        <v>2</v>
      </c>
      <c r="C2099" s="1" t="str">
        <f>IF($B2099 = "Production Item", _xlfn.XLOOKUP($A2099, 'Instrument Table'!$J:$J, 'Instrument Table'!$B:$B, $C2098), IF($B2099 = "Service Item", _xlfn.XLOOKUP($A2099, 'Instrument Table'!$I:$I, 'Instrument Table'!$B:$B, $C2098), _xlfn.XLOOKUP($A2099, 'Instrument Table'!$H:$H, 'Instrument Table'!$B:$B, $C2098)))</f>
        <v>Clarinet</v>
      </c>
      <c r="D2099" s="1" t="str">
        <f>VLOOKUP($C2099, 'Instrument Table'!$B:$C, 2, FALSE)</f>
        <v>Woodwinds</v>
      </c>
      <c r="E2099" s="1">
        <f t="shared" si="192"/>
        <v>1</v>
      </c>
      <c r="F2099" s="1">
        <f>_xlfn.XLOOKUP($C2099, 'Instrument Table'!$B:$B, 'Instrument Table'!$A:$A, "")</f>
        <v>30</v>
      </c>
      <c r="G2099" s="1" t="str">
        <f>TEXT(IF($B2099 = "Retail Item", IF((ROW($A2099) - 4504 - _xlfn.XMATCH($C2099, $C$4506:$C$5005, 0, 1)) &lt;= VLOOKUP($C2099, 'Instrument Table'!$B:$D, 3, FALSE), ROW($A2099) - 4504 - _xlfn.XMATCH($C2099, $C$4506:$C$5005, 0, 1), 0), 0), "00")</f>
        <v>00</v>
      </c>
      <c r="H2099" s="1" t="str">
        <f t="shared" si="193"/>
        <v>343</v>
      </c>
      <c r="I2099" s="1" t="str">
        <f t="shared" si="194"/>
        <v>13000-343</v>
      </c>
      <c r="J2099" s="1" t="str">
        <f t="shared" si="195"/>
        <v>Clarinet production item #343</v>
      </c>
      <c r="K2099" s="1" t="str">
        <f>IF(SUM(COUNTIFS(I:I, I2099)) &gt; 1, "DUPLICATE", "UNIQUE")</f>
        <v>UNIQUE</v>
      </c>
      <c r="L2099" s="18">
        <v>0</v>
      </c>
      <c r="M2099" s="28">
        <v>95</v>
      </c>
      <c r="N2099" s="6">
        <v>100</v>
      </c>
      <c r="O2099" s="30">
        <f t="shared" si="196"/>
        <v>0</v>
      </c>
      <c r="P2099" s="30">
        <f t="shared" si="197"/>
        <v>9500</v>
      </c>
      <c r="Q2099" s="1">
        <f>COUNTIFS($P:$P, "&gt;" &amp; $P2099) + 1</f>
        <v>1817</v>
      </c>
      <c r="R2099" s="63">
        <f>(COUNTIFS($P:$P, "&gt;" &amp; $P2099) + 1) / (COUNTA($I:$I) - 1)</f>
        <v>0.3634</v>
      </c>
      <c r="S2099" s="23">
        <f>SUMIFS($P:$P, $Q:$Q, "&lt;" &amp; $Q2099)</f>
        <v>178404393</v>
      </c>
    </row>
    <row r="2100" spans="1:19" x14ac:dyDescent="0.25">
      <c r="A2100" s="1">
        <v>2095</v>
      </c>
      <c r="B2100" s="1" t="s">
        <v>2</v>
      </c>
      <c r="C2100" s="1" t="str">
        <f>IF($B2100 = "Production Item", _xlfn.XLOOKUP($A2100, 'Instrument Table'!$J:$J, 'Instrument Table'!$B:$B, $C2099), IF($B2100 = "Service Item", _xlfn.XLOOKUP($A2100, 'Instrument Table'!$I:$I, 'Instrument Table'!$B:$B, $C2099), _xlfn.XLOOKUP($A2100, 'Instrument Table'!$H:$H, 'Instrument Table'!$B:$B, $C2099)))</f>
        <v>Clarinet</v>
      </c>
      <c r="D2100" s="1" t="str">
        <f>VLOOKUP($C2100, 'Instrument Table'!$B:$C, 2, FALSE)</f>
        <v>Woodwinds</v>
      </c>
      <c r="E2100" s="1">
        <f t="shared" si="192"/>
        <v>1</v>
      </c>
      <c r="F2100" s="1">
        <f>_xlfn.XLOOKUP($C2100, 'Instrument Table'!$B:$B, 'Instrument Table'!$A:$A, "")</f>
        <v>30</v>
      </c>
      <c r="G2100" s="1" t="str">
        <f>TEXT(IF($B2100 = "Retail Item", IF((ROW($A2100) - 4504 - _xlfn.XMATCH($C2100, $C$4506:$C$5005, 0, 1)) &lt;= VLOOKUP($C2100, 'Instrument Table'!$B:$D, 3, FALSE), ROW($A2100) - 4504 - _xlfn.XMATCH($C2100, $C$4506:$C$5005, 0, 1), 0), 0), "00")</f>
        <v>00</v>
      </c>
      <c r="H2100" s="1" t="str">
        <f t="shared" si="193"/>
        <v>344</v>
      </c>
      <c r="I2100" s="1" t="str">
        <f t="shared" si="194"/>
        <v>13000-344</v>
      </c>
      <c r="J2100" s="1" t="str">
        <f t="shared" si="195"/>
        <v>Clarinet production item #344</v>
      </c>
      <c r="K2100" s="1" t="str">
        <f>IF(SUM(COUNTIFS(I:I, I2100)) &gt; 1, "DUPLICATE", "UNIQUE")</f>
        <v>UNIQUE</v>
      </c>
      <c r="L2100" s="18">
        <v>0</v>
      </c>
      <c r="M2100" s="28">
        <v>49</v>
      </c>
      <c r="N2100" s="6">
        <v>121</v>
      </c>
      <c r="O2100" s="30">
        <f t="shared" si="196"/>
        <v>0</v>
      </c>
      <c r="P2100" s="30">
        <f t="shared" si="197"/>
        <v>5929</v>
      </c>
      <c r="Q2100" s="1">
        <f>COUNTIFS($P:$P, "&gt;" &amp; $P2100) + 1</f>
        <v>2276</v>
      </c>
      <c r="R2100" s="63">
        <f>(COUNTIFS($P:$P, "&gt;" &amp; $P2100) + 1) / (COUNTA($I:$I) - 1)</f>
        <v>0.45519999999999999</v>
      </c>
      <c r="S2100" s="23">
        <f>SUMIFS($P:$P, $Q:$Q, "&lt;" &amp; $Q2100)</f>
        <v>181923754</v>
      </c>
    </row>
    <row r="2101" spans="1:19" x14ac:dyDescent="0.25">
      <c r="A2101" s="1">
        <v>2096</v>
      </c>
      <c r="B2101" s="1" t="s">
        <v>2</v>
      </c>
      <c r="C2101" s="1" t="str">
        <f>IF($B2101 = "Production Item", _xlfn.XLOOKUP($A2101, 'Instrument Table'!$J:$J, 'Instrument Table'!$B:$B, $C2100), IF($B2101 = "Service Item", _xlfn.XLOOKUP($A2101, 'Instrument Table'!$I:$I, 'Instrument Table'!$B:$B, $C2100), _xlfn.XLOOKUP($A2101, 'Instrument Table'!$H:$H, 'Instrument Table'!$B:$B, $C2100)))</f>
        <v>Clarinet</v>
      </c>
      <c r="D2101" s="1" t="str">
        <f>VLOOKUP($C2101, 'Instrument Table'!$B:$C, 2, FALSE)</f>
        <v>Woodwinds</v>
      </c>
      <c r="E2101" s="1">
        <f t="shared" si="192"/>
        <v>1</v>
      </c>
      <c r="F2101" s="1">
        <f>_xlfn.XLOOKUP($C2101, 'Instrument Table'!$B:$B, 'Instrument Table'!$A:$A, "")</f>
        <v>30</v>
      </c>
      <c r="G2101" s="1" t="str">
        <f>TEXT(IF($B2101 = "Retail Item", IF((ROW($A2101) - 4504 - _xlfn.XMATCH($C2101, $C$4506:$C$5005, 0, 1)) &lt;= VLOOKUP($C2101, 'Instrument Table'!$B:$D, 3, FALSE), ROW($A2101) - 4504 - _xlfn.XMATCH($C2101, $C$4506:$C$5005, 0, 1), 0), 0), "00")</f>
        <v>00</v>
      </c>
      <c r="H2101" s="1" t="str">
        <f t="shared" si="193"/>
        <v>345</v>
      </c>
      <c r="I2101" s="1" t="str">
        <f t="shared" si="194"/>
        <v>13000-345</v>
      </c>
      <c r="J2101" s="1" t="str">
        <f t="shared" si="195"/>
        <v>Clarinet production item #345</v>
      </c>
      <c r="K2101" s="1" t="str">
        <f>IF(SUM(COUNTIFS(I:I, I2101)) &gt; 1, "DUPLICATE", "UNIQUE")</f>
        <v>UNIQUE</v>
      </c>
      <c r="L2101" s="18">
        <v>0</v>
      </c>
      <c r="M2101" s="28">
        <v>100</v>
      </c>
      <c r="N2101" s="6">
        <v>81</v>
      </c>
      <c r="O2101" s="30">
        <f t="shared" si="196"/>
        <v>0</v>
      </c>
      <c r="P2101" s="30">
        <f t="shared" si="197"/>
        <v>8100</v>
      </c>
      <c r="Q2101" s="1">
        <f>COUNTIFS($P:$P, "&gt;" &amp; $P2101) + 1</f>
        <v>1974</v>
      </c>
      <c r="R2101" s="63">
        <f>(COUNTIFS($P:$P, "&gt;" &amp; $P2101) + 1) / (COUNTA($I:$I) - 1)</f>
        <v>0.39479999999999998</v>
      </c>
      <c r="S2101" s="23">
        <f>SUMIFS($P:$P, $Q:$Q, "&lt;" &amp; $Q2101)</f>
        <v>179788102</v>
      </c>
    </row>
    <row r="2102" spans="1:19" x14ac:dyDescent="0.25">
      <c r="A2102" s="1">
        <v>2097</v>
      </c>
      <c r="B2102" s="1" t="s">
        <v>2</v>
      </c>
      <c r="C2102" s="1" t="str">
        <f>IF($B2102 = "Production Item", _xlfn.XLOOKUP($A2102, 'Instrument Table'!$J:$J, 'Instrument Table'!$B:$B, $C2101), IF($B2102 = "Service Item", _xlfn.XLOOKUP($A2102, 'Instrument Table'!$I:$I, 'Instrument Table'!$B:$B, $C2101), _xlfn.XLOOKUP($A2102, 'Instrument Table'!$H:$H, 'Instrument Table'!$B:$B, $C2101)))</f>
        <v>Clarinet</v>
      </c>
      <c r="D2102" s="1" t="str">
        <f>VLOOKUP($C2102, 'Instrument Table'!$B:$C, 2, FALSE)</f>
        <v>Woodwinds</v>
      </c>
      <c r="E2102" s="1">
        <f t="shared" si="192"/>
        <v>1</v>
      </c>
      <c r="F2102" s="1">
        <f>_xlfn.XLOOKUP($C2102, 'Instrument Table'!$B:$B, 'Instrument Table'!$A:$A, "")</f>
        <v>30</v>
      </c>
      <c r="G2102" s="1" t="str">
        <f>TEXT(IF($B2102 = "Retail Item", IF((ROW($A2102) - 4504 - _xlfn.XMATCH($C2102, $C$4506:$C$5005, 0, 1)) &lt;= VLOOKUP($C2102, 'Instrument Table'!$B:$D, 3, FALSE), ROW($A2102) - 4504 - _xlfn.XMATCH($C2102, $C$4506:$C$5005, 0, 1), 0), 0), "00")</f>
        <v>00</v>
      </c>
      <c r="H2102" s="1" t="str">
        <f t="shared" si="193"/>
        <v>346</v>
      </c>
      <c r="I2102" s="1" t="str">
        <f t="shared" si="194"/>
        <v>13000-346</v>
      </c>
      <c r="J2102" s="1" t="str">
        <f t="shared" si="195"/>
        <v>Clarinet production item #346</v>
      </c>
      <c r="K2102" s="1" t="str">
        <f>IF(SUM(COUNTIFS(I:I, I2102)) &gt; 1, "DUPLICATE", "UNIQUE")</f>
        <v>UNIQUE</v>
      </c>
      <c r="L2102" s="18">
        <v>2</v>
      </c>
      <c r="M2102" s="28">
        <v>25</v>
      </c>
      <c r="N2102" s="6">
        <v>4</v>
      </c>
      <c r="O2102" s="30">
        <f t="shared" si="196"/>
        <v>50</v>
      </c>
      <c r="P2102" s="30">
        <f t="shared" si="197"/>
        <v>100</v>
      </c>
      <c r="Q2102" s="1">
        <f>COUNTIFS($P:$P, "&gt;" &amp; $P2102) + 1</f>
        <v>4452</v>
      </c>
      <c r="R2102" s="63">
        <f>(COUNTIFS($P:$P, "&gt;" &amp; $P2102) + 1) / (COUNTA($I:$I) - 1)</f>
        <v>0.89039999999999997</v>
      </c>
      <c r="S2102" s="23">
        <f>SUMIFS($P:$P, $Q:$Q, "&lt;" &amp; $Q2102)</f>
        <v>186532418</v>
      </c>
    </row>
    <row r="2103" spans="1:19" x14ac:dyDescent="0.25">
      <c r="A2103" s="1">
        <v>2098</v>
      </c>
      <c r="B2103" s="1" t="s">
        <v>2</v>
      </c>
      <c r="C2103" s="1" t="str">
        <f>IF($B2103 = "Production Item", _xlfn.XLOOKUP($A2103, 'Instrument Table'!$J:$J, 'Instrument Table'!$B:$B, $C2102), IF($B2103 = "Service Item", _xlfn.XLOOKUP($A2103, 'Instrument Table'!$I:$I, 'Instrument Table'!$B:$B, $C2102), _xlfn.XLOOKUP($A2103, 'Instrument Table'!$H:$H, 'Instrument Table'!$B:$B, $C2102)))</f>
        <v>Clarinet</v>
      </c>
      <c r="D2103" s="1" t="str">
        <f>VLOOKUP($C2103, 'Instrument Table'!$B:$C, 2, FALSE)</f>
        <v>Woodwinds</v>
      </c>
      <c r="E2103" s="1">
        <f t="shared" si="192"/>
        <v>1</v>
      </c>
      <c r="F2103" s="1">
        <f>_xlfn.XLOOKUP($C2103, 'Instrument Table'!$B:$B, 'Instrument Table'!$A:$A, "")</f>
        <v>30</v>
      </c>
      <c r="G2103" s="1" t="str">
        <f>TEXT(IF($B2103 = "Retail Item", IF((ROW($A2103) - 4504 - _xlfn.XMATCH($C2103, $C$4506:$C$5005, 0, 1)) &lt;= VLOOKUP($C2103, 'Instrument Table'!$B:$D, 3, FALSE), ROW($A2103) - 4504 - _xlfn.XMATCH($C2103, $C$4506:$C$5005, 0, 1), 0), 0), "00")</f>
        <v>00</v>
      </c>
      <c r="H2103" s="1" t="str">
        <f t="shared" si="193"/>
        <v>347</v>
      </c>
      <c r="I2103" s="1" t="str">
        <f t="shared" si="194"/>
        <v>13000-347</v>
      </c>
      <c r="J2103" s="1" t="str">
        <f t="shared" si="195"/>
        <v>Clarinet production item #347</v>
      </c>
      <c r="K2103" s="1" t="str">
        <f>IF(SUM(COUNTIFS(I:I, I2103)) &gt; 1, "DUPLICATE", "UNIQUE")</f>
        <v>UNIQUE</v>
      </c>
      <c r="L2103" s="18">
        <v>32</v>
      </c>
      <c r="M2103" s="28">
        <v>9</v>
      </c>
      <c r="N2103" s="6">
        <v>1</v>
      </c>
      <c r="O2103" s="30">
        <f t="shared" si="196"/>
        <v>288</v>
      </c>
      <c r="P2103" s="30">
        <f t="shared" si="197"/>
        <v>9</v>
      </c>
      <c r="Q2103" s="1">
        <f>COUNTIFS($P:$P, "&gt;" &amp; $P2103) + 1</f>
        <v>4723</v>
      </c>
      <c r="R2103" s="63">
        <f>(COUNTIFS($P:$P, "&gt;" &amp; $P2103) + 1) / (COUNTA($I:$I) - 1)</f>
        <v>0.9446</v>
      </c>
      <c r="S2103" s="23">
        <f>SUMIFS($P:$P, $Q:$Q, "&lt;" &amp; $Q2103)</f>
        <v>186547723</v>
      </c>
    </row>
    <row r="2104" spans="1:19" x14ac:dyDescent="0.25">
      <c r="A2104" s="1">
        <v>2099</v>
      </c>
      <c r="B2104" s="1" t="s">
        <v>2</v>
      </c>
      <c r="C2104" s="1" t="str">
        <f>IF($B2104 = "Production Item", _xlfn.XLOOKUP($A2104, 'Instrument Table'!$J:$J, 'Instrument Table'!$B:$B, $C2103), IF($B2104 = "Service Item", _xlfn.XLOOKUP($A2104, 'Instrument Table'!$I:$I, 'Instrument Table'!$B:$B, $C2103), _xlfn.XLOOKUP($A2104, 'Instrument Table'!$H:$H, 'Instrument Table'!$B:$B, $C2103)))</f>
        <v>Clarinet</v>
      </c>
      <c r="D2104" s="1" t="str">
        <f>VLOOKUP($C2104, 'Instrument Table'!$B:$C, 2, FALSE)</f>
        <v>Woodwinds</v>
      </c>
      <c r="E2104" s="1">
        <f t="shared" si="192"/>
        <v>1</v>
      </c>
      <c r="F2104" s="1">
        <f>_xlfn.XLOOKUP($C2104, 'Instrument Table'!$B:$B, 'Instrument Table'!$A:$A, "")</f>
        <v>30</v>
      </c>
      <c r="G2104" s="1" t="str">
        <f>TEXT(IF($B2104 = "Retail Item", IF((ROW($A2104) - 4504 - _xlfn.XMATCH($C2104, $C$4506:$C$5005, 0, 1)) &lt;= VLOOKUP($C2104, 'Instrument Table'!$B:$D, 3, FALSE), ROW($A2104) - 4504 - _xlfn.XMATCH($C2104, $C$4506:$C$5005, 0, 1), 0), 0), "00")</f>
        <v>00</v>
      </c>
      <c r="H2104" s="1" t="str">
        <f t="shared" si="193"/>
        <v>348</v>
      </c>
      <c r="I2104" s="1" t="str">
        <f t="shared" si="194"/>
        <v>13000-348</v>
      </c>
      <c r="J2104" s="1" t="str">
        <f t="shared" si="195"/>
        <v>Clarinet production item #348</v>
      </c>
      <c r="K2104" s="1" t="str">
        <f>IF(SUM(COUNTIFS(I:I, I2104)) &gt; 1, "DUPLICATE", "UNIQUE")</f>
        <v>UNIQUE</v>
      </c>
      <c r="L2104" s="18">
        <v>16</v>
      </c>
      <c r="M2104" s="28">
        <v>49</v>
      </c>
      <c r="N2104" s="6">
        <v>144</v>
      </c>
      <c r="O2104" s="30">
        <f t="shared" si="196"/>
        <v>784</v>
      </c>
      <c r="P2104" s="30">
        <f t="shared" si="197"/>
        <v>7056</v>
      </c>
      <c r="Q2104" s="1">
        <f>COUNTIFS($P:$P, "&gt;" &amp; $P2104) + 1</f>
        <v>2125</v>
      </c>
      <c r="R2104" s="63">
        <f>(COUNTIFS($P:$P, "&gt;" &amp; $P2104) + 1) / (COUNTA($I:$I) - 1)</f>
        <v>0.42499999999999999</v>
      </c>
      <c r="S2104" s="23">
        <f>SUMIFS($P:$P, $Q:$Q, "&lt;" &amp; $Q2104)</f>
        <v>180938988</v>
      </c>
    </row>
    <row r="2105" spans="1:19" x14ac:dyDescent="0.25">
      <c r="A2105" s="1">
        <v>2100</v>
      </c>
      <c r="B2105" s="1" t="s">
        <v>2</v>
      </c>
      <c r="C2105" s="1" t="str">
        <f>IF($B2105 = "Production Item", _xlfn.XLOOKUP($A2105, 'Instrument Table'!$J:$J, 'Instrument Table'!$B:$B, $C2104), IF($B2105 = "Service Item", _xlfn.XLOOKUP($A2105, 'Instrument Table'!$I:$I, 'Instrument Table'!$B:$B, $C2104), _xlfn.XLOOKUP($A2105, 'Instrument Table'!$H:$H, 'Instrument Table'!$B:$B, $C2104)))</f>
        <v>Clarinet</v>
      </c>
      <c r="D2105" s="1" t="str">
        <f>VLOOKUP($C2105, 'Instrument Table'!$B:$C, 2, FALSE)</f>
        <v>Woodwinds</v>
      </c>
      <c r="E2105" s="1">
        <f t="shared" si="192"/>
        <v>1</v>
      </c>
      <c r="F2105" s="1">
        <f>_xlfn.XLOOKUP($C2105, 'Instrument Table'!$B:$B, 'Instrument Table'!$A:$A, "")</f>
        <v>30</v>
      </c>
      <c r="G2105" s="1" t="str">
        <f>TEXT(IF($B2105 = "Retail Item", IF((ROW($A2105) - 4504 - _xlfn.XMATCH($C2105, $C$4506:$C$5005, 0, 1)) &lt;= VLOOKUP($C2105, 'Instrument Table'!$B:$D, 3, FALSE), ROW($A2105) - 4504 - _xlfn.XMATCH($C2105, $C$4506:$C$5005, 0, 1), 0), 0), "00")</f>
        <v>00</v>
      </c>
      <c r="H2105" s="1" t="str">
        <f t="shared" si="193"/>
        <v>349</v>
      </c>
      <c r="I2105" s="1" t="str">
        <f t="shared" si="194"/>
        <v>13000-349</v>
      </c>
      <c r="J2105" s="1" t="str">
        <f t="shared" si="195"/>
        <v>Clarinet production item #349</v>
      </c>
      <c r="K2105" s="1" t="str">
        <f>IF(SUM(COUNTIFS(I:I, I2105)) &gt; 1, "DUPLICATE", "UNIQUE")</f>
        <v>UNIQUE</v>
      </c>
      <c r="L2105" s="18">
        <v>4</v>
      </c>
      <c r="M2105" s="28">
        <v>7</v>
      </c>
      <c r="N2105" s="6">
        <v>100</v>
      </c>
      <c r="O2105" s="30">
        <f t="shared" si="196"/>
        <v>28</v>
      </c>
      <c r="P2105" s="30">
        <f t="shared" si="197"/>
        <v>700</v>
      </c>
      <c r="Q2105" s="1">
        <f>COUNTIFS($P:$P, "&gt;" &amp; $P2105) + 1</f>
        <v>3882</v>
      </c>
      <c r="R2105" s="63">
        <f>(COUNTIFS($P:$P, "&gt;" &amp; $P2105) + 1) / (COUNTA($I:$I) - 1)</f>
        <v>0.77639999999999998</v>
      </c>
      <c r="S2105" s="23">
        <f>SUMIFS($P:$P, $Q:$Q, "&lt;" &amp; $Q2105)</f>
        <v>186326493</v>
      </c>
    </row>
    <row r="2106" spans="1:19" x14ac:dyDescent="0.25">
      <c r="A2106" s="1">
        <v>2101</v>
      </c>
      <c r="B2106" s="1" t="s">
        <v>2</v>
      </c>
      <c r="C2106" s="1" t="str">
        <f>IF($B2106 = "Production Item", _xlfn.XLOOKUP($A2106, 'Instrument Table'!$J:$J, 'Instrument Table'!$B:$B, $C2105), IF($B2106 = "Service Item", _xlfn.XLOOKUP($A2106, 'Instrument Table'!$I:$I, 'Instrument Table'!$B:$B, $C2105), _xlfn.XLOOKUP($A2106, 'Instrument Table'!$H:$H, 'Instrument Table'!$B:$B, $C2105)))</f>
        <v>Clarinet</v>
      </c>
      <c r="D2106" s="1" t="str">
        <f>VLOOKUP($C2106, 'Instrument Table'!$B:$C, 2, FALSE)</f>
        <v>Woodwinds</v>
      </c>
      <c r="E2106" s="1">
        <f t="shared" si="192"/>
        <v>1</v>
      </c>
      <c r="F2106" s="1">
        <f>_xlfn.XLOOKUP($C2106, 'Instrument Table'!$B:$B, 'Instrument Table'!$A:$A, "")</f>
        <v>30</v>
      </c>
      <c r="G2106" s="1" t="str">
        <f>TEXT(IF($B2106 = "Retail Item", IF((ROW($A2106) - 4504 - _xlfn.XMATCH($C2106, $C$4506:$C$5005, 0, 1)) &lt;= VLOOKUP($C2106, 'Instrument Table'!$B:$D, 3, FALSE), ROW($A2106) - 4504 - _xlfn.XMATCH($C2106, $C$4506:$C$5005, 0, 1), 0), 0), "00")</f>
        <v>00</v>
      </c>
      <c r="H2106" s="1" t="str">
        <f t="shared" si="193"/>
        <v>350</v>
      </c>
      <c r="I2106" s="1" t="str">
        <f t="shared" si="194"/>
        <v>13000-350</v>
      </c>
      <c r="J2106" s="1" t="str">
        <f t="shared" si="195"/>
        <v>Clarinet production item #350</v>
      </c>
      <c r="K2106" s="1" t="str">
        <f>IF(SUM(COUNTIFS(I:I, I2106)) &gt; 1, "DUPLICATE", "UNIQUE")</f>
        <v>UNIQUE</v>
      </c>
      <c r="L2106" s="18">
        <v>0</v>
      </c>
      <c r="M2106" s="28">
        <v>2</v>
      </c>
      <c r="N2106" s="6">
        <v>36</v>
      </c>
      <c r="O2106" s="30">
        <f t="shared" si="196"/>
        <v>0</v>
      </c>
      <c r="P2106" s="30">
        <f t="shared" si="197"/>
        <v>72</v>
      </c>
      <c r="Q2106" s="1">
        <f>COUNTIFS($P:$P, "&gt;" &amp; $P2106) + 1</f>
        <v>4534</v>
      </c>
      <c r="R2106" s="63">
        <f>(COUNTIFS($P:$P, "&gt;" &amp; $P2106) + 1) / (COUNTA($I:$I) - 1)</f>
        <v>0.90680000000000005</v>
      </c>
      <c r="S2106" s="23">
        <f>SUMIFS($P:$P, $Q:$Q, "&lt;" &amp; $Q2106)</f>
        <v>186539538</v>
      </c>
    </row>
    <row r="2107" spans="1:19" x14ac:dyDescent="0.25">
      <c r="A2107" s="1">
        <v>2102</v>
      </c>
      <c r="B2107" s="1" t="s">
        <v>2</v>
      </c>
      <c r="C2107" s="1" t="str">
        <f>IF($B2107 = "Production Item", _xlfn.XLOOKUP($A2107, 'Instrument Table'!$J:$J, 'Instrument Table'!$B:$B, $C2106), IF($B2107 = "Service Item", _xlfn.XLOOKUP($A2107, 'Instrument Table'!$I:$I, 'Instrument Table'!$B:$B, $C2106), _xlfn.XLOOKUP($A2107, 'Instrument Table'!$H:$H, 'Instrument Table'!$B:$B, $C2106)))</f>
        <v>Clarinet</v>
      </c>
      <c r="D2107" s="1" t="str">
        <f>VLOOKUP($C2107, 'Instrument Table'!$B:$C, 2, FALSE)</f>
        <v>Woodwinds</v>
      </c>
      <c r="E2107" s="1">
        <f t="shared" si="192"/>
        <v>1</v>
      </c>
      <c r="F2107" s="1">
        <f>_xlfn.XLOOKUP($C2107, 'Instrument Table'!$B:$B, 'Instrument Table'!$A:$A, "")</f>
        <v>30</v>
      </c>
      <c r="G2107" s="1" t="str">
        <f>TEXT(IF($B2107 = "Retail Item", IF((ROW($A2107) - 4504 - _xlfn.XMATCH($C2107, $C$4506:$C$5005, 0, 1)) &lt;= VLOOKUP($C2107, 'Instrument Table'!$B:$D, 3, FALSE), ROW($A2107) - 4504 - _xlfn.XMATCH($C2107, $C$4506:$C$5005, 0, 1), 0), 0), "00")</f>
        <v>00</v>
      </c>
      <c r="H2107" s="1" t="str">
        <f t="shared" si="193"/>
        <v>351</v>
      </c>
      <c r="I2107" s="1" t="str">
        <f t="shared" si="194"/>
        <v>13000-351</v>
      </c>
      <c r="J2107" s="1" t="str">
        <f t="shared" si="195"/>
        <v>Clarinet production item #351</v>
      </c>
      <c r="K2107" s="1" t="str">
        <f>IF(SUM(COUNTIFS(I:I, I2107)) &gt; 1, "DUPLICATE", "UNIQUE")</f>
        <v>UNIQUE</v>
      </c>
      <c r="L2107" s="18">
        <v>1</v>
      </c>
      <c r="M2107" s="28">
        <v>85</v>
      </c>
      <c r="N2107" s="6">
        <v>25</v>
      </c>
      <c r="O2107" s="30">
        <f t="shared" si="196"/>
        <v>85</v>
      </c>
      <c r="P2107" s="30">
        <f t="shared" si="197"/>
        <v>2125</v>
      </c>
      <c r="Q2107" s="1">
        <f>COUNTIFS($P:$P, "&gt;" &amp; $P2107) + 1</f>
        <v>3189</v>
      </c>
      <c r="R2107" s="63">
        <f>(COUNTIFS($P:$P, "&gt;" &amp; $P2107) + 1) / (COUNTA($I:$I) - 1)</f>
        <v>0.63780000000000003</v>
      </c>
      <c r="S2107" s="23">
        <f>SUMIFS($P:$P, $Q:$Q, "&lt;" &amp; $Q2107)</f>
        <v>185384306</v>
      </c>
    </row>
    <row r="2108" spans="1:19" x14ac:dyDescent="0.25">
      <c r="A2108" s="1">
        <v>2103</v>
      </c>
      <c r="B2108" s="1" t="s">
        <v>2</v>
      </c>
      <c r="C2108" s="1" t="str">
        <f>IF($B2108 = "Production Item", _xlfn.XLOOKUP($A2108, 'Instrument Table'!$J:$J, 'Instrument Table'!$B:$B, $C2107), IF($B2108 = "Service Item", _xlfn.XLOOKUP($A2108, 'Instrument Table'!$I:$I, 'Instrument Table'!$B:$B, $C2107), _xlfn.XLOOKUP($A2108, 'Instrument Table'!$H:$H, 'Instrument Table'!$B:$B, $C2107)))</f>
        <v>Clarinet</v>
      </c>
      <c r="D2108" s="1" t="str">
        <f>VLOOKUP($C2108, 'Instrument Table'!$B:$C, 2, FALSE)</f>
        <v>Woodwinds</v>
      </c>
      <c r="E2108" s="1">
        <f t="shared" si="192"/>
        <v>1</v>
      </c>
      <c r="F2108" s="1">
        <f>_xlfn.XLOOKUP($C2108, 'Instrument Table'!$B:$B, 'Instrument Table'!$A:$A, "")</f>
        <v>30</v>
      </c>
      <c r="G2108" s="1" t="str">
        <f>TEXT(IF($B2108 = "Retail Item", IF((ROW($A2108) - 4504 - _xlfn.XMATCH($C2108, $C$4506:$C$5005, 0, 1)) &lt;= VLOOKUP($C2108, 'Instrument Table'!$B:$D, 3, FALSE), ROW($A2108) - 4504 - _xlfn.XMATCH($C2108, $C$4506:$C$5005, 0, 1), 0), 0), "00")</f>
        <v>00</v>
      </c>
      <c r="H2108" s="1" t="str">
        <f t="shared" si="193"/>
        <v>352</v>
      </c>
      <c r="I2108" s="1" t="str">
        <f t="shared" si="194"/>
        <v>13000-352</v>
      </c>
      <c r="J2108" s="1" t="str">
        <f t="shared" si="195"/>
        <v>Clarinet production item #352</v>
      </c>
      <c r="K2108" s="1" t="str">
        <f>IF(SUM(COUNTIFS(I:I, I2108)) &gt; 1, "DUPLICATE", "UNIQUE")</f>
        <v>UNIQUE</v>
      </c>
      <c r="L2108" s="18">
        <v>1</v>
      </c>
      <c r="M2108" s="28">
        <v>96</v>
      </c>
      <c r="N2108" s="6">
        <v>81</v>
      </c>
      <c r="O2108" s="30">
        <f t="shared" si="196"/>
        <v>96</v>
      </c>
      <c r="P2108" s="30">
        <f t="shared" si="197"/>
        <v>7776</v>
      </c>
      <c r="Q2108" s="1">
        <f>COUNTIFS($P:$P, "&gt;" &amp; $P2108) + 1</f>
        <v>2019</v>
      </c>
      <c r="R2108" s="63">
        <f>(COUNTIFS($P:$P, "&gt;" &amp; $P2108) + 1) / (COUNTA($I:$I) - 1)</f>
        <v>0.40379999999999999</v>
      </c>
      <c r="S2108" s="23">
        <f>SUMIFS($P:$P, $Q:$Q, "&lt;" &amp; $Q2108)</f>
        <v>180145621</v>
      </c>
    </row>
    <row r="2109" spans="1:19" x14ac:dyDescent="0.25">
      <c r="A2109" s="1">
        <v>2104</v>
      </c>
      <c r="B2109" s="1" t="s">
        <v>2</v>
      </c>
      <c r="C2109" s="1" t="str">
        <f>IF($B2109 = "Production Item", _xlfn.XLOOKUP($A2109, 'Instrument Table'!$J:$J, 'Instrument Table'!$B:$B, $C2108), IF($B2109 = "Service Item", _xlfn.XLOOKUP($A2109, 'Instrument Table'!$I:$I, 'Instrument Table'!$B:$B, $C2108), _xlfn.XLOOKUP($A2109, 'Instrument Table'!$H:$H, 'Instrument Table'!$B:$B, $C2108)))</f>
        <v>Clarinet</v>
      </c>
      <c r="D2109" s="1" t="str">
        <f>VLOOKUP($C2109, 'Instrument Table'!$B:$C, 2, FALSE)</f>
        <v>Woodwinds</v>
      </c>
      <c r="E2109" s="1">
        <f t="shared" si="192"/>
        <v>1</v>
      </c>
      <c r="F2109" s="1">
        <f>_xlfn.XLOOKUP($C2109, 'Instrument Table'!$B:$B, 'Instrument Table'!$A:$A, "")</f>
        <v>30</v>
      </c>
      <c r="G2109" s="1" t="str">
        <f>TEXT(IF($B2109 = "Retail Item", IF((ROW($A2109) - 4504 - _xlfn.XMATCH($C2109, $C$4506:$C$5005, 0, 1)) &lt;= VLOOKUP($C2109, 'Instrument Table'!$B:$D, 3, FALSE), ROW($A2109) - 4504 - _xlfn.XMATCH($C2109, $C$4506:$C$5005, 0, 1), 0), 0), "00")</f>
        <v>00</v>
      </c>
      <c r="H2109" s="1" t="str">
        <f t="shared" si="193"/>
        <v>353</v>
      </c>
      <c r="I2109" s="1" t="str">
        <f t="shared" si="194"/>
        <v>13000-353</v>
      </c>
      <c r="J2109" s="1" t="str">
        <f t="shared" si="195"/>
        <v>Clarinet production item #353</v>
      </c>
      <c r="K2109" s="1" t="str">
        <f>IF(SUM(COUNTIFS(I:I, I2109)) &gt; 1, "DUPLICATE", "UNIQUE")</f>
        <v>UNIQUE</v>
      </c>
      <c r="L2109" s="18">
        <v>1</v>
      </c>
      <c r="M2109" s="28">
        <v>75</v>
      </c>
      <c r="N2109" s="6">
        <v>196</v>
      </c>
      <c r="O2109" s="30">
        <f t="shared" si="196"/>
        <v>75</v>
      </c>
      <c r="P2109" s="30">
        <f t="shared" si="197"/>
        <v>14700</v>
      </c>
      <c r="Q2109" s="1">
        <f>COUNTIFS($P:$P, "&gt;" &amp; $P2109) + 1</f>
        <v>1372</v>
      </c>
      <c r="R2109" s="63">
        <f>(COUNTIFS($P:$P, "&gt;" &amp; $P2109) + 1) / (COUNTA($I:$I) - 1)</f>
        <v>0.27439999999999998</v>
      </c>
      <c r="S2109" s="23">
        <f>SUMIFS($P:$P, $Q:$Q, "&lt;" &amp; $Q2109)</f>
        <v>173069656</v>
      </c>
    </row>
    <row r="2110" spans="1:19" x14ac:dyDescent="0.25">
      <c r="A2110" s="1">
        <v>2105</v>
      </c>
      <c r="B2110" s="1" t="s">
        <v>2</v>
      </c>
      <c r="C2110" s="1" t="str">
        <f>IF($B2110 = "Production Item", _xlfn.XLOOKUP($A2110, 'Instrument Table'!$J:$J, 'Instrument Table'!$B:$B, $C2109), IF($B2110 = "Service Item", _xlfn.XLOOKUP($A2110, 'Instrument Table'!$I:$I, 'Instrument Table'!$B:$B, $C2109), _xlfn.XLOOKUP($A2110, 'Instrument Table'!$H:$H, 'Instrument Table'!$B:$B, $C2109)))</f>
        <v>Clarinet</v>
      </c>
      <c r="D2110" s="1" t="str">
        <f>VLOOKUP($C2110, 'Instrument Table'!$B:$C, 2, FALSE)</f>
        <v>Woodwinds</v>
      </c>
      <c r="E2110" s="1">
        <f t="shared" si="192"/>
        <v>1</v>
      </c>
      <c r="F2110" s="1">
        <f>_xlfn.XLOOKUP($C2110, 'Instrument Table'!$B:$B, 'Instrument Table'!$A:$A, "")</f>
        <v>30</v>
      </c>
      <c r="G2110" s="1" t="str">
        <f>TEXT(IF($B2110 = "Retail Item", IF((ROW($A2110) - 4504 - _xlfn.XMATCH($C2110, $C$4506:$C$5005, 0, 1)) &lt;= VLOOKUP($C2110, 'Instrument Table'!$B:$D, 3, FALSE), ROW($A2110) - 4504 - _xlfn.XMATCH($C2110, $C$4506:$C$5005, 0, 1), 0), 0), "00")</f>
        <v>00</v>
      </c>
      <c r="H2110" s="1" t="str">
        <f t="shared" si="193"/>
        <v>354</v>
      </c>
      <c r="I2110" s="1" t="str">
        <f t="shared" si="194"/>
        <v>13000-354</v>
      </c>
      <c r="J2110" s="1" t="str">
        <f t="shared" si="195"/>
        <v>Clarinet production item #354</v>
      </c>
      <c r="K2110" s="1" t="str">
        <f>IF(SUM(COUNTIFS(I:I, I2110)) &gt; 1, "DUPLICATE", "UNIQUE")</f>
        <v>UNIQUE</v>
      </c>
      <c r="L2110" s="18">
        <v>0</v>
      </c>
      <c r="M2110" s="28">
        <v>70</v>
      </c>
      <c r="N2110" s="6">
        <v>196</v>
      </c>
      <c r="O2110" s="30">
        <f t="shared" si="196"/>
        <v>0</v>
      </c>
      <c r="P2110" s="30">
        <f t="shared" si="197"/>
        <v>13720</v>
      </c>
      <c r="Q2110" s="1">
        <f>COUNTIFS($P:$P, "&gt;" &amp; $P2110) + 1</f>
        <v>1439</v>
      </c>
      <c r="R2110" s="63">
        <f>(COUNTIFS($P:$P, "&gt;" &amp; $P2110) + 1) / (COUNTA($I:$I) - 1)</f>
        <v>0.2878</v>
      </c>
      <c r="S2110" s="23">
        <f>SUMIFS($P:$P, $Q:$Q, "&lt;" &amp; $Q2110)</f>
        <v>174022609</v>
      </c>
    </row>
    <row r="2111" spans="1:19" x14ac:dyDescent="0.25">
      <c r="A2111" s="1">
        <v>2106</v>
      </c>
      <c r="B2111" s="1" t="s">
        <v>2</v>
      </c>
      <c r="C2111" s="1" t="str">
        <f>IF($B2111 = "Production Item", _xlfn.XLOOKUP($A2111, 'Instrument Table'!$J:$J, 'Instrument Table'!$B:$B, $C2110), IF($B2111 = "Service Item", _xlfn.XLOOKUP($A2111, 'Instrument Table'!$I:$I, 'Instrument Table'!$B:$B, $C2110), _xlfn.XLOOKUP($A2111, 'Instrument Table'!$H:$H, 'Instrument Table'!$B:$B, $C2110)))</f>
        <v>Clarinet</v>
      </c>
      <c r="D2111" s="1" t="str">
        <f>VLOOKUP($C2111, 'Instrument Table'!$B:$C, 2, FALSE)</f>
        <v>Woodwinds</v>
      </c>
      <c r="E2111" s="1">
        <f t="shared" si="192"/>
        <v>1</v>
      </c>
      <c r="F2111" s="1">
        <f>_xlfn.XLOOKUP($C2111, 'Instrument Table'!$B:$B, 'Instrument Table'!$A:$A, "")</f>
        <v>30</v>
      </c>
      <c r="G2111" s="1" t="str">
        <f>TEXT(IF($B2111 = "Retail Item", IF((ROW($A2111) - 4504 - _xlfn.XMATCH($C2111, $C$4506:$C$5005, 0, 1)) &lt;= VLOOKUP($C2111, 'Instrument Table'!$B:$D, 3, FALSE), ROW($A2111) - 4504 - _xlfn.XMATCH($C2111, $C$4506:$C$5005, 0, 1), 0), 0), "00")</f>
        <v>00</v>
      </c>
      <c r="H2111" s="1" t="str">
        <f t="shared" si="193"/>
        <v>355</v>
      </c>
      <c r="I2111" s="1" t="str">
        <f t="shared" si="194"/>
        <v>13000-355</v>
      </c>
      <c r="J2111" s="1" t="str">
        <f t="shared" si="195"/>
        <v>Clarinet production item #355</v>
      </c>
      <c r="K2111" s="1" t="str">
        <f>IF(SUM(COUNTIFS(I:I, I2111)) &gt; 1, "DUPLICATE", "UNIQUE")</f>
        <v>UNIQUE</v>
      </c>
      <c r="L2111" s="18">
        <v>1</v>
      </c>
      <c r="M2111" s="28">
        <v>70</v>
      </c>
      <c r="N2111" s="6">
        <v>1</v>
      </c>
      <c r="O2111" s="30">
        <f t="shared" si="196"/>
        <v>70</v>
      </c>
      <c r="P2111" s="30">
        <f t="shared" si="197"/>
        <v>70</v>
      </c>
      <c r="Q2111" s="1">
        <f>COUNTIFS($P:$P, "&gt;" &amp; $P2111) + 1</f>
        <v>4543</v>
      </c>
      <c r="R2111" s="63">
        <f>(COUNTIFS($P:$P, "&gt;" &amp; $P2111) + 1) / (COUNTA($I:$I) - 1)</f>
        <v>0.90859999999999996</v>
      </c>
      <c r="S2111" s="23">
        <f>SUMIFS($P:$P, $Q:$Q, "&lt;" &amp; $Q2111)</f>
        <v>186540183</v>
      </c>
    </row>
    <row r="2112" spans="1:19" x14ac:dyDescent="0.25">
      <c r="A2112" s="1">
        <v>2107</v>
      </c>
      <c r="B2112" s="1" t="s">
        <v>2</v>
      </c>
      <c r="C2112" s="1" t="str">
        <f>IF($B2112 = "Production Item", _xlfn.XLOOKUP($A2112, 'Instrument Table'!$J:$J, 'Instrument Table'!$B:$B, $C2111), IF($B2112 = "Service Item", _xlfn.XLOOKUP($A2112, 'Instrument Table'!$I:$I, 'Instrument Table'!$B:$B, $C2111), _xlfn.XLOOKUP($A2112, 'Instrument Table'!$H:$H, 'Instrument Table'!$B:$B, $C2111)))</f>
        <v>Clarinet</v>
      </c>
      <c r="D2112" s="1" t="str">
        <f>VLOOKUP($C2112, 'Instrument Table'!$B:$C, 2, FALSE)</f>
        <v>Woodwinds</v>
      </c>
      <c r="E2112" s="1">
        <f t="shared" si="192"/>
        <v>1</v>
      </c>
      <c r="F2112" s="1">
        <f>_xlfn.XLOOKUP($C2112, 'Instrument Table'!$B:$B, 'Instrument Table'!$A:$A, "")</f>
        <v>30</v>
      </c>
      <c r="G2112" s="1" t="str">
        <f>TEXT(IF($B2112 = "Retail Item", IF((ROW($A2112) - 4504 - _xlfn.XMATCH($C2112, $C$4506:$C$5005, 0, 1)) &lt;= VLOOKUP($C2112, 'Instrument Table'!$B:$D, 3, FALSE), ROW($A2112) - 4504 - _xlfn.XMATCH($C2112, $C$4506:$C$5005, 0, 1), 0), 0), "00")</f>
        <v>00</v>
      </c>
      <c r="H2112" s="1" t="str">
        <f t="shared" si="193"/>
        <v>356</v>
      </c>
      <c r="I2112" s="1" t="str">
        <f t="shared" si="194"/>
        <v>13000-356</v>
      </c>
      <c r="J2112" s="1" t="str">
        <f t="shared" si="195"/>
        <v>Clarinet production item #356</v>
      </c>
      <c r="K2112" s="1" t="str">
        <f>IF(SUM(COUNTIFS(I:I, I2112)) &gt; 1, "DUPLICATE", "UNIQUE")</f>
        <v>UNIQUE</v>
      </c>
      <c r="L2112" s="18">
        <v>0</v>
      </c>
      <c r="M2112" s="28">
        <v>78</v>
      </c>
      <c r="N2112" s="6">
        <v>0</v>
      </c>
      <c r="O2112" s="30">
        <f t="shared" si="196"/>
        <v>0</v>
      </c>
      <c r="P2112" s="30">
        <f t="shared" si="197"/>
        <v>0</v>
      </c>
      <c r="Q2112" s="1">
        <f>COUNTIFS($P:$P, "&gt;" &amp; $P2112) + 1</f>
        <v>4746</v>
      </c>
      <c r="R2112" s="63">
        <f>(COUNTIFS($P:$P, "&gt;" &amp; $P2112) + 1) / (COUNTA($I:$I) - 1)</f>
        <v>0.94920000000000004</v>
      </c>
      <c r="S2112" s="23">
        <f>SUMIFS($P:$P, $Q:$Q, "&lt;" &amp; $Q2112)</f>
        <v>186547861</v>
      </c>
    </row>
    <row r="2113" spans="1:19" x14ac:dyDescent="0.25">
      <c r="A2113" s="1">
        <v>2108</v>
      </c>
      <c r="B2113" s="1" t="s">
        <v>2</v>
      </c>
      <c r="C2113" s="1" t="str">
        <f>IF($B2113 = "Production Item", _xlfn.XLOOKUP($A2113, 'Instrument Table'!$J:$J, 'Instrument Table'!$B:$B, $C2112), IF($B2113 = "Service Item", _xlfn.XLOOKUP($A2113, 'Instrument Table'!$I:$I, 'Instrument Table'!$B:$B, $C2112), _xlfn.XLOOKUP($A2113, 'Instrument Table'!$H:$H, 'Instrument Table'!$B:$B, $C2112)))</f>
        <v>Clarinet</v>
      </c>
      <c r="D2113" s="1" t="str">
        <f>VLOOKUP($C2113, 'Instrument Table'!$B:$C, 2, FALSE)</f>
        <v>Woodwinds</v>
      </c>
      <c r="E2113" s="1">
        <f t="shared" si="192"/>
        <v>1</v>
      </c>
      <c r="F2113" s="1">
        <f>_xlfn.XLOOKUP($C2113, 'Instrument Table'!$B:$B, 'Instrument Table'!$A:$A, "")</f>
        <v>30</v>
      </c>
      <c r="G2113" s="1" t="str">
        <f>TEXT(IF($B2113 = "Retail Item", IF((ROW($A2113) - 4504 - _xlfn.XMATCH($C2113, $C$4506:$C$5005, 0, 1)) &lt;= VLOOKUP($C2113, 'Instrument Table'!$B:$D, 3, FALSE), ROW($A2113) - 4504 - _xlfn.XMATCH($C2113, $C$4506:$C$5005, 0, 1), 0), 0), "00")</f>
        <v>00</v>
      </c>
      <c r="H2113" s="1" t="str">
        <f t="shared" si="193"/>
        <v>357</v>
      </c>
      <c r="I2113" s="1" t="str">
        <f t="shared" si="194"/>
        <v>13000-357</v>
      </c>
      <c r="J2113" s="1" t="str">
        <f t="shared" si="195"/>
        <v>Clarinet production item #357</v>
      </c>
      <c r="K2113" s="1" t="str">
        <f>IF(SUM(COUNTIFS(I:I, I2113)) &gt; 1, "DUPLICATE", "UNIQUE")</f>
        <v>UNIQUE</v>
      </c>
      <c r="L2113" s="18">
        <v>1</v>
      </c>
      <c r="M2113" s="28">
        <v>83</v>
      </c>
      <c r="N2113" s="6">
        <v>9</v>
      </c>
      <c r="O2113" s="30">
        <f t="shared" si="196"/>
        <v>83</v>
      </c>
      <c r="P2113" s="30">
        <f t="shared" si="197"/>
        <v>747</v>
      </c>
      <c r="Q2113" s="1">
        <f>COUNTIFS($P:$P, "&gt;" &amp; $P2113) + 1</f>
        <v>3832</v>
      </c>
      <c r="R2113" s="63">
        <f>(COUNTIFS($P:$P, "&gt;" &amp; $P2113) + 1) / (COUNTA($I:$I) - 1)</f>
        <v>0.76639999999999997</v>
      </c>
      <c r="S2113" s="23">
        <f>SUMIFS($P:$P, $Q:$Q, "&lt;" &amp; $Q2113)</f>
        <v>186290258</v>
      </c>
    </row>
    <row r="2114" spans="1:19" x14ac:dyDescent="0.25">
      <c r="A2114" s="1">
        <v>2109</v>
      </c>
      <c r="B2114" s="1" t="s">
        <v>2</v>
      </c>
      <c r="C2114" s="1" t="str">
        <f>IF($B2114 = "Production Item", _xlfn.XLOOKUP($A2114, 'Instrument Table'!$J:$J, 'Instrument Table'!$B:$B, $C2113), IF($B2114 = "Service Item", _xlfn.XLOOKUP($A2114, 'Instrument Table'!$I:$I, 'Instrument Table'!$B:$B, $C2113), _xlfn.XLOOKUP($A2114, 'Instrument Table'!$H:$H, 'Instrument Table'!$B:$B, $C2113)))</f>
        <v>Clarinet</v>
      </c>
      <c r="D2114" s="1" t="str">
        <f>VLOOKUP($C2114, 'Instrument Table'!$B:$C, 2, FALSE)</f>
        <v>Woodwinds</v>
      </c>
      <c r="E2114" s="1">
        <f t="shared" si="192"/>
        <v>1</v>
      </c>
      <c r="F2114" s="1">
        <f>_xlfn.XLOOKUP($C2114, 'Instrument Table'!$B:$B, 'Instrument Table'!$A:$A, "")</f>
        <v>30</v>
      </c>
      <c r="G2114" s="1" t="str">
        <f>TEXT(IF($B2114 = "Retail Item", IF((ROW($A2114) - 4504 - _xlfn.XMATCH($C2114, $C$4506:$C$5005, 0, 1)) &lt;= VLOOKUP($C2114, 'Instrument Table'!$B:$D, 3, FALSE), ROW($A2114) - 4504 - _xlfn.XMATCH($C2114, $C$4506:$C$5005, 0, 1), 0), 0), "00")</f>
        <v>00</v>
      </c>
      <c r="H2114" s="1" t="str">
        <f t="shared" si="193"/>
        <v>358</v>
      </c>
      <c r="I2114" s="1" t="str">
        <f t="shared" si="194"/>
        <v>13000-358</v>
      </c>
      <c r="J2114" s="1" t="str">
        <f t="shared" si="195"/>
        <v>Clarinet production item #358</v>
      </c>
      <c r="K2114" s="1" t="str">
        <f>IF(SUM(COUNTIFS(I:I, I2114)) &gt; 1, "DUPLICATE", "UNIQUE")</f>
        <v>UNIQUE</v>
      </c>
      <c r="L2114" s="18">
        <v>8</v>
      </c>
      <c r="M2114" s="28">
        <v>9</v>
      </c>
      <c r="N2114" s="6">
        <v>4</v>
      </c>
      <c r="O2114" s="30">
        <f t="shared" si="196"/>
        <v>72</v>
      </c>
      <c r="P2114" s="30">
        <f t="shared" si="197"/>
        <v>36</v>
      </c>
      <c r="Q2114" s="1">
        <f>COUNTIFS($P:$P, "&gt;" &amp; $P2114) + 1</f>
        <v>4650</v>
      </c>
      <c r="R2114" s="63">
        <f>(COUNTIFS($P:$P, "&gt;" &amp; $P2114) + 1) / (COUNTA($I:$I) - 1)</f>
        <v>0.93</v>
      </c>
      <c r="S2114" s="23">
        <f>SUMIFS($P:$P, $Q:$Q, "&lt;" &amp; $Q2114)</f>
        <v>186546024</v>
      </c>
    </row>
    <row r="2115" spans="1:19" x14ac:dyDescent="0.25">
      <c r="A2115" s="1">
        <v>2110</v>
      </c>
      <c r="B2115" s="1" t="s">
        <v>2</v>
      </c>
      <c r="C2115" s="1" t="str">
        <f>IF($B2115 = "Production Item", _xlfn.XLOOKUP($A2115, 'Instrument Table'!$J:$J, 'Instrument Table'!$B:$B, $C2114), IF($B2115 = "Service Item", _xlfn.XLOOKUP($A2115, 'Instrument Table'!$I:$I, 'Instrument Table'!$B:$B, $C2114), _xlfn.XLOOKUP($A2115, 'Instrument Table'!$H:$H, 'Instrument Table'!$B:$B, $C2114)))</f>
        <v>Clarinet</v>
      </c>
      <c r="D2115" s="1" t="str">
        <f>VLOOKUP($C2115, 'Instrument Table'!$B:$C, 2, FALSE)</f>
        <v>Woodwinds</v>
      </c>
      <c r="E2115" s="1">
        <f t="shared" si="192"/>
        <v>1</v>
      </c>
      <c r="F2115" s="1">
        <f>_xlfn.XLOOKUP($C2115, 'Instrument Table'!$B:$B, 'Instrument Table'!$A:$A, "")</f>
        <v>30</v>
      </c>
      <c r="G2115" s="1" t="str">
        <f>TEXT(IF($B2115 = "Retail Item", IF((ROW($A2115) - 4504 - _xlfn.XMATCH($C2115, $C$4506:$C$5005, 0, 1)) &lt;= VLOOKUP($C2115, 'Instrument Table'!$B:$D, 3, FALSE), ROW($A2115) - 4504 - _xlfn.XMATCH($C2115, $C$4506:$C$5005, 0, 1), 0), 0), "00")</f>
        <v>00</v>
      </c>
      <c r="H2115" s="1" t="str">
        <f t="shared" si="193"/>
        <v>359</v>
      </c>
      <c r="I2115" s="1" t="str">
        <f t="shared" si="194"/>
        <v>13000-359</v>
      </c>
      <c r="J2115" s="1" t="str">
        <f t="shared" si="195"/>
        <v>Clarinet production item #359</v>
      </c>
      <c r="K2115" s="1" t="str">
        <f>IF(SUM(COUNTIFS(I:I, I2115)) &gt; 1, "DUPLICATE", "UNIQUE")</f>
        <v>UNIQUE</v>
      </c>
      <c r="L2115" s="18">
        <v>1</v>
      </c>
      <c r="M2115" s="28">
        <v>12</v>
      </c>
      <c r="N2115" s="6">
        <v>225</v>
      </c>
      <c r="O2115" s="30">
        <f t="shared" si="196"/>
        <v>12</v>
      </c>
      <c r="P2115" s="30">
        <f t="shared" si="197"/>
        <v>2700</v>
      </c>
      <c r="Q2115" s="1">
        <f>COUNTIFS($P:$P, "&gt;" &amp; $P2115) + 1</f>
        <v>2983</v>
      </c>
      <c r="R2115" s="63">
        <f>(COUNTIFS($P:$P, "&gt;" &amp; $P2115) + 1) / (COUNTA($I:$I) - 1)</f>
        <v>0.59660000000000002</v>
      </c>
      <c r="S2115" s="23">
        <f>SUMIFS($P:$P, $Q:$Q, "&lt;" &amp; $Q2115)</f>
        <v>184886582</v>
      </c>
    </row>
    <row r="2116" spans="1:19" x14ac:dyDescent="0.25">
      <c r="A2116" s="1">
        <v>2111</v>
      </c>
      <c r="B2116" s="1" t="s">
        <v>2</v>
      </c>
      <c r="C2116" s="1" t="str">
        <f>IF($B2116 = "Production Item", _xlfn.XLOOKUP($A2116, 'Instrument Table'!$J:$J, 'Instrument Table'!$B:$B, $C2115), IF($B2116 = "Service Item", _xlfn.XLOOKUP($A2116, 'Instrument Table'!$I:$I, 'Instrument Table'!$B:$B, $C2115), _xlfn.XLOOKUP($A2116, 'Instrument Table'!$H:$H, 'Instrument Table'!$B:$B, $C2115)))</f>
        <v>Clarinet</v>
      </c>
      <c r="D2116" s="1" t="str">
        <f>VLOOKUP($C2116, 'Instrument Table'!$B:$C, 2, FALSE)</f>
        <v>Woodwinds</v>
      </c>
      <c r="E2116" s="1">
        <f t="shared" si="192"/>
        <v>1</v>
      </c>
      <c r="F2116" s="1">
        <f>_xlfn.XLOOKUP($C2116, 'Instrument Table'!$B:$B, 'Instrument Table'!$A:$A, "")</f>
        <v>30</v>
      </c>
      <c r="G2116" s="1" t="str">
        <f>TEXT(IF($B2116 = "Retail Item", IF((ROW($A2116) - 4504 - _xlfn.XMATCH($C2116, $C$4506:$C$5005, 0, 1)) &lt;= VLOOKUP($C2116, 'Instrument Table'!$B:$D, 3, FALSE), ROW($A2116) - 4504 - _xlfn.XMATCH($C2116, $C$4506:$C$5005, 0, 1), 0), 0), "00")</f>
        <v>00</v>
      </c>
      <c r="H2116" s="1" t="str">
        <f t="shared" si="193"/>
        <v>360</v>
      </c>
      <c r="I2116" s="1" t="str">
        <f t="shared" si="194"/>
        <v>13000-360</v>
      </c>
      <c r="J2116" s="1" t="str">
        <f t="shared" si="195"/>
        <v>Clarinet production item #360</v>
      </c>
      <c r="K2116" s="1" t="str">
        <f>IF(SUM(COUNTIFS(I:I, I2116)) &gt; 1, "DUPLICATE", "UNIQUE")</f>
        <v>UNIQUE</v>
      </c>
      <c r="L2116" s="18">
        <v>1</v>
      </c>
      <c r="M2116" s="28">
        <v>56</v>
      </c>
      <c r="N2116" s="6">
        <v>225</v>
      </c>
      <c r="O2116" s="30">
        <f t="shared" si="196"/>
        <v>56</v>
      </c>
      <c r="P2116" s="30">
        <f t="shared" si="197"/>
        <v>12600</v>
      </c>
      <c r="Q2116" s="1">
        <f>COUNTIFS($P:$P, "&gt;" &amp; $P2116) + 1</f>
        <v>1535</v>
      </c>
      <c r="R2116" s="63">
        <f>(COUNTIFS($P:$P, "&gt;" &amp; $P2116) + 1) / (COUNTA($I:$I) - 1)</f>
        <v>0.307</v>
      </c>
      <c r="S2116" s="23">
        <f>SUMIFS($P:$P, $Q:$Q, "&lt;" &amp; $Q2116)</f>
        <v>175287885</v>
      </c>
    </row>
    <row r="2117" spans="1:19" x14ac:dyDescent="0.25">
      <c r="A2117" s="1">
        <v>2112</v>
      </c>
      <c r="B2117" s="1" t="s">
        <v>2</v>
      </c>
      <c r="C2117" s="1" t="str">
        <f>IF($B2117 = "Production Item", _xlfn.XLOOKUP($A2117, 'Instrument Table'!$J:$J, 'Instrument Table'!$B:$B, $C2116), IF($B2117 = "Service Item", _xlfn.XLOOKUP($A2117, 'Instrument Table'!$I:$I, 'Instrument Table'!$B:$B, $C2116), _xlfn.XLOOKUP($A2117, 'Instrument Table'!$H:$H, 'Instrument Table'!$B:$B, $C2116)))</f>
        <v>Clarinet</v>
      </c>
      <c r="D2117" s="1" t="str">
        <f>VLOOKUP($C2117, 'Instrument Table'!$B:$C, 2, FALSE)</f>
        <v>Woodwinds</v>
      </c>
      <c r="E2117" s="1">
        <f t="shared" si="192"/>
        <v>1</v>
      </c>
      <c r="F2117" s="1">
        <f>_xlfn.XLOOKUP($C2117, 'Instrument Table'!$B:$B, 'Instrument Table'!$A:$A, "")</f>
        <v>30</v>
      </c>
      <c r="G2117" s="1" t="str">
        <f>TEXT(IF($B2117 = "Retail Item", IF((ROW($A2117) - 4504 - _xlfn.XMATCH($C2117, $C$4506:$C$5005, 0, 1)) &lt;= VLOOKUP($C2117, 'Instrument Table'!$B:$D, 3, FALSE), ROW($A2117) - 4504 - _xlfn.XMATCH($C2117, $C$4506:$C$5005, 0, 1), 0), 0), "00")</f>
        <v>00</v>
      </c>
      <c r="H2117" s="1" t="str">
        <f t="shared" si="193"/>
        <v>361</v>
      </c>
      <c r="I2117" s="1" t="str">
        <f t="shared" si="194"/>
        <v>13000-361</v>
      </c>
      <c r="J2117" s="1" t="str">
        <f t="shared" si="195"/>
        <v>Clarinet production item #361</v>
      </c>
      <c r="K2117" s="1" t="str">
        <f>IF(SUM(COUNTIFS(I:I, I2117)) &gt; 1, "DUPLICATE", "UNIQUE")</f>
        <v>UNIQUE</v>
      </c>
      <c r="L2117" s="18">
        <v>8</v>
      </c>
      <c r="M2117" s="28">
        <v>25</v>
      </c>
      <c r="N2117" s="6">
        <v>64</v>
      </c>
      <c r="O2117" s="30">
        <f t="shared" si="196"/>
        <v>200</v>
      </c>
      <c r="P2117" s="30">
        <f t="shared" si="197"/>
        <v>1600</v>
      </c>
      <c r="Q2117" s="1">
        <f>COUNTIFS($P:$P, "&gt;" &amp; $P2117) + 1</f>
        <v>3401</v>
      </c>
      <c r="R2117" s="63">
        <f>(COUNTIFS($P:$P, "&gt;" &amp; $P2117) + 1) / (COUNTA($I:$I) - 1)</f>
        <v>0.68020000000000003</v>
      </c>
      <c r="S2117" s="23">
        <f>SUMIFS($P:$P, $Q:$Q, "&lt;" &amp; $Q2117)</f>
        <v>185786623</v>
      </c>
    </row>
    <row r="2118" spans="1:19" x14ac:dyDescent="0.25">
      <c r="A2118" s="1">
        <v>2113</v>
      </c>
      <c r="B2118" s="1" t="s">
        <v>2</v>
      </c>
      <c r="C2118" s="1" t="str">
        <f>IF($B2118 = "Production Item", _xlfn.XLOOKUP($A2118, 'Instrument Table'!$J:$J, 'Instrument Table'!$B:$B, $C2117), IF($B2118 = "Service Item", _xlfn.XLOOKUP($A2118, 'Instrument Table'!$I:$I, 'Instrument Table'!$B:$B, $C2117), _xlfn.XLOOKUP($A2118, 'Instrument Table'!$H:$H, 'Instrument Table'!$B:$B, $C2117)))</f>
        <v>Clarinet</v>
      </c>
      <c r="D2118" s="1" t="str">
        <f>VLOOKUP($C2118, 'Instrument Table'!$B:$C, 2, FALSE)</f>
        <v>Woodwinds</v>
      </c>
      <c r="E2118" s="1">
        <f t="shared" si="192"/>
        <v>1</v>
      </c>
      <c r="F2118" s="1">
        <f>_xlfn.XLOOKUP($C2118, 'Instrument Table'!$B:$B, 'Instrument Table'!$A:$A, "")</f>
        <v>30</v>
      </c>
      <c r="G2118" s="1" t="str">
        <f>TEXT(IF($B2118 = "Retail Item", IF((ROW($A2118) - 4504 - _xlfn.XMATCH($C2118, $C$4506:$C$5005, 0, 1)) &lt;= VLOOKUP($C2118, 'Instrument Table'!$B:$D, 3, FALSE), ROW($A2118) - 4504 - _xlfn.XMATCH($C2118, $C$4506:$C$5005, 0, 1), 0), 0), "00")</f>
        <v>00</v>
      </c>
      <c r="H2118" s="1" t="str">
        <f t="shared" si="193"/>
        <v>362</v>
      </c>
      <c r="I2118" s="1" t="str">
        <f t="shared" si="194"/>
        <v>13000-362</v>
      </c>
      <c r="J2118" s="1" t="str">
        <f t="shared" si="195"/>
        <v>Clarinet production item #362</v>
      </c>
      <c r="K2118" s="1" t="str">
        <f>IF(SUM(COUNTIFS(I:I, I2118)) &gt; 1, "DUPLICATE", "UNIQUE")</f>
        <v>UNIQUE</v>
      </c>
      <c r="L2118" s="18">
        <v>2</v>
      </c>
      <c r="M2118" s="28">
        <v>18</v>
      </c>
      <c r="N2118" s="6">
        <v>169</v>
      </c>
      <c r="O2118" s="30">
        <f t="shared" si="196"/>
        <v>36</v>
      </c>
      <c r="P2118" s="30">
        <f t="shared" si="197"/>
        <v>3042</v>
      </c>
      <c r="Q2118" s="1">
        <f>COUNTIFS($P:$P, "&gt;" &amp; $P2118) + 1</f>
        <v>2893</v>
      </c>
      <c r="R2118" s="63">
        <f>(COUNTIFS($P:$P, "&gt;" &amp; $P2118) + 1) / (COUNTA($I:$I) - 1)</f>
        <v>0.5786</v>
      </c>
      <c r="S2118" s="23">
        <f>SUMIFS($P:$P, $Q:$Q, "&lt;" &amp; $Q2118)</f>
        <v>184626973</v>
      </c>
    </row>
    <row r="2119" spans="1:19" x14ac:dyDescent="0.25">
      <c r="A2119" s="1">
        <v>2114</v>
      </c>
      <c r="B2119" s="1" t="s">
        <v>2</v>
      </c>
      <c r="C2119" s="1" t="str">
        <f>IF($B2119 = "Production Item", _xlfn.XLOOKUP($A2119, 'Instrument Table'!$J:$J, 'Instrument Table'!$B:$B, $C2118), IF($B2119 = "Service Item", _xlfn.XLOOKUP($A2119, 'Instrument Table'!$I:$I, 'Instrument Table'!$B:$B, $C2118), _xlfn.XLOOKUP($A2119, 'Instrument Table'!$H:$H, 'Instrument Table'!$B:$B, $C2118)))</f>
        <v>Clarinet</v>
      </c>
      <c r="D2119" s="1" t="str">
        <f>VLOOKUP($C2119, 'Instrument Table'!$B:$C, 2, FALSE)</f>
        <v>Woodwinds</v>
      </c>
      <c r="E2119" s="1">
        <f t="shared" ref="E2119:E2182" si="198">IF($B2119 = "Production Item", 1, IF($B2119 = "Service Item", 2, IF($B2119 = "Retail Item", 3, "")))</f>
        <v>1</v>
      </c>
      <c r="F2119" s="1">
        <f>_xlfn.XLOOKUP($C2119, 'Instrument Table'!$B:$B, 'Instrument Table'!$A:$A, "")</f>
        <v>30</v>
      </c>
      <c r="G2119" s="1" t="str">
        <f>TEXT(IF($B2119 = "Retail Item", IF((ROW($A2119) - 4504 - _xlfn.XMATCH($C2119, $C$4506:$C$5005, 0, 1)) &lt;= VLOOKUP($C2119, 'Instrument Table'!$B:$D, 3, FALSE), ROW($A2119) - 4504 - _xlfn.XMATCH($C2119, $C$4506:$C$5005, 0, 1), 0), 0), "00")</f>
        <v>00</v>
      </c>
      <c r="H2119" s="1" t="str">
        <f t="shared" ref="H2119:H2182" si="199">TEXT(IF($E2119 &amp; $F2119 &amp; $G2119 = $E2118 &amp; $F2118 &amp; $G2118, 1 + H2118, 0), "000")</f>
        <v>363</v>
      </c>
      <c r="I2119" s="1" t="str">
        <f t="shared" ref="I2119:I2182" si="200" xml:space="preserve"> _xlfn.CONCAT($E2119, $F2119, $G2119, "-", H2119)</f>
        <v>13000-363</v>
      </c>
      <c r="J2119" s="1" t="str">
        <f t="shared" ref="J2119:J2182" si="201">LEFT($C2119, 1) &amp; LOWER(RIGHT($C2119, LEN($C2119) - 1)) &amp; IF(AND($G2119 &lt;&gt; "00", $B2119 = "Retail Item"), " model #" &amp; $G2119, " " &amp; LOWER($B2119) &amp; " #" &amp; $H2119)</f>
        <v>Clarinet production item #363</v>
      </c>
      <c r="K2119" s="1" t="str">
        <f>IF(SUM(COUNTIFS(I:I, I2119)) &gt; 1, "DUPLICATE", "UNIQUE")</f>
        <v>UNIQUE</v>
      </c>
      <c r="L2119" s="18">
        <v>1</v>
      </c>
      <c r="M2119" s="28">
        <v>66</v>
      </c>
      <c r="N2119" s="6">
        <v>100</v>
      </c>
      <c r="O2119" s="30">
        <f t="shared" ref="O2119:O2182" si="202">$L2119 * $M2119</f>
        <v>66</v>
      </c>
      <c r="P2119" s="30">
        <f t="shared" ref="P2119:P2182" si="203">$N2119 * $M2119</f>
        <v>6600</v>
      </c>
      <c r="Q2119" s="1">
        <f>COUNTIFS($P:$P, "&gt;" &amp; $P2119) + 1</f>
        <v>2196</v>
      </c>
      <c r="R2119" s="63">
        <f>(COUNTIFS($P:$P, "&gt;" &amp; $P2119) + 1) / (COUNTA($I:$I) - 1)</f>
        <v>0.43919999999999998</v>
      </c>
      <c r="S2119" s="23">
        <f>SUMIFS($P:$P, $Q:$Q, "&lt;" &amp; $Q2119)</f>
        <v>181425079</v>
      </c>
    </row>
    <row r="2120" spans="1:19" x14ac:dyDescent="0.25">
      <c r="A2120" s="1">
        <v>2115</v>
      </c>
      <c r="B2120" s="1" t="s">
        <v>2</v>
      </c>
      <c r="C2120" s="1" t="str">
        <f>IF($B2120 = "Production Item", _xlfn.XLOOKUP($A2120, 'Instrument Table'!$J:$J, 'Instrument Table'!$B:$B, $C2119), IF($B2120 = "Service Item", _xlfn.XLOOKUP($A2120, 'Instrument Table'!$I:$I, 'Instrument Table'!$B:$B, $C2119), _xlfn.XLOOKUP($A2120, 'Instrument Table'!$H:$H, 'Instrument Table'!$B:$B, $C2119)))</f>
        <v>Clarinet</v>
      </c>
      <c r="D2120" s="1" t="str">
        <f>VLOOKUP($C2120, 'Instrument Table'!$B:$C, 2, FALSE)</f>
        <v>Woodwinds</v>
      </c>
      <c r="E2120" s="1">
        <f t="shared" si="198"/>
        <v>1</v>
      </c>
      <c r="F2120" s="1">
        <f>_xlfn.XLOOKUP($C2120, 'Instrument Table'!$B:$B, 'Instrument Table'!$A:$A, "")</f>
        <v>30</v>
      </c>
      <c r="G2120" s="1" t="str">
        <f>TEXT(IF($B2120 = "Retail Item", IF((ROW($A2120) - 4504 - _xlfn.XMATCH($C2120, $C$4506:$C$5005, 0, 1)) &lt;= VLOOKUP($C2120, 'Instrument Table'!$B:$D, 3, FALSE), ROW($A2120) - 4504 - _xlfn.XMATCH($C2120, $C$4506:$C$5005, 0, 1), 0), 0), "00")</f>
        <v>00</v>
      </c>
      <c r="H2120" s="1" t="str">
        <f t="shared" si="199"/>
        <v>364</v>
      </c>
      <c r="I2120" s="1" t="str">
        <f t="shared" si="200"/>
        <v>13000-364</v>
      </c>
      <c r="J2120" s="1" t="str">
        <f t="shared" si="201"/>
        <v>Clarinet production item #364</v>
      </c>
      <c r="K2120" s="1" t="str">
        <f>IF(SUM(COUNTIFS(I:I, I2120)) &gt; 1, "DUPLICATE", "UNIQUE")</f>
        <v>UNIQUE</v>
      </c>
      <c r="L2120" s="18">
        <v>0</v>
      </c>
      <c r="M2120" s="28">
        <v>45</v>
      </c>
      <c r="N2120" s="6">
        <v>361</v>
      </c>
      <c r="O2120" s="30">
        <f t="shared" si="202"/>
        <v>0</v>
      </c>
      <c r="P2120" s="30">
        <f t="shared" si="203"/>
        <v>16245</v>
      </c>
      <c r="Q2120" s="1">
        <f>COUNTIFS($P:$P, "&gt;" &amp; $P2120) + 1</f>
        <v>1260</v>
      </c>
      <c r="R2120" s="63">
        <f>(COUNTIFS($P:$P, "&gt;" &amp; $P2120) + 1) / (COUNTA($I:$I) - 1)</f>
        <v>0.252</v>
      </c>
      <c r="S2120" s="23">
        <f>SUMIFS($P:$P, $Q:$Q, "&lt;" &amp; $Q2120)</f>
        <v>171333152</v>
      </c>
    </row>
    <row r="2121" spans="1:19" x14ac:dyDescent="0.25">
      <c r="A2121" s="1">
        <v>2116</v>
      </c>
      <c r="B2121" s="1" t="s">
        <v>2</v>
      </c>
      <c r="C2121" s="1" t="str">
        <f>IF($B2121 = "Production Item", _xlfn.XLOOKUP($A2121, 'Instrument Table'!$J:$J, 'Instrument Table'!$B:$B, $C2120), IF($B2121 = "Service Item", _xlfn.XLOOKUP($A2121, 'Instrument Table'!$I:$I, 'Instrument Table'!$B:$B, $C2120), _xlfn.XLOOKUP($A2121, 'Instrument Table'!$H:$H, 'Instrument Table'!$B:$B, $C2120)))</f>
        <v>Clarinet</v>
      </c>
      <c r="D2121" s="1" t="str">
        <f>VLOOKUP($C2121, 'Instrument Table'!$B:$C, 2, FALSE)</f>
        <v>Woodwinds</v>
      </c>
      <c r="E2121" s="1">
        <f t="shared" si="198"/>
        <v>1</v>
      </c>
      <c r="F2121" s="1">
        <f>_xlfn.XLOOKUP($C2121, 'Instrument Table'!$B:$B, 'Instrument Table'!$A:$A, "")</f>
        <v>30</v>
      </c>
      <c r="G2121" s="1" t="str">
        <f>TEXT(IF($B2121 = "Retail Item", IF((ROW($A2121) - 4504 - _xlfn.XMATCH($C2121, $C$4506:$C$5005, 0, 1)) &lt;= VLOOKUP($C2121, 'Instrument Table'!$B:$D, 3, FALSE), ROW($A2121) - 4504 - _xlfn.XMATCH($C2121, $C$4506:$C$5005, 0, 1), 0), 0), "00")</f>
        <v>00</v>
      </c>
      <c r="H2121" s="1" t="str">
        <f t="shared" si="199"/>
        <v>365</v>
      </c>
      <c r="I2121" s="1" t="str">
        <f t="shared" si="200"/>
        <v>13000-365</v>
      </c>
      <c r="J2121" s="1" t="str">
        <f t="shared" si="201"/>
        <v>Clarinet production item #365</v>
      </c>
      <c r="K2121" s="1" t="str">
        <f>IF(SUM(COUNTIFS(I:I, I2121)) &gt; 1, "DUPLICATE", "UNIQUE")</f>
        <v>UNIQUE</v>
      </c>
      <c r="L2121" s="18">
        <v>1</v>
      </c>
      <c r="M2121" s="28">
        <v>95</v>
      </c>
      <c r="N2121" s="6">
        <v>9</v>
      </c>
      <c r="O2121" s="30">
        <f t="shared" si="202"/>
        <v>95</v>
      </c>
      <c r="P2121" s="30">
        <f t="shared" si="203"/>
        <v>855</v>
      </c>
      <c r="Q2121" s="1">
        <f>COUNTIFS($P:$P, "&gt;" &amp; $P2121) + 1</f>
        <v>3757</v>
      </c>
      <c r="R2121" s="63">
        <f>(COUNTIFS($P:$P, "&gt;" &amp; $P2121) + 1) / (COUNTA($I:$I) - 1)</f>
        <v>0.75139999999999996</v>
      </c>
      <c r="S2121" s="23">
        <f>SUMIFS($P:$P, $Q:$Q, "&lt;" &amp; $Q2121)</f>
        <v>186230229</v>
      </c>
    </row>
    <row r="2122" spans="1:19" x14ac:dyDescent="0.25">
      <c r="A2122" s="1">
        <v>2117</v>
      </c>
      <c r="B2122" s="1" t="s">
        <v>2</v>
      </c>
      <c r="C2122" s="1" t="str">
        <f>IF($B2122 = "Production Item", _xlfn.XLOOKUP($A2122, 'Instrument Table'!$J:$J, 'Instrument Table'!$B:$B, $C2121), IF($B2122 = "Service Item", _xlfn.XLOOKUP($A2122, 'Instrument Table'!$I:$I, 'Instrument Table'!$B:$B, $C2121), _xlfn.XLOOKUP($A2122, 'Instrument Table'!$H:$H, 'Instrument Table'!$B:$B, $C2121)))</f>
        <v>Clarinet</v>
      </c>
      <c r="D2122" s="1" t="str">
        <f>VLOOKUP($C2122, 'Instrument Table'!$B:$C, 2, FALSE)</f>
        <v>Woodwinds</v>
      </c>
      <c r="E2122" s="1">
        <f t="shared" si="198"/>
        <v>1</v>
      </c>
      <c r="F2122" s="1">
        <f>_xlfn.XLOOKUP($C2122, 'Instrument Table'!$B:$B, 'Instrument Table'!$A:$A, "")</f>
        <v>30</v>
      </c>
      <c r="G2122" s="1" t="str">
        <f>TEXT(IF($B2122 = "Retail Item", IF((ROW($A2122) - 4504 - _xlfn.XMATCH($C2122, $C$4506:$C$5005, 0, 1)) &lt;= VLOOKUP($C2122, 'Instrument Table'!$B:$D, 3, FALSE), ROW($A2122) - 4504 - _xlfn.XMATCH($C2122, $C$4506:$C$5005, 0, 1), 0), 0), "00")</f>
        <v>00</v>
      </c>
      <c r="H2122" s="1" t="str">
        <f t="shared" si="199"/>
        <v>366</v>
      </c>
      <c r="I2122" s="1" t="str">
        <f t="shared" si="200"/>
        <v>13000-366</v>
      </c>
      <c r="J2122" s="1" t="str">
        <f t="shared" si="201"/>
        <v>Clarinet production item #366</v>
      </c>
      <c r="K2122" s="1" t="str">
        <f>IF(SUM(COUNTIFS(I:I, I2122)) &gt; 1, "DUPLICATE", "UNIQUE")</f>
        <v>UNIQUE</v>
      </c>
      <c r="L2122" s="18">
        <v>1</v>
      </c>
      <c r="M2122" s="28">
        <v>78</v>
      </c>
      <c r="N2122" s="6">
        <v>400</v>
      </c>
      <c r="O2122" s="30">
        <f t="shared" si="202"/>
        <v>78</v>
      </c>
      <c r="P2122" s="30">
        <f t="shared" si="203"/>
        <v>31200</v>
      </c>
      <c r="Q2122" s="1">
        <f>COUNTIFS($P:$P, "&gt;" &amp; $P2122) + 1</f>
        <v>666</v>
      </c>
      <c r="R2122" s="63">
        <f>(COUNTIFS($P:$P, "&gt;" &amp; $P2122) + 1) / (COUNTA($I:$I) - 1)</f>
        <v>0.13320000000000001</v>
      </c>
      <c r="S2122" s="23">
        <f>SUMIFS($P:$P, $Q:$Q, "&lt;" &amp; $Q2122)</f>
        <v>158051627</v>
      </c>
    </row>
    <row r="2123" spans="1:19" x14ac:dyDescent="0.25">
      <c r="A2123" s="1">
        <v>2118</v>
      </c>
      <c r="B2123" s="1" t="s">
        <v>2</v>
      </c>
      <c r="C2123" s="1" t="str">
        <f>IF($B2123 = "Production Item", _xlfn.XLOOKUP($A2123, 'Instrument Table'!$J:$J, 'Instrument Table'!$B:$B, $C2122), IF($B2123 = "Service Item", _xlfn.XLOOKUP($A2123, 'Instrument Table'!$I:$I, 'Instrument Table'!$B:$B, $C2122), _xlfn.XLOOKUP($A2123, 'Instrument Table'!$H:$H, 'Instrument Table'!$B:$B, $C2122)))</f>
        <v>Clarinet</v>
      </c>
      <c r="D2123" s="1" t="str">
        <f>VLOOKUP($C2123, 'Instrument Table'!$B:$C, 2, FALSE)</f>
        <v>Woodwinds</v>
      </c>
      <c r="E2123" s="1">
        <f t="shared" si="198"/>
        <v>1</v>
      </c>
      <c r="F2123" s="1">
        <f>_xlfn.XLOOKUP($C2123, 'Instrument Table'!$B:$B, 'Instrument Table'!$A:$A, "")</f>
        <v>30</v>
      </c>
      <c r="G2123" s="1" t="str">
        <f>TEXT(IF($B2123 = "Retail Item", IF((ROW($A2123) - 4504 - _xlfn.XMATCH($C2123, $C$4506:$C$5005, 0, 1)) &lt;= VLOOKUP($C2123, 'Instrument Table'!$B:$D, 3, FALSE), ROW($A2123) - 4504 - _xlfn.XMATCH($C2123, $C$4506:$C$5005, 0, 1), 0), 0), "00")</f>
        <v>00</v>
      </c>
      <c r="H2123" s="1" t="str">
        <f t="shared" si="199"/>
        <v>367</v>
      </c>
      <c r="I2123" s="1" t="str">
        <f t="shared" si="200"/>
        <v>13000-367</v>
      </c>
      <c r="J2123" s="1" t="str">
        <f t="shared" si="201"/>
        <v>Clarinet production item #367</v>
      </c>
      <c r="K2123" s="1" t="str">
        <f>IF(SUM(COUNTIFS(I:I, I2123)) &gt; 1, "DUPLICATE", "UNIQUE")</f>
        <v>UNIQUE</v>
      </c>
      <c r="L2123" s="18">
        <v>8</v>
      </c>
      <c r="M2123" s="28">
        <v>75</v>
      </c>
      <c r="N2123" s="6">
        <v>361</v>
      </c>
      <c r="O2123" s="30">
        <f t="shared" si="202"/>
        <v>600</v>
      </c>
      <c r="P2123" s="30">
        <f t="shared" si="203"/>
        <v>27075</v>
      </c>
      <c r="Q2123" s="1">
        <f>COUNTIFS($P:$P, "&gt;" &amp; $P2123) + 1</f>
        <v>752</v>
      </c>
      <c r="R2123" s="63">
        <f>(COUNTIFS($P:$P, "&gt;" &amp; $P2123) + 1) / (COUNTA($I:$I) - 1)</f>
        <v>0.15040000000000001</v>
      </c>
      <c r="S2123" s="23">
        <f>SUMIFS($P:$P, $Q:$Q, "&lt;" &amp; $Q2123)</f>
        <v>160559928</v>
      </c>
    </row>
    <row r="2124" spans="1:19" x14ac:dyDescent="0.25">
      <c r="A2124" s="1">
        <v>2119</v>
      </c>
      <c r="B2124" s="1" t="s">
        <v>2</v>
      </c>
      <c r="C2124" s="1" t="str">
        <f>IF($B2124 = "Production Item", _xlfn.XLOOKUP($A2124, 'Instrument Table'!$J:$J, 'Instrument Table'!$B:$B, $C2123), IF($B2124 = "Service Item", _xlfn.XLOOKUP($A2124, 'Instrument Table'!$I:$I, 'Instrument Table'!$B:$B, $C2123), _xlfn.XLOOKUP($A2124, 'Instrument Table'!$H:$H, 'Instrument Table'!$B:$B, $C2123)))</f>
        <v>Clarinet</v>
      </c>
      <c r="D2124" s="1" t="str">
        <f>VLOOKUP($C2124, 'Instrument Table'!$B:$C, 2, FALSE)</f>
        <v>Woodwinds</v>
      </c>
      <c r="E2124" s="1">
        <f t="shared" si="198"/>
        <v>1</v>
      </c>
      <c r="F2124" s="1">
        <f>_xlfn.XLOOKUP($C2124, 'Instrument Table'!$B:$B, 'Instrument Table'!$A:$A, "")</f>
        <v>30</v>
      </c>
      <c r="G2124" s="1" t="str">
        <f>TEXT(IF($B2124 = "Retail Item", IF((ROW($A2124) - 4504 - _xlfn.XMATCH($C2124, $C$4506:$C$5005, 0, 1)) &lt;= VLOOKUP($C2124, 'Instrument Table'!$B:$D, 3, FALSE), ROW($A2124) - 4504 - _xlfn.XMATCH($C2124, $C$4506:$C$5005, 0, 1), 0), 0), "00")</f>
        <v>00</v>
      </c>
      <c r="H2124" s="1" t="str">
        <f t="shared" si="199"/>
        <v>368</v>
      </c>
      <c r="I2124" s="1" t="str">
        <f t="shared" si="200"/>
        <v>13000-368</v>
      </c>
      <c r="J2124" s="1" t="str">
        <f t="shared" si="201"/>
        <v>Clarinet production item #368</v>
      </c>
      <c r="K2124" s="1" t="str">
        <f>IF(SUM(COUNTIFS(I:I, I2124)) &gt; 1, "DUPLICATE", "UNIQUE")</f>
        <v>UNIQUE</v>
      </c>
      <c r="L2124" s="18">
        <v>0</v>
      </c>
      <c r="M2124" s="28">
        <v>94</v>
      </c>
      <c r="N2124" s="6">
        <v>196</v>
      </c>
      <c r="O2124" s="30">
        <f t="shared" si="202"/>
        <v>0</v>
      </c>
      <c r="P2124" s="30">
        <f t="shared" si="203"/>
        <v>18424</v>
      </c>
      <c r="Q2124" s="1">
        <f>COUNTIFS($P:$P, "&gt;" &amp; $P2124) + 1</f>
        <v>1141</v>
      </c>
      <c r="R2124" s="63">
        <f>(COUNTIFS($P:$P, "&gt;" &amp; $P2124) + 1) / (COUNTA($I:$I) - 1)</f>
        <v>0.22819999999999999</v>
      </c>
      <c r="S2124" s="23">
        <f>SUMIFS($P:$P, $Q:$Q, "&lt;" &amp; $Q2124)</f>
        <v>169271117</v>
      </c>
    </row>
    <row r="2125" spans="1:19" x14ac:dyDescent="0.25">
      <c r="A2125" s="1">
        <v>2120</v>
      </c>
      <c r="B2125" s="1" t="s">
        <v>2</v>
      </c>
      <c r="C2125" s="1" t="str">
        <f>IF($B2125 = "Production Item", _xlfn.XLOOKUP($A2125, 'Instrument Table'!$J:$J, 'Instrument Table'!$B:$B, $C2124), IF($B2125 = "Service Item", _xlfn.XLOOKUP($A2125, 'Instrument Table'!$I:$I, 'Instrument Table'!$B:$B, $C2124), _xlfn.XLOOKUP($A2125, 'Instrument Table'!$H:$H, 'Instrument Table'!$B:$B, $C2124)))</f>
        <v>Clarinet</v>
      </c>
      <c r="D2125" s="1" t="str">
        <f>VLOOKUP($C2125, 'Instrument Table'!$B:$C, 2, FALSE)</f>
        <v>Woodwinds</v>
      </c>
      <c r="E2125" s="1">
        <f t="shared" si="198"/>
        <v>1</v>
      </c>
      <c r="F2125" s="1">
        <f>_xlfn.XLOOKUP($C2125, 'Instrument Table'!$B:$B, 'Instrument Table'!$A:$A, "")</f>
        <v>30</v>
      </c>
      <c r="G2125" s="1" t="str">
        <f>TEXT(IF($B2125 = "Retail Item", IF((ROW($A2125) - 4504 - _xlfn.XMATCH($C2125, $C$4506:$C$5005, 0, 1)) &lt;= VLOOKUP($C2125, 'Instrument Table'!$B:$D, 3, FALSE), ROW($A2125) - 4504 - _xlfn.XMATCH($C2125, $C$4506:$C$5005, 0, 1), 0), 0), "00")</f>
        <v>00</v>
      </c>
      <c r="H2125" s="1" t="str">
        <f t="shared" si="199"/>
        <v>369</v>
      </c>
      <c r="I2125" s="1" t="str">
        <f t="shared" si="200"/>
        <v>13000-369</v>
      </c>
      <c r="J2125" s="1" t="str">
        <f t="shared" si="201"/>
        <v>Clarinet production item #369</v>
      </c>
      <c r="K2125" s="1" t="str">
        <f>IF(SUM(COUNTIFS(I:I, I2125)) &gt; 1, "DUPLICATE", "UNIQUE")</f>
        <v>UNIQUE</v>
      </c>
      <c r="L2125" s="18">
        <v>2</v>
      </c>
      <c r="M2125" s="28">
        <v>22</v>
      </c>
      <c r="N2125" s="6">
        <v>16</v>
      </c>
      <c r="O2125" s="30">
        <f t="shared" si="202"/>
        <v>44</v>
      </c>
      <c r="P2125" s="30">
        <f t="shared" si="203"/>
        <v>352</v>
      </c>
      <c r="Q2125" s="1">
        <f>COUNTIFS($P:$P, "&gt;" &amp; $P2125) + 1</f>
        <v>4147</v>
      </c>
      <c r="R2125" s="63">
        <f>(COUNTIFS($P:$P, "&gt;" &amp; $P2125) + 1) / (COUNTA($I:$I) - 1)</f>
        <v>0.82940000000000003</v>
      </c>
      <c r="S2125" s="23">
        <f>SUMIFS($P:$P, $Q:$Q, "&lt;" &amp; $Q2125)</f>
        <v>186462669</v>
      </c>
    </row>
    <row r="2126" spans="1:19" x14ac:dyDescent="0.25">
      <c r="A2126" s="1">
        <v>2121</v>
      </c>
      <c r="B2126" s="1" t="s">
        <v>2</v>
      </c>
      <c r="C2126" s="1" t="str">
        <f>IF($B2126 = "Production Item", _xlfn.XLOOKUP($A2126, 'Instrument Table'!$J:$J, 'Instrument Table'!$B:$B, $C2125), IF($B2126 = "Service Item", _xlfn.XLOOKUP($A2126, 'Instrument Table'!$I:$I, 'Instrument Table'!$B:$B, $C2125), _xlfn.XLOOKUP($A2126, 'Instrument Table'!$H:$H, 'Instrument Table'!$B:$B, $C2125)))</f>
        <v>Clarinet</v>
      </c>
      <c r="D2126" s="1" t="str">
        <f>VLOOKUP($C2126, 'Instrument Table'!$B:$C, 2, FALSE)</f>
        <v>Woodwinds</v>
      </c>
      <c r="E2126" s="1">
        <f t="shared" si="198"/>
        <v>1</v>
      </c>
      <c r="F2126" s="1">
        <f>_xlfn.XLOOKUP($C2126, 'Instrument Table'!$B:$B, 'Instrument Table'!$A:$A, "")</f>
        <v>30</v>
      </c>
      <c r="G2126" s="1" t="str">
        <f>TEXT(IF($B2126 = "Retail Item", IF((ROW($A2126) - 4504 - _xlfn.XMATCH($C2126, $C$4506:$C$5005, 0, 1)) &lt;= VLOOKUP($C2126, 'Instrument Table'!$B:$D, 3, FALSE), ROW($A2126) - 4504 - _xlfn.XMATCH($C2126, $C$4506:$C$5005, 0, 1), 0), 0), "00")</f>
        <v>00</v>
      </c>
      <c r="H2126" s="1" t="str">
        <f t="shared" si="199"/>
        <v>370</v>
      </c>
      <c r="I2126" s="1" t="str">
        <f t="shared" si="200"/>
        <v>13000-370</v>
      </c>
      <c r="J2126" s="1" t="str">
        <f t="shared" si="201"/>
        <v>Clarinet production item #370</v>
      </c>
      <c r="K2126" s="1" t="str">
        <f>IF(SUM(COUNTIFS(I:I, I2126)) &gt; 1, "DUPLICATE", "UNIQUE")</f>
        <v>UNIQUE</v>
      </c>
      <c r="L2126" s="18">
        <v>1</v>
      </c>
      <c r="M2126" s="28">
        <v>82</v>
      </c>
      <c r="N2126" s="6">
        <v>256</v>
      </c>
      <c r="O2126" s="30">
        <f t="shared" si="202"/>
        <v>82</v>
      </c>
      <c r="P2126" s="30">
        <f t="shared" si="203"/>
        <v>20992</v>
      </c>
      <c r="Q2126" s="1">
        <f>COUNTIFS($P:$P, "&gt;" &amp; $P2126) + 1</f>
        <v>1007</v>
      </c>
      <c r="R2126" s="63">
        <f>(COUNTIFS($P:$P, "&gt;" &amp; $P2126) + 1) / (COUNTA($I:$I) - 1)</f>
        <v>0.2014</v>
      </c>
      <c r="S2126" s="23">
        <f>SUMIFS($P:$P, $Q:$Q, "&lt;" &amp; $Q2126)</f>
        <v>166638472</v>
      </c>
    </row>
    <row r="2127" spans="1:19" x14ac:dyDescent="0.25">
      <c r="A2127" s="1">
        <v>2122</v>
      </c>
      <c r="B2127" s="1" t="s">
        <v>2</v>
      </c>
      <c r="C2127" s="1" t="str">
        <f>IF($B2127 = "Production Item", _xlfn.XLOOKUP($A2127, 'Instrument Table'!$J:$J, 'Instrument Table'!$B:$B, $C2126), IF($B2127 = "Service Item", _xlfn.XLOOKUP($A2127, 'Instrument Table'!$I:$I, 'Instrument Table'!$B:$B, $C2126), _xlfn.XLOOKUP($A2127, 'Instrument Table'!$H:$H, 'Instrument Table'!$B:$B, $C2126)))</f>
        <v>Clarinet</v>
      </c>
      <c r="D2127" s="1" t="str">
        <f>VLOOKUP($C2127, 'Instrument Table'!$B:$C, 2, FALSE)</f>
        <v>Woodwinds</v>
      </c>
      <c r="E2127" s="1">
        <f t="shared" si="198"/>
        <v>1</v>
      </c>
      <c r="F2127" s="1">
        <f>_xlfn.XLOOKUP($C2127, 'Instrument Table'!$B:$B, 'Instrument Table'!$A:$A, "")</f>
        <v>30</v>
      </c>
      <c r="G2127" s="1" t="str">
        <f>TEXT(IF($B2127 = "Retail Item", IF((ROW($A2127) - 4504 - _xlfn.XMATCH($C2127, $C$4506:$C$5005, 0, 1)) &lt;= VLOOKUP($C2127, 'Instrument Table'!$B:$D, 3, FALSE), ROW($A2127) - 4504 - _xlfn.XMATCH($C2127, $C$4506:$C$5005, 0, 1), 0), 0), "00")</f>
        <v>00</v>
      </c>
      <c r="H2127" s="1" t="str">
        <f t="shared" si="199"/>
        <v>371</v>
      </c>
      <c r="I2127" s="1" t="str">
        <f t="shared" si="200"/>
        <v>13000-371</v>
      </c>
      <c r="J2127" s="1" t="str">
        <f t="shared" si="201"/>
        <v>Clarinet production item #371</v>
      </c>
      <c r="K2127" s="1" t="str">
        <f>IF(SUM(COUNTIFS(I:I, I2127)) &gt; 1, "DUPLICATE", "UNIQUE")</f>
        <v>UNIQUE</v>
      </c>
      <c r="L2127" s="18">
        <v>0</v>
      </c>
      <c r="M2127" s="28">
        <v>10</v>
      </c>
      <c r="N2127" s="6">
        <v>256</v>
      </c>
      <c r="O2127" s="30">
        <f t="shared" si="202"/>
        <v>0</v>
      </c>
      <c r="P2127" s="30">
        <f t="shared" si="203"/>
        <v>2560</v>
      </c>
      <c r="Q2127" s="1">
        <f>COUNTIFS($P:$P, "&gt;" &amp; $P2127) + 1</f>
        <v>3025</v>
      </c>
      <c r="R2127" s="63">
        <f>(COUNTIFS($P:$P, "&gt;" &amp; $P2127) + 1) / (COUNTA($I:$I) - 1)</f>
        <v>0.60499999999999998</v>
      </c>
      <c r="S2127" s="23">
        <f>SUMIFS($P:$P, $Q:$Q, "&lt;" &amp; $Q2127)</f>
        <v>184997138</v>
      </c>
    </row>
    <row r="2128" spans="1:19" x14ac:dyDescent="0.25">
      <c r="A2128" s="1">
        <v>2123</v>
      </c>
      <c r="B2128" s="1" t="s">
        <v>2</v>
      </c>
      <c r="C2128" s="1" t="str">
        <f>IF($B2128 = "Production Item", _xlfn.XLOOKUP($A2128, 'Instrument Table'!$J:$J, 'Instrument Table'!$B:$B, $C2127), IF($B2128 = "Service Item", _xlfn.XLOOKUP($A2128, 'Instrument Table'!$I:$I, 'Instrument Table'!$B:$B, $C2127), _xlfn.XLOOKUP($A2128, 'Instrument Table'!$H:$H, 'Instrument Table'!$B:$B, $C2127)))</f>
        <v>Clarinet</v>
      </c>
      <c r="D2128" s="1" t="str">
        <f>VLOOKUP($C2128, 'Instrument Table'!$B:$C, 2, FALSE)</f>
        <v>Woodwinds</v>
      </c>
      <c r="E2128" s="1">
        <f t="shared" si="198"/>
        <v>1</v>
      </c>
      <c r="F2128" s="1">
        <f>_xlfn.XLOOKUP($C2128, 'Instrument Table'!$B:$B, 'Instrument Table'!$A:$A, "")</f>
        <v>30</v>
      </c>
      <c r="G2128" s="1" t="str">
        <f>TEXT(IF($B2128 = "Retail Item", IF((ROW($A2128) - 4504 - _xlfn.XMATCH($C2128, $C$4506:$C$5005, 0, 1)) &lt;= VLOOKUP($C2128, 'Instrument Table'!$B:$D, 3, FALSE), ROW($A2128) - 4504 - _xlfn.XMATCH($C2128, $C$4506:$C$5005, 0, 1), 0), 0), "00")</f>
        <v>00</v>
      </c>
      <c r="H2128" s="1" t="str">
        <f t="shared" si="199"/>
        <v>372</v>
      </c>
      <c r="I2128" s="1" t="str">
        <f t="shared" si="200"/>
        <v>13000-372</v>
      </c>
      <c r="J2128" s="1" t="str">
        <f t="shared" si="201"/>
        <v>Clarinet production item #372</v>
      </c>
      <c r="K2128" s="1" t="str">
        <f>IF(SUM(COUNTIFS(I:I, I2128)) &gt; 1, "DUPLICATE", "UNIQUE")</f>
        <v>UNIQUE</v>
      </c>
      <c r="L2128" s="18">
        <v>0</v>
      </c>
      <c r="M2128" s="28">
        <v>85</v>
      </c>
      <c r="N2128" s="6">
        <v>36</v>
      </c>
      <c r="O2128" s="30">
        <f t="shared" si="202"/>
        <v>0</v>
      </c>
      <c r="P2128" s="30">
        <f t="shared" si="203"/>
        <v>3060</v>
      </c>
      <c r="Q2128" s="1">
        <f>COUNTIFS($P:$P, "&gt;" &amp; $P2128) + 1</f>
        <v>2890</v>
      </c>
      <c r="R2128" s="63">
        <f>(COUNTIFS($P:$P, "&gt;" &amp; $P2128) + 1) / (COUNTA($I:$I) - 1)</f>
        <v>0.57799999999999996</v>
      </c>
      <c r="S2128" s="23">
        <f>SUMIFS($P:$P, $Q:$Q, "&lt;" &amp; $Q2128)</f>
        <v>184617793</v>
      </c>
    </row>
    <row r="2129" spans="1:19" x14ac:dyDescent="0.25">
      <c r="A2129" s="1">
        <v>2124</v>
      </c>
      <c r="B2129" s="1" t="s">
        <v>2</v>
      </c>
      <c r="C2129" s="1" t="str">
        <f>IF($B2129 = "Production Item", _xlfn.XLOOKUP($A2129, 'Instrument Table'!$J:$J, 'Instrument Table'!$B:$B, $C2128), IF($B2129 = "Service Item", _xlfn.XLOOKUP($A2129, 'Instrument Table'!$I:$I, 'Instrument Table'!$B:$B, $C2128), _xlfn.XLOOKUP($A2129, 'Instrument Table'!$H:$H, 'Instrument Table'!$B:$B, $C2128)))</f>
        <v>Clarinet</v>
      </c>
      <c r="D2129" s="1" t="str">
        <f>VLOOKUP($C2129, 'Instrument Table'!$B:$C, 2, FALSE)</f>
        <v>Woodwinds</v>
      </c>
      <c r="E2129" s="1">
        <f t="shared" si="198"/>
        <v>1</v>
      </c>
      <c r="F2129" s="1">
        <f>_xlfn.XLOOKUP($C2129, 'Instrument Table'!$B:$B, 'Instrument Table'!$A:$A, "")</f>
        <v>30</v>
      </c>
      <c r="G2129" s="1" t="str">
        <f>TEXT(IF($B2129 = "Retail Item", IF((ROW($A2129) - 4504 - _xlfn.XMATCH($C2129, $C$4506:$C$5005, 0, 1)) &lt;= VLOOKUP($C2129, 'Instrument Table'!$B:$D, 3, FALSE), ROW($A2129) - 4504 - _xlfn.XMATCH($C2129, $C$4506:$C$5005, 0, 1), 0), 0), "00")</f>
        <v>00</v>
      </c>
      <c r="H2129" s="1" t="str">
        <f t="shared" si="199"/>
        <v>373</v>
      </c>
      <c r="I2129" s="1" t="str">
        <f t="shared" si="200"/>
        <v>13000-373</v>
      </c>
      <c r="J2129" s="1" t="str">
        <f t="shared" si="201"/>
        <v>Clarinet production item #373</v>
      </c>
      <c r="K2129" s="1" t="str">
        <f>IF(SUM(COUNTIFS(I:I, I2129)) &gt; 1, "DUPLICATE", "UNIQUE")</f>
        <v>UNIQUE</v>
      </c>
      <c r="L2129" s="18">
        <v>4</v>
      </c>
      <c r="M2129" s="28">
        <v>56</v>
      </c>
      <c r="N2129" s="6">
        <v>361</v>
      </c>
      <c r="O2129" s="30">
        <f t="shared" si="202"/>
        <v>224</v>
      </c>
      <c r="P2129" s="30">
        <f t="shared" si="203"/>
        <v>20216</v>
      </c>
      <c r="Q2129" s="1">
        <f>COUNTIFS($P:$P, "&gt;" &amp; $P2129) + 1</f>
        <v>1051</v>
      </c>
      <c r="R2129" s="63">
        <f>(COUNTIFS($P:$P, "&gt;" &amp; $P2129) + 1) / (COUNTA($I:$I) - 1)</f>
        <v>0.2102</v>
      </c>
      <c r="S2129" s="23">
        <f>SUMIFS($P:$P, $Q:$Q, "&lt;" &amp; $Q2129)</f>
        <v>167542628</v>
      </c>
    </row>
    <row r="2130" spans="1:19" x14ac:dyDescent="0.25">
      <c r="A2130" s="1">
        <v>2125</v>
      </c>
      <c r="B2130" s="1" t="s">
        <v>2</v>
      </c>
      <c r="C2130" s="1" t="str">
        <f>IF($B2130 = "Production Item", _xlfn.XLOOKUP($A2130, 'Instrument Table'!$J:$J, 'Instrument Table'!$B:$B, $C2129), IF($B2130 = "Service Item", _xlfn.XLOOKUP($A2130, 'Instrument Table'!$I:$I, 'Instrument Table'!$B:$B, $C2129), _xlfn.XLOOKUP($A2130, 'Instrument Table'!$H:$H, 'Instrument Table'!$B:$B, $C2129)))</f>
        <v>Clarinet</v>
      </c>
      <c r="D2130" s="1" t="str">
        <f>VLOOKUP($C2130, 'Instrument Table'!$B:$C, 2, FALSE)</f>
        <v>Woodwinds</v>
      </c>
      <c r="E2130" s="1">
        <f t="shared" si="198"/>
        <v>1</v>
      </c>
      <c r="F2130" s="1">
        <f>_xlfn.XLOOKUP($C2130, 'Instrument Table'!$B:$B, 'Instrument Table'!$A:$A, "")</f>
        <v>30</v>
      </c>
      <c r="G2130" s="1" t="str">
        <f>TEXT(IF($B2130 = "Retail Item", IF((ROW($A2130) - 4504 - _xlfn.XMATCH($C2130, $C$4506:$C$5005, 0, 1)) &lt;= VLOOKUP($C2130, 'Instrument Table'!$B:$D, 3, FALSE), ROW($A2130) - 4504 - _xlfn.XMATCH($C2130, $C$4506:$C$5005, 0, 1), 0), 0), "00")</f>
        <v>00</v>
      </c>
      <c r="H2130" s="1" t="str">
        <f t="shared" si="199"/>
        <v>374</v>
      </c>
      <c r="I2130" s="1" t="str">
        <f t="shared" si="200"/>
        <v>13000-374</v>
      </c>
      <c r="J2130" s="1" t="str">
        <f t="shared" si="201"/>
        <v>Clarinet production item #374</v>
      </c>
      <c r="K2130" s="1" t="str">
        <f>IF(SUM(COUNTIFS(I:I, I2130)) &gt; 1, "DUPLICATE", "UNIQUE")</f>
        <v>UNIQUE</v>
      </c>
      <c r="L2130" s="18">
        <v>16</v>
      </c>
      <c r="M2130" s="28">
        <v>80</v>
      </c>
      <c r="N2130" s="6">
        <v>81</v>
      </c>
      <c r="O2130" s="30">
        <f t="shared" si="202"/>
        <v>1280</v>
      </c>
      <c r="P2130" s="30">
        <f t="shared" si="203"/>
        <v>6480</v>
      </c>
      <c r="Q2130" s="1">
        <f>COUNTIFS($P:$P, "&gt;" &amp; $P2130) + 1</f>
        <v>2209</v>
      </c>
      <c r="R2130" s="63">
        <f>(COUNTIFS($P:$P, "&gt;" &amp; $P2130) + 1) / (COUNTA($I:$I) - 1)</f>
        <v>0.44180000000000003</v>
      </c>
      <c r="S2130" s="23">
        <f>SUMIFS($P:$P, $Q:$Q, "&lt;" &amp; $Q2130)</f>
        <v>181510092</v>
      </c>
    </row>
    <row r="2131" spans="1:19" x14ac:dyDescent="0.25">
      <c r="A2131" s="1">
        <v>2126</v>
      </c>
      <c r="B2131" s="1" t="s">
        <v>2</v>
      </c>
      <c r="C2131" s="1" t="str">
        <f>IF($B2131 = "Production Item", _xlfn.XLOOKUP($A2131, 'Instrument Table'!$J:$J, 'Instrument Table'!$B:$B, $C2130), IF($B2131 = "Service Item", _xlfn.XLOOKUP($A2131, 'Instrument Table'!$I:$I, 'Instrument Table'!$B:$B, $C2130), _xlfn.XLOOKUP($A2131, 'Instrument Table'!$H:$H, 'Instrument Table'!$B:$B, $C2130)))</f>
        <v>Clarinet</v>
      </c>
      <c r="D2131" s="1" t="str">
        <f>VLOOKUP($C2131, 'Instrument Table'!$B:$C, 2, FALSE)</f>
        <v>Woodwinds</v>
      </c>
      <c r="E2131" s="1">
        <f t="shared" si="198"/>
        <v>1</v>
      </c>
      <c r="F2131" s="1">
        <f>_xlfn.XLOOKUP($C2131, 'Instrument Table'!$B:$B, 'Instrument Table'!$A:$A, "")</f>
        <v>30</v>
      </c>
      <c r="G2131" s="1" t="str">
        <f>TEXT(IF($B2131 = "Retail Item", IF((ROW($A2131) - 4504 - _xlfn.XMATCH($C2131, $C$4506:$C$5005, 0, 1)) &lt;= VLOOKUP($C2131, 'Instrument Table'!$B:$D, 3, FALSE), ROW($A2131) - 4504 - _xlfn.XMATCH($C2131, $C$4506:$C$5005, 0, 1), 0), 0), "00")</f>
        <v>00</v>
      </c>
      <c r="H2131" s="1" t="str">
        <f t="shared" si="199"/>
        <v>375</v>
      </c>
      <c r="I2131" s="1" t="str">
        <f t="shared" si="200"/>
        <v>13000-375</v>
      </c>
      <c r="J2131" s="1" t="str">
        <f t="shared" si="201"/>
        <v>Clarinet production item #375</v>
      </c>
      <c r="K2131" s="1" t="str">
        <f>IF(SUM(COUNTIFS(I:I, I2131)) &gt; 1, "DUPLICATE", "UNIQUE")</f>
        <v>UNIQUE</v>
      </c>
      <c r="L2131" s="18">
        <v>1</v>
      </c>
      <c r="M2131" s="28">
        <v>60</v>
      </c>
      <c r="N2131" s="6">
        <v>400</v>
      </c>
      <c r="O2131" s="30">
        <f t="shared" si="202"/>
        <v>60</v>
      </c>
      <c r="P2131" s="30">
        <f t="shared" si="203"/>
        <v>24000</v>
      </c>
      <c r="Q2131" s="1">
        <f>COUNTIFS($P:$P, "&gt;" &amp; $P2131) + 1</f>
        <v>869</v>
      </c>
      <c r="R2131" s="63">
        <f>(COUNTIFS($P:$P, "&gt;" &amp; $P2131) + 1) / (COUNTA($I:$I) - 1)</f>
        <v>0.17380000000000001</v>
      </c>
      <c r="S2131" s="23">
        <f>SUMIFS($P:$P, $Q:$Q, "&lt;" &amp; $Q2131)</f>
        <v>163547085</v>
      </c>
    </row>
    <row r="2132" spans="1:19" x14ac:dyDescent="0.25">
      <c r="A2132" s="1">
        <v>2127</v>
      </c>
      <c r="B2132" s="1" t="s">
        <v>2</v>
      </c>
      <c r="C2132" s="1" t="str">
        <f>IF($B2132 = "Production Item", _xlfn.XLOOKUP($A2132, 'Instrument Table'!$J:$J, 'Instrument Table'!$B:$B, $C2131), IF($B2132 = "Service Item", _xlfn.XLOOKUP($A2132, 'Instrument Table'!$I:$I, 'Instrument Table'!$B:$B, $C2131), _xlfn.XLOOKUP($A2132, 'Instrument Table'!$H:$H, 'Instrument Table'!$B:$B, $C2131)))</f>
        <v>Clarinet</v>
      </c>
      <c r="D2132" s="1" t="str">
        <f>VLOOKUP($C2132, 'Instrument Table'!$B:$C, 2, FALSE)</f>
        <v>Woodwinds</v>
      </c>
      <c r="E2132" s="1">
        <f t="shared" si="198"/>
        <v>1</v>
      </c>
      <c r="F2132" s="1">
        <f>_xlfn.XLOOKUP($C2132, 'Instrument Table'!$B:$B, 'Instrument Table'!$A:$A, "")</f>
        <v>30</v>
      </c>
      <c r="G2132" s="1" t="str">
        <f>TEXT(IF($B2132 = "Retail Item", IF((ROW($A2132) - 4504 - _xlfn.XMATCH($C2132, $C$4506:$C$5005, 0, 1)) &lt;= VLOOKUP($C2132, 'Instrument Table'!$B:$D, 3, FALSE), ROW($A2132) - 4504 - _xlfn.XMATCH($C2132, $C$4506:$C$5005, 0, 1), 0), 0), "00")</f>
        <v>00</v>
      </c>
      <c r="H2132" s="1" t="str">
        <f t="shared" si="199"/>
        <v>376</v>
      </c>
      <c r="I2132" s="1" t="str">
        <f t="shared" si="200"/>
        <v>13000-376</v>
      </c>
      <c r="J2132" s="1" t="str">
        <f t="shared" si="201"/>
        <v>Clarinet production item #376</v>
      </c>
      <c r="K2132" s="1" t="str">
        <f>IF(SUM(COUNTIFS(I:I, I2132)) &gt; 1, "DUPLICATE", "UNIQUE")</f>
        <v>UNIQUE</v>
      </c>
      <c r="L2132" s="18">
        <v>1</v>
      </c>
      <c r="M2132" s="28">
        <v>59</v>
      </c>
      <c r="N2132" s="6">
        <v>324</v>
      </c>
      <c r="O2132" s="30">
        <f t="shared" si="202"/>
        <v>59</v>
      </c>
      <c r="P2132" s="30">
        <f t="shared" si="203"/>
        <v>19116</v>
      </c>
      <c r="Q2132" s="1">
        <f>COUNTIFS($P:$P, "&gt;" &amp; $P2132) + 1</f>
        <v>1099</v>
      </c>
      <c r="R2132" s="63">
        <f>(COUNTIFS($P:$P, "&gt;" &amp; $P2132) + 1) / (COUNTA($I:$I) - 1)</f>
        <v>0.2198</v>
      </c>
      <c r="S2132" s="23">
        <f>SUMIFS($P:$P, $Q:$Q, "&lt;" &amp; $Q2132)</f>
        <v>168484790</v>
      </c>
    </row>
    <row r="2133" spans="1:19" x14ac:dyDescent="0.25">
      <c r="A2133" s="1">
        <v>2128</v>
      </c>
      <c r="B2133" s="1" t="s">
        <v>2</v>
      </c>
      <c r="C2133" s="1" t="str">
        <f>IF($B2133 = "Production Item", _xlfn.XLOOKUP($A2133, 'Instrument Table'!$J:$J, 'Instrument Table'!$B:$B, $C2132), IF($B2133 = "Service Item", _xlfn.XLOOKUP($A2133, 'Instrument Table'!$I:$I, 'Instrument Table'!$B:$B, $C2132), _xlfn.XLOOKUP($A2133, 'Instrument Table'!$H:$H, 'Instrument Table'!$B:$B, $C2132)))</f>
        <v>Clarinet</v>
      </c>
      <c r="D2133" s="1" t="str">
        <f>VLOOKUP($C2133, 'Instrument Table'!$B:$C, 2, FALSE)</f>
        <v>Woodwinds</v>
      </c>
      <c r="E2133" s="1">
        <f t="shared" si="198"/>
        <v>1</v>
      </c>
      <c r="F2133" s="1">
        <f>_xlfn.XLOOKUP($C2133, 'Instrument Table'!$B:$B, 'Instrument Table'!$A:$A, "")</f>
        <v>30</v>
      </c>
      <c r="G2133" s="1" t="str">
        <f>TEXT(IF($B2133 = "Retail Item", IF((ROW($A2133) - 4504 - _xlfn.XMATCH($C2133, $C$4506:$C$5005, 0, 1)) &lt;= VLOOKUP($C2133, 'Instrument Table'!$B:$D, 3, FALSE), ROW($A2133) - 4504 - _xlfn.XMATCH($C2133, $C$4506:$C$5005, 0, 1), 0), 0), "00")</f>
        <v>00</v>
      </c>
      <c r="H2133" s="1" t="str">
        <f t="shared" si="199"/>
        <v>377</v>
      </c>
      <c r="I2133" s="1" t="str">
        <f t="shared" si="200"/>
        <v>13000-377</v>
      </c>
      <c r="J2133" s="1" t="str">
        <f t="shared" si="201"/>
        <v>Clarinet production item #377</v>
      </c>
      <c r="K2133" s="1" t="str">
        <f>IF(SUM(COUNTIFS(I:I, I2133)) &gt; 1, "DUPLICATE", "UNIQUE")</f>
        <v>UNIQUE</v>
      </c>
      <c r="L2133" s="18">
        <v>2</v>
      </c>
      <c r="M2133" s="28">
        <v>15</v>
      </c>
      <c r="N2133" s="6">
        <v>81</v>
      </c>
      <c r="O2133" s="30">
        <f t="shared" si="202"/>
        <v>30</v>
      </c>
      <c r="P2133" s="30">
        <f t="shared" si="203"/>
        <v>1215</v>
      </c>
      <c r="Q2133" s="1">
        <f>COUNTIFS($P:$P, "&gt;" &amp; $P2133) + 1</f>
        <v>3600</v>
      </c>
      <c r="R2133" s="63">
        <f>(COUNTIFS($P:$P, "&gt;" &amp; $P2133) + 1) / (COUNTA($I:$I) - 1)</f>
        <v>0.72</v>
      </c>
      <c r="S2133" s="23">
        <f>SUMIFS($P:$P, $Q:$Q, "&lt;" &amp; $Q2133)</f>
        <v>186069743</v>
      </c>
    </row>
    <row r="2134" spans="1:19" x14ac:dyDescent="0.25">
      <c r="A2134" s="1">
        <v>2129</v>
      </c>
      <c r="B2134" s="1" t="s">
        <v>2</v>
      </c>
      <c r="C2134" s="1" t="str">
        <f>IF($B2134 = "Production Item", _xlfn.XLOOKUP($A2134, 'Instrument Table'!$J:$J, 'Instrument Table'!$B:$B, $C2133), IF($B2134 = "Service Item", _xlfn.XLOOKUP($A2134, 'Instrument Table'!$I:$I, 'Instrument Table'!$B:$B, $C2133), _xlfn.XLOOKUP($A2134, 'Instrument Table'!$H:$H, 'Instrument Table'!$B:$B, $C2133)))</f>
        <v>Clarinet</v>
      </c>
      <c r="D2134" s="1" t="str">
        <f>VLOOKUP($C2134, 'Instrument Table'!$B:$C, 2, FALSE)</f>
        <v>Woodwinds</v>
      </c>
      <c r="E2134" s="1">
        <f t="shared" si="198"/>
        <v>1</v>
      </c>
      <c r="F2134" s="1">
        <f>_xlfn.XLOOKUP($C2134, 'Instrument Table'!$B:$B, 'Instrument Table'!$A:$A, "")</f>
        <v>30</v>
      </c>
      <c r="G2134" s="1" t="str">
        <f>TEXT(IF($B2134 = "Retail Item", IF((ROW($A2134) - 4504 - _xlfn.XMATCH($C2134, $C$4506:$C$5005, 0, 1)) &lt;= VLOOKUP($C2134, 'Instrument Table'!$B:$D, 3, FALSE), ROW($A2134) - 4504 - _xlfn.XMATCH($C2134, $C$4506:$C$5005, 0, 1), 0), 0), "00")</f>
        <v>00</v>
      </c>
      <c r="H2134" s="1" t="str">
        <f t="shared" si="199"/>
        <v>378</v>
      </c>
      <c r="I2134" s="1" t="str">
        <f t="shared" si="200"/>
        <v>13000-378</v>
      </c>
      <c r="J2134" s="1" t="str">
        <f t="shared" si="201"/>
        <v>Clarinet production item #378</v>
      </c>
      <c r="K2134" s="1" t="str">
        <f>IF(SUM(COUNTIFS(I:I, I2134)) &gt; 1, "DUPLICATE", "UNIQUE")</f>
        <v>UNIQUE</v>
      </c>
      <c r="L2134" s="18">
        <v>4</v>
      </c>
      <c r="M2134" s="28">
        <v>37</v>
      </c>
      <c r="N2134" s="6">
        <v>289</v>
      </c>
      <c r="O2134" s="30">
        <f t="shared" si="202"/>
        <v>148</v>
      </c>
      <c r="P2134" s="30">
        <f t="shared" si="203"/>
        <v>10693</v>
      </c>
      <c r="Q2134" s="1">
        <f>COUNTIFS($P:$P, "&gt;" &amp; $P2134) + 1</f>
        <v>1712</v>
      </c>
      <c r="R2134" s="63">
        <f>(COUNTIFS($P:$P, "&gt;" &amp; $P2134) + 1) / (COUNTA($I:$I) - 1)</f>
        <v>0.34239999999999998</v>
      </c>
      <c r="S2134" s="23">
        <f>SUMIFS($P:$P, $Q:$Q, "&lt;" &amp; $Q2134)</f>
        <v>177343061</v>
      </c>
    </row>
    <row r="2135" spans="1:19" x14ac:dyDescent="0.25">
      <c r="A2135" s="1">
        <v>2130</v>
      </c>
      <c r="B2135" s="1" t="s">
        <v>2</v>
      </c>
      <c r="C2135" s="1" t="str">
        <f>IF($B2135 = "Production Item", _xlfn.XLOOKUP($A2135, 'Instrument Table'!$J:$J, 'Instrument Table'!$B:$B, $C2134), IF($B2135 = "Service Item", _xlfn.XLOOKUP($A2135, 'Instrument Table'!$I:$I, 'Instrument Table'!$B:$B, $C2134), _xlfn.XLOOKUP($A2135, 'Instrument Table'!$H:$H, 'Instrument Table'!$B:$B, $C2134)))</f>
        <v>Clarinet</v>
      </c>
      <c r="D2135" s="1" t="str">
        <f>VLOOKUP($C2135, 'Instrument Table'!$B:$C, 2, FALSE)</f>
        <v>Woodwinds</v>
      </c>
      <c r="E2135" s="1">
        <f t="shared" si="198"/>
        <v>1</v>
      </c>
      <c r="F2135" s="1">
        <f>_xlfn.XLOOKUP($C2135, 'Instrument Table'!$B:$B, 'Instrument Table'!$A:$A, "")</f>
        <v>30</v>
      </c>
      <c r="G2135" s="1" t="str">
        <f>TEXT(IF($B2135 = "Retail Item", IF((ROW($A2135) - 4504 - _xlfn.XMATCH($C2135, $C$4506:$C$5005, 0, 1)) &lt;= VLOOKUP($C2135, 'Instrument Table'!$B:$D, 3, FALSE), ROW($A2135) - 4504 - _xlfn.XMATCH($C2135, $C$4506:$C$5005, 0, 1), 0), 0), "00")</f>
        <v>00</v>
      </c>
      <c r="H2135" s="1" t="str">
        <f t="shared" si="199"/>
        <v>379</v>
      </c>
      <c r="I2135" s="1" t="str">
        <f t="shared" si="200"/>
        <v>13000-379</v>
      </c>
      <c r="J2135" s="1" t="str">
        <f t="shared" si="201"/>
        <v>Clarinet production item #379</v>
      </c>
      <c r="K2135" s="1" t="str">
        <f>IF(SUM(COUNTIFS(I:I, I2135)) &gt; 1, "DUPLICATE", "UNIQUE")</f>
        <v>UNIQUE</v>
      </c>
      <c r="L2135" s="18">
        <v>1</v>
      </c>
      <c r="M2135" s="28">
        <v>72</v>
      </c>
      <c r="N2135" s="6">
        <v>169</v>
      </c>
      <c r="O2135" s="30">
        <f t="shared" si="202"/>
        <v>72</v>
      </c>
      <c r="P2135" s="30">
        <f t="shared" si="203"/>
        <v>12168</v>
      </c>
      <c r="Q2135" s="1">
        <f>COUNTIFS($P:$P, "&gt;" &amp; $P2135) + 1</f>
        <v>1560</v>
      </c>
      <c r="R2135" s="63">
        <f>(COUNTIFS($P:$P, "&gt;" &amp; $P2135) + 1) / (COUNTA($I:$I) - 1)</f>
        <v>0.312</v>
      </c>
      <c r="S2135" s="23">
        <f>SUMIFS($P:$P, $Q:$Q, "&lt;" &amp; $Q2135)</f>
        <v>175597882</v>
      </c>
    </row>
    <row r="2136" spans="1:19" x14ac:dyDescent="0.25">
      <c r="A2136" s="1">
        <v>2131</v>
      </c>
      <c r="B2136" s="1" t="s">
        <v>2</v>
      </c>
      <c r="C2136" s="1" t="str">
        <f>IF($B2136 = "Production Item", _xlfn.XLOOKUP($A2136, 'Instrument Table'!$J:$J, 'Instrument Table'!$B:$B, $C2135), IF($B2136 = "Service Item", _xlfn.XLOOKUP($A2136, 'Instrument Table'!$I:$I, 'Instrument Table'!$B:$B, $C2135), _xlfn.XLOOKUP($A2136, 'Instrument Table'!$H:$H, 'Instrument Table'!$B:$B, $C2135)))</f>
        <v>Clarinet</v>
      </c>
      <c r="D2136" s="1" t="str">
        <f>VLOOKUP($C2136, 'Instrument Table'!$B:$C, 2, FALSE)</f>
        <v>Woodwinds</v>
      </c>
      <c r="E2136" s="1">
        <f t="shared" si="198"/>
        <v>1</v>
      </c>
      <c r="F2136" s="1">
        <f>_xlfn.XLOOKUP($C2136, 'Instrument Table'!$B:$B, 'Instrument Table'!$A:$A, "")</f>
        <v>30</v>
      </c>
      <c r="G2136" s="1" t="str">
        <f>TEXT(IF($B2136 = "Retail Item", IF((ROW($A2136) - 4504 - _xlfn.XMATCH($C2136, $C$4506:$C$5005, 0, 1)) &lt;= VLOOKUP($C2136, 'Instrument Table'!$B:$D, 3, FALSE), ROW($A2136) - 4504 - _xlfn.XMATCH($C2136, $C$4506:$C$5005, 0, 1), 0), 0), "00")</f>
        <v>00</v>
      </c>
      <c r="H2136" s="1" t="str">
        <f t="shared" si="199"/>
        <v>380</v>
      </c>
      <c r="I2136" s="1" t="str">
        <f t="shared" si="200"/>
        <v>13000-380</v>
      </c>
      <c r="J2136" s="1" t="str">
        <f t="shared" si="201"/>
        <v>Clarinet production item #380</v>
      </c>
      <c r="K2136" s="1" t="str">
        <f>IF(SUM(COUNTIFS(I:I, I2136)) &gt; 1, "DUPLICATE", "UNIQUE")</f>
        <v>UNIQUE</v>
      </c>
      <c r="L2136" s="18">
        <v>0</v>
      </c>
      <c r="M2136" s="28">
        <v>85</v>
      </c>
      <c r="N2136" s="6">
        <v>121</v>
      </c>
      <c r="O2136" s="30">
        <f t="shared" si="202"/>
        <v>0</v>
      </c>
      <c r="P2136" s="30">
        <f t="shared" si="203"/>
        <v>10285</v>
      </c>
      <c r="Q2136" s="1">
        <f>COUNTIFS($P:$P, "&gt;" &amp; $P2136) + 1</f>
        <v>1753</v>
      </c>
      <c r="R2136" s="63">
        <f>(COUNTIFS($P:$P, "&gt;" &amp; $P2136) + 1) / (COUNTA($I:$I) - 1)</f>
        <v>0.35060000000000002</v>
      </c>
      <c r="S2136" s="23">
        <f>SUMIFS($P:$P, $Q:$Q, "&lt;" &amp; $Q2136)</f>
        <v>177773129</v>
      </c>
    </row>
    <row r="2137" spans="1:19" x14ac:dyDescent="0.25">
      <c r="A2137" s="1">
        <v>2132</v>
      </c>
      <c r="B2137" s="1" t="s">
        <v>2</v>
      </c>
      <c r="C2137" s="1" t="str">
        <f>IF($B2137 = "Production Item", _xlfn.XLOOKUP($A2137, 'Instrument Table'!$J:$J, 'Instrument Table'!$B:$B, $C2136), IF($B2137 = "Service Item", _xlfn.XLOOKUP($A2137, 'Instrument Table'!$I:$I, 'Instrument Table'!$B:$B, $C2136), _xlfn.XLOOKUP($A2137, 'Instrument Table'!$H:$H, 'Instrument Table'!$B:$B, $C2136)))</f>
        <v>Clarinet</v>
      </c>
      <c r="D2137" s="1" t="str">
        <f>VLOOKUP($C2137, 'Instrument Table'!$B:$C, 2, FALSE)</f>
        <v>Woodwinds</v>
      </c>
      <c r="E2137" s="1">
        <f t="shared" si="198"/>
        <v>1</v>
      </c>
      <c r="F2137" s="1">
        <f>_xlfn.XLOOKUP($C2137, 'Instrument Table'!$B:$B, 'Instrument Table'!$A:$A, "")</f>
        <v>30</v>
      </c>
      <c r="G2137" s="1" t="str">
        <f>TEXT(IF($B2137 = "Retail Item", IF((ROW($A2137) - 4504 - _xlfn.XMATCH($C2137, $C$4506:$C$5005, 0, 1)) &lt;= VLOOKUP($C2137, 'Instrument Table'!$B:$D, 3, FALSE), ROW($A2137) - 4504 - _xlfn.XMATCH($C2137, $C$4506:$C$5005, 0, 1), 0), 0), "00")</f>
        <v>00</v>
      </c>
      <c r="H2137" s="1" t="str">
        <f t="shared" si="199"/>
        <v>381</v>
      </c>
      <c r="I2137" s="1" t="str">
        <f t="shared" si="200"/>
        <v>13000-381</v>
      </c>
      <c r="J2137" s="1" t="str">
        <f t="shared" si="201"/>
        <v>Clarinet production item #381</v>
      </c>
      <c r="K2137" s="1" t="str">
        <f>IF(SUM(COUNTIFS(I:I, I2137)) &gt; 1, "DUPLICATE", "UNIQUE")</f>
        <v>UNIQUE</v>
      </c>
      <c r="L2137" s="18">
        <v>1</v>
      </c>
      <c r="M2137" s="28">
        <v>75</v>
      </c>
      <c r="N2137" s="6">
        <v>25</v>
      </c>
      <c r="O2137" s="30">
        <f t="shared" si="202"/>
        <v>75</v>
      </c>
      <c r="P2137" s="30">
        <f t="shared" si="203"/>
        <v>1875</v>
      </c>
      <c r="Q2137" s="1">
        <f>COUNTIFS($P:$P, "&gt;" &amp; $P2137) + 1</f>
        <v>3303</v>
      </c>
      <c r="R2137" s="63">
        <f>(COUNTIFS($P:$P, "&gt;" &amp; $P2137) + 1) / (COUNTA($I:$I) - 1)</f>
        <v>0.66059999999999997</v>
      </c>
      <c r="S2137" s="23">
        <f>SUMIFS($P:$P, $Q:$Q, "&lt;" &amp; $Q2137)</f>
        <v>185614755</v>
      </c>
    </row>
    <row r="2138" spans="1:19" x14ac:dyDescent="0.25">
      <c r="A2138" s="1">
        <v>2133</v>
      </c>
      <c r="B2138" s="1" t="s">
        <v>2</v>
      </c>
      <c r="C2138" s="1" t="str">
        <f>IF($B2138 = "Production Item", _xlfn.XLOOKUP($A2138, 'Instrument Table'!$J:$J, 'Instrument Table'!$B:$B, $C2137), IF($B2138 = "Service Item", _xlfn.XLOOKUP($A2138, 'Instrument Table'!$I:$I, 'Instrument Table'!$B:$B, $C2137), _xlfn.XLOOKUP($A2138, 'Instrument Table'!$H:$H, 'Instrument Table'!$B:$B, $C2137)))</f>
        <v>Clarinet</v>
      </c>
      <c r="D2138" s="1" t="str">
        <f>VLOOKUP($C2138, 'Instrument Table'!$B:$C, 2, FALSE)</f>
        <v>Woodwinds</v>
      </c>
      <c r="E2138" s="1">
        <f t="shared" si="198"/>
        <v>1</v>
      </c>
      <c r="F2138" s="1">
        <f>_xlfn.XLOOKUP($C2138, 'Instrument Table'!$B:$B, 'Instrument Table'!$A:$A, "")</f>
        <v>30</v>
      </c>
      <c r="G2138" s="1" t="str">
        <f>TEXT(IF($B2138 = "Retail Item", IF((ROW($A2138) - 4504 - _xlfn.XMATCH($C2138, $C$4506:$C$5005, 0, 1)) &lt;= VLOOKUP($C2138, 'Instrument Table'!$B:$D, 3, FALSE), ROW($A2138) - 4504 - _xlfn.XMATCH($C2138, $C$4506:$C$5005, 0, 1), 0), 0), "00")</f>
        <v>00</v>
      </c>
      <c r="H2138" s="1" t="str">
        <f t="shared" si="199"/>
        <v>382</v>
      </c>
      <c r="I2138" s="1" t="str">
        <f t="shared" si="200"/>
        <v>13000-382</v>
      </c>
      <c r="J2138" s="1" t="str">
        <f t="shared" si="201"/>
        <v>Clarinet production item #382</v>
      </c>
      <c r="K2138" s="1" t="str">
        <f>IF(SUM(COUNTIFS(I:I, I2138)) &gt; 1, "DUPLICATE", "UNIQUE")</f>
        <v>UNIQUE</v>
      </c>
      <c r="L2138" s="18">
        <v>1</v>
      </c>
      <c r="M2138" s="28">
        <v>67</v>
      </c>
      <c r="N2138" s="6">
        <v>121</v>
      </c>
      <c r="O2138" s="30">
        <f t="shared" si="202"/>
        <v>67</v>
      </c>
      <c r="P2138" s="30">
        <f t="shared" si="203"/>
        <v>8107</v>
      </c>
      <c r="Q2138" s="1">
        <f>COUNTIFS($P:$P, "&gt;" &amp; $P2138) + 1</f>
        <v>1971</v>
      </c>
      <c r="R2138" s="63">
        <f>(COUNTIFS($P:$P, "&gt;" &amp; $P2138) + 1) / (COUNTA($I:$I) - 1)</f>
        <v>0.39419999999999999</v>
      </c>
      <c r="S2138" s="23">
        <f>SUMIFS($P:$P, $Q:$Q, "&lt;" &amp; $Q2138)</f>
        <v>179763781</v>
      </c>
    </row>
    <row r="2139" spans="1:19" x14ac:dyDescent="0.25">
      <c r="A2139" s="1">
        <v>2134</v>
      </c>
      <c r="B2139" s="1" t="s">
        <v>2</v>
      </c>
      <c r="C2139" s="1" t="str">
        <f>IF($B2139 = "Production Item", _xlfn.XLOOKUP($A2139, 'Instrument Table'!$J:$J, 'Instrument Table'!$B:$B, $C2138), IF($B2139 = "Service Item", _xlfn.XLOOKUP($A2139, 'Instrument Table'!$I:$I, 'Instrument Table'!$B:$B, $C2138), _xlfn.XLOOKUP($A2139, 'Instrument Table'!$H:$H, 'Instrument Table'!$B:$B, $C2138)))</f>
        <v>Clarinet</v>
      </c>
      <c r="D2139" s="1" t="str">
        <f>VLOOKUP($C2139, 'Instrument Table'!$B:$C, 2, FALSE)</f>
        <v>Woodwinds</v>
      </c>
      <c r="E2139" s="1">
        <f t="shared" si="198"/>
        <v>1</v>
      </c>
      <c r="F2139" s="1">
        <f>_xlfn.XLOOKUP($C2139, 'Instrument Table'!$B:$B, 'Instrument Table'!$A:$A, "")</f>
        <v>30</v>
      </c>
      <c r="G2139" s="1" t="str">
        <f>TEXT(IF($B2139 = "Retail Item", IF((ROW($A2139) - 4504 - _xlfn.XMATCH($C2139, $C$4506:$C$5005, 0, 1)) &lt;= VLOOKUP($C2139, 'Instrument Table'!$B:$D, 3, FALSE), ROW($A2139) - 4504 - _xlfn.XMATCH($C2139, $C$4506:$C$5005, 0, 1), 0), 0), "00")</f>
        <v>00</v>
      </c>
      <c r="H2139" s="1" t="str">
        <f t="shared" si="199"/>
        <v>383</v>
      </c>
      <c r="I2139" s="1" t="str">
        <f t="shared" si="200"/>
        <v>13000-383</v>
      </c>
      <c r="J2139" s="1" t="str">
        <f t="shared" si="201"/>
        <v>Clarinet production item #383</v>
      </c>
      <c r="K2139" s="1" t="str">
        <f>IF(SUM(COUNTIFS(I:I, I2139)) &gt; 1, "DUPLICATE", "UNIQUE")</f>
        <v>UNIQUE</v>
      </c>
      <c r="L2139" s="18">
        <v>0</v>
      </c>
      <c r="M2139" s="28">
        <v>10</v>
      </c>
      <c r="N2139" s="6">
        <v>324</v>
      </c>
      <c r="O2139" s="30">
        <f t="shared" si="202"/>
        <v>0</v>
      </c>
      <c r="P2139" s="30">
        <f t="shared" si="203"/>
        <v>3240</v>
      </c>
      <c r="Q2139" s="1">
        <f>COUNTIFS($P:$P, "&gt;" &amp; $P2139) + 1</f>
        <v>2839</v>
      </c>
      <c r="R2139" s="63">
        <f>(COUNTIFS($P:$P, "&gt;" &amp; $P2139) + 1) / (COUNTA($I:$I) - 1)</f>
        <v>0.56779999999999997</v>
      </c>
      <c r="S2139" s="23">
        <f>SUMIFS($P:$P, $Q:$Q, "&lt;" &amp; $Q2139)</f>
        <v>184456190</v>
      </c>
    </row>
    <row r="2140" spans="1:19" x14ac:dyDescent="0.25">
      <c r="A2140" s="1">
        <v>2135</v>
      </c>
      <c r="B2140" s="1" t="s">
        <v>2</v>
      </c>
      <c r="C2140" s="1" t="str">
        <f>IF($B2140 = "Production Item", _xlfn.XLOOKUP($A2140, 'Instrument Table'!$J:$J, 'Instrument Table'!$B:$B, $C2139), IF($B2140 = "Service Item", _xlfn.XLOOKUP($A2140, 'Instrument Table'!$I:$I, 'Instrument Table'!$B:$B, $C2139), _xlfn.XLOOKUP($A2140, 'Instrument Table'!$H:$H, 'Instrument Table'!$B:$B, $C2139)))</f>
        <v>Clarinet</v>
      </c>
      <c r="D2140" s="1" t="str">
        <f>VLOOKUP($C2140, 'Instrument Table'!$B:$C, 2, FALSE)</f>
        <v>Woodwinds</v>
      </c>
      <c r="E2140" s="1">
        <f t="shared" si="198"/>
        <v>1</v>
      </c>
      <c r="F2140" s="1">
        <f>_xlfn.XLOOKUP($C2140, 'Instrument Table'!$B:$B, 'Instrument Table'!$A:$A, "")</f>
        <v>30</v>
      </c>
      <c r="G2140" s="1" t="str">
        <f>TEXT(IF($B2140 = "Retail Item", IF((ROW($A2140) - 4504 - _xlfn.XMATCH($C2140, $C$4506:$C$5005, 0, 1)) &lt;= VLOOKUP($C2140, 'Instrument Table'!$B:$D, 3, FALSE), ROW($A2140) - 4504 - _xlfn.XMATCH($C2140, $C$4506:$C$5005, 0, 1), 0), 0), "00")</f>
        <v>00</v>
      </c>
      <c r="H2140" s="1" t="str">
        <f t="shared" si="199"/>
        <v>384</v>
      </c>
      <c r="I2140" s="1" t="str">
        <f t="shared" si="200"/>
        <v>13000-384</v>
      </c>
      <c r="J2140" s="1" t="str">
        <f t="shared" si="201"/>
        <v>Clarinet production item #384</v>
      </c>
      <c r="K2140" s="1" t="str">
        <f>IF(SUM(COUNTIFS(I:I, I2140)) &gt; 1, "DUPLICATE", "UNIQUE")</f>
        <v>UNIQUE</v>
      </c>
      <c r="L2140" s="18">
        <v>1</v>
      </c>
      <c r="M2140" s="28">
        <v>93</v>
      </c>
      <c r="N2140" s="6">
        <v>49</v>
      </c>
      <c r="O2140" s="30">
        <f t="shared" si="202"/>
        <v>93</v>
      </c>
      <c r="P2140" s="30">
        <f t="shared" si="203"/>
        <v>4557</v>
      </c>
      <c r="Q2140" s="1">
        <f>COUNTIFS($P:$P, "&gt;" &amp; $P2140) + 1</f>
        <v>2532</v>
      </c>
      <c r="R2140" s="63">
        <f>(COUNTIFS($P:$P, "&gt;" &amp; $P2140) + 1) / (COUNTA($I:$I) - 1)</f>
        <v>0.50639999999999996</v>
      </c>
      <c r="S2140" s="23">
        <f>SUMIFS($P:$P, $Q:$Q, "&lt;" &amp; $Q2140)</f>
        <v>183263602</v>
      </c>
    </row>
    <row r="2141" spans="1:19" x14ac:dyDescent="0.25">
      <c r="A2141" s="1">
        <v>2136</v>
      </c>
      <c r="B2141" s="1" t="s">
        <v>2</v>
      </c>
      <c r="C2141" s="1" t="str">
        <f>IF($B2141 = "Production Item", _xlfn.XLOOKUP($A2141, 'Instrument Table'!$J:$J, 'Instrument Table'!$B:$B, $C2140), IF($B2141 = "Service Item", _xlfn.XLOOKUP($A2141, 'Instrument Table'!$I:$I, 'Instrument Table'!$B:$B, $C2140), _xlfn.XLOOKUP($A2141, 'Instrument Table'!$H:$H, 'Instrument Table'!$B:$B, $C2140)))</f>
        <v>Clarinet</v>
      </c>
      <c r="D2141" s="1" t="str">
        <f>VLOOKUP($C2141, 'Instrument Table'!$B:$C, 2, FALSE)</f>
        <v>Woodwinds</v>
      </c>
      <c r="E2141" s="1">
        <f t="shared" si="198"/>
        <v>1</v>
      </c>
      <c r="F2141" s="1">
        <f>_xlfn.XLOOKUP($C2141, 'Instrument Table'!$B:$B, 'Instrument Table'!$A:$A, "")</f>
        <v>30</v>
      </c>
      <c r="G2141" s="1" t="str">
        <f>TEXT(IF($B2141 = "Retail Item", IF((ROW($A2141) - 4504 - _xlfn.XMATCH($C2141, $C$4506:$C$5005, 0, 1)) &lt;= VLOOKUP($C2141, 'Instrument Table'!$B:$D, 3, FALSE), ROW($A2141) - 4504 - _xlfn.XMATCH($C2141, $C$4506:$C$5005, 0, 1), 0), 0), "00")</f>
        <v>00</v>
      </c>
      <c r="H2141" s="1" t="str">
        <f t="shared" si="199"/>
        <v>385</v>
      </c>
      <c r="I2141" s="1" t="str">
        <f t="shared" si="200"/>
        <v>13000-385</v>
      </c>
      <c r="J2141" s="1" t="str">
        <f t="shared" si="201"/>
        <v>Clarinet production item #385</v>
      </c>
      <c r="K2141" s="1" t="str">
        <f>IF(SUM(COUNTIFS(I:I, I2141)) &gt; 1, "DUPLICATE", "UNIQUE")</f>
        <v>UNIQUE</v>
      </c>
      <c r="L2141" s="18">
        <v>1</v>
      </c>
      <c r="M2141" s="28">
        <v>17</v>
      </c>
      <c r="N2141" s="6">
        <v>9</v>
      </c>
      <c r="O2141" s="30">
        <f t="shared" si="202"/>
        <v>17</v>
      </c>
      <c r="P2141" s="30">
        <f t="shared" si="203"/>
        <v>153</v>
      </c>
      <c r="Q2141" s="1">
        <f>COUNTIFS($P:$P, "&gt;" &amp; $P2141) + 1</f>
        <v>4394</v>
      </c>
      <c r="R2141" s="63">
        <f>(COUNTIFS($P:$P, "&gt;" &amp; $P2141) + 1) / (COUNTA($I:$I) - 1)</f>
        <v>0.87880000000000003</v>
      </c>
      <c r="S2141" s="23">
        <f>SUMIFS($P:$P, $Q:$Q, "&lt;" &amp; $Q2141)</f>
        <v>186525120</v>
      </c>
    </row>
    <row r="2142" spans="1:19" x14ac:dyDescent="0.25">
      <c r="A2142" s="1">
        <v>2137</v>
      </c>
      <c r="B2142" s="1" t="s">
        <v>2</v>
      </c>
      <c r="C2142" s="1" t="str">
        <f>IF($B2142 = "Production Item", _xlfn.XLOOKUP($A2142, 'Instrument Table'!$J:$J, 'Instrument Table'!$B:$B, $C2141), IF($B2142 = "Service Item", _xlfn.XLOOKUP($A2142, 'Instrument Table'!$I:$I, 'Instrument Table'!$B:$B, $C2141), _xlfn.XLOOKUP($A2142, 'Instrument Table'!$H:$H, 'Instrument Table'!$B:$B, $C2141)))</f>
        <v>Clarinet</v>
      </c>
      <c r="D2142" s="1" t="str">
        <f>VLOOKUP($C2142, 'Instrument Table'!$B:$C, 2, FALSE)</f>
        <v>Woodwinds</v>
      </c>
      <c r="E2142" s="1">
        <f t="shared" si="198"/>
        <v>1</v>
      </c>
      <c r="F2142" s="1">
        <f>_xlfn.XLOOKUP($C2142, 'Instrument Table'!$B:$B, 'Instrument Table'!$A:$A, "")</f>
        <v>30</v>
      </c>
      <c r="G2142" s="1" t="str">
        <f>TEXT(IF($B2142 = "Retail Item", IF((ROW($A2142) - 4504 - _xlfn.XMATCH($C2142, $C$4506:$C$5005, 0, 1)) &lt;= VLOOKUP($C2142, 'Instrument Table'!$B:$D, 3, FALSE), ROW($A2142) - 4504 - _xlfn.XMATCH($C2142, $C$4506:$C$5005, 0, 1), 0), 0), "00")</f>
        <v>00</v>
      </c>
      <c r="H2142" s="1" t="str">
        <f t="shared" si="199"/>
        <v>386</v>
      </c>
      <c r="I2142" s="1" t="str">
        <f t="shared" si="200"/>
        <v>13000-386</v>
      </c>
      <c r="J2142" s="1" t="str">
        <f t="shared" si="201"/>
        <v>Clarinet production item #386</v>
      </c>
      <c r="K2142" s="1" t="str">
        <f>IF(SUM(COUNTIFS(I:I, I2142)) &gt; 1, "DUPLICATE", "UNIQUE")</f>
        <v>UNIQUE</v>
      </c>
      <c r="L2142" s="18">
        <v>1</v>
      </c>
      <c r="M2142" s="28">
        <v>56</v>
      </c>
      <c r="N2142" s="6">
        <v>289</v>
      </c>
      <c r="O2142" s="30">
        <f t="shared" si="202"/>
        <v>56</v>
      </c>
      <c r="P2142" s="30">
        <f t="shared" si="203"/>
        <v>16184</v>
      </c>
      <c r="Q2142" s="1">
        <f>COUNTIFS($P:$P, "&gt;" &amp; $P2142) + 1</f>
        <v>1268</v>
      </c>
      <c r="R2142" s="63">
        <f>(COUNTIFS($P:$P, "&gt;" &amp; $P2142) + 1) / (COUNTA($I:$I) - 1)</f>
        <v>0.25359999999999999</v>
      </c>
      <c r="S2142" s="23">
        <f>SUMIFS($P:$P, $Q:$Q, "&lt;" &amp; $Q2142)</f>
        <v>171462914</v>
      </c>
    </row>
    <row r="2143" spans="1:19" x14ac:dyDescent="0.25">
      <c r="A2143" s="1">
        <v>2138</v>
      </c>
      <c r="B2143" s="1" t="s">
        <v>2</v>
      </c>
      <c r="C2143" s="1" t="str">
        <f>IF($B2143 = "Production Item", _xlfn.XLOOKUP($A2143, 'Instrument Table'!$J:$J, 'Instrument Table'!$B:$B, $C2142), IF($B2143 = "Service Item", _xlfn.XLOOKUP($A2143, 'Instrument Table'!$I:$I, 'Instrument Table'!$B:$B, $C2142), _xlfn.XLOOKUP($A2143, 'Instrument Table'!$H:$H, 'Instrument Table'!$B:$B, $C2142)))</f>
        <v>Clarinet</v>
      </c>
      <c r="D2143" s="1" t="str">
        <f>VLOOKUP($C2143, 'Instrument Table'!$B:$C, 2, FALSE)</f>
        <v>Woodwinds</v>
      </c>
      <c r="E2143" s="1">
        <f t="shared" si="198"/>
        <v>1</v>
      </c>
      <c r="F2143" s="1">
        <f>_xlfn.XLOOKUP($C2143, 'Instrument Table'!$B:$B, 'Instrument Table'!$A:$A, "")</f>
        <v>30</v>
      </c>
      <c r="G2143" s="1" t="str">
        <f>TEXT(IF($B2143 = "Retail Item", IF((ROW($A2143) - 4504 - _xlfn.XMATCH($C2143, $C$4506:$C$5005, 0, 1)) &lt;= VLOOKUP($C2143, 'Instrument Table'!$B:$D, 3, FALSE), ROW($A2143) - 4504 - _xlfn.XMATCH($C2143, $C$4506:$C$5005, 0, 1), 0), 0), "00")</f>
        <v>00</v>
      </c>
      <c r="H2143" s="1" t="str">
        <f t="shared" si="199"/>
        <v>387</v>
      </c>
      <c r="I2143" s="1" t="str">
        <f t="shared" si="200"/>
        <v>13000-387</v>
      </c>
      <c r="J2143" s="1" t="str">
        <f t="shared" si="201"/>
        <v>Clarinet production item #387</v>
      </c>
      <c r="K2143" s="1" t="str">
        <f>IF(SUM(COUNTIFS(I:I, I2143)) &gt; 1, "DUPLICATE", "UNIQUE")</f>
        <v>UNIQUE</v>
      </c>
      <c r="L2143" s="18">
        <v>0</v>
      </c>
      <c r="M2143" s="28">
        <v>61</v>
      </c>
      <c r="N2143" s="6">
        <v>100</v>
      </c>
      <c r="O2143" s="30">
        <f t="shared" si="202"/>
        <v>0</v>
      </c>
      <c r="P2143" s="30">
        <f t="shared" si="203"/>
        <v>6100</v>
      </c>
      <c r="Q2143" s="1">
        <f>COUNTIFS($P:$P, "&gt;" &amp; $P2143) + 1</f>
        <v>2242</v>
      </c>
      <c r="R2143" s="63">
        <f>(COUNTIFS($P:$P, "&gt;" &amp; $P2143) + 1) / (COUNTA($I:$I) - 1)</f>
        <v>0.44840000000000002</v>
      </c>
      <c r="S2143" s="23">
        <f>SUMIFS($P:$P, $Q:$Q, "&lt;" &amp; $Q2143)</f>
        <v>181718422</v>
      </c>
    </row>
    <row r="2144" spans="1:19" x14ac:dyDescent="0.25">
      <c r="A2144" s="1">
        <v>2139</v>
      </c>
      <c r="B2144" s="1" t="s">
        <v>2</v>
      </c>
      <c r="C2144" s="1" t="str">
        <f>IF($B2144 = "Production Item", _xlfn.XLOOKUP($A2144, 'Instrument Table'!$J:$J, 'Instrument Table'!$B:$B, $C2143), IF($B2144 = "Service Item", _xlfn.XLOOKUP($A2144, 'Instrument Table'!$I:$I, 'Instrument Table'!$B:$B, $C2143), _xlfn.XLOOKUP($A2144, 'Instrument Table'!$H:$H, 'Instrument Table'!$B:$B, $C2143)))</f>
        <v>Clarinet</v>
      </c>
      <c r="D2144" s="1" t="str">
        <f>VLOOKUP($C2144, 'Instrument Table'!$B:$C, 2, FALSE)</f>
        <v>Woodwinds</v>
      </c>
      <c r="E2144" s="1">
        <f t="shared" si="198"/>
        <v>1</v>
      </c>
      <c r="F2144" s="1">
        <f>_xlfn.XLOOKUP($C2144, 'Instrument Table'!$B:$B, 'Instrument Table'!$A:$A, "")</f>
        <v>30</v>
      </c>
      <c r="G2144" s="1" t="str">
        <f>TEXT(IF($B2144 = "Retail Item", IF((ROW($A2144) - 4504 - _xlfn.XMATCH($C2144, $C$4506:$C$5005, 0, 1)) &lt;= VLOOKUP($C2144, 'Instrument Table'!$B:$D, 3, FALSE), ROW($A2144) - 4504 - _xlfn.XMATCH($C2144, $C$4506:$C$5005, 0, 1), 0), 0), "00")</f>
        <v>00</v>
      </c>
      <c r="H2144" s="1" t="str">
        <f t="shared" si="199"/>
        <v>388</v>
      </c>
      <c r="I2144" s="1" t="str">
        <f t="shared" si="200"/>
        <v>13000-388</v>
      </c>
      <c r="J2144" s="1" t="str">
        <f t="shared" si="201"/>
        <v>Clarinet production item #388</v>
      </c>
      <c r="K2144" s="1" t="str">
        <f>IF(SUM(COUNTIFS(I:I, I2144)) &gt; 1, "DUPLICATE", "UNIQUE")</f>
        <v>UNIQUE</v>
      </c>
      <c r="L2144" s="18">
        <v>0</v>
      </c>
      <c r="M2144" s="28">
        <v>40</v>
      </c>
      <c r="N2144" s="6">
        <v>256</v>
      </c>
      <c r="O2144" s="30">
        <f t="shared" si="202"/>
        <v>0</v>
      </c>
      <c r="P2144" s="30">
        <f t="shared" si="203"/>
        <v>10240</v>
      </c>
      <c r="Q2144" s="1">
        <f>COUNTIFS($P:$P, "&gt;" &amp; $P2144) + 1</f>
        <v>1754</v>
      </c>
      <c r="R2144" s="63">
        <f>(COUNTIFS($P:$P, "&gt;" &amp; $P2144) + 1) / (COUNTA($I:$I) - 1)</f>
        <v>0.3508</v>
      </c>
      <c r="S2144" s="23">
        <f>SUMIFS($P:$P, $Q:$Q, "&lt;" &amp; $Q2144)</f>
        <v>177783414</v>
      </c>
    </row>
    <row r="2145" spans="1:19" x14ac:dyDescent="0.25">
      <c r="A2145" s="1">
        <v>2140</v>
      </c>
      <c r="B2145" s="1" t="s">
        <v>2</v>
      </c>
      <c r="C2145" s="1" t="str">
        <f>IF($B2145 = "Production Item", _xlfn.XLOOKUP($A2145, 'Instrument Table'!$J:$J, 'Instrument Table'!$B:$B, $C2144), IF($B2145 = "Service Item", _xlfn.XLOOKUP($A2145, 'Instrument Table'!$I:$I, 'Instrument Table'!$B:$B, $C2144), _xlfn.XLOOKUP($A2145, 'Instrument Table'!$H:$H, 'Instrument Table'!$B:$B, $C2144)))</f>
        <v>Clarinet</v>
      </c>
      <c r="D2145" s="1" t="str">
        <f>VLOOKUP($C2145, 'Instrument Table'!$B:$C, 2, FALSE)</f>
        <v>Woodwinds</v>
      </c>
      <c r="E2145" s="1">
        <f t="shared" si="198"/>
        <v>1</v>
      </c>
      <c r="F2145" s="1">
        <f>_xlfn.XLOOKUP($C2145, 'Instrument Table'!$B:$B, 'Instrument Table'!$A:$A, "")</f>
        <v>30</v>
      </c>
      <c r="G2145" s="1" t="str">
        <f>TEXT(IF($B2145 = "Retail Item", IF((ROW($A2145) - 4504 - _xlfn.XMATCH($C2145, $C$4506:$C$5005, 0, 1)) &lt;= VLOOKUP($C2145, 'Instrument Table'!$B:$D, 3, FALSE), ROW($A2145) - 4504 - _xlfn.XMATCH($C2145, $C$4506:$C$5005, 0, 1), 0), 0), "00")</f>
        <v>00</v>
      </c>
      <c r="H2145" s="1" t="str">
        <f t="shared" si="199"/>
        <v>389</v>
      </c>
      <c r="I2145" s="1" t="str">
        <f t="shared" si="200"/>
        <v>13000-389</v>
      </c>
      <c r="J2145" s="1" t="str">
        <f t="shared" si="201"/>
        <v>Clarinet production item #389</v>
      </c>
      <c r="K2145" s="1" t="str">
        <f>IF(SUM(COUNTIFS(I:I, I2145)) &gt; 1, "DUPLICATE", "UNIQUE")</f>
        <v>UNIQUE</v>
      </c>
      <c r="L2145" s="18">
        <v>32</v>
      </c>
      <c r="M2145" s="28">
        <v>42</v>
      </c>
      <c r="N2145" s="6">
        <v>4</v>
      </c>
      <c r="O2145" s="30">
        <f t="shared" si="202"/>
        <v>1344</v>
      </c>
      <c r="P2145" s="30">
        <f t="shared" si="203"/>
        <v>168</v>
      </c>
      <c r="Q2145" s="1">
        <f>COUNTIFS($P:$P, "&gt;" &amp; $P2145) + 1</f>
        <v>4376</v>
      </c>
      <c r="R2145" s="63">
        <f>(COUNTIFS($P:$P, "&gt;" &amp; $P2145) + 1) / (COUNTA($I:$I) - 1)</f>
        <v>0.87519999999999998</v>
      </c>
      <c r="S2145" s="23">
        <f>SUMIFS($P:$P, $Q:$Q, "&lt;" &amp; $Q2145)</f>
        <v>186522191</v>
      </c>
    </row>
    <row r="2146" spans="1:19" x14ac:dyDescent="0.25">
      <c r="A2146" s="1">
        <v>2141</v>
      </c>
      <c r="B2146" s="1" t="s">
        <v>2</v>
      </c>
      <c r="C2146" s="1" t="str">
        <f>IF($B2146 = "Production Item", _xlfn.XLOOKUP($A2146, 'Instrument Table'!$J:$J, 'Instrument Table'!$B:$B, $C2145), IF($B2146 = "Service Item", _xlfn.XLOOKUP($A2146, 'Instrument Table'!$I:$I, 'Instrument Table'!$B:$B, $C2145), _xlfn.XLOOKUP($A2146, 'Instrument Table'!$H:$H, 'Instrument Table'!$B:$B, $C2145)))</f>
        <v>Clarinet</v>
      </c>
      <c r="D2146" s="1" t="str">
        <f>VLOOKUP($C2146, 'Instrument Table'!$B:$C, 2, FALSE)</f>
        <v>Woodwinds</v>
      </c>
      <c r="E2146" s="1">
        <f t="shared" si="198"/>
        <v>1</v>
      </c>
      <c r="F2146" s="1">
        <f>_xlfn.XLOOKUP($C2146, 'Instrument Table'!$B:$B, 'Instrument Table'!$A:$A, "")</f>
        <v>30</v>
      </c>
      <c r="G2146" s="1" t="str">
        <f>TEXT(IF($B2146 = "Retail Item", IF((ROW($A2146) - 4504 - _xlfn.XMATCH($C2146, $C$4506:$C$5005, 0, 1)) &lt;= VLOOKUP($C2146, 'Instrument Table'!$B:$D, 3, FALSE), ROW($A2146) - 4504 - _xlfn.XMATCH($C2146, $C$4506:$C$5005, 0, 1), 0), 0), "00")</f>
        <v>00</v>
      </c>
      <c r="H2146" s="1" t="str">
        <f t="shared" si="199"/>
        <v>390</v>
      </c>
      <c r="I2146" s="1" t="str">
        <f t="shared" si="200"/>
        <v>13000-390</v>
      </c>
      <c r="J2146" s="1" t="str">
        <f t="shared" si="201"/>
        <v>Clarinet production item #390</v>
      </c>
      <c r="K2146" s="1" t="str">
        <f>IF(SUM(COUNTIFS(I:I, I2146)) &gt; 1, "DUPLICATE", "UNIQUE")</f>
        <v>UNIQUE</v>
      </c>
      <c r="L2146" s="18">
        <v>1</v>
      </c>
      <c r="M2146" s="28">
        <v>20</v>
      </c>
      <c r="N2146" s="6">
        <v>361</v>
      </c>
      <c r="O2146" s="30">
        <f t="shared" si="202"/>
        <v>20</v>
      </c>
      <c r="P2146" s="30">
        <f t="shared" si="203"/>
        <v>7220</v>
      </c>
      <c r="Q2146" s="1">
        <f>COUNTIFS($P:$P, "&gt;" &amp; $P2146) + 1</f>
        <v>2110</v>
      </c>
      <c r="R2146" s="63">
        <f>(COUNTIFS($P:$P, "&gt;" &amp; $P2146) + 1) / (COUNTA($I:$I) - 1)</f>
        <v>0.42199999999999999</v>
      </c>
      <c r="S2146" s="23">
        <f>SUMIFS($P:$P, $Q:$Q, "&lt;" &amp; $Q2146)</f>
        <v>180831182</v>
      </c>
    </row>
    <row r="2147" spans="1:19" x14ac:dyDescent="0.25">
      <c r="A2147" s="1">
        <v>2142</v>
      </c>
      <c r="B2147" s="1" t="s">
        <v>2</v>
      </c>
      <c r="C2147" s="1" t="str">
        <f>IF($B2147 = "Production Item", _xlfn.XLOOKUP($A2147, 'Instrument Table'!$J:$J, 'Instrument Table'!$B:$B, $C2146), IF($B2147 = "Service Item", _xlfn.XLOOKUP($A2147, 'Instrument Table'!$I:$I, 'Instrument Table'!$B:$B, $C2146), _xlfn.XLOOKUP($A2147, 'Instrument Table'!$H:$H, 'Instrument Table'!$B:$B, $C2146)))</f>
        <v>Clarinet</v>
      </c>
      <c r="D2147" s="1" t="str">
        <f>VLOOKUP($C2147, 'Instrument Table'!$B:$C, 2, FALSE)</f>
        <v>Woodwinds</v>
      </c>
      <c r="E2147" s="1">
        <f t="shared" si="198"/>
        <v>1</v>
      </c>
      <c r="F2147" s="1">
        <f>_xlfn.XLOOKUP($C2147, 'Instrument Table'!$B:$B, 'Instrument Table'!$A:$A, "")</f>
        <v>30</v>
      </c>
      <c r="G2147" s="1" t="str">
        <f>TEXT(IF($B2147 = "Retail Item", IF((ROW($A2147) - 4504 - _xlfn.XMATCH($C2147, $C$4506:$C$5005, 0, 1)) &lt;= VLOOKUP($C2147, 'Instrument Table'!$B:$D, 3, FALSE), ROW($A2147) - 4504 - _xlfn.XMATCH($C2147, $C$4506:$C$5005, 0, 1), 0), 0), "00")</f>
        <v>00</v>
      </c>
      <c r="H2147" s="1" t="str">
        <f t="shared" si="199"/>
        <v>391</v>
      </c>
      <c r="I2147" s="1" t="str">
        <f t="shared" si="200"/>
        <v>13000-391</v>
      </c>
      <c r="J2147" s="1" t="str">
        <f t="shared" si="201"/>
        <v>Clarinet production item #391</v>
      </c>
      <c r="K2147" s="1" t="str">
        <f>IF(SUM(COUNTIFS(I:I, I2147)) &gt; 1, "DUPLICATE", "UNIQUE")</f>
        <v>UNIQUE</v>
      </c>
      <c r="L2147" s="18">
        <v>0</v>
      </c>
      <c r="M2147" s="28">
        <v>75</v>
      </c>
      <c r="N2147" s="6">
        <v>9</v>
      </c>
      <c r="O2147" s="30">
        <f t="shared" si="202"/>
        <v>0</v>
      </c>
      <c r="P2147" s="30">
        <f t="shared" si="203"/>
        <v>675</v>
      </c>
      <c r="Q2147" s="1">
        <f>COUNTIFS($P:$P, "&gt;" &amp; $P2147) + 1</f>
        <v>3894</v>
      </c>
      <c r="R2147" s="63">
        <f>(COUNTIFS($P:$P, "&gt;" &amp; $P2147) + 1) / (COUNTA($I:$I) - 1)</f>
        <v>0.77880000000000005</v>
      </c>
      <c r="S2147" s="23">
        <f>SUMIFS($P:$P, $Q:$Q, "&lt;" &amp; $Q2147)</f>
        <v>186334804</v>
      </c>
    </row>
    <row r="2148" spans="1:19" x14ac:dyDescent="0.25">
      <c r="A2148" s="1">
        <v>2143</v>
      </c>
      <c r="B2148" s="1" t="s">
        <v>2</v>
      </c>
      <c r="C2148" s="1" t="str">
        <f>IF($B2148 = "Production Item", _xlfn.XLOOKUP($A2148, 'Instrument Table'!$J:$J, 'Instrument Table'!$B:$B, $C2147), IF($B2148 = "Service Item", _xlfn.XLOOKUP($A2148, 'Instrument Table'!$I:$I, 'Instrument Table'!$B:$B, $C2147), _xlfn.XLOOKUP($A2148, 'Instrument Table'!$H:$H, 'Instrument Table'!$B:$B, $C2147)))</f>
        <v>Clarinet</v>
      </c>
      <c r="D2148" s="1" t="str">
        <f>VLOOKUP($C2148, 'Instrument Table'!$B:$C, 2, FALSE)</f>
        <v>Woodwinds</v>
      </c>
      <c r="E2148" s="1">
        <f t="shared" si="198"/>
        <v>1</v>
      </c>
      <c r="F2148" s="1">
        <f>_xlfn.XLOOKUP($C2148, 'Instrument Table'!$B:$B, 'Instrument Table'!$A:$A, "")</f>
        <v>30</v>
      </c>
      <c r="G2148" s="1" t="str">
        <f>TEXT(IF($B2148 = "Retail Item", IF((ROW($A2148) - 4504 - _xlfn.XMATCH($C2148, $C$4506:$C$5005, 0, 1)) &lt;= VLOOKUP($C2148, 'Instrument Table'!$B:$D, 3, FALSE), ROW($A2148) - 4504 - _xlfn.XMATCH($C2148, $C$4506:$C$5005, 0, 1), 0), 0), "00")</f>
        <v>00</v>
      </c>
      <c r="H2148" s="1" t="str">
        <f t="shared" si="199"/>
        <v>392</v>
      </c>
      <c r="I2148" s="1" t="str">
        <f t="shared" si="200"/>
        <v>13000-392</v>
      </c>
      <c r="J2148" s="1" t="str">
        <f t="shared" si="201"/>
        <v>Clarinet production item #392</v>
      </c>
      <c r="K2148" s="1" t="str">
        <f>IF(SUM(COUNTIFS(I:I, I2148)) &gt; 1, "DUPLICATE", "UNIQUE")</f>
        <v>UNIQUE</v>
      </c>
      <c r="L2148" s="18">
        <v>1</v>
      </c>
      <c r="M2148" s="28">
        <v>86</v>
      </c>
      <c r="N2148" s="6">
        <v>81</v>
      </c>
      <c r="O2148" s="30">
        <f t="shared" si="202"/>
        <v>86</v>
      </c>
      <c r="P2148" s="30">
        <f t="shared" si="203"/>
        <v>6966</v>
      </c>
      <c r="Q2148" s="1">
        <f>COUNTIFS($P:$P, "&gt;" &amp; $P2148) + 1</f>
        <v>2138</v>
      </c>
      <c r="R2148" s="63">
        <f>(COUNTIFS($P:$P, "&gt;" &amp; $P2148) + 1) / (COUNTA($I:$I) - 1)</f>
        <v>0.42759999999999998</v>
      </c>
      <c r="S2148" s="23">
        <f>SUMIFS($P:$P, $Q:$Q, "&lt;" &amp; $Q2148)</f>
        <v>181030428</v>
      </c>
    </row>
    <row r="2149" spans="1:19" x14ac:dyDescent="0.25">
      <c r="A2149" s="1">
        <v>2144</v>
      </c>
      <c r="B2149" s="1" t="s">
        <v>2</v>
      </c>
      <c r="C2149" s="1" t="str">
        <f>IF($B2149 = "Production Item", _xlfn.XLOOKUP($A2149, 'Instrument Table'!$J:$J, 'Instrument Table'!$B:$B, $C2148), IF($B2149 = "Service Item", _xlfn.XLOOKUP($A2149, 'Instrument Table'!$I:$I, 'Instrument Table'!$B:$B, $C2148), _xlfn.XLOOKUP($A2149, 'Instrument Table'!$H:$H, 'Instrument Table'!$B:$B, $C2148)))</f>
        <v>Clarinet</v>
      </c>
      <c r="D2149" s="1" t="str">
        <f>VLOOKUP($C2149, 'Instrument Table'!$B:$C, 2, FALSE)</f>
        <v>Woodwinds</v>
      </c>
      <c r="E2149" s="1">
        <f t="shared" si="198"/>
        <v>1</v>
      </c>
      <c r="F2149" s="1">
        <f>_xlfn.XLOOKUP($C2149, 'Instrument Table'!$B:$B, 'Instrument Table'!$A:$A, "")</f>
        <v>30</v>
      </c>
      <c r="G2149" s="1" t="str">
        <f>TEXT(IF($B2149 = "Retail Item", IF((ROW($A2149) - 4504 - _xlfn.XMATCH($C2149, $C$4506:$C$5005, 0, 1)) &lt;= VLOOKUP($C2149, 'Instrument Table'!$B:$D, 3, FALSE), ROW($A2149) - 4504 - _xlfn.XMATCH($C2149, $C$4506:$C$5005, 0, 1), 0), 0), "00")</f>
        <v>00</v>
      </c>
      <c r="H2149" s="1" t="str">
        <f t="shared" si="199"/>
        <v>393</v>
      </c>
      <c r="I2149" s="1" t="str">
        <f t="shared" si="200"/>
        <v>13000-393</v>
      </c>
      <c r="J2149" s="1" t="str">
        <f t="shared" si="201"/>
        <v>Clarinet production item #393</v>
      </c>
      <c r="K2149" s="1" t="str">
        <f>IF(SUM(COUNTIFS(I:I, I2149)) &gt; 1, "DUPLICATE", "UNIQUE")</f>
        <v>UNIQUE</v>
      </c>
      <c r="L2149" s="18">
        <v>0</v>
      </c>
      <c r="M2149" s="28">
        <v>35</v>
      </c>
      <c r="N2149" s="6">
        <v>0</v>
      </c>
      <c r="O2149" s="30">
        <f t="shared" si="202"/>
        <v>0</v>
      </c>
      <c r="P2149" s="30">
        <f t="shared" si="203"/>
        <v>0</v>
      </c>
      <c r="Q2149" s="1">
        <f>COUNTIFS($P:$P, "&gt;" &amp; $P2149) + 1</f>
        <v>4746</v>
      </c>
      <c r="R2149" s="63">
        <f>(COUNTIFS($P:$P, "&gt;" &amp; $P2149) + 1) / (COUNTA($I:$I) - 1)</f>
        <v>0.94920000000000004</v>
      </c>
      <c r="S2149" s="23">
        <f>SUMIFS($P:$P, $Q:$Q, "&lt;" &amp; $Q2149)</f>
        <v>186547861</v>
      </c>
    </row>
    <row r="2150" spans="1:19" x14ac:dyDescent="0.25">
      <c r="A2150" s="1">
        <v>2145</v>
      </c>
      <c r="B2150" s="1" t="s">
        <v>2</v>
      </c>
      <c r="C2150" s="1" t="str">
        <f>IF($B2150 = "Production Item", _xlfn.XLOOKUP($A2150, 'Instrument Table'!$J:$J, 'Instrument Table'!$B:$B, $C2149), IF($B2150 = "Service Item", _xlfn.XLOOKUP($A2150, 'Instrument Table'!$I:$I, 'Instrument Table'!$B:$B, $C2149), _xlfn.XLOOKUP($A2150, 'Instrument Table'!$H:$H, 'Instrument Table'!$B:$B, $C2149)))</f>
        <v>Clarinet</v>
      </c>
      <c r="D2150" s="1" t="str">
        <f>VLOOKUP($C2150, 'Instrument Table'!$B:$C, 2, FALSE)</f>
        <v>Woodwinds</v>
      </c>
      <c r="E2150" s="1">
        <f t="shared" si="198"/>
        <v>1</v>
      </c>
      <c r="F2150" s="1">
        <f>_xlfn.XLOOKUP($C2150, 'Instrument Table'!$B:$B, 'Instrument Table'!$A:$A, "")</f>
        <v>30</v>
      </c>
      <c r="G2150" s="1" t="str">
        <f>TEXT(IF($B2150 = "Retail Item", IF((ROW($A2150) - 4504 - _xlfn.XMATCH($C2150, $C$4506:$C$5005, 0, 1)) &lt;= VLOOKUP($C2150, 'Instrument Table'!$B:$D, 3, FALSE), ROW($A2150) - 4504 - _xlfn.XMATCH($C2150, $C$4506:$C$5005, 0, 1), 0), 0), "00")</f>
        <v>00</v>
      </c>
      <c r="H2150" s="1" t="str">
        <f t="shared" si="199"/>
        <v>394</v>
      </c>
      <c r="I2150" s="1" t="str">
        <f t="shared" si="200"/>
        <v>13000-394</v>
      </c>
      <c r="J2150" s="1" t="str">
        <f t="shared" si="201"/>
        <v>Clarinet production item #394</v>
      </c>
      <c r="K2150" s="1" t="str">
        <f>IF(SUM(COUNTIFS(I:I, I2150)) &gt; 1, "DUPLICATE", "UNIQUE")</f>
        <v>UNIQUE</v>
      </c>
      <c r="L2150" s="18">
        <v>0</v>
      </c>
      <c r="M2150" s="28">
        <v>80</v>
      </c>
      <c r="N2150" s="6">
        <v>289</v>
      </c>
      <c r="O2150" s="30">
        <f t="shared" si="202"/>
        <v>0</v>
      </c>
      <c r="P2150" s="30">
        <f t="shared" si="203"/>
        <v>23120</v>
      </c>
      <c r="Q2150" s="1">
        <f>COUNTIFS($P:$P, "&gt;" &amp; $P2150) + 1</f>
        <v>901</v>
      </c>
      <c r="R2150" s="63">
        <f>(COUNTIFS($P:$P, "&gt;" &amp; $P2150) + 1) / (COUNTA($I:$I) - 1)</f>
        <v>0.1802</v>
      </c>
      <c r="S2150" s="23">
        <f>SUMIFS($P:$P, $Q:$Q, "&lt;" &amp; $Q2150)</f>
        <v>164303987</v>
      </c>
    </row>
    <row r="2151" spans="1:19" x14ac:dyDescent="0.25">
      <c r="A2151" s="1">
        <v>2146</v>
      </c>
      <c r="B2151" s="1" t="s">
        <v>2</v>
      </c>
      <c r="C2151" s="1" t="str">
        <f>IF($B2151 = "Production Item", _xlfn.XLOOKUP($A2151, 'Instrument Table'!$J:$J, 'Instrument Table'!$B:$B, $C2150), IF($B2151 = "Service Item", _xlfn.XLOOKUP($A2151, 'Instrument Table'!$I:$I, 'Instrument Table'!$B:$B, $C2150), _xlfn.XLOOKUP($A2151, 'Instrument Table'!$H:$H, 'Instrument Table'!$B:$B, $C2150)))</f>
        <v>Clarinet</v>
      </c>
      <c r="D2151" s="1" t="str">
        <f>VLOOKUP($C2151, 'Instrument Table'!$B:$C, 2, FALSE)</f>
        <v>Woodwinds</v>
      </c>
      <c r="E2151" s="1">
        <f t="shared" si="198"/>
        <v>1</v>
      </c>
      <c r="F2151" s="1">
        <f>_xlfn.XLOOKUP($C2151, 'Instrument Table'!$B:$B, 'Instrument Table'!$A:$A, "")</f>
        <v>30</v>
      </c>
      <c r="G2151" s="1" t="str">
        <f>TEXT(IF($B2151 = "Retail Item", IF((ROW($A2151) - 4504 - _xlfn.XMATCH($C2151, $C$4506:$C$5005, 0, 1)) &lt;= VLOOKUP($C2151, 'Instrument Table'!$B:$D, 3, FALSE), ROW($A2151) - 4504 - _xlfn.XMATCH($C2151, $C$4506:$C$5005, 0, 1), 0), 0), "00")</f>
        <v>00</v>
      </c>
      <c r="H2151" s="1" t="str">
        <f t="shared" si="199"/>
        <v>395</v>
      </c>
      <c r="I2151" s="1" t="str">
        <f t="shared" si="200"/>
        <v>13000-395</v>
      </c>
      <c r="J2151" s="1" t="str">
        <f t="shared" si="201"/>
        <v>Clarinet production item #395</v>
      </c>
      <c r="K2151" s="1" t="str">
        <f>IF(SUM(COUNTIFS(I:I, I2151)) &gt; 1, "DUPLICATE", "UNIQUE")</f>
        <v>UNIQUE</v>
      </c>
      <c r="L2151" s="18">
        <v>0</v>
      </c>
      <c r="M2151" s="28">
        <v>5</v>
      </c>
      <c r="N2151" s="6">
        <v>81</v>
      </c>
      <c r="O2151" s="30">
        <f t="shared" si="202"/>
        <v>0</v>
      </c>
      <c r="P2151" s="30">
        <f t="shared" si="203"/>
        <v>405</v>
      </c>
      <c r="Q2151" s="1">
        <f>COUNTIFS($P:$P, "&gt;" &amp; $P2151) + 1</f>
        <v>4085</v>
      </c>
      <c r="R2151" s="63">
        <f>(COUNTIFS($P:$P, "&gt;" &amp; $P2151) + 1) / (COUNTA($I:$I) - 1)</f>
        <v>0.81699999999999995</v>
      </c>
      <c r="S2151" s="23">
        <f>SUMIFS($P:$P, $Q:$Q, "&lt;" &amp; $Q2151)</f>
        <v>186438857</v>
      </c>
    </row>
    <row r="2152" spans="1:19" x14ac:dyDescent="0.25">
      <c r="A2152" s="1">
        <v>2147</v>
      </c>
      <c r="B2152" s="1" t="s">
        <v>2</v>
      </c>
      <c r="C2152" s="1" t="str">
        <f>IF($B2152 = "Production Item", _xlfn.XLOOKUP($A2152, 'Instrument Table'!$J:$J, 'Instrument Table'!$B:$B, $C2151), IF($B2152 = "Service Item", _xlfn.XLOOKUP($A2152, 'Instrument Table'!$I:$I, 'Instrument Table'!$B:$B, $C2151), _xlfn.XLOOKUP($A2152, 'Instrument Table'!$H:$H, 'Instrument Table'!$B:$B, $C2151)))</f>
        <v>Clarinet</v>
      </c>
      <c r="D2152" s="1" t="str">
        <f>VLOOKUP($C2152, 'Instrument Table'!$B:$C, 2, FALSE)</f>
        <v>Woodwinds</v>
      </c>
      <c r="E2152" s="1">
        <f t="shared" si="198"/>
        <v>1</v>
      </c>
      <c r="F2152" s="1">
        <f>_xlfn.XLOOKUP($C2152, 'Instrument Table'!$B:$B, 'Instrument Table'!$A:$A, "")</f>
        <v>30</v>
      </c>
      <c r="G2152" s="1" t="str">
        <f>TEXT(IF($B2152 = "Retail Item", IF((ROW($A2152) - 4504 - _xlfn.XMATCH($C2152, $C$4506:$C$5005, 0, 1)) &lt;= VLOOKUP($C2152, 'Instrument Table'!$B:$D, 3, FALSE), ROW($A2152) - 4504 - _xlfn.XMATCH($C2152, $C$4506:$C$5005, 0, 1), 0), 0), "00")</f>
        <v>00</v>
      </c>
      <c r="H2152" s="1" t="str">
        <f t="shared" si="199"/>
        <v>396</v>
      </c>
      <c r="I2152" s="1" t="str">
        <f t="shared" si="200"/>
        <v>13000-396</v>
      </c>
      <c r="J2152" s="1" t="str">
        <f t="shared" si="201"/>
        <v>Clarinet production item #396</v>
      </c>
      <c r="K2152" s="1" t="str">
        <f>IF(SUM(COUNTIFS(I:I, I2152)) &gt; 1, "DUPLICATE", "UNIQUE")</f>
        <v>UNIQUE</v>
      </c>
      <c r="L2152" s="18">
        <v>4</v>
      </c>
      <c r="M2152" s="28">
        <v>71</v>
      </c>
      <c r="N2152" s="6">
        <v>289</v>
      </c>
      <c r="O2152" s="30">
        <f t="shared" si="202"/>
        <v>284</v>
      </c>
      <c r="P2152" s="30">
        <f t="shared" si="203"/>
        <v>20519</v>
      </c>
      <c r="Q2152" s="1">
        <f>COUNTIFS($P:$P, "&gt;" &amp; $P2152) + 1</f>
        <v>1026</v>
      </c>
      <c r="R2152" s="63">
        <f>(COUNTIFS($P:$P, "&gt;" &amp; $P2152) + 1) / (COUNTA($I:$I) - 1)</f>
        <v>0.20519999999999999</v>
      </c>
      <c r="S2152" s="23">
        <f>SUMIFS($P:$P, $Q:$Q, "&lt;" &amp; $Q2152)</f>
        <v>167032975</v>
      </c>
    </row>
    <row r="2153" spans="1:19" x14ac:dyDescent="0.25">
      <c r="A2153" s="1">
        <v>2148</v>
      </c>
      <c r="B2153" s="1" t="s">
        <v>2</v>
      </c>
      <c r="C2153" s="1" t="str">
        <f>IF($B2153 = "Production Item", _xlfn.XLOOKUP($A2153, 'Instrument Table'!$J:$J, 'Instrument Table'!$B:$B, $C2152), IF($B2153 = "Service Item", _xlfn.XLOOKUP($A2153, 'Instrument Table'!$I:$I, 'Instrument Table'!$B:$B, $C2152), _xlfn.XLOOKUP($A2153, 'Instrument Table'!$H:$H, 'Instrument Table'!$B:$B, $C2152)))</f>
        <v>Clarinet</v>
      </c>
      <c r="D2153" s="1" t="str">
        <f>VLOOKUP($C2153, 'Instrument Table'!$B:$C, 2, FALSE)</f>
        <v>Woodwinds</v>
      </c>
      <c r="E2153" s="1">
        <f t="shared" si="198"/>
        <v>1</v>
      </c>
      <c r="F2153" s="1">
        <f>_xlfn.XLOOKUP($C2153, 'Instrument Table'!$B:$B, 'Instrument Table'!$A:$A, "")</f>
        <v>30</v>
      </c>
      <c r="G2153" s="1" t="str">
        <f>TEXT(IF($B2153 = "Retail Item", IF((ROW($A2153) - 4504 - _xlfn.XMATCH($C2153, $C$4506:$C$5005, 0, 1)) &lt;= VLOOKUP($C2153, 'Instrument Table'!$B:$D, 3, FALSE), ROW($A2153) - 4504 - _xlfn.XMATCH($C2153, $C$4506:$C$5005, 0, 1), 0), 0), "00")</f>
        <v>00</v>
      </c>
      <c r="H2153" s="1" t="str">
        <f t="shared" si="199"/>
        <v>397</v>
      </c>
      <c r="I2153" s="1" t="str">
        <f t="shared" si="200"/>
        <v>13000-397</v>
      </c>
      <c r="J2153" s="1" t="str">
        <f t="shared" si="201"/>
        <v>Clarinet production item #397</v>
      </c>
      <c r="K2153" s="1" t="str">
        <f>IF(SUM(COUNTIFS(I:I, I2153)) &gt; 1, "DUPLICATE", "UNIQUE")</f>
        <v>UNIQUE</v>
      </c>
      <c r="L2153" s="18">
        <v>0</v>
      </c>
      <c r="M2153" s="28">
        <v>54</v>
      </c>
      <c r="N2153" s="6">
        <v>16</v>
      </c>
      <c r="O2153" s="30">
        <f t="shared" si="202"/>
        <v>0</v>
      </c>
      <c r="P2153" s="30">
        <f t="shared" si="203"/>
        <v>864</v>
      </c>
      <c r="Q2153" s="1">
        <f>COUNTIFS($P:$P, "&gt;" &amp; $P2153) + 1</f>
        <v>3751</v>
      </c>
      <c r="R2153" s="63">
        <f>(COUNTIFS($P:$P, "&gt;" &amp; $P2153) + 1) / (COUNTA($I:$I) - 1)</f>
        <v>0.75019999999999998</v>
      </c>
      <c r="S2153" s="23">
        <f>SUMIFS($P:$P, $Q:$Q, "&lt;" &amp; $Q2153)</f>
        <v>186225045</v>
      </c>
    </row>
    <row r="2154" spans="1:19" x14ac:dyDescent="0.25">
      <c r="A2154" s="1">
        <v>2149</v>
      </c>
      <c r="B2154" s="1" t="s">
        <v>2</v>
      </c>
      <c r="C2154" s="1" t="str">
        <f>IF($B2154 = "Production Item", _xlfn.XLOOKUP($A2154, 'Instrument Table'!$J:$J, 'Instrument Table'!$B:$B, $C2153), IF($B2154 = "Service Item", _xlfn.XLOOKUP($A2154, 'Instrument Table'!$I:$I, 'Instrument Table'!$B:$B, $C2153), _xlfn.XLOOKUP($A2154, 'Instrument Table'!$H:$H, 'Instrument Table'!$B:$B, $C2153)))</f>
        <v>Clarinet</v>
      </c>
      <c r="D2154" s="1" t="str">
        <f>VLOOKUP($C2154, 'Instrument Table'!$B:$C, 2, FALSE)</f>
        <v>Woodwinds</v>
      </c>
      <c r="E2154" s="1">
        <f t="shared" si="198"/>
        <v>1</v>
      </c>
      <c r="F2154" s="1">
        <f>_xlfn.XLOOKUP($C2154, 'Instrument Table'!$B:$B, 'Instrument Table'!$A:$A, "")</f>
        <v>30</v>
      </c>
      <c r="G2154" s="1" t="str">
        <f>TEXT(IF($B2154 = "Retail Item", IF((ROW($A2154) - 4504 - _xlfn.XMATCH($C2154, $C$4506:$C$5005, 0, 1)) &lt;= VLOOKUP($C2154, 'Instrument Table'!$B:$D, 3, FALSE), ROW($A2154) - 4504 - _xlfn.XMATCH($C2154, $C$4506:$C$5005, 0, 1), 0), 0), "00")</f>
        <v>00</v>
      </c>
      <c r="H2154" s="1" t="str">
        <f t="shared" si="199"/>
        <v>398</v>
      </c>
      <c r="I2154" s="1" t="str">
        <f t="shared" si="200"/>
        <v>13000-398</v>
      </c>
      <c r="J2154" s="1" t="str">
        <f t="shared" si="201"/>
        <v>Clarinet production item #398</v>
      </c>
      <c r="K2154" s="1" t="str">
        <f>IF(SUM(COUNTIFS(I:I, I2154)) &gt; 1, "DUPLICATE", "UNIQUE")</f>
        <v>UNIQUE</v>
      </c>
      <c r="L2154" s="18">
        <v>1</v>
      </c>
      <c r="M2154" s="28">
        <v>76</v>
      </c>
      <c r="N2154" s="6">
        <v>324</v>
      </c>
      <c r="O2154" s="30">
        <f t="shared" si="202"/>
        <v>76</v>
      </c>
      <c r="P2154" s="30">
        <f t="shared" si="203"/>
        <v>24624</v>
      </c>
      <c r="Q2154" s="1">
        <f>COUNTIFS($P:$P, "&gt;" &amp; $P2154) + 1</f>
        <v>839</v>
      </c>
      <c r="R2154" s="63">
        <f>(COUNTIFS($P:$P, "&gt;" &amp; $P2154) + 1) / (COUNTA($I:$I) - 1)</f>
        <v>0.1678</v>
      </c>
      <c r="S2154" s="23">
        <f>SUMIFS($P:$P, $Q:$Q, "&lt;" &amp; $Q2154)</f>
        <v>162813140</v>
      </c>
    </row>
    <row r="2155" spans="1:19" x14ac:dyDescent="0.25">
      <c r="A2155" s="1">
        <v>2150</v>
      </c>
      <c r="B2155" s="1" t="s">
        <v>2</v>
      </c>
      <c r="C2155" s="1" t="str">
        <f>IF($B2155 = "Production Item", _xlfn.XLOOKUP($A2155, 'Instrument Table'!$J:$J, 'Instrument Table'!$B:$B, $C2154), IF($B2155 = "Service Item", _xlfn.XLOOKUP($A2155, 'Instrument Table'!$I:$I, 'Instrument Table'!$B:$B, $C2154), _xlfn.XLOOKUP($A2155, 'Instrument Table'!$H:$H, 'Instrument Table'!$B:$B, $C2154)))</f>
        <v>Clarinet</v>
      </c>
      <c r="D2155" s="1" t="str">
        <f>VLOOKUP($C2155, 'Instrument Table'!$B:$C, 2, FALSE)</f>
        <v>Woodwinds</v>
      </c>
      <c r="E2155" s="1">
        <f t="shared" si="198"/>
        <v>1</v>
      </c>
      <c r="F2155" s="1">
        <f>_xlfn.XLOOKUP($C2155, 'Instrument Table'!$B:$B, 'Instrument Table'!$A:$A, "")</f>
        <v>30</v>
      </c>
      <c r="G2155" s="1" t="str">
        <f>TEXT(IF($B2155 = "Retail Item", IF((ROW($A2155) - 4504 - _xlfn.XMATCH($C2155, $C$4506:$C$5005, 0, 1)) &lt;= VLOOKUP($C2155, 'Instrument Table'!$B:$D, 3, FALSE), ROW($A2155) - 4504 - _xlfn.XMATCH($C2155, $C$4506:$C$5005, 0, 1), 0), 0), "00")</f>
        <v>00</v>
      </c>
      <c r="H2155" s="1" t="str">
        <f t="shared" si="199"/>
        <v>399</v>
      </c>
      <c r="I2155" s="1" t="str">
        <f t="shared" si="200"/>
        <v>13000-399</v>
      </c>
      <c r="J2155" s="1" t="str">
        <f t="shared" si="201"/>
        <v>Clarinet production item #399</v>
      </c>
      <c r="K2155" s="1" t="str">
        <f>IF(SUM(COUNTIFS(I:I, I2155)) &gt; 1, "DUPLICATE", "UNIQUE")</f>
        <v>UNIQUE</v>
      </c>
      <c r="L2155" s="18">
        <v>4</v>
      </c>
      <c r="M2155" s="28">
        <v>53</v>
      </c>
      <c r="N2155" s="6">
        <v>36</v>
      </c>
      <c r="O2155" s="30">
        <f t="shared" si="202"/>
        <v>212</v>
      </c>
      <c r="P2155" s="30">
        <f t="shared" si="203"/>
        <v>1908</v>
      </c>
      <c r="Q2155" s="1">
        <f>COUNTIFS($P:$P, "&gt;" &amp; $P2155) + 1</f>
        <v>3294</v>
      </c>
      <c r="R2155" s="63">
        <f>(COUNTIFS($P:$P, "&gt;" &amp; $P2155) + 1) / (COUNTA($I:$I) - 1)</f>
        <v>0.65880000000000005</v>
      </c>
      <c r="S2155" s="23">
        <f>SUMIFS($P:$P, $Q:$Q, "&lt;" &amp; $Q2155)</f>
        <v>185597631</v>
      </c>
    </row>
    <row r="2156" spans="1:19" x14ac:dyDescent="0.25">
      <c r="A2156" s="1">
        <v>2151</v>
      </c>
      <c r="B2156" s="1" t="s">
        <v>2</v>
      </c>
      <c r="C2156" s="1" t="str">
        <f>IF($B2156 = "Production Item", _xlfn.XLOOKUP($A2156, 'Instrument Table'!$J:$J, 'Instrument Table'!$B:$B, $C2155), IF($B2156 = "Service Item", _xlfn.XLOOKUP($A2156, 'Instrument Table'!$I:$I, 'Instrument Table'!$B:$B, $C2155), _xlfn.XLOOKUP($A2156, 'Instrument Table'!$H:$H, 'Instrument Table'!$B:$B, $C2155)))</f>
        <v>Saxophone</v>
      </c>
      <c r="D2156" s="1" t="str">
        <f>VLOOKUP($C2156, 'Instrument Table'!$B:$C, 2, FALSE)</f>
        <v>Woodwinds</v>
      </c>
      <c r="E2156" s="1">
        <f t="shared" si="198"/>
        <v>1</v>
      </c>
      <c r="F2156" s="1">
        <f>_xlfn.XLOOKUP($C2156, 'Instrument Table'!$B:$B, 'Instrument Table'!$A:$A, "")</f>
        <v>31</v>
      </c>
      <c r="G2156" s="1" t="str">
        <f>TEXT(IF($B2156 = "Retail Item", IF((ROW($A2156) - 4504 - _xlfn.XMATCH($C2156, $C$4506:$C$5005, 0, 1)) &lt;= VLOOKUP($C2156, 'Instrument Table'!$B:$D, 3, FALSE), ROW($A2156) - 4504 - _xlfn.XMATCH($C2156, $C$4506:$C$5005, 0, 1), 0), 0), "00")</f>
        <v>00</v>
      </c>
      <c r="H2156" s="1" t="str">
        <f t="shared" si="199"/>
        <v>000</v>
      </c>
      <c r="I2156" s="1" t="str">
        <f t="shared" si="200"/>
        <v>13100-000</v>
      </c>
      <c r="J2156" s="1" t="str">
        <f t="shared" si="201"/>
        <v>Saxophone production item #000</v>
      </c>
      <c r="K2156" s="1" t="str">
        <f>IF(SUM(COUNTIFS(I:I, I2156)) &gt; 1, "DUPLICATE", "UNIQUE")</f>
        <v>UNIQUE</v>
      </c>
      <c r="L2156" s="18">
        <v>1</v>
      </c>
      <c r="M2156" s="28">
        <v>61</v>
      </c>
      <c r="N2156" s="6">
        <v>289</v>
      </c>
      <c r="O2156" s="30">
        <f t="shared" si="202"/>
        <v>61</v>
      </c>
      <c r="P2156" s="30">
        <f t="shared" si="203"/>
        <v>17629</v>
      </c>
      <c r="Q2156" s="1">
        <f>COUNTIFS($P:$P, "&gt;" &amp; $P2156) + 1</f>
        <v>1179</v>
      </c>
      <c r="R2156" s="63">
        <f>(COUNTIFS($P:$P, "&gt;" &amp; $P2156) + 1) / (COUNTA($I:$I) - 1)</f>
        <v>0.23580000000000001</v>
      </c>
      <c r="S2156" s="23">
        <f>SUMIFS($P:$P, $Q:$Q, "&lt;" &amp; $Q2156)</f>
        <v>169958358</v>
      </c>
    </row>
    <row r="2157" spans="1:19" x14ac:dyDescent="0.25">
      <c r="A2157" s="1">
        <v>2152</v>
      </c>
      <c r="B2157" s="1" t="s">
        <v>2</v>
      </c>
      <c r="C2157" s="1" t="str">
        <f>IF($B2157 = "Production Item", _xlfn.XLOOKUP($A2157, 'Instrument Table'!$J:$J, 'Instrument Table'!$B:$B, $C2156), IF($B2157 = "Service Item", _xlfn.XLOOKUP($A2157, 'Instrument Table'!$I:$I, 'Instrument Table'!$B:$B, $C2156), _xlfn.XLOOKUP($A2157, 'Instrument Table'!$H:$H, 'Instrument Table'!$B:$B, $C2156)))</f>
        <v>Saxophone</v>
      </c>
      <c r="D2157" s="1" t="str">
        <f>VLOOKUP($C2157, 'Instrument Table'!$B:$C, 2, FALSE)</f>
        <v>Woodwinds</v>
      </c>
      <c r="E2157" s="1">
        <f t="shared" si="198"/>
        <v>1</v>
      </c>
      <c r="F2157" s="1">
        <f>_xlfn.XLOOKUP($C2157, 'Instrument Table'!$B:$B, 'Instrument Table'!$A:$A, "")</f>
        <v>31</v>
      </c>
      <c r="G2157" s="1" t="str">
        <f>TEXT(IF($B2157 = "Retail Item", IF((ROW($A2157) - 4504 - _xlfn.XMATCH($C2157, $C$4506:$C$5005, 0, 1)) &lt;= VLOOKUP($C2157, 'Instrument Table'!$B:$D, 3, FALSE), ROW($A2157) - 4504 - _xlfn.XMATCH($C2157, $C$4506:$C$5005, 0, 1), 0), 0), "00")</f>
        <v>00</v>
      </c>
      <c r="H2157" s="1" t="str">
        <f t="shared" si="199"/>
        <v>001</v>
      </c>
      <c r="I2157" s="1" t="str">
        <f t="shared" si="200"/>
        <v>13100-001</v>
      </c>
      <c r="J2157" s="1" t="str">
        <f t="shared" si="201"/>
        <v>Saxophone production item #001</v>
      </c>
      <c r="K2157" s="1" t="str">
        <f>IF(SUM(COUNTIFS(I:I, I2157)) &gt; 1, "DUPLICATE", "UNIQUE")</f>
        <v>UNIQUE</v>
      </c>
      <c r="L2157" s="18">
        <v>4</v>
      </c>
      <c r="M2157" s="28">
        <v>27</v>
      </c>
      <c r="N2157" s="6">
        <v>4</v>
      </c>
      <c r="O2157" s="30">
        <f t="shared" si="202"/>
        <v>108</v>
      </c>
      <c r="P2157" s="30">
        <f t="shared" si="203"/>
        <v>108</v>
      </c>
      <c r="Q2157" s="1">
        <f>COUNTIFS($P:$P, "&gt;" &amp; $P2157) + 1</f>
        <v>4438</v>
      </c>
      <c r="R2157" s="63">
        <f>(COUNTIFS($P:$P, "&gt;" &amp; $P2157) + 1) / (COUNTA($I:$I) - 1)</f>
        <v>0.88759999999999994</v>
      </c>
      <c r="S2157" s="23">
        <f>SUMIFS($P:$P, $Q:$Q, "&lt;" &amp; $Q2157)</f>
        <v>186530920</v>
      </c>
    </row>
    <row r="2158" spans="1:19" x14ac:dyDescent="0.25">
      <c r="A2158" s="1">
        <v>2153</v>
      </c>
      <c r="B2158" s="1" t="s">
        <v>2</v>
      </c>
      <c r="C2158" s="1" t="str">
        <f>IF($B2158 = "Production Item", _xlfn.XLOOKUP($A2158, 'Instrument Table'!$J:$J, 'Instrument Table'!$B:$B, $C2157), IF($B2158 = "Service Item", _xlfn.XLOOKUP($A2158, 'Instrument Table'!$I:$I, 'Instrument Table'!$B:$B, $C2157), _xlfn.XLOOKUP($A2158, 'Instrument Table'!$H:$H, 'Instrument Table'!$B:$B, $C2157)))</f>
        <v>Saxophone</v>
      </c>
      <c r="D2158" s="1" t="str">
        <f>VLOOKUP($C2158, 'Instrument Table'!$B:$C, 2, FALSE)</f>
        <v>Woodwinds</v>
      </c>
      <c r="E2158" s="1">
        <f t="shared" si="198"/>
        <v>1</v>
      </c>
      <c r="F2158" s="1">
        <f>_xlfn.XLOOKUP($C2158, 'Instrument Table'!$B:$B, 'Instrument Table'!$A:$A, "")</f>
        <v>31</v>
      </c>
      <c r="G2158" s="1" t="str">
        <f>TEXT(IF($B2158 = "Retail Item", IF((ROW($A2158) - 4504 - _xlfn.XMATCH($C2158, $C$4506:$C$5005, 0, 1)) &lt;= VLOOKUP($C2158, 'Instrument Table'!$B:$D, 3, FALSE), ROW($A2158) - 4504 - _xlfn.XMATCH($C2158, $C$4506:$C$5005, 0, 1), 0), 0), "00")</f>
        <v>00</v>
      </c>
      <c r="H2158" s="1" t="str">
        <f t="shared" si="199"/>
        <v>002</v>
      </c>
      <c r="I2158" s="1" t="str">
        <f t="shared" si="200"/>
        <v>13100-002</v>
      </c>
      <c r="J2158" s="1" t="str">
        <f t="shared" si="201"/>
        <v>Saxophone production item #002</v>
      </c>
      <c r="K2158" s="1" t="str">
        <f>IF(SUM(COUNTIFS(I:I, I2158)) &gt; 1, "DUPLICATE", "UNIQUE")</f>
        <v>UNIQUE</v>
      </c>
      <c r="L2158" s="18">
        <v>0</v>
      </c>
      <c r="M2158" s="28">
        <v>62</v>
      </c>
      <c r="N2158" s="6">
        <v>196</v>
      </c>
      <c r="O2158" s="30">
        <f t="shared" si="202"/>
        <v>0</v>
      </c>
      <c r="P2158" s="30">
        <f t="shared" si="203"/>
        <v>12152</v>
      </c>
      <c r="Q2158" s="1">
        <f>COUNTIFS($P:$P, "&gt;" &amp; $P2158) + 1</f>
        <v>1565</v>
      </c>
      <c r="R2158" s="63">
        <f>(COUNTIFS($P:$P, "&gt;" &amp; $P2158) + 1) / (COUNTA($I:$I) - 1)</f>
        <v>0.313</v>
      </c>
      <c r="S2158" s="23">
        <f>SUMIFS($P:$P, $Q:$Q, "&lt;" &amp; $Q2158)</f>
        <v>175658722</v>
      </c>
    </row>
    <row r="2159" spans="1:19" x14ac:dyDescent="0.25">
      <c r="A2159" s="1">
        <v>2154</v>
      </c>
      <c r="B2159" s="1" t="s">
        <v>2</v>
      </c>
      <c r="C2159" s="1" t="str">
        <f>IF($B2159 = "Production Item", _xlfn.XLOOKUP($A2159, 'Instrument Table'!$J:$J, 'Instrument Table'!$B:$B, $C2158), IF($B2159 = "Service Item", _xlfn.XLOOKUP($A2159, 'Instrument Table'!$I:$I, 'Instrument Table'!$B:$B, $C2158), _xlfn.XLOOKUP($A2159, 'Instrument Table'!$H:$H, 'Instrument Table'!$B:$B, $C2158)))</f>
        <v>Saxophone</v>
      </c>
      <c r="D2159" s="1" t="str">
        <f>VLOOKUP($C2159, 'Instrument Table'!$B:$C, 2, FALSE)</f>
        <v>Woodwinds</v>
      </c>
      <c r="E2159" s="1">
        <f t="shared" si="198"/>
        <v>1</v>
      </c>
      <c r="F2159" s="1">
        <f>_xlfn.XLOOKUP($C2159, 'Instrument Table'!$B:$B, 'Instrument Table'!$A:$A, "")</f>
        <v>31</v>
      </c>
      <c r="G2159" s="1" t="str">
        <f>TEXT(IF($B2159 = "Retail Item", IF((ROW($A2159) - 4504 - _xlfn.XMATCH($C2159, $C$4506:$C$5005, 0, 1)) &lt;= VLOOKUP($C2159, 'Instrument Table'!$B:$D, 3, FALSE), ROW($A2159) - 4504 - _xlfn.XMATCH($C2159, $C$4506:$C$5005, 0, 1), 0), 0), "00")</f>
        <v>00</v>
      </c>
      <c r="H2159" s="1" t="str">
        <f t="shared" si="199"/>
        <v>003</v>
      </c>
      <c r="I2159" s="1" t="str">
        <f t="shared" si="200"/>
        <v>13100-003</v>
      </c>
      <c r="J2159" s="1" t="str">
        <f t="shared" si="201"/>
        <v>Saxophone production item #003</v>
      </c>
      <c r="K2159" s="1" t="str">
        <f>IF(SUM(COUNTIFS(I:I, I2159)) &gt; 1, "DUPLICATE", "UNIQUE")</f>
        <v>UNIQUE</v>
      </c>
      <c r="L2159" s="18">
        <v>32</v>
      </c>
      <c r="M2159" s="28">
        <v>100</v>
      </c>
      <c r="N2159" s="6">
        <v>49</v>
      </c>
      <c r="O2159" s="30">
        <f t="shared" si="202"/>
        <v>3200</v>
      </c>
      <c r="P2159" s="30">
        <f t="shared" si="203"/>
        <v>4900</v>
      </c>
      <c r="Q2159" s="1">
        <f>COUNTIFS($P:$P, "&gt;" &amp; $P2159) + 1</f>
        <v>2465</v>
      </c>
      <c r="R2159" s="63">
        <f>(COUNTIFS($P:$P, "&gt;" &amp; $P2159) + 1) / (COUNTA($I:$I) - 1)</f>
        <v>0.49299999999999999</v>
      </c>
      <c r="S2159" s="23">
        <f>SUMIFS($P:$P, $Q:$Q, "&lt;" &amp; $Q2159)</f>
        <v>182946522</v>
      </c>
    </row>
    <row r="2160" spans="1:19" x14ac:dyDescent="0.25">
      <c r="A2160" s="1">
        <v>2155</v>
      </c>
      <c r="B2160" s="1" t="s">
        <v>2</v>
      </c>
      <c r="C2160" s="1" t="str">
        <f>IF($B2160 = "Production Item", _xlfn.XLOOKUP($A2160, 'Instrument Table'!$J:$J, 'Instrument Table'!$B:$B, $C2159), IF($B2160 = "Service Item", _xlfn.XLOOKUP($A2160, 'Instrument Table'!$I:$I, 'Instrument Table'!$B:$B, $C2159), _xlfn.XLOOKUP($A2160, 'Instrument Table'!$H:$H, 'Instrument Table'!$B:$B, $C2159)))</f>
        <v>Saxophone</v>
      </c>
      <c r="D2160" s="1" t="str">
        <f>VLOOKUP($C2160, 'Instrument Table'!$B:$C, 2, FALSE)</f>
        <v>Woodwinds</v>
      </c>
      <c r="E2160" s="1">
        <f t="shared" si="198"/>
        <v>1</v>
      </c>
      <c r="F2160" s="1">
        <f>_xlfn.XLOOKUP($C2160, 'Instrument Table'!$B:$B, 'Instrument Table'!$A:$A, "")</f>
        <v>31</v>
      </c>
      <c r="G2160" s="1" t="str">
        <f>TEXT(IF($B2160 = "Retail Item", IF((ROW($A2160) - 4504 - _xlfn.XMATCH($C2160, $C$4506:$C$5005, 0, 1)) &lt;= VLOOKUP($C2160, 'Instrument Table'!$B:$D, 3, FALSE), ROW($A2160) - 4504 - _xlfn.XMATCH($C2160, $C$4506:$C$5005, 0, 1), 0), 0), "00")</f>
        <v>00</v>
      </c>
      <c r="H2160" s="1" t="str">
        <f t="shared" si="199"/>
        <v>004</v>
      </c>
      <c r="I2160" s="1" t="str">
        <f t="shared" si="200"/>
        <v>13100-004</v>
      </c>
      <c r="J2160" s="1" t="str">
        <f t="shared" si="201"/>
        <v>Saxophone production item #004</v>
      </c>
      <c r="K2160" s="1" t="str">
        <f>IF(SUM(COUNTIFS(I:I, I2160)) &gt; 1, "DUPLICATE", "UNIQUE")</f>
        <v>UNIQUE</v>
      </c>
      <c r="L2160" s="18">
        <v>0</v>
      </c>
      <c r="M2160" s="28">
        <v>59</v>
      </c>
      <c r="N2160" s="6">
        <v>4</v>
      </c>
      <c r="O2160" s="30">
        <f t="shared" si="202"/>
        <v>0</v>
      </c>
      <c r="P2160" s="30">
        <f t="shared" si="203"/>
        <v>236</v>
      </c>
      <c r="Q2160" s="1">
        <f>COUNTIFS($P:$P, "&gt;" &amp; $P2160) + 1</f>
        <v>4287</v>
      </c>
      <c r="R2160" s="63">
        <f>(COUNTIFS($P:$P, "&gt;" &amp; $P2160) + 1) / (COUNTA($I:$I) - 1)</f>
        <v>0.85740000000000005</v>
      </c>
      <c r="S2160" s="23">
        <f>SUMIFS($P:$P, $Q:$Q, "&lt;" &amp; $Q2160)</f>
        <v>186504471</v>
      </c>
    </row>
    <row r="2161" spans="1:19" x14ac:dyDescent="0.25">
      <c r="A2161" s="1">
        <v>2156</v>
      </c>
      <c r="B2161" s="1" t="s">
        <v>2</v>
      </c>
      <c r="C2161" s="1" t="str">
        <f>IF($B2161 = "Production Item", _xlfn.XLOOKUP($A2161, 'Instrument Table'!$J:$J, 'Instrument Table'!$B:$B, $C2160), IF($B2161 = "Service Item", _xlfn.XLOOKUP($A2161, 'Instrument Table'!$I:$I, 'Instrument Table'!$B:$B, $C2160), _xlfn.XLOOKUP($A2161, 'Instrument Table'!$H:$H, 'Instrument Table'!$B:$B, $C2160)))</f>
        <v>Saxophone</v>
      </c>
      <c r="D2161" s="1" t="str">
        <f>VLOOKUP($C2161, 'Instrument Table'!$B:$C, 2, FALSE)</f>
        <v>Woodwinds</v>
      </c>
      <c r="E2161" s="1">
        <f t="shared" si="198"/>
        <v>1</v>
      </c>
      <c r="F2161" s="1">
        <f>_xlfn.XLOOKUP($C2161, 'Instrument Table'!$B:$B, 'Instrument Table'!$A:$A, "")</f>
        <v>31</v>
      </c>
      <c r="G2161" s="1" t="str">
        <f>TEXT(IF($B2161 = "Retail Item", IF((ROW($A2161) - 4504 - _xlfn.XMATCH($C2161, $C$4506:$C$5005, 0, 1)) &lt;= VLOOKUP($C2161, 'Instrument Table'!$B:$D, 3, FALSE), ROW($A2161) - 4504 - _xlfn.XMATCH($C2161, $C$4506:$C$5005, 0, 1), 0), 0), "00")</f>
        <v>00</v>
      </c>
      <c r="H2161" s="1" t="str">
        <f t="shared" si="199"/>
        <v>005</v>
      </c>
      <c r="I2161" s="1" t="str">
        <f t="shared" si="200"/>
        <v>13100-005</v>
      </c>
      <c r="J2161" s="1" t="str">
        <f t="shared" si="201"/>
        <v>Saxophone production item #005</v>
      </c>
      <c r="K2161" s="1" t="str">
        <f>IF(SUM(COUNTIFS(I:I, I2161)) &gt; 1, "DUPLICATE", "UNIQUE")</f>
        <v>UNIQUE</v>
      </c>
      <c r="L2161" s="18">
        <v>8</v>
      </c>
      <c r="M2161" s="28">
        <v>57</v>
      </c>
      <c r="N2161" s="6">
        <v>225</v>
      </c>
      <c r="O2161" s="30">
        <f t="shared" si="202"/>
        <v>456</v>
      </c>
      <c r="P2161" s="30">
        <f t="shared" si="203"/>
        <v>12825</v>
      </c>
      <c r="Q2161" s="1">
        <f>COUNTIFS($P:$P, "&gt;" &amp; $P2161) + 1</f>
        <v>1513</v>
      </c>
      <c r="R2161" s="63">
        <f>(COUNTIFS($P:$P, "&gt;" &amp; $P2161) + 1) / (COUNTA($I:$I) - 1)</f>
        <v>0.30259999999999998</v>
      </c>
      <c r="S2161" s="23">
        <f>SUMIFS($P:$P, $Q:$Q, "&lt;" &amp; $Q2161)</f>
        <v>175007815</v>
      </c>
    </row>
    <row r="2162" spans="1:19" x14ac:dyDescent="0.25">
      <c r="A2162" s="1">
        <v>2157</v>
      </c>
      <c r="B2162" s="1" t="s">
        <v>2</v>
      </c>
      <c r="C2162" s="1" t="str">
        <f>IF($B2162 = "Production Item", _xlfn.XLOOKUP($A2162, 'Instrument Table'!$J:$J, 'Instrument Table'!$B:$B, $C2161), IF($B2162 = "Service Item", _xlfn.XLOOKUP($A2162, 'Instrument Table'!$I:$I, 'Instrument Table'!$B:$B, $C2161), _xlfn.XLOOKUP($A2162, 'Instrument Table'!$H:$H, 'Instrument Table'!$B:$B, $C2161)))</f>
        <v>Saxophone</v>
      </c>
      <c r="D2162" s="1" t="str">
        <f>VLOOKUP($C2162, 'Instrument Table'!$B:$C, 2, FALSE)</f>
        <v>Woodwinds</v>
      </c>
      <c r="E2162" s="1">
        <f t="shared" si="198"/>
        <v>1</v>
      </c>
      <c r="F2162" s="1">
        <f>_xlfn.XLOOKUP($C2162, 'Instrument Table'!$B:$B, 'Instrument Table'!$A:$A, "")</f>
        <v>31</v>
      </c>
      <c r="G2162" s="1" t="str">
        <f>TEXT(IF($B2162 = "Retail Item", IF((ROW($A2162) - 4504 - _xlfn.XMATCH($C2162, $C$4506:$C$5005, 0, 1)) &lt;= VLOOKUP($C2162, 'Instrument Table'!$B:$D, 3, FALSE), ROW($A2162) - 4504 - _xlfn.XMATCH($C2162, $C$4506:$C$5005, 0, 1), 0), 0), "00")</f>
        <v>00</v>
      </c>
      <c r="H2162" s="1" t="str">
        <f t="shared" si="199"/>
        <v>006</v>
      </c>
      <c r="I2162" s="1" t="str">
        <f t="shared" si="200"/>
        <v>13100-006</v>
      </c>
      <c r="J2162" s="1" t="str">
        <f t="shared" si="201"/>
        <v>Saxophone production item #006</v>
      </c>
      <c r="K2162" s="1" t="str">
        <f>IF(SUM(COUNTIFS(I:I, I2162)) &gt; 1, "DUPLICATE", "UNIQUE")</f>
        <v>UNIQUE</v>
      </c>
      <c r="L2162" s="18">
        <v>8</v>
      </c>
      <c r="M2162" s="28">
        <v>23</v>
      </c>
      <c r="N2162" s="6">
        <v>400</v>
      </c>
      <c r="O2162" s="30">
        <f t="shared" si="202"/>
        <v>184</v>
      </c>
      <c r="P2162" s="30">
        <f t="shared" si="203"/>
        <v>9200</v>
      </c>
      <c r="Q2162" s="1">
        <f>COUNTIFS($P:$P, "&gt;" &amp; $P2162) + 1</f>
        <v>1855</v>
      </c>
      <c r="R2162" s="63">
        <f>(COUNTIFS($P:$P, "&gt;" &amp; $P2162) + 1) / (COUNTA($I:$I) - 1)</f>
        <v>0.371</v>
      </c>
      <c r="S2162" s="23">
        <f>SUMIFS($P:$P, $Q:$Q, "&lt;" &amp; $Q2162)</f>
        <v>178759900</v>
      </c>
    </row>
    <row r="2163" spans="1:19" x14ac:dyDescent="0.25">
      <c r="A2163" s="1">
        <v>2158</v>
      </c>
      <c r="B2163" s="1" t="s">
        <v>2</v>
      </c>
      <c r="C2163" s="1" t="str">
        <f>IF($B2163 = "Production Item", _xlfn.XLOOKUP($A2163, 'Instrument Table'!$J:$J, 'Instrument Table'!$B:$B, $C2162), IF($B2163 = "Service Item", _xlfn.XLOOKUP($A2163, 'Instrument Table'!$I:$I, 'Instrument Table'!$B:$B, $C2162), _xlfn.XLOOKUP($A2163, 'Instrument Table'!$H:$H, 'Instrument Table'!$B:$B, $C2162)))</f>
        <v>Saxophone</v>
      </c>
      <c r="D2163" s="1" t="str">
        <f>VLOOKUP($C2163, 'Instrument Table'!$B:$C, 2, FALSE)</f>
        <v>Woodwinds</v>
      </c>
      <c r="E2163" s="1">
        <f t="shared" si="198"/>
        <v>1</v>
      </c>
      <c r="F2163" s="1">
        <f>_xlfn.XLOOKUP($C2163, 'Instrument Table'!$B:$B, 'Instrument Table'!$A:$A, "")</f>
        <v>31</v>
      </c>
      <c r="G2163" s="1" t="str">
        <f>TEXT(IF($B2163 = "Retail Item", IF((ROW($A2163) - 4504 - _xlfn.XMATCH($C2163, $C$4506:$C$5005, 0, 1)) &lt;= VLOOKUP($C2163, 'Instrument Table'!$B:$D, 3, FALSE), ROW($A2163) - 4504 - _xlfn.XMATCH($C2163, $C$4506:$C$5005, 0, 1), 0), 0), "00")</f>
        <v>00</v>
      </c>
      <c r="H2163" s="1" t="str">
        <f t="shared" si="199"/>
        <v>007</v>
      </c>
      <c r="I2163" s="1" t="str">
        <f t="shared" si="200"/>
        <v>13100-007</v>
      </c>
      <c r="J2163" s="1" t="str">
        <f t="shared" si="201"/>
        <v>Saxophone production item #007</v>
      </c>
      <c r="K2163" s="1" t="str">
        <f>IF(SUM(COUNTIFS(I:I, I2163)) &gt; 1, "DUPLICATE", "UNIQUE")</f>
        <v>UNIQUE</v>
      </c>
      <c r="L2163" s="18">
        <v>0</v>
      </c>
      <c r="M2163" s="28">
        <v>96</v>
      </c>
      <c r="N2163" s="6">
        <v>144</v>
      </c>
      <c r="O2163" s="30">
        <f t="shared" si="202"/>
        <v>0</v>
      </c>
      <c r="P2163" s="30">
        <f t="shared" si="203"/>
        <v>13824</v>
      </c>
      <c r="Q2163" s="1">
        <f>COUNTIFS($P:$P, "&gt;" &amp; $P2163) + 1</f>
        <v>1432</v>
      </c>
      <c r="R2163" s="63">
        <f>(COUNTIFS($P:$P, "&gt;" &amp; $P2163) + 1) / (COUNTA($I:$I) - 1)</f>
        <v>0.28639999999999999</v>
      </c>
      <c r="S2163" s="23">
        <f>SUMIFS($P:$P, $Q:$Q, "&lt;" &amp; $Q2163)</f>
        <v>173925940</v>
      </c>
    </row>
    <row r="2164" spans="1:19" x14ac:dyDescent="0.25">
      <c r="A2164" s="1">
        <v>2159</v>
      </c>
      <c r="B2164" s="1" t="s">
        <v>2</v>
      </c>
      <c r="C2164" s="1" t="str">
        <f>IF($B2164 = "Production Item", _xlfn.XLOOKUP($A2164, 'Instrument Table'!$J:$J, 'Instrument Table'!$B:$B, $C2163), IF($B2164 = "Service Item", _xlfn.XLOOKUP($A2164, 'Instrument Table'!$I:$I, 'Instrument Table'!$B:$B, $C2163), _xlfn.XLOOKUP($A2164, 'Instrument Table'!$H:$H, 'Instrument Table'!$B:$B, $C2163)))</f>
        <v>Saxophone</v>
      </c>
      <c r="D2164" s="1" t="str">
        <f>VLOOKUP($C2164, 'Instrument Table'!$B:$C, 2, FALSE)</f>
        <v>Woodwinds</v>
      </c>
      <c r="E2164" s="1">
        <f t="shared" si="198"/>
        <v>1</v>
      </c>
      <c r="F2164" s="1">
        <f>_xlfn.XLOOKUP($C2164, 'Instrument Table'!$B:$B, 'Instrument Table'!$A:$A, "")</f>
        <v>31</v>
      </c>
      <c r="G2164" s="1" t="str">
        <f>TEXT(IF($B2164 = "Retail Item", IF((ROW($A2164) - 4504 - _xlfn.XMATCH($C2164, $C$4506:$C$5005, 0, 1)) &lt;= VLOOKUP($C2164, 'Instrument Table'!$B:$D, 3, FALSE), ROW($A2164) - 4504 - _xlfn.XMATCH($C2164, $C$4506:$C$5005, 0, 1), 0), 0), "00")</f>
        <v>00</v>
      </c>
      <c r="H2164" s="1" t="str">
        <f t="shared" si="199"/>
        <v>008</v>
      </c>
      <c r="I2164" s="1" t="str">
        <f t="shared" si="200"/>
        <v>13100-008</v>
      </c>
      <c r="J2164" s="1" t="str">
        <f t="shared" si="201"/>
        <v>Saxophone production item #008</v>
      </c>
      <c r="K2164" s="1" t="str">
        <f>IF(SUM(COUNTIFS(I:I, I2164)) &gt; 1, "DUPLICATE", "UNIQUE")</f>
        <v>UNIQUE</v>
      </c>
      <c r="L2164" s="18">
        <v>16</v>
      </c>
      <c r="M2164" s="28">
        <v>57</v>
      </c>
      <c r="N2164" s="6">
        <v>9</v>
      </c>
      <c r="O2164" s="30">
        <f t="shared" si="202"/>
        <v>912</v>
      </c>
      <c r="P2164" s="30">
        <f t="shared" si="203"/>
        <v>513</v>
      </c>
      <c r="Q2164" s="1">
        <f>COUNTIFS($P:$P, "&gt;" &amp; $P2164) + 1</f>
        <v>4008</v>
      </c>
      <c r="R2164" s="63">
        <f>(COUNTIFS($P:$P, "&gt;" &amp; $P2164) + 1) / (COUNTA($I:$I) - 1)</f>
        <v>0.80159999999999998</v>
      </c>
      <c r="S2164" s="23">
        <f>SUMIFS($P:$P, $Q:$Q, "&lt;" &amp; $Q2164)</f>
        <v>186402478</v>
      </c>
    </row>
    <row r="2165" spans="1:19" x14ac:dyDescent="0.25">
      <c r="A2165" s="1">
        <v>2160</v>
      </c>
      <c r="B2165" s="1" t="s">
        <v>2</v>
      </c>
      <c r="C2165" s="1" t="str">
        <f>IF($B2165 = "Production Item", _xlfn.XLOOKUP($A2165, 'Instrument Table'!$J:$J, 'Instrument Table'!$B:$B, $C2164), IF($B2165 = "Service Item", _xlfn.XLOOKUP($A2165, 'Instrument Table'!$I:$I, 'Instrument Table'!$B:$B, $C2164), _xlfn.XLOOKUP($A2165, 'Instrument Table'!$H:$H, 'Instrument Table'!$B:$B, $C2164)))</f>
        <v>Saxophone</v>
      </c>
      <c r="D2165" s="1" t="str">
        <f>VLOOKUP($C2165, 'Instrument Table'!$B:$C, 2, FALSE)</f>
        <v>Woodwinds</v>
      </c>
      <c r="E2165" s="1">
        <f t="shared" si="198"/>
        <v>1</v>
      </c>
      <c r="F2165" s="1">
        <f>_xlfn.XLOOKUP($C2165, 'Instrument Table'!$B:$B, 'Instrument Table'!$A:$A, "")</f>
        <v>31</v>
      </c>
      <c r="G2165" s="1" t="str">
        <f>TEXT(IF($B2165 = "Retail Item", IF((ROW($A2165) - 4504 - _xlfn.XMATCH($C2165, $C$4506:$C$5005, 0, 1)) &lt;= VLOOKUP($C2165, 'Instrument Table'!$B:$D, 3, FALSE), ROW($A2165) - 4504 - _xlfn.XMATCH($C2165, $C$4506:$C$5005, 0, 1), 0), 0), "00")</f>
        <v>00</v>
      </c>
      <c r="H2165" s="1" t="str">
        <f t="shared" si="199"/>
        <v>009</v>
      </c>
      <c r="I2165" s="1" t="str">
        <f t="shared" si="200"/>
        <v>13100-009</v>
      </c>
      <c r="J2165" s="1" t="str">
        <f t="shared" si="201"/>
        <v>Saxophone production item #009</v>
      </c>
      <c r="K2165" s="1" t="str">
        <f>IF(SUM(COUNTIFS(I:I, I2165)) &gt; 1, "DUPLICATE", "UNIQUE")</f>
        <v>UNIQUE</v>
      </c>
      <c r="L2165" s="18">
        <v>1</v>
      </c>
      <c r="M2165" s="28">
        <v>30</v>
      </c>
      <c r="N2165" s="6">
        <v>121</v>
      </c>
      <c r="O2165" s="30">
        <f t="shared" si="202"/>
        <v>30</v>
      </c>
      <c r="P2165" s="30">
        <f t="shared" si="203"/>
        <v>3630</v>
      </c>
      <c r="Q2165" s="1">
        <f>COUNTIFS($P:$P, "&gt;" &amp; $P2165) + 1</f>
        <v>2734</v>
      </c>
      <c r="R2165" s="63">
        <f>(COUNTIFS($P:$P, "&gt;" &amp; $P2165) + 1) / (COUNTA($I:$I) - 1)</f>
        <v>0.54679999999999995</v>
      </c>
      <c r="S2165" s="23">
        <f>SUMIFS($P:$P, $Q:$Q, "&lt;" &amp; $Q2165)</f>
        <v>184093191</v>
      </c>
    </row>
    <row r="2166" spans="1:19" x14ac:dyDescent="0.25">
      <c r="A2166" s="1">
        <v>2161</v>
      </c>
      <c r="B2166" s="1" t="s">
        <v>2</v>
      </c>
      <c r="C2166" s="1" t="str">
        <f>IF($B2166 = "Production Item", _xlfn.XLOOKUP($A2166, 'Instrument Table'!$J:$J, 'Instrument Table'!$B:$B, $C2165), IF($B2166 = "Service Item", _xlfn.XLOOKUP($A2166, 'Instrument Table'!$I:$I, 'Instrument Table'!$B:$B, $C2165), _xlfn.XLOOKUP($A2166, 'Instrument Table'!$H:$H, 'Instrument Table'!$B:$B, $C2165)))</f>
        <v>Saxophone</v>
      </c>
      <c r="D2166" s="1" t="str">
        <f>VLOOKUP($C2166, 'Instrument Table'!$B:$C, 2, FALSE)</f>
        <v>Woodwinds</v>
      </c>
      <c r="E2166" s="1">
        <f t="shared" si="198"/>
        <v>1</v>
      </c>
      <c r="F2166" s="1">
        <f>_xlfn.XLOOKUP($C2166, 'Instrument Table'!$B:$B, 'Instrument Table'!$A:$A, "")</f>
        <v>31</v>
      </c>
      <c r="G2166" s="1" t="str">
        <f>TEXT(IF($B2166 = "Retail Item", IF((ROW($A2166) - 4504 - _xlfn.XMATCH($C2166, $C$4506:$C$5005, 0, 1)) &lt;= VLOOKUP($C2166, 'Instrument Table'!$B:$D, 3, FALSE), ROW($A2166) - 4504 - _xlfn.XMATCH($C2166, $C$4506:$C$5005, 0, 1), 0), 0), "00")</f>
        <v>00</v>
      </c>
      <c r="H2166" s="1" t="str">
        <f t="shared" si="199"/>
        <v>010</v>
      </c>
      <c r="I2166" s="1" t="str">
        <f t="shared" si="200"/>
        <v>13100-010</v>
      </c>
      <c r="J2166" s="1" t="str">
        <f t="shared" si="201"/>
        <v>Saxophone production item #010</v>
      </c>
      <c r="K2166" s="1" t="str">
        <f>IF(SUM(COUNTIFS(I:I, I2166)) &gt; 1, "DUPLICATE", "UNIQUE")</f>
        <v>UNIQUE</v>
      </c>
      <c r="L2166" s="18">
        <v>32</v>
      </c>
      <c r="M2166" s="28">
        <v>72</v>
      </c>
      <c r="N2166" s="6">
        <v>324</v>
      </c>
      <c r="O2166" s="30">
        <f t="shared" si="202"/>
        <v>2304</v>
      </c>
      <c r="P2166" s="30">
        <f t="shared" si="203"/>
        <v>23328</v>
      </c>
      <c r="Q2166" s="1">
        <f>COUNTIFS($P:$P, "&gt;" &amp; $P2166) + 1</f>
        <v>892</v>
      </c>
      <c r="R2166" s="63">
        <f>(COUNTIFS($P:$P, "&gt;" &amp; $P2166) + 1) / (COUNTA($I:$I) - 1)</f>
        <v>0.1784</v>
      </c>
      <c r="S2166" s="23">
        <f>SUMIFS($P:$P, $Q:$Q, "&lt;" &amp; $Q2166)</f>
        <v>164094803</v>
      </c>
    </row>
    <row r="2167" spans="1:19" x14ac:dyDescent="0.25">
      <c r="A2167" s="1">
        <v>2162</v>
      </c>
      <c r="B2167" s="1" t="s">
        <v>2</v>
      </c>
      <c r="C2167" s="1" t="str">
        <f>IF($B2167 = "Production Item", _xlfn.XLOOKUP($A2167, 'Instrument Table'!$J:$J, 'Instrument Table'!$B:$B, $C2166), IF($B2167 = "Service Item", _xlfn.XLOOKUP($A2167, 'Instrument Table'!$I:$I, 'Instrument Table'!$B:$B, $C2166), _xlfn.XLOOKUP($A2167, 'Instrument Table'!$H:$H, 'Instrument Table'!$B:$B, $C2166)))</f>
        <v>Saxophone</v>
      </c>
      <c r="D2167" s="1" t="str">
        <f>VLOOKUP($C2167, 'Instrument Table'!$B:$C, 2, FALSE)</f>
        <v>Woodwinds</v>
      </c>
      <c r="E2167" s="1">
        <f t="shared" si="198"/>
        <v>1</v>
      </c>
      <c r="F2167" s="1">
        <f>_xlfn.XLOOKUP($C2167, 'Instrument Table'!$B:$B, 'Instrument Table'!$A:$A, "")</f>
        <v>31</v>
      </c>
      <c r="G2167" s="1" t="str">
        <f>TEXT(IF($B2167 = "Retail Item", IF((ROW($A2167) - 4504 - _xlfn.XMATCH($C2167, $C$4506:$C$5005, 0, 1)) &lt;= VLOOKUP($C2167, 'Instrument Table'!$B:$D, 3, FALSE), ROW($A2167) - 4504 - _xlfn.XMATCH($C2167, $C$4506:$C$5005, 0, 1), 0), 0), "00")</f>
        <v>00</v>
      </c>
      <c r="H2167" s="1" t="str">
        <f t="shared" si="199"/>
        <v>011</v>
      </c>
      <c r="I2167" s="1" t="str">
        <f t="shared" si="200"/>
        <v>13100-011</v>
      </c>
      <c r="J2167" s="1" t="str">
        <f t="shared" si="201"/>
        <v>Saxophone production item #011</v>
      </c>
      <c r="K2167" s="1" t="str">
        <f>IF(SUM(COUNTIFS(I:I, I2167)) &gt; 1, "DUPLICATE", "UNIQUE")</f>
        <v>UNIQUE</v>
      </c>
      <c r="L2167" s="18">
        <v>1</v>
      </c>
      <c r="M2167" s="28">
        <v>79</v>
      </c>
      <c r="N2167" s="6">
        <v>121</v>
      </c>
      <c r="O2167" s="30">
        <f t="shared" si="202"/>
        <v>79</v>
      </c>
      <c r="P2167" s="30">
        <f t="shared" si="203"/>
        <v>9559</v>
      </c>
      <c r="Q2167" s="1">
        <f>COUNTIFS($P:$P, "&gt;" &amp; $P2167) + 1</f>
        <v>1809</v>
      </c>
      <c r="R2167" s="63">
        <f>(COUNTIFS($P:$P, "&gt;" &amp; $P2167) + 1) / (COUNTA($I:$I) - 1)</f>
        <v>0.36180000000000001</v>
      </c>
      <c r="S2167" s="23">
        <f>SUMIFS($P:$P, $Q:$Q, "&lt;" &amp; $Q2167)</f>
        <v>178328120</v>
      </c>
    </row>
    <row r="2168" spans="1:19" x14ac:dyDescent="0.25">
      <c r="A2168" s="1">
        <v>2163</v>
      </c>
      <c r="B2168" s="1" t="s">
        <v>2</v>
      </c>
      <c r="C2168" s="1" t="str">
        <f>IF($B2168 = "Production Item", _xlfn.XLOOKUP($A2168, 'Instrument Table'!$J:$J, 'Instrument Table'!$B:$B, $C2167), IF($B2168 = "Service Item", _xlfn.XLOOKUP($A2168, 'Instrument Table'!$I:$I, 'Instrument Table'!$B:$B, $C2167), _xlfn.XLOOKUP($A2168, 'Instrument Table'!$H:$H, 'Instrument Table'!$B:$B, $C2167)))</f>
        <v>Saxophone</v>
      </c>
      <c r="D2168" s="1" t="str">
        <f>VLOOKUP($C2168, 'Instrument Table'!$B:$C, 2, FALSE)</f>
        <v>Woodwinds</v>
      </c>
      <c r="E2168" s="1">
        <f t="shared" si="198"/>
        <v>1</v>
      </c>
      <c r="F2168" s="1">
        <f>_xlfn.XLOOKUP($C2168, 'Instrument Table'!$B:$B, 'Instrument Table'!$A:$A, "")</f>
        <v>31</v>
      </c>
      <c r="G2168" s="1" t="str">
        <f>TEXT(IF($B2168 = "Retail Item", IF((ROW($A2168) - 4504 - _xlfn.XMATCH($C2168, $C$4506:$C$5005, 0, 1)) &lt;= VLOOKUP($C2168, 'Instrument Table'!$B:$D, 3, FALSE), ROW($A2168) - 4504 - _xlfn.XMATCH($C2168, $C$4506:$C$5005, 0, 1), 0), 0), "00")</f>
        <v>00</v>
      </c>
      <c r="H2168" s="1" t="str">
        <f t="shared" si="199"/>
        <v>012</v>
      </c>
      <c r="I2168" s="1" t="str">
        <f t="shared" si="200"/>
        <v>13100-012</v>
      </c>
      <c r="J2168" s="1" t="str">
        <f t="shared" si="201"/>
        <v>Saxophone production item #012</v>
      </c>
      <c r="K2168" s="1" t="str">
        <f>IF(SUM(COUNTIFS(I:I, I2168)) &gt; 1, "DUPLICATE", "UNIQUE")</f>
        <v>UNIQUE</v>
      </c>
      <c r="L2168" s="18">
        <v>1</v>
      </c>
      <c r="M2168" s="28">
        <v>81</v>
      </c>
      <c r="N2168" s="6">
        <v>9</v>
      </c>
      <c r="O2168" s="30">
        <f t="shared" si="202"/>
        <v>81</v>
      </c>
      <c r="P2168" s="30">
        <f t="shared" si="203"/>
        <v>729</v>
      </c>
      <c r="Q2168" s="1">
        <f>COUNTIFS($P:$P, "&gt;" &amp; $P2168) + 1</f>
        <v>3847</v>
      </c>
      <c r="R2168" s="63">
        <f>(COUNTIFS($P:$P, "&gt;" &amp; $P2168) + 1) / (COUNTA($I:$I) - 1)</f>
        <v>0.76939999999999997</v>
      </c>
      <c r="S2168" s="23">
        <f>SUMIFS($P:$P, $Q:$Q, "&lt;" &amp; $Q2168)</f>
        <v>186301356</v>
      </c>
    </row>
    <row r="2169" spans="1:19" x14ac:dyDescent="0.25">
      <c r="A2169" s="1">
        <v>2164</v>
      </c>
      <c r="B2169" s="1" t="s">
        <v>2</v>
      </c>
      <c r="C2169" s="1" t="str">
        <f>IF($B2169 = "Production Item", _xlfn.XLOOKUP($A2169, 'Instrument Table'!$J:$J, 'Instrument Table'!$B:$B, $C2168), IF($B2169 = "Service Item", _xlfn.XLOOKUP($A2169, 'Instrument Table'!$I:$I, 'Instrument Table'!$B:$B, $C2168), _xlfn.XLOOKUP($A2169, 'Instrument Table'!$H:$H, 'Instrument Table'!$B:$B, $C2168)))</f>
        <v>Saxophone</v>
      </c>
      <c r="D2169" s="1" t="str">
        <f>VLOOKUP($C2169, 'Instrument Table'!$B:$C, 2, FALSE)</f>
        <v>Woodwinds</v>
      </c>
      <c r="E2169" s="1">
        <f t="shared" si="198"/>
        <v>1</v>
      </c>
      <c r="F2169" s="1">
        <f>_xlfn.XLOOKUP($C2169, 'Instrument Table'!$B:$B, 'Instrument Table'!$A:$A, "")</f>
        <v>31</v>
      </c>
      <c r="G2169" s="1" t="str">
        <f>TEXT(IF($B2169 = "Retail Item", IF((ROW($A2169) - 4504 - _xlfn.XMATCH($C2169, $C$4506:$C$5005, 0, 1)) &lt;= VLOOKUP($C2169, 'Instrument Table'!$B:$D, 3, FALSE), ROW($A2169) - 4504 - _xlfn.XMATCH($C2169, $C$4506:$C$5005, 0, 1), 0), 0), "00")</f>
        <v>00</v>
      </c>
      <c r="H2169" s="1" t="str">
        <f t="shared" si="199"/>
        <v>013</v>
      </c>
      <c r="I2169" s="1" t="str">
        <f t="shared" si="200"/>
        <v>13100-013</v>
      </c>
      <c r="J2169" s="1" t="str">
        <f t="shared" si="201"/>
        <v>Saxophone production item #013</v>
      </c>
      <c r="K2169" s="1" t="str">
        <f>IF(SUM(COUNTIFS(I:I, I2169)) &gt; 1, "DUPLICATE", "UNIQUE")</f>
        <v>UNIQUE</v>
      </c>
      <c r="L2169" s="18">
        <v>1</v>
      </c>
      <c r="M2169" s="28">
        <v>67</v>
      </c>
      <c r="N2169" s="6">
        <v>1</v>
      </c>
      <c r="O2169" s="30">
        <f t="shared" si="202"/>
        <v>67</v>
      </c>
      <c r="P2169" s="30">
        <f t="shared" si="203"/>
        <v>67</v>
      </c>
      <c r="Q2169" s="1">
        <f>COUNTIFS($P:$P, "&gt;" &amp; $P2169) + 1</f>
        <v>4546</v>
      </c>
      <c r="R2169" s="63">
        <f>(COUNTIFS($P:$P, "&gt;" &amp; $P2169) + 1) / (COUNTA($I:$I) - 1)</f>
        <v>0.90920000000000001</v>
      </c>
      <c r="S2169" s="23">
        <f>SUMIFS($P:$P, $Q:$Q, "&lt;" &amp; $Q2169)</f>
        <v>186540389</v>
      </c>
    </row>
    <row r="2170" spans="1:19" x14ac:dyDescent="0.25">
      <c r="A2170" s="1">
        <v>2165</v>
      </c>
      <c r="B2170" s="1" t="s">
        <v>2</v>
      </c>
      <c r="C2170" s="1" t="str">
        <f>IF($B2170 = "Production Item", _xlfn.XLOOKUP($A2170, 'Instrument Table'!$J:$J, 'Instrument Table'!$B:$B, $C2169), IF($B2170 = "Service Item", _xlfn.XLOOKUP($A2170, 'Instrument Table'!$I:$I, 'Instrument Table'!$B:$B, $C2169), _xlfn.XLOOKUP($A2170, 'Instrument Table'!$H:$H, 'Instrument Table'!$B:$B, $C2169)))</f>
        <v>Saxophone</v>
      </c>
      <c r="D2170" s="1" t="str">
        <f>VLOOKUP($C2170, 'Instrument Table'!$B:$C, 2, FALSE)</f>
        <v>Woodwinds</v>
      </c>
      <c r="E2170" s="1">
        <f t="shared" si="198"/>
        <v>1</v>
      </c>
      <c r="F2170" s="1">
        <f>_xlfn.XLOOKUP($C2170, 'Instrument Table'!$B:$B, 'Instrument Table'!$A:$A, "")</f>
        <v>31</v>
      </c>
      <c r="G2170" s="1" t="str">
        <f>TEXT(IF($B2170 = "Retail Item", IF((ROW($A2170) - 4504 - _xlfn.XMATCH($C2170, $C$4506:$C$5005, 0, 1)) &lt;= VLOOKUP($C2170, 'Instrument Table'!$B:$D, 3, FALSE), ROW($A2170) - 4504 - _xlfn.XMATCH($C2170, $C$4506:$C$5005, 0, 1), 0), 0), "00")</f>
        <v>00</v>
      </c>
      <c r="H2170" s="1" t="str">
        <f t="shared" si="199"/>
        <v>014</v>
      </c>
      <c r="I2170" s="1" t="str">
        <f t="shared" si="200"/>
        <v>13100-014</v>
      </c>
      <c r="J2170" s="1" t="str">
        <f t="shared" si="201"/>
        <v>Saxophone production item #014</v>
      </c>
      <c r="K2170" s="1" t="str">
        <f>IF(SUM(COUNTIFS(I:I, I2170)) &gt; 1, "DUPLICATE", "UNIQUE")</f>
        <v>UNIQUE</v>
      </c>
      <c r="L2170" s="18">
        <v>0</v>
      </c>
      <c r="M2170" s="28">
        <v>13</v>
      </c>
      <c r="N2170" s="6">
        <v>324</v>
      </c>
      <c r="O2170" s="30">
        <f t="shared" si="202"/>
        <v>0</v>
      </c>
      <c r="P2170" s="30">
        <f t="shared" si="203"/>
        <v>4212</v>
      </c>
      <c r="Q2170" s="1">
        <f>COUNTIFS($P:$P, "&gt;" &amp; $P2170) + 1</f>
        <v>2613</v>
      </c>
      <c r="R2170" s="63">
        <f>(COUNTIFS($P:$P, "&gt;" &amp; $P2170) + 1) / (COUNTA($I:$I) - 1)</f>
        <v>0.52259999999999995</v>
      </c>
      <c r="S2170" s="23">
        <f>SUMIFS($P:$P, $Q:$Q, "&lt;" &amp; $Q2170)</f>
        <v>183618325</v>
      </c>
    </row>
    <row r="2171" spans="1:19" x14ac:dyDescent="0.25">
      <c r="A2171" s="1">
        <v>2166</v>
      </c>
      <c r="B2171" s="1" t="s">
        <v>2</v>
      </c>
      <c r="C2171" s="1" t="str">
        <f>IF($B2171 = "Production Item", _xlfn.XLOOKUP($A2171, 'Instrument Table'!$J:$J, 'Instrument Table'!$B:$B, $C2170), IF($B2171 = "Service Item", _xlfn.XLOOKUP($A2171, 'Instrument Table'!$I:$I, 'Instrument Table'!$B:$B, $C2170), _xlfn.XLOOKUP($A2171, 'Instrument Table'!$H:$H, 'Instrument Table'!$B:$B, $C2170)))</f>
        <v>Saxophone</v>
      </c>
      <c r="D2171" s="1" t="str">
        <f>VLOOKUP($C2171, 'Instrument Table'!$B:$C, 2, FALSE)</f>
        <v>Woodwinds</v>
      </c>
      <c r="E2171" s="1">
        <f t="shared" si="198"/>
        <v>1</v>
      </c>
      <c r="F2171" s="1">
        <f>_xlfn.XLOOKUP($C2171, 'Instrument Table'!$B:$B, 'Instrument Table'!$A:$A, "")</f>
        <v>31</v>
      </c>
      <c r="G2171" s="1" t="str">
        <f>TEXT(IF($B2171 = "Retail Item", IF((ROW($A2171) - 4504 - _xlfn.XMATCH($C2171, $C$4506:$C$5005, 0, 1)) &lt;= VLOOKUP($C2171, 'Instrument Table'!$B:$D, 3, FALSE), ROW($A2171) - 4504 - _xlfn.XMATCH($C2171, $C$4506:$C$5005, 0, 1), 0), 0), "00")</f>
        <v>00</v>
      </c>
      <c r="H2171" s="1" t="str">
        <f t="shared" si="199"/>
        <v>015</v>
      </c>
      <c r="I2171" s="1" t="str">
        <f t="shared" si="200"/>
        <v>13100-015</v>
      </c>
      <c r="J2171" s="1" t="str">
        <f t="shared" si="201"/>
        <v>Saxophone production item #015</v>
      </c>
      <c r="K2171" s="1" t="str">
        <f>IF(SUM(COUNTIFS(I:I, I2171)) &gt; 1, "DUPLICATE", "UNIQUE")</f>
        <v>UNIQUE</v>
      </c>
      <c r="L2171" s="18">
        <v>1</v>
      </c>
      <c r="M2171" s="28">
        <v>11</v>
      </c>
      <c r="N2171" s="6">
        <v>4</v>
      </c>
      <c r="O2171" s="30">
        <f t="shared" si="202"/>
        <v>11</v>
      </c>
      <c r="P2171" s="30">
        <f t="shared" si="203"/>
        <v>44</v>
      </c>
      <c r="Q2171" s="1">
        <f>COUNTIFS($P:$P, "&gt;" &amp; $P2171) + 1</f>
        <v>4632</v>
      </c>
      <c r="R2171" s="63">
        <f>(COUNTIFS($P:$P, "&gt;" &amp; $P2171) + 1) / (COUNTA($I:$I) - 1)</f>
        <v>0.9264</v>
      </c>
      <c r="S2171" s="23">
        <f>SUMIFS($P:$P, $Q:$Q, "&lt;" &amp; $Q2171)</f>
        <v>186545295</v>
      </c>
    </row>
    <row r="2172" spans="1:19" x14ac:dyDescent="0.25">
      <c r="A2172" s="1">
        <v>2167</v>
      </c>
      <c r="B2172" s="1" t="s">
        <v>2</v>
      </c>
      <c r="C2172" s="1" t="str">
        <f>IF($B2172 = "Production Item", _xlfn.XLOOKUP($A2172, 'Instrument Table'!$J:$J, 'Instrument Table'!$B:$B, $C2171), IF($B2172 = "Service Item", _xlfn.XLOOKUP($A2172, 'Instrument Table'!$I:$I, 'Instrument Table'!$B:$B, $C2171), _xlfn.XLOOKUP($A2172, 'Instrument Table'!$H:$H, 'Instrument Table'!$B:$B, $C2171)))</f>
        <v>Saxophone</v>
      </c>
      <c r="D2172" s="1" t="str">
        <f>VLOOKUP($C2172, 'Instrument Table'!$B:$C, 2, FALSE)</f>
        <v>Woodwinds</v>
      </c>
      <c r="E2172" s="1">
        <f t="shared" si="198"/>
        <v>1</v>
      </c>
      <c r="F2172" s="1">
        <f>_xlfn.XLOOKUP($C2172, 'Instrument Table'!$B:$B, 'Instrument Table'!$A:$A, "")</f>
        <v>31</v>
      </c>
      <c r="G2172" s="1" t="str">
        <f>TEXT(IF($B2172 = "Retail Item", IF((ROW($A2172) - 4504 - _xlfn.XMATCH($C2172, $C$4506:$C$5005, 0, 1)) &lt;= VLOOKUP($C2172, 'Instrument Table'!$B:$D, 3, FALSE), ROW($A2172) - 4504 - _xlfn.XMATCH($C2172, $C$4506:$C$5005, 0, 1), 0), 0), "00")</f>
        <v>00</v>
      </c>
      <c r="H2172" s="1" t="str">
        <f t="shared" si="199"/>
        <v>016</v>
      </c>
      <c r="I2172" s="1" t="str">
        <f t="shared" si="200"/>
        <v>13100-016</v>
      </c>
      <c r="J2172" s="1" t="str">
        <f t="shared" si="201"/>
        <v>Saxophone production item #016</v>
      </c>
      <c r="K2172" s="1" t="str">
        <f>IF(SUM(COUNTIFS(I:I, I2172)) &gt; 1, "DUPLICATE", "UNIQUE")</f>
        <v>UNIQUE</v>
      </c>
      <c r="L2172" s="18">
        <v>0</v>
      </c>
      <c r="M2172" s="28">
        <v>58</v>
      </c>
      <c r="N2172" s="6">
        <v>324</v>
      </c>
      <c r="O2172" s="30">
        <f t="shared" si="202"/>
        <v>0</v>
      </c>
      <c r="P2172" s="30">
        <f t="shared" si="203"/>
        <v>18792</v>
      </c>
      <c r="Q2172" s="1">
        <f>COUNTIFS($P:$P, "&gt;" &amp; $P2172) + 1</f>
        <v>1113</v>
      </c>
      <c r="R2172" s="63">
        <f>(COUNTIFS($P:$P, "&gt;" &amp; $P2172) + 1) / (COUNTA($I:$I) - 1)</f>
        <v>0.22259999999999999</v>
      </c>
      <c r="S2172" s="23">
        <f>SUMIFS($P:$P, $Q:$Q, "&lt;" &amp; $Q2172)</f>
        <v>168750418</v>
      </c>
    </row>
    <row r="2173" spans="1:19" x14ac:dyDescent="0.25">
      <c r="A2173" s="1">
        <v>2168</v>
      </c>
      <c r="B2173" s="1" t="s">
        <v>2</v>
      </c>
      <c r="C2173" s="1" t="str">
        <f>IF($B2173 = "Production Item", _xlfn.XLOOKUP($A2173, 'Instrument Table'!$J:$J, 'Instrument Table'!$B:$B, $C2172), IF($B2173 = "Service Item", _xlfn.XLOOKUP($A2173, 'Instrument Table'!$I:$I, 'Instrument Table'!$B:$B, $C2172), _xlfn.XLOOKUP($A2173, 'Instrument Table'!$H:$H, 'Instrument Table'!$B:$B, $C2172)))</f>
        <v>Saxophone</v>
      </c>
      <c r="D2173" s="1" t="str">
        <f>VLOOKUP($C2173, 'Instrument Table'!$B:$C, 2, FALSE)</f>
        <v>Woodwinds</v>
      </c>
      <c r="E2173" s="1">
        <f t="shared" si="198"/>
        <v>1</v>
      </c>
      <c r="F2173" s="1">
        <f>_xlfn.XLOOKUP($C2173, 'Instrument Table'!$B:$B, 'Instrument Table'!$A:$A, "")</f>
        <v>31</v>
      </c>
      <c r="G2173" s="1" t="str">
        <f>TEXT(IF($B2173 = "Retail Item", IF((ROW($A2173) - 4504 - _xlfn.XMATCH($C2173, $C$4506:$C$5005, 0, 1)) &lt;= VLOOKUP($C2173, 'Instrument Table'!$B:$D, 3, FALSE), ROW($A2173) - 4504 - _xlfn.XMATCH($C2173, $C$4506:$C$5005, 0, 1), 0), 0), "00")</f>
        <v>00</v>
      </c>
      <c r="H2173" s="1" t="str">
        <f t="shared" si="199"/>
        <v>017</v>
      </c>
      <c r="I2173" s="1" t="str">
        <f t="shared" si="200"/>
        <v>13100-017</v>
      </c>
      <c r="J2173" s="1" t="str">
        <f t="shared" si="201"/>
        <v>Saxophone production item #017</v>
      </c>
      <c r="K2173" s="1" t="str">
        <f>IF(SUM(COUNTIFS(I:I, I2173)) &gt; 1, "DUPLICATE", "UNIQUE")</f>
        <v>UNIQUE</v>
      </c>
      <c r="L2173" s="18">
        <v>2</v>
      </c>
      <c r="M2173" s="28">
        <v>84</v>
      </c>
      <c r="N2173" s="6">
        <v>144</v>
      </c>
      <c r="O2173" s="30">
        <f t="shared" si="202"/>
        <v>168</v>
      </c>
      <c r="P2173" s="30">
        <f t="shared" si="203"/>
        <v>12096</v>
      </c>
      <c r="Q2173" s="1">
        <f>COUNTIFS($P:$P, "&gt;" &amp; $P2173) + 1</f>
        <v>1572</v>
      </c>
      <c r="R2173" s="63">
        <f>(COUNTIFS($P:$P, "&gt;" &amp; $P2173) + 1) / (COUNTA($I:$I) - 1)</f>
        <v>0.31440000000000001</v>
      </c>
      <c r="S2173" s="23">
        <f>SUMIFS($P:$P, $Q:$Q, "&lt;" &amp; $Q2173)</f>
        <v>175743737</v>
      </c>
    </row>
    <row r="2174" spans="1:19" x14ac:dyDescent="0.25">
      <c r="A2174" s="1">
        <v>2169</v>
      </c>
      <c r="B2174" s="1" t="s">
        <v>2</v>
      </c>
      <c r="C2174" s="1" t="str">
        <f>IF($B2174 = "Production Item", _xlfn.XLOOKUP($A2174, 'Instrument Table'!$J:$J, 'Instrument Table'!$B:$B, $C2173), IF($B2174 = "Service Item", _xlfn.XLOOKUP($A2174, 'Instrument Table'!$I:$I, 'Instrument Table'!$B:$B, $C2173), _xlfn.XLOOKUP($A2174, 'Instrument Table'!$H:$H, 'Instrument Table'!$B:$B, $C2173)))</f>
        <v>Saxophone</v>
      </c>
      <c r="D2174" s="1" t="str">
        <f>VLOOKUP($C2174, 'Instrument Table'!$B:$C, 2, FALSE)</f>
        <v>Woodwinds</v>
      </c>
      <c r="E2174" s="1">
        <f t="shared" si="198"/>
        <v>1</v>
      </c>
      <c r="F2174" s="1">
        <f>_xlfn.XLOOKUP($C2174, 'Instrument Table'!$B:$B, 'Instrument Table'!$A:$A, "")</f>
        <v>31</v>
      </c>
      <c r="G2174" s="1" t="str">
        <f>TEXT(IF($B2174 = "Retail Item", IF((ROW($A2174) - 4504 - _xlfn.XMATCH($C2174, $C$4506:$C$5005, 0, 1)) &lt;= VLOOKUP($C2174, 'Instrument Table'!$B:$D, 3, FALSE), ROW($A2174) - 4504 - _xlfn.XMATCH($C2174, $C$4506:$C$5005, 0, 1), 0), 0), "00")</f>
        <v>00</v>
      </c>
      <c r="H2174" s="1" t="str">
        <f t="shared" si="199"/>
        <v>018</v>
      </c>
      <c r="I2174" s="1" t="str">
        <f t="shared" si="200"/>
        <v>13100-018</v>
      </c>
      <c r="J2174" s="1" t="str">
        <f t="shared" si="201"/>
        <v>Saxophone production item #018</v>
      </c>
      <c r="K2174" s="1" t="str">
        <f>IF(SUM(COUNTIFS(I:I, I2174)) &gt; 1, "DUPLICATE", "UNIQUE")</f>
        <v>UNIQUE</v>
      </c>
      <c r="L2174" s="18">
        <v>1</v>
      </c>
      <c r="M2174" s="28">
        <v>93</v>
      </c>
      <c r="N2174" s="6">
        <v>9</v>
      </c>
      <c r="O2174" s="30">
        <f t="shared" si="202"/>
        <v>93</v>
      </c>
      <c r="P2174" s="30">
        <f t="shared" si="203"/>
        <v>837</v>
      </c>
      <c r="Q2174" s="1">
        <f>COUNTIFS($P:$P, "&gt;" &amp; $P2174) + 1</f>
        <v>3769</v>
      </c>
      <c r="R2174" s="63">
        <f>(COUNTIFS($P:$P, "&gt;" &amp; $P2174) + 1) / (COUNTA($I:$I) - 1)</f>
        <v>0.75380000000000003</v>
      </c>
      <c r="S2174" s="23">
        <f>SUMIFS($P:$P, $Q:$Q, "&lt;" &amp; $Q2174)</f>
        <v>186240403</v>
      </c>
    </row>
    <row r="2175" spans="1:19" x14ac:dyDescent="0.25">
      <c r="A2175" s="1">
        <v>2170</v>
      </c>
      <c r="B2175" s="1" t="s">
        <v>2</v>
      </c>
      <c r="C2175" s="1" t="str">
        <f>IF($B2175 = "Production Item", _xlfn.XLOOKUP($A2175, 'Instrument Table'!$J:$J, 'Instrument Table'!$B:$B, $C2174), IF($B2175 = "Service Item", _xlfn.XLOOKUP($A2175, 'Instrument Table'!$I:$I, 'Instrument Table'!$B:$B, $C2174), _xlfn.XLOOKUP($A2175, 'Instrument Table'!$H:$H, 'Instrument Table'!$B:$B, $C2174)))</f>
        <v>Saxophone</v>
      </c>
      <c r="D2175" s="1" t="str">
        <f>VLOOKUP($C2175, 'Instrument Table'!$B:$C, 2, FALSE)</f>
        <v>Woodwinds</v>
      </c>
      <c r="E2175" s="1">
        <f t="shared" si="198"/>
        <v>1</v>
      </c>
      <c r="F2175" s="1">
        <f>_xlfn.XLOOKUP($C2175, 'Instrument Table'!$B:$B, 'Instrument Table'!$A:$A, "")</f>
        <v>31</v>
      </c>
      <c r="G2175" s="1" t="str">
        <f>TEXT(IF($B2175 = "Retail Item", IF((ROW($A2175) - 4504 - _xlfn.XMATCH($C2175, $C$4506:$C$5005, 0, 1)) &lt;= VLOOKUP($C2175, 'Instrument Table'!$B:$D, 3, FALSE), ROW($A2175) - 4504 - _xlfn.XMATCH($C2175, $C$4506:$C$5005, 0, 1), 0), 0), "00")</f>
        <v>00</v>
      </c>
      <c r="H2175" s="1" t="str">
        <f t="shared" si="199"/>
        <v>019</v>
      </c>
      <c r="I2175" s="1" t="str">
        <f t="shared" si="200"/>
        <v>13100-019</v>
      </c>
      <c r="J2175" s="1" t="str">
        <f t="shared" si="201"/>
        <v>Saxophone production item #019</v>
      </c>
      <c r="K2175" s="1" t="str">
        <f>IF(SUM(COUNTIFS(I:I, I2175)) &gt; 1, "DUPLICATE", "UNIQUE")</f>
        <v>UNIQUE</v>
      </c>
      <c r="L2175" s="18">
        <v>8</v>
      </c>
      <c r="M2175" s="28">
        <v>20</v>
      </c>
      <c r="N2175" s="6">
        <v>49</v>
      </c>
      <c r="O2175" s="30">
        <f t="shared" si="202"/>
        <v>160</v>
      </c>
      <c r="P2175" s="30">
        <f t="shared" si="203"/>
        <v>980</v>
      </c>
      <c r="Q2175" s="1">
        <f>COUNTIFS($P:$P, "&gt;" &amp; $P2175) + 1</f>
        <v>3689</v>
      </c>
      <c r="R2175" s="63">
        <f>(COUNTIFS($P:$P, "&gt;" &amp; $P2175) + 1) / (COUNTA($I:$I) - 1)</f>
        <v>0.73780000000000001</v>
      </c>
      <c r="S2175" s="23">
        <f>SUMIFS($P:$P, $Q:$Q, "&lt;" &amp; $Q2175)</f>
        <v>186168102</v>
      </c>
    </row>
    <row r="2176" spans="1:19" x14ac:dyDescent="0.25">
      <c r="A2176" s="1">
        <v>2171</v>
      </c>
      <c r="B2176" s="1" t="s">
        <v>2</v>
      </c>
      <c r="C2176" s="1" t="str">
        <f>IF($B2176 = "Production Item", _xlfn.XLOOKUP($A2176, 'Instrument Table'!$J:$J, 'Instrument Table'!$B:$B, $C2175), IF($B2176 = "Service Item", _xlfn.XLOOKUP($A2176, 'Instrument Table'!$I:$I, 'Instrument Table'!$B:$B, $C2175), _xlfn.XLOOKUP($A2176, 'Instrument Table'!$H:$H, 'Instrument Table'!$B:$B, $C2175)))</f>
        <v>Saxophone</v>
      </c>
      <c r="D2176" s="1" t="str">
        <f>VLOOKUP($C2176, 'Instrument Table'!$B:$C, 2, FALSE)</f>
        <v>Woodwinds</v>
      </c>
      <c r="E2176" s="1">
        <f t="shared" si="198"/>
        <v>1</v>
      </c>
      <c r="F2176" s="1">
        <f>_xlfn.XLOOKUP($C2176, 'Instrument Table'!$B:$B, 'Instrument Table'!$A:$A, "")</f>
        <v>31</v>
      </c>
      <c r="G2176" s="1" t="str">
        <f>TEXT(IF($B2176 = "Retail Item", IF((ROW($A2176) - 4504 - _xlfn.XMATCH($C2176, $C$4506:$C$5005, 0, 1)) &lt;= VLOOKUP($C2176, 'Instrument Table'!$B:$D, 3, FALSE), ROW($A2176) - 4504 - _xlfn.XMATCH($C2176, $C$4506:$C$5005, 0, 1), 0), 0), "00")</f>
        <v>00</v>
      </c>
      <c r="H2176" s="1" t="str">
        <f t="shared" si="199"/>
        <v>020</v>
      </c>
      <c r="I2176" s="1" t="str">
        <f t="shared" si="200"/>
        <v>13100-020</v>
      </c>
      <c r="J2176" s="1" t="str">
        <f t="shared" si="201"/>
        <v>Saxophone production item #020</v>
      </c>
      <c r="K2176" s="1" t="str">
        <f>IF(SUM(COUNTIFS(I:I, I2176)) &gt; 1, "DUPLICATE", "UNIQUE")</f>
        <v>UNIQUE</v>
      </c>
      <c r="L2176" s="18">
        <v>8</v>
      </c>
      <c r="M2176" s="28">
        <v>74</v>
      </c>
      <c r="N2176" s="6">
        <v>121</v>
      </c>
      <c r="O2176" s="30">
        <f t="shared" si="202"/>
        <v>592</v>
      </c>
      <c r="P2176" s="30">
        <f t="shared" si="203"/>
        <v>8954</v>
      </c>
      <c r="Q2176" s="1">
        <f>COUNTIFS($P:$P, "&gt;" &amp; $P2176) + 1</f>
        <v>1879</v>
      </c>
      <c r="R2176" s="63">
        <f>(COUNTIFS($P:$P, "&gt;" &amp; $P2176) + 1) / (COUNTA($I:$I) - 1)</f>
        <v>0.37580000000000002</v>
      </c>
      <c r="S2176" s="23">
        <f>SUMIFS($P:$P, $Q:$Q, "&lt;" &amp; $Q2176)</f>
        <v>178976955</v>
      </c>
    </row>
    <row r="2177" spans="1:19" x14ac:dyDescent="0.25">
      <c r="A2177" s="1">
        <v>2172</v>
      </c>
      <c r="B2177" s="1" t="s">
        <v>2</v>
      </c>
      <c r="C2177" s="1" t="str">
        <f>IF($B2177 = "Production Item", _xlfn.XLOOKUP($A2177, 'Instrument Table'!$J:$J, 'Instrument Table'!$B:$B, $C2176), IF($B2177 = "Service Item", _xlfn.XLOOKUP($A2177, 'Instrument Table'!$I:$I, 'Instrument Table'!$B:$B, $C2176), _xlfn.XLOOKUP($A2177, 'Instrument Table'!$H:$H, 'Instrument Table'!$B:$B, $C2176)))</f>
        <v>Saxophone</v>
      </c>
      <c r="D2177" s="1" t="str">
        <f>VLOOKUP($C2177, 'Instrument Table'!$B:$C, 2, FALSE)</f>
        <v>Woodwinds</v>
      </c>
      <c r="E2177" s="1">
        <f t="shared" si="198"/>
        <v>1</v>
      </c>
      <c r="F2177" s="1">
        <f>_xlfn.XLOOKUP($C2177, 'Instrument Table'!$B:$B, 'Instrument Table'!$A:$A, "")</f>
        <v>31</v>
      </c>
      <c r="G2177" s="1" t="str">
        <f>TEXT(IF($B2177 = "Retail Item", IF((ROW($A2177) - 4504 - _xlfn.XMATCH($C2177, $C$4506:$C$5005, 0, 1)) &lt;= VLOOKUP($C2177, 'Instrument Table'!$B:$D, 3, FALSE), ROW($A2177) - 4504 - _xlfn.XMATCH($C2177, $C$4506:$C$5005, 0, 1), 0), 0), "00")</f>
        <v>00</v>
      </c>
      <c r="H2177" s="1" t="str">
        <f t="shared" si="199"/>
        <v>021</v>
      </c>
      <c r="I2177" s="1" t="str">
        <f t="shared" si="200"/>
        <v>13100-021</v>
      </c>
      <c r="J2177" s="1" t="str">
        <f t="shared" si="201"/>
        <v>Saxophone production item #021</v>
      </c>
      <c r="K2177" s="1" t="str">
        <f>IF(SUM(COUNTIFS(I:I, I2177)) &gt; 1, "DUPLICATE", "UNIQUE")</f>
        <v>UNIQUE</v>
      </c>
      <c r="L2177" s="18">
        <v>1</v>
      </c>
      <c r="M2177" s="28">
        <v>57</v>
      </c>
      <c r="N2177" s="6">
        <v>81</v>
      </c>
      <c r="O2177" s="30">
        <f t="shared" si="202"/>
        <v>57</v>
      </c>
      <c r="P2177" s="30">
        <f t="shared" si="203"/>
        <v>4617</v>
      </c>
      <c r="Q2177" s="1">
        <f>COUNTIFS($P:$P, "&gt;" &amp; $P2177) + 1</f>
        <v>2513</v>
      </c>
      <c r="R2177" s="63">
        <f>(COUNTIFS($P:$P, "&gt;" &amp; $P2177) + 1) / (COUNTA($I:$I) - 1)</f>
        <v>0.50260000000000005</v>
      </c>
      <c r="S2177" s="23">
        <f>SUMIFS($P:$P, $Q:$Q, "&lt;" &amp; $Q2177)</f>
        <v>183176141</v>
      </c>
    </row>
    <row r="2178" spans="1:19" x14ac:dyDescent="0.25">
      <c r="A2178" s="1">
        <v>2173</v>
      </c>
      <c r="B2178" s="1" t="s">
        <v>2</v>
      </c>
      <c r="C2178" s="1" t="str">
        <f>IF($B2178 = "Production Item", _xlfn.XLOOKUP($A2178, 'Instrument Table'!$J:$J, 'Instrument Table'!$B:$B, $C2177), IF($B2178 = "Service Item", _xlfn.XLOOKUP($A2178, 'Instrument Table'!$I:$I, 'Instrument Table'!$B:$B, $C2177), _xlfn.XLOOKUP($A2178, 'Instrument Table'!$H:$H, 'Instrument Table'!$B:$B, $C2177)))</f>
        <v>Saxophone</v>
      </c>
      <c r="D2178" s="1" t="str">
        <f>VLOOKUP($C2178, 'Instrument Table'!$B:$C, 2, FALSE)</f>
        <v>Woodwinds</v>
      </c>
      <c r="E2178" s="1">
        <f t="shared" si="198"/>
        <v>1</v>
      </c>
      <c r="F2178" s="1">
        <f>_xlfn.XLOOKUP($C2178, 'Instrument Table'!$B:$B, 'Instrument Table'!$A:$A, "")</f>
        <v>31</v>
      </c>
      <c r="G2178" s="1" t="str">
        <f>TEXT(IF($B2178 = "Retail Item", IF((ROW($A2178) - 4504 - _xlfn.XMATCH($C2178, $C$4506:$C$5005, 0, 1)) &lt;= VLOOKUP($C2178, 'Instrument Table'!$B:$D, 3, FALSE), ROW($A2178) - 4504 - _xlfn.XMATCH($C2178, $C$4506:$C$5005, 0, 1), 0), 0), "00")</f>
        <v>00</v>
      </c>
      <c r="H2178" s="1" t="str">
        <f t="shared" si="199"/>
        <v>022</v>
      </c>
      <c r="I2178" s="1" t="str">
        <f t="shared" si="200"/>
        <v>13100-022</v>
      </c>
      <c r="J2178" s="1" t="str">
        <f t="shared" si="201"/>
        <v>Saxophone production item #022</v>
      </c>
      <c r="K2178" s="1" t="str">
        <f>IF(SUM(COUNTIFS(I:I, I2178)) &gt; 1, "DUPLICATE", "UNIQUE")</f>
        <v>UNIQUE</v>
      </c>
      <c r="L2178" s="18">
        <v>2</v>
      </c>
      <c r="M2178" s="28">
        <v>19</v>
      </c>
      <c r="N2178" s="6">
        <v>225</v>
      </c>
      <c r="O2178" s="30">
        <f t="shared" si="202"/>
        <v>38</v>
      </c>
      <c r="P2178" s="30">
        <f t="shared" si="203"/>
        <v>4275</v>
      </c>
      <c r="Q2178" s="1">
        <f>COUNTIFS($P:$P, "&gt;" &amp; $P2178) + 1</f>
        <v>2595</v>
      </c>
      <c r="R2178" s="63">
        <f>(COUNTIFS($P:$P, "&gt;" &amp; $P2178) + 1) / (COUNTA($I:$I) - 1)</f>
        <v>0.51900000000000002</v>
      </c>
      <c r="S2178" s="23">
        <f>SUMIFS($P:$P, $Q:$Q, "&lt;" &amp; $Q2178)</f>
        <v>183542086</v>
      </c>
    </row>
    <row r="2179" spans="1:19" x14ac:dyDescent="0.25">
      <c r="A2179" s="1">
        <v>2174</v>
      </c>
      <c r="B2179" s="1" t="s">
        <v>2</v>
      </c>
      <c r="C2179" s="1" t="str">
        <f>IF($B2179 = "Production Item", _xlfn.XLOOKUP($A2179, 'Instrument Table'!$J:$J, 'Instrument Table'!$B:$B, $C2178), IF($B2179 = "Service Item", _xlfn.XLOOKUP($A2179, 'Instrument Table'!$I:$I, 'Instrument Table'!$B:$B, $C2178), _xlfn.XLOOKUP($A2179, 'Instrument Table'!$H:$H, 'Instrument Table'!$B:$B, $C2178)))</f>
        <v>Saxophone</v>
      </c>
      <c r="D2179" s="1" t="str">
        <f>VLOOKUP($C2179, 'Instrument Table'!$B:$C, 2, FALSE)</f>
        <v>Woodwinds</v>
      </c>
      <c r="E2179" s="1">
        <f t="shared" si="198"/>
        <v>1</v>
      </c>
      <c r="F2179" s="1">
        <f>_xlfn.XLOOKUP($C2179, 'Instrument Table'!$B:$B, 'Instrument Table'!$A:$A, "")</f>
        <v>31</v>
      </c>
      <c r="G2179" s="1" t="str">
        <f>TEXT(IF($B2179 = "Retail Item", IF((ROW($A2179) - 4504 - _xlfn.XMATCH($C2179, $C$4506:$C$5005, 0, 1)) &lt;= VLOOKUP($C2179, 'Instrument Table'!$B:$D, 3, FALSE), ROW($A2179) - 4504 - _xlfn.XMATCH($C2179, $C$4506:$C$5005, 0, 1), 0), 0), "00")</f>
        <v>00</v>
      </c>
      <c r="H2179" s="1" t="str">
        <f t="shared" si="199"/>
        <v>023</v>
      </c>
      <c r="I2179" s="1" t="str">
        <f t="shared" si="200"/>
        <v>13100-023</v>
      </c>
      <c r="J2179" s="1" t="str">
        <f t="shared" si="201"/>
        <v>Saxophone production item #023</v>
      </c>
      <c r="K2179" s="1" t="str">
        <f>IF(SUM(COUNTIFS(I:I, I2179)) &gt; 1, "DUPLICATE", "UNIQUE")</f>
        <v>UNIQUE</v>
      </c>
      <c r="L2179" s="18">
        <v>1</v>
      </c>
      <c r="M2179" s="28">
        <v>85</v>
      </c>
      <c r="N2179" s="6">
        <v>100</v>
      </c>
      <c r="O2179" s="30">
        <f t="shared" si="202"/>
        <v>85</v>
      </c>
      <c r="P2179" s="30">
        <f t="shared" si="203"/>
        <v>8500</v>
      </c>
      <c r="Q2179" s="1">
        <f>COUNTIFS($P:$P, "&gt;" &amp; $P2179) + 1</f>
        <v>1926</v>
      </c>
      <c r="R2179" s="63">
        <f>(COUNTIFS($P:$P, "&gt;" &amp; $P2179) + 1) / (COUNTA($I:$I) - 1)</f>
        <v>0.38519999999999999</v>
      </c>
      <c r="S2179" s="23">
        <f>SUMIFS($P:$P, $Q:$Q, "&lt;" &amp; $Q2179)</f>
        <v>179389223</v>
      </c>
    </row>
    <row r="2180" spans="1:19" x14ac:dyDescent="0.25">
      <c r="A2180" s="1">
        <v>2175</v>
      </c>
      <c r="B2180" s="1" t="s">
        <v>2</v>
      </c>
      <c r="C2180" s="1" t="str">
        <f>IF($B2180 = "Production Item", _xlfn.XLOOKUP($A2180, 'Instrument Table'!$J:$J, 'Instrument Table'!$B:$B, $C2179), IF($B2180 = "Service Item", _xlfn.XLOOKUP($A2180, 'Instrument Table'!$I:$I, 'Instrument Table'!$B:$B, $C2179), _xlfn.XLOOKUP($A2180, 'Instrument Table'!$H:$H, 'Instrument Table'!$B:$B, $C2179)))</f>
        <v>Saxophone</v>
      </c>
      <c r="D2180" s="1" t="str">
        <f>VLOOKUP($C2180, 'Instrument Table'!$B:$C, 2, FALSE)</f>
        <v>Woodwinds</v>
      </c>
      <c r="E2180" s="1">
        <f t="shared" si="198"/>
        <v>1</v>
      </c>
      <c r="F2180" s="1">
        <f>_xlfn.XLOOKUP($C2180, 'Instrument Table'!$B:$B, 'Instrument Table'!$A:$A, "")</f>
        <v>31</v>
      </c>
      <c r="G2180" s="1" t="str">
        <f>TEXT(IF($B2180 = "Retail Item", IF((ROW($A2180) - 4504 - _xlfn.XMATCH($C2180, $C$4506:$C$5005, 0, 1)) &lt;= VLOOKUP($C2180, 'Instrument Table'!$B:$D, 3, FALSE), ROW($A2180) - 4504 - _xlfn.XMATCH($C2180, $C$4506:$C$5005, 0, 1), 0), 0), "00")</f>
        <v>00</v>
      </c>
      <c r="H2180" s="1" t="str">
        <f t="shared" si="199"/>
        <v>024</v>
      </c>
      <c r="I2180" s="1" t="str">
        <f t="shared" si="200"/>
        <v>13100-024</v>
      </c>
      <c r="J2180" s="1" t="str">
        <f t="shared" si="201"/>
        <v>Saxophone production item #024</v>
      </c>
      <c r="K2180" s="1" t="str">
        <f>IF(SUM(COUNTIFS(I:I, I2180)) &gt; 1, "DUPLICATE", "UNIQUE")</f>
        <v>UNIQUE</v>
      </c>
      <c r="L2180" s="18">
        <v>1</v>
      </c>
      <c r="M2180" s="28">
        <v>13</v>
      </c>
      <c r="N2180" s="6">
        <v>4</v>
      </c>
      <c r="O2180" s="30">
        <f t="shared" si="202"/>
        <v>13</v>
      </c>
      <c r="P2180" s="30">
        <f t="shared" si="203"/>
        <v>52</v>
      </c>
      <c r="Q2180" s="1">
        <f>COUNTIFS($P:$P, "&gt;" &amp; $P2180) + 1</f>
        <v>4609</v>
      </c>
      <c r="R2180" s="63">
        <f>(COUNTIFS($P:$P, "&gt;" &amp; $P2180) + 1) / (COUNTA($I:$I) - 1)</f>
        <v>0.92179999999999995</v>
      </c>
      <c r="S2180" s="23">
        <f>SUMIFS($P:$P, $Q:$Q, "&lt;" &amp; $Q2180)</f>
        <v>186544177</v>
      </c>
    </row>
    <row r="2181" spans="1:19" x14ac:dyDescent="0.25">
      <c r="A2181" s="1">
        <v>2176</v>
      </c>
      <c r="B2181" s="1" t="s">
        <v>2</v>
      </c>
      <c r="C2181" s="1" t="str">
        <f>IF($B2181 = "Production Item", _xlfn.XLOOKUP($A2181, 'Instrument Table'!$J:$J, 'Instrument Table'!$B:$B, $C2180), IF($B2181 = "Service Item", _xlfn.XLOOKUP($A2181, 'Instrument Table'!$I:$I, 'Instrument Table'!$B:$B, $C2180), _xlfn.XLOOKUP($A2181, 'Instrument Table'!$H:$H, 'Instrument Table'!$B:$B, $C2180)))</f>
        <v>Saxophone</v>
      </c>
      <c r="D2181" s="1" t="str">
        <f>VLOOKUP($C2181, 'Instrument Table'!$B:$C, 2, FALSE)</f>
        <v>Woodwinds</v>
      </c>
      <c r="E2181" s="1">
        <f t="shared" si="198"/>
        <v>1</v>
      </c>
      <c r="F2181" s="1">
        <f>_xlfn.XLOOKUP($C2181, 'Instrument Table'!$B:$B, 'Instrument Table'!$A:$A, "")</f>
        <v>31</v>
      </c>
      <c r="G2181" s="1" t="str">
        <f>TEXT(IF($B2181 = "Retail Item", IF((ROW($A2181) - 4504 - _xlfn.XMATCH($C2181, $C$4506:$C$5005, 0, 1)) &lt;= VLOOKUP($C2181, 'Instrument Table'!$B:$D, 3, FALSE), ROW($A2181) - 4504 - _xlfn.XMATCH($C2181, $C$4506:$C$5005, 0, 1), 0), 0), "00")</f>
        <v>00</v>
      </c>
      <c r="H2181" s="1" t="str">
        <f t="shared" si="199"/>
        <v>025</v>
      </c>
      <c r="I2181" s="1" t="str">
        <f t="shared" si="200"/>
        <v>13100-025</v>
      </c>
      <c r="J2181" s="1" t="str">
        <f t="shared" si="201"/>
        <v>Saxophone production item #025</v>
      </c>
      <c r="K2181" s="1" t="str">
        <f>IF(SUM(COUNTIFS(I:I, I2181)) &gt; 1, "DUPLICATE", "UNIQUE")</f>
        <v>UNIQUE</v>
      </c>
      <c r="L2181" s="18">
        <v>16</v>
      </c>
      <c r="M2181" s="28">
        <v>76</v>
      </c>
      <c r="N2181" s="6">
        <v>196</v>
      </c>
      <c r="O2181" s="30">
        <f t="shared" si="202"/>
        <v>1216</v>
      </c>
      <c r="P2181" s="30">
        <f t="shared" si="203"/>
        <v>14896</v>
      </c>
      <c r="Q2181" s="1">
        <f>COUNTIFS($P:$P, "&gt;" &amp; $P2181) + 1</f>
        <v>1357</v>
      </c>
      <c r="R2181" s="63">
        <f>(COUNTIFS($P:$P, "&gt;" &amp; $P2181) + 1) / (COUNTA($I:$I) - 1)</f>
        <v>0.27139999999999997</v>
      </c>
      <c r="S2181" s="23">
        <f>SUMIFS($P:$P, $Q:$Q, "&lt;" &amp; $Q2181)</f>
        <v>172847670</v>
      </c>
    </row>
    <row r="2182" spans="1:19" x14ac:dyDescent="0.25">
      <c r="A2182" s="1">
        <v>2177</v>
      </c>
      <c r="B2182" s="1" t="s">
        <v>2</v>
      </c>
      <c r="C2182" s="1" t="str">
        <f>IF($B2182 = "Production Item", _xlfn.XLOOKUP($A2182, 'Instrument Table'!$J:$J, 'Instrument Table'!$B:$B, $C2181), IF($B2182 = "Service Item", _xlfn.XLOOKUP($A2182, 'Instrument Table'!$I:$I, 'Instrument Table'!$B:$B, $C2181), _xlfn.XLOOKUP($A2182, 'Instrument Table'!$H:$H, 'Instrument Table'!$B:$B, $C2181)))</f>
        <v>Saxophone</v>
      </c>
      <c r="D2182" s="1" t="str">
        <f>VLOOKUP($C2182, 'Instrument Table'!$B:$C, 2, FALSE)</f>
        <v>Woodwinds</v>
      </c>
      <c r="E2182" s="1">
        <f t="shared" si="198"/>
        <v>1</v>
      </c>
      <c r="F2182" s="1">
        <f>_xlfn.XLOOKUP($C2182, 'Instrument Table'!$B:$B, 'Instrument Table'!$A:$A, "")</f>
        <v>31</v>
      </c>
      <c r="G2182" s="1" t="str">
        <f>TEXT(IF($B2182 = "Retail Item", IF((ROW($A2182) - 4504 - _xlfn.XMATCH($C2182, $C$4506:$C$5005, 0, 1)) &lt;= VLOOKUP($C2182, 'Instrument Table'!$B:$D, 3, FALSE), ROW($A2182) - 4504 - _xlfn.XMATCH($C2182, $C$4506:$C$5005, 0, 1), 0), 0), "00")</f>
        <v>00</v>
      </c>
      <c r="H2182" s="1" t="str">
        <f t="shared" si="199"/>
        <v>026</v>
      </c>
      <c r="I2182" s="1" t="str">
        <f t="shared" si="200"/>
        <v>13100-026</v>
      </c>
      <c r="J2182" s="1" t="str">
        <f t="shared" si="201"/>
        <v>Saxophone production item #026</v>
      </c>
      <c r="K2182" s="1" t="str">
        <f>IF(SUM(COUNTIFS(I:I, I2182)) &gt; 1, "DUPLICATE", "UNIQUE")</f>
        <v>UNIQUE</v>
      </c>
      <c r="L2182" s="18">
        <v>0</v>
      </c>
      <c r="M2182" s="28">
        <v>27</v>
      </c>
      <c r="N2182" s="6">
        <v>144</v>
      </c>
      <c r="O2182" s="30">
        <f t="shared" si="202"/>
        <v>0</v>
      </c>
      <c r="P2182" s="30">
        <f t="shared" si="203"/>
        <v>3888</v>
      </c>
      <c r="Q2182" s="1">
        <f>COUNTIFS($P:$P, "&gt;" &amp; $P2182) + 1</f>
        <v>2679</v>
      </c>
      <c r="R2182" s="63">
        <f>(COUNTIFS($P:$P, "&gt;" &amp; $P2182) + 1) / (COUNTA($I:$I) - 1)</f>
        <v>0.53580000000000005</v>
      </c>
      <c r="S2182" s="23">
        <f>SUMIFS($P:$P, $Q:$Q, "&lt;" &amp; $Q2182)</f>
        <v>183885792</v>
      </c>
    </row>
    <row r="2183" spans="1:19" x14ac:dyDescent="0.25">
      <c r="A2183" s="1">
        <v>2178</v>
      </c>
      <c r="B2183" s="1" t="s">
        <v>2</v>
      </c>
      <c r="C2183" s="1" t="str">
        <f>IF($B2183 = "Production Item", _xlfn.XLOOKUP($A2183, 'Instrument Table'!$J:$J, 'Instrument Table'!$B:$B, $C2182), IF($B2183 = "Service Item", _xlfn.XLOOKUP($A2183, 'Instrument Table'!$I:$I, 'Instrument Table'!$B:$B, $C2182), _xlfn.XLOOKUP($A2183, 'Instrument Table'!$H:$H, 'Instrument Table'!$B:$B, $C2182)))</f>
        <v>Saxophone</v>
      </c>
      <c r="D2183" s="1" t="str">
        <f>VLOOKUP($C2183, 'Instrument Table'!$B:$C, 2, FALSE)</f>
        <v>Woodwinds</v>
      </c>
      <c r="E2183" s="1">
        <f t="shared" ref="E2183:E2246" si="204">IF($B2183 = "Production Item", 1, IF($B2183 = "Service Item", 2, IF($B2183 = "Retail Item", 3, "")))</f>
        <v>1</v>
      </c>
      <c r="F2183" s="1">
        <f>_xlfn.XLOOKUP($C2183, 'Instrument Table'!$B:$B, 'Instrument Table'!$A:$A, "")</f>
        <v>31</v>
      </c>
      <c r="G2183" s="1" t="str">
        <f>TEXT(IF($B2183 = "Retail Item", IF((ROW($A2183) - 4504 - _xlfn.XMATCH($C2183, $C$4506:$C$5005, 0, 1)) &lt;= VLOOKUP($C2183, 'Instrument Table'!$B:$D, 3, FALSE), ROW($A2183) - 4504 - _xlfn.XMATCH($C2183, $C$4506:$C$5005, 0, 1), 0), 0), "00")</f>
        <v>00</v>
      </c>
      <c r="H2183" s="1" t="str">
        <f t="shared" ref="H2183:H2246" si="205">TEXT(IF($E2183 &amp; $F2183 &amp; $G2183 = $E2182 &amp; $F2182 &amp; $G2182, 1 + H2182, 0), "000")</f>
        <v>027</v>
      </c>
      <c r="I2183" s="1" t="str">
        <f t="shared" ref="I2183:I2246" si="206" xml:space="preserve"> _xlfn.CONCAT($E2183, $F2183, $G2183, "-", H2183)</f>
        <v>13100-027</v>
      </c>
      <c r="J2183" s="1" t="str">
        <f t="shared" ref="J2183:J2246" si="207">LEFT($C2183, 1) &amp; LOWER(RIGHT($C2183, LEN($C2183) - 1)) &amp; IF(AND($G2183 &lt;&gt; "00", $B2183 = "Retail Item"), " model #" &amp; $G2183, " " &amp; LOWER($B2183) &amp; " #" &amp; $H2183)</f>
        <v>Saxophone production item #027</v>
      </c>
      <c r="K2183" s="1" t="str">
        <f>IF(SUM(COUNTIFS(I:I, I2183)) &gt; 1, "DUPLICATE", "UNIQUE")</f>
        <v>UNIQUE</v>
      </c>
      <c r="L2183" s="18">
        <v>1</v>
      </c>
      <c r="M2183" s="28">
        <v>9</v>
      </c>
      <c r="N2183" s="6">
        <v>400</v>
      </c>
      <c r="O2183" s="30">
        <f t="shared" ref="O2183:O2246" si="208">$L2183 * $M2183</f>
        <v>9</v>
      </c>
      <c r="P2183" s="30">
        <f t="shared" ref="P2183:P2246" si="209">$N2183 * $M2183</f>
        <v>3600</v>
      </c>
      <c r="Q2183" s="1">
        <f>COUNTIFS($P:$P, "&gt;" &amp; $P2183) + 1</f>
        <v>2737</v>
      </c>
      <c r="R2183" s="63">
        <f>(COUNTIFS($P:$P, "&gt;" &amp; $P2183) + 1) / (COUNTA($I:$I) - 1)</f>
        <v>0.5474</v>
      </c>
      <c r="S2183" s="23">
        <f>SUMIFS($P:$P, $Q:$Q, "&lt;" &amp; $Q2183)</f>
        <v>184104041</v>
      </c>
    </row>
    <row r="2184" spans="1:19" x14ac:dyDescent="0.25">
      <c r="A2184" s="1">
        <v>2179</v>
      </c>
      <c r="B2184" s="1" t="s">
        <v>2</v>
      </c>
      <c r="C2184" s="1" t="str">
        <f>IF($B2184 = "Production Item", _xlfn.XLOOKUP($A2184, 'Instrument Table'!$J:$J, 'Instrument Table'!$B:$B, $C2183), IF($B2184 = "Service Item", _xlfn.XLOOKUP($A2184, 'Instrument Table'!$I:$I, 'Instrument Table'!$B:$B, $C2183), _xlfn.XLOOKUP($A2184, 'Instrument Table'!$H:$H, 'Instrument Table'!$B:$B, $C2183)))</f>
        <v>Saxophone</v>
      </c>
      <c r="D2184" s="1" t="str">
        <f>VLOOKUP($C2184, 'Instrument Table'!$B:$C, 2, FALSE)</f>
        <v>Woodwinds</v>
      </c>
      <c r="E2184" s="1">
        <f t="shared" si="204"/>
        <v>1</v>
      </c>
      <c r="F2184" s="1">
        <f>_xlfn.XLOOKUP($C2184, 'Instrument Table'!$B:$B, 'Instrument Table'!$A:$A, "")</f>
        <v>31</v>
      </c>
      <c r="G2184" s="1" t="str">
        <f>TEXT(IF($B2184 = "Retail Item", IF((ROW($A2184) - 4504 - _xlfn.XMATCH($C2184, $C$4506:$C$5005, 0, 1)) &lt;= VLOOKUP($C2184, 'Instrument Table'!$B:$D, 3, FALSE), ROW($A2184) - 4504 - _xlfn.XMATCH($C2184, $C$4506:$C$5005, 0, 1), 0), 0), "00")</f>
        <v>00</v>
      </c>
      <c r="H2184" s="1" t="str">
        <f t="shared" si="205"/>
        <v>028</v>
      </c>
      <c r="I2184" s="1" t="str">
        <f t="shared" si="206"/>
        <v>13100-028</v>
      </c>
      <c r="J2184" s="1" t="str">
        <f t="shared" si="207"/>
        <v>Saxophone production item #028</v>
      </c>
      <c r="K2184" s="1" t="str">
        <f>IF(SUM(COUNTIFS(I:I, I2184)) &gt; 1, "DUPLICATE", "UNIQUE")</f>
        <v>UNIQUE</v>
      </c>
      <c r="L2184" s="18">
        <v>1</v>
      </c>
      <c r="M2184" s="28">
        <v>32</v>
      </c>
      <c r="N2184" s="6">
        <v>289</v>
      </c>
      <c r="O2184" s="30">
        <f t="shared" si="208"/>
        <v>32</v>
      </c>
      <c r="P2184" s="30">
        <f t="shared" si="209"/>
        <v>9248</v>
      </c>
      <c r="Q2184" s="1">
        <f>COUNTIFS($P:$P, "&gt;" &amp; $P2184) + 1</f>
        <v>1843</v>
      </c>
      <c r="R2184" s="63">
        <f>(COUNTIFS($P:$P, "&gt;" &amp; $P2184) + 1) / (COUNTA($I:$I) - 1)</f>
        <v>0.36859999999999998</v>
      </c>
      <c r="S2184" s="23">
        <f>SUMIFS($P:$P, $Q:$Q, "&lt;" &amp; $Q2184)</f>
        <v>178649134</v>
      </c>
    </row>
    <row r="2185" spans="1:19" x14ac:dyDescent="0.25">
      <c r="A2185" s="1">
        <v>2180</v>
      </c>
      <c r="B2185" s="1" t="s">
        <v>2</v>
      </c>
      <c r="C2185" s="1" t="str">
        <f>IF($B2185 = "Production Item", _xlfn.XLOOKUP($A2185, 'Instrument Table'!$J:$J, 'Instrument Table'!$B:$B, $C2184), IF($B2185 = "Service Item", _xlfn.XLOOKUP($A2185, 'Instrument Table'!$I:$I, 'Instrument Table'!$B:$B, $C2184), _xlfn.XLOOKUP($A2185, 'Instrument Table'!$H:$H, 'Instrument Table'!$B:$B, $C2184)))</f>
        <v>Saxophone</v>
      </c>
      <c r="D2185" s="1" t="str">
        <f>VLOOKUP($C2185, 'Instrument Table'!$B:$C, 2, FALSE)</f>
        <v>Woodwinds</v>
      </c>
      <c r="E2185" s="1">
        <f t="shared" si="204"/>
        <v>1</v>
      </c>
      <c r="F2185" s="1">
        <f>_xlfn.XLOOKUP($C2185, 'Instrument Table'!$B:$B, 'Instrument Table'!$A:$A, "")</f>
        <v>31</v>
      </c>
      <c r="G2185" s="1" t="str">
        <f>TEXT(IF($B2185 = "Retail Item", IF((ROW($A2185) - 4504 - _xlfn.XMATCH($C2185, $C$4506:$C$5005, 0, 1)) &lt;= VLOOKUP($C2185, 'Instrument Table'!$B:$D, 3, FALSE), ROW($A2185) - 4504 - _xlfn.XMATCH($C2185, $C$4506:$C$5005, 0, 1), 0), 0), "00")</f>
        <v>00</v>
      </c>
      <c r="H2185" s="1" t="str">
        <f t="shared" si="205"/>
        <v>029</v>
      </c>
      <c r="I2185" s="1" t="str">
        <f t="shared" si="206"/>
        <v>13100-029</v>
      </c>
      <c r="J2185" s="1" t="str">
        <f t="shared" si="207"/>
        <v>Saxophone production item #029</v>
      </c>
      <c r="K2185" s="1" t="str">
        <f>IF(SUM(COUNTIFS(I:I, I2185)) &gt; 1, "DUPLICATE", "UNIQUE")</f>
        <v>UNIQUE</v>
      </c>
      <c r="L2185" s="18">
        <v>0</v>
      </c>
      <c r="M2185" s="28">
        <v>79</v>
      </c>
      <c r="N2185" s="6">
        <v>25</v>
      </c>
      <c r="O2185" s="30">
        <f t="shared" si="208"/>
        <v>0</v>
      </c>
      <c r="P2185" s="30">
        <f t="shared" si="209"/>
        <v>1975</v>
      </c>
      <c r="Q2185" s="1">
        <f>COUNTIFS($P:$P, "&gt;" &amp; $P2185) + 1</f>
        <v>3267</v>
      </c>
      <c r="R2185" s="63">
        <f>(COUNTIFS($P:$P, "&gt;" &amp; $P2185) + 1) / (COUNTA($I:$I) - 1)</f>
        <v>0.65339999999999998</v>
      </c>
      <c r="S2185" s="23">
        <f>SUMIFS($P:$P, $Q:$Q, "&lt;" &amp; $Q2185)</f>
        <v>185545135</v>
      </c>
    </row>
    <row r="2186" spans="1:19" x14ac:dyDescent="0.25">
      <c r="A2186" s="1">
        <v>2181</v>
      </c>
      <c r="B2186" s="1" t="s">
        <v>2</v>
      </c>
      <c r="C2186" s="1" t="str">
        <f>IF($B2186 = "Production Item", _xlfn.XLOOKUP($A2186, 'Instrument Table'!$J:$J, 'Instrument Table'!$B:$B, $C2185), IF($B2186 = "Service Item", _xlfn.XLOOKUP($A2186, 'Instrument Table'!$I:$I, 'Instrument Table'!$B:$B, $C2185), _xlfn.XLOOKUP($A2186, 'Instrument Table'!$H:$H, 'Instrument Table'!$B:$B, $C2185)))</f>
        <v>Saxophone</v>
      </c>
      <c r="D2186" s="1" t="str">
        <f>VLOOKUP($C2186, 'Instrument Table'!$B:$C, 2, FALSE)</f>
        <v>Woodwinds</v>
      </c>
      <c r="E2186" s="1">
        <f t="shared" si="204"/>
        <v>1</v>
      </c>
      <c r="F2186" s="1">
        <f>_xlfn.XLOOKUP($C2186, 'Instrument Table'!$B:$B, 'Instrument Table'!$A:$A, "")</f>
        <v>31</v>
      </c>
      <c r="G2186" s="1" t="str">
        <f>TEXT(IF($B2186 = "Retail Item", IF((ROW($A2186) - 4504 - _xlfn.XMATCH($C2186, $C$4506:$C$5005, 0, 1)) &lt;= VLOOKUP($C2186, 'Instrument Table'!$B:$D, 3, FALSE), ROW($A2186) - 4504 - _xlfn.XMATCH($C2186, $C$4506:$C$5005, 0, 1), 0), 0), "00")</f>
        <v>00</v>
      </c>
      <c r="H2186" s="1" t="str">
        <f t="shared" si="205"/>
        <v>030</v>
      </c>
      <c r="I2186" s="1" t="str">
        <f t="shared" si="206"/>
        <v>13100-030</v>
      </c>
      <c r="J2186" s="1" t="str">
        <f t="shared" si="207"/>
        <v>Saxophone production item #030</v>
      </c>
      <c r="K2186" s="1" t="str">
        <f>IF(SUM(COUNTIFS(I:I, I2186)) &gt; 1, "DUPLICATE", "UNIQUE")</f>
        <v>UNIQUE</v>
      </c>
      <c r="L2186" s="18">
        <v>16</v>
      </c>
      <c r="M2186" s="28">
        <v>65</v>
      </c>
      <c r="N2186" s="6">
        <v>25</v>
      </c>
      <c r="O2186" s="30">
        <f t="shared" si="208"/>
        <v>1040</v>
      </c>
      <c r="P2186" s="30">
        <f t="shared" si="209"/>
        <v>1625</v>
      </c>
      <c r="Q2186" s="1">
        <f>COUNTIFS($P:$P, "&gt;" &amp; $P2186) + 1</f>
        <v>3390</v>
      </c>
      <c r="R2186" s="63">
        <f>(COUNTIFS($P:$P, "&gt;" &amp; $P2186) + 1) / (COUNTA($I:$I) - 1)</f>
        <v>0.67800000000000005</v>
      </c>
      <c r="S2186" s="23">
        <f>SUMIFS($P:$P, $Q:$Q, "&lt;" &amp; $Q2186)</f>
        <v>185768799</v>
      </c>
    </row>
    <row r="2187" spans="1:19" x14ac:dyDescent="0.25">
      <c r="A2187" s="1">
        <v>2182</v>
      </c>
      <c r="B2187" s="1" t="s">
        <v>2</v>
      </c>
      <c r="C2187" s="1" t="str">
        <f>IF($B2187 = "Production Item", _xlfn.XLOOKUP($A2187, 'Instrument Table'!$J:$J, 'Instrument Table'!$B:$B, $C2186), IF($B2187 = "Service Item", _xlfn.XLOOKUP($A2187, 'Instrument Table'!$I:$I, 'Instrument Table'!$B:$B, $C2186), _xlfn.XLOOKUP($A2187, 'Instrument Table'!$H:$H, 'Instrument Table'!$B:$B, $C2186)))</f>
        <v>Saxophone</v>
      </c>
      <c r="D2187" s="1" t="str">
        <f>VLOOKUP($C2187, 'Instrument Table'!$B:$C, 2, FALSE)</f>
        <v>Woodwinds</v>
      </c>
      <c r="E2187" s="1">
        <f t="shared" si="204"/>
        <v>1</v>
      </c>
      <c r="F2187" s="1">
        <f>_xlfn.XLOOKUP($C2187, 'Instrument Table'!$B:$B, 'Instrument Table'!$A:$A, "")</f>
        <v>31</v>
      </c>
      <c r="G2187" s="1" t="str">
        <f>TEXT(IF($B2187 = "Retail Item", IF((ROW($A2187) - 4504 - _xlfn.XMATCH($C2187, $C$4506:$C$5005, 0, 1)) &lt;= VLOOKUP($C2187, 'Instrument Table'!$B:$D, 3, FALSE), ROW($A2187) - 4504 - _xlfn.XMATCH($C2187, $C$4506:$C$5005, 0, 1), 0), 0), "00")</f>
        <v>00</v>
      </c>
      <c r="H2187" s="1" t="str">
        <f t="shared" si="205"/>
        <v>031</v>
      </c>
      <c r="I2187" s="1" t="str">
        <f t="shared" si="206"/>
        <v>13100-031</v>
      </c>
      <c r="J2187" s="1" t="str">
        <f t="shared" si="207"/>
        <v>Saxophone production item #031</v>
      </c>
      <c r="K2187" s="1" t="str">
        <f>IF(SUM(COUNTIFS(I:I, I2187)) &gt; 1, "DUPLICATE", "UNIQUE")</f>
        <v>UNIQUE</v>
      </c>
      <c r="L2187" s="18">
        <v>8</v>
      </c>
      <c r="M2187" s="28">
        <v>80</v>
      </c>
      <c r="N2187" s="6">
        <v>49</v>
      </c>
      <c r="O2187" s="30">
        <f t="shared" si="208"/>
        <v>640</v>
      </c>
      <c r="P2187" s="30">
        <f t="shared" si="209"/>
        <v>3920</v>
      </c>
      <c r="Q2187" s="1">
        <f>COUNTIFS($P:$P, "&gt;" &amp; $P2187) + 1</f>
        <v>2667</v>
      </c>
      <c r="R2187" s="63">
        <f>(COUNTIFS($P:$P, "&gt;" &amp; $P2187) + 1) / (COUNTA($I:$I) - 1)</f>
        <v>0.53339999999999999</v>
      </c>
      <c r="S2187" s="23">
        <f>SUMIFS($P:$P, $Q:$Q, "&lt;" &amp; $Q2187)</f>
        <v>183838824</v>
      </c>
    </row>
    <row r="2188" spans="1:19" x14ac:dyDescent="0.25">
      <c r="A2188" s="1">
        <v>2183</v>
      </c>
      <c r="B2188" s="1" t="s">
        <v>2</v>
      </c>
      <c r="C2188" s="1" t="str">
        <f>IF($B2188 = "Production Item", _xlfn.XLOOKUP($A2188, 'Instrument Table'!$J:$J, 'Instrument Table'!$B:$B, $C2187), IF($B2188 = "Service Item", _xlfn.XLOOKUP($A2188, 'Instrument Table'!$I:$I, 'Instrument Table'!$B:$B, $C2187), _xlfn.XLOOKUP($A2188, 'Instrument Table'!$H:$H, 'Instrument Table'!$B:$B, $C2187)))</f>
        <v>Saxophone</v>
      </c>
      <c r="D2188" s="1" t="str">
        <f>VLOOKUP($C2188, 'Instrument Table'!$B:$C, 2, FALSE)</f>
        <v>Woodwinds</v>
      </c>
      <c r="E2188" s="1">
        <f t="shared" si="204"/>
        <v>1</v>
      </c>
      <c r="F2188" s="1">
        <f>_xlfn.XLOOKUP($C2188, 'Instrument Table'!$B:$B, 'Instrument Table'!$A:$A, "")</f>
        <v>31</v>
      </c>
      <c r="G2188" s="1" t="str">
        <f>TEXT(IF($B2188 = "Retail Item", IF((ROW($A2188) - 4504 - _xlfn.XMATCH($C2188, $C$4506:$C$5005, 0, 1)) &lt;= VLOOKUP($C2188, 'Instrument Table'!$B:$D, 3, FALSE), ROW($A2188) - 4504 - _xlfn.XMATCH($C2188, $C$4506:$C$5005, 0, 1), 0), 0), "00")</f>
        <v>00</v>
      </c>
      <c r="H2188" s="1" t="str">
        <f t="shared" si="205"/>
        <v>032</v>
      </c>
      <c r="I2188" s="1" t="str">
        <f t="shared" si="206"/>
        <v>13100-032</v>
      </c>
      <c r="J2188" s="1" t="str">
        <f t="shared" si="207"/>
        <v>Saxophone production item #032</v>
      </c>
      <c r="K2188" s="1" t="str">
        <f>IF(SUM(COUNTIFS(I:I, I2188)) &gt; 1, "DUPLICATE", "UNIQUE")</f>
        <v>UNIQUE</v>
      </c>
      <c r="L2188" s="18">
        <v>4</v>
      </c>
      <c r="M2188" s="28">
        <v>48</v>
      </c>
      <c r="N2188" s="6">
        <v>64</v>
      </c>
      <c r="O2188" s="30">
        <f t="shared" si="208"/>
        <v>192</v>
      </c>
      <c r="P2188" s="30">
        <f t="shared" si="209"/>
        <v>3072</v>
      </c>
      <c r="Q2188" s="1">
        <f>COUNTIFS($P:$P, "&gt;" &amp; $P2188) + 1</f>
        <v>2885</v>
      </c>
      <c r="R2188" s="63">
        <f>(COUNTIFS($P:$P, "&gt;" &amp; $P2188) + 1) / (COUNTA($I:$I) - 1)</f>
        <v>0.57699999999999996</v>
      </c>
      <c r="S2188" s="23">
        <f>SUMIFS($P:$P, $Q:$Q, "&lt;" &amp; $Q2188)</f>
        <v>184602433</v>
      </c>
    </row>
    <row r="2189" spans="1:19" x14ac:dyDescent="0.25">
      <c r="A2189" s="1">
        <v>2184</v>
      </c>
      <c r="B2189" s="1" t="s">
        <v>2</v>
      </c>
      <c r="C2189" s="1" t="str">
        <f>IF($B2189 = "Production Item", _xlfn.XLOOKUP($A2189, 'Instrument Table'!$J:$J, 'Instrument Table'!$B:$B, $C2188), IF($B2189 = "Service Item", _xlfn.XLOOKUP($A2189, 'Instrument Table'!$I:$I, 'Instrument Table'!$B:$B, $C2188), _xlfn.XLOOKUP($A2189, 'Instrument Table'!$H:$H, 'Instrument Table'!$B:$B, $C2188)))</f>
        <v>Saxophone</v>
      </c>
      <c r="D2189" s="1" t="str">
        <f>VLOOKUP($C2189, 'Instrument Table'!$B:$C, 2, FALSE)</f>
        <v>Woodwinds</v>
      </c>
      <c r="E2189" s="1">
        <f t="shared" si="204"/>
        <v>1</v>
      </c>
      <c r="F2189" s="1">
        <f>_xlfn.XLOOKUP($C2189, 'Instrument Table'!$B:$B, 'Instrument Table'!$A:$A, "")</f>
        <v>31</v>
      </c>
      <c r="G2189" s="1" t="str">
        <f>TEXT(IF($B2189 = "Retail Item", IF((ROW($A2189) - 4504 - _xlfn.XMATCH($C2189, $C$4506:$C$5005, 0, 1)) &lt;= VLOOKUP($C2189, 'Instrument Table'!$B:$D, 3, FALSE), ROW($A2189) - 4504 - _xlfn.XMATCH($C2189, $C$4506:$C$5005, 0, 1), 0), 0), "00")</f>
        <v>00</v>
      </c>
      <c r="H2189" s="1" t="str">
        <f t="shared" si="205"/>
        <v>033</v>
      </c>
      <c r="I2189" s="1" t="str">
        <f t="shared" si="206"/>
        <v>13100-033</v>
      </c>
      <c r="J2189" s="1" t="str">
        <f t="shared" si="207"/>
        <v>Saxophone production item #033</v>
      </c>
      <c r="K2189" s="1" t="str">
        <f>IF(SUM(COUNTIFS(I:I, I2189)) &gt; 1, "DUPLICATE", "UNIQUE")</f>
        <v>UNIQUE</v>
      </c>
      <c r="L2189" s="18">
        <v>0</v>
      </c>
      <c r="M2189" s="28">
        <v>54</v>
      </c>
      <c r="N2189" s="6">
        <v>0</v>
      </c>
      <c r="O2189" s="30">
        <f t="shared" si="208"/>
        <v>0</v>
      </c>
      <c r="P2189" s="30">
        <f t="shared" si="209"/>
        <v>0</v>
      </c>
      <c r="Q2189" s="1">
        <f>COUNTIFS($P:$P, "&gt;" &amp; $P2189) + 1</f>
        <v>4746</v>
      </c>
      <c r="R2189" s="63">
        <f>(COUNTIFS($P:$P, "&gt;" &amp; $P2189) + 1) / (COUNTA($I:$I) - 1)</f>
        <v>0.94920000000000004</v>
      </c>
      <c r="S2189" s="23">
        <f>SUMIFS($P:$P, $Q:$Q, "&lt;" &amp; $Q2189)</f>
        <v>186547861</v>
      </c>
    </row>
    <row r="2190" spans="1:19" x14ac:dyDescent="0.25">
      <c r="A2190" s="1">
        <v>2185</v>
      </c>
      <c r="B2190" s="1" t="s">
        <v>2</v>
      </c>
      <c r="C2190" s="1" t="str">
        <f>IF($B2190 = "Production Item", _xlfn.XLOOKUP($A2190, 'Instrument Table'!$J:$J, 'Instrument Table'!$B:$B, $C2189), IF($B2190 = "Service Item", _xlfn.XLOOKUP($A2190, 'Instrument Table'!$I:$I, 'Instrument Table'!$B:$B, $C2189), _xlfn.XLOOKUP($A2190, 'Instrument Table'!$H:$H, 'Instrument Table'!$B:$B, $C2189)))</f>
        <v>Saxophone</v>
      </c>
      <c r="D2190" s="1" t="str">
        <f>VLOOKUP($C2190, 'Instrument Table'!$B:$C, 2, FALSE)</f>
        <v>Woodwinds</v>
      </c>
      <c r="E2190" s="1">
        <f t="shared" si="204"/>
        <v>1</v>
      </c>
      <c r="F2190" s="1">
        <f>_xlfn.XLOOKUP($C2190, 'Instrument Table'!$B:$B, 'Instrument Table'!$A:$A, "")</f>
        <v>31</v>
      </c>
      <c r="G2190" s="1" t="str">
        <f>TEXT(IF($B2190 = "Retail Item", IF((ROW($A2190) - 4504 - _xlfn.XMATCH($C2190, $C$4506:$C$5005, 0, 1)) &lt;= VLOOKUP($C2190, 'Instrument Table'!$B:$D, 3, FALSE), ROW($A2190) - 4504 - _xlfn.XMATCH($C2190, $C$4506:$C$5005, 0, 1), 0), 0), "00")</f>
        <v>00</v>
      </c>
      <c r="H2190" s="1" t="str">
        <f t="shared" si="205"/>
        <v>034</v>
      </c>
      <c r="I2190" s="1" t="str">
        <f t="shared" si="206"/>
        <v>13100-034</v>
      </c>
      <c r="J2190" s="1" t="str">
        <f t="shared" si="207"/>
        <v>Saxophone production item #034</v>
      </c>
      <c r="K2190" s="1" t="str">
        <f>IF(SUM(COUNTIFS(I:I, I2190)) &gt; 1, "DUPLICATE", "UNIQUE")</f>
        <v>UNIQUE</v>
      </c>
      <c r="L2190" s="18">
        <v>8</v>
      </c>
      <c r="M2190" s="28">
        <v>7</v>
      </c>
      <c r="N2190" s="6">
        <v>256</v>
      </c>
      <c r="O2190" s="30">
        <f t="shared" si="208"/>
        <v>56</v>
      </c>
      <c r="P2190" s="30">
        <f t="shared" si="209"/>
        <v>1792</v>
      </c>
      <c r="Q2190" s="1">
        <f>COUNTIFS($P:$P, "&gt;" &amp; $P2190) + 1</f>
        <v>3339</v>
      </c>
      <c r="R2190" s="63">
        <f>(COUNTIFS($P:$P, "&gt;" &amp; $P2190) + 1) / (COUNTA($I:$I) - 1)</f>
        <v>0.66779999999999995</v>
      </c>
      <c r="S2190" s="23">
        <f>SUMIFS($P:$P, $Q:$Q, "&lt;" &amp; $Q2190)</f>
        <v>185680781</v>
      </c>
    </row>
    <row r="2191" spans="1:19" x14ac:dyDescent="0.25">
      <c r="A2191" s="1">
        <v>2186</v>
      </c>
      <c r="B2191" s="1" t="s">
        <v>2</v>
      </c>
      <c r="C2191" s="1" t="str">
        <f>IF($B2191 = "Production Item", _xlfn.XLOOKUP($A2191, 'Instrument Table'!$J:$J, 'Instrument Table'!$B:$B, $C2190), IF($B2191 = "Service Item", _xlfn.XLOOKUP($A2191, 'Instrument Table'!$I:$I, 'Instrument Table'!$B:$B, $C2190), _xlfn.XLOOKUP($A2191, 'Instrument Table'!$H:$H, 'Instrument Table'!$B:$B, $C2190)))</f>
        <v>Saxophone</v>
      </c>
      <c r="D2191" s="1" t="str">
        <f>VLOOKUP($C2191, 'Instrument Table'!$B:$C, 2, FALSE)</f>
        <v>Woodwinds</v>
      </c>
      <c r="E2191" s="1">
        <f t="shared" si="204"/>
        <v>1</v>
      </c>
      <c r="F2191" s="1">
        <f>_xlfn.XLOOKUP($C2191, 'Instrument Table'!$B:$B, 'Instrument Table'!$A:$A, "")</f>
        <v>31</v>
      </c>
      <c r="G2191" s="1" t="str">
        <f>TEXT(IF($B2191 = "Retail Item", IF((ROW($A2191) - 4504 - _xlfn.XMATCH($C2191, $C$4506:$C$5005, 0, 1)) &lt;= VLOOKUP($C2191, 'Instrument Table'!$B:$D, 3, FALSE), ROW($A2191) - 4504 - _xlfn.XMATCH($C2191, $C$4506:$C$5005, 0, 1), 0), 0), "00")</f>
        <v>00</v>
      </c>
      <c r="H2191" s="1" t="str">
        <f t="shared" si="205"/>
        <v>035</v>
      </c>
      <c r="I2191" s="1" t="str">
        <f t="shared" si="206"/>
        <v>13100-035</v>
      </c>
      <c r="J2191" s="1" t="str">
        <f t="shared" si="207"/>
        <v>Saxophone production item #035</v>
      </c>
      <c r="K2191" s="1" t="str">
        <f>IF(SUM(COUNTIFS(I:I, I2191)) &gt; 1, "DUPLICATE", "UNIQUE")</f>
        <v>UNIQUE</v>
      </c>
      <c r="L2191" s="18">
        <v>2</v>
      </c>
      <c r="M2191" s="28">
        <v>92</v>
      </c>
      <c r="N2191" s="6">
        <v>25</v>
      </c>
      <c r="O2191" s="30">
        <f t="shared" si="208"/>
        <v>184</v>
      </c>
      <c r="P2191" s="30">
        <f t="shared" si="209"/>
        <v>2300</v>
      </c>
      <c r="Q2191" s="1">
        <f>COUNTIFS($P:$P, "&gt;" &amp; $P2191) + 1</f>
        <v>3131</v>
      </c>
      <c r="R2191" s="63">
        <f>(COUNTIFS($P:$P, "&gt;" &amp; $P2191) + 1) / (COUNTA($I:$I) - 1)</f>
        <v>0.62619999999999998</v>
      </c>
      <c r="S2191" s="23">
        <f>SUMIFS($P:$P, $Q:$Q, "&lt;" &amp; $Q2191)</f>
        <v>185254605</v>
      </c>
    </row>
    <row r="2192" spans="1:19" x14ac:dyDescent="0.25">
      <c r="A2192" s="1">
        <v>2187</v>
      </c>
      <c r="B2192" s="1" t="s">
        <v>2</v>
      </c>
      <c r="C2192" s="1" t="str">
        <f>IF($B2192 = "Production Item", _xlfn.XLOOKUP($A2192, 'Instrument Table'!$J:$J, 'Instrument Table'!$B:$B, $C2191), IF($B2192 = "Service Item", _xlfn.XLOOKUP($A2192, 'Instrument Table'!$I:$I, 'Instrument Table'!$B:$B, $C2191), _xlfn.XLOOKUP($A2192, 'Instrument Table'!$H:$H, 'Instrument Table'!$B:$B, $C2191)))</f>
        <v>Saxophone</v>
      </c>
      <c r="D2192" s="1" t="str">
        <f>VLOOKUP($C2192, 'Instrument Table'!$B:$C, 2, FALSE)</f>
        <v>Woodwinds</v>
      </c>
      <c r="E2192" s="1">
        <f t="shared" si="204"/>
        <v>1</v>
      </c>
      <c r="F2192" s="1">
        <f>_xlfn.XLOOKUP($C2192, 'Instrument Table'!$B:$B, 'Instrument Table'!$A:$A, "")</f>
        <v>31</v>
      </c>
      <c r="G2192" s="1" t="str">
        <f>TEXT(IF($B2192 = "Retail Item", IF((ROW($A2192) - 4504 - _xlfn.XMATCH($C2192, $C$4506:$C$5005, 0, 1)) &lt;= VLOOKUP($C2192, 'Instrument Table'!$B:$D, 3, FALSE), ROW($A2192) - 4504 - _xlfn.XMATCH($C2192, $C$4506:$C$5005, 0, 1), 0), 0), "00")</f>
        <v>00</v>
      </c>
      <c r="H2192" s="1" t="str">
        <f t="shared" si="205"/>
        <v>036</v>
      </c>
      <c r="I2192" s="1" t="str">
        <f t="shared" si="206"/>
        <v>13100-036</v>
      </c>
      <c r="J2192" s="1" t="str">
        <f t="shared" si="207"/>
        <v>Saxophone production item #036</v>
      </c>
      <c r="K2192" s="1" t="str">
        <f>IF(SUM(COUNTIFS(I:I, I2192)) &gt; 1, "DUPLICATE", "UNIQUE")</f>
        <v>UNIQUE</v>
      </c>
      <c r="L2192" s="18">
        <v>2</v>
      </c>
      <c r="M2192" s="28">
        <v>75</v>
      </c>
      <c r="N2192" s="6">
        <v>400</v>
      </c>
      <c r="O2192" s="30">
        <f t="shared" si="208"/>
        <v>150</v>
      </c>
      <c r="P2192" s="30">
        <f t="shared" si="209"/>
        <v>30000</v>
      </c>
      <c r="Q2192" s="1">
        <f>COUNTIFS($P:$P, "&gt;" &amp; $P2192) + 1</f>
        <v>688</v>
      </c>
      <c r="R2192" s="63">
        <f>(COUNTIFS($P:$P, "&gt;" &amp; $P2192) + 1) / (COUNTA($I:$I) - 1)</f>
        <v>0.1376</v>
      </c>
      <c r="S2192" s="23">
        <f>SUMIFS($P:$P, $Q:$Q, "&lt;" &amp; $Q2192)</f>
        <v>158728505</v>
      </c>
    </row>
    <row r="2193" spans="1:19" x14ac:dyDescent="0.25">
      <c r="A2193" s="1">
        <v>2188</v>
      </c>
      <c r="B2193" s="1" t="s">
        <v>2</v>
      </c>
      <c r="C2193" s="1" t="str">
        <f>IF($B2193 = "Production Item", _xlfn.XLOOKUP($A2193, 'Instrument Table'!$J:$J, 'Instrument Table'!$B:$B, $C2192), IF($B2193 = "Service Item", _xlfn.XLOOKUP($A2193, 'Instrument Table'!$I:$I, 'Instrument Table'!$B:$B, $C2192), _xlfn.XLOOKUP($A2193, 'Instrument Table'!$H:$H, 'Instrument Table'!$B:$B, $C2192)))</f>
        <v>Saxophone</v>
      </c>
      <c r="D2193" s="1" t="str">
        <f>VLOOKUP($C2193, 'Instrument Table'!$B:$C, 2, FALSE)</f>
        <v>Woodwinds</v>
      </c>
      <c r="E2193" s="1">
        <f t="shared" si="204"/>
        <v>1</v>
      </c>
      <c r="F2193" s="1">
        <f>_xlfn.XLOOKUP($C2193, 'Instrument Table'!$B:$B, 'Instrument Table'!$A:$A, "")</f>
        <v>31</v>
      </c>
      <c r="G2193" s="1" t="str">
        <f>TEXT(IF($B2193 = "Retail Item", IF((ROW($A2193) - 4504 - _xlfn.XMATCH($C2193, $C$4506:$C$5005, 0, 1)) &lt;= VLOOKUP($C2193, 'Instrument Table'!$B:$D, 3, FALSE), ROW($A2193) - 4504 - _xlfn.XMATCH($C2193, $C$4506:$C$5005, 0, 1), 0), 0), "00")</f>
        <v>00</v>
      </c>
      <c r="H2193" s="1" t="str">
        <f t="shared" si="205"/>
        <v>037</v>
      </c>
      <c r="I2193" s="1" t="str">
        <f t="shared" si="206"/>
        <v>13100-037</v>
      </c>
      <c r="J2193" s="1" t="str">
        <f t="shared" si="207"/>
        <v>Saxophone production item #037</v>
      </c>
      <c r="K2193" s="1" t="str">
        <f>IF(SUM(COUNTIFS(I:I, I2193)) &gt; 1, "DUPLICATE", "UNIQUE")</f>
        <v>UNIQUE</v>
      </c>
      <c r="L2193" s="18">
        <v>4</v>
      </c>
      <c r="M2193" s="28">
        <v>70</v>
      </c>
      <c r="N2193" s="6">
        <v>121</v>
      </c>
      <c r="O2193" s="30">
        <f t="shared" si="208"/>
        <v>280</v>
      </c>
      <c r="P2193" s="30">
        <f t="shared" si="209"/>
        <v>8470</v>
      </c>
      <c r="Q2193" s="1">
        <f>COUNTIFS($P:$P, "&gt;" &amp; $P2193) + 1</f>
        <v>1930</v>
      </c>
      <c r="R2193" s="63">
        <f>(COUNTIFS($P:$P, "&gt;" &amp; $P2193) + 1) / (COUNTA($I:$I) - 1)</f>
        <v>0.38600000000000001</v>
      </c>
      <c r="S2193" s="23">
        <f>SUMIFS($P:$P, $Q:$Q, "&lt;" &amp; $Q2193)</f>
        <v>179423215</v>
      </c>
    </row>
    <row r="2194" spans="1:19" x14ac:dyDescent="0.25">
      <c r="A2194" s="1">
        <v>2189</v>
      </c>
      <c r="B2194" s="1" t="s">
        <v>2</v>
      </c>
      <c r="C2194" s="1" t="str">
        <f>IF($B2194 = "Production Item", _xlfn.XLOOKUP($A2194, 'Instrument Table'!$J:$J, 'Instrument Table'!$B:$B, $C2193), IF($B2194 = "Service Item", _xlfn.XLOOKUP($A2194, 'Instrument Table'!$I:$I, 'Instrument Table'!$B:$B, $C2193), _xlfn.XLOOKUP($A2194, 'Instrument Table'!$H:$H, 'Instrument Table'!$B:$B, $C2193)))</f>
        <v>Saxophone</v>
      </c>
      <c r="D2194" s="1" t="str">
        <f>VLOOKUP($C2194, 'Instrument Table'!$B:$C, 2, FALSE)</f>
        <v>Woodwinds</v>
      </c>
      <c r="E2194" s="1">
        <f t="shared" si="204"/>
        <v>1</v>
      </c>
      <c r="F2194" s="1">
        <f>_xlfn.XLOOKUP($C2194, 'Instrument Table'!$B:$B, 'Instrument Table'!$A:$A, "")</f>
        <v>31</v>
      </c>
      <c r="G2194" s="1" t="str">
        <f>TEXT(IF($B2194 = "Retail Item", IF((ROW($A2194) - 4504 - _xlfn.XMATCH($C2194, $C$4506:$C$5005, 0, 1)) &lt;= VLOOKUP($C2194, 'Instrument Table'!$B:$D, 3, FALSE), ROW($A2194) - 4504 - _xlfn.XMATCH($C2194, $C$4506:$C$5005, 0, 1), 0), 0), "00")</f>
        <v>00</v>
      </c>
      <c r="H2194" s="1" t="str">
        <f t="shared" si="205"/>
        <v>038</v>
      </c>
      <c r="I2194" s="1" t="str">
        <f t="shared" si="206"/>
        <v>13100-038</v>
      </c>
      <c r="J2194" s="1" t="str">
        <f t="shared" si="207"/>
        <v>Saxophone production item #038</v>
      </c>
      <c r="K2194" s="1" t="str">
        <f>IF(SUM(COUNTIFS(I:I, I2194)) &gt; 1, "DUPLICATE", "UNIQUE")</f>
        <v>UNIQUE</v>
      </c>
      <c r="L2194" s="18">
        <v>0</v>
      </c>
      <c r="M2194" s="28">
        <v>39</v>
      </c>
      <c r="N2194" s="6">
        <v>324</v>
      </c>
      <c r="O2194" s="30">
        <f t="shared" si="208"/>
        <v>0</v>
      </c>
      <c r="P2194" s="30">
        <f t="shared" si="209"/>
        <v>12636</v>
      </c>
      <c r="Q2194" s="1">
        <f>COUNTIFS($P:$P, "&gt;" &amp; $P2194) + 1</f>
        <v>1529</v>
      </c>
      <c r="R2194" s="63">
        <f>(COUNTIFS($P:$P, "&gt;" &amp; $P2194) + 1) / (COUNTA($I:$I) - 1)</f>
        <v>0.30580000000000002</v>
      </c>
      <c r="S2194" s="23">
        <f>SUMIFS($P:$P, $Q:$Q, "&lt;" &amp; $Q2194)</f>
        <v>175212098</v>
      </c>
    </row>
    <row r="2195" spans="1:19" x14ac:dyDescent="0.25">
      <c r="A2195" s="1">
        <v>2190</v>
      </c>
      <c r="B2195" s="1" t="s">
        <v>2</v>
      </c>
      <c r="C2195" s="1" t="str">
        <f>IF($B2195 = "Production Item", _xlfn.XLOOKUP($A2195, 'Instrument Table'!$J:$J, 'Instrument Table'!$B:$B, $C2194), IF($B2195 = "Service Item", _xlfn.XLOOKUP($A2195, 'Instrument Table'!$I:$I, 'Instrument Table'!$B:$B, $C2194), _xlfn.XLOOKUP($A2195, 'Instrument Table'!$H:$H, 'Instrument Table'!$B:$B, $C2194)))</f>
        <v>Saxophone</v>
      </c>
      <c r="D2195" s="1" t="str">
        <f>VLOOKUP($C2195, 'Instrument Table'!$B:$C, 2, FALSE)</f>
        <v>Woodwinds</v>
      </c>
      <c r="E2195" s="1">
        <f t="shared" si="204"/>
        <v>1</v>
      </c>
      <c r="F2195" s="1">
        <f>_xlfn.XLOOKUP($C2195, 'Instrument Table'!$B:$B, 'Instrument Table'!$A:$A, "")</f>
        <v>31</v>
      </c>
      <c r="G2195" s="1" t="str">
        <f>TEXT(IF($B2195 = "Retail Item", IF((ROW($A2195) - 4504 - _xlfn.XMATCH($C2195, $C$4506:$C$5005, 0, 1)) &lt;= VLOOKUP($C2195, 'Instrument Table'!$B:$D, 3, FALSE), ROW($A2195) - 4504 - _xlfn.XMATCH($C2195, $C$4506:$C$5005, 0, 1), 0), 0), "00")</f>
        <v>00</v>
      </c>
      <c r="H2195" s="1" t="str">
        <f t="shared" si="205"/>
        <v>039</v>
      </c>
      <c r="I2195" s="1" t="str">
        <f t="shared" si="206"/>
        <v>13100-039</v>
      </c>
      <c r="J2195" s="1" t="str">
        <f t="shared" si="207"/>
        <v>Saxophone production item #039</v>
      </c>
      <c r="K2195" s="1" t="str">
        <f>IF(SUM(COUNTIFS(I:I, I2195)) &gt; 1, "DUPLICATE", "UNIQUE")</f>
        <v>UNIQUE</v>
      </c>
      <c r="L2195" s="18">
        <v>0</v>
      </c>
      <c r="M2195" s="28">
        <v>20</v>
      </c>
      <c r="N2195" s="6">
        <v>4</v>
      </c>
      <c r="O2195" s="30">
        <f t="shared" si="208"/>
        <v>0</v>
      </c>
      <c r="P2195" s="30">
        <f t="shared" si="209"/>
        <v>80</v>
      </c>
      <c r="Q2195" s="1">
        <f>COUNTIFS($P:$P, "&gt;" &amp; $P2195) + 1</f>
        <v>4514</v>
      </c>
      <c r="R2195" s="63">
        <f>(COUNTIFS($P:$P, "&gt;" &amp; $P2195) + 1) / (COUNTA($I:$I) - 1)</f>
        <v>0.90280000000000005</v>
      </c>
      <c r="S2195" s="23">
        <f>SUMIFS($P:$P, $Q:$Q, "&lt;" &amp; $Q2195)</f>
        <v>186538002</v>
      </c>
    </row>
    <row r="2196" spans="1:19" x14ac:dyDescent="0.25">
      <c r="A2196" s="1">
        <v>2191</v>
      </c>
      <c r="B2196" s="1" t="s">
        <v>2</v>
      </c>
      <c r="C2196" s="1" t="str">
        <f>IF($B2196 = "Production Item", _xlfn.XLOOKUP($A2196, 'Instrument Table'!$J:$J, 'Instrument Table'!$B:$B, $C2195), IF($B2196 = "Service Item", _xlfn.XLOOKUP($A2196, 'Instrument Table'!$I:$I, 'Instrument Table'!$B:$B, $C2195), _xlfn.XLOOKUP($A2196, 'Instrument Table'!$H:$H, 'Instrument Table'!$B:$B, $C2195)))</f>
        <v>Saxophone</v>
      </c>
      <c r="D2196" s="1" t="str">
        <f>VLOOKUP($C2196, 'Instrument Table'!$B:$C, 2, FALSE)</f>
        <v>Woodwinds</v>
      </c>
      <c r="E2196" s="1">
        <f t="shared" si="204"/>
        <v>1</v>
      </c>
      <c r="F2196" s="1">
        <f>_xlfn.XLOOKUP($C2196, 'Instrument Table'!$B:$B, 'Instrument Table'!$A:$A, "")</f>
        <v>31</v>
      </c>
      <c r="G2196" s="1" t="str">
        <f>TEXT(IF($B2196 = "Retail Item", IF((ROW($A2196) - 4504 - _xlfn.XMATCH($C2196, $C$4506:$C$5005, 0, 1)) &lt;= VLOOKUP($C2196, 'Instrument Table'!$B:$D, 3, FALSE), ROW($A2196) - 4504 - _xlfn.XMATCH($C2196, $C$4506:$C$5005, 0, 1), 0), 0), "00")</f>
        <v>00</v>
      </c>
      <c r="H2196" s="1" t="str">
        <f t="shared" si="205"/>
        <v>040</v>
      </c>
      <c r="I2196" s="1" t="str">
        <f t="shared" si="206"/>
        <v>13100-040</v>
      </c>
      <c r="J2196" s="1" t="str">
        <f t="shared" si="207"/>
        <v>Saxophone production item #040</v>
      </c>
      <c r="K2196" s="1" t="str">
        <f>IF(SUM(COUNTIFS(I:I, I2196)) &gt; 1, "DUPLICATE", "UNIQUE")</f>
        <v>UNIQUE</v>
      </c>
      <c r="L2196" s="18">
        <v>0</v>
      </c>
      <c r="M2196" s="28">
        <v>41</v>
      </c>
      <c r="N2196" s="6">
        <v>0</v>
      </c>
      <c r="O2196" s="30">
        <f t="shared" si="208"/>
        <v>0</v>
      </c>
      <c r="P2196" s="30">
        <f t="shared" si="209"/>
        <v>0</v>
      </c>
      <c r="Q2196" s="1">
        <f>COUNTIFS($P:$P, "&gt;" &amp; $P2196) + 1</f>
        <v>4746</v>
      </c>
      <c r="R2196" s="63">
        <f>(COUNTIFS($P:$P, "&gt;" &amp; $P2196) + 1) / (COUNTA($I:$I) - 1)</f>
        <v>0.94920000000000004</v>
      </c>
      <c r="S2196" s="23">
        <f>SUMIFS($P:$P, $Q:$Q, "&lt;" &amp; $Q2196)</f>
        <v>186547861</v>
      </c>
    </row>
    <row r="2197" spans="1:19" x14ac:dyDescent="0.25">
      <c r="A2197" s="1">
        <v>2192</v>
      </c>
      <c r="B2197" s="1" t="s">
        <v>2</v>
      </c>
      <c r="C2197" s="1" t="str">
        <f>IF($B2197 = "Production Item", _xlfn.XLOOKUP($A2197, 'Instrument Table'!$J:$J, 'Instrument Table'!$B:$B, $C2196), IF($B2197 = "Service Item", _xlfn.XLOOKUP($A2197, 'Instrument Table'!$I:$I, 'Instrument Table'!$B:$B, $C2196), _xlfn.XLOOKUP($A2197, 'Instrument Table'!$H:$H, 'Instrument Table'!$B:$B, $C2196)))</f>
        <v>Saxophone</v>
      </c>
      <c r="D2197" s="1" t="str">
        <f>VLOOKUP($C2197, 'Instrument Table'!$B:$C, 2, FALSE)</f>
        <v>Woodwinds</v>
      </c>
      <c r="E2197" s="1">
        <f t="shared" si="204"/>
        <v>1</v>
      </c>
      <c r="F2197" s="1">
        <f>_xlfn.XLOOKUP($C2197, 'Instrument Table'!$B:$B, 'Instrument Table'!$A:$A, "")</f>
        <v>31</v>
      </c>
      <c r="G2197" s="1" t="str">
        <f>TEXT(IF($B2197 = "Retail Item", IF((ROW($A2197) - 4504 - _xlfn.XMATCH($C2197, $C$4506:$C$5005, 0, 1)) &lt;= VLOOKUP($C2197, 'Instrument Table'!$B:$D, 3, FALSE), ROW($A2197) - 4504 - _xlfn.XMATCH($C2197, $C$4506:$C$5005, 0, 1), 0), 0), "00")</f>
        <v>00</v>
      </c>
      <c r="H2197" s="1" t="str">
        <f t="shared" si="205"/>
        <v>041</v>
      </c>
      <c r="I2197" s="1" t="str">
        <f t="shared" si="206"/>
        <v>13100-041</v>
      </c>
      <c r="J2197" s="1" t="str">
        <f t="shared" si="207"/>
        <v>Saxophone production item #041</v>
      </c>
      <c r="K2197" s="1" t="str">
        <f>IF(SUM(COUNTIFS(I:I, I2197)) &gt; 1, "DUPLICATE", "UNIQUE")</f>
        <v>UNIQUE</v>
      </c>
      <c r="L2197" s="18">
        <v>2</v>
      </c>
      <c r="M2197" s="28">
        <v>40</v>
      </c>
      <c r="N2197" s="6">
        <v>256</v>
      </c>
      <c r="O2197" s="30">
        <f t="shared" si="208"/>
        <v>80</v>
      </c>
      <c r="P2197" s="30">
        <f t="shared" si="209"/>
        <v>10240</v>
      </c>
      <c r="Q2197" s="1">
        <f>COUNTIFS($P:$P, "&gt;" &amp; $P2197) + 1</f>
        <v>1754</v>
      </c>
      <c r="R2197" s="63">
        <f>(COUNTIFS($P:$P, "&gt;" &amp; $P2197) + 1) / (COUNTA($I:$I) - 1)</f>
        <v>0.3508</v>
      </c>
      <c r="S2197" s="23">
        <f>SUMIFS($P:$P, $Q:$Q, "&lt;" &amp; $Q2197)</f>
        <v>177783414</v>
      </c>
    </row>
    <row r="2198" spans="1:19" x14ac:dyDescent="0.25">
      <c r="A2198" s="1">
        <v>2193</v>
      </c>
      <c r="B2198" s="1" t="s">
        <v>2</v>
      </c>
      <c r="C2198" s="1" t="str">
        <f>IF($B2198 = "Production Item", _xlfn.XLOOKUP($A2198, 'Instrument Table'!$J:$J, 'Instrument Table'!$B:$B, $C2197), IF($B2198 = "Service Item", _xlfn.XLOOKUP($A2198, 'Instrument Table'!$I:$I, 'Instrument Table'!$B:$B, $C2197), _xlfn.XLOOKUP($A2198, 'Instrument Table'!$H:$H, 'Instrument Table'!$B:$B, $C2197)))</f>
        <v>Saxophone</v>
      </c>
      <c r="D2198" s="1" t="str">
        <f>VLOOKUP($C2198, 'Instrument Table'!$B:$C, 2, FALSE)</f>
        <v>Woodwinds</v>
      </c>
      <c r="E2198" s="1">
        <f t="shared" si="204"/>
        <v>1</v>
      </c>
      <c r="F2198" s="1">
        <f>_xlfn.XLOOKUP($C2198, 'Instrument Table'!$B:$B, 'Instrument Table'!$A:$A, "")</f>
        <v>31</v>
      </c>
      <c r="G2198" s="1" t="str">
        <f>TEXT(IF($B2198 = "Retail Item", IF((ROW($A2198) - 4504 - _xlfn.XMATCH($C2198, $C$4506:$C$5005, 0, 1)) &lt;= VLOOKUP($C2198, 'Instrument Table'!$B:$D, 3, FALSE), ROW($A2198) - 4504 - _xlfn.XMATCH($C2198, $C$4506:$C$5005, 0, 1), 0), 0), "00")</f>
        <v>00</v>
      </c>
      <c r="H2198" s="1" t="str">
        <f t="shared" si="205"/>
        <v>042</v>
      </c>
      <c r="I2198" s="1" t="str">
        <f t="shared" si="206"/>
        <v>13100-042</v>
      </c>
      <c r="J2198" s="1" t="str">
        <f t="shared" si="207"/>
        <v>Saxophone production item #042</v>
      </c>
      <c r="K2198" s="1" t="str">
        <f>IF(SUM(COUNTIFS(I:I, I2198)) &gt; 1, "DUPLICATE", "UNIQUE")</f>
        <v>UNIQUE</v>
      </c>
      <c r="L2198" s="18">
        <v>1</v>
      </c>
      <c r="M2198" s="28">
        <v>21</v>
      </c>
      <c r="N2198" s="6">
        <v>36</v>
      </c>
      <c r="O2198" s="30">
        <f t="shared" si="208"/>
        <v>21</v>
      </c>
      <c r="P2198" s="30">
        <f t="shared" si="209"/>
        <v>756</v>
      </c>
      <c r="Q2198" s="1">
        <f>COUNTIFS($P:$P, "&gt;" &amp; $P2198) + 1</f>
        <v>3826</v>
      </c>
      <c r="R2198" s="63">
        <f>(COUNTIFS($P:$P, "&gt;" &amp; $P2198) + 1) / (COUNTA($I:$I) - 1)</f>
        <v>0.76519999999999999</v>
      </c>
      <c r="S2198" s="23">
        <f>SUMIFS($P:$P, $Q:$Q, "&lt;" &amp; $Q2198)</f>
        <v>186285726</v>
      </c>
    </row>
    <row r="2199" spans="1:19" x14ac:dyDescent="0.25">
      <c r="A2199" s="1">
        <v>2194</v>
      </c>
      <c r="B2199" s="1" t="s">
        <v>2</v>
      </c>
      <c r="C2199" s="1" t="str">
        <f>IF($B2199 = "Production Item", _xlfn.XLOOKUP($A2199, 'Instrument Table'!$J:$J, 'Instrument Table'!$B:$B, $C2198), IF($B2199 = "Service Item", _xlfn.XLOOKUP($A2199, 'Instrument Table'!$I:$I, 'Instrument Table'!$B:$B, $C2198), _xlfn.XLOOKUP($A2199, 'Instrument Table'!$H:$H, 'Instrument Table'!$B:$B, $C2198)))</f>
        <v>Saxophone</v>
      </c>
      <c r="D2199" s="1" t="str">
        <f>VLOOKUP($C2199, 'Instrument Table'!$B:$C, 2, FALSE)</f>
        <v>Woodwinds</v>
      </c>
      <c r="E2199" s="1">
        <f t="shared" si="204"/>
        <v>1</v>
      </c>
      <c r="F2199" s="1">
        <f>_xlfn.XLOOKUP($C2199, 'Instrument Table'!$B:$B, 'Instrument Table'!$A:$A, "")</f>
        <v>31</v>
      </c>
      <c r="G2199" s="1" t="str">
        <f>TEXT(IF($B2199 = "Retail Item", IF((ROW($A2199) - 4504 - _xlfn.XMATCH($C2199, $C$4506:$C$5005, 0, 1)) &lt;= VLOOKUP($C2199, 'Instrument Table'!$B:$D, 3, FALSE), ROW($A2199) - 4504 - _xlfn.XMATCH($C2199, $C$4506:$C$5005, 0, 1), 0), 0), "00")</f>
        <v>00</v>
      </c>
      <c r="H2199" s="1" t="str">
        <f t="shared" si="205"/>
        <v>043</v>
      </c>
      <c r="I2199" s="1" t="str">
        <f t="shared" si="206"/>
        <v>13100-043</v>
      </c>
      <c r="J2199" s="1" t="str">
        <f t="shared" si="207"/>
        <v>Saxophone production item #043</v>
      </c>
      <c r="K2199" s="1" t="str">
        <f>IF(SUM(COUNTIFS(I:I, I2199)) &gt; 1, "DUPLICATE", "UNIQUE")</f>
        <v>UNIQUE</v>
      </c>
      <c r="L2199" s="18">
        <v>1</v>
      </c>
      <c r="M2199" s="28">
        <v>68</v>
      </c>
      <c r="N2199" s="6">
        <v>1</v>
      </c>
      <c r="O2199" s="30">
        <f t="shared" si="208"/>
        <v>68</v>
      </c>
      <c r="P2199" s="30">
        <f t="shared" si="209"/>
        <v>68</v>
      </c>
      <c r="Q2199" s="1">
        <f>COUNTIFS($P:$P, "&gt;" &amp; $P2199) + 1</f>
        <v>4544</v>
      </c>
      <c r="R2199" s="63">
        <f>(COUNTIFS($P:$P, "&gt;" &amp; $P2199) + 1) / (COUNTA($I:$I) - 1)</f>
        <v>0.90880000000000005</v>
      </c>
      <c r="S2199" s="23">
        <f>SUMIFS($P:$P, $Q:$Q, "&lt;" &amp; $Q2199)</f>
        <v>186540253</v>
      </c>
    </row>
    <row r="2200" spans="1:19" x14ac:dyDescent="0.25">
      <c r="A2200" s="1">
        <v>2195</v>
      </c>
      <c r="B2200" s="1" t="s">
        <v>2</v>
      </c>
      <c r="C2200" s="1" t="str">
        <f>IF($B2200 = "Production Item", _xlfn.XLOOKUP($A2200, 'Instrument Table'!$J:$J, 'Instrument Table'!$B:$B, $C2199), IF($B2200 = "Service Item", _xlfn.XLOOKUP($A2200, 'Instrument Table'!$I:$I, 'Instrument Table'!$B:$B, $C2199), _xlfn.XLOOKUP($A2200, 'Instrument Table'!$H:$H, 'Instrument Table'!$B:$B, $C2199)))</f>
        <v>Saxophone</v>
      </c>
      <c r="D2200" s="1" t="str">
        <f>VLOOKUP($C2200, 'Instrument Table'!$B:$C, 2, FALSE)</f>
        <v>Woodwinds</v>
      </c>
      <c r="E2200" s="1">
        <f t="shared" si="204"/>
        <v>1</v>
      </c>
      <c r="F2200" s="1">
        <f>_xlfn.XLOOKUP($C2200, 'Instrument Table'!$B:$B, 'Instrument Table'!$A:$A, "")</f>
        <v>31</v>
      </c>
      <c r="G2200" s="1" t="str">
        <f>TEXT(IF($B2200 = "Retail Item", IF((ROW($A2200) - 4504 - _xlfn.XMATCH($C2200, $C$4506:$C$5005, 0, 1)) &lt;= VLOOKUP($C2200, 'Instrument Table'!$B:$D, 3, FALSE), ROW($A2200) - 4504 - _xlfn.XMATCH($C2200, $C$4506:$C$5005, 0, 1), 0), 0), "00")</f>
        <v>00</v>
      </c>
      <c r="H2200" s="1" t="str">
        <f t="shared" si="205"/>
        <v>044</v>
      </c>
      <c r="I2200" s="1" t="str">
        <f t="shared" si="206"/>
        <v>13100-044</v>
      </c>
      <c r="J2200" s="1" t="str">
        <f t="shared" si="207"/>
        <v>Saxophone production item #044</v>
      </c>
      <c r="K2200" s="1" t="str">
        <f>IF(SUM(COUNTIFS(I:I, I2200)) &gt; 1, "DUPLICATE", "UNIQUE")</f>
        <v>UNIQUE</v>
      </c>
      <c r="L2200" s="18">
        <v>32</v>
      </c>
      <c r="M2200" s="28">
        <v>80</v>
      </c>
      <c r="N2200" s="6">
        <v>289</v>
      </c>
      <c r="O2200" s="30">
        <f t="shared" si="208"/>
        <v>2560</v>
      </c>
      <c r="P2200" s="30">
        <f t="shared" si="209"/>
        <v>23120</v>
      </c>
      <c r="Q2200" s="1">
        <f>COUNTIFS($P:$P, "&gt;" &amp; $P2200) + 1</f>
        <v>901</v>
      </c>
      <c r="R2200" s="63">
        <f>(COUNTIFS($P:$P, "&gt;" &amp; $P2200) + 1) / (COUNTA($I:$I) - 1)</f>
        <v>0.1802</v>
      </c>
      <c r="S2200" s="23">
        <f>SUMIFS($P:$P, $Q:$Q, "&lt;" &amp; $Q2200)</f>
        <v>164303987</v>
      </c>
    </row>
    <row r="2201" spans="1:19" x14ac:dyDescent="0.25">
      <c r="A2201" s="1">
        <v>2196</v>
      </c>
      <c r="B2201" s="1" t="s">
        <v>2</v>
      </c>
      <c r="C2201" s="1" t="str">
        <f>IF($B2201 = "Production Item", _xlfn.XLOOKUP($A2201, 'Instrument Table'!$J:$J, 'Instrument Table'!$B:$B, $C2200), IF($B2201 = "Service Item", _xlfn.XLOOKUP($A2201, 'Instrument Table'!$I:$I, 'Instrument Table'!$B:$B, $C2200), _xlfn.XLOOKUP($A2201, 'Instrument Table'!$H:$H, 'Instrument Table'!$B:$B, $C2200)))</f>
        <v>Saxophone</v>
      </c>
      <c r="D2201" s="1" t="str">
        <f>VLOOKUP($C2201, 'Instrument Table'!$B:$C, 2, FALSE)</f>
        <v>Woodwinds</v>
      </c>
      <c r="E2201" s="1">
        <f t="shared" si="204"/>
        <v>1</v>
      </c>
      <c r="F2201" s="1">
        <f>_xlfn.XLOOKUP($C2201, 'Instrument Table'!$B:$B, 'Instrument Table'!$A:$A, "")</f>
        <v>31</v>
      </c>
      <c r="G2201" s="1" t="str">
        <f>TEXT(IF($B2201 = "Retail Item", IF((ROW($A2201) - 4504 - _xlfn.XMATCH($C2201, $C$4506:$C$5005, 0, 1)) &lt;= VLOOKUP($C2201, 'Instrument Table'!$B:$D, 3, FALSE), ROW($A2201) - 4504 - _xlfn.XMATCH($C2201, $C$4506:$C$5005, 0, 1), 0), 0), "00")</f>
        <v>00</v>
      </c>
      <c r="H2201" s="1" t="str">
        <f t="shared" si="205"/>
        <v>045</v>
      </c>
      <c r="I2201" s="1" t="str">
        <f t="shared" si="206"/>
        <v>13100-045</v>
      </c>
      <c r="J2201" s="1" t="str">
        <f t="shared" si="207"/>
        <v>Saxophone production item #045</v>
      </c>
      <c r="K2201" s="1" t="str">
        <f>IF(SUM(COUNTIFS(I:I, I2201)) &gt; 1, "DUPLICATE", "UNIQUE")</f>
        <v>UNIQUE</v>
      </c>
      <c r="L2201" s="18">
        <v>0</v>
      </c>
      <c r="M2201" s="28">
        <v>59</v>
      </c>
      <c r="N2201" s="6">
        <v>36</v>
      </c>
      <c r="O2201" s="30">
        <f t="shared" si="208"/>
        <v>0</v>
      </c>
      <c r="P2201" s="30">
        <f t="shared" si="209"/>
        <v>2124</v>
      </c>
      <c r="Q2201" s="1">
        <f>COUNTIFS($P:$P, "&gt;" &amp; $P2201) + 1</f>
        <v>3194</v>
      </c>
      <c r="R2201" s="63">
        <f>(COUNTIFS($P:$P, "&gt;" &amp; $P2201) + 1) / (COUNTA($I:$I) - 1)</f>
        <v>0.63880000000000003</v>
      </c>
      <c r="S2201" s="23">
        <f>SUMIFS($P:$P, $Q:$Q, "&lt;" &amp; $Q2201)</f>
        <v>185394931</v>
      </c>
    </row>
    <row r="2202" spans="1:19" x14ac:dyDescent="0.25">
      <c r="A2202" s="1">
        <v>2197</v>
      </c>
      <c r="B2202" s="1" t="s">
        <v>2</v>
      </c>
      <c r="C2202" s="1" t="str">
        <f>IF($B2202 = "Production Item", _xlfn.XLOOKUP($A2202, 'Instrument Table'!$J:$J, 'Instrument Table'!$B:$B, $C2201), IF($B2202 = "Service Item", _xlfn.XLOOKUP($A2202, 'Instrument Table'!$I:$I, 'Instrument Table'!$B:$B, $C2201), _xlfn.XLOOKUP($A2202, 'Instrument Table'!$H:$H, 'Instrument Table'!$B:$B, $C2201)))</f>
        <v>Saxophone</v>
      </c>
      <c r="D2202" s="1" t="str">
        <f>VLOOKUP($C2202, 'Instrument Table'!$B:$C, 2, FALSE)</f>
        <v>Woodwinds</v>
      </c>
      <c r="E2202" s="1">
        <f t="shared" si="204"/>
        <v>1</v>
      </c>
      <c r="F2202" s="1">
        <f>_xlfn.XLOOKUP($C2202, 'Instrument Table'!$B:$B, 'Instrument Table'!$A:$A, "")</f>
        <v>31</v>
      </c>
      <c r="G2202" s="1" t="str">
        <f>TEXT(IF($B2202 = "Retail Item", IF((ROW($A2202) - 4504 - _xlfn.XMATCH($C2202, $C$4506:$C$5005, 0, 1)) &lt;= VLOOKUP($C2202, 'Instrument Table'!$B:$D, 3, FALSE), ROW($A2202) - 4504 - _xlfn.XMATCH($C2202, $C$4506:$C$5005, 0, 1), 0), 0), "00")</f>
        <v>00</v>
      </c>
      <c r="H2202" s="1" t="str">
        <f t="shared" si="205"/>
        <v>046</v>
      </c>
      <c r="I2202" s="1" t="str">
        <f t="shared" si="206"/>
        <v>13100-046</v>
      </c>
      <c r="J2202" s="1" t="str">
        <f t="shared" si="207"/>
        <v>Saxophone production item #046</v>
      </c>
      <c r="K2202" s="1" t="str">
        <f>IF(SUM(COUNTIFS(I:I, I2202)) &gt; 1, "DUPLICATE", "UNIQUE")</f>
        <v>UNIQUE</v>
      </c>
      <c r="L2202" s="18">
        <v>1</v>
      </c>
      <c r="M2202" s="28">
        <v>48</v>
      </c>
      <c r="N2202" s="6">
        <v>361</v>
      </c>
      <c r="O2202" s="30">
        <f t="shared" si="208"/>
        <v>48</v>
      </c>
      <c r="P2202" s="30">
        <f t="shared" si="209"/>
        <v>17328</v>
      </c>
      <c r="Q2202" s="1">
        <f>COUNTIFS($P:$P, "&gt;" &amp; $P2202) + 1</f>
        <v>1199</v>
      </c>
      <c r="R2202" s="63">
        <f>(COUNTIFS($P:$P, "&gt;" &amp; $P2202) + 1) / (COUNTA($I:$I) - 1)</f>
        <v>0.23980000000000001</v>
      </c>
      <c r="S2202" s="23">
        <f>SUMIFS($P:$P, $Q:$Q, "&lt;" &amp; $Q2202)</f>
        <v>170308883</v>
      </c>
    </row>
    <row r="2203" spans="1:19" x14ac:dyDescent="0.25">
      <c r="A2203" s="1">
        <v>2198</v>
      </c>
      <c r="B2203" s="1" t="s">
        <v>2</v>
      </c>
      <c r="C2203" s="1" t="str">
        <f>IF($B2203 = "Production Item", _xlfn.XLOOKUP($A2203, 'Instrument Table'!$J:$J, 'Instrument Table'!$B:$B, $C2202), IF($B2203 = "Service Item", _xlfn.XLOOKUP($A2203, 'Instrument Table'!$I:$I, 'Instrument Table'!$B:$B, $C2202), _xlfn.XLOOKUP($A2203, 'Instrument Table'!$H:$H, 'Instrument Table'!$B:$B, $C2202)))</f>
        <v>Saxophone</v>
      </c>
      <c r="D2203" s="1" t="str">
        <f>VLOOKUP($C2203, 'Instrument Table'!$B:$C, 2, FALSE)</f>
        <v>Woodwinds</v>
      </c>
      <c r="E2203" s="1">
        <f t="shared" si="204"/>
        <v>1</v>
      </c>
      <c r="F2203" s="1">
        <f>_xlfn.XLOOKUP($C2203, 'Instrument Table'!$B:$B, 'Instrument Table'!$A:$A, "")</f>
        <v>31</v>
      </c>
      <c r="G2203" s="1" t="str">
        <f>TEXT(IF($B2203 = "Retail Item", IF((ROW($A2203) - 4504 - _xlfn.XMATCH($C2203, $C$4506:$C$5005, 0, 1)) &lt;= VLOOKUP($C2203, 'Instrument Table'!$B:$D, 3, FALSE), ROW($A2203) - 4504 - _xlfn.XMATCH($C2203, $C$4506:$C$5005, 0, 1), 0), 0), "00")</f>
        <v>00</v>
      </c>
      <c r="H2203" s="1" t="str">
        <f t="shared" si="205"/>
        <v>047</v>
      </c>
      <c r="I2203" s="1" t="str">
        <f t="shared" si="206"/>
        <v>13100-047</v>
      </c>
      <c r="J2203" s="1" t="str">
        <f t="shared" si="207"/>
        <v>Saxophone production item #047</v>
      </c>
      <c r="K2203" s="1" t="str">
        <f>IF(SUM(COUNTIFS(I:I, I2203)) &gt; 1, "DUPLICATE", "UNIQUE")</f>
        <v>UNIQUE</v>
      </c>
      <c r="L2203" s="18">
        <v>1</v>
      </c>
      <c r="M2203" s="28">
        <v>24</v>
      </c>
      <c r="N2203" s="6">
        <v>400</v>
      </c>
      <c r="O2203" s="30">
        <f t="shared" si="208"/>
        <v>24</v>
      </c>
      <c r="P2203" s="30">
        <f t="shared" si="209"/>
        <v>9600</v>
      </c>
      <c r="Q2203" s="1">
        <f>COUNTIFS($P:$P, "&gt;" &amp; $P2203) + 1</f>
        <v>1806</v>
      </c>
      <c r="R2203" s="63">
        <f>(COUNTIFS($P:$P, "&gt;" &amp; $P2203) + 1) / (COUNTA($I:$I) - 1)</f>
        <v>0.36120000000000002</v>
      </c>
      <c r="S2203" s="23">
        <f>SUMIFS($P:$P, $Q:$Q, "&lt;" &amp; $Q2203)</f>
        <v>178299320</v>
      </c>
    </row>
    <row r="2204" spans="1:19" x14ac:dyDescent="0.25">
      <c r="A2204" s="1">
        <v>2199</v>
      </c>
      <c r="B2204" s="1" t="s">
        <v>2</v>
      </c>
      <c r="C2204" s="1" t="str">
        <f>IF($B2204 = "Production Item", _xlfn.XLOOKUP($A2204, 'Instrument Table'!$J:$J, 'Instrument Table'!$B:$B, $C2203), IF($B2204 = "Service Item", _xlfn.XLOOKUP($A2204, 'Instrument Table'!$I:$I, 'Instrument Table'!$B:$B, $C2203), _xlfn.XLOOKUP($A2204, 'Instrument Table'!$H:$H, 'Instrument Table'!$B:$B, $C2203)))</f>
        <v>Saxophone</v>
      </c>
      <c r="D2204" s="1" t="str">
        <f>VLOOKUP($C2204, 'Instrument Table'!$B:$C, 2, FALSE)</f>
        <v>Woodwinds</v>
      </c>
      <c r="E2204" s="1">
        <f t="shared" si="204"/>
        <v>1</v>
      </c>
      <c r="F2204" s="1">
        <f>_xlfn.XLOOKUP($C2204, 'Instrument Table'!$B:$B, 'Instrument Table'!$A:$A, "")</f>
        <v>31</v>
      </c>
      <c r="G2204" s="1" t="str">
        <f>TEXT(IF($B2204 = "Retail Item", IF((ROW($A2204) - 4504 - _xlfn.XMATCH($C2204, $C$4506:$C$5005, 0, 1)) &lt;= VLOOKUP($C2204, 'Instrument Table'!$B:$D, 3, FALSE), ROW($A2204) - 4504 - _xlfn.XMATCH($C2204, $C$4506:$C$5005, 0, 1), 0), 0), "00")</f>
        <v>00</v>
      </c>
      <c r="H2204" s="1" t="str">
        <f t="shared" si="205"/>
        <v>048</v>
      </c>
      <c r="I2204" s="1" t="str">
        <f t="shared" si="206"/>
        <v>13100-048</v>
      </c>
      <c r="J2204" s="1" t="str">
        <f t="shared" si="207"/>
        <v>Saxophone production item #048</v>
      </c>
      <c r="K2204" s="1" t="str">
        <f>IF(SUM(COUNTIFS(I:I, I2204)) &gt; 1, "DUPLICATE", "UNIQUE")</f>
        <v>UNIQUE</v>
      </c>
      <c r="L2204" s="18">
        <v>0</v>
      </c>
      <c r="M2204" s="28">
        <v>34</v>
      </c>
      <c r="N2204" s="6">
        <v>256</v>
      </c>
      <c r="O2204" s="30">
        <f t="shared" si="208"/>
        <v>0</v>
      </c>
      <c r="P2204" s="30">
        <f t="shared" si="209"/>
        <v>8704</v>
      </c>
      <c r="Q2204" s="1">
        <f>COUNTIFS($P:$P, "&gt;" &amp; $P2204) + 1</f>
        <v>1909</v>
      </c>
      <c r="R2204" s="63">
        <f>(COUNTIFS($P:$P, "&gt;" &amp; $P2204) + 1) / (COUNTA($I:$I) - 1)</f>
        <v>0.38179999999999997</v>
      </c>
      <c r="S2204" s="23">
        <f>SUMIFS($P:$P, $Q:$Q, "&lt;" &amp; $Q2204)</f>
        <v>179242421</v>
      </c>
    </row>
    <row r="2205" spans="1:19" x14ac:dyDescent="0.25">
      <c r="A2205" s="1">
        <v>2200</v>
      </c>
      <c r="B2205" s="1" t="s">
        <v>2</v>
      </c>
      <c r="C2205" s="1" t="str">
        <f>IF($B2205 = "Production Item", _xlfn.XLOOKUP($A2205, 'Instrument Table'!$J:$J, 'Instrument Table'!$B:$B, $C2204), IF($B2205 = "Service Item", _xlfn.XLOOKUP($A2205, 'Instrument Table'!$I:$I, 'Instrument Table'!$B:$B, $C2204), _xlfn.XLOOKUP($A2205, 'Instrument Table'!$H:$H, 'Instrument Table'!$B:$B, $C2204)))</f>
        <v>Saxophone</v>
      </c>
      <c r="D2205" s="1" t="str">
        <f>VLOOKUP($C2205, 'Instrument Table'!$B:$C, 2, FALSE)</f>
        <v>Woodwinds</v>
      </c>
      <c r="E2205" s="1">
        <f t="shared" si="204"/>
        <v>1</v>
      </c>
      <c r="F2205" s="1">
        <f>_xlfn.XLOOKUP($C2205, 'Instrument Table'!$B:$B, 'Instrument Table'!$A:$A, "")</f>
        <v>31</v>
      </c>
      <c r="G2205" s="1" t="str">
        <f>TEXT(IF($B2205 = "Retail Item", IF((ROW($A2205) - 4504 - _xlfn.XMATCH($C2205, $C$4506:$C$5005, 0, 1)) &lt;= VLOOKUP($C2205, 'Instrument Table'!$B:$D, 3, FALSE), ROW($A2205) - 4504 - _xlfn.XMATCH($C2205, $C$4506:$C$5005, 0, 1), 0), 0), "00")</f>
        <v>00</v>
      </c>
      <c r="H2205" s="1" t="str">
        <f t="shared" si="205"/>
        <v>049</v>
      </c>
      <c r="I2205" s="1" t="str">
        <f t="shared" si="206"/>
        <v>13100-049</v>
      </c>
      <c r="J2205" s="1" t="str">
        <f t="shared" si="207"/>
        <v>Saxophone production item #049</v>
      </c>
      <c r="K2205" s="1" t="str">
        <f>IF(SUM(COUNTIFS(I:I, I2205)) &gt; 1, "DUPLICATE", "UNIQUE")</f>
        <v>UNIQUE</v>
      </c>
      <c r="L2205" s="18">
        <v>32</v>
      </c>
      <c r="M2205" s="28">
        <v>42</v>
      </c>
      <c r="N2205" s="6">
        <v>324</v>
      </c>
      <c r="O2205" s="30">
        <f t="shared" si="208"/>
        <v>1344</v>
      </c>
      <c r="P2205" s="30">
        <f t="shared" si="209"/>
        <v>13608</v>
      </c>
      <c r="Q2205" s="1">
        <f>COUNTIFS($P:$P, "&gt;" &amp; $P2205) + 1</f>
        <v>1449</v>
      </c>
      <c r="R2205" s="63">
        <f>(COUNTIFS($P:$P, "&gt;" &amp; $P2205) + 1) / (COUNTA($I:$I) - 1)</f>
        <v>0.2898</v>
      </c>
      <c r="S2205" s="23">
        <f>SUMIFS($P:$P, $Q:$Q, "&lt;" &amp; $Q2205)</f>
        <v>174159497</v>
      </c>
    </row>
    <row r="2206" spans="1:19" x14ac:dyDescent="0.25">
      <c r="A2206" s="1">
        <v>2201</v>
      </c>
      <c r="B2206" s="1" t="s">
        <v>2</v>
      </c>
      <c r="C2206" s="1" t="str">
        <f>IF($B2206 = "Production Item", _xlfn.XLOOKUP($A2206, 'Instrument Table'!$J:$J, 'Instrument Table'!$B:$B, $C2205), IF($B2206 = "Service Item", _xlfn.XLOOKUP($A2206, 'Instrument Table'!$I:$I, 'Instrument Table'!$B:$B, $C2205), _xlfn.XLOOKUP($A2206, 'Instrument Table'!$H:$H, 'Instrument Table'!$B:$B, $C2205)))</f>
        <v>Saxophone</v>
      </c>
      <c r="D2206" s="1" t="str">
        <f>VLOOKUP($C2206, 'Instrument Table'!$B:$C, 2, FALSE)</f>
        <v>Woodwinds</v>
      </c>
      <c r="E2206" s="1">
        <f t="shared" si="204"/>
        <v>1</v>
      </c>
      <c r="F2206" s="1">
        <f>_xlfn.XLOOKUP($C2206, 'Instrument Table'!$B:$B, 'Instrument Table'!$A:$A, "")</f>
        <v>31</v>
      </c>
      <c r="G2206" s="1" t="str">
        <f>TEXT(IF($B2206 = "Retail Item", IF((ROW($A2206) - 4504 - _xlfn.XMATCH($C2206, $C$4506:$C$5005, 0, 1)) &lt;= VLOOKUP($C2206, 'Instrument Table'!$B:$D, 3, FALSE), ROW($A2206) - 4504 - _xlfn.XMATCH($C2206, $C$4506:$C$5005, 0, 1), 0), 0), "00")</f>
        <v>00</v>
      </c>
      <c r="H2206" s="1" t="str">
        <f t="shared" si="205"/>
        <v>050</v>
      </c>
      <c r="I2206" s="1" t="str">
        <f t="shared" si="206"/>
        <v>13100-050</v>
      </c>
      <c r="J2206" s="1" t="str">
        <f t="shared" si="207"/>
        <v>Saxophone production item #050</v>
      </c>
      <c r="K2206" s="1" t="str">
        <f>IF(SUM(COUNTIFS(I:I, I2206)) &gt; 1, "DUPLICATE", "UNIQUE")</f>
        <v>UNIQUE</v>
      </c>
      <c r="L2206" s="18">
        <v>0</v>
      </c>
      <c r="M2206" s="28">
        <v>4</v>
      </c>
      <c r="N2206" s="6">
        <v>49</v>
      </c>
      <c r="O2206" s="30">
        <f t="shared" si="208"/>
        <v>0</v>
      </c>
      <c r="P2206" s="30">
        <f t="shared" si="209"/>
        <v>196</v>
      </c>
      <c r="Q2206" s="1">
        <f>COUNTIFS($P:$P, "&gt;" &amp; $P2206) + 1</f>
        <v>4334</v>
      </c>
      <c r="R2206" s="63">
        <f>(COUNTIFS($P:$P, "&gt;" &amp; $P2206) + 1) / (COUNTA($I:$I) - 1)</f>
        <v>0.86680000000000001</v>
      </c>
      <c r="S2206" s="23">
        <f>SUMIFS($P:$P, $Q:$Q, "&lt;" &amp; $Q2206)</f>
        <v>186514493</v>
      </c>
    </row>
    <row r="2207" spans="1:19" x14ac:dyDescent="0.25">
      <c r="A2207" s="1">
        <v>2202</v>
      </c>
      <c r="B2207" s="1" t="s">
        <v>2</v>
      </c>
      <c r="C2207" s="1" t="str">
        <f>IF($B2207 = "Production Item", _xlfn.XLOOKUP($A2207, 'Instrument Table'!$J:$J, 'Instrument Table'!$B:$B, $C2206), IF($B2207 = "Service Item", _xlfn.XLOOKUP($A2207, 'Instrument Table'!$I:$I, 'Instrument Table'!$B:$B, $C2206), _xlfn.XLOOKUP($A2207, 'Instrument Table'!$H:$H, 'Instrument Table'!$B:$B, $C2206)))</f>
        <v>Saxophone</v>
      </c>
      <c r="D2207" s="1" t="str">
        <f>VLOOKUP($C2207, 'Instrument Table'!$B:$C, 2, FALSE)</f>
        <v>Woodwinds</v>
      </c>
      <c r="E2207" s="1">
        <f t="shared" si="204"/>
        <v>1</v>
      </c>
      <c r="F2207" s="1">
        <f>_xlfn.XLOOKUP($C2207, 'Instrument Table'!$B:$B, 'Instrument Table'!$A:$A, "")</f>
        <v>31</v>
      </c>
      <c r="G2207" s="1" t="str">
        <f>TEXT(IF($B2207 = "Retail Item", IF((ROW($A2207) - 4504 - _xlfn.XMATCH($C2207, $C$4506:$C$5005, 0, 1)) &lt;= VLOOKUP($C2207, 'Instrument Table'!$B:$D, 3, FALSE), ROW($A2207) - 4504 - _xlfn.XMATCH($C2207, $C$4506:$C$5005, 0, 1), 0), 0), "00")</f>
        <v>00</v>
      </c>
      <c r="H2207" s="1" t="str">
        <f t="shared" si="205"/>
        <v>051</v>
      </c>
      <c r="I2207" s="1" t="str">
        <f t="shared" si="206"/>
        <v>13100-051</v>
      </c>
      <c r="J2207" s="1" t="str">
        <f t="shared" si="207"/>
        <v>Saxophone production item #051</v>
      </c>
      <c r="K2207" s="1" t="str">
        <f>IF(SUM(COUNTIFS(I:I, I2207)) &gt; 1, "DUPLICATE", "UNIQUE")</f>
        <v>UNIQUE</v>
      </c>
      <c r="L2207" s="18">
        <v>1</v>
      </c>
      <c r="M2207" s="28">
        <v>53</v>
      </c>
      <c r="N2207" s="6">
        <v>256</v>
      </c>
      <c r="O2207" s="30">
        <f t="shared" si="208"/>
        <v>53</v>
      </c>
      <c r="P2207" s="30">
        <f t="shared" si="209"/>
        <v>13568</v>
      </c>
      <c r="Q2207" s="1">
        <f>COUNTIFS($P:$P, "&gt;" &amp; $P2207) + 1</f>
        <v>1454</v>
      </c>
      <c r="R2207" s="63">
        <f>(COUNTIFS($P:$P, "&gt;" &amp; $P2207) + 1) / (COUNTA($I:$I) - 1)</f>
        <v>0.2908</v>
      </c>
      <c r="S2207" s="23">
        <f>SUMIFS($P:$P, $Q:$Q, "&lt;" &amp; $Q2207)</f>
        <v>174227505</v>
      </c>
    </row>
    <row r="2208" spans="1:19" x14ac:dyDescent="0.25">
      <c r="A2208" s="1">
        <v>2203</v>
      </c>
      <c r="B2208" s="1" t="s">
        <v>2</v>
      </c>
      <c r="C2208" s="1" t="str">
        <f>IF($B2208 = "Production Item", _xlfn.XLOOKUP($A2208, 'Instrument Table'!$J:$J, 'Instrument Table'!$B:$B, $C2207), IF($B2208 = "Service Item", _xlfn.XLOOKUP($A2208, 'Instrument Table'!$I:$I, 'Instrument Table'!$B:$B, $C2207), _xlfn.XLOOKUP($A2208, 'Instrument Table'!$H:$H, 'Instrument Table'!$B:$B, $C2207)))</f>
        <v>Saxophone</v>
      </c>
      <c r="D2208" s="1" t="str">
        <f>VLOOKUP($C2208, 'Instrument Table'!$B:$C, 2, FALSE)</f>
        <v>Woodwinds</v>
      </c>
      <c r="E2208" s="1">
        <f t="shared" si="204"/>
        <v>1</v>
      </c>
      <c r="F2208" s="1">
        <f>_xlfn.XLOOKUP($C2208, 'Instrument Table'!$B:$B, 'Instrument Table'!$A:$A, "")</f>
        <v>31</v>
      </c>
      <c r="G2208" s="1" t="str">
        <f>TEXT(IF($B2208 = "Retail Item", IF((ROW($A2208) - 4504 - _xlfn.XMATCH($C2208, $C$4506:$C$5005, 0, 1)) &lt;= VLOOKUP($C2208, 'Instrument Table'!$B:$D, 3, FALSE), ROW($A2208) - 4504 - _xlfn.XMATCH($C2208, $C$4506:$C$5005, 0, 1), 0), 0), "00")</f>
        <v>00</v>
      </c>
      <c r="H2208" s="1" t="str">
        <f t="shared" si="205"/>
        <v>052</v>
      </c>
      <c r="I2208" s="1" t="str">
        <f t="shared" si="206"/>
        <v>13100-052</v>
      </c>
      <c r="J2208" s="1" t="str">
        <f t="shared" si="207"/>
        <v>Saxophone production item #052</v>
      </c>
      <c r="K2208" s="1" t="str">
        <f>IF(SUM(COUNTIFS(I:I, I2208)) &gt; 1, "DUPLICATE", "UNIQUE")</f>
        <v>UNIQUE</v>
      </c>
      <c r="L2208" s="18">
        <v>0</v>
      </c>
      <c r="M2208" s="28">
        <v>55</v>
      </c>
      <c r="N2208" s="6">
        <v>289</v>
      </c>
      <c r="O2208" s="30">
        <f t="shared" si="208"/>
        <v>0</v>
      </c>
      <c r="P2208" s="30">
        <f t="shared" si="209"/>
        <v>15895</v>
      </c>
      <c r="Q2208" s="1">
        <f>COUNTIFS($P:$P, "&gt;" &amp; $P2208) + 1</f>
        <v>1282</v>
      </c>
      <c r="R2208" s="63">
        <f>(COUNTIFS($P:$P, "&gt;" &amp; $P2208) + 1) / (COUNTA($I:$I) - 1)</f>
        <v>0.25640000000000002</v>
      </c>
      <c r="S2208" s="23">
        <f>SUMIFS($P:$P, $Q:$Q, "&lt;" &amp; $Q2208)</f>
        <v>171688855</v>
      </c>
    </row>
    <row r="2209" spans="1:19" x14ac:dyDescent="0.25">
      <c r="A2209" s="1">
        <v>2204</v>
      </c>
      <c r="B2209" s="1" t="s">
        <v>2</v>
      </c>
      <c r="C2209" s="1" t="str">
        <f>IF($B2209 = "Production Item", _xlfn.XLOOKUP($A2209, 'Instrument Table'!$J:$J, 'Instrument Table'!$B:$B, $C2208), IF($B2209 = "Service Item", _xlfn.XLOOKUP($A2209, 'Instrument Table'!$I:$I, 'Instrument Table'!$B:$B, $C2208), _xlfn.XLOOKUP($A2209, 'Instrument Table'!$H:$H, 'Instrument Table'!$B:$B, $C2208)))</f>
        <v>Saxophone</v>
      </c>
      <c r="D2209" s="1" t="str">
        <f>VLOOKUP($C2209, 'Instrument Table'!$B:$C, 2, FALSE)</f>
        <v>Woodwinds</v>
      </c>
      <c r="E2209" s="1">
        <f t="shared" si="204"/>
        <v>1</v>
      </c>
      <c r="F2209" s="1">
        <f>_xlfn.XLOOKUP($C2209, 'Instrument Table'!$B:$B, 'Instrument Table'!$A:$A, "")</f>
        <v>31</v>
      </c>
      <c r="G2209" s="1" t="str">
        <f>TEXT(IF($B2209 = "Retail Item", IF((ROW($A2209) - 4504 - _xlfn.XMATCH($C2209, $C$4506:$C$5005, 0, 1)) &lt;= VLOOKUP($C2209, 'Instrument Table'!$B:$D, 3, FALSE), ROW($A2209) - 4504 - _xlfn.XMATCH($C2209, $C$4506:$C$5005, 0, 1), 0), 0), "00")</f>
        <v>00</v>
      </c>
      <c r="H2209" s="1" t="str">
        <f t="shared" si="205"/>
        <v>053</v>
      </c>
      <c r="I2209" s="1" t="str">
        <f t="shared" si="206"/>
        <v>13100-053</v>
      </c>
      <c r="J2209" s="1" t="str">
        <f t="shared" si="207"/>
        <v>Saxophone production item #053</v>
      </c>
      <c r="K2209" s="1" t="str">
        <f>IF(SUM(COUNTIFS(I:I, I2209)) &gt; 1, "DUPLICATE", "UNIQUE")</f>
        <v>UNIQUE</v>
      </c>
      <c r="L2209" s="18">
        <v>0</v>
      </c>
      <c r="M2209" s="28">
        <v>38</v>
      </c>
      <c r="N2209" s="6">
        <v>64</v>
      </c>
      <c r="O2209" s="30">
        <f t="shared" si="208"/>
        <v>0</v>
      </c>
      <c r="P2209" s="30">
        <f t="shared" si="209"/>
        <v>2432</v>
      </c>
      <c r="Q2209" s="1">
        <f>COUNTIFS($P:$P, "&gt;" &amp; $P2209) + 1</f>
        <v>3071</v>
      </c>
      <c r="R2209" s="63">
        <f>(COUNTIFS($P:$P, "&gt;" &amp; $P2209) + 1) / (COUNTA($I:$I) - 1)</f>
        <v>0.61419999999999997</v>
      </c>
      <c r="S2209" s="23">
        <f>SUMIFS($P:$P, $Q:$Q, "&lt;" &amp; $Q2209)</f>
        <v>185112669</v>
      </c>
    </row>
    <row r="2210" spans="1:19" x14ac:dyDescent="0.25">
      <c r="A2210" s="1">
        <v>2205</v>
      </c>
      <c r="B2210" s="1" t="s">
        <v>2</v>
      </c>
      <c r="C2210" s="1" t="str">
        <f>IF($B2210 = "Production Item", _xlfn.XLOOKUP($A2210, 'Instrument Table'!$J:$J, 'Instrument Table'!$B:$B, $C2209), IF($B2210 = "Service Item", _xlfn.XLOOKUP($A2210, 'Instrument Table'!$I:$I, 'Instrument Table'!$B:$B, $C2209), _xlfn.XLOOKUP($A2210, 'Instrument Table'!$H:$H, 'Instrument Table'!$B:$B, $C2209)))</f>
        <v>Saxophone</v>
      </c>
      <c r="D2210" s="1" t="str">
        <f>VLOOKUP($C2210, 'Instrument Table'!$B:$C, 2, FALSE)</f>
        <v>Woodwinds</v>
      </c>
      <c r="E2210" s="1">
        <f t="shared" si="204"/>
        <v>1</v>
      </c>
      <c r="F2210" s="1">
        <f>_xlfn.XLOOKUP($C2210, 'Instrument Table'!$B:$B, 'Instrument Table'!$A:$A, "")</f>
        <v>31</v>
      </c>
      <c r="G2210" s="1" t="str">
        <f>TEXT(IF($B2210 = "Retail Item", IF((ROW($A2210) - 4504 - _xlfn.XMATCH($C2210, $C$4506:$C$5005, 0, 1)) &lt;= VLOOKUP($C2210, 'Instrument Table'!$B:$D, 3, FALSE), ROW($A2210) - 4504 - _xlfn.XMATCH($C2210, $C$4506:$C$5005, 0, 1), 0), 0), "00")</f>
        <v>00</v>
      </c>
      <c r="H2210" s="1" t="str">
        <f t="shared" si="205"/>
        <v>054</v>
      </c>
      <c r="I2210" s="1" t="str">
        <f t="shared" si="206"/>
        <v>13100-054</v>
      </c>
      <c r="J2210" s="1" t="str">
        <f t="shared" si="207"/>
        <v>Saxophone production item #054</v>
      </c>
      <c r="K2210" s="1" t="str">
        <f>IF(SUM(COUNTIFS(I:I, I2210)) &gt; 1, "DUPLICATE", "UNIQUE")</f>
        <v>UNIQUE</v>
      </c>
      <c r="L2210" s="18">
        <v>0</v>
      </c>
      <c r="M2210" s="28">
        <v>79</v>
      </c>
      <c r="N2210" s="6">
        <v>25</v>
      </c>
      <c r="O2210" s="30">
        <f t="shared" si="208"/>
        <v>0</v>
      </c>
      <c r="P2210" s="30">
        <f t="shared" si="209"/>
        <v>1975</v>
      </c>
      <c r="Q2210" s="1">
        <f>COUNTIFS($P:$P, "&gt;" &amp; $P2210) + 1</f>
        <v>3267</v>
      </c>
      <c r="R2210" s="63">
        <f>(COUNTIFS($P:$P, "&gt;" &amp; $P2210) + 1) / (COUNTA($I:$I) - 1)</f>
        <v>0.65339999999999998</v>
      </c>
      <c r="S2210" s="23">
        <f>SUMIFS($P:$P, $Q:$Q, "&lt;" &amp; $Q2210)</f>
        <v>185545135</v>
      </c>
    </row>
    <row r="2211" spans="1:19" x14ac:dyDescent="0.25">
      <c r="A2211" s="1">
        <v>2206</v>
      </c>
      <c r="B2211" s="1" t="s">
        <v>2</v>
      </c>
      <c r="C2211" s="1" t="str">
        <f>IF($B2211 = "Production Item", _xlfn.XLOOKUP($A2211, 'Instrument Table'!$J:$J, 'Instrument Table'!$B:$B, $C2210), IF($B2211 = "Service Item", _xlfn.XLOOKUP($A2211, 'Instrument Table'!$I:$I, 'Instrument Table'!$B:$B, $C2210), _xlfn.XLOOKUP($A2211, 'Instrument Table'!$H:$H, 'Instrument Table'!$B:$B, $C2210)))</f>
        <v>Saxophone</v>
      </c>
      <c r="D2211" s="1" t="str">
        <f>VLOOKUP($C2211, 'Instrument Table'!$B:$C, 2, FALSE)</f>
        <v>Woodwinds</v>
      </c>
      <c r="E2211" s="1">
        <f t="shared" si="204"/>
        <v>1</v>
      </c>
      <c r="F2211" s="1">
        <f>_xlfn.XLOOKUP($C2211, 'Instrument Table'!$B:$B, 'Instrument Table'!$A:$A, "")</f>
        <v>31</v>
      </c>
      <c r="G2211" s="1" t="str">
        <f>TEXT(IF($B2211 = "Retail Item", IF((ROW($A2211) - 4504 - _xlfn.XMATCH($C2211, $C$4506:$C$5005, 0, 1)) &lt;= VLOOKUP($C2211, 'Instrument Table'!$B:$D, 3, FALSE), ROW($A2211) - 4504 - _xlfn.XMATCH($C2211, $C$4506:$C$5005, 0, 1), 0), 0), "00")</f>
        <v>00</v>
      </c>
      <c r="H2211" s="1" t="str">
        <f t="shared" si="205"/>
        <v>055</v>
      </c>
      <c r="I2211" s="1" t="str">
        <f t="shared" si="206"/>
        <v>13100-055</v>
      </c>
      <c r="J2211" s="1" t="str">
        <f t="shared" si="207"/>
        <v>Saxophone production item #055</v>
      </c>
      <c r="K2211" s="1" t="str">
        <f>IF(SUM(COUNTIFS(I:I, I2211)) &gt; 1, "DUPLICATE", "UNIQUE")</f>
        <v>UNIQUE</v>
      </c>
      <c r="L2211" s="18">
        <v>1</v>
      </c>
      <c r="M2211" s="28">
        <v>23</v>
      </c>
      <c r="N2211" s="6">
        <v>144</v>
      </c>
      <c r="O2211" s="30">
        <f t="shared" si="208"/>
        <v>23</v>
      </c>
      <c r="P2211" s="30">
        <f t="shared" si="209"/>
        <v>3312</v>
      </c>
      <c r="Q2211" s="1">
        <f>COUNTIFS($P:$P, "&gt;" &amp; $P2211) + 1</f>
        <v>2826</v>
      </c>
      <c r="R2211" s="63">
        <f>(COUNTIFS($P:$P, "&gt;" &amp; $P2211) + 1) / (COUNTA($I:$I) - 1)</f>
        <v>0.56520000000000004</v>
      </c>
      <c r="S2211" s="23">
        <f>SUMIFS($P:$P, $Q:$Q, "&lt;" &amp; $Q2211)</f>
        <v>184413337</v>
      </c>
    </row>
    <row r="2212" spans="1:19" x14ac:dyDescent="0.25">
      <c r="A2212" s="1">
        <v>2207</v>
      </c>
      <c r="B2212" s="1" t="s">
        <v>2</v>
      </c>
      <c r="C2212" s="1" t="str">
        <f>IF($B2212 = "Production Item", _xlfn.XLOOKUP($A2212, 'Instrument Table'!$J:$J, 'Instrument Table'!$B:$B, $C2211), IF($B2212 = "Service Item", _xlfn.XLOOKUP($A2212, 'Instrument Table'!$I:$I, 'Instrument Table'!$B:$B, $C2211), _xlfn.XLOOKUP($A2212, 'Instrument Table'!$H:$H, 'Instrument Table'!$B:$B, $C2211)))</f>
        <v>Saxophone</v>
      </c>
      <c r="D2212" s="1" t="str">
        <f>VLOOKUP($C2212, 'Instrument Table'!$B:$C, 2, FALSE)</f>
        <v>Woodwinds</v>
      </c>
      <c r="E2212" s="1">
        <f t="shared" si="204"/>
        <v>1</v>
      </c>
      <c r="F2212" s="1">
        <f>_xlfn.XLOOKUP($C2212, 'Instrument Table'!$B:$B, 'Instrument Table'!$A:$A, "")</f>
        <v>31</v>
      </c>
      <c r="G2212" s="1" t="str">
        <f>TEXT(IF($B2212 = "Retail Item", IF((ROW($A2212) - 4504 - _xlfn.XMATCH($C2212, $C$4506:$C$5005, 0, 1)) &lt;= VLOOKUP($C2212, 'Instrument Table'!$B:$D, 3, FALSE), ROW($A2212) - 4504 - _xlfn.XMATCH($C2212, $C$4506:$C$5005, 0, 1), 0), 0), "00")</f>
        <v>00</v>
      </c>
      <c r="H2212" s="1" t="str">
        <f t="shared" si="205"/>
        <v>056</v>
      </c>
      <c r="I2212" s="1" t="str">
        <f t="shared" si="206"/>
        <v>13100-056</v>
      </c>
      <c r="J2212" s="1" t="str">
        <f t="shared" si="207"/>
        <v>Saxophone production item #056</v>
      </c>
      <c r="K2212" s="1" t="str">
        <f>IF(SUM(COUNTIFS(I:I, I2212)) &gt; 1, "DUPLICATE", "UNIQUE")</f>
        <v>UNIQUE</v>
      </c>
      <c r="L2212" s="18">
        <v>16</v>
      </c>
      <c r="M2212" s="28">
        <v>86</v>
      </c>
      <c r="N2212" s="6">
        <v>1</v>
      </c>
      <c r="O2212" s="30">
        <f t="shared" si="208"/>
        <v>1376</v>
      </c>
      <c r="P2212" s="30">
        <f t="shared" si="209"/>
        <v>86</v>
      </c>
      <c r="Q2212" s="1">
        <f>COUNTIFS($P:$P, "&gt;" &amp; $P2212) + 1</f>
        <v>4492</v>
      </c>
      <c r="R2212" s="63">
        <f>(COUNTIFS($P:$P, "&gt;" &amp; $P2212) + 1) / (COUNTA($I:$I) - 1)</f>
        <v>0.89839999999999998</v>
      </c>
      <c r="S2212" s="23">
        <f>SUMIFS($P:$P, $Q:$Q, "&lt;" &amp; $Q2212)</f>
        <v>186536179</v>
      </c>
    </row>
    <row r="2213" spans="1:19" x14ac:dyDescent="0.25">
      <c r="A2213" s="1">
        <v>2208</v>
      </c>
      <c r="B2213" s="1" t="s">
        <v>2</v>
      </c>
      <c r="C2213" s="1" t="str">
        <f>IF($B2213 = "Production Item", _xlfn.XLOOKUP($A2213, 'Instrument Table'!$J:$J, 'Instrument Table'!$B:$B, $C2212), IF($B2213 = "Service Item", _xlfn.XLOOKUP($A2213, 'Instrument Table'!$I:$I, 'Instrument Table'!$B:$B, $C2212), _xlfn.XLOOKUP($A2213, 'Instrument Table'!$H:$H, 'Instrument Table'!$B:$B, $C2212)))</f>
        <v>Saxophone</v>
      </c>
      <c r="D2213" s="1" t="str">
        <f>VLOOKUP($C2213, 'Instrument Table'!$B:$C, 2, FALSE)</f>
        <v>Woodwinds</v>
      </c>
      <c r="E2213" s="1">
        <f t="shared" si="204"/>
        <v>1</v>
      </c>
      <c r="F2213" s="1">
        <f>_xlfn.XLOOKUP($C2213, 'Instrument Table'!$B:$B, 'Instrument Table'!$A:$A, "")</f>
        <v>31</v>
      </c>
      <c r="G2213" s="1" t="str">
        <f>TEXT(IF($B2213 = "Retail Item", IF((ROW($A2213) - 4504 - _xlfn.XMATCH($C2213, $C$4506:$C$5005, 0, 1)) &lt;= VLOOKUP($C2213, 'Instrument Table'!$B:$D, 3, FALSE), ROW($A2213) - 4504 - _xlfn.XMATCH($C2213, $C$4506:$C$5005, 0, 1), 0), 0), "00")</f>
        <v>00</v>
      </c>
      <c r="H2213" s="1" t="str">
        <f t="shared" si="205"/>
        <v>057</v>
      </c>
      <c r="I2213" s="1" t="str">
        <f t="shared" si="206"/>
        <v>13100-057</v>
      </c>
      <c r="J2213" s="1" t="str">
        <f t="shared" si="207"/>
        <v>Saxophone production item #057</v>
      </c>
      <c r="K2213" s="1" t="str">
        <f>IF(SUM(COUNTIFS(I:I, I2213)) &gt; 1, "DUPLICATE", "UNIQUE")</f>
        <v>UNIQUE</v>
      </c>
      <c r="L2213" s="18">
        <v>4</v>
      </c>
      <c r="M2213" s="28">
        <v>70</v>
      </c>
      <c r="N2213" s="6">
        <v>64</v>
      </c>
      <c r="O2213" s="30">
        <f t="shared" si="208"/>
        <v>280</v>
      </c>
      <c r="P2213" s="30">
        <f t="shared" si="209"/>
        <v>4480</v>
      </c>
      <c r="Q2213" s="1">
        <f>COUNTIFS($P:$P, "&gt;" &amp; $P2213) + 1</f>
        <v>2548</v>
      </c>
      <c r="R2213" s="63">
        <f>(COUNTIFS($P:$P, "&gt;" &amp; $P2213) + 1) / (COUNTA($I:$I) - 1)</f>
        <v>0.50960000000000005</v>
      </c>
      <c r="S2213" s="23">
        <f>SUMIFS($P:$P, $Q:$Q, "&lt;" &amp; $Q2213)</f>
        <v>183336003</v>
      </c>
    </row>
    <row r="2214" spans="1:19" x14ac:dyDescent="0.25">
      <c r="A2214" s="1">
        <v>2209</v>
      </c>
      <c r="B2214" s="1" t="s">
        <v>2</v>
      </c>
      <c r="C2214" s="1" t="str">
        <f>IF($B2214 = "Production Item", _xlfn.XLOOKUP($A2214, 'Instrument Table'!$J:$J, 'Instrument Table'!$B:$B, $C2213), IF($B2214 = "Service Item", _xlfn.XLOOKUP($A2214, 'Instrument Table'!$I:$I, 'Instrument Table'!$B:$B, $C2213), _xlfn.XLOOKUP($A2214, 'Instrument Table'!$H:$H, 'Instrument Table'!$B:$B, $C2213)))</f>
        <v>Saxophone</v>
      </c>
      <c r="D2214" s="1" t="str">
        <f>VLOOKUP($C2214, 'Instrument Table'!$B:$C, 2, FALSE)</f>
        <v>Woodwinds</v>
      </c>
      <c r="E2214" s="1">
        <f t="shared" si="204"/>
        <v>1</v>
      </c>
      <c r="F2214" s="1">
        <f>_xlfn.XLOOKUP($C2214, 'Instrument Table'!$B:$B, 'Instrument Table'!$A:$A, "")</f>
        <v>31</v>
      </c>
      <c r="G2214" s="1" t="str">
        <f>TEXT(IF($B2214 = "Retail Item", IF((ROW($A2214) - 4504 - _xlfn.XMATCH($C2214, $C$4506:$C$5005, 0, 1)) &lt;= VLOOKUP($C2214, 'Instrument Table'!$B:$D, 3, FALSE), ROW($A2214) - 4504 - _xlfn.XMATCH($C2214, $C$4506:$C$5005, 0, 1), 0), 0), "00")</f>
        <v>00</v>
      </c>
      <c r="H2214" s="1" t="str">
        <f t="shared" si="205"/>
        <v>058</v>
      </c>
      <c r="I2214" s="1" t="str">
        <f t="shared" si="206"/>
        <v>13100-058</v>
      </c>
      <c r="J2214" s="1" t="str">
        <f t="shared" si="207"/>
        <v>Saxophone production item #058</v>
      </c>
      <c r="K2214" s="1" t="str">
        <f>IF(SUM(COUNTIFS(I:I, I2214)) &gt; 1, "DUPLICATE", "UNIQUE")</f>
        <v>UNIQUE</v>
      </c>
      <c r="L2214" s="18">
        <v>0</v>
      </c>
      <c r="M2214" s="28">
        <v>77</v>
      </c>
      <c r="N2214" s="6">
        <v>256</v>
      </c>
      <c r="O2214" s="30">
        <f t="shared" si="208"/>
        <v>0</v>
      </c>
      <c r="P2214" s="30">
        <f t="shared" si="209"/>
        <v>19712</v>
      </c>
      <c r="Q2214" s="1">
        <f>COUNTIFS($P:$P, "&gt;" &amp; $P2214) + 1</f>
        <v>1070</v>
      </c>
      <c r="R2214" s="63">
        <f>(COUNTIFS($P:$P, "&gt;" &amp; $P2214) + 1) / (COUNTA($I:$I) - 1)</f>
        <v>0.214</v>
      </c>
      <c r="S2214" s="23">
        <f>SUMIFS($P:$P, $Q:$Q, "&lt;" &amp; $Q2214)</f>
        <v>167921769</v>
      </c>
    </row>
    <row r="2215" spans="1:19" x14ac:dyDescent="0.25">
      <c r="A2215" s="1">
        <v>2210</v>
      </c>
      <c r="B2215" s="1" t="s">
        <v>2</v>
      </c>
      <c r="C2215" s="1" t="str">
        <f>IF($B2215 = "Production Item", _xlfn.XLOOKUP($A2215, 'Instrument Table'!$J:$J, 'Instrument Table'!$B:$B, $C2214), IF($B2215 = "Service Item", _xlfn.XLOOKUP($A2215, 'Instrument Table'!$I:$I, 'Instrument Table'!$B:$B, $C2214), _xlfn.XLOOKUP($A2215, 'Instrument Table'!$H:$H, 'Instrument Table'!$B:$B, $C2214)))</f>
        <v>Saxophone</v>
      </c>
      <c r="D2215" s="1" t="str">
        <f>VLOOKUP($C2215, 'Instrument Table'!$B:$C, 2, FALSE)</f>
        <v>Woodwinds</v>
      </c>
      <c r="E2215" s="1">
        <f t="shared" si="204"/>
        <v>1</v>
      </c>
      <c r="F2215" s="1">
        <f>_xlfn.XLOOKUP($C2215, 'Instrument Table'!$B:$B, 'Instrument Table'!$A:$A, "")</f>
        <v>31</v>
      </c>
      <c r="G2215" s="1" t="str">
        <f>TEXT(IF($B2215 = "Retail Item", IF((ROW($A2215) - 4504 - _xlfn.XMATCH($C2215, $C$4506:$C$5005, 0, 1)) &lt;= VLOOKUP($C2215, 'Instrument Table'!$B:$D, 3, FALSE), ROW($A2215) - 4504 - _xlfn.XMATCH($C2215, $C$4506:$C$5005, 0, 1), 0), 0), "00")</f>
        <v>00</v>
      </c>
      <c r="H2215" s="1" t="str">
        <f t="shared" si="205"/>
        <v>059</v>
      </c>
      <c r="I2215" s="1" t="str">
        <f t="shared" si="206"/>
        <v>13100-059</v>
      </c>
      <c r="J2215" s="1" t="str">
        <f t="shared" si="207"/>
        <v>Saxophone production item #059</v>
      </c>
      <c r="K2215" s="1" t="str">
        <f>IF(SUM(COUNTIFS(I:I, I2215)) &gt; 1, "DUPLICATE", "UNIQUE")</f>
        <v>UNIQUE</v>
      </c>
      <c r="L2215" s="18">
        <v>0</v>
      </c>
      <c r="M2215" s="28">
        <v>89</v>
      </c>
      <c r="N2215" s="6">
        <v>289</v>
      </c>
      <c r="O2215" s="30">
        <f t="shared" si="208"/>
        <v>0</v>
      </c>
      <c r="P2215" s="30">
        <f t="shared" si="209"/>
        <v>25721</v>
      </c>
      <c r="Q2215" s="1">
        <f>COUNTIFS($P:$P, "&gt;" &amp; $P2215) + 1</f>
        <v>798</v>
      </c>
      <c r="R2215" s="63">
        <f>(COUNTIFS($P:$P, "&gt;" &amp; $P2215) + 1) / (COUNTA($I:$I) - 1)</f>
        <v>0.15959999999999999</v>
      </c>
      <c r="S2215" s="23">
        <f>SUMIFS($P:$P, $Q:$Q, "&lt;" &amp; $Q2215)</f>
        <v>161776320</v>
      </c>
    </row>
    <row r="2216" spans="1:19" x14ac:dyDescent="0.25">
      <c r="A2216" s="1">
        <v>2211</v>
      </c>
      <c r="B2216" s="1" t="s">
        <v>2</v>
      </c>
      <c r="C2216" s="1" t="str">
        <f>IF($B2216 = "Production Item", _xlfn.XLOOKUP($A2216, 'Instrument Table'!$J:$J, 'Instrument Table'!$B:$B, $C2215), IF($B2216 = "Service Item", _xlfn.XLOOKUP($A2216, 'Instrument Table'!$I:$I, 'Instrument Table'!$B:$B, $C2215), _xlfn.XLOOKUP($A2216, 'Instrument Table'!$H:$H, 'Instrument Table'!$B:$B, $C2215)))</f>
        <v>Saxophone</v>
      </c>
      <c r="D2216" s="1" t="str">
        <f>VLOOKUP($C2216, 'Instrument Table'!$B:$C, 2, FALSE)</f>
        <v>Woodwinds</v>
      </c>
      <c r="E2216" s="1">
        <f t="shared" si="204"/>
        <v>1</v>
      </c>
      <c r="F2216" s="1">
        <f>_xlfn.XLOOKUP($C2216, 'Instrument Table'!$B:$B, 'Instrument Table'!$A:$A, "")</f>
        <v>31</v>
      </c>
      <c r="G2216" s="1" t="str">
        <f>TEXT(IF($B2216 = "Retail Item", IF((ROW($A2216) - 4504 - _xlfn.XMATCH($C2216, $C$4506:$C$5005, 0, 1)) &lt;= VLOOKUP($C2216, 'Instrument Table'!$B:$D, 3, FALSE), ROW($A2216) - 4504 - _xlfn.XMATCH($C2216, $C$4506:$C$5005, 0, 1), 0), 0), "00")</f>
        <v>00</v>
      </c>
      <c r="H2216" s="1" t="str">
        <f t="shared" si="205"/>
        <v>060</v>
      </c>
      <c r="I2216" s="1" t="str">
        <f t="shared" si="206"/>
        <v>13100-060</v>
      </c>
      <c r="J2216" s="1" t="str">
        <f t="shared" si="207"/>
        <v>Saxophone production item #060</v>
      </c>
      <c r="K2216" s="1" t="str">
        <f>IF(SUM(COUNTIFS(I:I, I2216)) &gt; 1, "DUPLICATE", "UNIQUE")</f>
        <v>UNIQUE</v>
      </c>
      <c r="L2216" s="18">
        <v>0</v>
      </c>
      <c r="M2216" s="28">
        <v>39</v>
      </c>
      <c r="N2216" s="6">
        <v>1</v>
      </c>
      <c r="O2216" s="30">
        <f t="shared" si="208"/>
        <v>0</v>
      </c>
      <c r="P2216" s="30">
        <f t="shared" si="209"/>
        <v>39</v>
      </c>
      <c r="Q2216" s="1">
        <f>COUNTIFS($P:$P, "&gt;" &amp; $P2216) + 1</f>
        <v>4643</v>
      </c>
      <c r="R2216" s="63">
        <f>(COUNTIFS($P:$P, "&gt;" &amp; $P2216) + 1) / (COUNTA($I:$I) - 1)</f>
        <v>0.92859999999999998</v>
      </c>
      <c r="S2216" s="23">
        <f>SUMIFS($P:$P, $Q:$Q, "&lt;" &amp; $Q2216)</f>
        <v>186545758</v>
      </c>
    </row>
    <row r="2217" spans="1:19" x14ac:dyDescent="0.25">
      <c r="A2217" s="1">
        <v>2212</v>
      </c>
      <c r="B2217" s="1" t="s">
        <v>2</v>
      </c>
      <c r="C2217" s="1" t="str">
        <f>IF($B2217 = "Production Item", _xlfn.XLOOKUP($A2217, 'Instrument Table'!$J:$J, 'Instrument Table'!$B:$B, $C2216), IF($B2217 = "Service Item", _xlfn.XLOOKUP($A2217, 'Instrument Table'!$I:$I, 'Instrument Table'!$B:$B, $C2216), _xlfn.XLOOKUP($A2217, 'Instrument Table'!$H:$H, 'Instrument Table'!$B:$B, $C2216)))</f>
        <v>Saxophone</v>
      </c>
      <c r="D2217" s="1" t="str">
        <f>VLOOKUP($C2217, 'Instrument Table'!$B:$C, 2, FALSE)</f>
        <v>Woodwinds</v>
      </c>
      <c r="E2217" s="1">
        <f t="shared" si="204"/>
        <v>1</v>
      </c>
      <c r="F2217" s="1">
        <f>_xlfn.XLOOKUP($C2217, 'Instrument Table'!$B:$B, 'Instrument Table'!$A:$A, "")</f>
        <v>31</v>
      </c>
      <c r="G2217" s="1" t="str">
        <f>TEXT(IF($B2217 = "Retail Item", IF((ROW($A2217) - 4504 - _xlfn.XMATCH($C2217, $C$4506:$C$5005, 0, 1)) &lt;= VLOOKUP($C2217, 'Instrument Table'!$B:$D, 3, FALSE), ROW($A2217) - 4504 - _xlfn.XMATCH($C2217, $C$4506:$C$5005, 0, 1), 0), 0), "00")</f>
        <v>00</v>
      </c>
      <c r="H2217" s="1" t="str">
        <f t="shared" si="205"/>
        <v>061</v>
      </c>
      <c r="I2217" s="1" t="str">
        <f t="shared" si="206"/>
        <v>13100-061</v>
      </c>
      <c r="J2217" s="1" t="str">
        <f t="shared" si="207"/>
        <v>Saxophone production item #061</v>
      </c>
      <c r="K2217" s="1" t="str">
        <f>IF(SUM(COUNTIFS(I:I, I2217)) &gt; 1, "DUPLICATE", "UNIQUE")</f>
        <v>UNIQUE</v>
      </c>
      <c r="L2217" s="18">
        <v>8</v>
      </c>
      <c r="M2217" s="28">
        <v>15</v>
      </c>
      <c r="N2217" s="6">
        <v>324</v>
      </c>
      <c r="O2217" s="30">
        <f t="shared" si="208"/>
        <v>120</v>
      </c>
      <c r="P2217" s="30">
        <f t="shared" si="209"/>
        <v>4860</v>
      </c>
      <c r="Q2217" s="1">
        <f>COUNTIFS($P:$P, "&gt;" &amp; $P2217) + 1</f>
        <v>2474</v>
      </c>
      <c r="R2217" s="63">
        <f>(COUNTIFS($P:$P, "&gt;" &amp; $P2217) + 1) / (COUNTA($I:$I) - 1)</f>
        <v>0.49480000000000002</v>
      </c>
      <c r="S2217" s="23">
        <f>SUMIFS($P:$P, $Q:$Q, "&lt;" &amp; $Q2217)</f>
        <v>182990510</v>
      </c>
    </row>
    <row r="2218" spans="1:19" x14ac:dyDescent="0.25">
      <c r="A2218" s="1">
        <v>2213</v>
      </c>
      <c r="B2218" s="1" t="s">
        <v>2</v>
      </c>
      <c r="C2218" s="1" t="str">
        <f>IF($B2218 = "Production Item", _xlfn.XLOOKUP($A2218, 'Instrument Table'!$J:$J, 'Instrument Table'!$B:$B, $C2217), IF($B2218 = "Service Item", _xlfn.XLOOKUP($A2218, 'Instrument Table'!$I:$I, 'Instrument Table'!$B:$B, $C2217), _xlfn.XLOOKUP($A2218, 'Instrument Table'!$H:$H, 'Instrument Table'!$B:$B, $C2217)))</f>
        <v>Saxophone</v>
      </c>
      <c r="D2218" s="1" t="str">
        <f>VLOOKUP($C2218, 'Instrument Table'!$B:$C, 2, FALSE)</f>
        <v>Woodwinds</v>
      </c>
      <c r="E2218" s="1">
        <f t="shared" si="204"/>
        <v>1</v>
      </c>
      <c r="F2218" s="1">
        <f>_xlfn.XLOOKUP($C2218, 'Instrument Table'!$B:$B, 'Instrument Table'!$A:$A, "")</f>
        <v>31</v>
      </c>
      <c r="G2218" s="1" t="str">
        <f>TEXT(IF($B2218 = "Retail Item", IF((ROW($A2218) - 4504 - _xlfn.XMATCH($C2218, $C$4506:$C$5005, 0, 1)) &lt;= VLOOKUP($C2218, 'Instrument Table'!$B:$D, 3, FALSE), ROW($A2218) - 4504 - _xlfn.XMATCH($C2218, $C$4506:$C$5005, 0, 1), 0), 0), "00")</f>
        <v>00</v>
      </c>
      <c r="H2218" s="1" t="str">
        <f t="shared" si="205"/>
        <v>062</v>
      </c>
      <c r="I2218" s="1" t="str">
        <f t="shared" si="206"/>
        <v>13100-062</v>
      </c>
      <c r="J2218" s="1" t="str">
        <f t="shared" si="207"/>
        <v>Saxophone production item #062</v>
      </c>
      <c r="K2218" s="1" t="str">
        <f>IF(SUM(COUNTIFS(I:I, I2218)) &gt; 1, "DUPLICATE", "UNIQUE")</f>
        <v>UNIQUE</v>
      </c>
      <c r="L2218" s="18">
        <v>0</v>
      </c>
      <c r="M2218" s="28">
        <v>56</v>
      </c>
      <c r="N2218" s="6">
        <v>324</v>
      </c>
      <c r="O2218" s="30">
        <f t="shared" si="208"/>
        <v>0</v>
      </c>
      <c r="P2218" s="30">
        <f t="shared" si="209"/>
        <v>18144</v>
      </c>
      <c r="Q2218" s="1">
        <f>COUNTIFS($P:$P, "&gt;" &amp; $P2218) + 1</f>
        <v>1159</v>
      </c>
      <c r="R2218" s="63">
        <f>(COUNTIFS($P:$P, "&gt;" &amp; $P2218) + 1) / (COUNTA($I:$I) - 1)</f>
        <v>0.23180000000000001</v>
      </c>
      <c r="S2218" s="23">
        <f>SUMIFS($P:$P, $Q:$Q, "&lt;" &amp; $Q2218)</f>
        <v>169600340</v>
      </c>
    </row>
    <row r="2219" spans="1:19" x14ac:dyDescent="0.25">
      <c r="A2219" s="1">
        <v>2214</v>
      </c>
      <c r="B2219" s="1" t="s">
        <v>2</v>
      </c>
      <c r="C2219" s="1" t="str">
        <f>IF($B2219 = "Production Item", _xlfn.XLOOKUP($A2219, 'Instrument Table'!$J:$J, 'Instrument Table'!$B:$B, $C2218), IF($B2219 = "Service Item", _xlfn.XLOOKUP($A2219, 'Instrument Table'!$I:$I, 'Instrument Table'!$B:$B, $C2218), _xlfn.XLOOKUP($A2219, 'Instrument Table'!$H:$H, 'Instrument Table'!$B:$B, $C2218)))</f>
        <v>Saxophone</v>
      </c>
      <c r="D2219" s="1" t="str">
        <f>VLOOKUP($C2219, 'Instrument Table'!$B:$C, 2, FALSE)</f>
        <v>Woodwinds</v>
      </c>
      <c r="E2219" s="1">
        <f t="shared" si="204"/>
        <v>1</v>
      </c>
      <c r="F2219" s="1">
        <f>_xlfn.XLOOKUP($C2219, 'Instrument Table'!$B:$B, 'Instrument Table'!$A:$A, "")</f>
        <v>31</v>
      </c>
      <c r="G2219" s="1" t="str">
        <f>TEXT(IF($B2219 = "Retail Item", IF((ROW($A2219) - 4504 - _xlfn.XMATCH($C2219, $C$4506:$C$5005, 0, 1)) &lt;= VLOOKUP($C2219, 'Instrument Table'!$B:$D, 3, FALSE), ROW($A2219) - 4504 - _xlfn.XMATCH($C2219, $C$4506:$C$5005, 0, 1), 0), 0), "00")</f>
        <v>00</v>
      </c>
      <c r="H2219" s="1" t="str">
        <f t="shared" si="205"/>
        <v>063</v>
      </c>
      <c r="I2219" s="1" t="str">
        <f t="shared" si="206"/>
        <v>13100-063</v>
      </c>
      <c r="J2219" s="1" t="str">
        <f t="shared" si="207"/>
        <v>Saxophone production item #063</v>
      </c>
      <c r="K2219" s="1" t="str">
        <f>IF(SUM(COUNTIFS(I:I, I2219)) &gt; 1, "DUPLICATE", "UNIQUE")</f>
        <v>UNIQUE</v>
      </c>
      <c r="L2219" s="18">
        <v>1</v>
      </c>
      <c r="M2219" s="28">
        <v>37</v>
      </c>
      <c r="N2219" s="6">
        <v>324</v>
      </c>
      <c r="O2219" s="30">
        <f t="shared" si="208"/>
        <v>37</v>
      </c>
      <c r="P2219" s="30">
        <f t="shared" si="209"/>
        <v>11988</v>
      </c>
      <c r="Q2219" s="1">
        <f>COUNTIFS($P:$P, "&gt;" &amp; $P2219) + 1</f>
        <v>1583</v>
      </c>
      <c r="R2219" s="63">
        <f>(COUNTIFS($P:$P, "&gt;" &amp; $P2219) + 1) / (COUNTA($I:$I) - 1)</f>
        <v>0.31659999999999999</v>
      </c>
      <c r="S2219" s="23">
        <f>SUMIFS($P:$P, $Q:$Q, "&lt;" &amp; $Q2219)</f>
        <v>175876374</v>
      </c>
    </row>
    <row r="2220" spans="1:19" x14ac:dyDescent="0.25">
      <c r="A2220" s="1">
        <v>2215</v>
      </c>
      <c r="B2220" s="1" t="s">
        <v>2</v>
      </c>
      <c r="C2220" s="1" t="str">
        <f>IF($B2220 = "Production Item", _xlfn.XLOOKUP($A2220, 'Instrument Table'!$J:$J, 'Instrument Table'!$B:$B, $C2219), IF($B2220 = "Service Item", _xlfn.XLOOKUP($A2220, 'Instrument Table'!$I:$I, 'Instrument Table'!$B:$B, $C2219), _xlfn.XLOOKUP($A2220, 'Instrument Table'!$H:$H, 'Instrument Table'!$B:$B, $C2219)))</f>
        <v>Saxophone</v>
      </c>
      <c r="D2220" s="1" t="str">
        <f>VLOOKUP($C2220, 'Instrument Table'!$B:$C, 2, FALSE)</f>
        <v>Woodwinds</v>
      </c>
      <c r="E2220" s="1">
        <f t="shared" si="204"/>
        <v>1</v>
      </c>
      <c r="F2220" s="1">
        <f>_xlfn.XLOOKUP($C2220, 'Instrument Table'!$B:$B, 'Instrument Table'!$A:$A, "")</f>
        <v>31</v>
      </c>
      <c r="G2220" s="1" t="str">
        <f>TEXT(IF($B2220 = "Retail Item", IF((ROW($A2220) - 4504 - _xlfn.XMATCH($C2220, $C$4506:$C$5005, 0, 1)) &lt;= VLOOKUP($C2220, 'Instrument Table'!$B:$D, 3, FALSE), ROW($A2220) - 4504 - _xlfn.XMATCH($C2220, $C$4506:$C$5005, 0, 1), 0), 0), "00")</f>
        <v>00</v>
      </c>
      <c r="H2220" s="1" t="str">
        <f t="shared" si="205"/>
        <v>064</v>
      </c>
      <c r="I2220" s="1" t="str">
        <f t="shared" si="206"/>
        <v>13100-064</v>
      </c>
      <c r="J2220" s="1" t="str">
        <f t="shared" si="207"/>
        <v>Saxophone production item #064</v>
      </c>
      <c r="K2220" s="1" t="str">
        <f>IF(SUM(COUNTIFS(I:I, I2220)) &gt; 1, "DUPLICATE", "UNIQUE")</f>
        <v>UNIQUE</v>
      </c>
      <c r="L2220" s="18">
        <v>1</v>
      </c>
      <c r="M2220" s="28">
        <v>47</v>
      </c>
      <c r="N2220" s="6">
        <v>1</v>
      </c>
      <c r="O2220" s="30">
        <f t="shared" si="208"/>
        <v>47</v>
      </c>
      <c r="P2220" s="30">
        <f t="shared" si="209"/>
        <v>47</v>
      </c>
      <c r="Q2220" s="1">
        <f>COUNTIFS($P:$P, "&gt;" &amp; $P2220) + 1</f>
        <v>4624</v>
      </c>
      <c r="R2220" s="63">
        <f>(COUNTIFS($P:$P, "&gt;" &amp; $P2220) + 1) / (COUNTA($I:$I) - 1)</f>
        <v>0.92479999999999996</v>
      </c>
      <c r="S2220" s="23">
        <f>SUMIFS($P:$P, $Q:$Q, "&lt;" &amp; $Q2220)</f>
        <v>186544925</v>
      </c>
    </row>
    <row r="2221" spans="1:19" x14ac:dyDescent="0.25">
      <c r="A2221" s="1">
        <v>2216</v>
      </c>
      <c r="B2221" s="1" t="s">
        <v>2</v>
      </c>
      <c r="C2221" s="1" t="str">
        <f>IF($B2221 = "Production Item", _xlfn.XLOOKUP($A2221, 'Instrument Table'!$J:$J, 'Instrument Table'!$B:$B, $C2220), IF($B2221 = "Service Item", _xlfn.XLOOKUP($A2221, 'Instrument Table'!$I:$I, 'Instrument Table'!$B:$B, $C2220), _xlfn.XLOOKUP($A2221, 'Instrument Table'!$H:$H, 'Instrument Table'!$B:$B, $C2220)))</f>
        <v>Saxophone</v>
      </c>
      <c r="D2221" s="1" t="str">
        <f>VLOOKUP($C2221, 'Instrument Table'!$B:$C, 2, FALSE)</f>
        <v>Woodwinds</v>
      </c>
      <c r="E2221" s="1">
        <f t="shared" si="204"/>
        <v>1</v>
      </c>
      <c r="F2221" s="1">
        <f>_xlfn.XLOOKUP($C2221, 'Instrument Table'!$B:$B, 'Instrument Table'!$A:$A, "")</f>
        <v>31</v>
      </c>
      <c r="G2221" s="1" t="str">
        <f>TEXT(IF($B2221 = "Retail Item", IF((ROW($A2221) - 4504 - _xlfn.XMATCH($C2221, $C$4506:$C$5005, 0, 1)) &lt;= VLOOKUP($C2221, 'Instrument Table'!$B:$D, 3, FALSE), ROW($A2221) - 4504 - _xlfn.XMATCH($C2221, $C$4506:$C$5005, 0, 1), 0), 0), "00")</f>
        <v>00</v>
      </c>
      <c r="H2221" s="1" t="str">
        <f t="shared" si="205"/>
        <v>065</v>
      </c>
      <c r="I2221" s="1" t="str">
        <f t="shared" si="206"/>
        <v>13100-065</v>
      </c>
      <c r="J2221" s="1" t="str">
        <f t="shared" si="207"/>
        <v>Saxophone production item #065</v>
      </c>
      <c r="K2221" s="1" t="str">
        <f>IF(SUM(COUNTIFS(I:I, I2221)) &gt; 1, "DUPLICATE", "UNIQUE")</f>
        <v>UNIQUE</v>
      </c>
      <c r="L2221" s="18">
        <v>0</v>
      </c>
      <c r="M2221" s="28">
        <v>41</v>
      </c>
      <c r="N2221" s="6">
        <v>144</v>
      </c>
      <c r="O2221" s="30">
        <f t="shared" si="208"/>
        <v>0</v>
      </c>
      <c r="P2221" s="30">
        <f t="shared" si="209"/>
        <v>5904</v>
      </c>
      <c r="Q2221" s="1">
        <f>COUNTIFS($P:$P, "&gt;" &amp; $P2221) + 1</f>
        <v>2279</v>
      </c>
      <c r="R2221" s="63">
        <f>(COUNTIFS($P:$P, "&gt;" &amp; $P2221) + 1) / (COUNTA($I:$I) - 1)</f>
        <v>0.45579999999999998</v>
      </c>
      <c r="S2221" s="23">
        <f>SUMIFS($P:$P, $Q:$Q, "&lt;" &amp; $Q2221)</f>
        <v>181941516</v>
      </c>
    </row>
    <row r="2222" spans="1:19" x14ac:dyDescent="0.25">
      <c r="A2222" s="1">
        <v>2217</v>
      </c>
      <c r="B2222" s="1" t="s">
        <v>2</v>
      </c>
      <c r="C2222" s="1" t="str">
        <f>IF($B2222 = "Production Item", _xlfn.XLOOKUP($A2222, 'Instrument Table'!$J:$J, 'Instrument Table'!$B:$B, $C2221), IF($B2222 = "Service Item", _xlfn.XLOOKUP($A2222, 'Instrument Table'!$I:$I, 'Instrument Table'!$B:$B, $C2221), _xlfn.XLOOKUP($A2222, 'Instrument Table'!$H:$H, 'Instrument Table'!$B:$B, $C2221)))</f>
        <v>Saxophone</v>
      </c>
      <c r="D2222" s="1" t="str">
        <f>VLOOKUP($C2222, 'Instrument Table'!$B:$C, 2, FALSE)</f>
        <v>Woodwinds</v>
      </c>
      <c r="E2222" s="1">
        <f t="shared" si="204"/>
        <v>1</v>
      </c>
      <c r="F2222" s="1">
        <f>_xlfn.XLOOKUP($C2222, 'Instrument Table'!$B:$B, 'Instrument Table'!$A:$A, "")</f>
        <v>31</v>
      </c>
      <c r="G2222" s="1" t="str">
        <f>TEXT(IF($B2222 = "Retail Item", IF((ROW($A2222) - 4504 - _xlfn.XMATCH($C2222, $C$4506:$C$5005, 0, 1)) &lt;= VLOOKUP($C2222, 'Instrument Table'!$B:$D, 3, FALSE), ROW($A2222) - 4504 - _xlfn.XMATCH($C2222, $C$4506:$C$5005, 0, 1), 0), 0), "00")</f>
        <v>00</v>
      </c>
      <c r="H2222" s="1" t="str">
        <f t="shared" si="205"/>
        <v>066</v>
      </c>
      <c r="I2222" s="1" t="str">
        <f t="shared" si="206"/>
        <v>13100-066</v>
      </c>
      <c r="J2222" s="1" t="str">
        <f t="shared" si="207"/>
        <v>Saxophone production item #066</v>
      </c>
      <c r="K2222" s="1" t="str">
        <f>IF(SUM(COUNTIFS(I:I, I2222)) &gt; 1, "DUPLICATE", "UNIQUE")</f>
        <v>UNIQUE</v>
      </c>
      <c r="L2222" s="18">
        <v>0</v>
      </c>
      <c r="M2222" s="28">
        <v>45</v>
      </c>
      <c r="N2222" s="6">
        <v>36</v>
      </c>
      <c r="O2222" s="30">
        <f t="shared" si="208"/>
        <v>0</v>
      </c>
      <c r="P2222" s="30">
        <f t="shared" si="209"/>
        <v>1620</v>
      </c>
      <c r="Q2222" s="1">
        <f>COUNTIFS($P:$P, "&gt;" &amp; $P2222) + 1</f>
        <v>3392</v>
      </c>
      <c r="R2222" s="63">
        <f>(COUNTIFS($P:$P, "&gt;" &amp; $P2222) + 1) / (COUNTA($I:$I) - 1)</f>
        <v>0.6784</v>
      </c>
      <c r="S2222" s="23">
        <f>SUMIFS($P:$P, $Q:$Q, "&lt;" &amp; $Q2222)</f>
        <v>185772049</v>
      </c>
    </row>
    <row r="2223" spans="1:19" x14ac:dyDescent="0.25">
      <c r="A2223" s="1">
        <v>2218</v>
      </c>
      <c r="B2223" s="1" t="s">
        <v>2</v>
      </c>
      <c r="C2223" s="1" t="str">
        <f>IF($B2223 = "Production Item", _xlfn.XLOOKUP($A2223, 'Instrument Table'!$J:$J, 'Instrument Table'!$B:$B, $C2222), IF($B2223 = "Service Item", _xlfn.XLOOKUP($A2223, 'Instrument Table'!$I:$I, 'Instrument Table'!$B:$B, $C2222), _xlfn.XLOOKUP($A2223, 'Instrument Table'!$H:$H, 'Instrument Table'!$B:$B, $C2222)))</f>
        <v>Saxophone</v>
      </c>
      <c r="D2223" s="1" t="str">
        <f>VLOOKUP($C2223, 'Instrument Table'!$B:$C, 2, FALSE)</f>
        <v>Woodwinds</v>
      </c>
      <c r="E2223" s="1">
        <f t="shared" si="204"/>
        <v>1</v>
      </c>
      <c r="F2223" s="1">
        <f>_xlfn.XLOOKUP($C2223, 'Instrument Table'!$B:$B, 'Instrument Table'!$A:$A, "")</f>
        <v>31</v>
      </c>
      <c r="G2223" s="1" t="str">
        <f>TEXT(IF($B2223 = "Retail Item", IF((ROW($A2223) - 4504 - _xlfn.XMATCH($C2223, $C$4506:$C$5005, 0, 1)) &lt;= VLOOKUP($C2223, 'Instrument Table'!$B:$D, 3, FALSE), ROW($A2223) - 4504 - _xlfn.XMATCH($C2223, $C$4506:$C$5005, 0, 1), 0), 0), "00")</f>
        <v>00</v>
      </c>
      <c r="H2223" s="1" t="str">
        <f t="shared" si="205"/>
        <v>067</v>
      </c>
      <c r="I2223" s="1" t="str">
        <f t="shared" si="206"/>
        <v>13100-067</v>
      </c>
      <c r="J2223" s="1" t="str">
        <f t="shared" si="207"/>
        <v>Saxophone production item #067</v>
      </c>
      <c r="K2223" s="1" t="str">
        <f>IF(SUM(COUNTIFS(I:I, I2223)) &gt; 1, "DUPLICATE", "UNIQUE")</f>
        <v>UNIQUE</v>
      </c>
      <c r="L2223" s="18">
        <v>4</v>
      </c>
      <c r="M2223" s="28">
        <v>59</v>
      </c>
      <c r="N2223" s="6">
        <v>1</v>
      </c>
      <c r="O2223" s="30">
        <f t="shared" si="208"/>
        <v>236</v>
      </c>
      <c r="P2223" s="30">
        <f t="shared" si="209"/>
        <v>59</v>
      </c>
      <c r="Q2223" s="1">
        <f>COUNTIFS($P:$P, "&gt;" &amp; $P2223) + 1</f>
        <v>4583</v>
      </c>
      <c r="R2223" s="63">
        <f>(COUNTIFS($P:$P, "&gt;" &amp; $P2223) + 1) / (COUNTA($I:$I) - 1)</f>
        <v>0.91659999999999997</v>
      </c>
      <c r="S2223" s="23">
        <f>SUMIFS($P:$P, $Q:$Q, "&lt;" &amp; $Q2223)</f>
        <v>186542736</v>
      </c>
    </row>
    <row r="2224" spans="1:19" x14ac:dyDescent="0.25">
      <c r="A2224" s="1">
        <v>2219</v>
      </c>
      <c r="B2224" s="1" t="s">
        <v>2</v>
      </c>
      <c r="C2224" s="1" t="str">
        <f>IF($B2224 = "Production Item", _xlfn.XLOOKUP($A2224, 'Instrument Table'!$J:$J, 'Instrument Table'!$B:$B, $C2223), IF($B2224 = "Service Item", _xlfn.XLOOKUP($A2224, 'Instrument Table'!$I:$I, 'Instrument Table'!$B:$B, $C2223), _xlfn.XLOOKUP($A2224, 'Instrument Table'!$H:$H, 'Instrument Table'!$B:$B, $C2223)))</f>
        <v>Saxophone</v>
      </c>
      <c r="D2224" s="1" t="str">
        <f>VLOOKUP($C2224, 'Instrument Table'!$B:$C, 2, FALSE)</f>
        <v>Woodwinds</v>
      </c>
      <c r="E2224" s="1">
        <f t="shared" si="204"/>
        <v>1</v>
      </c>
      <c r="F2224" s="1">
        <f>_xlfn.XLOOKUP($C2224, 'Instrument Table'!$B:$B, 'Instrument Table'!$A:$A, "")</f>
        <v>31</v>
      </c>
      <c r="G2224" s="1" t="str">
        <f>TEXT(IF($B2224 = "Retail Item", IF((ROW($A2224) - 4504 - _xlfn.XMATCH($C2224, $C$4506:$C$5005, 0, 1)) &lt;= VLOOKUP($C2224, 'Instrument Table'!$B:$D, 3, FALSE), ROW($A2224) - 4504 - _xlfn.XMATCH($C2224, $C$4506:$C$5005, 0, 1), 0), 0), "00")</f>
        <v>00</v>
      </c>
      <c r="H2224" s="1" t="str">
        <f t="shared" si="205"/>
        <v>068</v>
      </c>
      <c r="I2224" s="1" t="str">
        <f t="shared" si="206"/>
        <v>13100-068</v>
      </c>
      <c r="J2224" s="1" t="str">
        <f t="shared" si="207"/>
        <v>Saxophone production item #068</v>
      </c>
      <c r="K2224" s="1" t="str">
        <f>IF(SUM(COUNTIFS(I:I, I2224)) &gt; 1, "DUPLICATE", "UNIQUE")</f>
        <v>UNIQUE</v>
      </c>
      <c r="L2224" s="18">
        <v>1</v>
      </c>
      <c r="M2224" s="28">
        <v>37</v>
      </c>
      <c r="N2224" s="6">
        <v>289</v>
      </c>
      <c r="O2224" s="30">
        <f t="shared" si="208"/>
        <v>37</v>
      </c>
      <c r="P2224" s="30">
        <f t="shared" si="209"/>
        <v>10693</v>
      </c>
      <c r="Q2224" s="1">
        <f>COUNTIFS($P:$P, "&gt;" &amp; $P2224) + 1</f>
        <v>1712</v>
      </c>
      <c r="R2224" s="63">
        <f>(COUNTIFS($P:$P, "&gt;" &amp; $P2224) + 1) / (COUNTA($I:$I) - 1)</f>
        <v>0.34239999999999998</v>
      </c>
      <c r="S2224" s="23">
        <f>SUMIFS($P:$P, $Q:$Q, "&lt;" &amp; $Q2224)</f>
        <v>177343061</v>
      </c>
    </row>
    <row r="2225" spans="1:19" x14ac:dyDescent="0.25">
      <c r="A2225" s="1">
        <v>2220</v>
      </c>
      <c r="B2225" s="1" t="s">
        <v>2</v>
      </c>
      <c r="C2225" s="1" t="str">
        <f>IF($B2225 = "Production Item", _xlfn.XLOOKUP($A2225, 'Instrument Table'!$J:$J, 'Instrument Table'!$B:$B, $C2224), IF($B2225 = "Service Item", _xlfn.XLOOKUP($A2225, 'Instrument Table'!$I:$I, 'Instrument Table'!$B:$B, $C2224), _xlfn.XLOOKUP($A2225, 'Instrument Table'!$H:$H, 'Instrument Table'!$B:$B, $C2224)))</f>
        <v>Saxophone</v>
      </c>
      <c r="D2225" s="1" t="str">
        <f>VLOOKUP($C2225, 'Instrument Table'!$B:$C, 2, FALSE)</f>
        <v>Woodwinds</v>
      </c>
      <c r="E2225" s="1">
        <f t="shared" si="204"/>
        <v>1</v>
      </c>
      <c r="F2225" s="1">
        <f>_xlfn.XLOOKUP($C2225, 'Instrument Table'!$B:$B, 'Instrument Table'!$A:$A, "")</f>
        <v>31</v>
      </c>
      <c r="G2225" s="1" t="str">
        <f>TEXT(IF($B2225 = "Retail Item", IF((ROW($A2225) - 4504 - _xlfn.XMATCH($C2225, $C$4506:$C$5005, 0, 1)) &lt;= VLOOKUP($C2225, 'Instrument Table'!$B:$D, 3, FALSE), ROW($A2225) - 4504 - _xlfn.XMATCH($C2225, $C$4506:$C$5005, 0, 1), 0), 0), "00")</f>
        <v>00</v>
      </c>
      <c r="H2225" s="1" t="str">
        <f t="shared" si="205"/>
        <v>069</v>
      </c>
      <c r="I2225" s="1" t="str">
        <f t="shared" si="206"/>
        <v>13100-069</v>
      </c>
      <c r="J2225" s="1" t="str">
        <f t="shared" si="207"/>
        <v>Saxophone production item #069</v>
      </c>
      <c r="K2225" s="1" t="str">
        <f>IF(SUM(COUNTIFS(I:I, I2225)) &gt; 1, "DUPLICATE", "UNIQUE")</f>
        <v>UNIQUE</v>
      </c>
      <c r="L2225" s="18">
        <v>0</v>
      </c>
      <c r="M2225" s="28">
        <v>79</v>
      </c>
      <c r="N2225" s="6">
        <v>9</v>
      </c>
      <c r="O2225" s="30">
        <f t="shared" si="208"/>
        <v>0</v>
      </c>
      <c r="P2225" s="30">
        <f t="shared" si="209"/>
        <v>711</v>
      </c>
      <c r="Q2225" s="1">
        <f>COUNTIFS($P:$P, "&gt;" &amp; $P2225) + 1</f>
        <v>3870</v>
      </c>
      <c r="R2225" s="63">
        <f>(COUNTIFS($P:$P, "&gt;" &amp; $P2225) + 1) / (COUNTA($I:$I) - 1)</f>
        <v>0.77400000000000002</v>
      </c>
      <c r="S2225" s="23">
        <f>SUMIFS($P:$P, $Q:$Q, "&lt;" &amp; $Q2225)</f>
        <v>186318007</v>
      </c>
    </row>
    <row r="2226" spans="1:19" x14ac:dyDescent="0.25">
      <c r="A2226" s="1">
        <v>2221</v>
      </c>
      <c r="B2226" s="1" t="s">
        <v>2</v>
      </c>
      <c r="C2226" s="1" t="str">
        <f>IF($B2226 = "Production Item", _xlfn.XLOOKUP($A2226, 'Instrument Table'!$J:$J, 'Instrument Table'!$B:$B, $C2225), IF($B2226 = "Service Item", _xlfn.XLOOKUP($A2226, 'Instrument Table'!$I:$I, 'Instrument Table'!$B:$B, $C2225), _xlfn.XLOOKUP($A2226, 'Instrument Table'!$H:$H, 'Instrument Table'!$B:$B, $C2225)))</f>
        <v>Saxophone</v>
      </c>
      <c r="D2226" s="1" t="str">
        <f>VLOOKUP($C2226, 'Instrument Table'!$B:$C, 2, FALSE)</f>
        <v>Woodwinds</v>
      </c>
      <c r="E2226" s="1">
        <f t="shared" si="204"/>
        <v>1</v>
      </c>
      <c r="F2226" s="1">
        <f>_xlfn.XLOOKUP($C2226, 'Instrument Table'!$B:$B, 'Instrument Table'!$A:$A, "")</f>
        <v>31</v>
      </c>
      <c r="G2226" s="1" t="str">
        <f>TEXT(IF($B2226 = "Retail Item", IF((ROW($A2226) - 4504 - _xlfn.XMATCH($C2226, $C$4506:$C$5005, 0, 1)) &lt;= VLOOKUP($C2226, 'Instrument Table'!$B:$D, 3, FALSE), ROW($A2226) - 4504 - _xlfn.XMATCH($C2226, $C$4506:$C$5005, 0, 1), 0), 0), "00")</f>
        <v>00</v>
      </c>
      <c r="H2226" s="1" t="str">
        <f t="shared" si="205"/>
        <v>070</v>
      </c>
      <c r="I2226" s="1" t="str">
        <f t="shared" si="206"/>
        <v>13100-070</v>
      </c>
      <c r="J2226" s="1" t="str">
        <f t="shared" si="207"/>
        <v>Saxophone production item #070</v>
      </c>
      <c r="K2226" s="1" t="str">
        <f>IF(SUM(COUNTIFS(I:I, I2226)) &gt; 1, "DUPLICATE", "UNIQUE")</f>
        <v>UNIQUE</v>
      </c>
      <c r="L2226" s="18">
        <v>1</v>
      </c>
      <c r="M2226" s="28">
        <v>71</v>
      </c>
      <c r="N2226" s="6">
        <v>121</v>
      </c>
      <c r="O2226" s="30">
        <f t="shared" si="208"/>
        <v>71</v>
      </c>
      <c r="P2226" s="30">
        <f t="shared" si="209"/>
        <v>8591</v>
      </c>
      <c r="Q2226" s="1">
        <f>COUNTIFS($P:$P, "&gt;" &amp; $P2226) + 1</f>
        <v>1923</v>
      </c>
      <c r="R2226" s="63">
        <f>(COUNTIFS($P:$P, "&gt;" &amp; $P2226) + 1) / (COUNTA($I:$I) - 1)</f>
        <v>0.3846</v>
      </c>
      <c r="S2226" s="23">
        <f>SUMIFS($P:$P, $Q:$Q, "&lt;" &amp; $Q2226)</f>
        <v>179363450</v>
      </c>
    </row>
    <row r="2227" spans="1:19" x14ac:dyDescent="0.25">
      <c r="A2227" s="1">
        <v>2222</v>
      </c>
      <c r="B2227" s="1" t="s">
        <v>2</v>
      </c>
      <c r="C2227" s="1" t="str">
        <f>IF($B2227 = "Production Item", _xlfn.XLOOKUP($A2227, 'Instrument Table'!$J:$J, 'Instrument Table'!$B:$B, $C2226), IF($B2227 = "Service Item", _xlfn.XLOOKUP($A2227, 'Instrument Table'!$I:$I, 'Instrument Table'!$B:$B, $C2226), _xlfn.XLOOKUP($A2227, 'Instrument Table'!$H:$H, 'Instrument Table'!$B:$B, $C2226)))</f>
        <v>Saxophone</v>
      </c>
      <c r="D2227" s="1" t="str">
        <f>VLOOKUP($C2227, 'Instrument Table'!$B:$C, 2, FALSE)</f>
        <v>Woodwinds</v>
      </c>
      <c r="E2227" s="1">
        <f t="shared" si="204"/>
        <v>1</v>
      </c>
      <c r="F2227" s="1">
        <f>_xlfn.XLOOKUP($C2227, 'Instrument Table'!$B:$B, 'Instrument Table'!$A:$A, "")</f>
        <v>31</v>
      </c>
      <c r="G2227" s="1" t="str">
        <f>TEXT(IF($B2227 = "Retail Item", IF((ROW($A2227) - 4504 - _xlfn.XMATCH($C2227, $C$4506:$C$5005, 0, 1)) &lt;= VLOOKUP($C2227, 'Instrument Table'!$B:$D, 3, FALSE), ROW($A2227) - 4504 - _xlfn.XMATCH($C2227, $C$4506:$C$5005, 0, 1), 0), 0), "00")</f>
        <v>00</v>
      </c>
      <c r="H2227" s="1" t="str">
        <f t="shared" si="205"/>
        <v>071</v>
      </c>
      <c r="I2227" s="1" t="str">
        <f t="shared" si="206"/>
        <v>13100-071</v>
      </c>
      <c r="J2227" s="1" t="str">
        <f t="shared" si="207"/>
        <v>Saxophone production item #071</v>
      </c>
      <c r="K2227" s="1" t="str">
        <f>IF(SUM(COUNTIFS(I:I, I2227)) &gt; 1, "DUPLICATE", "UNIQUE")</f>
        <v>UNIQUE</v>
      </c>
      <c r="L2227" s="18">
        <v>16</v>
      </c>
      <c r="M2227" s="28">
        <v>9</v>
      </c>
      <c r="N2227" s="6">
        <v>169</v>
      </c>
      <c r="O2227" s="30">
        <f t="shared" si="208"/>
        <v>144</v>
      </c>
      <c r="P2227" s="30">
        <f t="shared" si="209"/>
        <v>1521</v>
      </c>
      <c r="Q2227" s="1">
        <f>COUNTIFS($P:$P, "&gt;" &amp; $P2227) + 1</f>
        <v>3451</v>
      </c>
      <c r="R2227" s="63">
        <f>(COUNTIFS($P:$P, "&gt;" &amp; $P2227) + 1) / (COUNTA($I:$I) - 1)</f>
        <v>0.69020000000000004</v>
      </c>
      <c r="S2227" s="23">
        <f>SUMIFS($P:$P, $Q:$Q, "&lt;" &amp; $Q2227)</f>
        <v>185865347</v>
      </c>
    </row>
    <row r="2228" spans="1:19" x14ac:dyDescent="0.25">
      <c r="A2228" s="1">
        <v>2223</v>
      </c>
      <c r="B2228" s="1" t="s">
        <v>2</v>
      </c>
      <c r="C2228" s="1" t="str">
        <f>IF($B2228 = "Production Item", _xlfn.XLOOKUP($A2228, 'Instrument Table'!$J:$J, 'Instrument Table'!$B:$B, $C2227), IF($B2228 = "Service Item", _xlfn.XLOOKUP($A2228, 'Instrument Table'!$I:$I, 'Instrument Table'!$B:$B, $C2227), _xlfn.XLOOKUP($A2228, 'Instrument Table'!$H:$H, 'Instrument Table'!$B:$B, $C2227)))</f>
        <v>Saxophone</v>
      </c>
      <c r="D2228" s="1" t="str">
        <f>VLOOKUP($C2228, 'Instrument Table'!$B:$C, 2, FALSE)</f>
        <v>Woodwinds</v>
      </c>
      <c r="E2228" s="1">
        <f t="shared" si="204"/>
        <v>1</v>
      </c>
      <c r="F2228" s="1">
        <f>_xlfn.XLOOKUP($C2228, 'Instrument Table'!$B:$B, 'Instrument Table'!$A:$A, "")</f>
        <v>31</v>
      </c>
      <c r="G2228" s="1" t="str">
        <f>TEXT(IF($B2228 = "Retail Item", IF((ROW($A2228) - 4504 - _xlfn.XMATCH($C2228, $C$4506:$C$5005, 0, 1)) &lt;= VLOOKUP($C2228, 'Instrument Table'!$B:$D, 3, FALSE), ROW($A2228) - 4504 - _xlfn.XMATCH($C2228, $C$4506:$C$5005, 0, 1), 0), 0), "00")</f>
        <v>00</v>
      </c>
      <c r="H2228" s="1" t="str">
        <f t="shared" si="205"/>
        <v>072</v>
      </c>
      <c r="I2228" s="1" t="str">
        <f t="shared" si="206"/>
        <v>13100-072</v>
      </c>
      <c r="J2228" s="1" t="str">
        <f t="shared" si="207"/>
        <v>Saxophone production item #072</v>
      </c>
      <c r="K2228" s="1" t="str">
        <f>IF(SUM(COUNTIFS(I:I, I2228)) &gt; 1, "DUPLICATE", "UNIQUE")</f>
        <v>UNIQUE</v>
      </c>
      <c r="L2228" s="18">
        <v>0</v>
      </c>
      <c r="M2228" s="28">
        <v>95</v>
      </c>
      <c r="N2228" s="6">
        <v>49</v>
      </c>
      <c r="O2228" s="30">
        <f t="shared" si="208"/>
        <v>0</v>
      </c>
      <c r="P2228" s="30">
        <f t="shared" si="209"/>
        <v>4655</v>
      </c>
      <c r="Q2228" s="1">
        <f>COUNTIFS($P:$P, "&gt;" &amp; $P2228) + 1</f>
        <v>2510</v>
      </c>
      <c r="R2228" s="63">
        <f>(COUNTIFS($P:$P, "&gt;" &amp; $P2228) + 1) / (COUNTA($I:$I) - 1)</f>
        <v>0.502</v>
      </c>
      <c r="S2228" s="23">
        <f>SUMIFS($P:$P, $Q:$Q, "&lt;" &amp; $Q2228)</f>
        <v>183162238</v>
      </c>
    </row>
    <row r="2229" spans="1:19" x14ac:dyDescent="0.25">
      <c r="A2229" s="1">
        <v>2224</v>
      </c>
      <c r="B2229" s="1" t="s">
        <v>2</v>
      </c>
      <c r="C2229" s="1" t="str">
        <f>IF($B2229 = "Production Item", _xlfn.XLOOKUP($A2229, 'Instrument Table'!$J:$J, 'Instrument Table'!$B:$B, $C2228), IF($B2229 = "Service Item", _xlfn.XLOOKUP($A2229, 'Instrument Table'!$I:$I, 'Instrument Table'!$B:$B, $C2228), _xlfn.XLOOKUP($A2229, 'Instrument Table'!$H:$H, 'Instrument Table'!$B:$B, $C2228)))</f>
        <v>Saxophone</v>
      </c>
      <c r="D2229" s="1" t="str">
        <f>VLOOKUP($C2229, 'Instrument Table'!$B:$C, 2, FALSE)</f>
        <v>Woodwinds</v>
      </c>
      <c r="E2229" s="1">
        <f t="shared" si="204"/>
        <v>1</v>
      </c>
      <c r="F2229" s="1">
        <f>_xlfn.XLOOKUP($C2229, 'Instrument Table'!$B:$B, 'Instrument Table'!$A:$A, "")</f>
        <v>31</v>
      </c>
      <c r="G2229" s="1" t="str">
        <f>TEXT(IF($B2229 = "Retail Item", IF((ROW($A2229) - 4504 - _xlfn.XMATCH($C2229, $C$4506:$C$5005, 0, 1)) &lt;= VLOOKUP($C2229, 'Instrument Table'!$B:$D, 3, FALSE), ROW($A2229) - 4504 - _xlfn.XMATCH($C2229, $C$4506:$C$5005, 0, 1), 0), 0), "00")</f>
        <v>00</v>
      </c>
      <c r="H2229" s="1" t="str">
        <f t="shared" si="205"/>
        <v>073</v>
      </c>
      <c r="I2229" s="1" t="str">
        <f t="shared" si="206"/>
        <v>13100-073</v>
      </c>
      <c r="J2229" s="1" t="str">
        <f t="shared" si="207"/>
        <v>Saxophone production item #073</v>
      </c>
      <c r="K2229" s="1" t="str">
        <f>IF(SUM(COUNTIFS(I:I, I2229)) &gt; 1, "DUPLICATE", "UNIQUE")</f>
        <v>UNIQUE</v>
      </c>
      <c r="L2229" s="18">
        <v>1</v>
      </c>
      <c r="M2229" s="28">
        <v>8</v>
      </c>
      <c r="N2229" s="6">
        <v>225</v>
      </c>
      <c r="O2229" s="30">
        <f t="shared" si="208"/>
        <v>8</v>
      </c>
      <c r="P2229" s="30">
        <f t="shared" si="209"/>
        <v>1800</v>
      </c>
      <c r="Q2229" s="1">
        <f>COUNTIFS($P:$P, "&gt;" &amp; $P2229) + 1</f>
        <v>3333</v>
      </c>
      <c r="R2229" s="63">
        <f>(COUNTIFS($P:$P, "&gt;" &amp; $P2229) + 1) / (COUNTA($I:$I) - 1)</f>
        <v>0.66659999999999997</v>
      </c>
      <c r="S2229" s="23">
        <f>SUMIFS($P:$P, $Q:$Q, "&lt;" &amp; $Q2229)</f>
        <v>185669981</v>
      </c>
    </row>
    <row r="2230" spans="1:19" x14ac:dyDescent="0.25">
      <c r="A2230" s="1">
        <v>2225</v>
      </c>
      <c r="B2230" s="1" t="s">
        <v>2</v>
      </c>
      <c r="C2230" s="1" t="str">
        <f>IF($B2230 = "Production Item", _xlfn.XLOOKUP($A2230, 'Instrument Table'!$J:$J, 'Instrument Table'!$B:$B, $C2229), IF($B2230 = "Service Item", _xlfn.XLOOKUP($A2230, 'Instrument Table'!$I:$I, 'Instrument Table'!$B:$B, $C2229), _xlfn.XLOOKUP($A2230, 'Instrument Table'!$H:$H, 'Instrument Table'!$B:$B, $C2229)))</f>
        <v>Saxophone</v>
      </c>
      <c r="D2230" s="1" t="str">
        <f>VLOOKUP($C2230, 'Instrument Table'!$B:$C, 2, FALSE)</f>
        <v>Woodwinds</v>
      </c>
      <c r="E2230" s="1">
        <f t="shared" si="204"/>
        <v>1</v>
      </c>
      <c r="F2230" s="1">
        <f>_xlfn.XLOOKUP($C2230, 'Instrument Table'!$B:$B, 'Instrument Table'!$A:$A, "")</f>
        <v>31</v>
      </c>
      <c r="G2230" s="1" t="str">
        <f>TEXT(IF($B2230 = "Retail Item", IF((ROW($A2230) - 4504 - _xlfn.XMATCH($C2230, $C$4506:$C$5005, 0, 1)) &lt;= VLOOKUP($C2230, 'Instrument Table'!$B:$D, 3, FALSE), ROW($A2230) - 4504 - _xlfn.XMATCH($C2230, $C$4506:$C$5005, 0, 1), 0), 0), "00")</f>
        <v>00</v>
      </c>
      <c r="H2230" s="1" t="str">
        <f t="shared" si="205"/>
        <v>074</v>
      </c>
      <c r="I2230" s="1" t="str">
        <f t="shared" si="206"/>
        <v>13100-074</v>
      </c>
      <c r="J2230" s="1" t="str">
        <f t="shared" si="207"/>
        <v>Saxophone production item #074</v>
      </c>
      <c r="K2230" s="1" t="str">
        <f>IF(SUM(COUNTIFS(I:I, I2230)) &gt; 1, "DUPLICATE", "UNIQUE")</f>
        <v>UNIQUE</v>
      </c>
      <c r="L2230" s="18">
        <v>16</v>
      </c>
      <c r="M2230" s="28">
        <v>93</v>
      </c>
      <c r="N2230" s="6">
        <v>64</v>
      </c>
      <c r="O2230" s="30">
        <f t="shared" si="208"/>
        <v>1488</v>
      </c>
      <c r="P2230" s="30">
        <f t="shared" si="209"/>
        <v>5952</v>
      </c>
      <c r="Q2230" s="1">
        <f>COUNTIFS($P:$P, "&gt;" &amp; $P2230) + 1</f>
        <v>2275</v>
      </c>
      <c r="R2230" s="63">
        <f>(COUNTIFS($P:$P, "&gt;" &amp; $P2230) + 1) / (COUNTA($I:$I) - 1)</f>
        <v>0.45500000000000002</v>
      </c>
      <c r="S2230" s="23">
        <f>SUMIFS($P:$P, $Q:$Q, "&lt;" &amp; $Q2230)</f>
        <v>181917802</v>
      </c>
    </row>
    <row r="2231" spans="1:19" x14ac:dyDescent="0.25">
      <c r="A2231" s="1">
        <v>2226</v>
      </c>
      <c r="B2231" s="1" t="s">
        <v>2</v>
      </c>
      <c r="C2231" s="1" t="str">
        <f>IF($B2231 = "Production Item", _xlfn.XLOOKUP($A2231, 'Instrument Table'!$J:$J, 'Instrument Table'!$B:$B, $C2230), IF($B2231 = "Service Item", _xlfn.XLOOKUP($A2231, 'Instrument Table'!$I:$I, 'Instrument Table'!$B:$B, $C2230), _xlfn.XLOOKUP($A2231, 'Instrument Table'!$H:$H, 'Instrument Table'!$B:$B, $C2230)))</f>
        <v>Saxophone</v>
      </c>
      <c r="D2231" s="1" t="str">
        <f>VLOOKUP($C2231, 'Instrument Table'!$B:$C, 2, FALSE)</f>
        <v>Woodwinds</v>
      </c>
      <c r="E2231" s="1">
        <f t="shared" si="204"/>
        <v>1</v>
      </c>
      <c r="F2231" s="1">
        <f>_xlfn.XLOOKUP($C2231, 'Instrument Table'!$B:$B, 'Instrument Table'!$A:$A, "")</f>
        <v>31</v>
      </c>
      <c r="G2231" s="1" t="str">
        <f>TEXT(IF($B2231 = "Retail Item", IF((ROW($A2231) - 4504 - _xlfn.XMATCH($C2231, $C$4506:$C$5005, 0, 1)) &lt;= VLOOKUP($C2231, 'Instrument Table'!$B:$D, 3, FALSE), ROW($A2231) - 4504 - _xlfn.XMATCH($C2231, $C$4506:$C$5005, 0, 1), 0), 0), "00")</f>
        <v>00</v>
      </c>
      <c r="H2231" s="1" t="str">
        <f t="shared" si="205"/>
        <v>075</v>
      </c>
      <c r="I2231" s="1" t="str">
        <f t="shared" si="206"/>
        <v>13100-075</v>
      </c>
      <c r="J2231" s="1" t="str">
        <f t="shared" si="207"/>
        <v>Saxophone production item #075</v>
      </c>
      <c r="K2231" s="1" t="str">
        <f>IF(SUM(COUNTIFS(I:I, I2231)) &gt; 1, "DUPLICATE", "UNIQUE")</f>
        <v>UNIQUE</v>
      </c>
      <c r="L2231" s="18">
        <v>1</v>
      </c>
      <c r="M2231" s="28">
        <v>89</v>
      </c>
      <c r="N2231" s="6">
        <v>225</v>
      </c>
      <c r="O2231" s="30">
        <f t="shared" si="208"/>
        <v>89</v>
      </c>
      <c r="P2231" s="30">
        <f t="shared" si="209"/>
        <v>20025</v>
      </c>
      <c r="Q2231" s="1">
        <f>COUNTIFS($P:$P, "&gt;" &amp; $P2231) + 1</f>
        <v>1055</v>
      </c>
      <c r="R2231" s="63">
        <f>(COUNTIFS($P:$P, "&gt;" &amp; $P2231) + 1) / (COUNTA($I:$I) - 1)</f>
        <v>0.21099999999999999</v>
      </c>
      <c r="S2231" s="23">
        <f>SUMIFS($P:$P, $Q:$Q, "&lt;" &amp; $Q2231)</f>
        <v>167623196</v>
      </c>
    </row>
    <row r="2232" spans="1:19" x14ac:dyDescent="0.25">
      <c r="A2232" s="1">
        <v>2227</v>
      </c>
      <c r="B2232" s="1" t="s">
        <v>2</v>
      </c>
      <c r="C2232" s="1" t="str">
        <f>IF($B2232 = "Production Item", _xlfn.XLOOKUP($A2232, 'Instrument Table'!$J:$J, 'Instrument Table'!$B:$B, $C2231), IF($B2232 = "Service Item", _xlfn.XLOOKUP($A2232, 'Instrument Table'!$I:$I, 'Instrument Table'!$B:$B, $C2231), _xlfn.XLOOKUP($A2232, 'Instrument Table'!$H:$H, 'Instrument Table'!$B:$B, $C2231)))</f>
        <v>Saxophone</v>
      </c>
      <c r="D2232" s="1" t="str">
        <f>VLOOKUP($C2232, 'Instrument Table'!$B:$C, 2, FALSE)</f>
        <v>Woodwinds</v>
      </c>
      <c r="E2232" s="1">
        <f t="shared" si="204"/>
        <v>1</v>
      </c>
      <c r="F2232" s="1">
        <f>_xlfn.XLOOKUP($C2232, 'Instrument Table'!$B:$B, 'Instrument Table'!$A:$A, "")</f>
        <v>31</v>
      </c>
      <c r="G2232" s="1" t="str">
        <f>TEXT(IF($B2232 = "Retail Item", IF((ROW($A2232) - 4504 - _xlfn.XMATCH($C2232, $C$4506:$C$5005, 0, 1)) &lt;= VLOOKUP($C2232, 'Instrument Table'!$B:$D, 3, FALSE), ROW($A2232) - 4504 - _xlfn.XMATCH($C2232, $C$4506:$C$5005, 0, 1), 0), 0), "00")</f>
        <v>00</v>
      </c>
      <c r="H2232" s="1" t="str">
        <f t="shared" si="205"/>
        <v>076</v>
      </c>
      <c r="I2232" s="1" t="str">
        <f t="shared" si="206"/>
        <v>13100-076</v>
      </c>
      <c r="J2232" s="1" t="str">
        <f t="shared" si="207"/>
        <v>Saxophone production item #076</v>
      </c>
      <c r="K2232" s="1" t="str">
        <f>IF(SUM(COUNTIFS(I:I, I2232)) &gt; 1, "DUPLICATE", "UNIQUE")</f>
        <v>UNIQUE</v>
      </c>
      <c r="L2232" s="18">
        <v>0</v>
      </c>
      <c r="M2232" s="28">
        <v>37</v>
      </c>
      <c r="N2232" s="6">
        <v>121</v>
      </c>
      <c r="O2232" s="30">
        <f t="shared" si="208"/>
        <v>0</v>
      </c>
      <c r="P2232" s="30">
        <f t="shared" si="209"/>
        <v>4477</v>
      </c>
      <c r="Q2232" s="1">
        <f>COUNTIFS($P:$P, "&gt;" &amp; $P2232) + 1</f>
        <v>2550</v>
      </c>
      <c r="R2232" s="63">
        <f>(COUNTIFS($P:$P, "&gt;" &amp; $P2232) + 1) / (COUNTA($I:$I) - 1)</f>
        <v>0.51</v>
      </c>
      <c r="S2232" s="23">
        <f>SUMIFS($P:$P, $Q:$Q, "&lt;" &amp; $Q2232)</f>
        <v>183344963</v>
      </c>
    </row>
    <row r="2233" spans="1:19" x14ac:dyDescent="0.25">
      <c r="A2233" s="1">
        <v>2228</v>
      </c>
      <c r="B2233" s="1" t="s">
        <v>2</v>
      </c>
      <c r="C2233" s="1" t="str">
        <f>IF($B2233 = "Production Item", _xlfn.XLOOKUP($A2233, 'Instrument Table'!$J:$J, 'Instrument Table'!$B:$B, $C2232), IF($B2233 = "Service Item", _xlfn.XLOOKUP($A2233, 'Instrument Table'!$I:$I, 'Instrument Table'!$B:$B, $C2232), _xlfn.XLOOKUP($A2233, 'Instrument Table'!$H:$H, 'Instrument Table'!$B:$B, $C2232)))</f>
        <v>Saxophone</v>
      </c>
      <c r="D2233" s="1" t="str">
        <f>VLOOKUP($C2233, 'Instrument Table'!$B:$C, 2, FALSE)</f>
        <v>Woodwinds</v>
      </c>
      <c r="E2233" s="1">
        <f t="shared" si="204"/>
        <v>1</v>
      </c>
      <c r="F2233" s="1">
        <f>_xlfn.XLOOKUP($C2233, 'Instrument Table'!$B:$B, 'Instrument Table'!$A:$A, "")</f>
        <v>31</v>
      </c>
      <c r="G2233" s="1" t="str">
        <f>TEXT(IF($B2233 = "Retail Item", IF((ROW($A2233) - 4504 - _xlfn.XMATCH($C2233, $C$4506:$C$5005, 0, 1)) &lt;= VLOOKUP($C2233, 'Instrument Table'!$B:$D, 3, FALSE), ROW($A2233) - 4504 - _xlfn.XMATCH($C2233, $C$4506:$C$5005, 0, 1), 0), 0), "00")</f>
        <v>00</v>
      </c>
      <c r="H2233" s="1" t="str">
        <f t="shared" si="205"/>
        <v>077</v>
      </c>
      <c r="I2233" s="1" t="str">
        <f t="shared" si="206"/>
        <v>13100-077</v>
      </c>
      <c r="J2233" s="1" t="str">
        <f t="shared" si="207"/>
        <v>Saxophone production item #077</v>
      </c>
      <c r="K2233" s="1" t="str">
        <f>IF(SUM(COUNTIFS(I:I, I2233)) &gt; 1, "DUPLICATE", "UNIQUE")</f>
        <v>UNIQUE</v>
      </c>
      <c r="L2233" s="18">
        <v>32</v>
      </c>
      <c r="M2233" s="28">
        <v>32</v>
      </c>
      <c r="N2233" s="6">
        <v>121</v>
      </c>
      <c r="O2233" s="30">
        <f t="shared" si="208"/>
        <v>1024</v>
      </c>
      <c r="P2233" s="30">
        <f t="shared" si="209"/>
        <v>3872</v>
      </c>
      <c r="Q2233" s="1">
        <f>COUNTIFS($P:$P, "&gt;" &amp; $P2233) + 1</f>
        <v>2686</v>
      </c>
      <c r="R2233" s="63">
        <f>(COUNTIFS($P:$P, "&gt;" &amp; $P2233) + 1) / (COUNTA($I:$I) - 1)</f>
        <v>0.53720000000000001</v>
      </c>
      <c r="S2233" s="23">
        <f>SUMIFS($P:$P, $Q:$Q, "&lt;" &amp; $Q2233)</f>
        <v>183913006</v>
      </c>
    </row>
    <row r="2234" spans="1:19" x14ac:dyDescent="0.25">
      <c r="A2234" s="1">
        <v>2229</v>
      </c>
      <c r="B2234" s="1" t="s">
        <v>2</v>
      </c>
      <c r="C2234" s="1" t="str">
        <f>IF($B2234 = "Production Item", _xlfn.XLOOKUP($A2234, 'Instrument Table'!$J:$J, 'Instrument Table'!$B:$B, $C2233), IF($B2234 = "Service Item", _xlfn.XLOOKUP($A2234, 'Instrument Table'!$I:$I, 'Instrument Table'!$B:$B, $C2233), _xlfn.XLOOKUP($A2234, 'Instrument Table'!$H:$H, 'Instrument Table'!$B:$B, $C2233)))</f>
        <v>Saxophone</v>
      </c>
      <c r="D2234" s="1" t="str">
        <f>VLOOKUP($C2234, 'Instrument Table'!$B:$C, 2, FALSE)</f>
        <v>Woodwinds</v>
      </c>
      <c r="E2234" s="1">
        <f t="shared" si="204"/>
        <v>1</v>
      </c>
      <c r="F2234" s="1">
        <f>_xlfn.XLOOKUP($C2234, 'Instrument Table'!$B:$B, 'Instrument Table'!$A:$A, "")</f>
        <v>31</v>
      </c>
      <c r="G2234" s="1" t="str">
        <f>TEXT(IF($B2234 = "Retail Item", IF((ROW($A2234) - 4504 - _xlfn.XMATCH($C2234, $C$4506:$C$5005, 0, 1)) &lt;= VLOOKUP($C2234, 'Instrument Table'!$B:$D, 3, FALSE), ROW($A2234) - 4504 - _xlfn.XMATCH($C2234, $C$4506:$C$5005, 0, 1), 0), 0), "00")</f>
        <v>00</v>
      </c>
      <c r="H2234" s="1" t="str">
        <f t="shared" si="205"/>
        <v>078</v>
      </c>
      <c r="I2234" s="1" t="str">
        <f t="shared" si="206"/>
        <v>13100-078</v>
      </c>
      <c r="J2234" s="1" t="str">
        <f t="shared" si="207"/>
        <v>Saxophone production item #078</v>
      </c>
      <c r="K2234" s="1" t="str">
        <f>IF(SUM(COUNTIFS(I:I, I2234)) &gt; 1, "DUPLICATE", "UNIQUE")</f>
        <v>UNIQUE</v>
      </c>
      <c r="L2234" s="18">
        <v>0</v>
      </c>
      <c r="M2234" s="28">
        <v>82</v>
      </c>
      <c r="N2234" s="6">
        <v>121</v>
      </c>
      <c r="O2234" s="30">
        <f t="shared" si="208"/>
        <v>0</v>
      </c>
      <c r="P2234" s="30">
        <f t="shared" si="209"/>
        <v>9922</v>
      </c>
      <c r="Q2234" s="1">
        <f>COUNTIFS($P:$P, "&gt;" &amp; $P2234) + 1</f>
        <v>1778</v>
      </c>
      <c r="R2234" s="63">
        <f>(COUNTIFS($P:$P, "&gt;" &amp; $P2234) + 1) / (COUNTA($I:$I) - 1)</f>
        <v>0.35560000000000003</v>
      </c>
      <c r="S2234" s="23">
        <f>SUMIFS($P:$P, $Q:$Q, "&lt;" &amp; $Q2234)</f>
        <v>178025679</v>
      </c>
    </row>
    <row r="2235" spans="1:19" x14ac:dyDescent="0.25">
      <c r="A2235" s="1">
        <v>2230</v>
      </c>
      <c r="B2235" s="1" t="s">
        <v>2</v>
      </c>
      <c r="C2235" s="1" t="str">
        <f>IF($B2235 = "Production Item", _xlfn.XLOOKUP($A2235, 'Instrument Table'!$J:$J, 'Instrument Table'!$B:$B, $C2234), IF($B2235 = "Service Item", _xlfn.XLOOKUP($A2235, 'Instrument Table'!$I:$I, 'Instrument Table'!$B:$B, $C2234), _xlfn.XLOOKUP($A2235, 'Instrument Table'!$H:$H, 'Instrument Table'!$B:$B, $C2234)))</f>
        <v>Saxophone</v>
      </c>
      <c r="D2235" s="1" t="str">
        <f>VLOOKUP($C2235, 'Instrument Table'!$B:$C, 2, FALSE)</f>
        <v>Woodwinds</v>
      </c>
      <c r="E2235" s="1">
        <f t="shared" si="204"/>
        <v>1</v>
      </c>
      <c r="F2235" s="1">
        <f>_xlfn.XLOOKUP($C2235, 'Instrument Table'!$B:$B, 'Instrument Table'!$A:$A, "")</f>
        <v>31</v>
      </c>
      <c r="G2235" s="1" t="str">
        <f>TEXT(IF($B2235 = "Retail Item", IF((ROW($A2235) - 4504 - _xlfn.XMATCH($C2235, $C$4506:$C$5005, 0, 1)) &lt;= VLOOKUP($C2235, 'Instrument Table'!$B:$D, 3, FALSE), ROW($A2235) - 4504 - _xlfn.XMATCH($C2235, $C$4506:$C$5005, 0, 1), 0), 0), "00")</f>
        <v>00</v>
      </c>
      <c r="H2235" s="1" t="str">
        <f t="shared" si="205"/>
        <v>079</v>
      </c>
      <c r="I2235" s="1" t="str">
        <f t="shared" si="206"/>
        <v>13100-079</v>
      </c>
      <c r="J2235" s="1" t="str">
        <f t="shared" si="207"/>
        <v>Saxophone production item #079</v>
      </c>
      <c r="K2235" s="1" t="str">
        <f>IF(SUM(COUNTIFS(I:I, I2235)) &gt; 1, "DUPLICATE", "UNIQUE")</f>
        <v>UNIQUE</v>
      </c>
      <c r="L2235" s="18">
        <v>1</v>
      </c>
      <c r="M2235" s="28">
        <v>32</v>
      </c>
      <c r="N2235" s="6">
        <v>400</v>
      </c>
      <c r="O2235" s="30">
        <f t="shared" si="208"/>
        <v>32</v>
      </c>
      <c r="P2235" s="30">
        <f t="shared" si="209"/>
        <v>12800</v>
      </c>
      <c r="Q2235" s="1">
        <f>COUNTIFS($P:$P, "&gt;" &amp; $P2235) + 1</f>
        <v>1518</v>
      </c>
      <c r="R2235" s="63">
        <f>(COUNTIFS($P:$P, "&gt;" &amp; $P2235) + 1) / (COUNTA($I:$I) - 1)</f>
        <v>0.30359999999999998</v>
      </c>
      <c r="S2235" s="23">
        <f>SUMIFS($P:$P, $Q:$Q, "&lt;" &amp; $Q2235)</f>
        <v>175071913</v>
      </c>
    </row>
    <row r="2236" spans="1:19" x14ac:dyDescent="0.25">
      <c r="A2236" s="1">
        <v>2231</v>
      </c>
      <c r="B2236" s="1" t="s">
        <v>2</v>
      </c>
      <c r="C2236" s="1" t="str">
        <f>IF($B2236 = "Production Item", _xlfn.XLOOKUP($A2236, 'Instrument Table'!$J:$J, 'Instrument Table'!$B:$B, $C2235), IF($B2236 = "Service Item", _xlfn.XLOOKUP($A2236, 'Instrument Table'!$I:$I, 'Instrument Table'!$B:$B, $C2235), _xlfn.XLOOKUP($A2236, 'Instrument Table'!$H:$H, 'Instrument Table'!$B:$B, $C2235)))</f>
        <v>Saxophone</v>
      </c>
      <c r="D2236" s="1" t="str">
        <f>VLOOKUP($C2236, 'Instrument Table'!$B:$C, 2, FALSE)</f>
        <v>Woodwinds</v>
      </c>
      <c r="E2236" s="1">
        <f t="shared" si="204"/>
        <v>1</v>
      </c>
      <c r="F2236" s="1">
        <f>_xlfn.XLOOKUP($C2236, 'Instrument Table'!$B:$B, 'Instrument Table'!$A:$A, "")</f>
        <v>31</v>
      </c>
      <c r="G2236" s="1" t="str">
        <f>TEXT(IF($B2236 = "Retail Item", IF((ROW($A2236) - 4504 - _xlfn.XMATCH($C2236, $C$4506:$C$5005, 0, 1)) &lt;= VLOOKUP($C2236, 'Instrument Table'!$B:$D, 3, FALSE), ROW($A2236) - 4504 - _xlfn.XMATCH($C2236, $C$4506:$C$5005, 0, 1), 0), 0), "00")</f>
        <v>00</v>
      </c>
      <c r="H2236" s="1" t="str">
        <f t="shared" si="205"/>
        <v>080</v>
      </c>
      <c r="I2236" s="1" t="str">
        <f t="shared" si="206"/>
        <v>13100-080</v>
      </c>
      <c r="J2236" s="1" t="str">
        <f t="shared" si="207"/>
        <v>Saxophone production item #080</v>
      </c>
      <c r="K2236" s="1" t="str">
        <f>IF(SUM(COUNTIFS(I:I, I2236)) &gt; 1, "DUPLICATE", "UNIQUE")</f>
        <v>UNIQUE</v>
      </c>
      <c r="L2236" s="18">
        <v>16</v>
      </c>
      <c r="M2236" s="28">
        <v>2</v>
      </c>
      <c r="N2236" s="6">
        <v>16</v>
      </c>
      <c r="O2236" s="30">
        <f t="shared" si="208"/>
        <v>32</v>
      </c>
      <c r="P2236" s="30">
        <f t="shared" si="209"/>
        <v>32</v>
      </c>
      <c r="Q2236" s="1">
        <f>COUNTIFS($P:$P, "&gt;" &amp; $P2236) + 1</f>
        <v>4658</v>
      </c>
      <c r="R2236" s="63">
        <f>(COUNTIFS($P:$P, "&gt;" &amp; $P2236) + 1) / (COUNTA($I:$I) - 1)</f>
        <v>0.93159999999999998</v>
      </c>
      <c r="S2236" s="23">
        <f>SUMIFS($P:$P, $Q:$Q, "&lt;" &amp; $Q2236)</f>
        <v>186546308</v>
      </c>
    </row>
    <row r="2237" spans="1:19" x14ac:dyDescent="0.25">
      <c r="A2237" s="1">
        <v>2232</v>
      </c>
      <c r="B2237" s="1" t="s">
        <v>2</v>
      </c>
      <c r="C2237" s="1" t="str">
        <f>IF($B2237 = "Production Item", _xlfn.XLOOKUP($A2237, 'Instrument Table'!$J:$J, 'Instrument Table'!$B:$B, $C2236), IF($B2237 = "Service Item", _xlfn.XLOOKUP($A2237, 'Instrument Table'!$I:$I, 'Instrument Table'!$B:$B, $C2236), _xlfn.XLOOKUP($A2237, 'Instrument Table'!$H:$H, 'Instrument Table'!$B:$B, $C2236)))</f>
        <v>Saxophone</v>
      </c>
      <c r="D2237" s="1" t="str">
        <f>VLOOKUP($C2237, 'Instrument Table'!$B:$C, 2, FALSE)</f>
        <v>Woodwinds</v>
      </c>
      <c r="E2237" s="1">
        <f t="shared" si="204"/>
        <v>1</v>
      </c>
      <c r="F2237" s="1">
        <f>_xlfn.XLOOKUP($C2237, 'Instrument Table'!$B:$B, 'Instrument Table'!$A:$A, "")</f>
        <v>31</v>
      </c>
      <c r="G2237" s="1" t="str">
        <f>TEXT(IF($B2237 = "Retail Item", IF((ROW($A2237) - 4504 - _xlfn.XMATCH($C2237, $C$4506:$C$5005, 0, 1)) &lt;= VLOOKUP($C2237, 'Instrument Table'!$B:$D, 3, FALSE), ROW($A2237) - 4504 - _xlfn.XMATCH($C2237, $C$4506:$C$5005, 0, 1), 0), 0), "00")</f>
        <v>00</v>
      </c>
      <c r="H2237" s="1" t="str">
        <f t="shared" si="205"/>
        <v>081</v>
      </c>
      <c r="I2237" s="1" t="str">
        <f t="shared" si="206"/>
        <v>13100-081</v>
      </c>
      <c r="J2237" s="1" t="str">
        <f t="shared" si="207"/>
        <v>Saxophone production item #081</v>
      </c>
      <c r="K2237" s="1" t="str">
        <f>IF(SUM(COUNTIFS(I:I, I2237)) &gt; 1, "DUPLICATE", "UNIQUE")</f>
        <v>UNIQUE</v>
      </c>
      <c r="L2237" s="18">
        <v>32</v>
      </c>
      <c r="M2237" s="28">
        <v>56</v>
      </c>
      <c r="N2237" s="6">
        <v>4</v>
      </c>
      <c r="O2237" s="30">
        <f t="shared" si="208"/>
        <v>1792</v>
      </c>
      <c r="P2237" s="30">
        <f t="shared" si="209"/>
        <v>224</v>
      </c>
      <c r="Q2237" s="1">
        <f>COUNTIFS($P:$P, "&gt;" &amp; $P2237) + 1</f>
        <v>4297</v>
      </c>
      <c r="R2237" s="63">
        <f>(COUNTIFS($P:$P, "&gt;" &amp; $P2237) + 1) / (COUNTA($I:$I) - 1)</f>
        <v>0.85940000000000005</v>
      </c>
      <c r="S2237" s="23">
        <f>SUMIFS($P:$P, $Q:$Q, "&lt;" &amp; $Q2237)</f>
        <v>186506766</v>
      </c>
    </row>
    <row r="2238" spans="1:19" x14ac:dyDescent="0.25">
      <c r="A2238" s="1">
        <v>2233</v>
      </c>
      <c r="B2238" s="1" t="s">
        <v>2</v>
      </c>
      <c r="C2238" s="1" t="str">
        <f>IF($B2238 = "Production Item", _xlfn.XLOOKUP($A2238, 'Instrument Table'!$J:$J, 'Instrument Table'!$B:$B, $C2237), IF($B2238 = "Service Item", _xlfn.XLOOKUP($A2238, 'Instrument Table'!$I:$I, 'Instrument Table'!$B:$B, $C2237), _xlfn.XLOOKUP($A2238, 'Instrument Table'!$H:$H, 'Instrument Table'!$B:$B, $C2237)))</f>
        <v>Saxophone</v>
      </c>
      <c r="D2238" s="1" t="str">
        <f>VLOOKUP($C2238, 'Instrument Table'!$B:$C, 2, FALSE)</f>
        <v>Woodwinds</v>
      </c>
      <c r="E2238" s="1">
        <f t="shared" si="204"/>
        <v>1</v>
      </c>
      <c r="F2238" s="1">
        <f>_xlfn.XLOOKUP($C2238, 'Instrument Table'!$B:$B, 'Instrument Table'!$A:$A, "")</f>
        <v>31</v>
      </c>
      <c r="G2238" s="1" t="str">
        <f>TEXT(IF($B2238 = "Retail Item", IF((ROW($A2238) - 4504 - _xlfn.XMATCH($C2238, $C$4506:$C$5005, 0, 1)) &lt;= VLOOKUP($C2238, 'Instrument Table'!$B:$D, 3, FALSE), ROW($A2238) - 4504 - _xlfn.XMATCH($C2238, $C$4506:$C$5005, 0, 1), 0), 0), "00")</f>
        <v>00</v>
      </c>
      <c r="H2238" s="1" t="str">
        <f t="shared" si="205"/>
        <v>082</v>
      </c>
      <c r="I2238" s="1" t="str">
        <f t="shared" si="206"/>
        <v>13100-082</v>
      </c>
      <c r="J2238" s="1" t="str">
        <f t="shared" si="207"/>
        <v>Saxophone production item #082</v>
      </c>
      <c r="K2238" s="1" t="str">
        <f>IF(SUM(COUNTIFS(I:I, I2238)) &gt; 1, "DUPLICATE", "UNIQUE")</f>
        <v>UNIQUE</v>
      </c>
      <c r="L2238" s="18">
        <v>0</v>
      </c>
      <c r="M2238" s="28">
        <v>89</v>
      </c>
      <c r="N2238" s="6">
        <v>289</v>
      </c>
      <c r="O2238" s="30">
        <f t="shared" si="208"/>
        <v>0</v>
      </c>
      <c r="P2238" s="30">
        <f t="shared" si="209"/>
        <v>25721</v>
      </c>
      <c r="Q2238" s="1">
        <f>COUNTIFS($P:$P, "&gt;" &amp; $P2238) + 1</f>
        <v>798</v>
      </c>
      <c r="R2238" s="63">
        <f>(COUNTIFS($P:$P, "&gt;" &amp; $P2238) + 1) / (COUNTA($I:$I) - 1)</f>
        <v>0.15959999999999999</v>
      </c>
      <c r="S2238" s="23">
        <f>SUMIFS($P:$P, $Q:$Q, "&lt;" &amp; $Q2238)</f>
        <v>161776320</v>
      </c>
    </row>
    <row r="2239" spans="1:19" x14ac:dyDescent="0.25">
      <c r="A2239" s="1">
        <v>2234</v>
      </c>
      <c r="B2239" s="1" t="s">
        <v>2</v>
      </c>
      <c r="C2239" s="1" t="str">
        <f>IF($B2239 = "Production Item", _xlfn.XLOOKUP($A2239, 'Instrument Table'!$J:$J, 'Instrument Table'!$B:$B, $C2238), IF($B2239 = "Service Item", _xlfn.XLOOKUP($A2239, 'Instrument Table'!$I:$I, 'Instrument Table'!$B:$B, $C2238), _xlfn.XLOOKUP($A2239, 'Instrument Table'!$H:$H, 'Instrument Table'!$B:$B, $C2238)))</f>
        <v>Saxophone</v>
      </c>
      <c r="D2239" s="1" t="str">
        <f>VLOOKUP($C2239, 'Instrument Table'!$B:$C, 2, FALSE)</f>
        <v>Woodwinds</v>
      </c>
      <c r="E2239" s="1">
        <f t="shared" si="204"/>
        <v>1</v>
      </c>
      <c r="F2239" s="1">
        <f>_xlfn.XLOOKUP($C2239, 'Instrument Table'!$B:$B, 'Instrument Table'!$A:$A, "")</f>
        <v>31</v>
      </c>
      <c r="G2239" s="1" t="str">
        <f>TEXT(IF($B2239 = "Retail Item", IF((ROW($A2239) - 4504 - _xlfn.XMATCH($C2239, $C$4506:$C$5005, 0, 1)) &lt;= VLOOKUP($C2239, 'Instrument Table'!$B:$D, 3, FALSE), ROW($A2239) - 4504 - _xlfn.XMATCH($C2239, $C$4506:$C$5005, 0, 1), 0), 0), "00")</f>
        <v>00</v>
      </c>
      <c r="H2239" s="1" t="str">
        <f t="shared" si="205"/>
        <v>083</v>
      </c>
      <c r="I2239" s="1" t="str">
        <f t="shared" si="206"/>
        <v>13100-083</v>
      </c>
      <c r="J2239" s="1" t="str">
        <f t="shared" si="207"/>
        <v>Saxophone production item #083</v>
      </c>
      <c r="K2239" s="1" t="str">
        <f>IF(SUM(COUNTIFS(I:I, I2239)) &gt; 1, "DUPLICATE", "UNIQUE")</f>
        <v>UNIQUE</v>
      </c>
      <c r="L2239" s="18">
        <v>0</v>
      </c>
      <c r="M2239" s="28">
        <v>52</v>
      </c>
      <c r="N2239" s="6">
        <v>9</v>
      </c>
      <c r="O2239" s="30">
        <f t="shared" si="208"/>
        <v>0</v>
      </c>
      <c r="P2239" s="30">
        <f t="shared" si="209"/>
        <v>468</v>
      </c>
      <c r="Q2239" s="1">
        <f>COUNTIFS($P:$P, "&gt;" &amp; $P2239) + 1</f>
        <v>4049</v>
      </c>
      <c r="R2239" s="63">
        <f>(COUNTIFS($P:$P, "&gt;" &amp; $P2239) + 1) / (COUNTA($I:$I) - 1)</f>
        <v>0.80979999999999996</v>
      </c>
      <c r="S2239" s="23">
        <f>SUMIFS($P:$P, $Q:$Q, "&lt;" &amp; $Q2239)</f>
        <v>186422918</v>
      </c>
    </row>
    <row r="2240" spans="1:19" x14ac:dyDescent="0.25">
      <c r="A2240" s="1">
        <v>2235</v>
      </c>
      <c r="B2240" s="1" t="s">
        <v>2</v>
      </c>
      <c r="C2240" s="1" t="str">
        <f>IF($B2240 = "Production Item", _xlfn.XLOOKUP($A2240, 'Instrument Table'!$J:$J, 'Instrument Table'!$B:$B, $C2239), IF($B2240 = "Service Item", _xlfn.XLOOKUP($A2240, 'Instrument Table'!$I:$I, 'Instrument Table'!$B:$B, $C2239), _xlfn.XLOOKUP($A2240, 'Instrument Table'!$H:$H, 'Instrument Table'!$B:$B, $C2239)))</f>
        <v>Saxophone</v>
      </c>
      <c r="D2240" s="1" t="str">
        <f>VLOOKUP($C2240, 'Instrument Table'!$B:$C, 2, FALSE)</f>
        <v>Woodwinds</v>
      </c>
      <c r="E2240" s="1">
        <f t="shared" si="204"/>
        <v>1</v>
      </c>
      <c r="F2240" s="1">
        <f>_xlfn.XLOOKUP($C2240, 'Instrument Table'!$B:$B, 'Instrument Table'!$A:$A, "")</f>
        <v>31</v>
      </c>
      <c r="G2240" s="1" t="str">
        <f>TEXT(IF($B2240 = "Retail Item", IF((ROW($A2240) - 4504 - _xlfn.XMATCH($C2240, $C$4506:$C$5005, 0, 1)) &lt;= VLOOKUP($C2240, 'Instrument Table'!$B:$D, 3, FALSE), ROW($A2240) - 4504 - _xlfn.XMATCH($C2240, $C$4506:$C$5005, 0, 1), 0), 0), "00")</f>
        <v>00</v>
      </c>
      <c r="H2240" s="1" t="str">
        <f t="shared" si="205"/>
        <v>084</v>
      </c>
      <c r="I2240" s="1" t="str">
        <f t="shared" si="206"/>
        <v>13100-084</v>
      </c>
      <c r="J2240" s="1" t="str">
        <f t="shared" si="207"/>
        <v>Saxophone production item #084</v>
      </c>
      <c r="K2240" s="1" t="str">
        <f>IF(SUM(COUNTIFS(I:I, I2240)) &gt; 1, "DUPLICATE", "UNIQUE")</f>
        <v>UNIQUE</v>
      </c>
      <c r="L2240" s="18">
        <v>1</v>
      </c>
      <c r="M2240" s="28">
        <v>94</v>
      </c>
      <c r="N2240" s="6">
        <v>289</v>
      </c>
      <c r="O2240" s="30">
        <f t="shared" si="208"/>
        <v>94</v>
      </c>
      <c r="P2240" s="30">
        <f t="shared" si="209"/>
        <v>27166</v>
      </c>
      <c r="Q2240" s="1">
        <f>COUNTIFS($P:$P, "&gt;" &amp; $P2240) + 1</f>
        <v>749</v>
      </c>
      <c r="R2240" s="63">
        <f>(COUNTIFS($P:$P, "&gt;" &amp; $P2240) + 1) / (COUNTA($I:$I) - 1)</f>
        <v>0.14979999999999999</v>
      </c>
      <c r="S2240" s="23">
        <f>SUMIFS($P:$P, $Q:$Q, "&lt;" &amp; $Q2240)</f>
        <v>160478430</v>
      </c>
    </row>
    <row r="2241" spans="1:19" x14ac:dyDescent="0.25">
      <c r="A2241" s="1">
        <v>2236</v>
      </c>
      <c r="B2241" s="1" t="s">
        <v>2</v>
      </c>
      <c r="C2241" s="1" t="str">
        <f>IF($B2241 = "Production Item", _xlfn.XLOOKUP($A2241, 'Instrument Table'!$J:$J, 'Instrument Table'!$B:$B, $C2240), IF($B2241 = "Service Item", _xlfn.XLOOKUP($A2241, 'Instrument Table'!$I:$I, 'Instrument Table'!$B:$B, $C2240), _xlfn.XLOOKUP($A2241, 'Instrument Table'!$H:$H, 'Instrument Table'!$B:$B, $C2240)))</f>
        <v>Saxophone</v>
      </c>
      <c r="D2241" s="1" t="str">
        <f>VLOOKUP($C2241, 'Instrument Table'!$B:$C, 2, FALSE)</f>
        <v>Woodwinds</v>
      </c>
      <c r="E2241" s="1">
        <f t="shared" si="204"/>
        <v>1</v>
      </c>
      <c r="F2241" s="1">
        <f>_xlfn.XLOOKUP($C2241, 'Instrument Table'!$B:$B, 'Instrument Table'!$A:$A, "")</f>
        <v>31</v>
      </c>
      <c r="G2241" s="1" t="str">
        <f>TEXT(IF($B2241 = "Retail Item", IF((ROW($A2241) - 4504 - _xlfn.XMATCH($C2241, $C$4506:$C$5005, 0, 1)) &lt;= VLOOKUP($C2241, 'Instrument Table'!$B:$D, 3, FALSE), ROW($A2241) - 4504 - _xlfn.XMATCH($C2241, $C$4506:$C$5005, 0, 1), 0), 0), "00")</f>
        <v>00</v>
      </c>
      <c r="H2241" s="1" t="str">
        <f t="shared" si="205"/>
        <v>085</v>
      </c>
      <c r="I2241" s="1" t="str">
        <f t="shared" si="206"/>
        <v>13100-085</v>
      </c>
      <c r="J2241" s="1" t="str">
        <f t="shared" si="207"/>
        <v>Saxophone production item #085</v>
      </c>
      <c r="K2241" s="1" t="str">
        <f>IF(SUM(COUNTIFS(I:I, I2241)) &gt; 1, "DUPLICATE", "UNIQUE")</f>
        <v>UNIQUE</v>
      </c>
      <c r="L2241" s="18">
        <v>0</v>
      </c>
      <c r="M2241" s="28">
        <v>89</v>
      </c>
      <c r="N2241" s="6">
        <v>361</v>
      </c>
      <c r="O2241" s="30">
        <f t="shared" si="208"/>
        <v>0</v>
      </c>
      <c r="P2241" s="30">
        <f t="shared" si="209"/>
        <v>32129</v>
      </c>
      <c r="Q2241" s="1">
        <f>COUNTIFS($P:$P, "&gt;" &amp; $P2241) + 1</f>
        <v>644</v>
      </c>
      <c r="R2241" s="63">
        <f>(COUNTIFS($P:$P, "&gt;" &amp; $P2241) + 1) / (COUNTA($I:$I) - 1)</f>
        <v>0.1288</v>
      </c>
      <c r="S2241" s="23">
        <f>SUMIFS($P:$P, $Q:$Q, "&lt;" &amp; $Q2241)</f>
        <v>157353040</v>
      </c>
    </row>
    <row r="2242" spans="1:19" x14ac:dyDescent="0.25">
      <c r="A2242" s="1">
        <v>2237</v>
      </c>
      <c r="B2242" s="1" t="s">
        <v>2</v>
      </c>
      <c r="C2242" s="1" t="str">
        <f>IF($B2242 = "Production Item", _xlfn.XLOOKUP($A2242, 'Instrument Table'!$J:$J, 'Instrument Table'!$B:$B, $C2241), IF($B2242 = "Service Item", _xlfn.XLOOKUP($A2242, 'Instrument Table'!$I:$I, 'Instrument Table'!$B:$B, $C2241), _xlfn.XLOOKUP($A2242, 'Instrument Table'!$H:$H, 'Instrument Table'!$B:$B, $C2241)))</f>
        <v>Saxophone</v>
      </c>
      <c r="D2242" s="1" t="str">
        <f>VLOOKUP($C2242, 'Instrument Table'!$B:$C, 2, FALSE)</f>
        <v>Woodwinds</v>
      </c>
      <c r="E2242" s="1">
        <f t="shared" si="204"/>
        <v>1</v>
      </c>
      <c r="F2242" s="1">
        <f>_xlfn.XLOOKUP($C2242, 'Instrument Table'!$B:$B, 'Instrument Table'!$A:$A, "")</f>
        <v>31</v>
      </c>
      <c r="G2242" s="1" t="str">
        <f>TEXT(IF($B2242 = "Retail Item", IF((ROW($A2242) - 4504 - _xlfn.XMATCH($C2242, $C$4506:$C$5005, 0, 1)) &lt;= VLOOKUP($C2242, 'Instrument Table'!$B:$D, 3, FALSE), ROW($A2242) - 4504 - _xlfn.XMATCH($C2242, $C$4506:$C$5005, 0, 1), 0), 0), "00")</f>
        <v>00</v>
      </c>
      <c r="H2242" s="1" t="str">
        <f t="shared" si="205"/>
        <v>086</v>
      </c>
      <c r="I2242" s="1" t="str">
        <f t="shared" si="206"/>
        <v>13100-086</v>
      </c>
      <c r="J2242" s="1" t="str">
        <f t="shared" si="207"/>
        <v>Saxophone production item #086</v>
      </c>
      <c r="K2242" s="1" t="str">
        <f>IF(SUM(COUNTIFS(I:I, I2242)) &gt; 1, "DUPLICATE", "UNIQUE")</f>
        <v>UNIQUE</v>
      </c>
      <c r="L2242" s="18">
        <v>16</v>
      </c>
      <c r="M2242" s="28">
        <v>51</v>
      </c>
      <c r="N2242" s="6">
        <v>225</v>
      </c>
      <c r="O2242" s="30">
        <f t="shared" si="208"/>
        <v>816</v>
      </c>
      <c r="P2242" s="30">
        <f t="shared" si="209"/>
        <v>11475</v>
      </c>
      <c r="Q2242" s="1">
        <f>COUNTIFS($P:$P, "&gt;" &amp; $P2242) + 1</f>
        <v>1643</v>
      </c>
      <c r="R2242" s="63">
        <f>(COUNTIFS($P:$P, "&gt;" &amp; $P2242) + 1) / (COUNTA($I:$I) - 1)</f>
        <v>0.3286</v>
      </c>
      <c r="S2242" s="23">
        <f>SUMIFS($P:$P, $Q:$Q, "&lt;" &amp; $Q2242)</f>
        <v>176578082</v>
      </c>
    </row>
    <row r="2243" spans="1:19" x14ac:dyDescent="0.25">
      <c r="A2243" s="1">
        <v>2238</v>
      </c>
      <c r="B2243" s="1" t="s">
        <v>2</v>
      </c>
      <c r="C2243" s="1" t="str">
        <f>IF($B2243 = "Production Item", _xlfn.XLOOKUP($A2243, 'Instrument Table'!$J:$J, 'Instrument Table'!$B:$B, $C2242), IF($B2243 = "Service Item", _xlfn.XLOOKUP($A2243, 'Instrument Table'!$I:$I, 'Instrument Table'!$B:$B, $C2242), _xlfn.XLOOKUP($A2243, 'Instrument Table'!$H:$H, 'Instrument Table'!$B:$B, $C2242)))</f>
        <v>Saxophone</v>
      </c>
      <c r="D2243" s="1" t="str">
        <f>VLOOKUP($C2243, 'Instrument Table'!$B:$C, 2, FALSE)</f>
        <v>Woodwinds</v>
      </c>
      <c r="E2243" s="1">
        <f t="shared" si="204"/>
        <v>1</v>
      </c>
      <c r="F2243" s="1">
        <f>_xlfn.XLOOKUP($C2243, 'Instrument Table'!$B:$B, 'Instrument Table'!$A:$A, "")</f>
        <v>31</v>
      </c>
      <c r="G2243" s="1" t="str">
        <f>TEXT(IF($B2243 = "Retail Item", IF((ROW($A2243) - 4504 - _xlfn.XMATCH($C2243, $C$4506:$C$5005, 0, 1)) &lt;= VLOOKUP($C2243, 'Instrument Table'!$B:$D, 3, FALSE), ROW($A2243) - 4504 - _xlfn.XMATCH($C2243, $C$4506:$C$5005, 0, 1), 0), 0), "00")</f>
        <v>00</v>
      </c>
      <c r="H2243" s="1" t="str">
        <f t="shared" si="205"/>
        <v>087</v>
      </c>
      <c r="I2243" s="1" t="str">
        <f t="shared" si="206"/>
        <v>13100-087</v>
      </c>
      <c r="J2243" s="1" t="str">
        <f t="shared" si="207"/>
        <v>Saxophone production item #087</v>
      </c>
      <c r="K2243" s="1" t="str">
        <f>IF(SUM(COUNTIFS(I:I, I2243)) &gt; 1, "DUPLICATE", "UNIQUE")</f>
        <v>UNIQUE</v>
      </c>
      <c r="L2243" s="18">
        <v>0</v>
      </c>
      <c r="M2243" s="28">
        <v>79</v>
      </c>
      <c r="N2243" s="6">
        <v>64</v>
      </c>
      <c r="O2243" s="30">
        <f t="shared" si="208"/>
        <v>0</v>
      </c>
      <c r="P2243" s="30">
        <f t="shared" si="209"/>
        <v>5056</v>
      </c>
      <c r="Q2243" s="1">
        <f>COUNTIFS($P:$P, "&gt;" &amp; $P2243) + 1</f>
        <v>2437</v>
      </c>
      <c r="R2243" s="63">
        <f>(COUNTIFS($P:$P, "&gt;" &amp; $P2243) + 1) / (COUNTA($I:$I) - 1)</f>
        <v>0.4874</v>
      </c>
      <c r="S2243" s="23">
        <f>SUMIFS($P:$P, $Q:$Q, "&lt;" &amp; $Q2243)</f>
        <v>182807115</v>
      </c>
    </row>
    <row r="2244" spans="1:19" x14ac:dyDescent="0.25">
      <c r="A2244" s="1">
        <v>2239</v>
      </c>
      <c r="B2244" s="1" t="s">
        <v>2</v>
      </c>
      <c r="C2244" s="1" t="str">
        <f>IF($B2244 = "Production Item", _xlfn.XLOOKUP($A2244, 'Instrument Table'!$J:$J, 'Instrument Table'!$B:$B, $C2243), IF($B2244 = "Service Item", _xlfn.XLOOKUP($A2244, 'Instrument Table'!$I:$I, 'Instrument Table'!$B:$B, $C2243), _xlfn.XLOOKUP($A2244, 'Instrument Table'!$H:$H, 'Instrument Table'!$B:$B, $C2243)))</f>
        <v>Saxophone</v>
      </c>
      <c r="D2244" s="1" t="str">
        <f>VLOOKUP($C2244, 'Instrument Table'!$B:$C, 2, FALSE)</f>
        <v>Woodwinds</v>
      </c>
      <c r="E2244" s="1">
        <f t="shared" si="204"/>
        <v>1</v>
      </c>
      <c r="F2244" s="1">
        <f>_xlfn.XLOOKUP($C2244, 'Instrument Table'!$B:$B, 'Instrument Table'!$A:$A, "")</f>
        <v>31</v>
      </c>
      <c r="G2244" s="1" t="str">
        <f>TEXT(IF($B2244 = "Retail Item", IF((ROW($A2244) - 4504 - _xlfn.XMATCH($C2244, $C$4506:$C$5005, 0, 1)) &lt;= VLOOKUP($C2244, 'Instrument Table'!$B:$D, 3, FALSE), ROW($A2244) - 4504 - _xlfn.XMATCH($C2244, $C$4506:$C$5005, 0, 1), 0), 0), "00")</f>
        <v>00</v>
      </c>
      <c r="H2244" s="1" t="str">
        <f t="shared" si="205"/>
        <v>088</v>
      </c>
      <c r="I2244" s="1" t="str">
        <f t="shared" si="206"/>
        <v>13100-088</v>
      </c>
      <c r="J2244" s="1" t="str">
        <f t="shared" si="207"/>
        <v>Saxophone production item #088</v>
      </c>
      <c r="K2244" s="1" t="str">
        <f>IF(SUM(COUNTIFS(I:I, I2244)) &gt; 1, "DUPLICATE", "UNIQUE")</f>
        <v>UNIQUE</v>
      </c>
      <c r="L2244" s="18">
        <v>0</v>
      </c>
      <c r="M2244" s="28">
        <v>39</v>
      </c>
      <c r="N2244" s="6">
        <v>1</v>
      </c>
      <c r="O2244" s="30">
        <f t="shared" si="208"/>
        <v>0</v>
      </c>
      <c r="P2244" s="30">
        <f t="shared" si="209"/>
        <v>39</v>
      </c>
      <c r="Q2244" s="1">
        <f>COUNTIFS($P:$P, "&gt;" &amp; $P2244) + 1</f>
        <v>4643</v>
      </c>
      <c r="R2244" s="63">
        <f>(COUNTIFS($P:$P, "&gt;" &amp; $P2244) + 1) / (COUNTA($I:$I) - 1)</f>
        <v>0.92859999999999998</v>
      </c>
      <c r="S2244" s="23">
        <f>SUMIFS($P:$P, $Q:$Q, "&lt;" &amp; $Q2244)</f>
        <v>186545758</v>
      </c>
    </row>
    <row r="2245" spans="1:19" x14ac:dyDescent="0.25">
      <c r="A2245" s="1">
        <v>2240</v>
      </c>
      <c r="B2245" s="1" t="s">
        <v>2</v>
      </c>
      <c r="C2245" s="1" t="str">
        <f>IF($B2245 = "Production Item", _xlfn.XLOOKUP($A2245, 'Instrument Table'!$J:$J, 'Instrument Table'!$B:$B, $C2244), IF($B2245 = "Service Item", _xlfn.XLOOKUP($A2245, 'Instrument Table'!$I:$I, 'Instrument Table'!$B:$B, $C2244), _xlfn.XLOOKUP($A2245, 'Instrument Table'!$H:$H, 'Instrument Table'!$B:$B, $C2244)))</f>
        <v>Saxophone</v>
      </c>
      <c r="D2245" s="1" t="str">
        <f>VLOOKUP($C2245, 'Instrument Table'!$B:$C, 2, FALSE)</f>
        <v>Woodwinds</v>
      </c>
      <c r="E2245" s="1">
        <f t="shared" si="204"/>
        <v>1</v>
      </c>
      <c r="F2245" s="1">
        <f>_xlfn.XLOOKUP($C2245, 'Instrument Table'!$B:$B, 'Instrument Table'!$A:$A, "")</f>
        <v>31</v>
      </c>
      <c r="G2245" s="1" t="str">
        <f>TEXT(IF($B2245 = "Retail Item", IF((ROW($A2245) - 4504 - _xlfn.XMATCH($C2245, $C$4506:$C$5005, 0, 1)) &lt;= VLOOKUP($C2245, 'Instrument Table'!$B:$D, 3, FALSE), ROW($A2245) - 4504 - _xlfn.XMATCH($C2245, $C$4506:$C$5005, 0, 1), 0), 0), "00")</f>
        <v>00</v>
      </c>
      <c r="H2245" s="1" t="str">
        <f t="shared" si="205"/>
        <v>089</v>
      </c>
      <c r="I2245" s="1" t="str">
        <f t="shared" si="206"/>
        <v>13100-089</v>
      </c>
      <c r="J2245" s="1" t="str">
        <f t="shared" si="207"/>
        <v>Saxophone production item #089</v>
      </c>
      <c r="K2245" s="1" t="str">
        <f>IF(SUM(COUNTIFS(I:I, I2245)) &gt; 1, "DUPLICATE", "UNIQUE")</f>
        <v>UNIQUE</v>
      </c>
      <c r="L2245" s="18">
        <v>1</v>
      </c>
      <c r="M2245" s="28">
        <v>14</v>
      </c>
      <c r="N2245" s="6">
        <v>9</v>
      </c>
      <c r="O2245" s="30">
        <f t="shared" si="208"/>
        <v>14</v>
      </c>
      <c r="P2245" s="30">
        <f t="shared" si="209"/>
        <v>126</v>
      </c>
      <c r="Q2245" s="1">
        <f>COUNTIFS($P:$P, "&gt;" &amp; $P2245) + 1</f>
        <v>4421</v>
      </c>
      <c r="R2245" s="63">
        <f>(COUNTIFS($P:$P, "&gt;" &amp; $P2245) + 1) / (COUNTA($I:$I) - 1)</f>
        <v>0.88419999999999999</v>
      </c>
      <c r="S2245" s="23">
        <f>SUMIFS($P:$P, $Q:$Q, "&lt;" &amp; $Q2245)</f>
        <v>186528899</v>
      </c>
    </row>
    <row r="2246" spans="1:19" x14ac:dyDescent="0.25">
      <c r="A2246" s="1">
        <v>2241</v>
      </c>
      <c r="B2246" s="1" t="s">
        <v>2</v>
      </c>
      <c r="C2246" s="1" t="str">
        <f>IF($B2246 = "Production Item", _xlfn.XLOOKUP($A2246, 'Instrument Table'!$J:$J, 'Instrument Table'!$B:$B, $C2245), IF($B2246 = "Service Item", _xlfn.XLOOKUP($A2246, 'Instrument Table'!$I:$I, 'Instrument Table'!$B:$B, $C2245), _xlfn.XLOOKUP($A2246, 'Instrument Table'!$H:$H, 'Instrument Table'!$B:$B, $C2245)))</f>
        <v>Saxophone</v>
      </c>
      <c r="D2246" s="1" t="str">
        <f>VLOOKUP($C2246, 'Instrument Table'!$B:$C, 2, FALSE)</f>
        <v>Woodwinds</v>
      </c>
      <c r="E2246" s="1">
        <f t="shared" si="204"/>
        <v>1</v>
      </c>
      <c r="F2246" s="1">
        <f>_xlfn.XLOOKUP($C2246, 'Instrument Table'!$B:$B, 'Instrument Table'!$A:$A, "")</f>
        <v>31</v>
      </c>
      <c r="G2246" s="1" t="str">
        <f>TEXT(IF($B2246 = "Retail Item", IF((ROW($A2246) - 4504 - _xlfn.XMATCH($C2246, $C$4506:$C$5005, 0, 1)) &lt;= VLOOKUP($C2246, 'Instrument Table'!$B:$D, 3, FALSE), ROW($A2246) - 4504 - _xlfn.XMATCH($C2246, $C$4506:$C$5005, 0, 1), 0), 0), "00")</f>
        <v>00</v>
      </c>
      <c r="H2246" s="1" t="str">
        <f t="shared" si="205"/>
        <v>090</v>
      </c>
      <c r="I2246" s="1" t="str">
        <f t="shared" si="206"/>
        <v>13100-090</v>
      </c>
      <c r="J2246" s="1" t="str">
        <f t="shared" si="207"/>
        <v>Saxophone production item #090</v>
      </c>
      <c r="K2246" s="1" t="str">
        <f>IF(SUM(COUNTIFS(I:I, I2246)) &gt; 1, "DUPLICATE", "UNIQUE")</f>
        <v>UNIQUE</v>
      </c>
      <c r="L2246" s="18">
        <v>0</v>
      </c>
      <c r="M2246" s="28">
        <v>35</v>
      </c>
      <c r="N2246" s="6">
        <v>324</v>
      </c>
      <c r="O2246" s="30">
        <f t="shared" si="208"/>
        <v>0</v>
      </c>
      <c r="P2246" s="30">
        <f t="shared" si="209"/>
        <v>11340</v>
      </c>
      <c r="Q2246" s="1">
        <f>COUNTIFS($P:$P, "&gt;" &amp; $P2246) + 1</f>
        <v>1651</v>
      </c>
      <c r="R2246" s="63">
        <f>(COUNTIFS($P:$P, "&gt;" &amp; $P2246) + 1) / (COUNTA($I:$I) - 1)</f>
        <v>0.33019999999999999</v>
      </c>
      <c r="S2246" s="23">
        <f>SUMIFS($P:$P, $Q:$Q, "&lt;" &amp; $Q2246)</f>
        <v>176669521</v>
      </c>
    </row>
    <row r="2247" spans="1:19" x14ac:dyDescent="0.25">
      <c r="A2247" s="1">
        <v>2242</v>
      </c>
      <c r="B2247" s="1" t="s">
        <v>2</v>
      </c>
      <c r="C2247" s="1" t="str">
        <f>IF($B2247 = "Production Item", _xlfn.XLOOKUP($A2247, 'Instrument Table'!$J:$J, 'Instrument Table'!$B:$B, $C2246), IF($B2247 = "Service Item", _xlfn.XLOOKUP($A2247, 'Instrument Table'!$I:$I, 'Instrument Table'!$B:$B, $C2246), _xlfn.XLOOKUP($A2247, 'Instrument Table'!$H:$H, 'Instrument Table'!$B:$B, $C2246)))</f>
        <v>Saxophone</v>
      </c>
      <c r="D2247" s="1" t="str">
        <f>VLOOKUP($C2247, 'Instrument Table'!$B:$C, 2, FALSE)</f>
        <v>Woodwinds</v>
      </c>
      <c r="E2247" s="1">
        <f t="shared" ref="E2247:E2310" si="210">IF($B2247 = "Production Item", 1, IF($B2247 = "Service Item", 2, IF($B2247 = "Retail Item", 3, "")))</f>
        <v>1</v>
      </c>
      <c r="F2247" s="1">
        <f>_xlfn.XLOOKUP($C2247, 'Instrument Table'!$B:$B, 'Instrument Table'!$A:$A, "")</f>
        <v>31</v>
      </c>
      <c r="G2247" s="1" t="str">
        <f>TEXT(IF($B2247 = "Retail Item", IF((ROW($A2247) - 4504 - _xlfn.XMATCH($C2247, $C$4506:$C$5005, 0, 1)) &lt;= VLOOKUP($C2247, 'Instrument Table'!$B:$D, 3, FALSE), ROW($A2247) - 4504 - _xlfn.XMATCH($C2247, $C$4506:$C$5005, 0, 1), 0), 0), "00")</f>
        <v>00</v>
      </c>
      <c r="H2247" s="1" t="str">
        <f t="shared" ref="H2247:H2310" si="211">TEXT(IF($E2247 &amp; $F2247 &amp; $G2247 = $E2246 &amp; $F2246 &amp; $G2246, 1 + H2246, 0), "000")</f>
        <v>091</v>
      </c>
      <c r="I2247" s="1" t="str">
        <f t="shared" ref="I2247:I2310" si="212" xml:space="preserve"> _xlfn.CONCAT($E2247, $F2247, $G2247, "-", H2247)</f>
        <v>13100-091</v>
      </c>
      <c r="J2247" s="1" t="str">
        <f t="shared" ref="J2247:J2310" si="213">LEFT($C2247, 1) &amp; LOWER(RIGHT($C2247, LEN($C2247) - 1)) &amp; IF(AND($G2247 &lt;&gt; "00", $B2247 = "Retail Item"), " model #" &amp; $G2247, " " &amp; LOWER($B2247) &amp; " #" &amp; $H2247)</f>
        <v>Saxophone production item #091</v>
      </c>
      <c r="K2247" s="1" t="str">
        <f>IF(SUM(COUNTIFS(I:I, I2247)) &gt; 1, "DUPLICATE", "UNIQUE")</f>
        <v>UNIQUE</v>
      </c>
      <c r="L2247" s="18">
        <v>0</v>
      </c>
      <c r="M2247" s="28">
        <v>75</v>
      </c>
      <c r="N2247" s="6">
        <v>324</v>
      </c>
      <c r="O2247" s="30">
        <f t="shared" ref="O2247:O2310" si="214">$L2247 * $M2247</f>
        <v>0</v>
      </c>
      <c r="P2247" s="30">
        <f t="shared" ref="P2247:P2310" si="215">$N2247 * $M2247</f>
        <v>24300</v>
      </c>
      <c r="Q2247" s="1">
        <f>COUNTIFS($P:$P, "&gt;" &amp; $P2247) + 1</f>
        <v>863</v>
      </c>
      <c r="R2247" s="63">
        <f>(COUNTIFS($P:$P, "&gt;" &amp; $P2247) + 1) / (COUNTA($I:$I) - 1)</f>
        <v>0.1726</v>
      </c>
      <c r="S2247" s="23">
        <f>SUMIFS($P:$P, $Q:$Q, "&lt;" &amp; $Q2247)</f>
        <v>163401697</v>
      </c>
    </row>
    <row r="2248" spans="1:19" x14ac:dyDescent="0.25">
      <c r="A2248" s="1">
        <v>2243</v>
      </c>
      <c r="B2248" s="1" t="s">
        <v>2</v>
      </c>
      <c r="C2248" s="1" t="str">
        <f>IF($B2248 = "Production Item", _xlfn.XLOOKUP($A2248, 'Instrument Table'!$J:$J, 'Instrument Table'!$B:$B, $C2247), IF($B2248 = "Service Item", _xlfn.XLOOKUP($A2248, 'Instrument Table'!$I:$I, 'Instrument Table'!$B:$B, $C2247), _xlfn.XLOOKUP($A2248, 'Instrument Table'!$H:$H, 'Instrument Table'!$B:$B, $C2247)))</f>
        <v>Saxophone</v>
      </c>
      <c r="D2248" s="1" t="str">
        <f>VLOOKUP($C2248, 'Instrument Table'!$B:$C, 2, FALSE)</f>
        <v>Woodwinds</v>
      </c>
      <c r="E2248" s="1">
        <f t="shared" si="210"/>
        <v>1</v>
      </c>
      <c r="F2248" s="1">
        <f>_xlfn.XLOOKUP($C2248, 'Instrument Table'!$B:$B, 'Instrument Table'!$A:$A, "")</f>
        <v>31</v>
      </c>
      <c r="G2248" s="1" t="str">
        <f>TEXT(IF($B2248 = "Retail Item", IF((ROW($A2248) - 4504 - _xlfn.XMATCH($C2248, $C$4506:$C$5005, 0, 1)) &lt;= VLOOKUP($C2248, 'Instrument Table'!$B:$D, 3, FALSE), ROW($A2248) - 4504 - _xlfn.XMATCH($C2248, $C$4506:$C$5005, 0, 1), 0), 0), "00")</f>
        <v>00</v>
      </c>
      <c r="H2248" s="1" t="str">
        <f t="shared" si="211"/>
        <v>092</v>
      </c>
      <c r="I2248" s="1" t="str">
        <f t="shared" si="212"/>
        <v>13100-092</v>
      </c>
      <c r="J2248" s="1" t="str">
        <f t="shared" si="213"/>
        <v>Saxophone production item #092</v>
      </c>
      <c r="K2248" s="1" t="str">
        <f>IF(SUM(COUNTIFS(I:I, I2248)) &gt; 1, "DUPLICATE", "UNIQUE")</f>
        <v>UNIQUE</v>
      </c>
      <c r="L2248" s="18">
        <v>4</v>
      </c>
      <c r="M2248" s="28">
        <v>11</v>
      </c>
      <c r="N2248" s="6">
        <v>25</v>
      </c>
      <c r="O2248" s="30">
        <f t="shared" si="214"/>
        <v>44</v>
      </c>
      <c r="P2248" s="30">
        <f t="shared" si="215"/>
        <v>275</v>
      </c>
      <c r="Q2248" s="1">
        <f>COUNTIFS($P:$P, "&gt;" &amp; $P2248) + 1</f>
        <v>4245</v>
      </c>
      <c r="R2248" s="63">
        <f>(COUNTIFS($P:$P, "&gt;" &amp; $P2248) + 1) / (COUNTA($I:$I) - 1)</f>
        <v>0.84899999999999998</v>
      </c>
      <c r="S2248" s="23">
        <f>SUMIFS($P:$P, $Q:$Q, "&lt;" &amp; $Q2248)</f>
        <v>186493725</v>
      </c>
    </row>
    <row r="2249" spans="1:19" x14ac:dyDescent="0.25">
      <c r="A2249" s="1">
        <v>2244</v>
      </c>
      <c r="B2249" s="1" t="s">
        <v>2</v>
      </c>
      <c r="C2249" s="1" t="str">
        <f>IF($B2249 = "Production Item", _xlfn.XLOOKUP($A2249, 'Instrument Table'!$J:$J, 'Instrument Table'!$B:$B, $C2248), IF($B2249 = "Service Item", _xlfn.XLOOKUP($A2249, 'Instrument Table'!$I:$I, 'Instrument Table'!$B:$B, $C2248), _xlfn.XLOOKUP($A2249, 'Instrument Table'!$H:$H, 'Instrument Table'!$B:$B, $C2248)))</f>
        <v>Saxophone</v>
      </c>
      <c r="D2249" s="1" t="str">
        <f>VLOOKUP($C2249, 'Instrument Table'!$B:$C, 2, FALSE)</f>
        <v>Woodwinds</v>
      </c>
      <c r="E2249" s="1">
        <f t="shared" si="210"/>
        <v>1</v>
      </c>
      <c r="F2249" s="1">
        <f>_xlfn.XLOOKUP($C2249, 'Instrument Table'!$B:$B, 'Instrument Table'!$A:$A, "")</f>
        <v>31</v>
      </c>
      <c r="G2249" s="1" t="str">
        <f>TEXT(IF($B2249 = "Retail Item", IF((ROW($A2249) - 4504 - _xlfn.XMATCH($C2249, $C$4506:$C$5005, 0, 1)) &lt;= VLOOKUP($C2249, 'Instrument Table'!$B:$D, 3, FALSE), ROW($A2249) - 4504 - _xlfn.XMATCH($C2249, $C$4506:$C$5005, 0, 1), 0), 0), "00")</f>
        <v>00</v>
      </c>
      <c r="H2249" s="1" t="str">
        <f t="shared" si="211"/>
        <v>093</v>
      </c>
      <c r="I2249" s="1" t="str">
        <f t="shared" si="212"/>
        <v>13100-093</v>
      </c>
      <c r="J2249" s="1" t="str">
        <f t="shared" si="213"/>
        <v>Saxophone production item #093</v>
      </c>
      <c r="K2249" s="1" t="str">
        <f>IF(SUM(COUNTIFS(I:I, I2249)) &gt; 1, "DUPLICATE", "UNIQUE")</f>
        <v>UNIQUE</v>
      </c>
      <c r="L2249" s="18">
        <v>0</v>
      </c>
      <c r="M2249" s="28">
        <v>14</v>
      </c>
      <c r="N2249" s="6">
        <v>16</v>
      </c>
      <c r="O2249" s="30">
        <f t="shared" si="214"/>
        <v>0</v>
      </c>
      <c r="P2249" s="30">
        <f t="shared" si="215"/>
        <v>224</v>
      </c>
      <c r="Q2249" s="1">
        <f>COUNTIFS($P:$P, "&gt;" &amp; $P2249) + 1</f>
        <v>4297</v>
      </c>
      <c r="R2249" s="63">
        <f>(COUNTIFS($P:$P, "&gt;" &amp; $P2249) + 1) / (COUNTA($I:$I) - 1)</f>
        <v>0.85940000000000005</v>
      </c>
      <c r="S2249" s="23">
        <f>SUMIFS($P:$P, $Q:$Q, "&lt;" &amp; $Q2249)</f>
        <v>186506766</v>
      </c>
    </row>
    <row r="2250" spans="1:19" x14ac:dyDescent="0.25">
      <c r="A2250" s="1">
        <v>2245</v>
      </c>
      <c r="B2250" s="1" t="s">
        <v>2</v>
      </c>
      <c r="C2250" s="1" t="str">
        <f>IF($B2250 = "Production Item", _xlfn.XLOOKUP($A2250, 'Instrument Table'!$J:$J, 'Instrument Table'!$B:$B, $C2249), IF($B2250 = "Service Item", _xlfn.XLOOKUP($A2250, 'Instrument Table'!$I:$I, 'Instrument Table'!$B:$B, $C2249), _xlfn.XLOOKUP($A2250, 'Instrument Table'!$H:$H, 'Instrument Table'!$B:$B, $C2249)))</f>
        <v>Saxophone</v>
      </c>
      <c r="D2250" s="1" t="str">
        <f>VLOOKUP($C2250, 'Instrument Table'!$B:$C, 2, FALSE)</f>
        <v>Woodwinds</v>
      </c>
      <c r="E2250" s="1">
        <f t="shared" si="210"/>
        <v>1</v>
      </c>
      <c r="F2250" s="1">
        <f>_xlfn.XLOOKUP($C2250, 'Instrument Table'!$B:$B, 'Instrument Table'!$A:$A, "")</f>
        <v>31</v>
      </c>
      <c r="G2250" s="1" t="str">
        <f>TEXT(IF($B2250 = "Retail Item", IF((ROW($A2250) - 4504 - _xlfn.XMATCH($C2250, $C$4506:$C$5005, 0, 1)) &lt;= VLOOKUP($C2250, 'Instrument Table'!$B:$D, 3, FALSE), ROW($A2250) - 4504 - _xlfn.XMATCH($C2250, $C$4506:$C$5005, 0, 1), 0), 0), "00")</f>
        <v>00</v>
      </c>
      <c r="H2250" s="1" t="str">
        <f t="shared" si="211"/>
        <v>094</v>
      </c>
      <c r="I2250" s="1" t="str">
        <f t="shared" si="212"/>
        <v>13100-094</v>
      </c>
      <c r="J2250" s="1" t="str">
        <f t="shared" si="213"/>
        <v>Saxophone production item #094</v>
      </c>
      <c r="K2250" s="1" t="str">
        <f>IF(SUM(COUNTIFS(I:I, I2250)) &gt; 1, "DUPLICATE", "UNIQUE")</f>
        <v>UNIQUE</v>
      </c>
      <c r="L2250" s="18">
        <v>16</v>
      </c>
      <c r="M2250" s="28">
        <v>6</v>
      </c>
      <c r="N2250" s="6">
        <v>121</v>
      </c>
      <c r="O2250" s="30">
        <f t="shared" si="214"/>
        <v>96</v>
      </c>
      <c r="P2250" s="30">
        <f t="shared" si="215"/>
        <v>726</v>
      </c>
      <c r="Q2250" s="1">
        <f>COUNTIFS($P:$P, "&gt;" &amp; $P2250) + 1</f>
        <v>3852</v>
      </c>
      <c r="R2250" s="63">
        <f>(COUNTIFS($P:$P, "&gt;" &amp; $P2250) + 1) / (COUNTA($I:$I) - 1)</f>
        <v>0.77039999999999997</v>
      </c>
      <c r="S2250" s="23">
        <f>SUMIFS($P:$P, $Q:$Q, "&lt;" &amp; $Q2250)</f>
        <v>186305001</v>
      </c>
    </row>
    <row r="2251" spans="1:19" x14ac:dyDescent="0.25">
      <c r="A2251" s="1">
        <v>2246</v>
      </c>
      <c r="B2251" s="1" t="s">
        <v>2</v>
      </c>
      <c r="C2251" s="1" t="str">
        <f>IF($B2251 = "Production Item", _xlfn.XLOOKUP($A2251, 'Instrument Table'!$J:$J, 'Instrument Table'!$B:$B, $C2250), IF($B2251 = "Service Item", _xlfn.XLOOKUP($A2251, 'Instrument Table'!$I:$I, 'Instrument Table'!$B:$B, $C2250), _xlfn.XLOOKUP($A2251, 'Instrument Table'!$H:$H, 'Instrument Table'!$B:$B, $C2250)))</f>
        <v>Saxophone</v>
      </c>
      <c r="D2251" s="1" t="str">
        <f>VLOOKUP($C2251, 'Instrument Table'!$B:$C, 2, FALSE)</f>
        <v>Woodwinds</v>
      </c>
      <c r="E2251" s="1">
        <f t="shared" si="210"/>
        <v>1</v>
      </c>
      <c r="F2251" s="1">
        <f>_xlfn.XLOOKUP($C2251, 'Instrument Table'!$B:$B, 'Instrument Table'!$A:$A, "")</f>
        <v>31</v>
      </c>
      <c r="G2251" s="1" t="str">
        <f>TEXT(IF($B2251 = "Retail Item", IF((ROW($A2251) - 4504 - _xlfn.XMATCH($C2251, $C$4506:$C$5005, 0, 1)) &lt;= VLOOKUP($C2251, 'Instrument Table'!$B:$D, 3, FALSE), ROW($A2251) - 4504 - _xlfn.XMATCH($C2251, $C$4506:$C$5005, 0, 1), 0), 0), "00")</f>
        <v>00</v>
      </c>
      <c r="H2251" s="1" t="str">
        <f t="shared" si="211"/>
        <v>095</v>
      </c>
      <c r="I2251" s="1" t="str">
        <f t="shared" si="212"/>
        <v>13100-095</v>
      </c>
      <c r="J2251" s="1" t="str">
        <f t="shared" si="213"/>
        <v>Saxophone production item #095</v>
      </c>
      <c r="K2251" s="1" t="str">
        <f>IF(SUM(COUNTIFS(I:I, I2251)) &gt; 1, "DUPLICATE", "UNIQUE")</f>
        <v>UNIQUE</v>
      </c>
      <c r="L2251" s="18">
        <v>8</v>
      </c>
      <c r="M2251" s="28">
        <v>68</v>
      </c>
      <c r="N2251" s="6">
        <v>100</v>
      </c>
      <c r="O2251" s="30">
        <f t="shared" si="214"/>
        <v>544</v>
      </c>
      <c r="P2251" s="30">
        <f t="shared" si="215"/>
        <v>6800</v>
      </c>
      <c r="Q2251" s="1">
        <f>COUNTIFS($P:$P, "&gt;" &amp; $P2251) + 1</f>
        <v>2166</v>
      </c>
      <c r="R2251" s="63">
        <f>(COUNTIFS($P:$P, "&gt;" &amp; $P2251) + 1) / (COUNTA($I:$I) - 1)</f>
        <v>0.43319999999999997</v>
      </c>
      <c r="S2251" s="23">
        <f>SUMIFS($P:$P, $Q:$Q, "&lt;" &amp; $Q2251)</f>
        <v>181223492</v>
      </c>
    </row>
    <row r="2252" spans="1:19" x14ac:dyDescent="0.25">
      <c r="A2252" s="1">
        <v>2247</v>
      </c>
      <c r="B2252" s="1" t="s">
        <v>2</v>
      </c>
      <c r="C2252" s="1" t="str">
        <f>IF($B2252 = "Production Item", _xlfn.XLOOKUP($A2252, 'Instrument Table'!$J:$J, 'Instrument Table'!$B:$B, $C2251), IF($B2252 = "Service Item", _xlfn.XLOOKUP($A2252, 'Instrument Table'!$I:$I, 'Instrument Table'!$B:$B, $C2251), _xlfn.XLOOKUP($A2252, 'Instrument Table'!$H:$H, 'Instrument Table'!$B:$B, $C2251)))</f>
        <v>Saxophone</v>
      </c>
      <c r="D2252" s="1" t="str">
        <f>VLOOKUP($C2252, 'Instrument Table'!$B:$C, 2, FALSE)</f>
        <v>Woodwinds</v>
      </c>
      <c r="E2252" s="1">
        <f t="shared" si="210"/>
        <v>1</v>
      </c>
      <c r="F2252" s="1">
        <f>_xlfn.XLOOKUP($C2252, 'Instrument Table'!$B:$B, 'Instrument Table'!$A:$A, "")</f>
        <v>31</v>
      </c>
      <c r="G2252" s="1" t="str">
        <f>TEXT(IF($B2252 = "Retail Item", IF((ROW($A2252) - 4504 - _xlfn.XMATCH($C2252, $C$4506:$C$5005, 0, 1)) &lt;= VLOOKUP($C2252, 'Instrument Table'!$B:$D, 3, FALSE), ROW($A2252) - 4504 - _xlfn.XMATCH($C2252, $C$4506:$C$5005, 0, 1), 0), 0), "00")</f>
        <v>00</v>
      </c>
      <c r="H2252" s="1" t="str">
        <f t="shared" si="211"/>
        <v>096</v>
      </c>
      <c r="I2252" s="1" t="str">
        <f t="shared" si="212"/>
        <v>13100-096</v>
      </c>
      <c r="J2252" s="1" t="str">
        <f t="shared" si="213"/>
        <v>Saxophone production item #096</v>
      </c>
      <c r="K2252" s="1" t="str">
        <f>IF(SUM(COUNTIFS(I:I, I2252)) &gt; 1, "DUPLICATE", "UNIQUE")</f>
        <v>UNIQUE</v>
      </c>
      <c r="L2252" s="18">
        <v>1</v>
      </c>
      <c r="M2252" s="28">
        <v>38</v>
      </c>
      <c r="N2252" s="6">
        <v>0</v>
      </c>
      <c r="O2252" s="30">
        <f t="shared" si="214"/>
        <v>38</v>
      </c>
      <c r="P2252" s="30">
        <f t="shared" si="215"/>
        <v>0</v>
      </c>
      <c r="Q2252" s="1">
        <f>COUNTIFS($P:$P, "&gt;" &amp; $P2252) + 1</f>
        <v>4746</v>
      </c>
      <c r="R2252" s="63">
        <f>(COUNTIFS($P:$P, "&gt;" &amp; $P2252) + 1) / (COUNTA($I:$I) - 1)</f>
        <v>0.94920000000000004</v>
      </c>
      <c r="S2252" s="23">
        <f>SUMIFS($P:$P, $Q:$Q, "&lt;" &amp; $Q2252)</f>
        <v>186547861</v>
      </c>
    </row>
    <row r="2253" spans="1:19" x14ac:dyDescent="0.25">
      <c r="A2253" s="1">
        <v>2248</v>
      </c>
      <c r="B2253" s="1" t="s">
        <v>2</v>
      </c>
      <c r="C2253" s="1" t="str">
        <f>IF($B2253 = "Production Item", _xlfn.XLOOKUP($A2253, 'Instrument Table'!$J:$J, 'Instrument Table'!$B:$B, $C2252), IF($B2253 = "Service Item", _xlfn.XLOOKUP($A2253, 'Instrument Table'!$I:$I, 'Instrument Table'!$B:$B, $C2252), _xlfn.XLOOKUP($A2253, 'Instrument Table'!$H:$H, 'Instrument Table'!$B:$B, $C2252)))</f>
        <v>Saxophone</v>
      </c>
      <c r="D2253" s="1" t="str">
        <f>VLOOKUP($C2253, 'Instrument Table'!$B:$C, 2, FALSE)</f>
        <v>Woodwinds</v>
      </c>
      <c r="E2253" s="1">
        <f t="shared" si="210"/>
        <v>1</v>
      </c>
      <c r="F2253" s="1">
        <f>_xlfn.XLOOKUP($C2253, 'Instrument Table'!$B:$B, 'Instrument Table'!$A:$A, "")</f>
        <v>31</v>
      </c>
      <c r="G2253" s="1" t="str">
        <f>TEXT(IF($B2253 = "Retail Item", IF((ROW($A2253) - 4504 - _xlfn.XMATCH($C2253, $C$4506:$C$5005, 0, 1)) &lt;= VLOOKUP($C2253, 'Instrument Table'!$B:$D, 3, FALSE), ROW($A2253) - 4504 - _xlfn.XMATCH($C2253, $C$4506:$C$5005, 0, 1), 0), 0), "00")</f>
        <v>00</v>
      </c>
      <c r="H2253" s="1" t="str">
        <f t="shared" si="211"/>
        <v>097</v>
      </c>
      <c r="I2253" s="1" t="str">
        <f t="shared" si="212"/>
        <v>13100-097</v>
      </c>
      <c r="J2253" s="1" t="str">
        <f t="shared" si="213"/>
        <v>Saxophone production item #097</v>
      </c>
      <c r="K2253" s="1" t="str">
        <f>IF(SUM(COUNTIFS(I:I, I2253)) &gt; 1, "DUPLICATE", "UNIQUE")</f>
        <v>UNIQUE</v>
      </c>
      <c r="L2253" s="18">
        <v>0</v>
      </c>
      <c r="M2253" s="28">
        <v>3</v>
      </c>
      <c r="N2253" s="6">
        <v>9</v>
      </c>
      <c r="O2253" s="30">
        <f t="shared" si="214"/>
        <v>0</v>
      </c>
      <c r="P2253" s="30">
        <f t="shared" si="215"/>
        <v>27</v>
      </c>
      <c r="Q2253" s="1">
        <f>COUNTIFS($P:$P, "&gt;" &amp; $P2253) + 1</f>
        <v>4677</v>
      </c>
      <c r="R2253" s="63">
        <f>(COUNTIFS($P:$P, "&gt;" &amp; $P2253) + 1) / (COUNTA($I:$I) - 1)</f>
        <v>0.93540000000000001</v>
      </c>
      <c r="S2253" s="23">
        <f>SUMIFS($P:$P, $Q:$Q, "&lt;" &amp; $Q2253)</f>
        <v>186546888</v>
      </c>
    </row>
    <row r="2254" spans="1:19" x14ac:dyDescent="0.25">
      <c r="A2254" s="1">
        <v>2249</v>
      </c>
      <c r="B2254" s="1" t="s">
        <v>2</v>
      </c>
      <c r="C2254" s="1" t="str">
        <f>IF($B2254 = "Production Item", _xlfn.XLOOKUP($A2254, 'Instrument Table'!$J:$J, 'Instrument Table'!$B:$B, $C2253), IF($B2254 = "Service Item", _xlfn.XLOOKUP($A2254, 'Instrument Table'!$I:$I, 'Instrument Table'!$B:$B, $C2253), _xlfn.XLOOKUP($A2254, 'Instrument Table'!$H:$H, 'Instrument Table'!$B:$B, $C2253)))</f>
        <v>Saxophone</v>
      </c>
      <c r="D2254" s="1" t="str">
        <f>VLOOKUP($C2254, 'Instrument Table'!$B:$C, 2, FALSE)</f>
        <v>Woodwinds</v>
      </c>
      <c r="E2254" s="1">
        <f t="shared" si="210"/>
        <v>1</v>
      </c>
      <c r="F2254" s="1">
        <f>_xlfn.XLOOKUP($C2254, 'Instrument Table'!$B:$B, 'Instrument Table'!$A:$A, "")</f>
        <v>31</v>
      </c>
      <c r="G2254" s="1" t="str">
        <f>TEXT(IF($B2254 = "Retail Item", IF((ROW($A2254) - 4504 - _xlfn.XMATCH($C2254, $C$4506:$C$5005, 0, 1)) &lt;= VLOOKUP($C2254, 'Instrument Table'!$B:$D, 3, FALSE), ROW($A2254) - 4504 - _xlfn.XMATCH($C2254, $C$4506:$C$5005, 0, 1), 0), 0), "00")</f>
        <v>00</v>
      </c>
      <c r="H2254" s="1" t="str">
        <f t="shared" si="211"/>
        <v>098</v>
      </c>
      <c r="I2254" s="1" t="str">
        <f t="shared" si="212"/>
        <v>13100-098</v>
      </c>
      <c r="J2254" s="1" t="str">
        <f t="shared" si="213"/>
        <v>Saxophone production item #098</v>
      </c>
      <c r="K2254" s="1" t="str">
        <f>IF(SUM(COUNTIFS(I:I, I2254)) &gt; 1, "DUPLICATE", "UNIQUE")</f>
        <v>UNIQUE</v>
      </c>
      <c r="L2254" s="18">
        <v>0</v>
      </c>
      <c r="M2254" s="28">
        <v>52</v>
      </c>
      <c r="N2254" s="6">
        <v>100</v>
      </c>
      <c r="O2254" s="30">
        <f t="shared" si="214"/>
        <v>0</v>
      </c>
      <c r="P2254" s="30">
        <f t="shared" si="215"/>
        <v>5200</v>
      </c>
      <c r="Q2254" s="1">
        <f>COUNTIFS($P:$P, "&gt;" &amp; $P2254) + 1</f>
        <v>2403</v>
      </c>
      <c r="R2254" s="63">
        <f>(COUNTIFS($P:$P, "&gt;" &amp; $P2254) + 1) / (COUNTA($I:$I) - 1)</f>
        <v>0.48060000000000003</v>
      </c>
      <c r="S2254" s="23">
        <f>SUMIFS($P:$P, $Q:$Q, "&lt;" &amp; $Q2254)</f>
        <v>182632128</v>
      </c>
    </row>
    <row r="2255" spans="1:19" x14ac:dyDescent="0.25">
      <c r="A2255" s="1">
        <v>2250</v>
      </c>
      <c r="B2255" s="1" t="s">
        <v>2</v>
      </c>
      <c r="C2255" s="1" t="str">
        <f>IF($B2255 = "Production Item", _xlfn.XLOOKUP($A2255, 'Instrument Table'!$J:$J, 'Instrument Table'!$B:$B, $C2254), IF($B2255 = "Service Item", _xlfn.XLOOKUP($A2255, 'Instrument Table'!$I:$I, 'Instrument Table'!$B:$B, $C2254), _xlfn.XLOOKUP($A2255, 'Instrument Table'!$H:$H, 'Instrument Table'!$B:$B, $C2254)))</f>
        <v>Saxophone</v>
      </c>
      <c r="D2255" s="1" t="str">
        <f>VLOOKUP($C2255, 'Instrument Table'!$B:$C, 2, FALSE)</f>
        <v>Woodwinds</v>
      </c>
      <c r="E2255" s="1">
        <f t="shared" si="210"/>
        <v>1</v>
      </c>
      <c r="F2255" s="1">
        <f>_xlfn.XLOOKUP($C2255, 'Instrument Table'!$B:$B, 'Instrument Table'!$A:$A, "")</f>
        <v>31</v>
      </c>
      <c r="G2255" s="1" t="str">
        <f>TEXT(IF($B2255 = "Retail Item", IF((ROW($A2255) - 4504 - _xlfn.XMATCH($C2255, $C$4506:$C$5005, 0, 1)) &lt;= VLOOKUP($C2255, 'Instrument Table'!$B:$D, 3, FALSE), ROW($A2255) - 4504 - _xlfn.XMATCH($C2255, $C$4506:$C$5005, 0, 1), 0), 0), "00")</f>
        <v>00</v>
      </c>
      <c r="H2255" s="1" t="str">
        <f t="shared" si="211"/>
        <v>099</v>
      </c>
      <c r="I2255" s="1" t="str">
        <f t="shared" si="212"/>
        <v>13100-099</v>
      </c>
      <c r="J2255" s="1" t="str">
        <f t="shared" si="213"/>
        <v>Saxophone production item #099</v>
      </c>
      <c r="K2255" s="1" t="str">
        <f>IF(SUM(COUNTIFS(I:I, I2255)) &gt; 1, "DUPLICATE", "UNIQUE")</f>
        <v>UNIQUE</v>
      </c>
      <c r="L2255" s="18">
        <v>0</v>
      </c>
      <c r="M2255" s="28">
        <v>58</v>
      </c>
      <c r="N2255" s="6">
        <v>400</v>
      </c>
      <c r="O2255" s="30">
        <f t="shared" si="214"/>
        <v>0</v>
      </c>
      <c r="P2255" s="30">
        <f t="shared" si="215"/>
        <v>23200</v>
      </c>
      <c r="Q2255" s="1">
        <f>COUNTIFS($P:$P, "&gt;" &amp; $P2255) + 1</f>
        <v>896</v>
      </c>
      <c r="R2255" s="63">
        <f>(COUNTIFS($P:$P, "&gt;" &amp; $P2255) + 1) / (COUNTA($I:$I) - 1)</f>
        <v>0.1792</v>
      </c>
      <c r="S2255" s="23">
        <f>SUMIFS($P:$P, $Q:$Q, "&lt;" &amp; $Q2255)</f>
        <v>164187987</v>
      </c>
    </row>
    <row r="2256" spans="1:19" x14ac:dyDescent="0.25">
      <c r="A2256" s="1">
        <v>2251</v>
      </c>
      <c r="B2256" s="1" t="s">
        <v>2</v>
      </c>
      <c r="C2256" s="1" t="str">
        <f>IF($B2256 = "Production Item", _xlfn.XLOOKUP($A2256, 'Instrument Table'!$J:$J, 'Instrument Table'!$B:$B, $C2255), IF($B2256 = "Service Item", _xlfn.XLOOKUP($A2256, 'Instrument Table'!$I:$I, 'Instrument Table'!$B:$B, $C2255), _xlfn.XLOOKUP($A2256, 'Instrument Table'!$H:$H, 'Instrument Table'!$B:$B, $C2255)))</f>
        <v>Flute</v>
      </c>
      <c r="D2256" s="1" t="str">
        <f>VLOOKUP($C2256, 'Instrument Table'!$B:$C, 2, FALSE)</f>
        <v>Woodwinds</v>
      </c>
      <c r="E2256" s="1">
        <f t="shared" si="210"/>
        <v>1</v>
      </c>
      <c r="F2256" s="1">
        <f>_xlfn.XLOOKUP($C2256, 'Instrument Table'!$B:$B, 'Instrument Table'!$A:$A, "")</f>
        <v>32</v>
      </c>
      <c r="G2256" s="1" t="str">
        <f>TEXT(IF($B2256 = "Retail Item", IF((ROW($A2256) - 4504 - _xlfn.XMATCH($C2256, $C$4506:$C$5005, 0, 1)) &lt;= VLOOKUP($C2256, 'Instrument Table'!$B:$D, 3, FALSE), ROW($A2256) - 4504 - _xlfn.XMATCH($C2256, $C$4506:$C$5005, 0, 1), 0), 0), "00")</f>
        <v>00</v>
      </c>
      <c r="H2256" s="1" t="str">
        <f t="shared" si="211"/>
        <v>000</v>
      </c>
      <c r="I2256" s="1" t="str">
        <f t="shared" si="212"/>
        <v>13200-000</v>
      </c>
      <c r="J2256" s="1" t="str">
        <f t="shared" si="213"/>
        <v>Flute production item #000</v>
      </c>
      <c r="K2256" s="1" t="str">
        <f>IF(SUM(COUNTIFS(I:I, I2256)) &gt; 1, "DUPLICATE", "UNIQUE")</f>
        <v>UNIQUE</v>
      </c>
      <c r="L2256" s="18">
        <v>1</v>
      </c>
      <c r="M2256" s="28">
        <v>44</v>
      </c>
      <c r="N2256" s="6">
        <v>36</v>
      </c>
      <c r="O2256" s="30">
        <f t="shared" si="214"/>
        <v>44</v>
      </c>
      <c r="P2256" s="30">
        <f t="shared" si="215"/>
        <v>1584</v>
      </c>
      <c r="Q2256" s="1">
        <f>COUNTIFS($P:$P, "&gt;" &amp; $P2256) + 1</f>
        <v>3415</v>
      </c>
      <c r="R2256" s="63">
        <f>(COUNTIFS($P:$P, "&gt;" &amp; $P2256) + 1) / (COUNTA($I:$I) - 1)</f>
        <v>0.68300000000000005</v>
      </c>
      <c r="S2256" s="23">
        <f>SUMIFS($P:$P, $Q:$Q, "&lt;" &amp; $Q2256)</f>
        <v>185809023</v>
      </c>
    </row>
    <row r="2257" spans="1:19" x14ac:dyDescent="0.25">
      <c r="A2257" s="1">
        <v>2252</v>
      </c>
      <c r="B2257" s="1" t="s">
        <v>2</v>
      </c>
      <c r="C2257" s="1" t="str">
        <f>IF($B2257 = "Production Item", _xlfn.XLOOKUP($A2257, 'Instrument Table'!$J:$J, 'Instrument Table'!$B:$B, $C2256), IF($B2257 = "Service Item", _xlfn.XLOOKUP($A2257, 'Instrument Table'!$I:$I, 'Instrument Table'!$B:$B, $C2256), _xlfn.XLOOKUP($A2257, 'Instrument Table'!$H:$H, 'Instrument Table'!$B:$B, $C2256)))</f>
        <v>Flute</v>
      </c>
      <c r="D2257" s="1" t="str">
        <f>VLOOKUP($C2257, 'Instrument Table'!$B:$C, 2, FALSE)</f>
        <v>Woodwinds</v>
      </c>
      <c r="E2257" s="1">
        <f t="shared" si="210"/>
        <v>1</v>
      </c>
      <c r="F2257" s="1">
        <f>_xlfn.XLOOKUP($C2257, 'Instrument Table'!$B:$B, 'Instrument Table'!$A:$A, "")</f>
        <v>32</v>
      </c>
      <c r="G2257" s="1" t="str">
        <f>TEXT(IF($B2257 = "Retail Item", IF((ROW($A2257) - 4504 - _xlfn.XMATCH($C2257, $C$4506:$C$5005, 0, 1)) &lt;= VLOOKUP($C2257, 'Instrument Table'!$B:$D, 3, FALSE), ROW($A2257) - 4504 - _xlfn.XMATCH($C2257, $C$4506:$C$5005, 0, 1), 0), 0), "00")</f>
        <v>00</v>
      </c>
      <c r="H2257" s="1" t="str">
        <f t="shared" si="211"/>
        <v>001</v>
      </c>
      <c r="I2257" s="1" t="str">
        <f t="shared" si="212"/>
        <v>13200-001</v>
      </c>
      <c r="J2257" s="1" t="str">
        <f t="shared" si="213"/>
        <v>Flute production item #001</v>
      </c>
      <c r="K2257" s="1" t="str">
        <f>IF(SUM(COUNTIFS(I:I, I2257)) &gt; 1, "DUPLICATE", "UNIQUE")</f>
        <v>UNIQUE</v>
      </c>
      <c r="L2257" s="18">
        <v>0</v>
      </c>
      <c r="M2257" s="28">
        <v>38</v>
      </c>
      <c r="N2257" s="6">
        <v>36</v>
      </c>
      <c r="O2257" s="30">
        <f t="shared" si="214"/>
        <v>0</v>
      </c>
      <c r="P2257" s="30">
        <f t="shared" si="215"/>
        <v>1368</v>
      </c>
      <c r="Q2257" s="1">
        <f>COUNTIFS($P:$P, "&gt;" &amp; $P2257) + 1</f>
        <v>3527</v>
      </c>
      <c r="R2257" s="63">
        <f>(COUNTIFS($P:$P, "&gt;" &amp; $P2257) + 1) / (COUNTA($I:$I) - 1)</f>
        <v>0.70540000000000003</v>
      </c>
      <c r="S2257" s="23">
        <f>SUMIFS($P:$P, $Q:$Q, "&lt;" &amp; $Q2257)</f>
        <v>185975081</v>
      </c>
    </row>
    <row r="2258" spans="1:19" x14ac:dyDescent="0.25">
      <c r="A2258" s="1">
        <v>2253</v>
      </c>
      <c r="B2258" s="1" t="s">
        <v>2</v>
      </c>
      <c r="C2258" s="1" t="str">
        <f>IF($B2258 = "Production Item", _xlfn.XLOOKUP($A2258, 'Instrument Table'!$J:$J, 'Instrument Table'!$B:$B, $C2257), IF($B2258 = "Service Item", _xlfn.XLOOKUP($A2258, 'Instrument Table'!$I:$I, 'Instrument Table'!$B:$B, $C2257), _xlfn.XLOOKUP($A2258, 'Instrument Table'!$H:$H, 'Instrument Table'!$B:$B, $C2257)))</f>
        <v>Flute</v>
      </c>
      <c r="D2258" s="1" t="str">
        <f>VLOOKUP($C2258, 'Instrument Table'!$B:$C, 2, FALSE)</f>
        <v>Woodwinds</v>
      </c>
      <c r="E2258" s="1">
        <f t="shared" si="210"/>
        <v>1</v>
      </c>
      <c r="F2258" s="1">
        <f>_xlfn.XLOOKUP($C2258, 'Instrument Table'!$B:$B, 'Instrument Table'!$A:$A, "")</f>
        <v>32</v>
      </c>
      <c r="G2258" s="1" t="str">
        <f>TEXT(IF($B2258 = "Retail Item", IF((ROW($A2258) - 4504 - _xlfn.XMATCH($C2258, $C$4506:$C$5005, 0, 1)) &lt;= VLOOKUP($C2258, 'Instrument Table'!$B:$D, 3, FALSE), ROW($A2258) - 4504 - _xlfn.XMATCH($C2258, $C$4506:$C$5005, 0, 1), 0), 0), "00")</f>
        <v>00</v>
      </c>
      <c r="H2258" s="1" t="str">
        <f t="shared" si="211"/>
        <v>002</v>
      </c>
      <c r="I2258" s="1" t="str">
        <f t="shared" si="212"/>
        <v>13200-002</v>
      </c>
      <c r="J2258" s="1" t="str">
        <f t="shared" si="213"/>
        <v>Flute production item #002</v>
      </c>
      <c r="K2258" s="1" t="str">
        <f>IF(SUM(COUNTIFS(I:I, I2258)) &gt; 1, "DUPLICATE", "UNIQUE")</f>
        <v>UNIQUE</v>
      </c>
      <c r="L2258" s="18">
        <v>1</v>
      </c>
      <c r="M2258" s="28">
        <v>51</v>
      </c>
      <c r="N2258" s="6">
        <v>0</v>
      </c>
      <c r="O2258" s="30">
        <f t="shared" si="214"/>
        <v>51</v>
      </c>
      <c r="P2258" s="30">
        <f t="shared" si="215"/>
        <v>0</v>
      </c>
      <c r="Q2258" s="1">
        <f>COUNTIFS($P:$P, "&gt;" &amp; $P2258) + 1</f>
        <v>4746</v>
      </c>
      <c r="R2258" s="63">
        <f>(COUNTIFS($P:$P, "&gt;" &amp; $P2258) + 1) / (COUNTA($I:$I) - 1)</f>
        <v>0.94920000000000004</v>
      </c>
      <c r="S2258" s="23">
        <f>SUMIFS($P:$P, $Q:$Q, "&lt;" &amp; $Q2258)</f>
        <v>186547861</v>
      </c>
    </row>
    <row r="2259" spans="1:19" x14ac:dyDescent="0.25">
      <c r="A2259" s="1">
        <v>2254</v>
      </c>
      <c r="B2259" s="1" t="s">
        <v>2</v>
      </c>
      <c r="C2259" s="1" t="str">
        <f>IF($B2259 = "Production Item", _xlfn.XLOOKUP($A2259, 'Instrument Table'!$J:$J, 'Instrument Table'!$B:$B, $C2258), IF($B2259 = "Service Item", _xlfn.XLOOKUP($A2259, 'Instrument Table'!$I:$I, 'Instrument Table'!$B:$B, $C2258), _xlfn.XLOOKUP($A2259, 'Instrument Table'!$H:$H, 'Instrument Table'!$B:$B, $C2258)))</f>
        <v>Flute</v>
      </c>
      <c r="D2259" s="1" t="str">
        <f>VLOOKUP($C2259, 'Instrument Table'!$B:$C, 2, FALSE)</f>
        <v>Woodwinds</v>
      </c>
      <c r="E2259" s="1">
        <f t="shared" si="210"/>
        <v>1</v>
      </c>
      <c r="F2259" s="1">
        <f>_xlfn.XLOOKUP($C2259, 'Instrument Table'!$B:$B, 'Instrument Table'!$A:$A, "")</f>
        <v>32</v>
      </c>
      <c r="G2259" s="1" t="str">
        <f>TEXT(IF($B2259 = "Retail Item", IF((ROW($A2259) - 4504 - _xlfn.XMATCH($C2259, $C$4506:$C$5005, 0, 1)) &lt;= VLOOKUP($C2259, 'Instrument Table'!$B:$D, 3, FALSE), ROW($A2259) - 4504 - _xlfn.XMATCH($C2259, $C$4506:$C$5005, 0, 1), 0), 0), "00")</f>
        <v>00</v>
      </c>
      <c r="H2259" s="1" t="str">
        <f t="shared" si="211"/>
        <v>003</v>
      </c>
      <c r="I2259" s="1" t="str">
        <f t="shared" si="212"/>
        <v>13200-003</v>
      </c>
      <c r="J2259" s="1" t="str">
        <f t="shared" si="213"/>
        <v>Flute production item #003</v>
      </c>
      <c r="K2259" s="1" t="str">
        <f>IF(SUM(COUNTIFS(I:I, I2259)) &gt; 1, "DUPLICATE", "UNIQUE")</f>
        <v>UNIQUE</v>
      </c>
      <c r="L2259" s="18">
        <v>0</v>
      </c>
      <c r="M2259" s="28">
        <v>12</v>
      </c>
      <c r="N2259" s="6">
        <v>196</v>
      </c>
      <c r="O2259" s="30">
        <f t="shared" si="214"/>
        <v>0</v>
      </c>
      <c r="P2259" s="30">
        <f t="shared" si="215"/>
        <v>2352</v>
      </c>
      <c r="Q2259" s="1">
        <f>COUNTIFS($P:$P, "&gt;" &amp; $P2259) + 1</f>
        <v>3102</v>
      </c>
      <c r="R2259" s="63">
        <f>(COUNTIFS($P:$P, "&gt;" &amp; $P2259) + 1) / (COUNTA($I:$I) - 1)</f>
        <v>0.62039999999999995</v>
      </c>
      <c r="S2259" s="23">
        <f>SUMIFS($P:$P, $Q:$Q, "&lt;" &amp; $Q2259)</f>
        <v>185187199</v>
      </c>
    </row>
    <row r="2260" spans="1:19" x14ac:dyDescent="0.25">
      <c r="A2260" s="1">
        <v>2255</v>
      </c>
      <c r="B2260" s="1" t="s">
        <v>2</v>
      </c>
      <c r="C2260" s="1" t="str">
        <f>IF($B2260 = "Production Item", _xlfn.XLOOKUP($A2260, 'Instrument Table'!$J:$J, 'Instrument Table'!$B:$B, $C2259), IF($B2260 = "Service Item", _xlfn.XLOOKUP($A2260, 'Instrument Table'!$I:$I, 'Instrument Table'!$B:$B, $C2259), _xlfn.XLOOKUP($A2260, 'Instrument Table'!$H:$H, 'Instrument Table'!$B:$B, $C2259)))</f>
        <v>Flute</v>
      </c>
      <c r="D2260" s="1" t="str">
        <f>VLOOKUP($C2260, 'Instrument Table'!$B:$C, 2, FALSE)</f>
        <v>Woodwinds</v>
      </c>
      <c r="E2260" s="1">
        <f t="shared" si="210"/>
        <v>1</v>
      </c>
      <c r="F2260" s="1">
        <f>_xlfn.XLOOKUP($C2260, 'Instrument Table'!$B:$B, 'Instrument Table'!$A:$A, "")</f>
        <v>32</v>
      </c>
      <c r="G2260" s="1" t="str">
        <f>TEXT(IF($B2260 = "Retail Item", IF((ROW($A2260) - 4504 - _xlfn.XMATCH($C2260, $C$4506:$C$5005, 0, 1)) &lt;= VLOOKUP($C2260, 'Instrument Table'!$B:$D, 3, FALSE), ROW($A2260) - 4504 - _xlfn.XMATCH($C2260, $C$4506:$C$5005, 0, 1), 0), 0), "00")</f>
        <v>00</v>
      </c>
      <c r="H2260" s="1" t="str">
        <f t="shared" si="211"/>
        <v>004</v>
      </c>
      <c r="I2260" s="1" t="str">
        <f t="shared" si="212"/>
        <v>13200-004</v>
      </c>
      <c r="J2260" s="1" t="str">
        <f t="shared" si="213"/>
        <v>Flute production item #004</v>
      </c>
      <c r="K2260" s="1" t="str">
        <f>IF(SUM(COUNTIFS(I:I, I2260)) &gt; 1, "DUPLICATE", "UNIQUE")</f>
        <v>UNIQUE</v>
      </c>
      <c r="L2260" s="18">
        <v>0</v>
      </c>
      <c r="M2260" s="28">
        <v>75</v>
      </c>
      <c r="N2260" s="6">
        <v>400</v>
      </c>
      <c r="O2260" s="30">
        <f t="shared" si="214"/>
        <v>0</v>
      </c>
      <c r="P2260" s="30">
        <f t="shared" si="215"/>
        <v>30000</v>
      </c>
      <c r="Q2260" s="1">
        <f>COUNTIFS($P:$P, "&gt;" &amp; $P2260) + 1</f>
        <v>688</v>
      </c>
      <c r="R2260" s="63">
        <f>(COUNTIFS($P:$P, "&gt;" &amp; $P2260) + 1) / (COUNTA($I:$I) - 1)</f>
        <v>0.1376</v>
      </c>
      <c r="S2260" s="23">
        <f>SUMIFS($P:$P, $Q:$Q, "&lt;" &amp; $Q2260)</f>
        <v>158728505</v>
      </c>
    </row>
    <row r="2261" spans="1:19" x14ac:dyDescent="0.25">
      <c r="A2261" s="1">
        <v>2256</v>
      </c>
      <c r="B2261" s="1" t="s">
        <v>2</v>
      </c>
      <c r="C2261" s="1" t="str">
        <f>IF($B2261 = "Production Item", _xlfn.XLOOKUP($A2261, 'Instrument Table'!$J:$J, 'Instrument Table'!$B:$B, $C2260), IF($B2261 = "Service Item", _xlfn.XLOOKUP($A2261, 'Instrument Table'!$I:$I, 'Instrument Table'!$B:$B, $C2260), _xlfn.XLOOKUP($A2261, 'Instrument Table'!$H:$H, 'Instrument Table'!$B:$B, $C2260)))</f>
        <v>Flute</v>
      </c>
      <c r="D2261" s="1" t="str">
        <f>VLOOKUP($C2261, 'Instrument Table'!$B:$C, 2, FALSE)</f>
        <v>Woodwinds</v>
      </c>
      <c r="E2261" s="1">
        <f t="shared" si="210"/>
        <v>1</v>
      </c>
      <c r="F2261" s="1">
        <f>_xlfn.XLOOKUP($C2261, 'Instrument Table'!$B:$B, 'Instrument Table'!$A:$A, "")</f>
        <v>32</v>
      </c>
      <c r="G2261" s="1" t="str">
        <f>TEXT(IF($B2261 = "Retail Item", IF((ROW($A2261) - 4504 - _xlfn.XMATCH($C2261, $C$4506:$C$5005, 0, 1)) &lt;= VLOOKUP($C2261, 'Instrument Table'!$B:$D, 3, FALSE), ROW($A2261) - 4504 - _xlfn.XMATCH($C2261, $C$4506:$C$5005, 0, 1), 0), 0), "00")</f>
        <v>00</v>
      </c>
      <c r="H2261" s="1" t="str">
        <f t="shared" si="211"/>
        <v>005</v>
      </c>
      <c r="I2261" s="1" t="str">
        <f t="shared" si="212"/>
        <v>13200-005</v>
      </c>
      <c r="J2261" s="1" t="str">
        <f t="shared" si="213"/>
        <v>Flute production item #005</v>
      </c>
      <c r="K2261" s="1" t="str">
        <f>IF(SUM(COUNTIFS(I:I, I2261)) &gt; 1, "DUPLICATE", "UNIQUE")</f>
        <v>UNIQUE</v>
      </c>
      <c r="L2261" s="18">
        <v>1</v>
      </c>
      <c r="M2261" s="28">
        <v>71</v>
      </c>
      <c r="N2261" s="6">
        <v>121</v>
      </c>
      <c r="O2261" s="30">
        <f t="shared" si="214"/>
        <v>71</v>
      </c>
      <c r="P2261" s="30">
        <f t="shared" si="215"/>
        <v>8591</v>
      </c>
      <c r="Q2261" s="1">
        <f>COUNTIFS($P:$P, "&gt;" &amp; $P2261) + 1</f>
        <v>1923</v>
      </c>
      <c r="R2261" s="63">
        <f>(COUNTIFS($P:$P, "&gt;" &amp; $P2261) + 1) / (COUNTA($I:$I) - 1)</f>
        <v>0.3846</v>
      </c>
      <c r="S2261" s="23">
        <f>SUMIFS($P:$P, $Q:$Q, "&lt;" &amp; $Q2261)</f>
        <v>179363450</v>
      </c>
    </row>
    <row r="2262" spans="1:19" x14ac:dyDescent="0.25">
      <c r="A2262" s="1">
        <v>2257</v>
      </c>
      <c r="B2262" s="1" t="s">
        <v>2</v>
      </c>
      <c r="C2262" s="1" t="str">
        <f>IF($B2262 = "Production Item", _xlfn.XLOOKUP($A2262, 'Instrument Table'!$J:$J, 'Instrument Table'!$B:$B, $C2261), IF($B2262 = "Service Item", _xlfn.XLOOKUP($A2262, 'Instrument Table'!$I:$I, 'Instrument Table'!$B:$B, $C2261), _xlfn.XLOOKUP($A2262, 'Instrument Table'!$H:$H, 'Instrument Table'!$B:$B, $C2261)))</f>
        <v>Flute</v>
      </c>
      <c r="D2262" s="1" t="str">
        <f>VLOOKUP($C2262, 'Instrument Table'!$B:$C, 2, FALSE)</f>
        <v>Woodwinds</v>
      </c>
      <c r="E2262" s="1">
        <f t="shared" si="210"/>
        <v>1</v>
      </c>
      <c r="F2262" s="1">
        <f>_xlfn.XLOOKUP($C2262, 'Instrument Table'!$B:$B, 'Instrument Table'!$A:$A, "")</f>
        <v>32</v>
      </c>
      <c r="G2262" s="1" t="str">
        <f>TEXT(IF($B2262 = "Retail Item", IF((ROW($A2262) - 4504 - _xlfn.XMATCH($C2262, $C$4506:$C$5005, 0, 1)) &lt;= VLOOKUP($C2262, 'Instrument Table'!$B:$D, 3, FALSE), ROW($A2262) - 4504 - _xlfn.XMATCH($C2262, $C$4506:$C$5005, 0, 1), 0), 0), "00")</f>
        <v>00</v>
      </c>
      <c r="H2262" s="1" t="str">
        <f t="shared" si="211"/>
        <v>006</v>
      </c>
      <c r="I2262" s="1" t="str">
        <f t="shared" si="212"/>
        <v>13200-006</v>
      </c>
      <c r="J2262" s="1" t="str">
        <f t="shared" si="213"/>
        <v>Flute production item #006</v>
      </c>
      <c r="K2262" s="1" t="str">
        <f>IF(SUM(COUNTIFS(I:I, I2262)) &gt; 1, "DUPLICATE", "UNIQUE")</f>
        <v>UNIQUE</v>
      </c>
      <c r="L2262" s="18">
        <v>1</v>
      </c>
      <c r="M2262" s="28">
        <v>5</v>
      </c>
      <c r="N2262" s="6">
        <v>144</v>
      </c>
      <c r="O2262" s="30">
        <f t="shared" si="214"/>
        <v>5</v>
      </c>
      <c r="P2262" s="30">
        <f t="shared" si="215"/>
        <v>720</v>
      </c>
      <c r="Q2262" s="1">
        <f>COUNTIFS($P:$P, "&gt;" &amp; $P2262) + 1</f>
        <v>3863</v>
      </c>
      <c r="R2262" s="63">
        <f>(COUNTIFS($P:$P, "&gt;" &amp; $P2262) + 1) / (COUNTA($I:$I) - 1)</f>
        <v>0.77259999999999995</v>
      </c>
      <c r="S2262" s="23">
        <f>SUMIFS($P:$P, $Q:$Q, "&lt;" &amp; $Q2262)</f>
        <v>186312976</v>
      </c>
    </row>
    <row r="2263" spans="1:19" x14ac:dyDescent="0.25">
      <c r="A2263" s="1">
        <v>2258</v>
      </c>
      <c r="B2263" s="1" t="s">
        <v>2</v>
      </c>
      <c r="C2263" s="1" t="str">
        <f>IF($B2263 = "Production Item", _xlfn.XLOOKUP($A2263, 'Instrument Table'!$J:$J, 'Instrument Table'!$B:$B, $C2262), IF($B2263 = "Service Item", _xlfn.XLOOKUP($A2263, 'Instrument Table'!$I:$I, 'Instrument Table'!$B:$B, $C2262), _xlfn.XLOOKUP($A2263, 'Instrument Table'!$H:$H, 'Instrument Table'!$B:$B, $C2262)))</f>
        <v>Flute</v>
      </c>
      <c r="D2263" s="1" t="str">
        <f>VLOOKUP($C2263, 'Instrument Table'!$B:$C, 2, FALSE)</f>
        <v>Woodwinds</v>
      </c>
      <c r="E2263" s="1">
        <f t="shared" si="210"/>
        <v>1</v>
      </c>
      <c r="F2263" s="1">
        <f>_xlfn.XLOOKUP($C2263, 'Instrument Table'!$B:$B, 'Instrument Table'!$A:$A, "")</f>
        <v>32</v>
      </c>
      <c r="G2263" s="1" t="str">
        <f>TEXT(IF($B2263 = "Retail Item", IF((ROW($A2263) - 4504 - _xlfn.XMATCH($C2263, $C$4506:$C$5005, 0, 1)) &lt;= VLOOKUP($C2263, 'Instrument Table'!$B:$D, 3, FALSE), ROW($A2263) - 4504 - _xlfn.XMATCH($C2263, $C$4506:$C$5005, 0, 1), 0), 0), "00")</f>
        <v>00</v>
      </c>
      <c r="H2263" s="1" t="str">
        <f t="shared" si="211"/>
        <v>007</v>
      </c>
      <c r="I2263" s="1" t="str">
        <f t="shared" si="212"/>
        <v>13200-007</v>
      </c>
      <c r="J2263" s="1" t="str">
        <f t="shared" si="213"/>
        <v>Flute production item #007</v>
      </c>
      <c r="K2263" s="1" t="str">
        <f>IF(SUM(COUNTIFS(I:I, I2263)) &gt; 1, "DUPLICATE", "UNIQUE")</f>
        <v>UNIQUE</v>
      </c>
      <c r="L2263" s="18">
        <v>16</v>
      </c>
      <c r="M2263" s="28">
        <v>43</v>
      </c>
      <c r="N2263" s="6">
        <v>400</v>
      </c>
      <c r="O2263" s="30">
        <f t="shared" si="214"/>
        <v>688</v>
      </c>
      <c r="P2263" s="30">
        <f t="shared" si="215"/>
        <v>17200</v>
      </c>
      <c r="Q2263" s="1">
        <f>COUNTIFS($P:$P, "&gt;" &amp; $P2263) + 1</f>
        <v>1204</v>
      </c>
      <c r="R2263" s="63">
        <f>(COUNTIFS($P:$P, "&gt;" &amp; $P2263) + 1) / (COUNTA($I:$I) - 1)</f>
        <v>0.24079999999999999</v>
      </c>
      <c r="S2263" s="23">
        <f>SUMIFS($P:$P, $Q:$Q, "&lt;" &amp; $Q2263)</f>
        <v>170395357</v>
      </c>
    </row>
    <row r="2264" spans="1:19" x14ac:dyDescent="0.25">
      <c r="A2264" s="1">
        <v>2259</v>
      </c>
      <c r="B2264" s="1" t="s">
        <v>2</v>
      </c>
      <c r="C2264" s="1" t="str">
        <f>IF($B2264 = "Production Item", _xlfn.XLOOKUP($A2264, 'Instrument Table'!$J:$J, 'Instrument Table'!$B:$B, $C2263), IF($B2264 = "Service Item", _xlfn.XLOOKUP($A2264, 'Instrument Table'!$I:$I, 'Instrument Table'!$B:$B, $C2263), _xlfn.XLOOKUP($A2264, 'Instrument Table'!$H:$H, 'Instrument Table'!$B:$B, $C2263)))</f>
        <v>Flute</v>
      </c>
      <c r="D2264" s="1" t="str">
        <f>VLOOKUP($C2264, 'Instrument Table'!$B:$C, 2, FALSE)</f>
        <v>Woodwinds</v>
      </c>
      <c r="E2264" s="1">
        <f t="shared" si="210"/>
        <v>1</v>
      </c>
      <c r="F2264" s="1">
        <f>_xlfn.XLOOKUP($C2264, 'Instrument Table'!$B:$B, 'Instrument Table'!$A:$A, "")</f>
        <v>32</v>
      </c>
      <c r="G2264" s="1" t="str">
        <f>TEXT(IF($B2264 = "Retail Item", IF((ROW($A2264) - 4504 - _xlfn.XMATCH($C2264, $C$4506:$C$5005, 0, 1)) &lt;= VLOOKUP($C2264, 'Instrument Table'!$B:$D, 3, FALSE), ROW($A2264) - 4504 - _xlfn.XMATCH($C2264, $C$4506:$C$5005, 0, 1), 0), 0), "00")</f>
        <v>00</v>
      </c>
      <c r="H2264" s="1" t="str">
        <f t="shared" si="211"/>
        <v>008</v>
      </c>
      <c r="I2264" s="1" t="str">
        <f t="shared" si="212"/>
        <v>13200-008</v>
      </c>
      <c r="J2264" s="1" t="str">
        <f t="shared" si="213"/>
        <v>Flute production item #008</v>
      </c>
      <c r="K2264" s="1" t="str">
        <f>IF(SUM(COUNTIFS(I:I, I2264)) &gt; 1, "DUPLICATE", "UNIQUE")</f>
        <v>UNIQUE</v>
      </c>
      <c r="L2264" s="18">
        <v>0</v>
      </c>
      <c r="M2264" s="28">
        <v>81</v>
      </c>
      <c r="N2264" s="6">
        <v>289</v>
      </c>
      <c r="O2264" s="30">
        <f t="shared" si="214"/>
        <v>0</v>
      </c>
      <c r="P2264" s="30">
        <f t="shared" si="215"/>
        <v>23409</v>
      </c>
      <c r="Q2264" s="1">
        <f>COUNTIFS($P:$P, "&gt;" &amp; $P2264) + 1</f>
        <v>891</v>
      </c>
      <c r="R2264" s="63">
        <f>(COUNTIFS($P:$P, "&gt;" &amp; $P2264) + 1) / (COUNTA($I:$I) - 1)</f>
        <v>0.1782</v>
      </c>
      <c r="S2264" s="23">
        <f>SUMIFS($P:$P, $Q:$Q, "&lt;" &amp; $Q2264)</f>
        <v>164071394</v>
      </c>
    </row>
    <row r="2265" spans="1:19" x14ac:dyDescent="0.25">
      <c r="A2265" s="1">
        <v>2260</v>
      </c>
      <c r="B2265" s="1" t="s">
        <v>2</v>
      </c>
      <c r="C2265" s="1" t="str">
        <f>IF($B2265 = "Production Item", _xlfn.XLOOKUP($A2265, 'Instrument Table'!$J:$J, 'Instrument Table'!$B:$B, $C2264), IF($B2265 = "Service Item", _xlfn.XLOOKUP($A2265, 'Instrument Table'!$I:$I, 'Instrument Table'!$B:$B, $C2264), _xlfn.XLOOKUP($A2265, 'Instrument Table'!$H:$H, 'Instrument Table'!$B:$B, $C2264)))</f>
        <v>Flute</v>
      </c>
      <c r="D2265" s="1" t="str">
        <f>VLOOKUP($C2265, 'Instrument Table'!$B:$C, 2, FALSE)</f>
        <v>Woodwinds</v>
      </c>
      <c r="E2265" s="1">
        <f t="shared" si="210"/>
        <v>1</v>
      </c>
      <c r="F2265" s="1">
        <f>_xlfn.XLOOKUP($C2265, 'Instrument Table'!$B:$B, 'Instrument Table'!$A:$A, "")</f>
        <v>32</v>
      </c>
      <c r="G2265" s="1" t="str">
        <f>TEXT(IF($B2265 = "Retail Item", IF((ROW($A2265) - 4504 - _xlfn.XMATCH($C2265, $C$4506:$C$5005, 0, 1)) &lt;= VLOOKUP($C2265, 'Instrument Table'!$B:$D, 3, FALSE), ROW($A2265) - 4504 - _xlfn.XMATCH($C2265, $C$4506:$C$5005, 0, 1), 0), 0), "00")</f>
        <v>00</v>
      </c>
      <c r="H2265" s="1" t="str">
        <f t="shared" si="211"/>
        <v>009</v>
      </c>
      <c r="I2265" s="1" t="str">
        <f t="shared" si="212"/>
        <v>13200-009</v>
      </c>
      <c r="J2265" s="1" t="str">
        <f t="shared" si="213"/>
        <v>Flute production item #009</v>
      </c>
      <c r="K2265" s="1" t="str">
        <f>IF(SUM(COUNTIFS(I:I, I2265)) &gt; 1, "DUPLICATE", "UNIQUE")</f>
        <v>UNIQUE</v>
      </c>
      <c r="L2265" s="18">
        <v>1</v>
      </c>
      <c r="M2265" s="28">
        <v>18</v>
      </c>
      <c r="N2265" s="6">
        <v>36</v>
      </c>
      <c r="O2265" s="30">
        <f t="shared" si="214"/>
        <v>18</v>
      </c>
      <c r="P2265" s="30">
        <f t="shared" si="215"/>
        <v>648</v>
      </c>
      <c r="Q2265" s="1">
        <f>COUNTIFS($P:$P, "&gt;" &amp; $P2265) + 1</f>
        <v>3911</v>
      </c>
      <c r="R2265" s="63">
        <f>(COUNTIFS($P:$P, "&gt;" &amp; $P2265) + 1) / (COUNTA($I:$I) - 1)</f>
        <v>0.78220000000000001</v>
      </c>
      <c r="S2265" s="23">
        <f>SUMIFS($P:$P, $Q:$Q, "&lt;" &amp; $Q2265)</f>
        <v>186346099</v>
      </c>
    </row>
    <row r="2266" spans="1:19" x14ac:dyDescent="0.25">
      <c r="A2266" s="1">
        <v>2261</v>
      </c>
      <c r="B2266" s="1" t="s">
        <v>2</v>
      </c>
      <c r="C2266" s="1" t="str">
        <f>IF($B2266 = "Production Item", _xlfn.XLOOKUP($A2266, 'Instrument Table'!$J:$J, 'Instrument Table'!$B:$B, $C2265), IF($B2266 = "Service Item", _xlfn.XLOOKUP($A2266, 'Instrument Table'!$I:$I, 'Instrument Table'!$B:$B, $C2265), _xlfn.XLOOKUP($A2266, 'Instrument Table'!$H:$H, 'Instrument Table'!$B:$B, $C2265)))</f>
        <v>Flute</v>
      </c>
      <c r="D2266" s="1" t="str">
        <f>VLOOKUP($C2266, 'Instrument Table'!$B:$C, 2, FALSE)</f>
        <v>Woodwinds</v>
      </c>
      <c r="E2266" s="1">
        <f t="shared" si="210"/>
        <v>1</v>
      </c>
      <c r="F2266" s="1">
        <f>_xlfn.XLOOKUP($C2266, 'Instrument Table'!$B:$B, 'Instrument Table'!$A:$A, "")</f>
        <v>32</v>
      </c>
      <c r="G2266" s="1" t="str">
        <f>TEXT(IF($B2266 = "Retail Item", IF((ROW($A2266) - 4504 - _xlfn.XMATCH($C2266, $C$4506:$C$5005, 0, 1)) &lt;= VLOOKUP($C2266, 'Instrument Table'!$B:$D, 3, FALSE), ROW($A2266) - 4504 - _xlfn.XMATCH($C2266, $C$4506:$C$5005, 0, 1), 0), 0), "00")</f>
        <v>00</v>
      </c>
      <c r="H2266" s="1" t="str">
        <f t="shared" si="211"/>
        <v>010</v>
      </c>
      <c r="I2266" s="1" t="str">
        <f t="shared" si="212"/>
        <v>13200-010</v>
      </c>
      <c r="J2266" s="1" t="str">
        <f t="shared" si="213"/>
        <v>Flute production item #010</v>
      </c>
      <c r="K2266" s="1" t="str">
        <f>IF(SUM(COUNTIFS(I:I, I2266)) &gt; 1, "DUPLICATE", "UNIQUE")</f>
        <v>UNIQUE</v>
      </c>
      <c r="L2266" s="18">
        <v>0</v>
      </c>
      <c r="M2266" s="28">
        <v>23</v>
      </c>
      <c r="N2266" s="6">
        <v>4</v>
      </c>
      <c r="O2266" s="30">
        <f t="shared" si="214"/>
        <v>0</v>
      </c>
      <c r="P2266" s="30">
        <f t="shared" si="215"/>
        <v>92</v>
      </c>
      <c r="Q2266" s="1">
        <f>COUNTIFS($P:$P, "&gt;" &amp; $P2266) + 1</f>
        <v>4476</v>
      </c>
      <c r="R2266" s="63">
        <f>(COUNTIFS($P:$P, "&gt;" &amp; $P2266) + 1) / (COUNTA($I:$I) - 1)</f>
        <v>0.8952</v>
      </c>
      <c r="S2266" s="23">
        <f>SUMIFS($P:$P, $Q:$Q, "&lt;" &amp; $Q2266)</f>
        <v>186534752</v>
      </c>
    </row>
    <row r="2267" spans="1:19" x14ac:dyDescent="0.25">
      <c r="A2267" s="1">
        <v>2262</v>
      </c>
      <c r="B2267" s="1" t="s">
        <v>2</v>
      </c>
      <c r="C2267" s="1" t="str">
        <f>IF($B2267 = "Production Item", _xlfn.XLOOKUP($A2267, 'Instrument Table'!$J:$J, 'Instrument Table'!$B:$B, $C2266), IF($B2267 = "Service Item", _xlfn.XLOOKUP($A2267, 'Instrument Table'!$I:$I, 'Instrument Table'!$B:$B, $C2266), _xlfn.XLOOKUP($A2267, 'Instrument Table'!$H:$H, 'Instrument Table'!$B:$B, $C2266)))</f>
        <v>Flute</v>
      </c>
      <c r="D2267" s="1" t="str">
        <f>VLOOKUP($C2267, 'Instrument Table'!$B:$C, 2, FALSE)</f>
        <v>Woodwinds</v>
      </c>
      <c r="E2267" s="1">
        <f t="shared" si="210"/>
        <v>1</v>
      </c>
      <c r="F2267" s="1">
        <f>_xlfn.XLOOKUP($C2267, 'Instrument Table'!$B:$B, 'Instrument Table'!$A:$A, "")</f>
        <v>32</v>
      </c>
      <c r="G2267" s="1" t="str">
        <f>TEXT(IF($B2267 = "Retail Item", IF((ROW($A2267) - 4504 - _xlfn.XMATCH($C2267, $C$4506:$C$5005, 0, 1)) &lt;= VLOOKUP($C2267, 'Instrument Table'!$B:$D, 3, FALSE), ROW($A2267) - 4504 - _xlfn.XMATCH($C2267, $C$4506:$C$5005, 0, 1), 0), 0), "00")</f>
        <v>00</v>
      </c>
      <c r="H2267" s="1" t="str">
        <f t="shared" si="211"/>
        <v>011</v>
      </c>
      <c r="I2267" s="1" t="str">
        <f t="shared" si="212"/>
        <v>13200-011</v>
      </c>
      <c r="J2267" s="1" t="str">
        <f t="shared" si="213"/>
        <v>Flute production item #011</v>
      </c>
      <c r="K2267" s="1" t="str">
        <f>IF(SUM(COUNTIFS(I:I, I2267)) &gt; 1, "DUPLICATE", "UNIQUE")</f>
        <v>UNIQUE</v>
      </c>
      <c r="L2267" s="18">
        <v>0</v>
      </c>
      <c r="M2267" s="28">
        <v>41</v>
      </c>
      <c r="N2267" s="6">
        <v>400</v>
      </c>
      <c r="O2267" s="30">
        <f t="shared" si="214"/>
        <v>0</v>
      </c>
      <c r="P2267" s="30">
        <f t="shared" si="215"/>
        <v>16400</v>
      </c>
      <c r="Q2267" s="1">
        <f>COUNTIFS($P:$P, "&gt;" &amp; $P2267) + 1</f>
        <v>1253</v>
      </c>
      <c r="R2267" s="63">
        <f>(COUNTIFS($P:$P, "&gt;" &amp; $P2267) + 1) / (COUNTA($I:$I) - 1)</f>
        <v>0.25059999999999999</v>
      </c>
      <c r="S2267" s="23">
        <f>SUMIFS($P:$P, $Q:$Q, "&lt;" &amp; $Q2267)</f>
        <v>171218823</v>
      </c>
    </row>
    <row r="2268" spans="1:19" x14ac:dyDescent="0.25">
      <c r="A2268" s="1">
        <v>2263</v>
      </c>
      <c r="B2268" s="1" t="s">
        <v>2</v>
      </c>
      <c r="C2268" s="1" t="str">
        <f>IF($B2268 = "Production Item", _xlfn.XLOOKUP($A2268, 'Instrument Table'!$J:$J, 'Instrument Table'!$B:$B, $C2267), IF($B2268 = "Service Item", _xlfn.XLOOKUP($A2268, 'Instrument Table'!$I:$I, 'Instrument Table'!$B:$B, $C2267), _xlfn.XLOOKUP($A2268, 'Instrument Table'!$H:$H, 'Instrument Table'!$B:$B, $C2267)))</f>
        <v>Flute</v>
      </c>
      <c r="D2268" s="1" t="str">
        <f>VLOOKUP($C2268, 'Instrument Table'!$B:$C, 2, FALSE)</f>
        <v>Woodwinds</v>
      </c>
      <c r="E2268" s="1">
        <f t="shared" si="210"/>
        <v>1</v>
      </c>
      <c r="F2268" s="1">
        <f>_xlfn.XLOOKUP($C2268, 'Instrument Table'!$B:$B, 'Instrument Table'!$A:$A, "")</f>
        <v>32</v>
      </c>
      <c r="G2268" s="1" t="str">
        <f>TEXT(IF($B2268 = "Retail Item", IF((ROW($A2268) - 4504 - _xlfn.XMATCH($C2268, $C$4506:$C$5005, 0, 1)) &lt;= VLOOKUP($C2268, 'Instrument Table'!$B:$D, 3, FALSE), ROW($A2268) - 4504 - _xlfn.XMATCH($C2268, $C$4506:$C$5005, 0, 1), 0), 0), "00")</f>
        <v>00</v>
      </c>
      <c r="H2268" s="1" t="str">
        <f t="shared" si="211"/>
        <v>012</v>
      </c>
      <c r="I2268" s="1" t="str">
        <f t="shared" si="212"/>
        <v>13200-012</v>
      </c>
      <c r="J2268" s="1" t="str">
        <f t="shared" si="213"/>
        <v>Flute production item #012</v>
      </c>
      <c r="K2268" s="1" t="str">
        <f>IF(SUM(COUNTIFS(I:I, I2268)) &gt; 1, "DUPLICATE", "UNIQUE")</f>
        <v>UNIQUE</v>
      </c>
      <c r="L2268" s="18">
        <v>16</v>
      </c>
      <c r="M2268" s="28">
        <v>59</v>
      </c>
      <c r="N2268" s="6">
        <v>9</v>
      </c>
      <c r="O2268" s="30">
        <f t="shared" si="214"/>
        <v>944</v>
      </c>
      <c r="P2268" s="30">
        <f t="shared" si="215"/>
        <v>531</v>
      </c>
      <c r="Q2268" s="1">
        <f>COUNTIFS($P:$P, "&gt;" &amp; $P2268) + 1</f>
        <v>3997</v>
      </c>
      <c r="R2268" s="63">
        <f>(COUNTIFS($P:$P, "&gt;" &amp; $P2268) + 1) / (COUNTA($I:$I) - 1)</f>
        <v>0.7994</v>
      </c>
      <c r="S2268" s="23">
        <f>SUMIFS($P:$P, $Q:$Q, "&lt;" &amp; $Q2268)</f>
        <v>186396712</v>
      </c>
    </row>
    <row r="2269" spans="1:19" x14ac:dyDescent="0.25">
      <c r="A2269" s="1">
        <v>2264</v>
      </c>
      <c r="B2269" s="1" t="s">
        <v>2</v>
      </c>
      <c r="C2269" s="1" t="str">
        <f>IF($B2269 = "Production Item", _xlfn.XLOOKUP($A2269, 'Instrument Table'!$J:$J, 'Instrument Table'!$B:$B, $C2268), IF($B2269 = "Service Item", _xlfn.XLOOKUP($A2269, 'Instrument Table'!$I:$I, 'Instrument Table'!$B:$B, $C2268), _xlfn.XLOOKUP($A2269, 'Instrument Table'!$H:$H, 'Instrument Table'!$B:$B, $C2268)))</f>
        <v>Flute</v>
      </c>
      <c r="D2269" s="1" t="str">
        <f>VLOOKUP($C2269, 'Instrument Table'!$B:$C, 2, FALSE)</f>
        <v>Woodwinds</v>
      </c>
      <c r="E2269" s="1">
        <f t="shared" si="210"/>
        <v>1</v>
      </c>
      <c r="F2269" s="1">
        <f>_xlfn.XLOOKUP($C2269, 'Instrument Table'!$B:$B, 'Instrument Table'!$A:$A, "")</f>
        <v>32</v>
      </c>
      <c r="G2269" s="1" t="str">
        <f>TEXT(IF($B2269 = "Retail Item", IF((ROW($A2269) - 4504 - _xlfn.XMATCH($C2269, $C$4506:$C$5005, 0, 1)) &lt;= VLOOKUP($C2269, 'Instrument Table'!$B:$D, 3, FALSE), ROW($A2269) - 4504 - _xlfn.XMATCH($C2269, $C$4506:$C$5005, 0, 1), 0), 0), "00")</f>
        <v>00</v>
      </c>
      <c r="H2269" s="1" t="str">
        <f t="shared" si="211"/>
        <v>013</v>
      </c>
      <c r="I2269" s="1" t="str">
        <f t="shared" si="212"/>
        <v>13200-013</v>
      </c>
      <c r="J2269" s="1" t="str">
        <f t="shared" si="213"/>
        <v>Flute production item #013</v>
      </c>
      <c r="K2269" s="1" t="str">
        <f>IF(SUM(COUNTIFS(I:I, I2269)) &gt; 1, "DUPLICATE", "UNIQUE")</f>
        <v>UNIQUE</v>
      </c>
      <c r="L2269" s="18">
        <v>1</v>
      </c>
      <c r="M2269" s="28">
        <v>12</v>
      </c>
      <c r="N2269" s="6">
        <v>256</v>
      </c>
      <c r="O2269" s="30">
        <f t="shared" si="214"/>
        <v>12</v>
      </c>
      <c r="P2269" s="30">
        <f t="shared" si="215"/>
        <v>3072</v>
      </c>
      <c r="Q2269" s="1">
        <f>COUNTIFS($P:$P, "&gt;" &amp; $P2269) + 1</f>
        <v>2885</v>
      </c>
      <c r="R2269" s="63">
        <f>(COUNTIFS($P:$P, "&gt;" &amp; $P2269) + 1) / (COUNTA($I:$I) - 1)</f>
        <v>0.57699999999999996</v>
      </c>
      <c r="S2269" s="23">
        <f>SUMIFS($P:$P, $Q:$Q, "&lt;" &amp; $Q2269)</f>
        <v>184602433</v>
      </c>
    </row>
    <row r="2270" spans="1:19" x14ac:dyDescent="0.25">
      <c r="A2270" s="1">
        <v>2265</v>
      </c>
      <c r="B2270" s="1" t="s">
        <v>2</v>
      </c>
      <c r="C2270" s="1" t="str">
        <f>IF($B2270 = "Production Item", _xlfn.XLOOKUP($A2270, 'Instrument Table'!$J:$J, 'Instrument Table'!$B:$B, $C2269), IF($B2270 = "Service Item", _xlfn.XLOOKUP($A2270, 'Instrument Table'!$I:$I, 'Instrument Table'!$B:$B, $C2269), _xlfn.XLOOKUP($A2270, 'Instrument Table'!$H:$H, 'Instrument Table'!$B:$B, $C2269)))</f>
        <v>Flute</v>
      </c>
      <c r="D2270" s="1" t="str">
        <f>VLOOKUP($C2270, 'Instrument Table'!$B:$C, 2, FALSE)</f>
        <v>Woodwinds</v>
      </c>
      <c r="E2270" s="1">
        <f t="shared" si="210"/>
        <v>1</v>
      </c>
      <c r="F2270" s="1">
        <f>_xlfn.XLOOKUP($C2270, 'Instrument Table'!$B:$B, 'Instrument Table'!$A:$A, "")</f>
        <v>32</v>
      </c>
      <c r="G2270" s="1" t="str">
        <f>TEXT(IF($B2270 = "Retail Item", IF((ROW($A2270) - 4504 - _xlfn.XMATCH($C2270, $C$4506:$C$5005, 0, 1)) &lt;= VLOOKUP($C2270, 'Instrument Table'!$B:$D, 3, FALSE), ROW($A2270) - 4504 - _xlfn.XMATCH($C2270, $C$4506:$C$5005, 0, 1), 0), 0), "00")</f>
        <v>00</v>
      </c>
      <c r="H2270" s="1" t="str">
        <f t="shared" si="211"/>
        <v>014</v>
      </c>
      <c r="I2270" s="1" t="str">
        <f t="shared" si="212"/>
        <v>13200-014</v>
      </c>
      <c r="J2270" s="1" t="str">
        <f t="shared" si="213"/>
        <v>Flute production item #014</v>
      </c>
      <c r="K2270" s="1" t="str">
        <f>IF(SUM(COUNTIFS(I:I, I2270)) &gt; 1, "DUPLICATE", "UNIQUE")</f>
        <v>UNIQUE</v>
      </c>
      <c r="L2270" s="18">
        <v>1</v>
      </c>
      <c r="M2270" s="28">
        <v>45</v>
      </c>
      <c r="N2270" s="6">
        <v>225</v>
      </c>
      <c r="O2270" s="30">
        <f t="shared" si="214"/>
        <v>45</v>
      </c>
      <c r="P2270" s="30">
        <f t="shared" si="215"/>
        <v>10125</v>
      </c>
      <c r="Q2270" s="1">
        <f>COUNTIFS($P:$P, "&gt;" &amp; $P2270) + 1</f>
        <v>1760</v>
      </c>
      <c r="R2270" s="63">
        <f>(COUNTIFS($P:$P, "&gt;" &amp; $P2270) + 1) / (COUNTA($I:$I) - 1)</f>
        <v>0.35199999999999998</v>
      </c>
      <c r="S2270" s="23">
        <f>SUMIFS($P:$P, $Q:$Q, "&lt;" &amp; $Q2270)</f>
        <v>177844822</v>
      </c>
    </row>
    <row r="2271" spans="1:19" x14ac:dyDescent="0.25">
      <c r="A2271" s="1">
        <v>2266</v>
      </c>
      <c r="B2271" s="1" t="s">
        <v>2</v>
      </c>
      <c r="C2271" s="1" t="str">
        <f>IF($B2271 = "Production Item", _xlfn.XLOOKUP($A2271, 'Instrument Table'!$J:$J, 'Instrument Table'!$B:$B, $C2270), IF($B2271 = "Service Item", _xlfn.XLOOKUP($A2271, 'Instrument Table'!$I:$I, 'Instrument Table'!$B:$B, $C2270), _xlfn.XLOOKUP($A2271, 'Instrument Table'!$H:$H, 'Instrument Table'!$B:$B, $C2270)))</f>
        <v>Flute</v>
      </c>
      <c r="D2271" s="1" t="str">
        <f>VLOOKUP($C2271, 'Instrument Table'!$B:$C, 2, FALSE)</f>
        <v>Woodwinds</v>
      </c>
      <c r="E2271" s="1">
        <f t="shared" si="210"/>
        <v>1</v>
      </c>
      <c r="F2271" s="1">
        <f>_xlfn.XLOOKUP($C2271, 'Instrument Table'!$B:$B, 'Instrument Table'!$A:$A, "")</f>
        <v>32</v>
      </c>
      <c r="G2271" s="1" t="str">
        <f>TEXT(IF($B2271 = "Retail Item", IF((ROW($A2271) - 4504 - _xlfn.XMATCH($C2271, $C$4506:$C$5005, 0, 1)) &lt;= VLOOKUP($C2271, 'Instrument Table'!$B:$D, 3, FALSE), ROW($A2271) - 4504 - _xlfn.XMATCH($C2271, $C$4506:$C$5005, 0, 1), 0), 0), "00")</f>
        <v>00</v>
      </c>
      <c r="H2271" s="1" t="str">
        <f t="shared" si="211"/>
        <v>015</v>
      </c>
      <c r="I2271" s="1" t="str">
        <f t="shared" si="212"/>
        <v>13200-015</v>
      </c>
      <c r="J2271" s="1" t="str">
        <f t="shared" si="213"/>
        <v>Flute production item #015</v>
      </c>
      <c r="K2271" s="1" t="str">
        <f>IF(SUM(COUNTIFS(I:I, I2271)) &gt; 1, "DUPLICATE", "UNIQUE")</f>
        <v>UNIQUE</v>
      </c>
      <c r="L2271" s="18">
        <v>1</v>
      </c>
      <c r="M2271" s="28">
        <v>79</v>
      </c>
      <c r="N2271" s="6">
        <v>4</v>
      </c>
      <c r="O2271" s="30">
        <f t="shared" si="214"/>
        <v>79</v>
      </c>
      <c r="P2271" s="30">
        <f t="shared" si="215"/>
        <v>316</v>
      </c>
      <c r="Q2271" s="1">
        <f>COUNTIFS($P:$P, "&gt;" &amp; $P2271) + 1</f>
        <v>4199</v>
      </c>
      <c r="R2271" s="63">
        <f>(COUNTIFS($P:$P, "&gt;" &amp; $P2271) + 1) / (COUNTA($I:$I) - 1)</f>
        <v>0.83979999999999999</v>
      </c>
      <c r="S2271" s="23">
        <f>SUMIFS($P:$P, $Q:$Q, "&lt;" &amp; $Q2271)</f>
        <v>186480078</v>
      </c>
    </row>
    <row r="2272" spans="1:19" x14ac:dyDescent="0.25">
      <c r="A2272" s="1">
        <v>2267</v>
      </c>
      <c r="B2272" s="1" t="s">
        <v>2</v>
      </c>
      <c r="C2272" s="1" t="str">
        <f>IF($B2272 = "Production Item", _xlfn.XLOOKUP($A2272, 'Instrument Table'!$J:$J, 'Instrument Table'!$B:$B, $C2271), IF($B2272 = "Service Item", _xlfn.XLOOKUP($A2272, 'Instrument Table'!$I:$I, 'Instrument Table'!$B:$B, $C2271), _xlfn.XLOOKUP($A2272, 'Instrument Table'!$H:$H, 'Instrument Table'!$B:$B, $C2271)))</f>
        <v>Flute</v>
      </c>
      <c r="D2272" s="1" t="str">
        <f>VLOOKUP($C2272, 'Instrument Table'!$B:$C, 2, FALSE)</f>
        <v>Woodwinds</v>
      </c>
      <c r="E2272" s="1">
        <f t="shared" si="210"/>
        <v>1</v>
      </c>
      <c r="F2272" s="1">
        <f>_xlfn.XLOOKUP($C2272, 'Instrument Table'!$B:$B, 'Instrument Table'!$A:$A, "")</f>
        <v>32</v>
      </c>
      <c r="G2272" s="1" t="str">
        <f>TEXT(IF($B2272 = "Retail Item", IF((ROW($A2272) - 4504 - _xlfn.XMATCH($C2272, $C$4506:$C$5005, 0, 1)) &lt;= VLOOKUP($C2272, 'Instrument Table'!$B:$D, 3, FALSE), ROW($A2272) - 4504 - _xlfn.XMATCH($C2272, $C$4506:$C$5005, 0, 1), 0), 0), "00")</f>
        <v>00</v>
      </c>
      <c r="H2272" s="1" t="str">
        <f t="shared" si="211"/>
        <v>016</v>
      </c>
      <c r="I2272" s="1" t="str">
        <f t="shared" si="212"/>
        <v>13200-016</v>
      </c>
      <c r="J2272" s="1" t="str">
        <f t="shared" si="213"/>
        <v>Flute production item #016</v>
      </c>
      <c r="K2272" s="1" t="str">
        <f>IF(SUM(COUNTIFS(I:I, I2272)) &gt; 1, "DUPLICATE", "UNIQUE")</f>
        <v>UNIQUE</v>
      </c>
      <c r="L2272" s="18">
        <v>0</v>
      </c>
      <c r="M2272" s="28">
        <v>48</v>
      </c>
      <c r="N2272" s="6">
        <v>196</v>
      </c>
      <c r="O2272" s="30">
        <f t="shared" si="214"/>
        <v>0</v>
      </c>
      <c r="P2272" s="30">
        <f t="shared" si="215"/>
        <v>9408</v>
      </c>
      <c r="Q2272" s="1">
        <f>COUNTIFS($P:$P, "&gt;" &amp; $P2272) + 1</f>
        <v>1828</v>
      </c>
      <c r="R2272" s="63">
        <f>(COUNTIFS($P:$P, "&gt;" &amp; $P2272) + 1) / (COUNTA($I:$I) - 1)</f>
        <v>0.36559999999999998</v>
      </c>
      <c r="S2272" s="23">
        <f>SUMIFS($P:$P, $Q:$Q, "&lt;" &amp; $Q2272)</f>
        <v>178508577</v>
      </c>
    </row>
    <row r="2273" spans="1:19" x14ac:dyDescent="0.25">
      <c r="A2273" s="1">
        <v>2268</v>
      </c>
      <c r="B2273" s="1" t="s">
        <v>2</v>
      </c>
      <c r="C2273" s="1" t="str">
        <f>IF($B2273 = "Production Item", _xlfn.XLOOKUP($A2273, 'Instrument Table'!$J:$J, 'Instrument Table'!$B:$B, $C2272), IF($B2273 = "Service Item", _xlfn.XLOOKUP($A2273, 'Instrument Table'!$I:$I, 'Instrument Table'!$B:$B, $C2272), _xlfn.XLOOKUP($A2273, 'Instrument Table'!$H:$H, 'Instrument Table'!$B:$B, $C2272)))</f>
        <v>Flute</v>
      </c>
      <c r="D2273" s="1" t="str">
        <f>VLOOKUP($C2273, 'Instrument Table'!$B:$C, 2, FALSE)</f>
        <v>Woodwinds</v>
      </c>
      <c r="E2273" s="1">
        <f t="shared" si="210"/>
        <v>1</v>
      </c>
      <c r="F2273" s="1">
        <f>_xlfn.XLOOKUP($C2273, 'Instrument Table'!$B:$B, 'Instrument Table'!$A:$A, "")</f>
        <v>32</v>
      </c>
      <c r="G2273" s="1" t="str">
        <f>TEXT(IF($B2273 = "Retail Item", IF((ROW($A2273) - 4504 - _xlfn.XMATCH($C2273, $C$4506:$C$5005, 0, 1)) &lt;= VLOOKUP($C2273, 'Instrument Table'!$B:$D, 3, FALSE), ROW($A2273) - 4504 - _xlfn.XMATCH($C2273, $C$4506:$C$5005, 0, 1), 0), 0), "00")</f>
        <v>00</v>
      </c>
      <c r="H2273" s="1" t="str">
        <f t="shared" si="211"/>
        <v>017</v>
      </c>
      <c r="I2273" s="1" t="str">
        <f t="shared" si="212"/>
        <v>13200-017</v>
      </c>
      <c r="J2273" s="1" t="str">
        <f t="shared" si="213"/>
        <v>Flute production item #017</v>
      </c>
      <c r="K2273" s="1" t="str">
        <f>IF(SUM(COUNTIFS(I:I, I2273)) &gt; 1, "DUPLICATE", "UNIQUE")</f>
        <v>UNIQUE</v>
      </c>
      <c r="L2273" s="18">
        <v>32</v>
      </c>
      <c r="M2273" s="28">
        <v>80</v>
      </c>
      <c r="N2273" s="6">
        <v>100</v>
      </c>
      <c r="O2273" s="30">
        <f t="shared" si="214"/>
        <v>2560</v>
      </c>
      <c r="P2273" s="30">
        <f t="shared" si="215"/>
        <v>8000</v>
      </c>
      <c r="Q2273" s="1">
        <f>COUNTIFS($P:$P, "&gt;" &amp; $P2273) + 1</f>
        <v>1985</v>
      </c>
      <c r="R2273" s="63">
        <f>(COUNTIFS($P:$P, "&gt;" &amp; $P2273) + 1) / (COUNTA($I:$I) - 1)</f>
        <v>0.39700000000000002</v>
      </c>
      <c r="S2273" s="23">
        <f>SUMIFS($P:$P, $Q:$Q, "&lt;" &amp; $Q2273)</f>
        <v>179876921</v>
      </c>
    </row>
    <row r="2274" spans="1:19" x14ac:dyDescent="0.25">
      <c r="A2274" s="1">
        <v>2269</v>
      </c>
      <c r="B2274" s="1" t="s">
        <v>2</v>
      </c>
      <c r="C2274" s="1" t="str">
        <f>IF($B2274 = "Production Item", _xlfn.XLOOKUP($A2274, 'Instrument Table'!$J:$J, 'Instrument Table'!$B:$B, $C2273), IF($B2274 = "Service Item", _xlfn.XLOOKUP($A2274, 'Instrument Table'!$I:$I, 'Instrument Table'!$B:$B, $C2273), _xlfn.XLOOKUP($A2274, 'Instrument Table'!$H:$H, 'Instrument Table'!$B:$B, $C2273)))</f>
        <v>Flute</v>
      </c>
      <c r="D2274" s="1" t="str">
        <f>VLOOKUP($C2274, 'Instrument Table'!$B:$C, 2, FALSE)</f>
        <v>Woodwinds</v>
      </c>
      <c r="E2274" s="1">
        <f t="shared" si="210"/>
        <v>1</v>
      </c>
      <c r="F2274" s="1">
        <f>_xlfn.XLOOKUP($C2274, 'Instrument Table'!$B:$B, 'Instrument Table'!$A:$A, "")</f>
        <v>32</v>
      </c>
      <c r="G2274" s="1" t="str">
        <f>TEXT(IF($B2274 = "Retail Item", IF((ROW($A2274) - 4504 - _xlfn.XMATCH($C2274, $C$4506:$C$5005, 0, 1)) &lt;= VLOOKUP($C2274, 'Instrument Table'!$B:$D, 3, FALSE), ROW($A2274) - 4504 - _xlfn.XMATCH($C2274, $C$4506:$C$5005, 0, 1), 0), 0), "00")</f>
        <v>00</v>
      </c>
      <c r="H2274" s="1" t="str">
        <f t="shared" si="211"/>
        <v>018</v>
      </c>
      <c r="I2274" s="1" t="str">
        <f t="shared" si="212"/>
        <v>13200-018</v>
      </c>
      <c r="J2274" s="1" t="str">
        <f t="shared" si="213"/>
        <v>Flute production item #018</v>
      </c>
      <c r="K2274" s="1" t="str">
        <f>IF(SUM(COUNTIFS(I:I, I2274)) &gt; 1, "DUPLICATE", "UNIQUE")</f>
        <v>UNIQUE</v>
      </c>
      <c r="L2274" s="18">
        <v>16</v>
      </c>
      <c r="M2274" s="28">
        <v>17</v>
      </c>
      <c r="N2274" s="6">
        <v>16</v>
      </c>
      <c r="O2274" s="30">
        <f t="shared" si="214"/>
        <v>272</v>
      </c>
      <c r="P2274" s="30">
        <f t="shared" si="215"/>
        <v>272</v>
      </c>
      <c r="Q2274" s="1">
        <f>COUNTIFS($P:$P, "&gt;" &amp; $P2274) + 1</f>
        <v>4246</v>
      </c>
      <c r="R2274" s="63">
        <f>(COUNTIFS($P:$P, "&gt;" &amp; $P2274) + 1) / (COUNTA($I:$I) - 1)</f>
        <v>0.84919999999999995</v>
      </c>
      <c r="S2274" s="23">
        <f>SUMIFS($P:$P, $Q:$Q, "&lt;" &amp; $Q2274)</f>
        <v>186494000</v>
      </c>
    </row>
    <row r="2275" spans="1:19" x14ac:dyDescent="0.25">
      <c r="A2275" s="1">
        <v>2270</v>
      </c>
      <c r="B2275" s="1" t="s">
        <v>2</v>
      </c>
      <c r="C2275" s="1" t="str">
        <f>IF($B2275 = "Production Item", _xlfn.XLOOKUP($A2275, 'Instrument Table'!$J:$J, 'Instrument Table'!$B:$B, $C2274), IF($B2275 = "Service Item", _xlfn.XLOOKUP($A2275, 'Instrument Table'!$I:$I, 'Instrument Table'!$B:$B, $C2274), _xlfn.XLOOKUP($A2275, 'Instrument Table'!$H:$H, 'Instrument Table'!$B:$B, $C2274)))</f>
        <v>Flute</v>
      </c>
      <c r="D2275" s="1" t="str">
        <f>VLOOKUP($C2275, 'Instrument Table'!$B:$C, 2, FALSE)</f>
        <v>Woodwinds</v>
      </c>
      <c r="E2275" s="1">
        <f t="shared" si="210"/>
        <v>1</v>
      </c>
      <c r="F2275" s="1">
        <f>_xlfn.XLOOKUP($C2275, 'Instrument Table'!$B:$B, 'Instrument Table'!$A:$A, "")</f>
        <v>32</v>
      </c>
      <c r="G2275" s="1" t="str">
        <f>TEXT(IF($B2275 = "Retail Item", IF((ROW($A2275) - 4504 - _xlfn.XMATCH($C2275, $C$4506:$C$5005, 0, 1)) &lt;= VLOOKUP($C2275, 'Instrument Table'!$B:$D, 3, FALSE), ROW($A2275) - 4504 - _xlfn.XMATCH($C2275, $C$4506:$C$5005, 0, 1), 0), 0), "00")</f>
        <v>00</v>
      </c>
      <c r="H2275" s="1" t="str">
        <f t="shared" si="211"/>
        <v>019</v>
      </c>
      <c r="I2275" s="1" t="str">
        <f t="shared" si="212"/>
        <v>13200-019</v>
      </c>
      <c r="J2275" s="1" t="str">
        <f t="shared" si="213"/>
        <v>Flute production item #019</v>
      </c>
      <c r="K2275" s="1" t="str">
        <f>IF(SUM(COUNTIFS(I:I, I2275)) &gt; 1, "DUPLICATE", "UNIQUE")</f>
        <v>UNIQUE</v>
      </c>
      <c r="L2275" s="18">
        <v>1</v>
      </c>
      <c r="M2275" s="28">
        <v>19</v>
      </c>
      <c r="N2275" s="6">
        <v>16</v>
      </c>
      <c r="O2275" s="30">
        <f t="shared" si="214"/>
        <v>19</v>
      </c>
      <c r="P2275" s="30">
        <f t="shared" si="215"/>
        <v>304</v>
      </c>
      <c r="Q2275" s="1">
        <f>COUNTIFS($P:$P, "&gt;" &amp; $P2275) + 1</f>
        <v>4210</v>
      </c>
      <c r="R2275" s="63">
        <f>(COUNTIFS($P:$P, "&gt;" &amp; $P2275) + 1) / (COUNTA($I:$I) - 1)</f>
        <v>0.84199999999999997</v>
      </c>
      <c r="S2275" s="23">
        <f>SUMIFS($P:$P, $Q:$Q, "&lt;" &amp; $Q2275)</f>
        <v>186483507</v>
      </c>
    </row>
    <row r="2276" spans="1:19" x14ac:dyDescent="0.25">
      <c r="A2276" s="1">
        <v>2271</v>
      </c>
      <c r="B2276" s="1" t="s">
        <v>2</v>
      </c>
      <c r="C2276" s="1" t="str">
        <f>IF($B2276 = "Production Item", _xlfn.XLOOKUP($A2276, 'Instrument Table'!$J:$J, 'Instrument Table'!$B:$B, $C2275), IF($B2276 = "Service Item", _xlfn.XLOOKUP($A2276, 'Instrument Table'!$I:$I, 'Instrument Table'!$B:$B, $C2275), _xlfn.XLOOKUP($A2276, 'Instrument Table'!$H:$H, 'Instrument Table'!$B:$B, $C2275)))</f>
        <v>Flute</v>
      </c>
      <c r="D2276" s="1" t="str">
        <f>VLOOKUP($C2276, 'Instrument Table'!$B:$C, 2, FALSE)</f>
        <v>Woodwinds</v>
      </c>
      <c r="E2276" s="1">
        <f t="shared" si="210"/>
        <v>1</v>
      </c>
      <c r="F2276" s="1">
        <f>_xlfn.XLOOKUP($C2276, 'Instrument Table'!$B:$B, 'Instrument Table'!$A:$A, "")</f>
        <v>32</v>
      </c>
      <c r="G2276" s="1" t="str">
        <f>TEXT(IF($B2276 = "Retail Item", IF((ROW($A2276) - 4504 - _xlfn.XMATCH($C2276, $C$4506:$C$5005, 0, 1)) &lt;= VLOOKUP($C2276, 'Instrument Table'!$B:$D, 3, FALSE), ROW($A2276) - 4504 - _xlfn.XMATCH($C2276, $C$4506:$C$5005, 0, 1), 0), 0), "00")</f>
        <v>00</v>
      </c>
      <c r="H2276" s="1" t="str">
        <f t="shared" si="211"/>
        <v>020</v>
      </c>
      <c r="I2276" s="1" t="str">
        <f t="shared" si="212"/>
        <v>13200-020</v>
      </c>
      <c r="J2276" s="1" t="str">
        <f t="shared" si="213"/>
        <v>Flute production item #020</v>
      </c>
      <c r="K2276" s="1" t="str">
        <f>IF(SUM(COUNTIFS(I:I, I2276)) &gt; 1, "DUPLICATE", "UNIQUE")</f>
        <v>UNIQUE</v>
      </c>
      <c r="L2276" s="18">
        <v>1</v>
      </c>
      <c r="M2276" s="28">
        <v>88</v>
      </c>
      <c r="N2276" s="6">
        <v>25</v>
      </c>
      <c r="O2276" s="30">
        <f t="shared" si="214"/>
        <v>88</v>
      </c>
      <c r="P2276" s="30">
        <f t="shared" si="215"/>
        <v>2200</v>
      </c>
      <c r="Q2276" s="1">
        <f>COUNTIFS($P:$P, "&gt;" &amp; $P2276) + 1</f>
        <v>3168</v>
      </c>
      <c r="R2276" s="63">
        <f>(COUNTIFS($P:$P, "&gt;" &amp; $P2276) + 1) / (COUNTA($I:$I) - 1)</f>
        <v>0.63360000000000005</v>
      </c>
      <c r="S2276" s="23">
        <f>SUMIFS($P:$P, $Q:$Q, "&lt;" &amp; $Q2276)</f>
        <v>185338595</v>
      </c>
    </row>
    <row r="2277" spans="1:19" x14ac:dyDescent="0.25">
      <c r="A2277" s="1">
        <v>2272</v>
      </c>
      <c r="B2277" s="1" t="s">
        <v>2</v>
      </c>
      <c r="C2277" s="1" t="str">
        <f>IF($B2277 = "Production Item", _xlfn.XLOOKUP($A2277, 'Instrument Table'!$J:$J, 'Instrument Table'!$B:$B, $C2276), IF($B2277 = "Service Item", _xlfn.XLOOKUP($A2277, 'Instrument Table'!$I:$I, 'Instrument Table'!$B:$B, $C2276), _xlfn.XLOOKUP($A2277, 'Instrument Table'!$H:$H, 'Instrument Table'!$B:$B, $C2276)))</f>
        <v>Flute</v>
      </c>
      <c r="D2277" s="1" t="str">
        <f>VLOOKUP($C2277, 'Instrument Table'!$B:$C, 2, FALSE)</f>
        <v>Woodwinds</v>
      </c>
      <c r="E2277" s="1">
        <f t="shared" si="210"/>
        <v>1</v>
      </c>
      <c r="F2277" s="1">
        <f>_xlfn.XLOOKUP($C2277, 'Instrument Table'!$B:$B, 'Instrument Table'!$A:$A, "")</f>
        <v>32</v>
      </c>
      <c r="G2277" s="1" t="str">
        <f>TEXT(IF($B2277 = "Retail Item", IF((ROW($A2277) - 4504 - _xlfn.XMATCH($C2277, $C$4506:$C$5005, 0, 1)) &lt;= VLOOKUP($C2277, 'Instrument Table'!$B:$D, 3, FALSE), ROW($A2277) - 4504 - _xlfn.XMATCH($C2277, $C$4506:$C$5005, 0, 1), 0), 0), "00")</f>
        <v>00</v>
      </c>
      <c r="H2277" s="1" t="str">
        <f t="shared" si="211"/>
        <v>021</v>
      </c>
      <c r="I2277" s="1" t="str">
        <f t="shared" si="212"/>
        <v>13200-021</v>
      </c>
      <c r="J2277" s="1" t="str">
        <f t="shared" si="213"/>
        <v>Flute production item #021</v>
      </c>
      <c r="K2277" s="1" t="str">
        <f>IF(SUM(COUNTIFS(I:I, I2277)) &gt; 1, "DUPLICATE", "UNIQUE")</f>
        <v>UNIQUE</v>
      </c>
      <c r="L2277" s="18">
        <v>32</v>
      </c>
      <c r="M2277" s="28">
        <v>25</v>
      </c>
      <c r="N2277" s="6">
        <v>121</v>
      </c>
      <c r="O2277" s="30">
        <f t="shared" si="214"/>
        <v>800</v>
      </c>
      <c r="P2277" s="30">
        <f t="shared" si="215"/>
        <v>3025</v>
      </c>
      <c r="Q2277" s="1">
        <f>COUNTIFS($P:$P, "&gt;" &amp; $P2277) + 1</f>
        <v>2900</v>
      </c>
      <c r="R2277" s="63">
        <f>(COUNTIFS($P:$P, "&gt;" &amp; $P2277) + 1) / (COUNTA($I:$I) - 1)</f>
        <v>0.57999999999999996</v>
      </c>
      <c r="S2277" s="23">
        <f>SUMIFS($P:$P, $Q:$Q, "&lt;" &amp; $Q2277)</f>
        <v>184648263</v>
      </c>
    </row>
    <row r="2278" spans="1:19" x14ac:dyDescent="0.25">
      <c r="A2278" s="1">
        <v>2273</v>
      </c>
      <c r="B2278" s="1" t="s">
        <v>2</v>
      </c>
      <c r="C2278" s="1" t="str">
        <f>IF($B2278 = "Production Item", _xlfn.XLOOKUP($A2278, 'Instrument Table'!$J:$J, 'Instrument Table'!$B:$B, $C2277), IF($B2278 = "Service Item", _xlfn.XLOOKUP($A2278, 'Instrument Table'!$I:$I, 'Instrument Table'!$B:$B, $C2277), _xlfn.XLOOKUP($A2278, 'Instrument Table'!$H:$H, 'Instrument Table'!$B:$B, $C2277)))</f>
        <v>Flute</v>
      </c>
      <c r="D2278" s="1" t="str">
        <f>VLOOKUP($C2278, 'Instrument Table'!$B:$C, 2, FALSE)</f>
        <v>Woodwinds</v>
      </c>
      <c r="E2278" s="1">
        <f t="shared" si="210"/>
        <v>1</v>
      </c>
      <c r="F2278" s="1">
        <f>_xlfn.XLOOKUP($C2278, 'Instrument Table'!$B:$B, 'Instrument Table'!$A:$A, "")</f>
        <v>32</v>
      </c>
      <c r="G2278" s="1" t="str">
        <f>TEXT(IF($B2278 = "Retail Item", IF((ROW($A2278) - 4504 - _xlfn.XMATCH($C2278, $C$4506:$C$5005, 0, 1)) &lt;= VLOOKUP($C2278, 'Instrument Table'!$B:$D, 3, FALSE), ROW($A2278) - 4504 - _xlfn.XMATCH($C2278, $C$4506:$C$5005, 0, 1), 0), 0), "00")</f>
        <v>00</v>
      </c>
      <c r="H2278" s="1" t="str">
        <f t="shared" si="211"/>
        <v>022</v>
      </c>
      <c r="I2278" s="1" t="str">
        <f t="shared" si="212"/>
        <v>13200-022</v>
      </c>
      <c r="J2278" s="1" t="str">
        <f t="shared" si="213"/>
        <v>Flute production item #022</v>
      </c>
      <c r="K2278" s="1" t="str">
        <f>IF(SUM(COUNTIFS(I:I, I2278)) &gt; 1, "DUPLICATE", "UNIQUE")</f>
        <v>UNIQUE</v>
      </c>
      <c r="L2278" s="18">
        <v>1</v>
      </c>
      <c r="M2278" s="28">
        <v>84</v>
      </c>
      <c r="N2278" s="6">
        <v>1</v>
      </c>
      <c r="O2278" s="30">
        <f t="shared" si="214"/>
        <v>84</v>
      </c>
      <c r="P2278" s="30">
        <f t="shared" si="215"/>
        <v>84</v>
      </c>
      <c r="Q2278" s="1">
        <f>COUNTIFS($P:$P, "&gt;" &amp; $P2278) + 1</f>
        <v>4496</v>
      </c>
      <c r="R2278" s="63">
        <f>(COUNTIFS($P:$P, "&gt;" &amp; $P2278) + 1) / (COUNTA($I:$I) - 1)</f>
        <v>0.8992</v>
      </c>
      <c r="S2278" s="23">
        <f>SUMIFS($P:$P, $Q:$Q, "&lt;" &amp; $Q2278)</f>
        <v>186536523</v>
      </c>
    </row>
    <row r="2279" spans="1:19" x14ac:dyDescent="0.25">
      <c r="A2279" s="1">
        <v>2274</v>
      </c>
      <c r="B2279" s="1" t="s">
        <v>2</v>
      </c>
      <c r="C2279" s="1" t="str">
        <f>IF($B2279 = "Production Item", _xlfn.XLOOKUP($A2279, 'Instrument Table'!$J:$J, 'Instrument Table'!$B:$B, $C2278), IF($B2279 = "Service Item", _xlfn.XLOOKUP($A2279, 'Instrument Table'!$I:$I, 'Instrument Table'!$B:$B, $C2278), _xlfn.XLOOKUP($A2279, 'Instrument Table'!$H:$H, 'Instrument Table'!$B:$B, $C2278)))</f>
        <v>Flute</v>
      </c>
      <c r="D2279" s="1" t="str">
        <f>VLOOKUP($C2279, 'Instrument Table'!$B:$C, 2, FALSE)</f>
        <v>Woodwinds</v>
      </c>
      <c r="E2279" s="1">
        <f t="shared" si="210"/>
        <v>1</v>
      </c>
      <c r="F2279" s="1">
        <f>_xlfn.XLOOKUP($C2279, 'Instrument Table'!$B:$B, 'Instrument Table'!$A:$A, "")</f>
        <v>32</v>
      </c>
      <c r="G2279" s="1" t="str">
        <f>TEXT(IF($B2279 = "Retail Item", IF((ROW($A2279) - 4504 - _xlfn.XMATCH($C2279, $C$4506:$C$5005, 0, 1)) &lt;= VLOOKUP($C2279, 'Instrument Table'!$B:$D, 3, FALSE), ROW($A2279) - 4504 - _xlfn.XMATCH($C2279, $C$4506:$C$5005, 0, 1), 0), 0), "00")</f>
        <v>00</v>
      </c>
      <c r="H2279" s="1" t="str">
        <f t="shared" si="211"/>
        <v>023</v>
      </c>
      <c r="I2279" s="1" t="str">
        <f t="shared" si="212"/>
        <v>13200-023</v>
      </c>
      <c r="J2279" s="1" t="str">
        <f t="shared" si="213"/>
        <v>Flute production item #023</v>
      </c>
      <c r="K2279" s="1" t="str">
        <f>IF(SUM(COUNTIFS(I:I, I2279)) &gt; 1, "DUPLICATE", "UNIQUE")</f>
        <v>UNIQUE</v>
      </c>
      <c r="L2279" s="18">
        <v>0</v>
      </c>
      <c r="M2279" s="28">
        <v>10</v>
      </c>
      <c r="N2279" s="6">
        <v>81</v>
      </c>
      <c r="O2279" s="30">
        <f t="shared" si="214"/>
        <v>0</v>
      </c>
      <c r="P2279" s="30">
        <f t="shared" si="215"/>
        <v>810</v>
      </c>
      <c r="Q2279" s="1">
        <f>COUNTIFS($P:$P, "&gt;" &amp; $P2279) + 1</f>
        <v>3785</v>
      </c>
      <c r="R2279" s="63">
        <f>(COUNTIFS($P:$P, "&gt;" &amp; $P2279) + 1) / (COUNTA($I:$I) - 1)</f>
        <v>0.75700000000000001</v>
      </c>
      <c r="S2279" s="23">
        <f>SUMIFS($P:$P, $Q:$Q, "&lt;" &amp; $Q2279)</f>
        <v>186253650</v>
      </c>
    </row>
    <row r="2280" spans="1:19" x14ac:dyDescent="0.25">
      <c r="A2280" s="1">
        <v>2275</v>
      </c>
      <c r="B2280" s="1" t="s">
        <v>2</v>
      </c>
      <c r="C2280" s="1" t="str">
        <f>IF($B2280 = "Production Item", _xlfn.XLOOKUP($A2280, 'Instrument Table'!$J:$J, 'Instrument Table'!$B:$B, $C2279), IF($B2280 = "Service Item", _xlfn.XLOOKUP($A2280, 'Instrument Table'!$I:$I, 'Instrument Table'!$B:$B, $C2279), _xlfn.XLOOKUP($A2280, 'Instrument Table'!$H:$H, 'Instrument Table'!$B:$B, $C2279)))</f>
        <v>Flute</v>
      </c>
      <c r="D2280" s="1" t="str">
        <f>VLOOKUP($C2280, 'Instrument Table'!$B:$C, 2, FALSE)</f>
        <v>Woodwinds</v>
      </c>
      <c r="E2280" s="1">
        <f t="shared" si="210"/>
        <v>1</v>
      </c>
      <c r="F2280" s="1">
        <f>_xlfn.XLOOKUP($C2280, 'Instrument Table'!$B:$B, 'Instrument Table'!$A:$A, "")</f>
        <v>32</v>
      </c>
      <c r="G2280" s="1" t="str">
        <f>TEXT(IF($B2280 = "Retail Item", IF((ROW($A2280) - 4504 - _xlfn.XMATCH($C2280, $C$4506:$C$5005, 0, 1)) &lt;= VLOOKUP($C2280, 'Instrument Table'!$B:$D, 3, FALSE), ROW($A2280) - 4504 - _xlfn.XMATCH($C2280, $C$4506:$C$5005, 0, 1), 0), 0), "00")</f>
        <v>00</v>
      </c>
      <c r="H2280" s="1" t="str">
        <f t="shared" si="211"/>
        <v>024</v>
      </c>
      <c r="I2280" s="1" t="str">
        <f t="shared" si="212"/>
        <v>13200-024</v>
      </c>
      <c r="J2280" s="1" t="str">
        <f t="shared" si="213"/>
        <v>Flute production item #024</v>
      </c>
      <c r="K2280" s="1" t="str">
        <f>IF(SUM(COUNTIFS(I:I, I2280)) &gt; 1, "DUPLICATE", "UNIQUE")</f>
        <v>UNIQUE</v>
      </c>
      <c r="L2280" s="18">
        <v>1</v>
      </c>
      <c r="M2280" s="28">
        <v>34</v>
      </c>
      <c r="N2280" s="6">
        <v>196</v>
      </c>
      <c r="O2280" s="30">
        <f t="shared" si="214"/>
        <v>34</v>
      </c>
      <c r="P2280" s="30">
        <f t="shared" si="215"/>
        <v>6664</v>
      </c>
      <c r="Q2280" s="1">
        <f>COUNTIFS($P:$P, "&gt;" &amp; $P2280) + 1</f>
        <v>2185</v>
      </c>
      <c r="R2280" s="63">
        <f>(COUNTIFS($P:$P, "&gt;" &amp; $P2280) + 1) / (COUNTA($I:$I) - 1)</f>
        <v>0.437</v>
      </c>
      <c r="S2280" s="23">
        <f>SUMIFS($P:$P, $Q:$Q, "&lt;" &amp; $Q2280)</f>
        <v>181351968</v>
      </c>
    </row>
    <row r="2281" spans="1:19" x14ac:dyDescent="0.25">
      <c r="A2281" s="1">
        <v>2276</v>
      </c>
      <c r="B2281" s="1" t="s">
        <v>2</v>
      </c>
      <c r="C2281" s="1" t="str">
        <f>IF($B2281 = "Production Item", _xlfn.XLOOKUP($A2281, 'Instrument Table'!$J:$J, 'Instrument Table'!$B:$B, $C2280), IF($B2281 = "Service Item", _xlfn.XLOOKUP($A2281, 'Instrument Table'!$I:$I, 'Instrument Table'!$B:$B, $C2280), _xlfn.XLOOKUP($A2281, 'Instrument Table'!$H:$H, 'Instrument Table'!$B:$B, $C2280)))</f>
        <v>Flute</v>
      </c>
      <c r="D2281" s="1" t="str">
        <f>VLOOKUP($C2281, 'Instrument Table'!$B:$C, 2, FALSE)</f>
        <v>Woodwinds</v>
      </c>
      <c r="E2281" s="1">
        <f t="shared" si="210"/>
        <v>1</v>
      </c>
      <c r="F2281" s="1">
        <f>_xlfn.XLOOKUP($C2281, 'Instrument Table'!$B:$B, 'Instrument Table'!$A:$A, "")</f>
        <v>32</v>
      </c>
      <c r="G2281" s="1" t="str">
        <f>TEXT(IF($B2281 = "Retail Item", IF((ROW($A2281) - 4504 - _xlfn.XMATCH($C2281, $C$4506:$C$5005, 0, 1)) &lt;= VLOOKUP($C2281, 'Instrument Table'!$B:$D, 3, FALSE), ROW($A2281) - 4504 - _xlfn.XMATCH($C2281, $C$4506:$C$5005, 0, 1), 0), 0), "00")</f>
        <v>00</v>
      </c>
      <c r="H2281" s="1" t="str">
        <f t="shared" si="211"/>
        <v>025</v>
      </c>
      <c r="I2281" s="1" t="str">
        <f t="shared" si="212"/>
        <v>13200-025</v>
      </c>
      <c r="J2281" s="1" t="str">
        <f t="shared" si="213"/>
        <v>Flute production item #025</v>
      </c>
      <c r="K2281" s="1" t="str">
        <f>IF(SUM(COUNTIFS(I:I, I2281)) &gt; 1, "DUPLICATE", "UNIQUE")</f>
        <v>UNIQUE</v>
      </c>
      <c r="L2281" s="18">
        <v>0</v>
      </c>
      <c r="M2281" s="28">
        <v>90</v>
      </c>
      <c r="N2281" s="6">
        <v>324</v>
      </c>
      <c r="O2281" s="30">
        <f t="shared" si="214"/>
        <v>0</v>
      </c>
      <c r="P2281" s="30">
        <f t="shared" si="215"/>
        <v>29160</v>
      </c>
      <c r="Q2281" s="1">
        <f>COUNTIFS($P:$P, "&gt;" &amp; $P2281) + 1</f>
        <v>712</v>
      </c>
      <c r="R2281" s="63">
        <f>(COUNTIFS($P:$P, "&gt;" &amp; $P2281) + 1) / (COUNTA($I:$I) - 1)</f>
        <v>0.1424</v>
      </c>
      <c r="S2281" s="23">
        <f>SUMIFS($P:$P, $Q:$Q, "&lt;" &amp; $Q2281)</f>
        <v>159439971</v>
      </c>
    </row>
    <row r="2282" spans="1:19" x14ac:dyDescent="0.25">
      <c r="A2282" s="1">
        <v>2277</v>
      </c>
      <c r="B2282" s="1" t="s">
        <v>2</v>
      </c>
      <c r="C2282" s="1" t="str">
        <f>IF($B2282 = "Production Item", _xlfn.XLOOKUP($A2282, 'Instrument Table'!$J:$J, 'Instrument Table'!$B:$B, $C2281), IF($B2282 = "Service Item", _xlfn.XLOOKUP($A2282, 'Instrument Table'!$I:$I, 'Instrument Table'!$B:$B, $C2281), _xlfn.XLOOKUP($A2282, 'Instrument Table'!$H:$H, 'Instrument Table'!$B:$B, $C2281)))</f>
        <v>Flute</v>
      </c>
      <c r="D2282" s="1" t="str">
        <f>VLOOKUP($C2282, 'Instrument Table'!$B:$C, 2, FALSE)</f>
        <v>Woodwinds</v>
      </c>
      <c r="E2282" s="1">
        <f t="shared" si="210"/>
        <v>1</v>
      </c>
      <c r="F2282" s="1">
        <f>_xlfn.XLOOKUP($C2282, 'Instrument Table'!$B:$B, 'Instrument Table'!$A:$A, "")</f>
        <v>32</v>
      </c>
      <c r="G2282" s="1" t="str">
        <f>TEXT(IF($B2282 = "Retail Item", IF((ROW($A2282) - 4504 - _xlfn.XMATCH($C2282, $C$4506:$C$5005, 0, 1)) &lt;= VLOOKUP($C2282, 'Instrument Table'!$B:$D, 3, FALSE), ROW($A2282) - 4504 - _xlfn.XMATCH($C2282, $C$4506:$C$5005, 0, 1), 0), 0), "00")</f>
        <v>00</v>
      </c>
      <c r="H2282" s="1" t="str">
        <f t="shared" si="211"/>
        <v>026</v>
      </c>
      <c r="I2282" s="1" t="str">
        <f t="shared" si="212"/>
        <v>13200-026</v>
      </c>
      <c r="J2282" s="1" t="str">
        <f t="shared" si="213"/>
        <v>Flute production item #026</v>
      </c>
      <c r="K2282" s="1" t="str">
        <f>IF(SUM(COUNTIFS(I:I, I2282)) &gt; 1, "DUPLICATE", "UNIQUE")</f>
        <v>UNIQUE</v>
      </c>
      <c r="L2282" s="18">
        <v>1</v>
      </c>
      <c r="M2282" s="28">
        <v>52</v>
      </c>
      <c r="N2282" s="6">
        <v>100</v>
      </c>
      <c r="O2282" s="30">
        <f t="shared" si="214"/>
        <v>52</v>
      </c>
      <c r="P2282" s="30">
        <f t="shared" si="215"/>
        <v>5200</v>
      </c>
      <c r="Q2282" s="1">
        <f>COUNTIFS($P:$P, "&gt;" &amp; $P2282) + 1</f>
        <v>2403</v>
      </c>
      <c r="R2282" s="63">
        <f>(COUNTIFS($P:$P, "&gt;" &amp; $P2282) + 1) / (COUNTA($I:$I) - 1)</f>
        <v>0.48060000000000003</v>
      </c>
      <c r="S2282" s="23">
        <f>SUMIFS($P:$P, $Q:$Q, "&lt;" &amp; $Q2282)</f>
        <v>182632128</v>
      </c>
    </row>
    <row r="2283" spans="1:19" x14ac:dyDescent="0.25">
      <c r="A2283" s="1">
        <v>2278</v>
      </c>
      <c r="B2283" s="1" t="s">
        <v>2</v>
      </c>
      <c r="C2283" s="1" t="str">
        <f>IF($B2283 = "Production Item", _xlfn.XLOOKUP($A2283, 'Instrument Table'!$J:$J, 'Instrument Table'!$B:$B, $C2282), IF($B2283 = "Service Item", _xlfn.XLOOKUP($A2283, 'Instrument Table'!$I:$I, 'Instrument Table'!$B:$B, $C2282), _xlfn.XLOOKUP($A2283, 'Instrument Table'!$H:$H, 'Instrument Table'!$B:$B, $C2282)))</f>
        <v>Flute</v>
      </c>
      <c r="D2283" s="1" t="str">
        <f>VLOOKUP($C2283, 'Instrument Table'!$B:$C, 2, FALSE)</f>
        <v>Woodwinds</v>
      </c>
      <c r="E2283" s="1">
        <f t="shared" si="210"/>
        <v>1</v>
      </c>
      <c r="F2283" s="1">
        <f>_xlfn.XLOOKUP($C2283, 'Instrument Table'!$B:$B, 'Instrument Table'!$A:$A, "")</f>
        <v>32</v>
      </c>
      <c r="G2283" s="1" t="str">
        <f>TEXT(IF($B2283 = "Retail Item", IF((ROW($A2283) - 4504 - _xlfn.XMATCH($C2283, $C$4506:$C$5005, 0, 1)) &lt;= VLOOKUP($C2283, 'Instrument Table'!$B:$D, 3, FALSE), ROW($A2283) - 4504 - _xlfn.XMATCH($C2283, $C$4506:$C$5005, 0, 1), 0), 0), "00")</f>
        <v>00</v>
      </c>
      <c r="H2283" s="1" t="str">
        <f t="shared" si="211"/>
        <v>027</v>
      </c>
      <c r="I2283" s="1" t="str">
        <f t="shared" si="212"/>
        <v>13200-027</v>
      </c>
      <c r="J2283" s="1" t="str">
        <f t="shared" si="213"/>
        <v>Flute production item #027</v>
      </c>
      <c r="K2283" s="1" t="str">
        <f>IF(SUM(COUNTIFS(I:I, I2283)) &gt; 1, "DUPLICATE", "UNIQUE")</f>
        <v>UNIQUE</v>
      </c>
      <c r="L2283" s="18">
        <v>0</v>
      </c>
      <c r="M2283" s="28">
        <v>26</v>
      </c>
      <c r="N2283" s="6">
        <v>144</v>
      </c>
      <c r="O2283" s="30">
        <f t="shared" si="214"/>
        <v>0</v>
      </c>
      <c r="P2283" s="30">
        <f t="shared" si="215"/>
        <v>3744</v>
      </c>
      <c r="Q2283" s="1">
        <f>COUNTIFS($P:$P, "&gt;" &amp; $P2283) + 1</f>
        <v>2710</v>
      </c>
      <c r="R2283" s="63">
        <f>(COUNTIFS($P:$P, "&gt;" &amp; $P2283) + 1) / (COUNTA($I:$I) - 1)</f>
        <v>0.54200000000000004</v>
      </c>
      <c r="S2283" s="23">
        <f>SUMIFS($P:$P, $Q:$Q, "&lt;" &amp; $Q2283)</f>
        <v>184004382</v>
      </c>
    </row>
    <row r="2284" spans="1:19" x14ac:dyDescent="0.25">
      <c r="A2284" s="1">
        <v>2279</v>
      </c>
      <c r="B2284" s="1" t="s">
        <v>2</v>
      </c>
      <c r="C2284" s="1" t="str">
        <f>IF($B2284 = "Production Item", _xlfn.XLOOKUP($A2284, 'Instrument Table'!$J:$J, 'Instrument Table'!$B:$B, $C2283), IF($B2284 = "Service Item", _xlfn.XLOOKUP($A2284, 'Instrument Table'!$I:$I, 'Instrument Table'!$B:$B, $C2283), _xlfn.XLOOKUP($A2284, 'Instrument Table'!$H:$H, 'Instrument Table'!$B:$B, $C2283)))</f>
        <v>Flute</v>
      </c>
      <c r="D2284" s="1" t="str">
        <f>VLOOKUP($C2284, 'Instrument Table'!$B:$C, 2, FALSE)</f>
        <v>Woodwinds</v>
      </c>
      <c r="E2284" s="1">
        <f t="shared" si="210"/>
        <v>1</v>
      </c>
      <c r="F2284" s="1">
        <f>_xlfn.XLOOKUP($C2284, 'Instrument Table'!$B:$B, 'Instrument Table'!$A:$A, "")</f>
        <v>32</v>
      </c>
      <c r="G2284" s="1" t="str">
        <f>TEXT(IF($B2284 = "Retail Item", IF((ROW($A2284) - 4504 - _xlfn.XMATCH($C2284, $C$4506:$C$5005, 0, 1)) &lt;= VLOOKUP($C2284, 'Instrument Table'!$B:$D, 3, FALSE), ROW($A2284) - 4504 - _xlfn.XMATCH($C2284, $C$4506:$C$5005, 0, 1), 0), 0), "00")</f>
        <v>00</v>
      </c>
      <c r="H2284" s="1" t="str">
        <f t="shared" si="211"/>
        <v>028</v>
      </c>
      <c r="I2284" s="1" t="str">
        <f t="shared" si="212"/>
        <v>13200-028</v>
      </c>
      <c r="J2284" s="1" t="str">
        <f t="shared" si="213"/>
        <v>Flute production item #028</v>
      </c>
      <c r="K2284" s="1" t="str">
        <f>IF(SUM(COUNTIFS(I:I, I2284)) &gt; 1, "DUPLICATE", "UNIQUE")</f>
        <v>UNIQUE</v>
      </c>
      <c r="L2284" s="18">
        <v>0</v>
      </c>
      <c r="M2284" s="28">
        <v>6</v>
      </c>
      <c r="N2284" s="6">
        <v>0</v>
      </c>
      <c r="O2284" s="30">
        <f t="shared" si="214"/>
        <v>0</v>
      </c>
      <c r="P2284" s="30">
        <f t="shared" si="215"/>
        <v>0</v>
      </c>
      <c r="Q2284" s="1">
        <f>COUNTIFS($P:$P, "&gt;" &amp; $P2284) + 1</f>
        <v>4746</v>
      </c>
      <c r="R2284" s="63">
        <f>(COUNTIFS($P:$P, "&gt;" &amp; $P2284) + 1) / (COUNTA($I:$I) - 1)</f>
        <v>0.94920000000000004</v>
      </c>
      <c r="S2284" s="23">
        <f>SUMIFS($P:$P, $Q:$Q, "&lt;" &amp; $Q2284)</f>
        <v>186547861</v>
      </c>
    </row>
    <row r="2285" spans="1:19" x14ac:dyDescent="0.25">
      <c r="A2285" s="1">
        <v>2280</v>
      </c>
      <c r="B2285" s="1" t="s">
        <v>2</v>
      </c>
      <c r="C2285" s="1" t="str">
        <f>IF($B2285 = "Production Item", _xlfn.XLOOKUP($A2285, 'Instrument Table'!$J:$J, 'Instrument Table'!$B:$B, $C2284), IF($B2285 = "Service Item", _xlfn.XLOOKUP($A2285, 'Instrument Table'!$I:$I, 'Instrument Table'!$B:$B, $C2284), _xlfn.XLOOKUP($A2285, 'Instrument Table'!$H:$H, 'Instrument Table'!$B:$B, $C2284)))</f>
        <v>Flute</v>
      </c>
      <c r="D2285" s="1" t="str">
        <f>VLOOKUP($C2285, 'Instrument Table'!$B:$C, 2, FALSE)</f>
        <v>Woodwinds</v>
      </c>
      <c r="E2285" s="1">
        <f t="shared" si="210"/>
        <v>1</v>
      </c>
      <c r="F2285" s="1">
        <f>_xlfn.XLOOKUP($C2285, 'Instrument Table'!$B:$B, 'Instrument Table'!$A:$A, "")</f>
        <v>32</v>
      </c>
      <c r="G2285" s="1" t="str">
        <f>TEXT(IF($B2285 = "Retail Item", IF((ROW($A2285) - 4504 - _xlfn.XMATCH($C2285, $C$4506:$C$5005, 0, 1)) &lt;= VLOOKUP($C2285, 'Instrument Table'!$B:$D, 3, FALSE), ROW($A2285) - 4504 - _xlfn.XMATCH($C2285, $C$4506:$C$5005, 0, 1), 0), 0), "00")</f>
        <v>00</v>
      </c>
      <c r="H2285" s="1" t="str">
        <f t="shared" si="211"/>
        <v>029</v>
      </c>
      <c r="I2285" s="1" t="str">
        <f t="shared" si="212"/>
        <v>13200-029</v>
      </c>
      <c r="J2285" s="1" t="str">
        <f t="shared" si="213"/>
        <v>Flute production item #029</v>
      </c>
      <c r="K2285" s="1" t="str">
        <f>IF(SUM(COUNTIFS(I:I, I2285)) &gt; 1, "DUPLICATE", "UNIQUE")</f>
        <v>UNIQUE</v>
      </c>
      <c r="L2285" s="18">
        <v>1</v>
      </c>
      <c r="M2285" s="28">
        <v>40</v>
      </c>
      <c r="N2285" s="6">
        <v>196</v>
      </c>
      <c r="O2285" s="30">
        <f t="shared" si="214"/>
        <v>40</v>
      </c>
      <c r="P2285" s="30">
        <f t="shared" si="215"/>
        <v>7840</v>
      </c>
      <c r="Q2285" s="1">
        <f>COUNTIFS($P:$P, "&gt;" &amp; $P2285) + 1</f>
        <v>2009</v>
      </c>
      <c r="R2285" s="63">
        <f>(COUNTIFS($P:$P, "&gt;" &amp; $P2285) + 1) / (COUNTA($I:$I) - 1)</f>
        <v>0.40179999999999999</v>
      </c>
      <c r="S2285" s="23">
        <f>SUMIFS($P:$P, $Q:$Q, "&lt;" &amp; $Q2285)</f>
        <v>180067447</v>
      </c>
    </row>
    <row r="2286" spans="1:19" x14ac:dyDescent="0.25">
      <c r="A2286" s="1">
        <v>2281</v>
      </c>
      <c r="B2286" s="1" t="s">
        <v>2</v>
      </c>
      <c r="C2286" s="1" t="str">
        <f>IF($B2286 = "Production Item", _xlfn.XLOOKUP($A2286, 'Instrument Table'!$J:$J, 'Instrument Table'!$B:$B, $C2285), IF($B2286 = "Service Item", _xlfn.XLOOKUP($A2286, 'Instrument Table'!$I:$I, 'Instrument Table'!$B:$B, $C2285), _xlfn.XLOOKUP($A2286, 'Instrument Table'!$H:$H, 'Instrument Table'!$B:$B, $C2285)))</f>
        <v>Flute</v>
      </c>
      <c r="D2286" s="1" t="str">
        <f>VLOOKUP($C2286, 'Instrument Table'!$B:$C, 2, FALSE)</f>
        <v>Woodwinds</v>
      </c>
      <c r="E2286" s="1">
        <f t="shared" si="210"/>
        <v>1</v>
      </c>
      <c r="F2286" s="1">
        <f>_xlfn.XLOOKUP($C2286, 'Instrument Table'!$B:$B, 'Instrument Table'!$A:$A, "")</f>
        <v>32</v>
      </c>
      <c r="G2286" s="1" t="str">
        <f>TEXT(IF($B2286 = "Retail Item", IF((ROW($A2286) - 4504 - _xlfn.XMATCH($C2286, $C$4506:$C$5005, 0, 1)) &lt;= VLOOKUP($C2286, 'Instrument Table'!$B:$D, 3, FALSE), ROW($A2286) - 4504 - _xlfn.XMATCH($C2286, $C$4506:$C$5005, 0, 1), 0), 0), "00")</f>
        <v>00</v>
      </c>
      <c r="H2286" s="1" t="str">
        <f t="shared" si="211"/>
        <v>030</v>
      </c>
      <c r="I2286" s="1" t="str">
        <f t="shared" si="212"/>
        <v>13200-030</v>
      </c>
      <c r="J2286" s="1" t="str">
        <f t="shared" si="213"/>
        <v>Flute production item #030</v>
      </c>
      <c r="K2286" s="1" t="str">
        <f>IF(SUM(COUNTIFS(I:I, I2286)) &gt; 1, "DUPLICATE", "UNIQUE")</f>
        <v>UNIQUE</v>
      </c>
      <c r="L2286" s="18">
        <v>4</v>
      </c>
      <c r="M2286" s="28">
        <v>65</v>
      </c>
      <c r="N2286" s="6">
        <v>289</v>
      </c>
      <c r="O2286" s="30">
        <f t="shared" si="214"/>
        <v>260</v>
      </c>
      <c r="P2286" s="30">
        <f t="shared" si="215"/>
        <v>18785</v>
      </c>
      <c r="Q2286" s="1">
        <f>COUNTIFS($P:$P, "&gt;" &amp; $P2286) + 1</f>
        <v>1116</v>
      </c>
      <c r="R2286" s="63">
        <f>(COUNTIFS($P:$P, "&gt;" &amp; $P2286) + 1) / (COUNTA($I:$I) - 1)</f>
        <v>0.22320000000000001</v>
      </c>
      <c r="S2286" s="23">
        <f>SUMIFS($P:$P, $Q:$Q, "&lt;" &amp; $Q2286)</f>
        <v>168806794</v>
      </c>
    </row>
    <row r="2287" spans="1:19" x14ac:dyDescent="0.25">
      <c r="A2287" s="1">
        <v>2282</v>
      </c>
      <c r="B2287" s="1" t="s">
        <v>2</v>
      </c>
      <c r="C2287" s="1" t="str">
        <f>IF($B2287 = "Production Item", _xlfn.XLOOKUP($A2287, 'Instrument Table'!$J:$J, 'Instrument Table'!$B:$B, $C2286), IF($B2287 = "Service Item", _xlfn.XLOOKUP($A2287, 'Instrument Table'!$I:$I, 'Instrument Table'!$B:$B, $C2286), _xlfn.XLOOKUP($A2287, 'Instrument Table'!$H:$H, 'Instrument Table'!$B:$B, $C2286)))</f>
        <v>Flute</v>
      </c>
      <c r="D2287" s="1" t="str">
        <f>VLOOKUP($C2287, 'Instrument Table'!$B:$C, 2, FALSE)</f>
        <v>Woodwinds</v>
      </c>
      <c r="E2287" s="1">
        <f t="shared" si="210"/>
        <v>1</v>
      </c>
      <c r="F2287" s="1">
        <f>_xlfn.XLOOKUP($C2287, 'Instrument Table'!$B:$B, 'Instrument Table'!$A:$A, "")</f>
        <v>32</v>
      </c>
      <c r="G2287" s="1" t="str">
        <f>TEXT(IF($B2287 = "Retail Item", IF((ROW($A2287) - 4504 - _xlfn.XMATCH($C2287, $C$4506:$C$5005, 0, 1)) &lt;= VLOOKUP($C2287, 'Instrument Table'!$B:$D, 3, FALSE), ROW($A2287) - 4504 - _xlfn.XMATCH($C2287, $C$4506:$C$5005, 0, 1), 0), 0), "00")</f>
        <v>00</v>
      </c>
      <c r="H2287" s="1" t="str">
        <f t="shared" si="211"/>
        <v>031</v>
      </c>
      <c r="I2287" s="1" t="str">
        <f t="shared" si="212"/>
        <v>13200-031</v>
      </c>
      <c r="J2287" s="1" t="str">
        <f t="shared" si="213"/>
        <v>Flute production item #031</v>
      </c>
      <c r="K2287" s="1" t="str">
        <f>IF(SUM(COUNTIFS(I:I, I2287)) &gt; 1, "DUPLICATE", "UNIQUE")</f>
        <v>UNIQUE</v>
      </c>
      <c r="L2287" s="18">
        <v>1</v>
      </c>
      <c r="M2287" s="28">
        <v>21</v>
      </c>
      <c r="N2287" s="6">
        <v>16</v>
      </c>
      <c r="O2287" s="30">
        <f t="shared" si="214"/>
        <v>21</v>
      </c>
      <c r="P2287" s="30">
        <f t="shared" si="215"/>
        <v>336</v>
      </c>
      <c r="Q2287" s="1">
        <f>COUNTIFS($P:$P, "&gt;" &amp; $P2287) + 1</f>
        <v>4170</v>
      </c>
      <c r="R2287" s="63">
        <f>(COUNTIFS($P:$P, "&gt;" &amp; $P2287) + 1) / (COUNTA($I:$I) - 1)</f>
        <v>0.83399999999999996</v>
      </c>
      <c r="S2287" s="23">
        <f>SUMIFS($P:$P, $Q:$Q, "&lt;" &amp; $Q2287)</f>
        <v>186470639</v>
      </c>
    </row>
    <row r="2288" spans="1:19" x14ac:dyDescent="0.25">
      <c r="A2288" s="1">
        <v>2283</v>
      </c>
      <c r="B2288" s="1" t="s">
        <v>2</v>
      </c>
      <c r="C2288" s="1" t="str">
        <f>IF($B2288 = "Production Item", _xlfn.XLOOKUP($A2288, 'Instrument Table'!$J:$J, 'Instrument Table'!$B:$B, $C2287), IF($B2288 = "Service Item", _xlfn.XLOOKUP($A2288, 'Instrument Table'!$I:$I, 'Instrument Table'!$B:$B, $C2287), _xlfn.XLOOKUP($A2288, 'Instrument Table'!$H:$H, 'Instrument Table'!$B:$B, $C2287)))</f>
        <v>Flute</v>
      </c>
      <c r="D2288" s="1" t="str">
        <f>VLOOKUP($C2288, 'Instrument Table'!$B:$C, 2, FALSE)</f>
        <v>Woodwinds</v>
      </c>
      <c r="E2288" s="1">
        <f t="shared" si="210"/>
        <v>1</v>
      </c>
      <c r="F2288" s="1">
        <f>_xlfn.XLOOKUP($C2288, 'Instrument Table'!$B:$B, 'Instrument Table'!$A:$A, "")</f>
        <v>32</v>
      </c>
      <c r="G2288" s="1" t="str">
        <f>TEXT(IF($B2288 = "Retail Item", IF((ROW($A2288) - 4504 - _xlfn.XMATCH($C2288, $C$4506:$C$5005, 0, 1)) &lt;= VLOOKUP($C2288, 'Instrument Table'!$B:$D, 3, FALSE), ROW($A2288) - 4504 - _xlfn.XMATCH($C2288, $C$4506:$C$5005, 0, 1), 0), 0), "00")</f>
        <v>00</v>
      </c>
      <c r="H2288" s="1" t="str">
        <f t="shared" si="211"/>
        <v>032</v>
      </c>
      <c r="I2288" s="1" t="str">
        <f t="shared" si="212"/>
        <v>13200-032</v>
      </c>
      <c r="J2288" s="1" t="str">
        <f t="shared" si="213"/>
        <v>Flute production item #032</v>
      </c>
      <c r="K2288" s="1" t="str">
        <f>IF(SUM(COUNTIFS(I:I, I2288)) &gt; 1, "DUPLICATE", "UNIQUE")</f>
        <v>UNIQUE</v>
      </c>
      <c r="L2288" s="18">
        <v>8</v>
      </c>
      <c r="M2288" s="28">
        <v>28</v>
      </c>
      <c r="N2288" s="6">
        <v>9</v>
      </c>
      <c r="O2288" s="30">
        <f t="shared" si="214"/>
        <v>224</v>
      </c>
      <c r="P2288" s="30">
        <f t="shared" si="215"/>
        <v>252</v>
      </c>
      <c r="Q2288" s="1">
        <f>COUNTIFS($P:$P, "&gt;" &amp; $P2288) + 1</f>
        <v>4269</v>
      </c>
      <c r="R2288" s="63">
        <f>(COUNTIFS($P:$P, "&gt;" &amp; $P2288) + 1) / (COUNTA($I:$I) - 1)</f>
        <v>0.8538</v>
      </c>
      <c r="S2288" s="23">
        <f>SUMIFS($P:$P, $Q:$Q, "&lt;" &amp; $Q2288)</f>
        <v>186500011</v>
      </c>
    </row>
    <row r="2289" spans="1:19" x14ac:dyDescent="0.25">
      <c r="A2289" s="1">
        <v>2284</v>
      </c>
      <c r="B2289" s="1" t="s">
        <v>2</v>
      </c>
      <c r="C2289" s="1" t="str">
        <f>IF($B2289 = "Production Item", _xlfn.XLOOKUP($A2289, 'Instrument Table'!$J:$J, 'Instrument Table'!$B:$B, $C2288), IF($B2289 = "Service Item", _xlfn.XLOOKUP($A2289, 'Instrument Table'!$I:$I, 'Instrument Table'!$B:$B, $C2288), _xlfn.XLOOKUP($A2289, 'Instrument Table'!$H:$H, 'Instrument Table'!$B:$B, $C2288)))</f>
        <v>Flute</v>
      </c>
      <c r="D2289" s="1" t="str">
        <f>VLOOKUP($C2289, 'Instrument Table'!$B:$C, 2, FALSE)</f>
        <v>Woodwinds</v>
      </c>
      <c r="E2289" s="1">
        <f t="shared" si="210"/>
        <v>1</v>
      </c>
      <c r="F2289" s="1">
        <f>_xlfn.XLOOKUP($C2289, 'Instrument Table'!$B:$B, 'Instrument Table'!$A:$A, "")</f>
        <v>32</v>
      </c>
      <c r="G2289" s="1" t="str">
        <f>TEXT(IF($B2289 = "Retail Item", IF((ROW($A2289) - 4504 - _xlfn.XMATCH($C2289, $C$4506:$C$5005, 0, 1)) &lt;= VLOOKUP($C2289, 'Instrument Table'!$B:$D, 3, FALSE), ROW($A2289) - 4504 - _xlfn.XMATCH($C2289, $C$4506:$C$5005, 0, 1), 0), 0), "00")</f>
        <v>00</v>
      </c>
      <c r="H2289" s="1" t="str">
        <f t="shared" si="211"/>
        <v>033</v>
      </c>
      <c r="I2289" s="1" t="str">
        <f t="shared" si="212"/>
        <v>13200-033</v>
      </c>
      <c r="J2289" s="1" t="str">
        <f t="shared" si="213"/>
        <v>Flute production item #033</v>
      </c>
      <c r="K2289" s="1" t="str">
        <f>IF(SUM(COUNTIFS(I:I, I2289)) &gt; 1, "DUPLICATE", "UNIQUE")</f>
        <v>UNIQUE</v>
      </c>
      <c r="L2289" s="18">
        <v>0</v>
      </c>
      <c r="M2289" s="28">
        <v>31</v>
      </c>
      <c r="N2289" s="6">
        <v>36</v>
      </c>
      <c r="O2289" s="30">
        <f t="shared" si="214"/>
        <v>0</v>
      </c>
      <c r="P2289" s="30">
        <f t="shared" si="215"/>
        <v>1116</v>
      </c>
      <c r="Q2289" s="1">
        <f>COUNTIFS($P:$P, "&gt;" &amp; $P2289) + 1</f>
        <v>3646</v>
      </c>
      <c r="R2289" s="63">
        <f>(COUNTIFS($P:$P, "&gt;" &amp; $P2289) + 1) / (COUNTA($I:$I) - 1)</f>
        <v>0.72919999999999996</v>
      </c>
      <c r="S2289" s="23">
        <f>SUMIFS($P:$P, $Q:$Q, "&lt;" &amp; $Q2289)</f>
        <v>186123383</v>
      </c>
    </row>
    <row r="2290" spans="1:19" x14ac:dyDescent="0.25">
      <c r="A2290" s="1">
        <v>2285</v>
      </c>
      <c r="B2290" s="1" t="s">
        <v>2</v>
      </c>
      <c r="C2290" s="1" t="str">
        <f>IF($B2290 = "Production Item", _xlfn.XLOOKUP($A2290, 'Instrument Table'!$J:$J, 'Instrument Table'!$B:$B, $C2289), IF($B2290 = "Service Item", _xlfn.XLOOKUP($A2290, 'Instrument Table'!$I:$I, 'Instrument Table'!$B:$B, $C2289), _xlfn.XLOOKUP($A2290, 'Instrument Table'!$H:$H, 'Instrument Table'!$B:$B, $C2289)))</f>
        <v>Flute</v>
      </c>
      <c r="D2290" s="1" t="str">
        <f>VLOOKUP($C2290, 'Instrument Table'!$B:$C, 2, FALSE)</f>
        <v>Woodwinds</v>
      </c>
      <c r="E2290" s="1">
        <f t="shared" si="210"/>
        <v>1</v>
      </c>
      <c r="F2290" s="1">
        <f>_xlfn.XLOOKUP($C2290, 'Instrument Table'!$B:$B, 'Instrument Table'!$A:$A, "")</f>
        <v>32</v>
      </c>
      <c r="G2290" s="1" t="str">
        <f>TEXT(IF($B2290 = "Retail Item", IF((ROW($A2290) - 4504 - _xlfn.XMATCH($C2290, $C$4506:$C$5005, 0, 1)) &lt;= VLOOKUP($C2290, 'Instrument Table'!$B:$D, 3, FALSE), ROW($A2290) - 4504 - _xlfn.XMATCH($C2290, $C$4506:$C$5005, 0, 1), 0), 0), "00")</f>
        <v>00</v>
      </c>
      <c r="H2290" s="1" t="str">
        <f t="shared" si="211"/>
        <v>034</v>
      </c>
      <c r="I2290" s="1" t="str">
        <f t="shared" si="212"/>
        <v>13200-034</v>
      </c>
      <c r="J2290" s="1" t="str">
        <f t="shared" si="213"/>
        <v>Flute production item #034</v>
      </c>
      <c r="K2290" s="1" t="str">
        <f>IF(SUM(COUNTIFS(I:I, I2290)) &gt; 1, "DUPLICATE", "UNIQUE")</f>
        <v>UNIQUE</v>
      </c>
      <c r="L2290" s="18">
        <v>0</v>
      </c>
      <c r="M2290" s="28">
        <v>63</v>
      </c>
      <c r="N2290" s="6">
        <v>256</v>
      </c>
      <c r="O2290" s="30">
        <f t="shared" si="214"/>
        <v>0</v>
      </c>
      <c r="P2290" s="30">
        <f t="shared" si="215"/>
        <v>16128</v>
      </c>
      <c r="Q2290" s="1">
        <f>COUNTIFS($P:$P, "&gt;" &amp; $P2290) + 1</f>
        <v>1276</v>
      </c>
      <c r="R2290" s="63">
        <f>(COUNTIFS($P:$P, "&gt;" &amp; $P2290) + 1) / (COUNTA($I:$I) - 1)</f>
        <v>0.25519999999999998</v>
      </c>
      <c r="S2290" s="23">
        <f>SUMIFS($P:$P, $Q:$Q, "&lt;" &amp; $Q2290)</f>
        <v>171592386</v>
      </c>
    </row>
    <row r="2291" spans="1:19" x14ac:dyDescent="0.25">
      <c r="A2291" s="1">
        <v>2286</v>
      </c>
      <c r="B2291" s="1" t="s">
        <v>2</v>
      </c>
      <c r="C2291" s="1" t="str">
        <f>IF($B2291 = "Production Item", _xlfn.XLOOKUP($A2291, 'Instrument Table'!$J:$J, 'Instrument Table'!$B:$B, $C2290), IF($B2291 = "Service Item", _xlfn.XLOOKUP($A2291, 'Instrument Table'!$I:$I, 'Instrument Table'!$B:$B, $C2290), _xlfn.XLOOKUP($A2291, 'Instrument Table'!$H:$H, 'Instrument Table'!$B:$B, $C2290)))</f>
        <v>Flute</v>
      </c>
      <c r="D2291" s="1" t="str">
        <f>VLOOKUP($C2291, 'Instrument Table'!$B:$C, 2, FALSE)</f>
        <v>Woodwinds</v>
      </c>
      <c r="E2291" s="1">
        <f t="shared" si="210"/>
        <v>1</v>
      </c>
      <c r="F2291" s="1">
        <f>_xlfn.XLOOKUP($C2291, 'Instrument Table'!$B:$B, 'Instrument Table'!$A:$A, "")</f>
        <v>32</v>
      </c>
      <c r="G2291" s="1" t="str">
        <f>TEXT(IF($B2291 = "Retail Item", IF((ROW($A2291) - 4504 - _xlfn.XMATCH($C2291, $C$4506:$C$5005, 0, 1)) &lt;= VLOOKUP($C2291, 'Instrument Table'!$B:$D, 3, FALSE), ROW($A2291) - 4504 - _xlfn.XMATCH($C2291, $C$4506:$C$5005, 0, 1), 0), 0), "00")</f>
        <v>00</v>
      </c>
      <c r="H2291" s="1" t="str">
        <f t="shared" si="211"/>
        <v>035</v>
      </c>
      <c r="I2291" s="1" t="str">
        <f t="shared" si="212"/>
        <v>13200-035</v>
      </c>
      <c r="J2291" s="1" t="str">
        <f t="shared" si="213"/>
        <v>Flute production item #035</v>
      </c>
      <c r="K2291" s="1" t="str">
        <f>IF(SUM(COUNTIFS(I:I, I2291)) &gt; 1, "DUPLICATE", "UNIQUE")</f>
        <v>UNIQUE</v>
      </c>
      <c r="L2291" s="18">
        <v>1</v>
      </c>
      <c r="M2291" s="28">
        <v>46</v>
      </c>
      <c r="N2291" s="6">
        <v>256</v>
      </c>
      <c r="O2291" s="30">
        <f t="shared" si="214"/>
        <v>46</v>
      </c>
      <c r="P2291" s="30">
        <f t="shared" si="215"/>
        <v>11776</v>
      </c>
      <c r="Q2291" s="1">
        <f>COUNTIFS($P:$P, "&gt;" &amp; $P2291) + 1</f>
        <v>1598</v>
      </c>
      <c r="R2291" s="63">
        <f>(COUNTIFS($P:$P, "&gt;" &amp; $P2291) + 1) / (COUNTA($I:$I) - 1)</f>
        <v>0.3196</v>
      </c>
      <c r="S2291" s="23">
        <f>SUMIFS($P:$P, $Q:$Q, "&lt;" &amp; $Q2291)</f>
        <v>176055060</v>
      </c>
    </row>
    <row r="2292" spans="1:19" x14ac:dyDescent="0.25">
      <c r="A2292" s="1">
        <v>2287</v>
      </c>
      <c r="B2292" s="1" t="s">
        <v>2</v>
      </c>
      <c r="C2292" s="1" t="str">
        <f>IF($B2292 = "Production Item", _xlfn.XLOOKUP($A2292, 'Instrument Table'!$J:$J, 'Instrument Table'!$B:$B, $C2291), IF($B2292 = "Service Item", _xlfn.XLOOKUP($A2292, 'Instrument Table'!$I:$I, 'Instrument Table'!$B:$B, $C2291), _xlfn.XLOOKUP($A2292, 'Instrument Table'!$H:$H, 'Instrument Table'!$B:$B, $C2291)))</f>
        <v>Flute</v>
      </c>
      <c r="D2292" s="1" t="str">
        <f>VLOOKUP($C2292, 'Instrument Table'!$B:$C, 2, FALSE)</f>
        <v>Woodwinds</v>
      </c>
      <c r="E2292" s="1">
        <f t="shared" si="210"/>
        <v>1</v>
      </c>
      <c r="F2292" s="1">
        <f>_xlfn.XLOOKUP($C2292, 'Instrument Table'!$B:$B, 'Instrument Table'!$A:$A, "")</f>
        <v>32</v>
      </c>
      <c r="G2292" s="1" t="str">
        <f>TEXT(IF($B2292 = "Retail Item", IF((ROW($A2292) - 4504 - _xlfn.XMATCH($C2292, $C$4506:$C$5005, 0, 1)) &lt;= VLOOKUP($C2292, 'Instrument Table'!$B:$D, 3, FALSE), ROW($A2292) - 4504 - _xlfn.XMATCH($C2292, $C$4506:$C$5005, 0, 1), 0), 0), "00")</f>
        <v>00</v>
      </c>
      <c r="H2292" s="1" t="str">
        <f t="shared" si="211"/>
        <v>036</v>
      </c>
      <c r="I2292" s="1" t="str">
        <f t="shared" si="212"/>
        <v>13200-036</v>
      </c>
      <c r="J2292" s="1" t="str">
        <f t="shared" si="213"/>
        <v>Flute production item #036</v>
      </c>
      <c r="K2292" s="1" t="str">
        <f>IF(SUM(COUNTIFS(I:I, I2292)) &gt; 1, "DUPLICATE", "UNIQUE")</f>
        <v>UNIQUE</v>
      </c>
      <c r="L2292" s="18">
        <v>1</v>
      </c>
      <c r="M2292" s="28">
        <v>37</v>
      </c>
      <c r="N2292" s="6">
        <v>196</v>
      </c>
      <c r="O2292" s="30">
        <f t="shared" si="214"/>
        <v>37</v>
      </c>
      <c r="P2292" s="30">
        <f t="shared" si="215"/>
        <v>7252</v>
      </c>
      <c r="Q2292" s="1">
        <f>COUNTIFS($P:$P, "&gt;" &amp; $P2292) + 1</f>
        <v>2104</v>
      </c>
      <c r="R2292" s="63">
        <f>(COUNTIFS($P:$P, "&gt;" &amp; $P2292) + 1) / (COUNTA($I:$I) - 1)</f>
        <v>0.42080000000000001</v>
      </c>
      <c r="S2292" s="23">
        <f>SUMIFS($P:$P, $Q:$Q, "&lt;" &amp; $Q2292)</f>
        <v>180787751</v>
      </c>
    </row>
    <row r="2293" spans="1:19" x14ac:dyDescent="0.25">
      <c r="A2293" s="1">
        <v>2288</v>
      </c>
      <c r="B2293" s="1" t="s">
        <v>2</v>
      </c>
      <c r="C2293" s="1" t="str">
        <f>IF($B2293 = "Production Item", _xlfn.XLOOKUP($A2293, 'Instrument Table'!$J:$J, 'Instrument Table'!$B:$B, $C2292), IF($B2293 = "Service Item", _xlfn.XLOOKUP($A2293, 'Instrument Table'!$I:$I, 'Instrument Table'!$B:$B, $C2292), _xlfn.XLOOKUP($A2293, 'Instrument Table'!$H:$H, 'Instrument Table'!$B:$B, $C2292)))</f>
        <v>Flute</v>
      </c>
      <c r="D2293" s="1" t="str">
        <f>VLOOKUP($C2293, 'Instrument Table'!$B:$C, 2, FALSE)</f>
        <v>Woodwinds</v>
      </c>
      <c r="E2293" s="1">
        <f t="shared" si="210"/>
        <v>1</v>
      </c>
      <c r="F2293" s="1">
        <f>_xlfn.XLOOKUP($C2293, 'Instrument Table'!$B:$B, 'Instrument Table'!$A:$A, "")</f>
        <v>32</v>
      </c>
      <c r="G2293" s="1" t="str">
        <f>TEXT(IF($B2293 = "Retail Item", IF((ROW($A2293) - 4504 - _xlfn.XMATCH($C2293, $C$4506:$C$5005, 0, 1)) &lt;= VLOOKUP($C2293, 'Instrument Table'!$B:$D, 3, FALSE), ROW($A2293) - 4504 - _xlfn.XMATCH($C2293, $C$4506:$C$5005, 0, 1), 0), 0), "00")</f>
        <v>00</v>
      </c>
      <c r="H2293" s="1" t="str">
        <f t="shared" si="211"/>
        <v>037</v>
      </c>
      <c r="I2293" s="1" t="str">
        <f t="shared" si="212"/>
        <v>13200-037</v>
      </c>
      <c r="J2293" s="1" t="str">
        <f t="shared" si="213"/>
        <v>Flute production item #037</v>
      </c>
      <c r="K2293" s="1" t="str">
        <f>IF(SUM(COUNTIFS(I:I, I2293)) &gt; 1, "DUPLICATE", "UNIQUE")</f>
        <v>UNIQUE</v>
      </c>
      <c r="L2293" s="18">
        <v>1</v>
      </c>
      <c r="M2293" s="28">
        <v>88</v>
      </c>
      <c r="N2293" s="6">
        <v>1</v>
      </c>
      <c r="O2293" s="30">
        <f t="shared" si="214"/>
        <v>88</v>
      </c>
      <c r="P2293" s="30">
        <f t="shared" si="215"/>
        <v>88</v>
      </c>
      <c r="Q2293" s="1">
        <f>COUNTIFS($P:$P, "&gt;" &amp; $P2293) + 1</f>
        <v>4484</v>
      </c>
      <c r="R2293" s="63">
        <f>(COUNTIFS($P:$P, "&gt;" &amp; $P2293) + 1) / (COUNTA($I:$I) - 1)</f>
        <v>0.89680000000000004</v>
      </c>
      <c r="S2293" s="23">
        <f>SUMIFS($P:$P, $Q:$Q, "&lt;" &amp; $Q2293)</f>
        <v>186535476</v>
      </c>
    </row>
    <row r="2294" spans="1:19" x14ac:dyDescent="0.25">
      <c r="A2294" s="1">
        <v>2289</v>
      </c>
      <c r="B2294" s="1" t="s">
        <v>2</v>
      </c>
      <c r="C2294" s="1" t="str">
        <f>IF($B2294 = "Production Item", _xlfn.XLOOKUP($A2294, 'Instrument Table'!$J:$J, 'Instrument Table'!$B:$B, $C2293), IF($B2294 = "Service Item", _xlfn.XLOOKUP($A2294, 'Instrument Table'!$I:$I, 'Instrument Table'!$B:$B, $C2293), _xlfn.XLOOKUP($A2294, 'Instrument Table'!$H:$H, 'Instrument Table'!$B:$B, $C2293)))</f>
        <v>Flute</v>
      </c>
      <c r="D2294" s="1" t="str">
        <f>VLOOKUP($C2294, 'Instrument Table'!$B:$C, 2, FALSE)</f>
        <v>Woodwinds</v>
      </c>
      <c r="E2294" s="1">
        <f t="shared" si="210"/>
        <v>1</v>
      </c>
      <c r="F2294" s="1">
        <f>_xlfn.XLOOKUP($C2294, 'Instrument Table'!$B:$B, 'Instrument Table'!$A:$A, "")</f>
        <v>32</v>
      </c>
      <c r="G2294" s="1" t="str">
        <f>TEXT(IF($B2294 = "Retail Item", IF((ROW($A2294) - 4504 - _xlfn.XMATCH($C2294, $C$4506:$C$5005, 0, 1)) &lt;= VLOOKUP($C2294, 'Instrument Table'!$B:$D, 3, FALSE), ROW($A2294) - 4504 - _xlfn.XMATCH($C2294, $C$4506:$C$5005, 0, 1), 0), 0), "00")</f>
        <v>00</v>
      </c>
      <c r="H2294" s="1" t="str">
        <f t="shared" si="211"/>
        <v>038</v>
      </c>
      <c r="I2294" s="1" t="str">
        <f t="shared" si="212"/>
        <v>13200-038</v>
      </c>
      <c r="J2294" s="1" t="str">
        <f t="shared" si="213"/>
        <v>Flute production item #038</v>
      </c>
      <c r="K2294" s="1" t="str">
        <f>IF(SUM(COUNTIFS(I:I, I2294)) &gt; 1, "DUPLICATE", "UNIQUE")</f>
        <v>UNIQUE</v>
      </c>
      <c r="L2294" s="18">
        <v>16</v>
      </c>
      <c r="M2294" s="28">
        <v>34</v>
      </c>
      <c r="N2294" s="6">
        <v>225</v>
      </c>
      <c r="O2294" s="30">
        <f t="shared" si="214"/>
        <v>544</v>
      </c>
      <c r="P2294" s="30">
        <f t="shared" si="215"/>
        <v>7650</v>
      </c>
      <c r="Q2294" s="1">
        <f>COUNTIFS($P:$P, "&gt;" &amp; $P2294) + 1</f>
        <v>2046</v>
      </c>
      <c r="R2294" s="63">
        <f>(COUNTIFS($P:$P, "&gt;" &amp; $P2294) + 1) / (COUNTA($I:$I) - 1)</f>
        <v>0.40920000000000001</v>
      </c>
      <c r="S2294" s="23">
        <f>SUMIFS($P:$P, $Q:$Q, "&lt;" &amp; $Q2294)</f>
        <v>180354450</v>
      </c>
    </row>
    <row r="2295" spans="1:19" x14ac:dyDescent="0.25">
      <c r="A2295" s="1">
        <v>2290</v>
      </c>
      <c r="B2295" s="1" t="s">
        <v>2</v>
      </c>
      <c r="C2295" s="1" t="str">
        <f>IF($B2295 = "Production Item", _xlfn.XLOOKUP($A2295, 'Instrument Table'!$J:$J, 'Instrument Table'!$B:$B, $C2294), IF($B2295 = "Service Item", _xlfn.XLOOKUP($A2295, 'Instrument Table'!$I:$I, 'Instrument Table'!$B:$B, $C2294), _xlfn.XLOOKUP($A2295, 'Instrument Table'!$H:$H, 'Instrument Table'!$B:$B, $C2294)))</f>
        <v>Flute</v>
      </c>
      <c r="D2295" s="1" t="str">
        <f>VLOOKUP($C2295, 'Instrument Table'!$B:$C, 2, FALSE)</f>
        <v>Woodwinds</v>
      </c>
      <c r="E2295" s="1">
        <f t="shared" si="210"/>
        <v>1</v>
      </c>
      <c r="F2295" s="1">
        <f>_xlfn.XLOOKUP($C2295, 'Instrument Table'!$B:$B, 'Instrument Table'!$A:$A, "")</f>
        <v>32</v>
      </c>
      <c r="G2295" s="1" t="str">
        <f>TEXT(IF($B2295 = "Retail Item", IF((ROW($A2295) - 4504 - _xlfn.XMATCH($C2295, $C$4506:$C$5005, 0, 1)) &lt;= VLOOKUP($C2295, 'Instrument Table'!$B:$D, 3, FALSE), ROW($A2295) - 4504 - _xlfn.XMATCH($C2295, $C$4506:$C$5005, 0, 1), 0), 0), "00")</f>
        <v>00</v>
      </c>
      <c r="H2295" s="1" t="str">
        <f t="shared" si="211"/>
        <v>039</v>
      </c>
      <c r="I2295" s="1" t="str">
        <f t="shared" si="212"/>
        <v>13200-039</v>
      </c>
      <c r="J2295" s="1" t="str">
        <f t="shared" si="213"/>
        <v>Flute production item #039</v>
      </c>
      <c r="K2295" s="1" t="str">
        <f>IF(SUM(COUNTIFS(I:I, I2295)) &gt; 1, "DUPLICATE", "UNIQUE")</f>
        <v>UNIQUE</v>
      </c>
      <c r="L2295" s="18">
        <v>1</v>
      </c>
      <c r="M2295" s="28">
        <v>21</v>
      </c>
      <c r="N2295" s="6">
        <v>1</v>
      </c>
      <c r="O2295" s="30">
        <f t="shared" si="214"/>
        <v>21</v>
      </c>
      <c r="P2295" s="30">
        <f t="shared" si="215"/>
        <v>21</v>
      </c>
      <c r="Q2295" s="1">
        <f>COUNTIFS($P:$P, "&gt;" &amp; $P2295) + 1</f>
        <v>4686</v>
      </c>
      <c r="R2295" s="63">
        <f>(COUNTIFS($P:$P, "&gt;" &amp; $P2295) + 1) / (COUNTA($I:$I) - 1)</f>
        <v>0.93720000000000003</v>
      </c>
      <c r="S2295" s="23">
        <f>SUMIFS($P:$P, $Q:$Q, "&lt;" &amp; $Q2295)</f>
        <v>186547115</v>
      </c>
    </row>
    <row r="2296" spans="1:19" x14ac:dyDescent="0.25">
      <c r="A2296" s="1">
        <v>2291</v>
      </c>
      <c r="B2296" s="1" t="s">
        <v>2</v>
      </c>
      <c r="C2296" s="1" t="str">
        <f>IF($B2296 = "Production Item", _xlfn.XLOOKUP($A2296, 'Instrument Table'!$J:$J, 'Instrument Table'!$B:$B, $C2295), IF($B2296 = "Service Item", _xlfn.XLOOKUP($A2296, 'Instrument Table'!$I:$I, 'Instrument Table'!$B:$B, $C2295), _xlfn.XLOOKUP($A2296, 'Instrument Table'!$H:$H, 'Instrument Table'!$B:$B, $C2295)))</f>
        <v>Flute</v>
      </c>
      <c r="D2296" s="1" t="str">
        <f>VLOOKUP($C2296, 'Instrument Table'!$B:$C, 2, FALSE)</f>
        <v>Woodwinds</v>
      </c>
      <c r="E2296" s="1">
        <f t="shared" si="210"/>
        <v>1</v>
      </c>
      <c r="F2296" s="1">
        <f>_xlfn.XLOOKUP($C2296, 'Instrument Table'!$B:$B, 'Instrument Table'!$A:$A, "")</f>
        <v>32</v>
      </c>
      <c r="G2296" s="1" t="str">
        <f>TEXT(IF($B2296 = "Retail Item", IF((ROW($A2296) - 4504 - _xlfn.XMATCH($C2296, $C$4506:$C$5005, 0, 1)) &lt;= VLOOKUP($C2296, 'Instrument Table'!$B:$D, 3, FALSE), ROW($A2296) - 4504 - _xlfn.XMATCH($C2296, $C$4506:$C$5005, 0, 1), 0), 0), "00")</f>
        <v>00</v>
      </c>
      <c r="H2296" s="1" t="str">
        <f t="shared" si="211"/>
        <v>040</v>
      </c>
      <c r="I2296" s="1" t="str">
        <f t="shared" si="212"/>
        <v>13200-040</v>
      </c>
      <c r="J2296" s="1" t="str">
        <f t="shared" si="213"/>
        <v>Flute production item #040</v>
      </c>
      <c r="K2296" s="1" t="str">
        <f>IF(SUM(COUNTIFS(I:I, I2296)) &gt; 1, "DUPLICATE", "UNIQUE")</f>
        <v>UNIQUE</v>
      </c>
      <c r="L2296" s="18">
        <v>1</v>
      </c>
      <c r="M2296" s="28">
        <v>83</v>
      </c>
      <c r="N2296" s="6">
        <v>25</v>
      </c>
      <c r="O2296" s="30">
        <f t="shared" si="214"/>
        <v>83</v>
      </c>
      <c r="P2296" s="30">
        <f t="shared" si="215"/>
        <v>2075</v>
      </c>
      <c r="Q2296" s="1">
        <f>COUNTIFS($P:$P, "&gt;" &amp; $P2296) + 1</f>
        <v>3217</v>
      </c>
      <c r="R2296" s="63">
        <f>(COUNTIFS($P:$P, "&gt;" &amp; $P2296) + 1) / (COUNTA($I:$I) - 1)</f>
        <v>0.64339999999999997</v>
      </c>
      <c r="S2296" s="23">
        <f>SUMIFS($P:$P, $Q:$Q, "&lt;" &amp; $Q2296)</f>
        <v>185443402</v>
      </c>
    </row>
    <row r="2297" spans="1:19" x14ac:dyDescent="0.25">
      <c r="A2297" s="1">
        <v>2292</v>
      </c>
      <c r="B2297" s="1" t="s">
        <v>2</v>
      </c>
      <c r="C2297" s="1" t="str">
        <f>IF($B2297 = "Production Item", _xlfn.XLOOKUP($A2297, 'Instrument Table'!$J:$J, 'Instrument Table'!$B:$B, $C2296), IF($B2297 = "Service Item", _xlfn.XLOOKUP($A2297, 'Instrument Table'!$I:$I, 'Instrument Table'!$B:$B, $C2296), _xlfn.XLOOKUP($A2297, 'Instrument Table'!$H:$H, 'Instrument Table'!$B:$B, $C2296)))</f>
        <v>Flute</v>
      </c>
      <c r="D2297" s="1" t="str">
        <f>VLOOKUP($C2297, 'Instrument Table'!$B:$C, 2, FALSE)</f>
        <v>Woodwinds</v>
      </c>
      <c r="E2297" s="1">
        <f t="shared" si="210"/>
        <v>1</v>
      </c>
      <c r="F2297" s="1">
        <f>_xlfn.XLOOKUP($C2297, 'Instrument Table'!$B:$B, 'Instrument Table'!$A:$A, "")</f>
        <v>32</v>
      </c>
      <c r="G2297" s="1" t="str">
        <f>TEXT(IF($B2297 = "Retail Item", IF((ROW($A2297) - 4504 - _xlfn.XMATCH($C2297, $C$4506:$C$5005, 0, 1)) &lt;= VLOOKUP($C2297, 'Instrument Table'!$B:$D, 3, FALSE), ROW($A2297) - 4504 - _xlfn.XMATCH($C2297, $C$4506:$C$5005, 0, 1), 0), 0), "00")</f>
        <v>00</v>
      </c>
      <c r="H2297" s="1" t="str">
        <f t="shared" si="211"/>
        <v>041</v>
      </c>
      <c r="I2297" s="1" t="str">
        <f t="shared" si="212"/>
        <v>13200-041</v>
      </c>
      <c r="J2297" s="1" t="str">
        <f t="shared" si="213"/>
        <v>Flute production item #041</v>
      </c>
      <c r="K2297" s="1" t="str">
        <f>IF(SUM(COUNTIFS(I:I, I2297)) &gt; 1, "DUPLICATE", "UNIQUE")</f>
        <v>UNIQUE</v>
      </c>
      <c r="L2297" s="18">
        <v>1</v>
      </c>
      <c r="M2297" s="28">
        <v>13</v>
      </c>
      <c r="N2297" s="6">
        <v>0</v>
      </c>
      <c r="O2297" s="30">
        <f t="shared" si="214"/>
        <v>13</v>
      </c>
      <c r="P2297" s="30">
        <f t="shared" si="215"/>
        <v>0</v>
      </c>
      <c r="Q2297" s="1">
        <f>COUNTIFS($P:$P, "&gt;" &amp; $P2297) + 1</f>
        <v>4746</v>
      </c>
      <c r="R2297" s="63">
        <f>(COUNTIFS($P:$P, "&gt;" &amp; $P2297) + 1) / (COUNTA($I:$I) - 1)</f>
        <v>0.94920000000000004</v>
      </c>
      <c r="S2297" s="23">
        <f>SUMIFS($P:$P, $Q:$Q, "&lt;" &amp; $Q2297)</f>
        <v>186547861</v>
      </c>
    </row>
    <row r="2298" spans="1:19" x14ac:dyDescent="0.25">
      <c r="A2298" s="1">
        <v>2293</v>
      </c>
      <c r="B2298" s="1" t="s">
        <v>2</v>
      </c>
      <c r="C2298" s="1" t="str">
        <f>IF($B2298 = "Production Item", _xlfn.XLOOKUP($A2298, 'Instrument Table'!$J:$J, 'Instrument Table'!$B:$B, $C2297), IF($B2298 = "Service Item", _xlfn.XLOOKUP($A2298, 'Instrument Table'!$I:$I, 'Instrument Table'!$B:$B, $C2297), _xlfn.XLOOKUP($A2298, 'Instrument Table'!$H:$H, 'Instrument Table'!$B:$B, $C2297)))</f>
        <v>Flute</v>
      </c>
      <c r="D2298" s="1" t="str">
        <f>VLOOKUP($C2298, 'Instrument Table'!$B:$C, 2, FALSE)</f>
        <v>Woodwinds</v>
      </c>
      <c r="E2298" s="1">
        <f t="shared" si="210"/>
        <v>1</v>
      </c>
      <c r="F2298" s="1">
        <f>_xlfn.XLOOKUP($C2298, 'Instrument Table'!$B:$B, 'Instrument Table'!$A:$A, "")</f>
        <v>32</v>
      </c>
      <c r="G2298" s="1" t="str">
        <f>TEXT(IF($B2298 = "Retail Item", IF((ROW($A2298) - 4504 - _xlfn.XMATCH($C2298, $C$4506:$C$5005, 0, 1)) &lt;= VLOOKUP($C2298, 'Instrument Table'!$B:$D, 3, FALSE), ROW($A2298) - 4504 - _xlfn.XMATCH($C2298, $C$4506:$C$5005, 0, 1), 0), 0), "00")</f>
        <v>00</v>
      </c>
      <c r="H2298" s="1" t="str">
        <f t="shared" si="211"/>
        <v>042</v>
      </c>
      <c r="I2298" s="1" t="str">
        <f t="shared" si="212"/>
        <v>13200-042</v>
      </c>
      <c r="J2298" s="1" t="str">
        <f t="shared" si="213"/>
        <v>Flute production item #042</v>
      </c>
      <c r="K2298" s="1" t="str">
        <f>IF(SUM(COUNTIFS(I:I, I2298)) &gt; 1, "DUPLICATE", "UNIQUE")</f>
        <v>UNIQUE</v>
      </c>
      <c r="L2298" s="18">
        <v>32</v>
      </c>
      <c r="M2298" s="28">
        <v>21</v>
      </c>
      <c r="N2298" s="6">
        <v>256</v>
      </c>
      <c r="O2298" s="30">
        <f t="shared" si="214"/>
        <v>672</v>
      </c>
      <c r="P2298" s="30">
        <f t="shared" si="215"/>
        <v>5376</v>
      </c>
      <c r="Q2298" s="1">
        <f>COUNTIFS($P:$P, "&gt;" &amp; $P2298) + 1</f>
        <v>2375</v>
      </c>
      <c r="R2298" s="63">
        <f>(COUNTIFS($P:$P, "&gt;" &amp; $P2298) + 1) / (COUNTA($I:$I) - 1)</f>
        <v>0.47499999999999998</v>
      </c>
      <c r="S2298" s="23">
        <f>SUMIFS($P:$P, $Q:$Q, "&lt;" &amp; $Q2298)</f>
        <v>182483955</v>
      </c>
    </row>
    <row r="2299" spans="1:19" x14ac:dyDescent="0.25">
      <c r="A2299" s="1">
        <v>2294</v>
      </c>
      <c r="B2299" s="1" t="s">
        <v>2</v>
      </c>
      <c r="C2299" s="1" t="str">
        <f>IF($B2299 = "Production Item", _xlfn.XLOOKUP($A2299, 'Instrument Table'!$J:$J, 'Instrument Table'!$B:$B, $C2298), IF($B2299 = "Service Item", _xlfn.XLOOKUP($A2299, 'Instrument Table'!$I:$I, 'Instrument Table'!$B:$B, $C2298), _xlfn.XLOOKUP($A2299, 'Instrument Table'!$H:$H, 'Instrument Table'!$B:$B, $C2298)))</f>
        <v>Flute</v>
      </c>
      <c r="D2299" s="1" t="str">
        <f>VLOOKUP($C2299, 'Instrument Table'!$B:$C, 2, FALSE)</f>
        <v>Woodwinds</v>
      </c>
      <c r="E2299" s="1">
        <f t="shared" si="210"/>
        <v>1</v>
      </c>
      <c r="F2299" s="1">
        <f>_xlfn.XLOOKUP($C2299, 'Instrument Table'!$B:$B, 'Instrument Table'!$A:$A, "")</f>
        <v>32</v>
      </c>
      <c r="G2299" s="1" t="str">
        <f>TEXT(IF($B2299 = "Retail Item", IF((ROW($A2299) - 4504 - _xlfn.XMATCH($C2299, $C$4506:$C$5005, 0, 1)) &lt;= VLOOKUP($C2299, 'Instrument Table'!$B:$D, 3, FALSE), ROW($A2299) - 4504 - _xlfn.XMATCH($C2299, $C$4506:$C$5005, 0, 1), 0), 0), "00")</f>
        <v>00</v>
      </c>
      <c r="H2299" s="1" t="str">
        <f t="shared" si="211"/>
        <v>043</v>
      </c>
      <c r="I2299" s="1" t="str">
        <f t="shared" si="212"/>
        <v>13200-043</v>
      </c>
      <c r="J2299" s="1" t="str">
        <f t="shared" si="213"/>
        <v>Flute production item #043</v>
      </c>
      <c r="K2299" s="1" t="str">
        <f>IF(SUM(COUNTIFS(I:I, I2299)) &gt; 1, "DUPLICATE", "UNIQUE")</f>
        <v>UNIQUE</v>
      </c>
      <c r="L2299" s="18">
        <v>8</v>
      </c>
      <c r="M2299" s="28">
        <v>28</v>
      </c>
      <c r="N2299" s="6">
        <v>121</v>
      </c>
      <c r="O2299" s="30">
        <f t="shared" si="214"/>
        <v>224</v>
      </c>
      <c r="P2299" s="30">
        <f t="shared" si="215"/>
        <v>3388</v>
      </c>
      <c r="Q2299" s="1">
        <f>COUNTIFS($P:$P, "&gt;" &amp; $P2299) + 1</f>
        <v>2807</v>
      </c>
      <c r="R2299" s="63">
        <f>(COUNTIFS($P:$P, "&gt;" &amp; $P2299) + 1) / (COUNTA($I:$I) - 1)</f>
        <v>0.56140000000000001</v>
      </c>
      <c r="S2299" s="23">
        <f>SUMIFS($P:$P, $Q:$Q, "&lt;" &amp; $Q2299)</f>
        <v>184349691</v>
      </c>
    </row>
    <row r="2300" spans="1:19" x14ac:dyDescent="0.25">
      <c r="A2300" s="1">
        <v>2295</v>
      </c>
      <c r="B2300" s="1" t="s">
        <v>2</v>
      </c>
      <c r="C2300" s="1" t="str">
        <f>IF($B2300 = "Production Item", _xlfn.XLOOKUP($A2300, 'Instrument Table'!$J:$J, 'Instrument Table'!$B:$B, $C2299), IF($B2300 = "Service Item", _xlfn.XLOOKUP($A2300, 'Instrument Table'!$I:$I, 'Instrument Table'!$B:$B, $C2299), _xlfn.XLOOKUP($A2300, 'Instrument Table'!$H:$H, 'Instrument Table'!$B:$B, $C2299)))</f>
        <v>Flute</v>
      </c>
      <c r="D2300" s="1" t="str">
        <f>VLOOKUP($C2300, 'Instrument Table'!$B:$C, 2, FALSE)</f>
        <v>Woodwinds</v>
      </c>
      <c r="E2300" s="1">
        <f t="shared" si="210"/>
        <v>1</v>
      </c>
      <c r="F2300" s="1">
        <f>_xlfn.XLOOKUP($C2300, 'Instrument Table'!$B:$B, 'Instrument Table'!$A:$A, "")</f>
        <v>32</v>
      </c>
      <c r="G2300" s="1" t="str">
        <f>TEXT(IF($B2300 = "Retail Item", IF((ROW($A2300) - 4504 - _xlfn.XMATCH($C2300, $C$4506:$C$5005, 0, 1)) &lt;= VLOOKUP($C2300, 'Instrument Table'!$B:$D, 3, FALSE), ROW($A2300) - 4504 - _xlfn.XMATCH($C2300, $C$4506:$C$5005, 0, 1), 0), 0), "00")</f>
        <v>00</v>
      </c>
      <c r="H2300" s="1" t="str">
        <f t="shared" si="211"/>
        <v>044</v>
      </c>
      <c r="I2300" s="1" t="str">
        <f t="shared" si="212"/>
        <v>13200-044</v>
      </c>
      <c r="J2300" s="1" t="str">
        <f t="shared" si="213"/>
        <v>Flute production item #044</v>
      </c>
      <c r="K2300" s="1" t="str">
        <f>IF(SUM(COUNTIFS(I:I, I2300)) &gt; 1, "DUPLICATE", "UNIQUE")</f>
        <v>UNIQUE</v>
      </c>
      <c r="L2300" s="18">
        <v>0</v>
      </c>
      <c r="M2300" s="28">
        <v>82</v>
      </c>
      <c r="N2300" s="6">
        <v>169</v>
      </c>
      <c r="O2300" s="30">
        <f t="shared" si="214"/>
        <v>0</v>
      </c>
      <c r="P2300" s="30">
        <f t="shared" si="215"/>
        <v>13858</v>
      </c>
      <c r="Q2300" s="1">
        <f>COUNTIFS($P:$P, "&gt;" &amp; $P2300) + 1</f>
        <v>1430</v>
      </c>
      <c r="R2300" s="63">
        <f>(COUNTIFS($P:$P, "&gt;" &amp; $P2300) + 1) / (COUNTA($I:$I) - 1)</f>
        <v>0.28599999999999998</v>
      </c>
      <c r="S2300" s="23">
        <f>SUMIFS($P:$P, $Q:$Q, "&lt;" &amp; $Q2300)</f>
        <v>173898224</v>
      </c>
    </row>
    <row r="2301" spans="1:19" x14ac:dyDescent="0.25">
      <c r="A2301" s="1">
        <v>2296</v>
      </c>
      <c r="B2301" s="1" t="s">
        <v>2</v>
      </c>
      <c r="C2301" s="1" t="str">
        <f>IF($B2301 = "Production Item", _xlfn.XLOOKUP($A2301, 'Instrument Table'!$J:$J, 'Instrument Table'!$B:$B, $C2300), IF($B2301 = "Service Item", _xlfn.XLOOKUP($A2301, 'Instrument Table'!$I:$I, 'Instrument Table'!$B:$B, $C2300), _xlfn.XLOOKUP($A2301, 'Instrument Table'!$H:$H, 'Instrument Table'!$B:$B, $C2300)))</f>
        <v>Flute</v>
      </c>
      <c r="D2301" s="1" t="str">
        <f>VLOOKUP($C2301, 'Instrument Table'!$B:$C, 2, FALSE)</f>
        <v>Woodwinds</v>
      </c>
      <c r="E2301" s="1">
        <f t="shared" si="210"/>
        <v>1</v>
      </c>
      <c r="F2301" s="1">
        <f>_xlfn.XLOOKUP($C2301, 'Instrument Table'!$B:$B, 'Instrument Table'!$A:$A, "")</f>
        <v>32</v>
      </c>
      <c r="G2301" s="1" t="str">
        <f>TEXT(IF($B2301 = "Retail Item", IF((ROW($A2301) - 4504 - _xlfn.XMATCH($C2301, $C$4506:$C$5005, 0, 1)) &lt;= VLOOKUP($C2301, 'Instrument Table'!$B:$D, 3, FALSE), ROW($A2301) - 4504 - _xlfn.XMATCH($C2301, $C$4506:$C$5005, 0, 1), 0), 0), "00")</f>
        <v>00</v>
      </c>
      <c r="H2301" s="1" t="str">
        <f t="shared" si="211"/>
        <v>045</v>
      </c>
      <c r="I2301" s="1" t="str">
        <f t="shared" si="212"/>
        <v>13200-045</v>
      </c>
      <c r="J2301" s="1" t="str">
        <f t="shared" si="213"/>
        <v>Flute production item #045</v>
      </c>
      <c r="K2301" s="1" t="str">
        <f>IF(SUM(COUNTIFS(I:I, I2301)) &gt; 1, "DUPLICATE", "UNIQUE")</f>
        <v>UNIQUE</v>
      </c>
      <c r="L2301" s="18">
        <v>0</v>
      </c>
      <c r="M2301" s="28">
        <v>36</v>
      </c>
      <c r="N2301" s="6">
        <v>289</v>
      </c>
      <c r="O2301" s="30">
        <f t="shared" si="214"/>
        <v>0</v>
      </c>
      <c r="P2301" s="30">
        <f t="shared" si="215"/>
        <v>10404</v>
      </c>
      <c r="Q2301" s="1">
        <f>COUNTIFS($P:$P, "&gt;" &amp; $P2301) + 1</f>
        <v>1737</v>
      </c>
      <c r="R2301" s="63">
        <f>(COUNTIFS($P:$P, "&gt;" &amp; $P2301) + 1) / (COUNTA($I:$I) - 1)</f>
        <v>0.34739999999999999</v>
      </c>
      <c r="S2301" s="23">
        <f>SUMIFS($P:$P, $Q:$Q, "&lt;" &amp; $Q2301)</f>
        <v>177607388</v>
      </c>
    </row>
    <row r="2302" spans="1:19" x14ac:dyDescent="0.25">
      <c r="A2302" s="1">
        <v>2297</v>
      </c>
      <c r="B2302" s="1" t="s">
        <v>2</v>
      </c>
      <c r="C2302" s="1" t="str">
        <f>IF($B2302 = "Production Item", _xlfn.XLOOKUP($A2302, 'Instrument Table'!$J:$J, 'Instrument Table'!$B:$B, $C2301), IF($B2302 = "Service Item", _xlfn.XLOOKUP($A2302, 'Instrument Table'!$I:$I, 'Instrument Table'!$B:$B, $C2301), _xlfn.XLOOKUP($A2302, 'Instrument Table'!$H:$H, 'Instrument Table'!$B:$B, $C2301)))</f>
        <v>Flute</v>
      </c>
      <c r="D2302" s="1" t="str">
        <f>VLOOKUP($C2302, 'Instrument Table'!$B:$C, 2, FALSE)</f>
        <v>Woodwinds</v>
      </c>
      <c r="E2302" s="1">
        <f t="shared" si="210"/>
        <v>1</v>
      </c>
      <c r="F2302" s="1">
        <f>_xlfn.XLOOKUP($C2302, 'Instrument Table'!$B:$B, 'Instrument Table'!$A:$A, "")</f>
        <v>32</v>
      </c>
      <c r="G2302" s="1" t="str">
        <f>TEXT(IF($B2302 = "Retail Item", IF((ROW($A2302) - 4504 - _xlfn.XMATCH($C2302, $C$4506:$C$5005, 0, 1)) &lt;= VLOOKUP($C2302, 'Instrument Table'!$B:$D, 3, FALSE), ROW($A2302) - 4504 - _xlfn.XMATCH($C2302, $C$4506:$C$5005, 0, 1), 0), 0), "00")</f>
        <v>00</v>
      </c>
      <c r="H2302" s="1" t="str">
        <f t="shared" si="211"/>
        <v>046</v>
      </c>
      <c r="I2302" s="1" t="str">
        <f t="shared" si="212"/>
        <v>13200-046</v>
      </c>
      <c r="J2302" s="1" t="str">
        <f t="shared" si="213"/>
        <v>Flute production item #046</v>
      </c>
      <c r="K2302" s="1" t="str">
        <f>IF(SUM(COUNTIFS(I:I, I2302)) &gt; 1, "DUPLICATE", "UNIQUE")</f>
        <v>UNIQUE</v>
      </c>
      <c r="L2302" s="18">
        <v>0</v>
      </c>
      <c r="M2302" s="28">
        <v>52</v>
      </c>
      <c r="N2302" s="6">
        <v>256</v>
      </c>
      <c r="O2302" s="30">
        <f t="shared" si="214"/>
        <v>0</v>
      </c>
      <c r="P2302" s="30">
        <f t="shared" si="215"/>
        <v>13312</v>
      </c>
      <c r="Q2302" s="1">
        <f>COUNTIFS($P:$P, "&gt;" &amp; $P2302) + 1</f>
        <v>1474</v>
      </c>
      <c r="R2302" s="63">
        <f>(COUNTIFS($P:$P, "&gt;" &amp; $P2302) + 1) / (COUNTA($I:$I) - 1)</f>
        <v>0.29480000000000001</v>
      </c>
      <c r="S2302" s="23">
        <f>SUMIFS($P:$P, $Q:$Q, "&lt;" &amp; $Q2302)</f>
        <v>174496670</v>
      </c>
    </row>
    <row r="2303" spans="1:19" x14ac:dyDescent="0.25">
      <c r="A2303" s="1">
        <v>2298</v>
      </c>
      <c r="B2303" s="1" t="s">
        <v>2</v>
      </c>
      <c r="C2303" s="1" t="str">
        <f>IF($B2303 = "Production Item", _xlfn.XLOOKUP($A2303, 'Instrument Table'!$J:$J, 'Instrument Table'!$B:$B, $C2302), IF($B2303 = "Service Item", _xlfn.XLOOKUP($A2303, 'Instrument Table'!$I:$I, 'Instrument Table'!$B:$B, $C2302), _xlfn.XLOOKUP($A2303, 'Instrument Table'!$H:$H, 'Instrument Table'!$B:$B, $C2302)))</f>
        <v>Flute</v>
      </c>
      <c r="D2303" s="1" t="str">
        <f>VLOOKUP($C2303, 'Instrument Table'!$B:$C, 2, FALSE)</f>
        <v>Woodwinds</v>
      </c>
      <c r="E2303" s="1">
        <f t="shared" si="210"/>
        <v>1</v>
      </c>
      <c r="F2303" s="1">
        <f>_xlfn.XLOOKUP($C2303, 'Instrument Table'!$B:$B, 'Instrument Table'!$A:$A, "")</f>
        <v>32</v>
      </c>
      <c r="G2303" s="1" t="str">
        <f>TEXT(IF($B2303 = "Retail Item", IF((ROW($A2303) - 4504 - _xlfn.XMATCH($C2303, $C$4506:$C$5005, 0, 1)) &lt;= VLOOKUP($C2303, 'Instrument Table'!$B:$D, 3, FALSE), ROW($A2303) - 4504 - _xlfn.XMATCH($C2303, $C$4506:$C$5005, 0, 1), 0), 0), "00")</f>
        <v>00</v>
      </c>
      <c r="H2303" s="1" t="str">
        <f t="shared" si="211"/>
        <v>047</v>
      </c>
      <c r="I2303" s="1" t="str">
        <f t="shared" si="212"/>
        <v>13200-047</v>
      </c>
      <c r="J2303" s="1" t="str">
        <f t="shared" si="213"/>
        <v>Flute production item #047</v>
      </c>
      <c r="K2303" s="1" t="str">
        <f>IF(SUM(COUNTIFS(I:I, I2303)) &gt; 1, "DUPLICATE", "UNIQUE")</f>
        <v>UNIQUE</v>
      </c>
      <c r="L2303" s="18">
        <v>0</v>
      </c>
      <c r="M2303" s="28">
        <v>51</v>
      </c>
      <c r="N2303" s="6">
        <v>25</v>
      </c>
      <c r="O2303" s="30">
        <f t="shared" si="214"/>
        <v>0</v>
      </c>
      <c r="P2303" s="30">
        <f t="shared" si="215"/>
        <v>1275</v>
      </c>
      <c r="Q2303" s="1">
        <f>COUNTIFS($P:$P, "&gt;" &amp; $P2303) + 1</f>
        <v>3577</v>
      </c>
      <c r="R2303" s="63">
        <f>(COUNTIFS($P:$P, "&gt;" &amp; $P2303) + 1) / (COUNTA($I:$I) - 1)</f>
        <v>0.71540000000000004</v>
      </c>
      <c r="S2303" s="23">
        <f>SUMIFS($P:$P, $Q:$Q, "&lt;" &amp; $Q2303)</f>
        <v>186041248</v>
      </c>
    </row>
    <row r="2304" spans="1:19" x14ac:dyDescent="0.25">
      <c r="A2304" s="1">
        <v>2299</v>
      </c>
      <c r="B2304" s="1" t="s">
        <v>2</v>
      </c>
      <c r="C2304" s="1" t="str">
        <f>IF($B2304 = "Production Item", _xlfn.XLOOKUP($A2304, 'Instrument Table'!$J:$J, 'Instrument Table'!$B:$B, $C2303), IF($B2304 = "Service Item", _xlfn.XLOOKUP($A2304, 'Instrument Table'!$I:$I, 'Instrument Table'!$B:$B, $C2303), _xlfn.XLOOKUP($A2304, 'Instrument Table'!$H:$H, 'Instrument Table'!$B:$B, $C2303)))</f>
        <v>Flute</v>
      </c>
      <c r="D2304" s="1" t="str">
        <f>VLOOKUP($C2304, 'Instrument Table'!$B:$C, 2, FALSE)</f>
        <v>Woodwinds</v>
      </c>
      <c r="E2304" s="1">
        <f t="shared" si="210"/>
        <v>1</v>
      </c>
      <c r="F2304" s="1">
        <f>_xlfn.XLOOKUP($C2304, 'Instrument Table'!$B:$B, 'Instrument Table'!$A:$A, "")</f>
        <v>32</v>
      </c>
      <c r="G2304" s="1" t="str">
        <f>TEXT(IF($B2304 = "Retail Item", IF((ROW($A2304) - 4504 - _xlfn.XMATCH($C2304, $C$4506:$C$5005, 0, 1)) &lt;= VLOOKUP($C2304, 'Instrument Table'!$B:$D, 3, FALSE), ROW($A2304) - 4504 - _xlfn.XMATCH($C2304, $C$4506:$C$5005, 0, 1), 0), 0), "00")</f>
        <v>00</v>
      </c>
      <c r="H2304" s="1" t="str">
        <f t="shared" si="211"/>
        <v>048</v>
      </c>
      <c r="I2304" s="1" t="str">
        <f t="shared" si="212"/>
        <v>13200-048</v>
      </c>
      <c r="J2304" s="1" t="str">
        <f t="shared" si="213"/>
        <v>Flute production item #048</v>
      </c>
      <c r="K2304" s="1" t="str">
        <f>IF(SUM(COUNTIFS(I:I, I2304)) &gt; 1, "DUPLICATE", "UNIQUE")</f>
        <v>UNIQUE</v>
      </c>
      <c r="L2304" s="18">
        <v>1</v>
      </c>
      <c r="M2304" s="28">
        <v>56</v>
      </c>
      <c r="N2304" s="6">
        <v>400</v>
      </c>
      <c r="O2304" s="30">
        <f t="shared" si="214"/>
        <v>56</v>
      </c>
      <c r="P2304" s="30">
        <f t="shared" si="215"/>
        <v>22400</v>
      </c>
      <c r="Q2304" s="1">
        <f>COUNTIFS($P:$P, "&gt;" &amp; $P2304) + 1</f>
        <v>930</v>
      </c>
      <c r="R2304" s="63">
        <f>(COUNTIFS($P:$P, "&gt;" &amp; $P2304) + 1) / (COUNTA($I:$I) - 1)</f>
        <v>0.186</v>
      </c>
      <c r="S2304" s="23">
        <f>SUMIFS($P:$P, $Q:$Q, "&lt;" &amp; $Q2304)</f>
        <v>164964273</v>
      </c>
    </row>
    <row r="2305" spans="1:19" x14ac:dyDescent="0.25">
      <c r="A2305" s="1">
        <v>2300</v>
      </c>
      <c r="B2305" s="1" t="s">
        <v>2</v>
      </c>
      <c r="C2305" s="1" t="str">
        <f>IF($B2305 = "Production Item", _xlfn.XLOOKUP($A2305, 'Instrument Table'!$J:$J, 'Instrument Table'!$B:$B, $C2304), IF($B2305 = "Service Item", _xlfn.XLOOKUP($A2305, 'Instrument Table'!$I:$I, 'Instrument Table'!$B:$B, $C2304), _xlfn.XLOOKUP($A2305, 'Instrument Table'!$H:$H, 'Instrument Table'!$B:$B, $C2304)))</f>
        <v>Flute</v>
      </c>
      <c r="D2305" s="1" t="str">
        <f>VLOOKUP($C2305, 'Instrument Table'!$B:$C, 2, FALSE)</f>
        <v>Woodwinds</v>
      </c>
      <c r="E2305" s="1">
        <f t="shared" si="210"/>
        <v>1</v>
      </c>
      <c r="F2305" s="1">
        <f>_xlfn.XLOOKUP($C2305, 'Instrument Table'!$B:$B, 'Instrument Table'!$A:$A, "")</f>
        <v>32</v>
      </c>
      <c r="G2305" s="1" t="str">
        <f>TEXT(IF($B2305 = "Retail Item", IF((ROW($A2305) - 4504 - _xlfn.XMATCH($C2305, $C$4506:$C$5005, 0, 1)) &lt;= VLOOKUP($C2305, 'Instrument Table'!$B:$D, 3, FALSE), ROW($A2305) - 4504 - _xlfn.XMATCH($C2305, $C$4506:$C$5005, 0, 1), 0), 0), "00")</f>
        <v>00</v>
      </c>
      <c r="H2305" s="1" t="str">
        <f t="shared" si="211"/>
        <v>049</v>
      </c>
      <c r="I2305" s="1" t="str">
        <f t="shared" si="212"/>
        <v>13200-049</v>
      </c>
      <c r="J2305" s="1" t="str">
        <f t="shared" si="213"/>
        <v>Flute production item #049</v>
      </c>
      <c r="K2305" s="1" t="str">
        <f>IF(SUM(COUNTIFS(I:I, I2305)) &gt; 1, "DUPLICATE", "UNIQUE")</f>
        <v>UNIQUE</v>
      </c>
      <c r="L2305" s="18">
        <v>1</v>
      </c>
      <c r="M2305" s="28">
        <v>37</v>
      </c>
      <c r="N2305" s="6">
        <v>25</v>
      </c>
      <c r="O2305" s="30">
        <f t="shared" si="214"/>
        <v>37</v>
      </c>
      <c r="P2305" s="30">
        <f t="shared" si="215"/>
        <v>925</v>
      </c>
      <c r="Q2305" s="1">
        <f>COUNTIFS($P:$P, "&gt;" &amp; $P2305) + 1</f>
        <v>3715</v>
      </c>
      <c r="R2305" s="63">
        <f>(COUNTIFS($P:$P, "&gt;" &amp; $P2305) + 1) / (COUNTA($I:$I) - 1)</f>
        <v>0.74299999999999999</v>
      </c>
      <c r="S2305" s="23">
        <f>SUMIFS($P:$P, $Q:$Q, "&lt;" &amp; $Q2305)</f>
        <v>186192975</v>
      </c>
    </row>
    <row r="2306" spans="1:19" x14ac:dyDescent="0.25">
      <c r="A2306" s="1">
        <v>2301</v>
      </c>
      <c r="B2306" s="1" t="s">
        <v>2</v>
      </c>
      <c r="C2306" s="1" t="str">
        <f>IF($B2306 = "Production Item", _xlfn.XLOOKUP($A2306, 'Instrument Table'!$J:$J, 'Instrument Table'!$B:$B, $C2305), IF($B2306 = "Service Item", _xlfn.XLOOKUP($A2306, 'Instrument Table'!$I:$I, 'Instrument Table'!$B:$B, $C2305), _xlfn.XLOOKUP($A2306, 'Instrument Table'!$H:$H, 'Instrument Table'!$B:$B, $C2305)))</f>
        <v>Piccolo</v>
      </c>
      <c r="D2306" s="1" t="str">
        <f>VLOOKUP($C2306, 'Instrument Table'!$B:$C, 2, FALSE)</f>
        <v>Woodwinds</v>
      </c>
      <c r="E2306" s="1">
        <f t="shared" si="210"/>
        <v>1</v>
      </c>
      <c r="F2306" s="1">
        <f>_xlfn.XLOOKUP($C2306, 'Instrument Table'!$B:$B, 'Instrument Table'!$A:$A, "")</f>
        <v>33</v>
      </c>
      <c r="G2306" s="1" t="str">
        <f>TEXT(IF($B2306 = "Retail Item", IF((ROW($A2306) - 4504 - _xlfn.XMATCH($C2306, $C$4506:$C$5005, 0, 1)) &lt;= VLOOKUP($C2306, 'Instrument Table'!$B:$D, 3, FALSE), ROW($A2306) - 4504 - _xlfn.XMATCH($C2306, $C$4506:$C$5005, 0, 1), 0), 0), "00")</f>
        <v>00</v>
      </c>
      <c r="H2306" s="1" t="str">
        <f t="shared" si="211"/>
        <v>000</v>
      </c>
      <c r="I2306" s="1" t="str">
        <f t="shared" si="212"/>
        <v>13300-000</v>
      </c>
      <c r="J2306" s="1" t="str">
        <f t="shared" si="213"/>
        <v>Piccolo production item #000</v>
      </c>
      <c r="K2306" s="1" t="str">
        <f>IF(SUM(COUNTIFS(I:I, I2306)) &gt; 1, "DUPLICATE", "UNIQUE")</f>
        <v>UNIQUE</v>
      </c>
      <c r="L2306" s="18">
        <v>0</v>
      </c>
      <c r="M2306" s="28">
        <v>32</v>
      </c>
      <c r="N2306" s="6">
        <v>0</v>
      </c>
      <c r="O2306" s="30">
        <f t="shared" si="214"/>
        <v>0</v>
      </c>
      <c r="P2306" s="30">
        <f t="shared" si="215"/>
        <v>0</v>
      </c>
      <c r="Q2306" s="1">
        <f>COUNTIFS($P:$P, "&gt;" &amp; $P2306) + 1</f>
        <v>4746</v>
      </c>
      <c r="R2306" s="63">
        <f>(COUNTIFS($P:$P, "&gt;" &amp; $P2306) + 1) / (COUNTA($I:$I) - 1)</f>
        <v>0.94920000000000004</v>
      </c>
      <c r="S2306" s="23">
        <f>SUMIFS($P:$P, $Q:$Q, "&lt;" &amp; $Q2306)</f>
        <v>186547861</v>
      </c>
    </row>
    <row r="2307" spans="1:19" x14ac:dyDescent="0.25">
      <c r="A2307" s="1">
        <v>2302</v>
      </c>
      <c r="B2307" s="1" t="s">
        <v>2</v>
      </c>
      <c r="C2307" s="1" t="str">
        <f>IF($B2307 = "Production Item", _xlfn.XLOOKUP($A2307, 'Instrument Table'!$J:$J, 'Instrument Table'!$B:$B, $C2306), IF($B2307 = "Service Item", _xlfn.XLOOKUP($A2307, 'Instrument Table'!$I:$I, 'Instrument Table'!$B:$B, $C2306), _xlfn.XLOOKUP($A2307, 'Instrument Table'!$H:$H, 'Instrument Table'!$B:$B, $C2306)))</f>
        <v>Piccolo</v>
      </c>
      <c r="D2307" s="1" t="str">
        <f>VLOOKUP($C2307, 'Instrument Table'!$B:$C, 2, FALSE)</f>
        <v>Woodwinds</v>
      </c>
      <c r="E2307" s="1">
        <f t="shared" si="210"/>
        <v>1</v>
      </c>
      <c r="F2307" s="1">
        <f>_xlfn.XLOOKUP($C2307, 'Instrument Table'!$B:$B, 'Instrument Table'!$A:$A, "")</f>
        <v>33</v>
      </c>
      <c r="G2307" s="1" t="str">
        <f>TEXT(IF($B2307 = "Retail Item", IF((ROW($A2307) - 4504 - _xlfn.XMATCH($C2307, $C$4506:$C$5005, 0, 1)) &lt;= VLOOKUP($C2307, 'Instrument Table'!$B:$D, 3, FALSE), ROW($A2307) - 4504 - _xlfn.XMATCH($C2307, $C$4506:$C$5005, 0, 1), 0), 0), "00")</f>
        <v>00</v>
      </c>
      <c r="H2307" s="1" t="str">
        <f t="shared" si="211"/>
        <v>001</v>
      </c>
      <c r="I2307" s="1" t="str">
        <f t="shared" si="212"/>
        <v>13300-001</v>
      </c>
      <c r="J2307" s="1" t="str">
        <f t="shared" si="213"/>
        <v>Piccolo production item #001</v>
      </c>
      <c r="K2307" s="1" t="str">
        <f>IF(SUM(COUNTIFS(I:I, I2307)) &gt; 1, "DUPLICATE", "UNIQUE")</f>
        <v>UNIQUE</v>
      </c>
      <c r="L2307" s="18">
        <v>16</v>
      </c>
      <c r="M2307" s="28">
        <v>73</v>
      </c>
      <c r="N2307" s="6">
        <v>256</v>
      </c>
      <c r="O2307" s="30">
        <f t="shared" si="214"/>
        <v>1168</v>
      </c>
      <c r="P2307" s="30">
        <f t="shared" si="215"/>
        <v>18688</v>
      </c>
      <c r="Q2307" s="1">
        <f>COUNTIFS($P:$P, "&gt;" &amp; $P2307) + 1</f>
        <v>1119</v>
      </c>
      <c r="R2307" s="63">
        <f>(COUNTIFS($P:$P, "&gt;" &amp; $P2307) + 1) / (COUNTA($I:$I) - 1)</f>
        <v>0.2238</v>
      </c>
      <c r="S2307" s="23">
        <f>SUMIFS($P:$P, $Q:$Q, "&lt;" &amp; $Q2307)</f>
        <v>168863123</v>
      </c>
    </row>
    <row r="2308" spans="1:19" x14ac:dyDescent="0.25">
      <c r="A2308" s="1">
        <v>2303</v>
      </c>
      <c r="B2308" s="1" t="s">
        <v>2</v>
      </c>
      <c r="C2308" s="1" t="str">
        <f>IF($B2308 = "Production Item", _xlfn.XLOOKUP($A2308, 'Instrument Table'!$J:$J, 'Instrument Table'!$B:$B, $C2307), IF($B2308 = "Service Item", _xlfn.XLOOKUP($A2308, 'Instrument Table'!$I:$I, 'Instrument Table'!$B:$B, $C2307), _xlfn.XLOOKUP($A2308, 'Instrument Table'!$H:$H, 'Instrument Table'!$B:$B, $C2307)))</f>
        <v>Piccolo</v>
      </c>
      <c r="D2308" s="1" t="str">
        <f>VLOOKUP($C2308, 'Instrument Table'!$B:$C, 2, FALSE)</f>
        <v>Woodwinds</v>
      </c>
      <c r="E2308" s="1">
        <f t="shared" si="210"/>
        <v>1</v>
      </c>
      <c r="F2308" s="1">
        <f>_xlfn.XLOOKUP($C2308, 'Instrument Table'!$B:$B, 'Instrument Table'!$A:$A, "")</f>
        <v>33</v>
      </c>
      <c r="G2308" s="1" t="str">
        <f>TEXT(IF($B2308 = "Retail Item", IF((ROW($A2308) - 4504 - _xlfn.XMATCH($C2308, $C$4506:$C$5005, 0, 1)) &lt;= VLOOKUP($C2308, 'Instrument Table'!$B:$D, 3, FALSE), ROW($A2308) - 4504 - _xlfn.XMATCH($C2308, $C$4506:$C$5005, 0, 1), 0), 0), "00")</f>
        <v>00</v>
      </c>
      <c r="H2308" s="1" t="str">
        <f t="shared" si="211"/>
        <v>002</v>
      </c>
      <c r="I2308" s="1" t="str">
        <f t="shared" si="212"/>
        <v>13300-002</v>
      </c>
      <c r="J2308" s="1" t="str">
        <f t="shared" si="213"/>
        <v>Piccolo production item #002</v>
      </c>
      <c r="K2308" s="1" t="str">
        <f>IF(SUM(COUNTIFS(I:I, I2308)) &gt; 1, "DUPLICATE", "UNIQUE")</f>
        <v>UNIQUE</v>
      </c>
      <c r="L2308" s="18">
        <v>2</v>
      </c>
      <c r="M2308" s="28">
        <v>48</v>
      </c>
      <c r="N2308" s="6">
        <v>121</v>
      </c>
      <c r="O2308" s="30">
        <f t="shared" si="214"/>
        <v>96</v>
      </c>
      <c r="P2308" s="30">
        <f t="shared" si="215"/>
        <v>5808</v>
      </c>
      <c r="Q2308" s="1">
        <f>COUNTIFS($P:$P, "&gt;" &amp; $P2308) + 1</f>
        <v>2297</v>
      </c>
      <c r="R2308" s="63">
        <f>(COUNTIFS($P:$P, "&gt;" &amp; $P2308) + 1) / (COUNTA($I:$I) - 1)</f>
        <v>0.45939999999999998</v>
      </c>
      <c r="S2308" s="23">
        <f>SUMIFS($P:$P, $Q:$Q, "&lt;" &amp; $Q2308)</f>
        <v>182046802</v>
      </c>
    </row>
    <row r="2309" spans="1:19" x14ac:dyDescent="0.25">
      <c r="A2309" s="1">
        <v>2304</v>
      </c>
      <c r="B2309" s="1" t="s">
        <v>2</v>
      </c>
      <c r="C2309" s="1" t="str">
        <f>IF($B2309 = "Production Item", _xlfn.XLOOKUP($A2309, 'Instrument Table'!$J:$J, 'Instrument Table'!$B:$B, $C2308), IF($B2309 = "Service Item", _xlfn.XLOOKUP($A2309, 'Instrument Table'!$I:$I, 'Instrument Table'!$B:$B, $C2308), _xlfn.XLOOKUP($A2309, 'Instrument Table'!$H:$H, 'Instrument Table'!$B:$B, $C2308)))</f>
        <v>Piccolo</v>
      </c>
      <c r="D2309" s="1" t="str">
        <f>VLOOKUP($C2309, 'Instrument Table'!$B:$C, 2, FALSE)</f>
        <v>Woodwinds</v>
      </c>
      <c r="E2309" s="1">
        <f t="shared" si="210"/>
        <v>1</v>
      </c>
      <c r="F2309" s="1">
        <f>_xlfn.XLOOKUP($C2309, 'Instrument Table'!$B:$B, 'Instrument Table'!$A:$A, "")</f>
        <v>33</v>
      </c>
      <c r="G2309" s="1" t="str">
        <f>TEXT(IF($B2309 = "Retail Item", IF((ROW($A2309) - 4504 - _xlfn.XMATCH($C2309, $C$4506:$C$5005, 0, 1)) &lt;= VLOOKUP($C2309, 'Instrument Table'!$B:$D, 3, FALSE), ROW($A2309) - 4504 - _xlfn.XMATCH($C2309, $C$4506:$C$5005, 0, 1), 0), 0), "00")</f>
        <v>00</v>
      </c>
      <c r="H2309" s="1" t="str">
        <f t="shared" si="211"/>
        <v>003</v>
      </c>
      <c r="I2309" s="1" t="str">
        <f t="shared" si="212"/>
        <v>13300-003</v>
      </c>
      <c r="J2309" s="1" t="str">
        <f t="shared" si="213"/>
        <v>Piccolo production item #003</v>
      </c>
      <c r="K2309" s="1" t="str">
        <f>IF(SUM(COUNTIFS(I:I, I2309)) &gt; 1, "DUPLICATE", "UNIQUE")</f>
        <v>UNIQUE</v>
      </c>
      <c r="L2309" s="18">
        <v>1</v>
      </c>
      <c r="M2309" s="28">
        <v>57</v>
      </c>
      <c r="N2309" s="6">
        <v>196</v>
      </c>
      <c r="O2309" s="30">
        <f t="shared" si="214"/>
        <v>57</v>
      </c>
      <c r="P2309" s="30">
        <f t="shared" si="215"/>
        <v>11172</v>
      </c>
      <c r="Q2309" s="1">
        <f>COUNTIFS($P:$P, "&gt;" &amp; $P2309) + 1</f>
        <v>1671</v>
      </c>
      <c r="R2309" s="63">
        <f>(COUNTIFS($P:$P, "&gt;" &amp; $P2309) + 1) / (COUNTA($I:$I) - 1)</f>
        <v>0.3342</v>
      </c>
      <c r="S2309" s="23">
        <f>SUMIFS($P:$P, $Q:$Q, "&lt;" &amp; $Q2309)</f>
        <v>176894728</v>
      </c>
    </row>
    <row r="2310" spans="1:19" x14ac:dyDescent="0.25">
      <c r="A2310" s="1">
        <v>2305</v>
      </c>
      <c r="B2310" s="1" t="s">
        <v>2</v>
      </c>
      <c r="C2310" s="1" t="str">
        <f>IF($B2310 = "Production Item", _xlfn.XLOOKUP($A2310, 'Instrument Table'!$J:$J, 'Instrument Table'!$B:$B, $C2309), IF($B2310 = "Service Item", _xlfn.XLOOKUP($A2310, 'Instrument Table'!$I:$I, 'Instrument Table'!$B:$B, $C2309), _xlfn.XLOOKUP($A2310, 'Instrument Table'!$H:$H, 'Instrument Table'!$B:$B, $C2309)))</f>
        <v>Piccolo</v>
      </c>
      <c r="D2310" s="1" t="str">
        <f>VLOOKUP($C2310, 'Instrument Table'!$B:$C, 2, FALSE)</f>
        <v>Woodwinds</v>
      </c>
      <c r="E2310" s="1">
        <f t="shared" si="210"/>
        <v>1</v>
      </c>
      <c r="F2310" s="1">
        <f>_xlfn.XLOOKUP($C2310, 'Instrument Table'!$B:$B, 'Instrument Table'!$A:$A, "")</f>
        <v>33</v>
      </c>
      <c r="G2310" s="1" t="str">
        <f>TEXT(IF($B2310 = "Retail Item", IF((ROW($A2310) - 4504 - _xlfn.XMATCH($C2310, $C$4506:$C$5005, 0, 1)) &lt;= VLOOKUP($C2310, 'Instrument Table'!$B:$D, 3, FALSE), ROW($A2310) - 4504 - _xlfn.XMATCH($C2310, $C$4506:$C$5005, 0, 1), 0), 0), "00")</f>
        <v>00</v>
      </c>
      <c r="H2310" s="1" t="str">
        <f t="shared" si="211"/>
        <v>004</v>
      </c>
      <c r="I2310" s="1" t="str">
        <f t="shared" si="212"/>
        <v>13300-004</v>
      </c>
      <c r="J2310" s="1" t="str">
        <f t="shared" si="213"/>
        <v>Piccolo production item #004</v>
      </c>
      <c r="K2310" s="1" t="str">
        <f>IF(SUM(COUNTIFS(I:I, I2310)) &gt; 1, "DUPLICATE", "UNIQUE")</f>
        <v>UNIQUE</v>
      </c>
      <c r="L2310" s="18">
        <v>1</v>
      </c>
      <c r="M2310" s="28">
        <v>93</v>
      </c>
      <c r="N2310" s="6">
        <v>169</v>
      </c>
      <c r="O2310" s="30">
        <f t="shared" si="214"/>
        <v>93</v>
      </c>
      <c r="P2310" s="30">
        <f t="shared" si="215"/>
        <v>15717</v>
      </c>
      <c r="Q2310" s="1">
        <f>COUNTIFS($P:$P, "&gt;" &amp; $P2310) + 1</f>
        <v>1298</v>
      </c>
      <c r="R2310" s="63">
        <f>(COUNTIFS($P:$P, "&gt;" &amp; $P2310) + 1) / (COUNTA($I:$I) - 1)</f>
        <v>0.2596</v>
      </c>
      <c r="S2310" s="23">
        <f>SUMIFS($P:$P, $Q:$Q, "&lt;" &amp; $Q2310)</f>
        <v>171942454</v>
      </c>
    </row>
    <row r="2311" spans="1:19" x14ac:dyDescent="0.25">
      <c r="A2311" s="1">
        <v>2306</v>
      </c>
      <c r="B2311" s="1" t="s">
        <v>2</v>
      </c>
      <c r="C2311" s="1" t="str">
        <f>IF($B2311 = "Production Item", _xlfn.XLOOKUP($A2311, 'Instrument Table'!$J:$J, 'Instrument Table'!$B:$B, $C2310), IF($B2311 = "Service Item", _xlfn.XLOOKUP($A2311, 'Instrument Table'!$I:$I, 'Instrument Table'!$B:$B, $C2310), _xlfn.XLOOKUP($A2311, 'Instrument Table'!$H:$H, 'Instrument Table'!$B:$B, $C2310)))</f>
        <v>Piccolo</v>
      </c>
      <c r="D2311" s="1" t="str">
        <f>VLOOKUP($C2311, 'Instrument Table'!$B:$C, 2, FALSE)</f>
        <v>Woodwinds</v>
      </c>
      <c r="E2311" s="1">
        <f t="shared" ref="E2311:E2374" si="216">IF($B2311 = "Production Item", 1, IF($B2311 = "Service Item", 2, IF($B2311 = "Retail Item", 3, "")))</f>
        <v>1</v>
      </c>
      <c r="F2311" s="1">
        <f>_xlfn.XLOOKUP($C2311, 'Instrument Table'!$B:$B, 'Instrument Table'!$A:$A, "")</f>
        <v>33</v>
      </c>
      <c r="G2311" s="1" t="str">
        <f>TEXT(IF($B2311 = "Retail Item", IF((ROW($A2311) - 4504 - _xlfn.XMATCH($C2311, $C$4506:$C$5005, 0, 1)) &lt;= VLOOKUP($C2311, 'Instrument Table'!$B:$D, 3, FALSE), ROW($A2311) - 4504 - _xlfn.XMATCH($C2311, $C$4506:$C$5005, 0, 1), 0), 0), "00")</f>
        <v>00</v>
      </c>
      <c r="H2311" s="1" t="str">
        <f t="shared" ref="H2311:H2374" si="217">TEXT(IF($E2311 &amp; $F2311 &amp; $G2311 = $E2310 &amp; $F2310 &amp; $G2310, 1 + H2310, 0), "000")</f>
        <v>005</v>
      </c>
      <c r="I2311" s="1" t="str">
        <f t="shared" ref="I2311:I2374" si="218" xml:space="preserve"> _xlfn.CONCAT($E2311, $F2311, $G2311, "-", H2311)</f>
        <v>13300-005</v>
      </c>
      <c r="J2311" s="1" t="str">
        <f t="shared" ref="J2311:J2374" si="219">LEFT($C2311, 1) &amp; LOWER(RIGHT($C2311, LEN($C2311) - 1)) &amp; IF(AND($G2311 &lt;&gt; "00", $B2311 = "Retail Item"), " model #" &amp; $G2311, " " &amp; LOWER($B2311) &amp; " #" &amp; $H2311)</f>
        <v>Piccolo production item #005</v>
      </c>
      <c r="K2311" s="1" t="str">
        <f>IF(SUM(COUNTIFS(I:I, I2311)) &gt; 1, "DUPLICATE", "UNIQUE")</f>
        <v>UNIQUE</v>
      </c>
      <c r="L2311" s="18">
        <v>8</v>
      </c>
      <c r="M2311" s="28">
        <v>1</v>
      </c>
      <c r="N2311" s="6">
        <v>144</v>
      </c>
      <c r="O2311" s="30">
        <f t="shared" ref="O2311:O2374" si="220">$L2311 * $M2311</f>
        <v>8</v>
      </c>
      <c r="P2311" s="30">
        <f t="shared" ref="P2311:P2374" si="221">$N2311 * $M2311</f>
        <v>144</v>
      </c>
      <c r="Q2311" s="1">
        <f>COUNTIFS($P:$P, "&gt;" &amp; $P2311) + 1</f>
        <v>4399</v>
      </c>
      <c r="R2311" s="63">
        <f>(COUNTIFS($P:$P, "&gt;" &amp; $P2311) + 1) / (COUNTA($I:$I) - 1)</f>
        <v>0.87980000000000003</v>
      </c>
      <c r="S2311" s="23">
        <f>SUMIFS($P:$P, $Q:$Q, "&lt;" &amp; $Q2311)</f>
        <v>186525866</v>
      </c>
    </row>
    <row r="2312" spans="1:19" x14ac:dyDescent="0.25">
      <c r="A2312" s="1">
        <v>2307</v>
      </c>
      <c r="B2312" s="1" t="s">
        <v>2</v>
      </c>
      <c r="C2312" s="1" t="str">
        <f>IF($B2312 = "Production Item", _xlfn.XLOOKUP($A2312, 'Instrument Table'!$J:$J, 'Instrument Table'!$B:$B, $C2311), IF($B2312 = "Service Item", _xlfn.XLOOKUP($A2312, 'Instrument Table'!$I:$I, 'Instrument Table'!$B:$B, $C2311), _xlfn.XLOOKUP($A2312, 'Instrument Table'!$H:$H, 'Instrument Table'!$B:$B, $C2311)))</f>
        <v>Piccolo</v>
      </c>
      <c r="D2312" s="1" t="str">
        <f>VLOOKUP($C2312, 'Instrument Table'!$B:$C, 2, FALSE)</f>
        <v>Woodwinds</v>
      </c>
      <c r="E2312" s="1">
        <f t="shared" si="216"/>
        <v>1</v>
      </c>
      <c r="F2312" s="1">
        <f>_xlfn.XLOOKUP($C2312, 'Instrument Table'!$B:$B, 'Instrument Table'!$A:$A, "")</f>
        <v>33</v>
      </c>
      <c r="G2312" s="1" t="str">
        <f>TEXT(IF($B2312 = "Retail Item", IF((ROW($A2312) - 4504 - _xlfn.XMATCH($C2312, $C$4506:$C$5005, 0, 1)) &lt;= VLOOKUP($C2312, 'Instrument Table'!$B:$D, 3, FALSE), ROW($A2312) - 4504 - _xlfn.XMATCH($C2312, $C$4506:$C$5005, 0, 1), 0), 0), "00")</f>
        <v>00</v>
      </c>
      <c r="H2312" s="1" t="str">
        <f t="shared" si="217"/>
        <v>006</v>
      </c>
      <c r="I2312" s="1" t="str">
        <f t="shared" si="218"/>
        <v>13300-006</v>
      </c>
      <c r="J2312" s="1" t="str">
        <f t="shared" si="219"/>
        <v>Piccolo production item #006</v>
      </c>
      <c r="K2312" s="1" t="str">
        <f>IF(SUM(COUNTIFS(I:I, I2312)) &gt; 1, "DUPLICATE", "UNIQUE")</f>
        <v>UNIQUE</v>
      </c>
      <c r="L2312" s="18">
        <v>32</v>
      </c>
      <c r="M2312" s="28">
        <v>65</v>
      </c>
      <c r="N2312" s="6">
        <v>25</v>
      </c>
      <c r="O2312" s="30">
        <f t="shared" si="220"/>
        <v>2080</v>
      </c>
      <c r="P2312" s="30">
        <f t="shared" si="221"/>
        <v>1625</v>
      </c>
      <c r="Q2312" s="1">
        <f>COUNTIFS($P:$P, "&gt;" &amp; $P2312) + 1</f>
        <v>3390</v>
      </c>
      <c r="R2312" s="63">
        <f>(COUNTIFS($P:$P, "&gt;" &amp; $P2312) + 1) / (COUNTA($I:$I) - 1)</f>
        <v>0.67800000000000005</v>
      </c>
      <c r="S2312" s="23">
        <f>SUMIFS($P:$P, $Q:$Q, "&lt;" &amp; $Q2312)</f>
        <v>185768799</v>
      </c>
    </row>
    <row r="2313" spans="1:19" x14ac:dyDescent="0.25">
      <c r="A2313" s="1">
        <v>2308</v>
      </c>
      <c r="B2313" s="1" t="s">
        <v>2</v>
      </c>
      <c r="C2313" s="1" t="str">
        <f>IF($B2313 = "Production Item", _xlfn.XLOOKUP($A2313, 'Instrument Table'!$J:$J, 'Instrument Table'!$B:$B, $C2312), IF($B2313 = "Service Item", _xlfn.XLOOKUP($A2313, 'Instrument Table'!$I:$I, 'Instrument Table'!$B:$B, $C2312), _xlfn.XLOOKUP($A2313, 'Instrument Table'!$H:$H, 'Instrument Table'!$B:$B, $C2312)))</f>
        <v>Piccolo</v>
      </c>
      <c r="D2313" s="1" t="str">
        <f>VLOOKUP($C2313, 'Instrument Table'!$B:$C, 2, FALSE)</f>
        <v>Woodwinds</v>
      </c>
      <c r="E2313" s="1">
        <f t="shared" si="216"/>
        <v>1</v>
      </c>
      <c r="F2313" s="1">
        <f>_xlfn.XLOOKUP($C2313, 'Instrument Table'!$B:$B, 'Instrument Table'!$A:$A, "")</f>
        <v>33</v>
      </c>
      <c r="G2313" s="1" t="str">
        <f>TEXT(IF($B2313 = "Retail Item", IF((ROW($A2313) - 4504 - _xlfn.XMATCH($C2313, $C$4506:$C$5005, 0, 1)) &lt;= VLOOKUP($C2313, 'Instrument Table'!$B:$D, 3, FALSE), ROW($A2313) - 4504 - _xlfn.XMATCH($C2313, $C$4506:$C$5005, 0, 1), 0), 0), "00")</f>
        <v>00</v>
      </c>
      <c r="H2313" s="1" t="str">
        <f t="shared" si="217"/>
        <v>007</v>
      </c>
      <c r="I2313" s="1" t="str">
        <f t="shared" si="218"/>
        <v>13300-007</v>
      </c>
      <c r="J2313" s="1" t="str">
        <f t="shared" si="219"/>
        <v>Piccolo production item #007</v>
      </c>
      <c r="K2313" s="1" t="str">
        <f>IF(SUM(COUNTIFS(I:I, I2313)) &gt; 1, "DUPLICATE", "UNIQUE")</f>
        <v>UNIQUE</v>
      </c>
      <c r="L2313" s="18">
        <v>2</v>
      </c>
      <c r="M2313" s="28">
        <v>62</v>
      </c>
      <c r="N2313" s="6">
        <v>256</v>
      </c>
      <c r="O2313" s="30">
        <f t="shared" si="220"/>
        <v>124</v>
      </c>
      <c r="P2313" s="30">
        <f t="shared" si="221"/>
        <v>15872</v>
      </c>
      <c r="Q2313" s="1">
        <f>COUNTIFS($P:$P, "&gt;" &amp; $P2313) + 1</f>
        <v>1291</v>
      </c>
      <c r="R2313" s="63">
        <f>(COUNTIFS($P:$P, "&gt;" &amp; $P2313) + 1) / (COUNTA($I:$I) - 1)</f>
        <v>0.25819999999999999</v>
      </c>
      <c r="S2313" s="23">
        <f>SUMIFS($P:$P, $Q:$Q, "&lt;" &amp; $Q2313)</f>
        <v>171831793</v>
      </c>
    </row>
    <row r="2314" spans="1:19" x14ac:dyDescent="0.25">
      <c r="A2314" s="1">
        <v>2309</v>
      </c>
      <c r="B2314" s="1" t="s">
        <v>2</v>
      </c>
      <c r="C2314" s="1" t="str">
        <f>IF($B2314 = "Production Item", _xlfn.XLOOKUP($A2314, 'Instrument Table'!$J:$J, 'Instrument Table'!$B:$B, $C2313), IF($B2314 = "Service Item", _xlfn.XLOOKUP($A2314, 'Instrument Table'!$I:$I, 'Instrument Table'!$B:$B, $C2313), _xlfn.XLOOKUP($A2314, 'Instrument Table'!$H:$H, 'Instrument Table'!$B:$B, $C2313)))</f>
        <v>Piccolo</v>
      </c>
      <c r="D2314" s="1" t="str">
        <f>VLOOKUP($C2314, 'Instrument Table'!$B:$C, 2, FALSE)</f>
        <v>Woodwinds</v>
      </c>
      <c r="E2314" s="1">
        <f t="shared" si="216"/>
        <v>1</v>
      </c>
      <c r="F2314" s="1">
        <f>_xlfn.XLOOKUP($C2314, 'Instrument Table'!$B:$B, 'Instrument Table'!$A:$A, "")</f>
        <v>33</v>
      </c>
      <c r="G2314" s="1" t="str">
        <f>TEXT(IF($B2314 = "Retail Item", IF((ROW($A2314) - 4504 - _xlfn.XMATCH($C2314, $C$4506:$C$5005, 0, 1)) &lt;= VLOOKUP($C2314, 'Instrument Table'!$B:$D, 3, FALSE), ROW($A2314) - 4504 - _xlfn.XMATCH($C2314, $C$4506:$C$5005, 0, 1), 0), 0), "00")</f>
        <v>00</v>
      </c>
      <c r="H2314" s="1" t="str">
        <f t="shared" si="217"/>
        <v>008</v>
      </c>
      <c r="I2314" s="1" t="str">
        <f t="shared" si="218"/>
        <v>13300-008</v>
      </c>
      <c r="J2314" s="1" t="str">
        <f t="shared" si="219"/>
        <v>Piccolo production item #008</v>
      </c>
      <c r="K2314" s="1" t="str">
        <f>IF(SUM(COUNTIFS(I:I, I2314)) &gt; 1, "DUPLICATE", "UNIQUE")</f>
        <v>UNIQUE</v>
      </c>
      <c r="L2314" s="18">
        <v>16</v>
      </c>
      <c r="M2314" s="28">
        <v>66</v>
      </c>
      <c r="N2314" s="6">
        <v>324</v>
      </c>
      <c r="O2314" s="30">
        <f t="shared" si="220"/>
        <v>1056</v>
      </c>
      <c r="P2314" s="30">
        <f t="shared" si="221"/>
        <v>21384</v>
      </c>
      <c r="Q2314" s="1">
        <f>COUNTIFS($P:$P, "&gt;" &amp; $P2314) + 1</f>
        <v>984</v>
      </c>
      <c r="R2314" s="63">
        <f>(COUNTIFS($P:$P, "&gt;" &amp; $P2314) + 1) / (COUNTA($I:$I) - 1)</f>
        <v>0.1968</v>
      </c>
      <c r="S2314" s="23">
        <f>SUMIFS($P:$P, $Q:$Q, "&lt;" &amp; $Q2314)</f>
        <v>166150372</v>
      </c>
    </row>
    <row r="2315" spans="1:19" x14ac:dyDescent="0.25">
      <c r="A2315" s="1">
        <v>2310</v>
      </c>
      <c r="B2315" s="1" t="s">
        <v>2</v>
      </c>
      <c r="C2315" s="1" t="str">
        <f>IF($B2315 = "Production Item", _xlfn.XLOOKUP($A2315, 'Instrument Table'!$J:$J, 'Instrument Table'!$B:$B, $C2314), IF($B2315 = "Service Item", _xlfn.XLOOKUP($A2315, 'Instrument Table'!$I:$I, 'Instrument Table'!$B:$B, $C2314), _xlfn.XLOOKUP($A2315, 'Instrument Table'!$H:$H, 'Instrument Table'!$B:$B, $C2314)))</f>
        <v>Piccolo</v>
      </c>
      <c r="D2315" s="1" t="str">
        <f>VLOOKUP($C2315, 'Instrument Table'!$B:$C, 2, FALSE)</f>
        <v>Woodwinds</v>
      </c>
      <c r="E2315" s="1">
        <f t="shared" si="216"/>
        <v>1</v>
      </c>
      <c r="F2315" s="1">
        <f>_xlfn.XLOOKUP($C2315, 'Instrument Table'!$B:$B, 'Instrument Table'!$A:$A, "")</f>
        <v>33</v>
      </c>
      <c r="G2315" s="1" t="str">
        <f>TEXT(IF($B2315 = "Retail Item", IF((ROW($A2315) - 4504 - _xlfn.XMATCH($C2315, $C$4506:$C$5005, 0, 1)) &lt;= VLOOKUP($C2315, 'Instrument Table'!$B:$D, 3, FALSE), ROW($A2315) - 4504 - _xlfn.XMATCH($C2315, $C$4506:$C$5005, 0, 1), 0), 0), "00")</f>
        <v>00</v>
      </c>
      <c r="H2315" s="1" t="str">
        <f t="shared" si="217"/>
        <v>009</v>
      </c>
      <c r="I2315" s="1" t="str">
        <f t="shared" si="218"/>
        <v>13300-009</v>
      </c>
      <c r="J2315" s="1" t="str">
        <f t="shared" si="219"/>
        <v>Piccolo production item #009</v>
      </c>
      <c r="K2315" s="1" t="str">
        <f>IF(SUM(COUNTIFS(I:I, I2315)) &gt; 1, "DUPLICATE", "UNIQUE")</f>
        <v>UNIQUE</v>
      </c>
      <c r="L2315" s="18">
        <v>4</v>
      </c>
      <c r="M2315" s="28">
        <v>21</v>
      </c>
      <c r="N2315" s="6">
        <v>169</v>
      </c>
      <c r="O2315" s="30">
        <f t="shared" si="220"/>
        <v>84</v>
      </c>
      <c r="P2315" s="30">
        <f t="shared" si="221"/>
        <v>3549</v>
      </c>
      <c r="Q2315" s="1">
        <f>COUNTIFS($P:$P, "&gt;" &amp; $P2315) + 1</f>
        <v>2756</v>
      </c>
      <c r="R2315" s="63">
        <f>(COUNTIFS($P:$P, "&gt;" &amp; $P2315) + 1) / (COUNTA($I:$I) - 1)</f>
        <v>0.55120000000000002</v>
      </c>
      <c r="S2315" s="23">
        <f>SUMIFS($P:$P, $Q:$Q, "&lt;" &amp; $Q2315)</f>
        <v>184172230</v>
      </c>
    </row>
    <row r="2316" spans="1:19" x14ac:dyDescent="0.25">
      <c r="A2316" s="1">
        <v>2311</v>
      </c>
      <c r="B2316" s="1" t="s">
        <v>2</v>
      </c>
      <c r="C2316" s="1" t="str">
        <f>IF($B2316 = "Production Item", _xlfn.XLOOKUP($A2316, 'Instrument Table'!$J:$J, 'Instrument Table'!$B:$B, $C2315), IF($B2316 = "Service Item", _xlfn.XLOOKUP($A2316, 'Instrument Table'!$I:$I, 'Instrument Table'!$B:$B, $C2315), _xlfn.XLOOKUP($A2316, 'Instrument Table'!$H:$H, 'Instrument Table'!$B:$B, $C2315)))</f>
        <v>Piccolo</v>
      </c>
      <c r="D2316" s="1" t="str">
        <f>VLOOKUP($C2316, 'Instrument Table'!$B:$C, 2, FALSE)</f>
        <v>Woodwinds</v>
      </c>
      <c r="E2316" s="1">
        <f t="shared" si="216"/>
        <v>1</v>
      </c>
      <c r="F2316" s="1">
        <f>_xlfn.XLOOKUP($C2316, 'Instrument Table'!$B:$B, 'Instrument Table'!$A:$A, "")</f>
        <v>33</v>
      </c>
      <c r="G2316" s="1" t="str">
        <f>TEXT(IF($B2316 = "Retail Item", IF((ROW($A2316) - 4504 - _xlfn.XMATCH($C2316, $C$4506:$C$5005, 0, 1)) &lt;= VLOOKUP($C2316, 'Instrument Table'!$B:$D, 3, FALSE), ROW($A2316) - 4504 - _xlfn.XMATCH($C2316, $C$4506:$C$5005, 0, 1), 0), 0), "00")</f>
        <v>00</v>
      </c>
      <c r="H2316" s="1" t="str">
        <f t="shared" si="217"/>
        <v>010</v>
      </c>
      <c r="I2316" s="1" t="str">
        <f t="shared" si="218"/>
        <v>13300-010</v>
      </c>
      <c r="J2316" s="1" t="str">
        <f t="shared" si="219"/>
        <v>Piccolo production item #010</v>
      </c>
      <c r="K2316" s="1" t="str">
        <f>IF(SUM(COUNTIFS(I:I, I2316)) &gt; 1, "DUPLICATE", "UNIQUE")</f>
        <v>UNIQUE</v>
      </c>
      <c r="L2316" s="18">
        <v>1</v>
      </c>
      <c r="M2316" s="28">
        <v>98</v>
      </c>
      <c r="N2316" s="6">
        <v>4</v>
      </c>
      <c r="O2316" s="30">
        <f t="shared" si="220"/>
        <v>98</v>
      </c>
      <c r="P2316" s="30">
        <f t="shared" si="221"/>
        <v>392</v>
      </c>
      <c r="Q2316" s="1">
        <f>COUNTIFS($P:$P, "&gt;" &amp; $P2316) + 1</f>
        <v>4108</v>
      </c>
      <c r="R2316" s="63">
        <f>(COUNTIFS($P:$P, "&gt;" &amp; $P2316) + 1) / (COUNTA($I:$I) - 1)</f>
        <v>0.8216</v>
      </c>
      <c r="S2316" s="23">
        <f>SUMIFS($P:$P, $Q:$Q, "&lt;" &amp; $Q2316)</f>
        <v>186448050</v>
      </c>
    </row>
    <row r="2317" spans="1:19" x14ac:dyDescent="0.25">
      <c r="A2317" s="1">
        <v>2312</v>
      </c>
      <c r="B2317" s="1" t="s">
        <v>2</v>
      </c>
      <c r="C2317" s="1" t="str">
        <f>IF($B2317 = "Production Item", _xlfn.XLOOKUP($A2317, 'Instrument Table'!$J:$J, 'Instrument Table'!$B:$B, $C2316), IF($B2317 = "Service Item", _xlfn.XLOOKUP($A2317, 'Instrument Table'!$I:$I, 'Instrument Table'!$B:$B, $C2316), _xlfn.XLOOKUP($A2317, 'Instrument Table'!$H:$H, 'Instrument Table'!$B:$B, $C2316)))</f>
        <v>Piccolo</v>
      </c>
      <c r="D2317" s="1" t="str">
        <f>VLOOKUP($C2317, 'Instrument Table'!$B:$C, 2, FALSE)</f>
        <v>Woodwinds</v>
      </c>
      <c r="E2317" s="1">
        <f t="shared" si="216"/>
        <v>1</v>
      </c>
      <c r="F2317" s="1">
        <f>_xlfn.XLOOKUP($C2317, 'Instrument Table'!$B:$B, 'Instrument Table'!$A:$A, "")</f>
        <v>33</v>
      </c>
      <c r="G2317" s="1" t="str">
        <f>TEXT(IF($B2317 = "Retail Item", IF((ROW($A2317) - 4504 - _xlfn.XMATCH($C2317, $C$4506:$C$5005, 0, 1)) &lt;= VLOOKUP($C2317, 'Instrument Table'!$B:$D, 3, FALSE), ROW($A2317) - 4504 - _xlfn.XMATCH($C2317, $C$4506:$C$5005, 0, 1), 0), 0), "00")</f>
        <v>00</v>
      </c>
      <c r="H2317" s="1" t="str">
        <f t="shared" si="217"/>
        <v>011</v>
      </c>
      <c r="I2317" s="1" t="str">
        <f t="shared" si="218"/>
        <v>13300-011</v>
      </c>
      <c r="J2317" s="1" t="str">
        <f t="shared" si="219"/>
        <v>Piccolo production item #011</v>
      </c>
      <c r="K2317" s="1" t="str">
        <f>IF(SUM(COUNTIFS(I:I, I2317)) &gt; 1, "DUPLICATE", "UNIQUE")</f>
        <v>UNIQUE</v>
      </c>
      <c r="L2317" s="18">
        <v>0</v>
      </c>
      <c r="M2317" s="28">
        <v>15</v>
      </c>
      <c r="N2317" s="6">
        <v>121</v>
      </c>
      <c r="O2317" s="30">
        <f t="shared" si="220"/>
        <v>0</v>
      </c>
      <c r="P2317" s="30">
        <f t="shared" si="221"/>
        <v>1815</v>
      </c>
      <c r="Q2317" s="1">
        <f>COUNTIFS($P:$P, "&gt;" &amp; $P2317) + 1</f>
        <v>3321</v>
      </c>
      <c r="R2317" s="63">
        <f>(COUNTIFS($P:$P, "&gt;" &amp; $P2317) + 1) / (COUNTA($I:$I) - 1)</f>
        <v>0.66420000000000001</v>
      </c>
      <c r="S2317" s="23">
        <f>SUMIFS($P:$P, $Q:$Q, "&lt;" &amp; $Q2317)</f>
        <v>185648257</v>
      </c>
    </row>
    <row r="2318" spans="1:19" x14ac:dyDescent="0.25">
      <c r="A2318" s="1">
        <v>2313</v>
      </c>
      <c r="B2318" s="1" t="s">
        <v>2</v>
      </c>
      <c r="C2318" s="1" t="str">
        <f>IF($B2318 = "Production Item", _xlfn.XLOOKUP($A2318, 'Instrument Table'!$J:$J, 'Instrument Table'!$B:$B, $C2317), IF($B2318 = "Service Item", _xlfn.XLOOKUP($A2318, 'Instrument Table'!$I:$I, 'Instrument Table'!$B:$B, $C2317), _xlfn.XLOOKUP($A2318, 'Instrument Table'!$H:$H, 'Instrument Table'!$B:$B, $C2317)))</f>
        <v>Piccolo</v>
      </c>
      <c r="D2318" s="1" t="str">
        <f>VLOOKUP($C2318, 'Instrument Table'!$B:$C, 2, FALSE)</f>
        <v>Woodwinds</v>
      </c>
      <c r="E2318" s="1">
        <f t="shared" si="216"/>
        <v>1</v>
      </c>
      <c r="F2318" s="1">
        <f>_xlfn.XLOOKUP($C2318, 'Instrument Table'!$B:$B, 'Instrument Table'!$A:$A, "")</f>
        <v>33</v>
      </c>
      <c r="G2318" s="1" t="str">
        <f>TEXT(IF($B2318 = "Retail Item", IF((ROW($A2318) - 4504 - _xlfn.XMATCH($C2318, $C$4506:$C$5005, 0, 1)) &lt;= VLOOKUP($C2318, 'Instrument Table'!$B:$D, 3, FALSE), ROW($A2318) - 4504 - _xlfn.XMATCH($C2318, $C$4506:$C$5005, 0, 1), 0), 0), "00")</f>
        <v>00</v>
      </c>
      <c r="H2318" s="1" t="str">
        <f t="shared" si="217"/>
        <v>012</v>
      </c>
      <c r="I2318" s="1" t="str">
        <f t="shared" si="218"/>
        <v>13300-012</v>
      </c>
      <c r="J2318" s="1" t="str">
        <f t="shared" si="219"/>
        <v>Piccolo production item #012</v>
      </c>
      <c r="K2318" s="1" t="str">
        <f>IF(SUM(COUNTIFS(I:I, I2318)) &gt; 1, "DUPLICATE", "UNIQUE")</f>
        <v>UNIQUE</v>
      </c>
      <c r="L2318" s="18">
        <v>1</v>
      </c>
      <c r="M2318" s="28">
        <v>7</v>
      </c>
      <c r="N2318" s="6">
        <v>225</v>
      </c>
      <c r="O2318" s="30">
        <f t="shared" si="220"/>
        <v>7</v>
      </c>
      <c r="P2318" s="30">
        <f t="shared" si="221"/>
        <v>1575</v>
      </c>
      <c r="Q2318" s="1">
        <f>COUNTIFS($P:$P, "&gt;" &amp; $P2318) + 1</f>
        <v>3424</v>
      </c>
      <c r="R2318" s="63">
        <f>(COUNTIFS($P:$P, "&gt;" &amp; $P2318) + 1) / (COUNTA($I:$I) - 1)</f>
        <v>0.68479999999999996</v>
      </c>
      <c r="S2318" s="23">
        <f>SUMIFS($P:$P, $Q:$Q, "&lt;" &amp; $Q2318)</f>
        <v>185823279</v>
      </c>
    </row>
    <row r="2319" spans="1:19" x14ac:dyDescent="0.25">
      <c r="A2319" s="1">
        <v>2314</v>
      </c>
      <c r="B2319" s="1" t="s">
        <v>2</v>
      </c>
      <c r="C2319" s="1" t="str">
        <f>IF($B2319 = "Production Item", _xlfn.XLOOKUP($A2319, 'Instrument Table'!$J:$J, 'Instrument Table'!$B:$B, $C2318), IF($B2319 = "Service Item", _xlfn.XLOOKUP($A2319, 'Instrument Table'!$I:$I, 'Instrument Table'!$B:$B, $C2318), _xlfn.XLOOKUP($A2319, 'Instrument Table'!$H:$H, 'Instrument Table'!$B:$B, $C2318)))</f>
        <v>Piccolo</v>
      </c>
      <c r="D2319" s="1" t="str">
        <f>VLOOKUP($C2319, 'Instrument Table'!$B:$C, 2, FALSE)</f>
        <v>Woodwinds</v>
      </c>
      <c r="E2319" s="1">
        <f t="shared" si="216"/>
        <v>1</v>
      </c>
      <c r="F2319" s="1">
        <f>_xlfn.XLOOKUP($C2319, 'Instrument Table'!$B:$B, 'Instrument Table'!$A:$A, "")</f>
        <v>33</v>
      </c>
      <c r="G2319" s="1" t="str">
        <f>TEXT(IF($B2319 = "Retail Item", IF((ROW($A2319) - 4504 - _xlfn.XMATCH($C2319, $C$4506:$C$5005, 0, 1)) &lt;= VLOOKUP($C2319, 'Instrument Table'!$B:$D, 3, FALSE), ROW($A2319) - 4504 - _xlfn.XMATCH($C2319, $C$4506:$C$5005, 0, 1), 0), 0), "00")</f>
        <v>00</v>
      </c>
      <c r="H2319" s="1" t="str">
        <f t="shared" si="217"/>
        <v>013</v>
      </c>
      <c r="I2319" s="1" t="str">
        <f t="shared" si="218"/>
        <v>13300-013</v>
      </c>
      <c r="J2319" s="1" t="str">
        <f t="shared" si="219"/>
        <v>Piccolo production item #013</v>
      </c>
      <c r="K2319" s="1" t="str">
        <f>IF(SUM(COUNTIFS(I:I, I2319)) &gt; 1, "DUPLICATE", "UNIQUE")</f>
        <v>UNIQUE</v>
      </c>
      <c r="L2319" s="18">
        <v>1</v>
      </c>
      <c r="M2319" s="28">
        <v>95</v>
      </c>
      <c r="N2319" s="6">
        <v>81</v>
      </c>
      <c r="O2319" s="30">
        <f t="shared" si="220"/>
        <v>95</v>
      </c>
      <c r="P2319" s="30">
        <f t="shared" si="221"/>
        <v>7695</v>
      </c>
      <c r="Q2319" s="1">
        <f>COUNTIFS($P:$P, "&gt;" &amp; $P2319) + 1</f>
        <v>2037</v>
      </c>
      <c r="R2319" s="63">
        <f>(COUNTIFS($P:$P, "&gt;" &amp; $P2319) + 1) / (COUNTA($I:$I) - 1)</f>
        <v>0.40739999999999998</v>
      </c>
      <c r="S2319" s="23">
        <f>SUMIFS($P:$P, $Q:$Q, "&lt;" &amp; $Q2319)</f>
        <v>180285279</v>
      </c>
    </row>
    <row r="2320" spans="1:19" x14ac:dyDescent="0.25">
      <c r="A2320" s="1">
        <v>2315</v>
      </c>
      <c r="B2320" s="1" t="s">
        <v>2</v>
      </c>
      <c r="C2320" s="1" t="str">
        <f>IF($B2320 = "Production Item", _xlfn.XLOOKUP($A2320, 'Instrument Table'!$J:$J, 'Instrument Table'!$B:$B, $C2319), IF($B2320 = "Service Item", _xlfn.XLOOKUP($A2320, 'Instrument Table'!$I:$I, 'Instrument Table'!$B:$B, $C2319), _xlfn.XLOOKUP($A2320, 'Instrument Table'!$H:$H, 'Instrument Table'!$B:$B, $C2319)))</f>
        <v>Piccolo</v>
      </c>
      <c r="D2320" s="1" t="str">
        <f>VLOOKUP($C2320, 'Instrument Table'!$B:$C, 2, FALSE)</f>
        <v>Woodwinds</v>
      </c>
      <c r="E2320" s="1">
        <f t="shared" si="216"/>
        <v>1</v>
      </c>
      <c r="F2320" s="1">
        <f>_xlfn.XLOOKUP($C2320, 'Instrument Table'!$B:$B, 'Instrument Table'!$A:$A, "")</f>
        <v>33</v>
      </c>
      <c r="G2320" s="1" t="str">
        <f>TEXT(IF($B2320 = "Retail Item", IF((ROW($A2320) - 4504 - _xlfn.XMATCH($C2320, $C$4506:$C$5005, 0, 1)) &lt;= VLOOKUP($C2320, 'Instrument Table'!$B:$D, 3, FALSE), ROW($A2320) - 4504 - _xlfn.XMATCH($C2320, $C$4506:$C$5005, 0, 1), 0), 0), "00")</f>
        <v>00</v>
      </c>
      <c r="H2320" s="1" t="str">
        <f t="shared" si="217"/>
        <v>014</v>
      </c>
      <c r="I2320" s="1" t="str">
        <f t="shared" si="218"/>
        <v>13300-014</v>
      </c>
      <c r="J2320" s="1" t="str">
        <f t="shared" si="219"/>
        <v>Piccolo production item #014</v>
      </c>
      <c r="K2320" s="1" t="str">
        <f>IF(SUM(COUNTIFS(I:I, I2320)) &gt; 1, "DUPLICATE", "UNIQUE")</f>
        <v>UNIQUE</v>
      </c>
      <c r="L2320" s="18">
        <v>4</v>
      </c>
      <c r="M2320" s="28">
        <v>67</v>
      </c>
      <c r="N2320" s="6">
        <v>121</v>
      </c>
      <c r="O2320" s="30">
        <f t="shared" si="220"/>
        <v>268</v>
      </c>
      <c r="P2320" s="30">
        <f t="shared" si="221"/>
        <v>8107</v>
      </c>
      <c r="Q2320" s="1">
        <f>COUNTIFS($P:$P, "&gt;" &amp; $P2320) + 1</f>
        <v>1971</v>
      </c>
      <c r="R2320" s="63">
        <f>(COUNTIFS($P:$P, "&gt;" &amp; $P2320) + 1) / (COUNTA($I:$I) - 1)</f>
        <v>0.39419999999999999</v>
      </c>
      <c r="S2320" s="23">
        <f>SUMIFS($P:$P, $Q:$Q, "&lt;" &amp; $Q2320)</f>
        <v>179763781</v>
      </c>
    </row>
    <row r="2321" spans="1:19" x14ac:dyDescent="0.25">
      <c r="A2321" s="1">
        <v>2316</v>
      </c>
      <c r="B2321" s="1" t="s">
        <v>2</v>
      </c>
      <c r="C2321" s="1" t="str">
        <f>IF($B2321 = "Production Item", _xlfn.XLOOKUP($A2321, 'Instrument Table'!$J:$J, 'Instrument Table'!$B:$B, $C2320), IF($B2321 = "Service Item", _xlfn.XLOOKUP($A2321, 'Instrument Table'!$I:$I, 'Instrument Table'!$B:$B, $C2320), _xlfn.XLOOKUP($A2321, 'Instrument Table'!$H:$H, 'Instrument Table'!$B:$B, $C2320)))</f>
        <v>Piccolo</v>
      </c>
      <c r="D2321" s="1" t="str">
        <f>VLOOKUP($C2321, 'Instrument Table'!$B:$C, 2, FALSE)</f>
        <v>Woodwinds</v>
      </c>
      <c r="E2321" s="1">
        <f t="shared" si="216"/>
        <v>1</v>
      </c>
      <c r="F2321" s="1">
        <f>_xlfn.XLOOKUP($C2321, 'Instrument Table'!$B:$B, 'Instrument Table'!$A:$A, "")</f>
        <v>33</v>
      </c>
      <c r="G2321" s="1" t="str">
        <f>TEXT(IF($B2321 = "Retail Item", IF((ROW($A2321) - 4504 - _xlfn.XMATCH($C2321, $C$4506:$C$5005, 0, 1)) &lt;= VLOOKUP($C2321, 'Instrument Table'!$B:$D, 3, FALSE), ROW($A2321) - 4504 - _xlfn.XMATCH($C2321, $C$4506:$C$5005, 0, 1), 0), 0), "00")</f>
        <v>00</v>
      </c>
      <c r="H2321" s="1" t="str">
        <f t="shared" si="217"/>
        <v>015</v>
      </c>
      <c r="I2321" s="1" t="str">
        <f t="shared" si="218"/>
        <v>13300-015</v>
      </c>
      <c r="J2321" s="1" t="str">
        <f t="shared" si="219"/>
        <v>Piccolo production item #015</v>
      </c>
      <c r="K2321" s="1" t="str">
        <f>IF(SUM(COUNTIFS(I:I, I2321)) &gt; 1, "DUPLICATE", "UNIQUE")</f>
        <v>UNIQUE</v>
      </c>
      <c r="L2321" s="18">
        <v>1</v>
      </c>
      <c r="M2321" s="28">
        <v>72</v>
      </c>
      <c r="N2321" s="6">
        <v>9</v>
      </c>
      <c r="O2321" s="30">
        <f t="shared" si="220"/>
        <v>72</v>
      </c>
      <c r="P2321" s="30">
        <f t="shared" si="221"/>
        <v>648</v>
      </c>
      <c r="Q2321" s="1">
        <f>COUNTIFS($P:$P, "&gt;" &amp; $P2321) + 1</f>
        <v>3911</v>
      </c>
      <c r="R2321" s="63">
        <f>(COUNTIFS($P:$P, "&gt;" &amp; $P2321) + 1) / (COUNTA($I:$I) - 1)</f>
        <v>0.78220000000000001</v>
      </c>
      <c r="S2321" s="23">
        <f>SUMIFS($P:$P, $Q:$Q, "&lt;" &amp; $Q2321)</f>
        <v>186346099</v>
      </c>
    </row>
    <row r="2322" spans="1:19" x14ac:dyDescent="0.25">
      <c r="A2322" s="1">
        <v>2317</v>
      </c>
      <c r="B2322" s="1" t="s">
        <v>2</v>
      </c>
      <c r="C2322" s="1" t="str">
        <f>IF($B2322 = "Production Item", _xlfn.XLOOKUP($A2322, 'Instrument Table'!$J:$J, 'Instrument Table'!$B:$B, $C2321), IF($B2322 = "Service Item", _xlfn.XLOOKUP($A2322, 'Instrument Table'!$I:$I, 'Instrument Table'!$B:$B, $C2321), _xlfn.XLOOKUP($A2322, 'Instrument Table'!$H:$H, 'Instrument Table'!$B:$B, $C2321)))</f>
        <v>Piccolo</v>
      </c>
      <c r="D2322" s="1" t="str">
        <f>VLOOKUP($C2322, 'Instrument Table'!$B:$C, 2, FALSE)</f>
        <v>Woodwinds</v>
      </c>
      <c r="E2322" s="1">
        <f t="shared" si="216"/>
        <v>1</v>
      </c>
      <c r="F2322" s="1">
        <f>_xlfn.XLOOKUP($C2322, 'Instrument Table'!$B:$B, 'Instrument Table'!$A:$A, "")</f>
        <v>33</v>
      </c>
      <c r="G2322" s="1" t="str">
        <f>TEXT(IF($B2322 = "Retail Item", IF((ROW($A2322) - 4504 - _xlfn.XMATCH($C2322, $C$4506:$C$5005, 0, 1)) &lt;= VLOOKUP($C2322, 'Instrument Table'!$B:$D, 3, FALSE), ROW($A2322) - 4504 - _xlfn.XMATCH($C2322, $C$4506:$C$5005, 0, 1), 0), 0), "00")</f>
        <v>00</v>
      </c>
      <c r="H2322" s="1" t="str">
        <f t="shared" si="217"/>
        <v>016</v>
      </c>
      <c r="I2322" s="1" t="str">
        <f t="shared" si="218"/>
        <v>13300-016</v>
      </c>
      <c r="J2322" s="1" t="str">
        <f t="shared" si="219"/>
        <v>Piccolo production item #016</v>
      </c>
      <c r="K2322" s="1" t="str">
        <f>IF(SUM(COUNTIFS(I:I, I2322)) &gt; 1, "DUPLICATE", "UNIQUE")</f>
        <v>UNIQUE</v>
      </c>
      <c r="L2322" s="18">
        <v>0</v>
      </c>
      <c r="M2322" s="28">
        <v>9</v>
      </c>
      <c r="N2322" s="6">
        <v>16</v>
      </c>
      <c r="O2322" s="30">
        <f t="shared" si="220"/>
        <v>0</v>
      </c>
      <c r="P2322" s="30">
        <f t="shared" si="221"/>
        <v>144</v>
      </c>
      <c r="Q2322" s="1">
        <f>COUNTIFS($P:$P, "&gt;" &amp; $P2322) + 1</f>
        <v>4399</v>
      </c>
      <c r="R2322" s="63">
        <f>(COUNTIFS($P:$P, "&gt;" &amp; $P2322) + 1) / (COUNTA($I:$I) - 1)</f>
        <v>0.87980000000000003</v>
      </c>
      <c r="S2322" s="23">
        <f>SUMIFS($P:$P, $Q:$Q, "&lt;" &amp; $Q2322)</f>
        <v>186525866</v>
      </c>
    </row>
    <row r="2323" spans="1:19" x14ac:dyDescent="0.25">
      <c r="A2323" s="1">
        <v>2318</v>
      </c>
      <c r="B2323" s="1" t="s">
        <v>2</v>
      </c>
      <c r="C2323" s="1" t="str">
        <f>IF($B2323 = "Production Item", _xlfn.XLOOKUP($A2323, 'Instrument Table'!$J:$J, 'Instrument Table'!$B:$B, $C2322), IF($B2323 = "Service Item", _xlfn.XLOOKUP($A2323, 'Instrument Table'!$I:$I, 'Instrument Table'!$B:$B, $C2322), _xlfn.XLOOKUP($A2323, 'Instrument Table'!$H:$H, 'Instrument Table'!$B:$B, $C2322)))</f>
        <v>Piccolo</v>
      </c>
      <c r="D2323" s="1" t="str">
        <f>VLOOKUP($C2323, 'Instrument Table'!$B:$C, 2, FALSE)</f>
        <v>Woodwinds</v>
      </c>
      <c r="E2323" s="1">
        <f t="shared" si="216"/>
        <v>1</v>
      </c>
      <c r="F2323" s="1">
        <f>_xlfn.XLOOKUP($C2323, 'Instrument Table'!$B:$B, 'Instrument Table'!$A:$A, "")</f>
        <v>33</v>
      </c>
      <c r="G2323" s="1" t="str">
        <f>TEXT(IF($B2323 = "Retail Item", IF((ROW($A2323) - 4504 - _xlfn.XMATCH($C2323, $C$4506:$C$5005, 0, 1)) &lt;= VLOOKUP($C2323, 'Instrument Table'!$B:$D, 3, FALSE), ROW($A2323) - 4504 - _xlfn.XMATCH($C2323, $C$4506:$C$5005, 0, 1), 0), 0), "00")</f>
        <v>00</v>
      </c>
      <c r="H2323" s="1" t="str">
        <f t="shared" si="217"/>
        <v>017</v>
      </c>
      <c r="I2323" s="1" t="str">
        <f t="shared" si="218"/>
        <v>13300-017</v>
      </c>
      <c r="J2323" s="1" t="str">
        <f t="shared" si="219"/>
        <v>Piccolo production item #017</v>
      </c>
      <c r="K2323" s="1" t="str">
        <f>IF(SUM(COUNTIFS(I:I, I2323)) &gt; 1, "DUPLICATE", "UNIQUE")</f>
        <v>UNIQUE</v>
      </c>
      <c r="L2323" s="18">
        <v>0</v>
      </c>
      <c r="M2323" s="28">
        <v>66</v>
      </c>
      <c r="N2323" s="6">
        <v>169</v>
      </c>
      <c r="O2323" s="30">
        <f t="shared" si="220"/>
        <v>0</v>
      </c>
      <c r="P2323" s="30">
        <f t="shared" si="221"/>
        <v>11154</v>
      </c>
      <c r="Q2323" s="1">
        <f>COUNTIFS($P:$P, "&gt;" &amp; $P2323) + 1</f>
        <v>1673</v>
      </c>
      <c r="R2323" s="63">
        <f>(COUNTIFS($P:$P, "&gt;" &amp; $P2323) + 1) / (COUNTA($I:$I) - 1)</f>
        <v>0.33460000000000001</v>
      </c>
      <c r="S2323" s="23">
        <f>SUMIFS($P:$P, $Q:$Q, "&lt;" &amp; $Q2323)</f>
        <v>176917072</v>
      </c>
    </row>
    <row r="2324" spans="1:19" x14ac:dyDescent="0.25">
      <c r="A2324" s="1">
        <v>2319</v>
      </c>
      <c r="B2324" s="1" t="s">
        <v>2</v>
      </c>
      <c r="C2324" s="1" t="str">
        <f>IF($B2324 = "Production Item", _xlfn.XLOOKUP($A2324, 'Instrument Table'!$J:$J, 'Instrument Table'!$B:$B, $C2323), IF($B2324 = "Service Item", _xlfn.XLOOKUP($A2324, 'Instrument Table'!$I:$I, 'Instrument Table'!$B:$B, $C2323), _xlfn.XLOOKUP($A2324, 'Instrument Table'!$H:$H, 'Instrument Table'!$B:$B, $C2323)))</f>
        <v>Piccolo</v>
      </c>
      <c r="D2324" s="1" t="str">
        <f>VLOOKUP($C2324, 'Instrument Table'!$B:$C, 2, FALSE)</f>
        <v>Woodwinds</v>
      </c>
      <c r="E2324" s="1">
        <f t="shared" si="216"/>
        <v>1</v>
      </c>
      <c r="F2324" s="1">
        <f>_xlfn.XLOOKUP($C2324, 'Instrument Table'!$B:$B, 'Instrument Table'!$A:$A, "")</f>
        <v>33</v>
      </c>
      <c r="G2324" s="1" t="str">
        <f>TEXT(IF($B2324 = "Retail Item", IF((ROW($A2324) - 4504 - _xlfn.XMATCH($C2324, $C$4506:$C$5005, 0, 1)) &lt;= VLOOKUP($C2324, 'Instrument Table'!$B:$D, 3, FALSE), ROW($A2324) - 4504 - _xlfn.XMATCH($C2324, $C$4506:$C$5005, 0, 1), 0), 0), "00")</f>
        <v>00</v>
      </c>
      <c r="H2324" s="1" t="str">
        <f t="shared" si="217"/>
        <v>018</v>
      </c>
      <c r="I2324" s="1" t="str">
        <f t="shared" si="218"/>
        <v>13300-018</v>
      </c>
      <c r="J2324" s="1" t="str">
        <f t="shared" si="219"/>
        <v>Piccolo production item #018</v>
      </c>
      <c r="K2324" s="1" t="str">
        <f>IF(SUM(COUNTIFS(I:I, I2324)) &gt; 1, "DUPLICATE", "UNIQUE")</f>
        <v>UNIQUE</v>
      </c>
      <c r="L2324" s="18">
        <v>0</v>
      </c>
      <c r="M2324" s="28">
        <v>13</v>
      </c>
      <c r="N2324" s="6">
        <v>9</v>
      </c>
      <c r="O2324" s="30">
        <f t="shared" si="220"/>
        <v>0</v>
      </c>
      <c r="P2324" s="30">
        <f t="shared" si="221"/>
        <v>117</v>
      </c>
      <c r="Q2324" s="1">
        <f>COUNTIFS($P:$P, "&gt;" &amp; $P2324) + 1</f>
        <v>4429</v>
      </c>
      <c r="R2324" s="63">
        <f>(COUNTIFS($P:$P, "&gt;" &amp; $P2324) + 1) / (COUNTA($I:$I) - 1)</f>
        <v>0.88580000000000003</v>
      </c>
      <c r="S2324" s="23">
        <f>SUMIFS($P:$P, $Q:$Q, "&lt;" &amp; $Q2324)</f>
        <v>186529879</v>
      </c>
    </row>
    <row r="2325" spans="1:19" x14ac:dyDescent="0.25">
      <c r="A2325" s="1">
        <v>2320</v>
      </c>
      <c r="B2325" s="1" t="s">
        <v>2</v>
      </c>
      <c r="C2325" s="1" t="str">
        <f>IF($B2325 = "Production Item", _xlfn.XLOOKUP($A2325, 'Instrument Table'!$J:$J, 'Instrument Table'!$B:$B, $C2324), IF($B2325 = "Service Item", _xlfn.XLOOKUP($A2325, 'Instrument Table'!$I:$I, 'Instrument Table'!$B:$B, $C2324), _xlfn.XLOOKUP($A2325, 'Instrument Table'!$H:$H, 'Instrument Table'!$B:$B, $C2324)))</f>
        <v>Piccolo</v>
      </c>
      <c r="D2325" s="1" t="str">
        <f>VLOOKUP($C2325, 'Instrument Table'!$B:$C, 2, FALSE)</f>
        <v>Woodwinds</v>
      </c>
      <c r="E2325" s="1">
        <f t="shared" si="216"/>
        <v>1</v>
      </c>
      <c r="F2325" s="1">
        <f>_xlfn.XLOOKUP($C2325, 'Instrument Table'!$B:$B, 'Instrument Table'!$A:$A, "")</f>
        <v>33</v>
      </c>
      <c r="G2325" s="1" t="str">
        <f>TEXT(IF($B2325 = "Retail Item", IF((ROW($A2325) - 4504 - _xlfn.XMATCH($C2325, $C$4506:$C$5005, 0, 1)) &lt;= VLOOKUP($C2325, 'Instrument Table'!$B:$D, 3, FALSE), ROW($A2325) - 4504 - _xlfn.XMATCH($C2325, $C$4506:$C$5005, 0, 1), 0), 0), "00")</f>
        <v>00</v>
      </c>
      <c r="H2325" s="1" t="str">
        <f t="shared" si="217"/>
        <v>019</v>
      </c>
      <c r="I2325" s="1" t="str">
        <f t="shared" si="218"/>
        <v>13300-019</v>
      </c>
      <c r="J2325" s="1" t="str">
        <f t="shared" si="219"/>
        <v>Piccolo production item #019</v>
      </c>
      <c r="K2325" s="1" t="str">
        <f>IF(SUM(COUNTIFS(I:I, I2325)) &gt; 1, "DUPLICATE", "UNIQUE")</f>
        <v>UNIQUE</v>
      </c>
      <c r="L2325" s="18">
        <v>16</v>
      </c>
      <c r="M2325" s="28">
        <v>91</v>
      </c>
      <c r="N2325" s="6">
        <v>225</v>
      </c>
      <c r="O2325" s="30">
        <f t="shared" si="220"/>
        <v>1456</v>
      </c>
      <c r="P2325" s="30">
        <f t="shared" si="221"/>
        <v>20475</v>
      </c>
      <c r="Q2325" s="1">
        <f>COUNTIFS($P:$P, "&gt;" &amp; $P2325) + 1</f>
        <v>1034</v>
      </c>
      <c r="R2325" s="63">
        <f>(COUNTIFS($P:$P, "&gt;" &amp; $P2325) + 1) / (COUNTA($I:$I) - 1)</f>
        <v>0.20680000000000001</v>
      </c>
      <c r="S2325" s="23">
        <f>SUMIFS($P:$P, $Q:$Q, "&lt;" &amp; $Q2325)</f>
        <v>167197006</v>
      </c>
    </row>
    <row r="2326" spans="1:19" x14ac:dyDescent="0.25">
      <c r="A2326" s="1">
        <v>2321</v>
      </c>
      <c r="B2326" s="1" t="s">
        <v>2</v>
      </c>
      <c r="C2326" s="1" t="str">
        <f>IF($B2326 = "Production Item", _xlfn.XLOOKUP($A2326, 'Instrument Table'!$J:$J, 'Instrument Table'!$B:$B, $C2325), IF($B2326 = "Service Item", _xlfn.XLOOKUP($A2326, 'Instrument Table'!$I:$I, 'Instrument Table'!$B:$B, $C2325), _xlfn.XLOOKUP($A2326, 'Instrument Table'!$H:$H, 'Instrument Table'!$B:$B, $C2325)))</f>
        <v>Piccolo</v>
      </c>
      <c r="D2326" s="1" t="str">
        <f>VLOOKUP($C2326, 'Instrument Table'!$B:$C, 2, FALSE)</f>
        <v>Woodwinds</v>
      </c>
      <c r="E2326" s="1">
        <f t="shared" si="216"/>
        <v>1</v>
      </c>
      <c r="F2326" s="1">
        <f>_xlfn.XLOOKUP($C2326, 'Instrument Table'!$B:$B, 'Instrument Table'!$A:$A, "")</f>
        <v>33</v>
      </c>
      <c r="G2326" s="1" t="str">
        <f>TEXT(IF($B2326 = "Retail Item", IF((ROW($A2326) - 4504 - _xlfn.XMATCH($C2326, $C$4506:$C$5005, 0, 1)) &lt;= VLOOKUP($C2326, 'Instrument Table'!$B:$D, 3, FALSE), ROW($A2326) - 4504 - _xlfn.XMATCH($C2326, $C$4506:$C$5005, 0, 1), 0), 0), "00")</f>
        <v>00</v>
      </c>
      <c r="H2326" s="1" t="str">
        <f t="shared" si="217"/>
        <v>020</v>
      </c>
      <c r="I2326" s="1" t="str">
        <f t="shared" si="218"/>
        <v>13300-020</v>
      </c>
      <c r="J2326" s="1" t="str">
        <f t="shared" si="219"/>
        <v>Piccolo production item #020</v>
      </c>
      <c r="K2326" s="1" t="str">
        <f>IF(SUM(COUNTIFS(I:I, I2326)) &gt; 1, "DUPLICATE", "UNIQUE")</f>
        <v>UNIQUE</v>
      </c>
      <c r="L2326" s="18">
        <v>2</v>
      </c>
      <c r="M2326" s="28">
        <v>85</v>
      </c>
      <c r="N2326" s="6">
        <v>0</v>
      </c>
      <c r="O2326" s="30">
        <f t="shared" si="220"/>
        <v>170</v>
      </c>
      <c r="P2326" s="30">
        <f t="shared" si="221"/>
        <v>0</v>
      </c>
      <c r="Q2326" s="1">
        <f>COUNTIFS($P:$P, "&gt;" &amp; $P2326) + 1</f>
        <v>4746</v>
      </c>
      <c r="R2326" s="63">
        <f>(COUNTIFS($P:$P, "&gt;" &amp; $P2326) + 1) / (COUNTA($I:$I) - 1)</f>
        <v>0.94920000000000004</v>
      </c>
      <c r="S2326" s="23">
        <f>SUMIFS($P:$P, $Q:$Q, "&lt;" &amp; $Q2326)</f>
        <v>186547861</v>
      </c>
    </row>
    <row r="2327" spans="1:19" x14ac:dyDescent="0.25">
      <c r="A2327" s="1">
        <v>2322</v>
      </c>
      <c r="B2327" s="1" t="s">
        <v>2</v>
      </c>
      <c r="C2327" s="1" t="str">
        <f>IF($B2327 = "Production Item", _xlfn.XLOOKUP($A2327, 'Instrument Table'!$J:$J, 'Instrument Table'!$B:$B, $C2326), IF($B2327 = "Service Item", _xlfn.XLOOKUP($A2327, 'Instrument Table'!$I:$I, 'Instrument Table'!$B:$B, $C2326), _xlfn.XLOOKUP($A2327, 'Instrument Table'!$H:$H, 'Instrument Table'!$B:$B, $C2326)))</f>
        <v>Piccolo</v>
      </c>
      <c r="D2327" s="1" t="str">
        <f>VLOOKUP($C2327, 'Instrument Table'!$B:$C, 2, FALSE)</f>
        <v>Woodwinds</v>
      </c>
      <c r="E2327" s="1">
        <f t="shared" si="216"/>
        <v>1</v>
      </c>
      <c r="F2327" s="1">
        <f>_xlfn.XLOOKUP($C2327, 'Instrument Table'!$B:$B, 'Instrument Table'!$A:$A, "")</f>
        <v>33</v>
      </c>
      <c r="G2327" s="1" t="str">
        <f>TEXT(IF($B2327 = "Retail Item", IF((ROW($A2327) - 4504 - _xlfn.XMATCH($C2327, $C$4506:$C$5005, 0, 1)) &lt;= VLOOKUP($C2327, 'Instrument Table'!$B:$D, 3, FALSE), ROW($A2327) - 4504 - _xlfn.XMATCH($C2327, $C$4506:$C$5005, 0, 1), 0), 0), "00")</f>
        <v>00</v>
      </c>
      <c r="H2327" s="1" t="str">
        <f t="shared" si="217"/>
        <v>021</v>
      </c>
      <c r="I2327" s="1" t="str">
        <f t="shared" si="218"/>
        <v>13300-021</v>
      </c>
      <c r="J2327" s="1" t="str">
        <f t="shared" si="219"/>
        <v>Piccolo production item #021</v>
      </c>
      <c r="K2327" s="1" t="str">
        <f>IF(SUM(COUNTIFS(I:I, I2327)) &gt; 1, "DUPLICATE", "UNIQUE")</f>
        <v>UNIQUE</v>
      </c>
      <c r="L2327" s="18">
        <v>1</v>
      </c>
      <c r="M2327" s="28">
        <v>85</v>
      </c>
      <c r="N2327" s="6">
        <v>64</v>
      </c>
      <c r="O2327" s="30">
        <f t="shared" si="220"/>
        <v>85</v>
      </c>
      <c r="P2327" s="30">
        <f t="shared" si="221"/>
        <v>5440</v>
      </c>
      <c r="Q2327" s="1">
        <f>COUNTIFS($P:$P, "&gt;" &amp; $P2327) + 1</f>
        <v>2364</v>
      </c>
      <c r="R2327" s="63">
        <f>(COUNTIFS($P:$P, "&gt;" &amp; $P2327) + 1) / (COUNTA($I:$I) - 1)</f>
        <v>0.4728</v>
      </c>
      <c r="S2327" s="23">
        <f>SUMIFS($P:$P, $Q:$Q, "&lt;" &amp; $Q2327)</f>
        <v>182424297</v>
      </c>
    </row>
    <row r="2328" spans="1:19" x14ac:dyDescent="0.25">
      <c r="A2328" s="1">
        <v>2323</v>
      </c>
      <c r="B2328" s="1" t="s">
        <v>2</v>
      </c>
      <c r="C2328" s="1" t="str">
        <f>IF($B2328 = "Production Item", _xlfn.XLOOKUP($A2328, 'Instrument Table'!$J:$J, 'Instrument Table'!$B:$B, $C2327), IF($B2328 = "Service Item", _xlfn.XLOOKUP($A2328, 'Instrument Table'!$I:$I, 'Instrument Table'!$B:$B, $C2327), _xlfn.XLOOKUP($A2328, 'Instrument Table'!$H:$H, 'Instrument Table'!$B:$B, $C2327)))</f>
        <v>Piccolo</v>
      </c>
      <c r="D2328" s="1" t="str">
        <f>VLOOKUP($C2328, 'Instrument Table'!$B:$C, 2, FALSE)</f>
        <v>Woodwinds</v>
      </c>
      <c r="E2328" s="1">
        <f t="shared" si="216"/>
        <v>1</v>
      </c>
      <c r="F2328" s="1">
        <f>_xlfn.XLOOKUP($C2328, 'Instrument Table'!$B:$B, 'Instrument Table'!$A:$A, "")</f>
        <v>33</v>
      </c>
      <c r="G2328" s="1" t="str">
        <f>TEXT(IF($B2328 = "Retail Item", IF((ROW($A2328) - 4504 - _xlfn.XMATCH($C2328, $C$4506:$C$5005, 0, 1)) &lt;= VLOOKUP($C2328, 'Instrument Table'!$B:$D, 3, FALSE), ROW($A2328) - 4504 - _xlfn.XMATCH($C2328, $C$4506:$C$5005, 0, 1), 0), 0), "00")</f>
        <v>00</v>
      </c>
      <c r="H2328" s="1" t="str">
        <f t="shared" si="217"/>
        <v>022</v>
      </c>
      <c r="I2328" s="1" t="str">
        <f t="shared" si="218"/>
        <v>13300-022</v>
      </c>
      <c r="J2328" s="1" t="str">
        <f t="shared" si="219"/>
        <v>Piccolo production item #022</v>
      </c>
      <c r="K2328" s="1" t="str">
        <f>IF(SUM(COUNTIFS(I:I, I2328)) &gt; 1, "DUPLICATE", "UNIQUE")</f>
        <v>UNIQUE</v>
      </c>
      <c r="L2328" s="18">
        <v>4</v>
      </c>
      <c r="M2328" s="28">
        <v>60</v>
      </c>
      <c r="N2328" s="6">
        <v>36</v>
      </c>
      <c r="O2328" s="30">
        <f t="shared" si="220"/>
        <v>240</v>
      </c>
      <c r="P2328" s="30">
        <f t="shared" si="221"/>
        <v>2160</v>
      </c>
      <c r="Q2328" s="1">
        <f>COUNTIFS($P:$P, "&gt;" &amp; $P2328) + 1</f>
        <v>3181</v>
      </c>
      <c r="R2328" s="63">
        <f>(COUNTIFS($P:$P, "&gt;" &amp; $P2328) + 1) / (COUNTA($I:$I) - 1)</f>
        <v>0.63619999999999999</v>
      </c>
      <c r="S2328" s="23">
        <f>SUMIFS($P:$P, $Q:$Q, "&lt;" &amp; $Q2328)</f>
        <v>185367052</v>
      </c>
    </row>
    <row r="2329" spans="1:19" x14ac:dyDescent="0.25">
      <c r="A2329" s="1">
        <v>2324</v>
      </c>
      <c r="B2329" s="1" t="s">
        <v>2</v>
      </c>
      <c r="C2329" s="1" t="str">
        <f>IF($B2329 = "Production Item", _xlfn.XLOOKUP($A2329, 'Instrument Table'!$J:$J, 'Instrument Table'!$B:$B, $C2328), IF($B2329 = "Service Item", _xlfn.XLOOKUP($A2329, 'Instrument Table'!$I:$I, 'Instrument Table'!$B:$B, $C2328), _xlfn.XLOOKUP($A2329, 'Instrument Table'!$H:$H, 'Instrument Table'!$B:$B, $C2328)))</f>
        <v>Piccolo</v>
      </c>
      <c r="D2329" s="1" t="str">
        <f>VLOOKUP($C2329, 'Instrument Table'!$B:$C, 2, FALSE)</f>
        <v>Woodwinds</v>
      </c>
      <c r="E2329" s="1">
        <f t="shared" si="216"/>
        <v>1</v>
      </c>
      <c r="F2329" s="1">
        <f>_xlfn.XLOOKUP($C2329, 'Instrument Table'!$B:$B, 'Instrument Table'!$A:$A, "")</f>
        <v>33</v>
      </c>
      <c r="G2329" s="1" t="str">
        <f>TEXT(IF($B2329 = "Retail Item", IF((ROW($A2329) - 4504 - _xlfn.XMATCH($C2329, $C$4506:$C$5005, 0, 1)) &lt;= VLOOKUP($C2329, 'Instrument Table'!$B:$D, 3, FALSE), ROW($A2329) - 4504 - _xlfn.XMATCH($C2329, $C$4506:$C$5005, 0, 1), 0), 0), "00")</f>
        <v>00</v>
      </c>
      <c r="H2329" s="1" t="str">
        <f t="shared" si="217"/>
        <v>023</v>
      </c>
      <c r="I2329" s="1" t="str">
        <f t="shared" si="218"/>
        <v>13300-023</v>
      </c>
      <c r="J2329" s="1" t="str">
        <f t="shared" si="219"/>
        <v>Piccolo production item #023</v>
      </c>
      <c r="K2329" s="1" t="str">
        <f>IF(SUM(COUNTIFS(I:I, I2329)) &gt; 1, "DUPLICATE", "UNIQUE")</f>
        <v>UNIQUE</v>
      </c>
      <c r="L2329" s="18">
        <v>0</v>
      </c>
      <c r="M2329" s="28">
        <v>58</v>
      </c>
      <c r="N2329" s="6">
        <v>324</v>
      </c>
      <c r="O2329" s="30">
        <f t="shared" si="220"/>
        <v>0</v>
      </c>
      <c r="P2329" s="30">
        <f t="shared" si="221"/>
        <v>18792</v>
      </c>
      <c r="Q2329" s="1">
        <f>COUNTIFS($P:$P, "&gt;" &amp; $P2329) + 1</f>
        <v>1113</v>
      </c>
      <c r="R2329" s="63">
        <f>(COUNTIFS($P:$P, "&gt;" &amp; $P2329) + 1) / (COUNTA($I:$I) - 1)</f>
        <v>0.22259999999999999</v>
      </c>
      <c r="S2329" s="23">
        <f>SUMIFS($P:$P, $Q:$Q, "&lt;" &amp; $Q2329)</f>
        <v>168750418</v>
      </c>
    </row>
    <row r="2330" spans="1:19" x14ac:dyDescent="0.25">
      <c r="A2330" s="1">
        <v>2325</v>
      </c>
      <c r="B2330" s="1" t="s">
        <v>2</v>
      </c>
      <c r="C2330" s="1" t="str">
        <f>IF($B2330 = "Production Item", _xlfn.XLOOKUP($A2330, 'Instrument Table'!$J:$J, 'Instrument Table'!$B:$B, $C2329), IF($B2330 = "Service Item", _xlfn.XLOOKUP($A2330, 'Instrument Table'!$I:$I, 'Instrument Table'!$B:$B, $C2329), _xlfn.XLOOKUP($A2330, 'Instrument Table'!$H:$H, 'Instrument Table'!$B:$B, $C2329)))</f>
        <v>Piccolo</v>
      </c>
      <c r="D2330" s="1" t="str">
        <f>VLOOKUP($C2330, 'Instrument Table'!$B:$C, 2, FALSE)</f>
        <v>Woodwinds</v>
      </c>
      <c r="E2330" s="1">
        <f t="shared" si="216"/>
        <v>1</v>
      </c>
      <c r="F2330" s="1">
        <f>_xlfn.XLOOKUP($C2330, 'Instrument Table'!$B:$B, 'Instrument Table'!$A:$A, "")</f>
        <v>33</v>
      </c>
      <c r="G2330" s="1" t="str">
        <f>TEXT(IF($B2330 = "Retail Item", IF((ROW($A2330) - 4504 - _xlfn.XMATCH($C2330, $C$4506:$C$5005, 0, 1)) &lt;= VLOOKUP($C2330, 'Instrument Table'!$B:$D, 3, FALSE), ROW($A2330) - 4504 - _xlfn.XMATCH($C2330, $C$4506:$C$5005, 0, 1), 0), 0), "00")</f>
        <v>00</v>
      </c>
      <c r="H2330" s="1" t="str">
        <f t="shared" si="217"/>
        <v>024</v>
      </c>
      <c r="I2330" s="1" t="str">
        <f t="shared" si="218"/>
        <v>13300-024</v>
      </c>
      <c r="J2330" s="1" t="str">
        <f t="shared" si="219"/>
        <v>Piccolo production item #024</v>
      </c>
      <c r="K2330" s="1" t="str">
        <f>IF(SUM(COUNTIFS(I:I, I2330)) &gt; 1, "DUPLICATE", "UNIQUE")</f>
        <v>UNIQUE</v>
      </c>
      <c r="L2330" s="18">
        <v>0</v>
      </c>
      <c r="M2330" s="28">
        <v>14</v>
      </c>
      <c r="N2330" s="6">
        <v>169</v>
      </c>
      <c r="O2330" s="30">
        <f t="shared" si="220"/>
        <v>0</v>
      </c>
      <c r="P2330" s="30">
        <f t="shared" si="221"/>
        <v>2366</v>
      </c>
      <c r="Q2330" s="1">
        <f>COUNTIFS($P:$P, "&gt;" &amp; $P2330) + 1</f>
        <v>3099</v>
      </c>
      <c r="R2330" s="63">
        <f>(COUNTIFS($P:$P, "&gt;" &amp; $P2330) + 1) / (COUNTA($I:$I) - 1)</f>
        <v>0.61980000000000002</v>
      </c>
      <c r="S2330" s="23">
        <f>SUMIFS($P:$P, $Q:$Q, "&lt;" &amp; $Q2330)</f>
        <v>185180101</v>
      </c>
    </row>
    <row r="2331" spans="1:19" x14ac:dyDescent="0.25">
      <c r="A2331" s="1">
        <v>2326</v>
      </c>
      <c r="B2331" s="1" t="s">
        <v>2</v>
      </c>
      <c r="C2331" s="1" t="str">
        <f>IF($B2331 = "Production Item", _xlfn.XLOOKUP($A2331, 'Instrument Table'!$J:$J, 'Instrument Table'!$B:$B, $C2330), IF($B2331 = "Service Item", _xlfn.XLOOKUP($A2331, 'Instrument Table'!$I:$I, 'Instrument Table'!$B:$B, $C2330), _xlfn.XLOOKUP($A2331, 'Instrument Table'!$H:$H, 'Instrument Table'!$B:$B, $C2330)))</f>
        <v>Piccolo</v>
      </c>
      <c r="D2331" s="1" t="str">
        <f>VLOOKUP($C2331, 'Instrument Table'!$B:$C, 2, FALSE)</f>
        <v>Woodwinds</v>
      </c>
      <c r="E2331" s="1">
        <f t="shared" si="216"/>
        <v>1</v>
      </c>
      <c r="F2331" s="1">
        <f>_xlfn.XLOOKUP($C2331, 'Instrument Table'!$B:$B, 'Instrument Table'!$A:$A, "")</f>
        <v>33</v>
      </c>
      <c r="G2331" s="1" t="str">
        <f>TEXT(IF($B2331 = "Retail Item", IF((ROW($A2331) - 4504 - _xlfn.XMATCH($C2331, $C$4506:$C$5005, 0, 1)) &lt;= VLOOKUP($C2331, 'Instrument Table'!$B:$D, 3, FALSE), ROW($A2331) - 4504 - _xlfn.XMATCH($C2331, $C$4506:$C$5005, 0, 1), 0), 0), "00")</f>
        <v>00</v>
      </c>
      <c r="H2331" s="1" t="str">
        <f t="shared" si="217"/>
        <v>025</v>
      </c>
      <c r="I2331" s="1" t="str">
        <f t="shared" si="218"/>
        <v>13300-025</v>
      </c>
      <c r="J2331" s="1" t="str">
        <f t="shared" si="219"/>
        <v>Piccolo production item #025</v>
      </c>
      <c r="K2331" s="1" t="str">
        <f>IF(SUM(COUNTIFS(I:I, I2331)) &gt; 1, "DUPLICATE", "UNIQUE")</f>
        <v>UNIQUE</v>
      </c>
      <c r="L2331" s="18">
        <v>1</v>
      </c>
      <c r="M2331" s="28">
        <v>8</v>
      </c>
      <c r="N2331" s="6">
        <v>25</v>
      </c>
      <c r="O2331" s="30">
        <f t="shared" si="220"/>
        <v>8</v>
      </c>
      <c r="P2331" s="30">
        <f t="shared" si="221"/>
        <v>200</v>
      </c>
      <c r="Q2331" s="1">
        <f>COUNTIFS($P:$P, "&gt;" &amp; $P2331) + 1</f>
        <v>4322</v>
      </c>
      <c r="R2331" s="63">
        <f>(COUNTIFS($P:$P, "&gt;" &amp; $P2331) + 1) / (COUNTA($I:$I) - 1)</f>
        <v>0.86439999999999995</v>
      </c>
      <c r="S2331" s="23">
        <f>SUMIFS($P:$P, $Q:$Q, "&lt;" &amp; $Q2331)</f>
        <v>186512097</v>
      </c>
    </row>
    <row r="2332" spans="1:19" x14ac:dyDescent="0.25">
      <c r="A2332" s="1">
        <v>2327</v>
      </c>
      <c r="B2332" s="1" t="s">
        <v>2</v>
      </c>
      <c r="C2332" s="1" t="str">
        <f>IF($B2332 = "Production Item", _xlfn.XLOOKUP($A2332, 'Instrument Table'!$J:$J, 'Instrument Table'!$B:$B, $C2331), IF($B2332 = "Service Item", _xlfn.XLOOKUP($A2332, 'Instrument Table'!$I:$I, 'Instrument Table'!$B:$B, $C2331), _xlfn.XLOOKUP($A2332, 'Instrument Table'!$H:$H, 'Instrument Table'!$B:$B, $C2331)))</f>
        <v>Piccolo</v>
      </c>
      <c r="D2332" s="1" t="str">
        <f>VLOOKUP($C2332, 'Instrument Table'!$B:$C, 2, FALSE)</f>
        <v>Woodwinds</v>
      </c>
      <c r="E2332" s="1">
        <f t="shared" si="216"/>
        <v>1</v>
      </c>
      <c r="F2332" s="1">
        <f>_xlfn.XLOOKUP($C2332, 'Instrument Table'!$B:$B, 'Instrument Table'!$A:$A, "")</f>
        <v>33</v>
      </c>
      <c r="G2332" s="1" t="str">
        <f>TEXT(IF($B2332 = "Retail Item", IF((ROW($A2332) - 4504 - _xlfn.XMATCH($C2332, $C$4506:$C$5005, 0, 1)) &lt;= VLOOKUP($C2332, 'Instrument Table'!$B:$D, 3, FALSE), ROW($A2332) - 4504 - _xlfn.XMATCH($C2332, $C$4506:$C$5005, 0, 1), 0), 0), "00")</f>
        <v>00</v>
      </c>
      <c r="H2332" s="1" t="str">
        <f t="shared" si="217"/>
        <v>026</v>
      </c>
      <c r="I2332" s="1" t="str">
        <f t="shared" si="218"/>
        <v>13300-026</v>
      </c>
      <c r="J2332" s="1" t="str">
        <f t="shared" si="219"/>
        <v>Piccolo production item #026</v>
      </c>
      <c r="K2332" s="1" t="str">
        <f>IF(SUM(COUNTIFS(I:I, I2332)) &gt; 1, "DUPLICATE", "UNIQUE")</f>
        <v>UNIQUE</v>
      </c>
      <c r="L2332" s="18">
        <v>2</v>
      </c>
      <c r="M2332" s="28">
        <v>29</v>
      </c>
      <c r="N2332" s="6">
        <v>400</v>
      </c>
      <c r="O2332" s="30">
        <f t="shared" si="220"/>
        <v>58</v>
      </c>
      <c r="P2332" s="30">
        <f t="shared" si="221"/>
        <v>11600</v>
      </c>
      <c r="Q2332" s="1">
        <f>COUNTIFS($P:$P, "&gt;" &amp; $P2332) + 1</f>
        <v>1622</v>
      </c>
      <c r="R2332" s="63">
        <f>(COUNTIFS($P:$P, "&gt;" &amp; $P2332) + 1) / (COUNTA($I:$I) - 1)</f>
        <v>0.32440000000000002</v>
      </c>
      <c r="S2332" s="23">
        <f>SUMIFS($P:$P, $Q:$Q, "&lt;" &amp; $Q2332)</f>
        <v>176335567</v>
      </c>
    </row>
    <row r="2333" spans="1:19" x14ac:dyDescent="0.25">
      <c r="A2333" s="1">
        <v>2328</v>
      </c>
      <c r="B2333" s="1" t="s">
        <v>2</v>
      </c>
      <c r="C2333" s="1" t="str">
        <f>IF($B2333 = "Production Item", _xlfn.XLOOKUP($A2333, 'Instrument Table'!$J:$J, 'Instrument Table'!$B:$B, $C2332), IF($B2333 = "Service Item", _xlfn.XLOOKUP($A2333, 'Instrument Table'!$I:$I, 'Instrument Table'!$B:$B, $C2332), _xlfn.XLOOKUP($A2333, 'Instrument Table'!$H:$H, 'Instrument Table'!$B:$B, $C2332)))</f>
        <v>Piccolo</v>
      </c>
      <c r="D2333" s="1" t="str">
        <f>VLOOKUP($C2333, 'Instrument Table'!$B:$C, 2, FALSE)</f>
        <v>Woodwinds</v>
      </c>
      <c r="E2333" s="1">
        <f t="shared" si="216"/>
        <v>1</v>
      </c>
      <c r="F2333" s="1">
        <f>_xlfn.XLOOKUP($C2333, 'Instrument Table'!$B:$B, 'Instrument Table'!$A:$A, "")</f>
        <v>33</v>
      </c>
      <c r="G2333" s="1" t="str">
        <f>TEXT(IF($B2333 = "Retail Item", IF((ROW($A2333) - 4504 - _xlfn.XMATCH($C2333, $C$4506:$C$5005, 0, 1)) &lt;= VLOOKUP($C2333, 'Instrument Table'!$B:$D, 3, FALSE), ROW($A2333) - 4504 - _xlfn.XMATCH($C2333, $C$4506:$C$5005, 0, 1), 0), 0), "00")</f>
        <v>00</v>
      </c>
      <c r="H2333" s="1" t="str">
        <f t="shared" si="217"/>
        <v>027</v>
      </c>
      <c r="I2333" s="1" t="str">
        <f t="shared" si="218"/>
        <v>13300-027</v>
      </c>
      <c r="J2333" s="1" t="str">
        <f t="shared" si="219"/>
        <v>Piccolo production item #027</v>
      </c>
      <c r="K2333" s="1" t="str">
        <f>IF(SUM(COUNTIFS(I:I, I2333)) &gt; 1, "DUPLICATE", "UNIQUE")</f>
        <v>UNIQUE</v>
      </c>
      <c r="L2333" s="18">
        <v>0</v>
      </c>
      <c r="M2333" s="28">
        <v>47</v>
      </c>
      <c r="N2333" s="6">
        <v>4</v>
      </c>
      <c r="O2333" s="30">
        <f t="shared" si="220"/>
        <v>0</v>
      </c>
      <c r="P2333" s="30">
        <f t="shared" si="221"/>
        <v>188</v>
      </c>
      <c r="Q2333" s="1">
        <f>COUNTIFS($P:$P, "&gt;" &amp; $P2333) + 1</f>
        <v>4348</v>
      </c>
      <c r="R2333" s="63">
        <f>(COUNTIFS($P:$P, "&gt;" &amp; $P2333) + 1) / (COUNTA($I:$I) - 1)</f>
        <v>0.86960000000000004</v>
      </c>
      <c r="S2333" s="23">
        <f>SUMIFS($P:$P, $Q:$Q, "&lt;" &amp; $Q2333)</f>
        <v>186517200</v>
      </c>
    </row>
    <row r="2334" spans="1:19" x14ac:dyDescent="0.25">
      <c r="A2334" s="1">
        <v>2329</v>
      </c>
      <c r="B2334" s="1" t="s">
        <v>2</v>
      </c>
      <c r="C2334" s="1" t="str">
        <f>IF($B2334 = "Production Item", _xlfn.XLOOKUP($A2334, 'Instrument Table'!$J:$J, 'Instrument Table'!$B:$B, $C2333), IF($B2334 = "Service Item", _xlfn.XLOOKUP($A2334, 'Instrument Table'!$I:$I, 'Instrument Table'!$B:$B, $C2333), _xlfn.XLOOKUP($A2334, 'Instrument Table'!$H:$H, 'Instrument Table'!$B:$B, $C2333)))</f>
        <v>Piccolo</v>
      </c>
      <c r="D2334" s="1" t="str">
        <f>VLOOKUP($C2334, 'Instrument Table'!$B:$C, 2, FALSE)</f>
        <v>Woodwinds</v>
      </c>
      <c r="E2334" s="1">
        <f t="shared" si="216"/>
        <v>1</v>
      </c>
      <c r="F2334" s="1">
        <f>_xlfn.XLOOKUP($C2334, 'Instrument Table'!$B:$B, 'Instrument Table'!$A:$A, "")</f>
        <v>33</v>
      </c>
      <c r="G2334" s="1" t="str">
        <f>TEXT(IF($B2334 = "Retail Item", IF((ROW($A2334) - 4504 - _xlfn.XMATCH($C2334, $C$4506:$C$5005, 0, 1)) &lt;= VLOOKUP($C2334, 'Instrument Table'!$B:$D, 3, FALSE), ROW($A2334) - 4504 - _xlfn.XMATCH($C2334, $C$4506:$C$5005, 0, 1), 0), 0), "00")</f>
        <v>00</v>
      </c>
      <c r="H2334" s="1" t="str">
        <f t="shared" si="217"/>
        <v>028</v>
      </c>
      <c r="I2334" s="1" t="str">
        <f t="shared" si="218"/>
        <v>13300-028</v>
      </c>
      <c r="J2334" s="1" t="str">
        <f t="shared" si="219"/>
        <v>Piccolo production item #028</v>
      </c>
      <c r="K2334" s="1" t="str">
        <f>IF(SUM(COUNTIFS(I:I, I2334)) &gt; 1, "DUPLICATE", "UNIQUE")</f>
        <v>UNIQUE</v>
      </c>
      <c r="L2334" s="18">
        <v>0</v>
      </c>
      <c r="M2334" s="28">
        <v>36</v>
      </c>
      <c r="N2334" s="6">
        <v>16</v>
      </c>
      <c r="O2334" s="30">
        <f t="shared" si="220"/>
        <v>0</v>
      </c>
      <c r="P2334" s="30">
        <f t="shared" si="221"/>
        <v>576</v>
      </c>
      <c r="Q2334" s="1">
        <f>COUNTIFS($P:$P, "&gt;" &amp; $P2334) + 1</f>
        <v>3957</v>
      </c>
      <c r="R2334" s="63">
        <f>(COUNTIFS($P:$P, "&gt;" &amp; $P2334) + 1) / (COUNTA($I:$I) - 1)</f>
        <v>0.79139999999999999</v>
      </c>
      <c r="S2334" s="23">
        <f>SUMIFS($P:$P, $Q:$Q, "&lt;" &amp; $Q2334)</f>
        <v>186374368</v>
      </c>
    </row>
    <row r="2335" spans="1:19" x14ac:dyDescent="0.25">
      <c r="A2335" s="1">
        <v>2330</v>
      </c>
      <c r="B2335" s="1" t="s">
        <v>2</v>
      </c>
      <c r="C2335" s="1" t="str">
        <f>IF($B2335 = "Production Item", _xlfn.XLOOKUP($A2335, 'Instrument Table'!$J:$J, 'Instrument Table'!$B:$B, $C2334), IF($B2335 = "Service Item", _xlfn.XLOOKUP($A2335, 'Instrument Table'!$I:$I, 'Instrument Table'!$B:$B, $C2334), _xlfn.XLOOKUP($A2335, 'Instrument Table'!$H:$H, 'Instrument Table'!$B:$B, $C2334)))</f>
        <v>Piccolo</v>
      </c>
      <c r="D2335" s="1" t="str">
        <f>VLOOKUP($C2335, 'Instrument Table'!$B:$C, 2, FALSE)</f>
        <v>Woodwinds</v>
      </c>
      <c r="E2335" s="1">
        <f t="shared" si="216"/>
        <v>1</v>
      </c>
      <c r="F2335" s="1">
        <f>_xlfn.XLOOKUP($C2335, 'Instrument Table'!$B:$B, 'Instrument Table'!$A:$A, "")</f>
        <v>33</v>
      </c>
      <c r="G2335" s="1" t="str">
        <f>TEXT(IF($B2335 = "Retail Item", IF((ROW($A2335) - 4504 - _xlfn.XMATCH($C2335, $C$4506:$C$5005, 0, 1)) &lt;= VLOOKUP($C2335, 'Instrument Table'!$B:$D, 3, FALSE), ROW($A2335) - 4504 - _xlfn.XMATCH($C2335, $C$4506:$C$5005, 0, 1), 0), 0), "00")</f>
        <v>00</v>
      </c>
      <c r="H2335" s="1" t="str">
        <f t="shared" si="217"/>
        <v>029</v>
      </c>
      <c r="I2335" s="1" t="str">
        <f t="shared" si="218"/>
        <v>13300-029</v>
      </c>
      <c r="J2335" s="1" t="str">
        <f t="shared" si="219"/>
        <v>Piccolo production item #029</v>
      </c>
      <c r="K2335" s="1" t="str">
        <f>IF(SUM(COUNTIFS(I:I, I2335)) &gt; 1, "DUPLICATE", "UNIQUE")</f>
        <v>UNIQUE</v>
      </c>
      <c r="L2335" s="18">
        <v>1</v>
      </c>
      <c r="M2335" s="28">
        <v>96</v>
      </c>
      <c r="N2335" s="6">
        <v>81</v>
      </c>
      <c r="O2335" s="30">
        <f t="shared" si="220"/>
        <v>96</v>
      </c>
      <c r="P2335" s="30">
        <f t="shared" si="221"/>
        <v>7776</v>
      </c>
      <c r="Q2335" s="1">
        <f>COUNTIFS($P:$P, "&gt;" &amp; $P2335) + 1</f>
        <v>2019</v>
      </c>
      <c r="R2335" s="63">
        <f>(COUNTIFS($P:$P, "&gt;" &amp; $P2335) + 1) / (COUNTA($I:$I) - 1)</f>
        <v>0.40379999999999999</v>
      </c>
      <c r="S2335" s="23">
        <f>SUMIFS($P:$P, $Q:$Q, "&lt;" &amp; $Q2335)</f>
        <v>180145621</v>
      </c>
    </row>
    <row r="2336" spans="1:19" x14ac:dyDescent="0.25">
      <c r="A2336" s="1">
        <v>2331</v>
      </c>
      <c r="B2336" s="1" t="s">
        <v>2</v>
      </c>
      <c r="C2336" s="1" t="str">
        <f>IF($B2336 = "Production Item", _xlfn.XLOOKUP($A2336, 'Instrument Table'!$J:$J, 'Instrument Table'!$B:$B, $C2335), IF($B2336 = "Service Item", _xlfn.XLOOKUP($A2336, 'Instrument Table'!$I:$I, 'Instrument Table'!$B:$B, $C2335), _xlfn.XLOOKUP($A2336, 'Instrument Table'!$H:$H, 'Instrument Table'!$B:$B, $C2335)))</f>
        <v>Piccolo</v>
      </c>
      <c r="D2336" s="1" t="str">
        <f>VLOOKUP($C2336, 'Instrument Table'!$B:$C, 2, FALSE)</f>
        <v>Woodwinds</v>
      </c>
      <c r="E2336" s="1">
        <f t="shared" si="216"/>
        <v>1</v>
      </c>
      <c r="F2336" s="1">
        <f>_xlfn.XLOOKUP($C2336, 'Instrument Table'!$B:$B, 'Instrument Table'!$A:$A, "")</f>
        <v>33</v>
      </c>
      <c r="G2336" s="1" t="str">
        <f>TEXT(IF($B2336 = "Retail Item", IF((ROW($A2336) - 4504 - _xlfn.XMATCH($C2336, $C$4506:$C$5005, 0, 1)) &lt;= VLOOKUP($C2336, 'Instrument Table'!$B:$D, 3, FALSE), ROW($A2336) - 4504 - _xlfn.XMATCH($C2336, $C$4506:$C$5005, 0, 1), 0), 0), "00")</f>
        <v>00</v>
      </c>
      <c r="H2336" s="1" t="str">
        <f t="shared" si="217"/>
        <v>030</v>
      </c>
      <c r="I2336" s="1" t="str">
        <f t="shared" si="218"/>
        <v>13300-030</v>
      </c>
      <c r="J2336" s="1" t="str">
        <f t="shared" si="219"/>
        <v>Piccolo production item #030</v>
      </c>
      <c r="K2336" s="1" t="str">
        <f>IF(SUM(COUNTIFS(I:I, I2336)) &gt; 1, "DUPLICATE", "UNIQUE")</f>
        <v>UNIQUE</v>
      </c>
      <c r="L2336" s="18">
        <v>2</v>
      </c>
      <c r="M2336" s="28">
        <v>43</v>
      </c>
      <c r="N2336" s="6">
        <v>121</v>
      </c>
      <c r="O2336" s="30">
        <f t="shared" si="220"/>
        <v>86</v>
      </c>
      <c r="P2336" s="30">
        <f t="shared" si="221"/>
        <v>5203</v>
      </c>
      <c r="Q2336" s="1">
        <f>COUNTIFS($P:$P, "&gt;" &amp; $P2336) + 1</f>
        <v>2400</v>
      </c>
      <c r="R2336" s="63">
        <f>(COUNTIFS($P:$P, "&gt;" &amp; $P2336) + 1) / (COUNTA($I:$I) - 1)</f>
        <v>0.48</v>
      </c>
      <c r="S2336" s="23">
        <f>SUMIFS($P:$P, $Q:$Q, "&lt;" &amp; $Q2336)</f>
        <v>182616520</v>
      </c>
    </row>
    <row r="2337" spans="1:19" x14ac:dyDescent="0.25">
      <c r="A2337" s="1">
        <v>2332</v>
      </c>
      <c r="B2337" s="1" t="s">
        <v>2</v>
      </c>
      <c r="C2337" s="1" t="str">
        <f>IF($B2337 = "Production Item", _xlfn.XLOOKUP($A2337, 'Instrument Table'!$J:$J, 'Instrument Table'!$B:$B, $C2336), IF($B2337 = "Service Item", _xlfn.XLOOKUP($A2337, 'Instrument Table'!$I:$I, 'Instrument Table'!$B:$B, $C2336), _xlfn.XLOOKUP($A2337, 'Instrument Table'!$H:$H, 'Instrument Table'!$B:$B, $C2336)))</f>
        <v>Piccolo</v>
      </c>
      <c r="D2337" s="1" t="str">
        <f>VLOOKUP($C2337, 'Instrument Table'!$B:$C, 2, FALSE)</f>
        <v>Woodwinds</v>
      </c>
      <c r="E2337" s="1">
        <f t="shared" si="216"/>
        <v>1</v>
      </c>
      <c r="F2337" s="1">
        <f>_xlfn.XLOOKUP($C2337, 'Instrument Table'!$B:$B, 'Instrument Table'!$A:$A, "")</f>
        <v>33</v>
      </c>
      <c r="G2337" s="1" t="str">
        <f>TEXT(IF($B2337 = "Retail Item", IF((ROW($A2337) - 4504 - _xlfn.XMATCH($C2337, $C$4506:$C$5005, 0, 1)) &lt;= VLOOKUP($C2337, 'Instrument Table'!$B:$D, 3, FALSE), ROW($A2337) - 4504 - _xlfn.XMATCH($C2337, $C$4506:$C$5005, 0, 1), 0), 0), "00")</f>
        <v>00</v>
      </c>
      <c r="H2337" s="1" t="str">
        <f t="shared" si="217"/>
        <v>031</v>
      </c>
      <c r="I2337" s="1" t="str">
        <f t="shared" si="218"/>
        <v>13300-031</v>
      </c>
      <c r="J2337" s="1" t="str">
        <f t="shared" si="219"/>
        <v>Piccolo production item #031</v>
      </c>
      <c r="K2337" s="1" t="str">
        <f>IF(SUM(COUNTIFS(I:I, I2337)) &gt; 1, "DUPLICATE", "UNIQUE")</f>
        <v>UNIQUE</v>
      </c>
      <c r="L2337" s="18">
        <v>1</v>
      </c>
      <c r="M2337" s="28">
        <v>31</v>
      </c>
      <c r="N2337" s="6">
        <v>16</v>
      </c>
      <c r="O2337" s="30">
        <f t="shared" si="220"/>
        <v>31</v>
      </c>
      <c r="P2337" s="30">
        <f t="shared" si="221"/>
        <v>496</v>
      </c>
      <c r="Q2337" s="1">
        <f>COUNTIFS($P:$P, "&gt;" &amp; $P2337) + 1</f>
        <v>4029</v>
      </c>
      <c r="R2337" s="63">
        <f>(COUNTIFS($P:$P, "&gt;" &amp; $P2337) + 1) / (COUNTA($I:$I) - 1)</f>
        <v>0.80579999999999996</v>
      </c>
      <c r="S2337" s="23">
        <f>SUMIFS($P:$P, $Q:$Q, "&lt;" &amp; $Q2337)</f>
        <v>186413159</v>
      </c>
    </row>
    <row r="2338" spans="1:19" x14ac:dyDescent="0.25">
      <c r="A2338" s="1">
        <v>2333</v>
      </c>
      <c r="B2338" s="1" t="s">
        <v>2</v>
      </c>
      <c r="C2338" s="1" t="str">
        <f>IF($B2338 = "Production Item", _xlfn.XLOOKUP($A2338, 'Instrument Table'!$J:$J, 'Instrument Table'!$B:$B, $C2337), IF($B2338 = "Service Item", _xlfn.XLOOKUP($A2338, 'Instrument Table'!$I:$I, 'Instrument Table'!$B:$B, $C2337), _xlfn.XLOOKUP($A2338, 'Instrument Table'!$H:$H, 'Instrument Table'!$B:$B, $C2337)))</f>
        <v>Piccolo</v>
      </c>
      <c r="D2338" s="1" t="str">
        <f>VLOOKUP($C2338, 'Instrument Table'!$B:$C, 2, FALSE)</f>
        <v>Woodwinds</v>
      </c>
      <c r="E2338" s="1">
        <f t="shared" si="216"/>
        <v>1</v>
      </c>
      <c r="F2338" s="1">
        <f>_xlfn.XLOOKUP($C2338, 'Instrument Table'!$B:$B, 'Instrument Table'!$A:$A, "")</f>
        <v>33</v>
      </c>
      <c r="G2338" s="1" t="str">
        <f>TEXT(IF($B2338 = "Retail Item", IF((ROW($A2338) - 4504 - _xlfn.XMATCH($C2338, $C$4506:$C$5005, 0, 1)) &lt;= VLOOKUP($C2338, 'Instrument Table'!$B:$D, 3, FALSE), ROW($A2338) - 4504 - _xlfn.XMATCH($C2338, $C$4506:$C$5005, 0, 1), 0), 0), "00")</f>
        <v>00</v>
      </c>
      <c r="H2338" s="1" t="str">
        <f t="shared" si="217"/>
        <v>032</v>
      </c>
      <c r="I2338" s="1" t="str">
        <f t="shared" si="218"/>
        <v>13300-032</v>
      </c>
      <c r="J2338" s="1" t="str">
        <f t="shared" si="219"/>
        <v>Piccolo production item #032</v>
      </c>
      <c r="K2338" s="1" t="str">
        <f>IF(SUM(COUNTIFS(I:I, I2338)) &gt; 1, "DUPLICATE", "UNIQUE")</f>
        <v>UNIQUE</v>
      </c>
      <c r="L2338" s="18">
        <v>1</v>
      </c>
      <c r="M2338" s="28">
        <v>69</v>
      </c>
      <c r="N2338" s="6">
        <v>81</v>
      </c>
      <c r="O2338" s="30">
        <f t="shared" si="220"/>
        <v>69</v>
      </c>
      <c r="P2338" s="30">
        <f t="shared" si="221"/>
        <v>5589</v>
      </c>
      <c r="Q2338" s="1">
        <f>COUNTIFS($P:$P, "&gt;" &amp; $P2338) + 1</f>
        <v>2337</v>
      </c>
      <c r="R2338" s="63">
        <f>(COUNTIFS($P:$P, "&gt;" &amp; $P2338) + 1) / (COUNTA($I:$I) - 1)</f>
        <v>0.46739999999999998</v>
      </c>
      <c r="S2338" s="23">
        <f>SUMIFS($P:$P, $Q:$Q, "&lt;" &amp; $Q2338)</f>
        <v>182275320</v>
      </c>
    </row>
    <row r="2339" spans="1:19" x14ac:dyDescent="0.25">
      <c r="A2339" s="1">
        <v>2334</v>
      </c>
      <c r="B2339" s="1" t="s">
        <v>2</v>
      </c>
      <c r="C2339" s="1" t="str">
        <f>IF($B2339 = "Production Item", _xlfn.XLOOKUP($A2339, 'Instrument Table'!$J:$J, 'Instrument Table'!$B:$B, $C2338), IF($B2339 = "Service Item", _xlfn.XLOOKUP($A2339, 'Instrument Table'!$I:$I, 'Instrument Table'!$B:$B, $C2338), _xlfn.XLOOKUP($A2339, 'Instrument Table'!$H:$H, 'Instrument Table'!$B:$B, $C2338)))</f>
        <v>Piccolo</v>
      </c>
      <c r="D2339" s="1" t="str">
        <f>VLOOKUP($C2339, 'Instrument Table'!$B:$C, 2, FALSE)</f>
        <v>Woodwinds</v>
      </c>
      <c r="E2339" s="1">
        <f t="shared" si="216"/>
        <v>1</v>
      </c>
      <c r="F2339" s="1">
        <f>_xlfn.XLOOKUP($C2339, 'Instrument Table'!$B:$B, 'Instrument Table'!$A:$A, "")</f>
        <v>33</v>
      </c>
      <c r="G2339" s="1" t="str">
        <f>TEXT(IF($B2339 = "Retail Item", IF((ROW($A2339) - 4504 - _xlfn.XMATCH($C2339, $C$4506:$C$5005, 0, 1)) &lt;= VLOOKUP($C2339, 'Instrument Table'!$B:$D, 3, FALSE), ROW($A2339) - 4504 - _xlfn.XMATCH($C2339, $C$4506:$C$5005, 0, 1), 0), 0), "00")</f>
        <v>00</v>
      </c>
      <c r="H2339" s="1" t="str">
        <f t="shared" si="217"/>
        <v>033</v>
      </c>
      <c r="I2339" s="1" t="str">
        <f t="shared" si="218"/>
        <v>13300-033</v>
      </c>
      <c r="J2339" s="1" t="str">
        <f t="shared" si="219"/>
        <v>Piccolo production item #033</v>
      </c>
      <c r="K2339" s="1" t="str">
        <f>IF(SUM(COUNTIFS(I:I, I2339)) &gt; 1, "DUPLICATE", "UNIQUE")</f>
        <v>UNIQUE</v>
      </c>
      <c r="L2339" s="18">
        <v>4</v>
      </c>
      <c r="M2339" s="28">
        <v>73</v>
      </c>
      <c r="N2339" s="6">
        <v>400</v>
      </c>
      <c r="O2339" s="30">
        <f t="shared" si="220"/>
        <v>292</v>
      </c>
      <c r="P2339" s="30">
        <f t="shared" si="221"/>
        <v>29200</v>
      </c>
      <c r="Q2339" s="1">
        <f>COUNTIFS($P:$P, "&gt;" &amp; $P2339) + 1</f>
        <v>710</v>
      </c>
      <c r="R2339" s="63">
        <f>(COUNTIFS($P:$P, "&gt;" &amp; $P2339) + 1) / (COUNTA($I:$I) - 1)</f>
        <v>0.14199999999999999</v>
      </c>
      <c r="S2339" s="23">
        <f>SUMIFS($P:$P, $Q:$Q, "&lt;" &amp; $Q2339)</f>
        <v>159381571</v>
      </c>
    </row>
    <row r="2340" spans="1:19" x14ac:dyDescent="0.25">
      <c r="A2340" s="1">
        <v>2335</v>
      </c>
      <c r="B2340" s="1" t="s">
        <v>2</v>
      </c>
      <c r="C2340" s="1" t="str">
        <f>IF($B2340 = "Production Item", _xlfn.XLOOKUP($A2340, 'Instrument Table'!$J:$J, 'Instrument Table'!$B:$B, $C2339), IF($B2340 = "Service Item", _xlfn.XLOOKUP($A2340, 'Instrument Table'!$I:$I, 'Instrument Table'!$B:$B, $C2339), _xlfn.XLOOKUP($A2340, 'Instrument Table'!$H:$H, 'Instrument Table'!$B:$B, $C2339)))</f>
        <v>Piccolo</v>
      </c>
      <c r="D2340" s="1" t="str">
        <f>VLOOKUP($C2340, 'Instrument Table'!$B:$C, 2, FALSE)</f>
        <v>Woodwinds</v>
      </c>
      <c r="E2340" s="1">
        <f t="shared" si="216"/>
        <v>1</v>
      </c>
      <c r="F2340" s="1">
        <f>_xlfn.XLOOKUP($C2340, 'Instrument Table'!$B:$B, 'Instrument Table'!$A:$A, "")</f>
        <v>33</v>
      </c>
      <c r="G2340" s="1" t="str">
        <f>TEXT(IF($B2340 = "Retail Item", IF((ROW($A2340) - 4504 - _xlfn.XMATCH($C2340, $C$4506:$C$5005, 0, 1)) &lt;= VLOOKUP($C2340, 'Instrument Table'!$B:$D, 3, FALSE), ROW($A2340) - 4504 - _xlfn.XMATCH($C2340, $C$4506:$C$5005, 0, 1), 0), 0), "00")</f>
        <v>00</v>
      </c>
      <c r="H2340" s="1" t="str">
        <f t="shared" si="217"/>
        <v>034</v>
      </c>
      <c r="I2340" s="1" t="str">
        <f t="shared" si="218"/>
        <v>13300-034</v>
      </c>
      <c r="J2340" s="1" t="str">
        <f t="shared" si="219"/>
        <v>Piccolo production item #034</v>
      </c>
      <c r="K2340" s="1" t="str">
        <f>IF(SUM(COUNTIFS(I:I, I2340)) &gt; 1, "DUPLICATE", "UNIQUE")</f>
        <v>UNIQUE</v>
      </c>
      <c r="L2340" s="18">
        <v>1</v>
      </c>
      <c r="M2340" s="28">
        <v>71</v>
      </c>
      <c r="N2340" s="6">
        <v>49</v>
      </c>
      <c r="O2340" s="30">
        <f t="shared" si="220"/>
        <v>71</v>
      </c>
      <c r="P2340" s="30">
        <f t="shared" si="221"/>
        <v>3479</v>
      </c>
      <c r="Q2340" s="1">
        <f>COUNTIFS($P:$P, "&gt;" &amp; $P2340) + 1</f>
        <v>2782</v>
      </c>
      <c r="R2340" s="63">
        <f>(COUNTIFS($P:$P, "&gt;" &amp; $P2340) + 1) / (COUNTA($I:$I) - 1)</f>
        <v>0.55640000000000001</v>
      </c>
      <c r="S2340" s="23">
        <f>SUMIFS($P:$P, $Q:$Q, "&lt;" &amp; $Q2340)</f>
        <v>184263802</v>
      </c>
    </row>
    <row r="2341" spans="1:19" x14ac:dyDescent="0.25">
      <c r="A2341" s="1">
        <v>2336</v>
      </c>
      <c r="B2341" s="1" t="s">
        <v>2</v>
      </c>
      <c r="C2341" s="1" t="str">
        <f>IF($B2341 = "Production Item", _xlfn.XLOOKUP($A2341, 'Instrument Table'!$J:$J, 'Instrument Table'!$B:$B, $C2340), IF($B2341 = "Service Item", _xlfn.XLOOKUP($A2341, 'Instrument Table'!$I:$I, 'Instrument Table'!$B:$B, $C2340), _xlfn.XLOOKUP($A2341, 'Instrument Table'!$H:$H, 'Instrument Table'!$B:$B, $C2340)))</f>
        <v>Piccolo</v>
      </c>
      <c r="D2341" s="1" t="str">
        <f>VLOOKUP($C2341, 'Instrument Table'!$B:$C, 2, FALSE)</f>
        <v>Woodwinds</v>
      </c>
      <c r="E2341" s="1">
        <f t="shared" si="216"/>
        <v>1</v>
      </c>
      <c r="F2341" s="1">
        <f>_xlfn.XLOOKUP($C2341, 'Instrument Table'!$B:$B, 'Instrument Table'!$A:$A, "")</f>
        <v>33</v>
      </c>
      <c r="G2341" s="1" t="str">
        <f>TEXT(IF($B2341 = "Retail Item", IF((ROW($A2341) - 4504 - _xlfn.XMATCH($C2341, $C$4506:$C$5005, 0, 1)) &lt;= VLOOKUP($C2341, 'Instrument Table'!$B:$D, 3, FALSE), ROW($A2341) - 4504 - _xlfn.XMATCH($C2341, $C$4506:$C$5005, 0, 1), 0), 0), "00")</f>
        <v>00</v>
      </c>
      <c r="H2341" s="1" t="str">
        <f t="shared" si="217"/>
        <v>035</v>
      </c>
      <c r="I2341" s="1" t="str">
        <f t="shared" si="218"/>
        <v>13300-035</v>
      </c>
      <c r="J2341" s="1" t="str">
        <f t="shared" si="219"/>
        <v>Piccolo production item #035</v>
      </c>
      <c r="K2341" s="1" t="str">
        <f>IF(SUM(COUNTIFS(I:I, I2341)) &gt; 1, "DUPLICATE", "UNIQUE")</f>
        <v>UNIQUE</v>
      </c>
      <c r="L2341" s="18">
        <v>1</v>
      </c>
      <c r="M2341" s="28">
        <v>41</v>
      </c>
      <c r="N2341" s="6">
        <v>16</v>
      </c>
      <c r="O2341" s="30">
        <f t="shared" si="220"/>
        <v>41</v>
      </c>
      <c r="P2341" s="30">
        <f t="shared" si="221"/>
        <v>656</v>
      </c>
      <c r="Q2341" s="1">
        <f>COUNTIFS($P:$P, "&gt;" &amp; $P2341) + 1</f>
        <v>3906</v>
      </c>
      <c r="R2341" s="63">
        <f>(COUNTIFS($P:$P, "&gt;" &amp; $P2341) + 1) / (COUNTA($I:$I) - 1)</f>
        <v>0.78120000000000001</v>
      </c>
      <c r="S2341" s="23">
        <f>SUMIFS($P:$P, $Q:$Q, "&lt;" &amp; $Q2341)</f>
        <v>186342829</v>
      </c>
    </row>
    <row r="2342" spans="1:19" x14ac:dyDescent="0.25">
      <c r="A2342" s="1">
        <v>2337</v>
      </c>
      <c r="B2342" s="1" t="s">
        <v>2</v>
      </c>
      <c r="C2342" s="1" t="str">
        <f>IF($B2342 = "Production Item", _xlfn.XLOOKUP($A2342, 'Instrument Table'!$J:$J, 'Instrument Table'!$B:$B, $C2341), IF($B2342 = "Service Item", _xlfn.XLOOKUP($A2342, 'Instrument Table'!$I:$I, 'Instrument Table'!$B:$B, $C2341), _xlfn.XLOOKUP($A2342, 'Instrument Table'!$H:$H, 'Instrument Table'!$B:$B, $C2341)))</f>
        <v>Piccolo</v>
      </c>
      <c r="D2342" s="1" t="str">
        <f>VLOOKUP($C2342, 'Instrument Table'!$B:$C, 2, FALSE)</f>
        <v>Woodwinds</v>
      </c>
      <c r="E2342" s="1">
        <f t="shared" si="216"/>
        <v>1</v>
      </c>
      <c r="F2342" s="1">
        <f>_xlfn.XLOOKUP($C2342, 'Instrument Table'!$B:$B, 'Instrument Table'!$A:$A, "")</f>
        <v>33</v>
      </c>
      <c r="G2342" s="1" t="str">
        <f>TEXT(IF($B2342 = "Retail Item", IF((ROW($A2342) - 4504 - _xlfn.XMATCH($C2342, $C$4506:$C$5005, 0, 1)) &lt;= VLOOKUP($C2342, 'Instrument Table'!$B:$D, 3, FALSE), ROW($A2342) - 4504 - _xlfn.XMATCH($C2342, $C$4506:$C$5005, 0, 1), 0), 0), "00")</f>
        <v>00</v>
      </c>
      <c r="H2342" s="1" t="str">
        <f t="shared" si="217"/>
        <v>036</v>
      </c>
      <c r="I2342" s="1" t="str">
        <f t="shared" si="218"/>
        <v>13300-036</v>
      </c>
      <c r="J2342" s="1" t="str">
        <f t="shared" si="219"/>
        <v>Piccolo production item #036</v>
      </c>
      <c r="K2342" s="1" t="str">
        <f>IF(SUM(COUNTIFS(I:I, I2342)) &gt; 1, "DUPLICATE", "UNIQUE")</f>
        <v>UNIQUE</v>
      </c>
      <c r="L2342" s="18">
        <v>0</v>
      </c>
      <c r="M2342" s="28">
        <v>48</v>
      </c>
      <c r="N2342" s="6">
        <v>49</v>
      </c>
      <c r="O2342" s="30">
        <f t="shared" si="220"/>
        <v>0</v>
      </c>
      <c r="P2342" s="30">
        <f t="shared" si="221"/>
        <v>2352</v>
      </c>
      <c r="Q2342" s="1">
        <f>COUNTIFS($P:$P, "&gt;" &amp; $P2342) + 1</f>
        <v>3102</v>
      </c>
      <c r="R2342" s="63">
        <f>(COUNTIFS($P:$P, "&gt;" &amp; $P2342) + 1) / (COUNTA($I:$I) - 1)</f>
        <v>0.62039999999999995</v>
      </c>
      <c r="S2342" s="23">
        <f>SUMIFS($P:$P, $Q:$Q, "&lt;" &amp; $Q2342)</f>
        <v>185187199</v>
      </c>
    </row>
    <row r="2343" spans="1:19" x14ac:dyDescent="0.25">
      <c r="A2343" s="1">
        <v>2338</v>
      </c>
      <c r="B2343" s="1" t="s">
        <v>2</v>
      </c>
      <c r="C2343" s="1" t="str">
        <f>IF($B2343 = "Production Item", _xlfn.XLOOKUP($A2343, 'Instrument Table'!$J:$J, 'Instrument Table'!$B:$B, $C2342), IF($B2343 = "Service Item", _xlfn.XLOOKUP($A2343, 'Instrument Table'!$I:$I, 'Instrument Table'!$B:$B, $C2342), _xlfn.XLOOKUP($A2343, 'Instrument Table'!$H:$H, 'Instrument Table'!$B:$B, $C2342)))</f>
        <v>Piccolo</v>
      </c>
      <c r="D2343" s="1" t="str">
        <f>VLOOKUP($C2343, 'Instrument Table'!$B:$C, 2, FALSE)</f>
        <v>Woodwinds</v>
      </c>
      <c r="E2343" s="1">
        <f t="shared" si="216"/>
        <v>1</v>
      </c>
      <c r="F2343" s="1">
        <f>_xlfn.XLOOKUP($C2343, 'Instrument Table'!$B:$B, 'Instrument Table'!$A:$A, "")</f>
        <v>33</v>
      </c>
      <c r="G2343" s="1" t="str">
        <f>TEXT(IF($B2343 = "Retail Item", IF((ROW($A2343) - 4504 - _xlfn.XMATCH($C2343, $C$4506:$C$5005, 0, 1)) &lt;= VLOOKUP($C2343, 'Instrument Table'!$B:$D, 3, FALSE), ROW($A2343) - 4504 - _xlfn.XMATCH($C2343, $C$4506:$C$5005, 0, 1), 0), 0), "00")</f>
        <v>00</v>
      </c>
      <c r="H2343" s="1" t="str">
        <f t="shared" si="217"/>
        <v>037</v>
      </c>
      <c r="I2343" s="1" t="str">
        <f t="shared" si="218"/>
        <v>13300-037</v>
      </c>
      <c r="J2343" s="1" t="str">
        <f t="shared" si="219"/>
        <v>Piccolo production item #037</v>
      </c>
      <c r="K2343" s="1" t="str">
        <f>IF(SUM(COUNTIFS(I:I, I2343)) &gt; 1, "DUPLICATE", "UNIQUE")</f>
        <v>UNIQUE</v>
      </c>
      <c r="L2343" s="18">
        <v>1</v>
      </c>
      <c r="M2343" s="28">
        <v>99</v>
      </c>
      <c r="N2343" s="6">
        <v>144</v>
      </c>
      <c r="O2343" s="30">
        <f t="shared" si="220"/>
        <v>99</v>
      </c>
      <c r="P2343" s="30">
        <f t="shared" si="221"/>
        <v>14256</v>
      </c>
      <c r="Q2343" s="1">
        <f>COUNTIFS($P:$P, "&gt;" &amp; $P2343) + 1</f>
        <v>1402</v>
      </c>
      <c r="R2343" s="63">
        <f>(COUNTIFS($P:$P, "&gt;" &amp; $P2343) + 1) / (COUNTA($I:$I) - 1)</f>
        <v>0.28039999999999998</v>
      </c>
      <c r="S2343" s="23">
        <f>SUMIFS($P:$P, $Q:$Q, "&lt;" &amp; $Q2343)</f>
        <v>173504461</v>
      </c>
    </row>
    <row r="2344" spans="1:19" x14ac:dyDescent="0.25">
      <c r="A2344" s="1">
        <v>2339</v>
      </c>
      <c r="B2344" s="1" t="s">
        <v>2</v>
      </c>
      <c r="C2344" s="1" t="str">
        <f>IF($B2344 = "Production Item", _xlfn.XLOOKUP($A2344, 'Instrument Table'!$J:$J, 'Instrument Table'!$B:$B, $C2343), IF($B2344 = "Service Item", _xlfn.XLOOKUP($A2344, 'Instrument Table'!$I:$I, 'Instrument Table'!$B:$B, $C2343), _xlfn.XLOOKUP($A2344, 'Instrument Table'!$H:$H, 'Instrument Table'!$B:$B, $C2343)))</f>
        <v>Piccolo</v>
      </c>
      <c r="D2344" s="1" t="str">
        <f>VLOOKUP($C2344, 'Instrument Table'!$B:$C, 2, FALSE)</f>
        <v>Woodwinds</v>
      </c>
      <c r="E2344" s="1">
        <f t="shared" si="216"/>
        <v>1</v>
      </c>
      <c r="F2344" s="1">
        <f>_xlfn.XLOOKUP($C2344, 'Instrument Table'!$B:$B, 'Instrument Table'!$A:$A, "")</f>
        <v>33</v>
      </c>
      <c r="G2344" s="1" t="str">
        <f>TEXT(IF($B2344 = "Retail Item", IF((ROW($A2344) - 4504 - _xlfn.XMATCH($C2344, $C$4506:$C$5005, 0, 1)) &lt;= VLOOKUP($C2344, 'Instrument Table'!$B:$D, 3, FALSE), ROW($A2344) - 4504 - _xlfn.XMATCH($C2344, $C$4506:$C$5005, 0, 1), 0), 0), "00")</f>
        <v>00</v>
      </c>
      <c r="H2344" s="1" t="str">
        <f t="shared" si="217"/>
        <v>038</v>
      </c>
      <c r="I2344" s="1" t="str">
        <f t="shared" si="218"/>
        <v>13300-038</v>
      </c>
      <c r="J2344" s="1" t="str">
        <f t="shared" si="219"/>
        <v>Piccolo production item #038</v>
      </c>
      <c r="K2344" s="1" t="str">
        <f>IF(SUM(COUNTIFS(I:I, I2344)) &gt; 1, "DUPLICATE", "UNIQUE")</f>
        <v>UNIQUE</v>
      </c>
      <c r="L2344" s="18">
        <v>1</v>
      </c>
      <c r="M2344" s="28">
        <v>18</v>
      </c>
      <c r="N2344" s="6">
        <v>36</v>
      </c>
      <c r="O2344" s="30">
        <f t="shared" si="220"/>
        <v>18</v>
      </c>
      <c r="P2344" s="30">
        <f t="shared" si="221"/>
        <v>648</v>
      </c>
      <c r="Q2344" s="1">
        <f>COUNTIFS($P:$P, "&gt;" &amp; $P2344) + 1</f>
        <v>3911</v>
      </c>
      <c r="R2344" s="63">
        <f>(COUNTIFS($P:$P, "&gt;" &amp; $P2344) + 1) / (COUNTA($I:$I) - 1)</f>
        <v>0.78220000000000001</v>
      </c>
      <c r="S2344" s="23">
        <f>SUMIFS($P:$P, $Q:$Q, "&lt;" &amp; $Q2344)</f>
        <v>186346099</v>
      </c>
    </row>
    <row r="2345" spans="1:19" x14ac:dyDescent="0.25">
      <c r="A2345" s="1">
        <v>2340</v>
      </c>
      <c r="B2345" s="1" t="s">
        <v>2</v>
      </c>
      <c r="C2345" s="1" t="str">
        <f>IF($B2345 = "Production Item", _xlfn.XLOOKUP($A2345, 'Instrument Table'!$J:$J, 'Instrument Table'!$B:$B, $C2344), IF($B2345 = "Service Item", _xlfn.XLOOKUP($A2345, 'Instrument Table'!$I:$I, 'Instrument Table'!$B:$B, $C2344), _xlfn.XLOOKUP($A2345, 'Instrument Table'!$H:$H, 'Instrument Table'!$B:$B, $C2344)))</f>
        <v>Piccolo</v>
      </c>
      <c r="D2345" s="1" t="str">
        <f>VLOOKUP($C2345, 'Instrument Table'!$B:$C, 2, FALSE)</f>
        <v>Woodwinds</v>
      </c>
      <c r="E2345" s="1">
        <f t="shared" si="216"/>
        <v>1</v>
      </c>
      <c r="F2345" s="1">
        <f>_xlfn.XLOOKUP($C2345, 'Instrument Table'!$B:$B, 'Instrument Table'!$A:$A, "")</f>
        <v>33</v>
      </c>
      <c r="G2345" s="1" t="str">
        <f>TEXT(IF($B2345 = "Retail Item", IF((ROW($A2345) - 4504 - _xlfn.XMATCH($C2345, $C$4506:$C$5005, 0, 1)) &lt;= VLOOKUP($C2345, 'Instrument Table'!$B:$D, 3, FALSE), ROW($A2345) - 4504 - _xlfn.XMATCH($C2345, $C$4506:$C$5005, 0, 1), 0), 0), "00")</f>
        <v>00</v>
      </c>
      <c r="H2345" s="1" t="str">
        <f t="shared" si="217"/>
        <v>039</v>
      </c>
      <c r="I2345" s="1" t="str">
        <f t="shared" si="218"/>
        <v>13300-039</v>
      </c>
      <c r="J2345" s="1" t="str">
        <f t="shared" si="219"/>
        <v>Piccolo production item #039</v>
      </c>
      <c r="K2345" s="1" t="str">
        <f>IF(SUM(COUNTIFS(I:I, I2345)) &gt; 1, "DUPLICATE", "UNIQUE")</f>
        <v>UNIQUE</v>
      </c>
      <c r="L2345" s="18">
        <v>1</v>
      </c>
      <c r="M2345" s="28">
        <v>61</v>
      </c>
      <c r="N2345" s="6">
        <v>144</v>
      </c>
      <c r="O2345" s="30">
        <f t="shared" si="220"/>
        <v>61</v>
      </c>
      <c r="P2345" s="30">
        <f t="shared" si="221"/>
        <v>8784</v>
      </c>
      <c r="Q2345" s="1">
        <f>COUNTIFS($P:$P, "&gt;" &amp; $P2345) + 1</f>
        <v>1900</v>
      </c>
      <c r="R2345" s="63">
        <f>(COUNTIFS($P:$P, "&gt;" &amp; $P2345) + 1) / (COUNTA($I:$I) - 1)</f>
        <v>0.38</v>
      </c>
      <c r="S2345" s="23">
        <f>SUMIFS($P:$P, $Q:$Q, "&lt;" &amp; $Q2345)</f>
        <v>179163527</v>
      </c>
    </row>
    <row r="2346" spans="1:19" x14ac:dyDescent="0.25">
      <c r="A2346" s="1">
        <v>2341</v>
      </c>
      <c r="B2346" s="1" t="s">
        <v>2</v>
      </c>
      <c r="C2346" s="1" t="str">
        <f>IF($B2346 = "Production Item", _xlfn.XLOOKUP($A2346, 'Instrument Table'!$J:$J, 'Instrument Table'!$B:$B, $C2345), IF($B2346 = "Service Item", _xlfn.XLOOKUP($A2346, 'Instrument Table'!$I:$I, 'Instrument Table'!$B:$B, $C2345), _xlfn.XLOOKUP($A2346, 'Instrument Table'!$H:$H, 'Instrument Table'!$B:$B, $C2345)))</f>
        <v>Piccolo</v>
      </c>
      <c r="D2346" s="1" t="str">
        <f>VLOOKUP($C2346, 'Instrument Table'!$B:$C, 2, FALSE)</f>
        <v>Woodwinds</v>
      </c>
      <c r="E2346" s="1">
        <f t="shared" si="216"/>
        <v>1</v>
      </c>
      <c r="F2346" s="1">
        <f>_xlfn.XLOOKUP($C2346, 'Instrument Table'!$B:$B, 'Instrument Table'!$A:$A, "")</f>
        <v>33</v>
      </c>
      <c r="G2346" s="1" t="str">
        <f>TEXT(IF($B2346 = "Retail Item", IF((ROW($A2346) - 4504 - _xlfn.XMATCH($C2346, $C$4506:$C$5005, 0, 1)) &lt;= VLOOKUP($C2346, 'Instrument Table'!$B:$D, 3, FALSE), ROW($A2346) - 4504 - _xlfn.XMATCH($C2346, $C$4506:$C$5005, 0, 1), 0), 0), "00")</f>
        <v>00</v>
      </c>
      <c r="H2346" s="1" t="str">
        <f t="shared" si="217"/>
        <v>040</v>
      </c>
      <c r="I2346" s="1" t="str">
        <f t="shared" si="218"/>
        <v>13300-040</v>
      </c>
      <c r="J2346" s="1" t="str">
        <f t="shared" si="219"/>
        <v>Piccolo production item #040</v>
      </c>
      <c r="K2346" s="1" t="str">
        <f>IF(SUM(COUNTIFS(I:I, I2346)) &gt; 1, "DUPLICATE", "UNIQUE")</f>
        <v>UNIQUE</v>
      </c>
      <c r="L2346" s="18">
        <v>16</v>
      </c>
      <c r="M2346" s="28">
        <v>93</v>
      </c>
      <c r="N2346" s="6">
        <v>169</v>
      </c>
      <c r="O2346" s="30">
        <f t="shared" si="220"/>
        <v>1488</v>
      </c>
      <c r="P2346" s="30">
        <f t="shared" si="221"/>
        <v>15717</v>
      </c>
      <c r="Q2346" s="1">
        <f>COUNTIFS($P:$P, "&gt;" &amp; $P2346) + 1</f>
        <v>1298</v>
      </c>
      <c r="R2346" s="63">
        <f>(COUNTIFS($P:$P, "&gt;" &amp; $P2346) + 1) / (COUNTA($I:$I) - 1)</f>
        <v>0.2596</v>
      </c>
      <c r="S2346" s="23">
        <f>SUMIFS($P:$P, $Q:$Q, "&lt;" &amp; $Q2346)</f>
        <v>171942454</v>
      </c>
    </row>
    <row r="2347" spans="1:19" x14ac:dyDescent="0.25">
      <c r="A2347" s="1">
        <v>2342</v>
      </c>
      <c r="B2347" s="1" t="s">
        <v>2</v>
      </c>
      <c r="C2347" s="1" t="str">
        <f>IF($B2347 = "Production Item", _xlfn.XLOOKUP($A2347, 'Instrument Table'!$J:$J, 'Instrument Table'!$B:$B, $C2346), IF($B2347 = "Service Item", _xlfn.XLOOKUP($A2347, 'Instrument Table'!$I:$I, 'Instrument Table'!$B:$B, $C2346), _xlfn.XLOOKUP($A2347, 'Instrument Table'!$H:$H, 'Instrument Table'!$B:$B, $C2346)))</f>
        <v>Piccolo</v>
      </c>
      <c r="D2347" s="1" t="str">
        <f>VLOOKUP($C2347, 'Instrument Table'!$B:$C, 2, FALSE)</f>
        <v>Woodwinds</v>
      </c>
      <c r="E2347" s="1">
        <f t="shared" si="216"/>
        <v>1</v>
      </c>
      <c r="F2347" s="1">
        <f>_xlfn.XLOOKUP($C2347, 'Instrument Table'!$B:$B, 'Instrument Table'!$A:$A, "")</f>
        <v>33</v>
      </c>
      <c r="G2347" s="1" t="str">
        <f>TEXT(IF($B2347 = "Retail Item", IF((ROW($A2347) - 4504 - _xlfn.XMATCH($C2347, $C$4506:$C$5005, 0, 1)) &lt;= VLOOKUP($C2347, 'Instrument Table'!$B:$D, 3, FALSE), ROW($A2347) - 4504 - _xlfn.XMATCH($C2347, $C$4506:$C$5005, 0, 1), 0), 0), "00")</f>
        <v>00</v>
      </c>
      <c r="H2347" s="1" t="str">
        <f t="shared" si="217"/>
        <v>041</v>
      </c>
      <c r="I2347" s="1" t="str">
        <f t="shared" si="218"/>
        <v>13300-041</v>
      </c>
      <c r="J2347" s="1" t="str">
        <f t="shared" si="219"/>
        <v>Piccolo production item #041</v>
      </c>
      <c r="K2347" s="1" t="str">
        <f>IF(SUM(COUNTIFS(I:I, I2347)) &gt; 1, "DUPLICATE", "UNIQUE")</f>
        <v>UNIQUE</v>
      </c>
      <c r="L2347" s="18">
        <v>1</v>
      </c>
      <c r="M2347" s="28">
        <v>25</v>
      </c>
      <c r="N2347" s="6">
        <v>196</v>
      </c>
      <c r="O2347" s="30">
        <f t="shared" si="220"/>
        <v>25</v>
      </c>
      <c r="P2347" s="30">
        <f t="shared" si="221"/>
        <v>4900</v>
      </c>
      <c r="Q2347" s="1">
        <f>COUNTIFS($P:$P, "&gt;" &amp; $P2347) + 1</f>
        <v>2465</v>
      </c>
      <c r="R2347" s="63">
        <f>(COUNTIFS($P:$P, "&gt;" &amp; $P2347) + 1) / (COUNTA($I:$I) - 1)</f>
        <v>0.49299999999999999</v>
      </c>
      <c r="S2347" s="23">
        <f>SUMIFS($P:$P, $Q:$Q, "&lt;" &amp; $Q2347)</f>
        <v>182946522</v>
      </c>
    </row>
    <row r="2348" spans="1:19" x14ac:dyDescent="0.25">
      <c r="A2348" s="1">
        <v>2343</v>
      </c>
      <c r="B2348" s="1" t="s">
        <v>2</v>
      </c>
      <c r="C2348" s="1" t="str">
        <f>IF($B2348 = "Production Item", _xlfn.XLOOKUP($A2348, 'Instrument Table'!$J:$J, 'Instrument Table'!$B:$B, $C2347), IF($B2348 = "Service Item", _xlfn.XLOOKUP($A2348, 'Instrument Table'!$I:$I, 'Instrument Table'!$B:$B, $C2347), _xlfn.XLOOKUP($A2348, 'Instrument Table'!$H:$H, 'Instrument Table'!$B:$B, $C2347)))</f>
        <v>Piccolo</v>
      </c>
      <c r="D2348" s="1" t="str">
        <f>VLOOKUP($C2348, 'Instrument Table'!$B:$C, 2, FALSE)</f>
        <v>Woodwinds</v>
      </c>
      <c r="E2348" s="1">
        <f t="shared" si="216"/>
        <v>1</v>
      </c>
      <c r="F2348" s="1">
        <f>_xlfn.XLOOKUP($C2348, 'Instrument Table'!$B:$B, 'Instrument Table'!$A:$A, "")</f>
        <v>33</v>
      </c>
      <c r="G2348" s="1" t="str">
        <f>TEXT(IF($B2348 = "Retail Item", IF((ROW($A2348) - 4504 - _xlfn.XMATCH($C2348, $C$4506:$C$5005, 0, 1)) &lt;= VLOOKUP($C2348, 'Instrument Table'!$B:$D, 3, FALSE), ROW($A2348) - 4504 - _xlfn.XMATCH($C2348, $C$4506:$C$5005, 0, 1), 0), 0), "00")</f>
        <v>00</v>
      </c>
      <c r="H2348" s="1" t="str">
        <f t="shared" si="217"/>
        <v>042</v>
      </c>
      <c r="I2348" s="1" t="str">
        <f t="shared" si="218"/>
        <v>13300-042</v>
      </c>
      <c r="J2348" s="1" t="str">
        <f t="shared" si="219"/>
        <v>Piccolo production item #042</v>
      </c>
      <c r="K2348" s="1" t="str">
        <f>IF(SUM(COUNTIFS(I:I, I2348)) &gt; 1, "DUPLICATE", "UNIQUE")</f>
        <v>UNIQUE</v>
      </c>
      <c r="L2348" s="18">
        <v>1</v>
      </c>
      <c r="M2348" s="28">
        <v>69</v>
      </c>
      <c r="N2348" s="6">
        <v>81</v>
      </c>
      <c r="O2348" s="30">
        <f t="shared" si="220"/>
        <v>69</v>
      </c>
      <c r="P2348" s="30">
        <f t="shared" si="221"/>
        <v>5589</v>
      </c>
      <c r="Q2348" s="1">
        <f>COUNTIFS($P:$P, "&gt;" &amp; $P2348) + 1</f>
        <v>2337</v>
      </c>
      <c r="R2348" s="63">
        <f>(COUNTIFS($P:$P, "&gt;" &amp; $P2348) + 1) / (COUNTA($I:$I) - 1)</f>
        <v>0.46739999999999998</v>
      </c>
      <c r="S2348" s="23">
        <f>SUMIFS($P:$P, $Q:$Q, "&lt;" &amp; $Q2348)</f>
        <v>182275320</v>
      </c>
    </row>
    <row r="2349" spans="1:19" x14ac:dyDescent="0.25">
      <c r="A2349" s="1">
        <v>2344</v>
      </c>
      <c r="B2349" s="1" t="s">
        <v>2</v>
      </c>
      <c r="C2349" s="1" t="str">
        <f>IF($B2349 = "Production Item", _xlfn.XLOOKUP($A2349, 'Instrument Table'!$J:$J, 'Instrument Table'!$B:$B, $C2348), IF($B2349 = "Service Item", _xlfn.XLOOKUP($A2349, 'Instrument Table'!$I:$I, 'Instrument Table'!$B:$B, $C2348), _xlfn.XLOOKUP($A2349, 'Instrument Table'!$H:$H, 'Instrument Table'!$B:$B, $C2348)))</f>
        <v>Piccolo</v>
      </c>
      <c r="D2349" s="1" t="str">
        <f>VLOOKUP($C2349, 'Instrument Table'!$B:$C, 2, FALSE)</f>
        <v>Woodwinds</v>
      </c>
      <c r="E2349" s="1">
        <f t="shared" si="216"/>
        <v>1</v>
      </c>
      <c r="F2349" s="1">
        <f>_xlfn.XLOOKUP($C2349, 'Instrument Table'!$B:$B, 'Instrument Table'!$A:$A, "")</f>
        <v>33</v>
      </c>
      <c r="G2349" s="1" t="str">
        <f>TEXT(IF($B2349 = "Retail Item", IF((ROW($A2349) - 4504 - _xlfn.XMATCH($C2349, $C$4506:$C$5005, 0, 1)) &lt;= VLOOKUP($C2349, 'Instrument Table'!$B:$D, 3, FALSE), ROW($A2349) - 4504 - _xlfn.XMATCH($C2349, $C$4506:$C$5005, 0, 1), 0), 0), "00")</f>
        <v>00</v>
      </c>
      <c r="H2349" s="1" t="str">
        <f t="shared" si="217"/>
        <v>043</v>
      </c>
      <c r="I2349" s="1" t="str">
        <f t="shared" si="218"/>
        <v>13300-043</v>
      </c>
      <c r="J2349" s="1" t="str">
        <f t="shared" si="219"/>
        <v>Piccolo production item #043</v>
      </c>
      <c r="K2349" s="1" t="str">
        <f>IF(SUM(COUNTIFS(I:I, I2349)) &gt; 1, "DUPLICATE", "UNIQUE")</f>
        <v>UNIQUE</v>
      </c>
      <c r="L2349" s="18">
        <v>16</v>
      </c>
      <c r="M2349" s="28">
        <v>55</v>
      </c>
      <c r="N2349" s="6">
        <v>64</v>
      </c>
      <c r="O2349" s="30">
        <f t="shared" si="220"/>
        <v>880</v>
      </c>
      <c r="P2349" s="30">
        <f t="shared" si="221"/>
        <v>3520</v>
      </c>
      <c r="Q2349" s="1">
        <f>COUNTIFS($P:$P, "&gt;" &amp; $P2349) + 1</f>
        <v>2772</v>
      </c>
      <c r="R2349" s="63">
        <f>(COUNTIFS($P:$P, "&gt;" &amp; $P2349) + 1) / (COUNTA($I:$I) - 1)</f>
        <v>0.5544</v>
      </c>
      <c r="S2349" s="23">
        <f>SUMIFS($P:$P, $Q:$Q, "&lt;" &amp; $Q2349)</f>
        <v>184228783</v>
      </c>
    </row>
    <row r="2350" spans="1:19" x14ac:dyDescent="0.25">
      <c r="A2350" s="1">
        <v>2345</v>
      </c>
      <c r="B2350" s="1" t="s">
        <v>2</v>
      </c>
      <c r="C2350" s="1" t="str">
        <f>IF($B2350 = "Production Item", _xlfn.XLOOKUP($A2350, 'Instrument Table'!$J:$J, 'Instrument Table'!$B:$B, $C2349), IF($B2350 = "Service Item", _xlfn.XLOOKUP($A2350, 'Instrument Table'!$I:$I, 'Instrument Table'!$B:$B, $C2349), _xlfn.XLOOKUP($A2350, 'Instrument Table'!$H:$H, 'Instrument Table'!$B:$B, $C2349)))</f>
        <v>Piccolo</v>
      </c>
      <c r="D2350" s="1" t="str">
        <f>VLOOKUP($C2350, 'Instrument Table'!$B:$C, 2, FALSE)</f>
        <v>Woodwinds</v>
      </c>
      <c r="E2350" s="1">
        <f t="shared" si="216"/>
        <v>1</v>
      </c>
      <c r="F2350" s="1">
        <f>_xlfn.XLOOKUP($C2350, 'Instrument Table'!$B:$B, 'Instrument Table'!$A:$A, "")</f>
        <v>33</v>
      </c>
      <c r="G2350" s="1" t="str">
        <f>TEXT(IF($B2350 = "Retail Item", IF((ROW($A2350) - 4504 - _xlfn.XMATCH($C2350, $C$4506:$C$5005, 0, 1)) &lt;= VLOOKUP($C2350, 'Instrument Table'!$B:$D, 3, FALSE), ROW($A2350) - 4504 - _xlfn.XMATCH($C2350, $C$4506:$C$5005, 0, 1), 0), 0), "00")</f>
        <v>00</v>
      </c>
      <c r="H2350" s="1" t="str">
        <f t="shared" si="217"/>
        <v>044</v>
      </c>
      <c r="I2350" s="1" t="str">
        <f t="shared" si="218"/>
        <v>13300-044</v>
      </c>
      <c r="J2350" s="1" t="str">
        <f t="shared" si="219"/>
        <v>Piccolo production item #044</v>
      </c>
      <c r="K2350" s="1" t="str">
        <f>IF(SUM(COUNTIFS(I:I, I2350)) &gt; 1, "DUPLICATE", "UNIQUE")</f>
        <v>UNIQUE</v>
      </c>
      <c r="L2350" s="18">
        <v>0</v>
      </c>
      <c r="M2350" s="28">
        <v>17</v>
      </c>
      <c r="N2350" s="6">
        <v>225</v>
      </c>
      <c r="O2350" s="30">
        <f t="shared" si="220"/>
        <v>0</v>
      </c>
      <c r="P2350" s="30">
        <f t="shared" si="221"/>
        <v>3825</v>
      </c>
      <c r="Q2350" s="1">
        <f>COUNTIFS($P:$P, "&gt;" &amp; $P2350) + 1</f>
        <v>2692</v>
      </c>
      <c r="R2350" s="63">
        <f>(COUNTIFS($P:$P, "&gt;" &amp; $P2350) + 1) / (COUNTA($I:$I) - 1)</f>
        <v>0.53839999999999999</v>
      </c>
      <c r="S2350" s="23">
        <f>SUMIFS($P:$P, $Q:$Q, "&lt;" &amp; $Q2350)</f>
        <v>183936173</v>
      </c>
    </row>
    <row r="2351" spans="1:19" x14ac:dyDescent="0.25">
      <c r="A2351" s="1">
        <v>2346</v>
      </c>
      <c r="B2351" s="1" t="s">
        <v>2</v>
      </c>
      <c r="C2351" s="1" t="str">
        <f>IF($B2351 = "Production Item", _xlfn.XLOOKUP($A2351, 'Instrument Table'!$J:$J, 'Instrument Table'!$B:$B, $C2350), IF($B2351 = "Service Item", _xlfn.XLOOKUP($A2351, 'Instrument Table'!$I:$I, 'Instrument Table'!$B:$B, $C2350), _xlfn.XLOOKUP($A2351, 'Instrument Table'!$H:$H, 'Instrument Table'!$B:$B, $C2350)))</f>
        <v>Piccolo</v>
      </c>
      <c r="D2351" s="1" t="str">
        <f>VLOOKUP($C2351, 'Instrument Table'!$B:$C, 2, FALSE)</f>
        <v>Woodwinds</v>
      </c>
      <c r="E2351" s="1">
        <f t="shared" si="216"/>
        <v>1</v>
      </c>
      <c r="F2351" s="1">
        <f>_xlfn.XLOOKUP($C2351, 'Instrument Table'!$B:$B, 'Instrument Table'!$A:$A, "")</f>
        <v>33</v>
      </c>
      <c r="G2351" s="1" t="str">
        <f>TEXT(IF($B2351 = "Retail Item", IF((ROW($A2351) - 4504 - _xlfn.XMATCH($C2351, $C$4506:$C$5005, 0, 1)) &lt;= VLOOKUP($C2351, 'Instrument Table'!$B:$D, 3, FALSE), ROW($A2351) - 4504 - _xlfn.XMATCH($C2351, $C$4506:$C$5005, 0, 1), 0), 0), "00")</f>
        <v>00</v>
      </c>
      <c r="H2351" s="1" t="str">
        <f t="shared" si="217"/>
        <v>045</v>
      </c>
      <c r="I2351" s="1" t="str">
        <f t="shared" si="218"/>
        <v>13300-045</v>
      </c>
      <c r="J2351" s="1" t="str">
        <f t="shared" si="219"/>
        <v>Piccolo production item #045</v>
      </c>
      <c r="K2351" s="1" t="str">
        <f>IF(SUM(COUNTIFS(I:I, I2351)) &gt; 1, "DUPLICATE", "UNIQUE")</f>
        <v>UNIQUE</v>
      </c>
      <c r="L2351" s="18">
        <v>1</v>
      </c>
      <c r="M2351" s="28">
        <v>6</v>
      </c>
      <c r="N2351" s="6">
        <v>324</v>
      </c>
      <c r="O2351" s="30">
        <f t="shared" si="220"/>
        <v>6</v>
      </c>
      <c r="P2351" s="30">
        <f t="shared" si="221"/>
        <v>1944</v>
      </c>
      <c r="Q2351" s="1">
        <f>COUNTIFS($P:$P, "&gt;" &amp; $P2351) + 1</f>
        <v>3276</v>
      </c>
      <c r="R2351" s="63">
        <f>(COUNTIFS($P:$P, "&gt;" &amp; $P2351) + 1) / (COUNTA($I:$I) - 1)</f>
        <v>0.6552</v>
      </c>
      <c r="S2351" s="23">
        <f>SUMIFS($P:$P, $Q:$Q, "&lt;" &amp; $Q2351)</f>
        <v>185562800</v>
      </c>
    </row>
    <row r="2352" spans="1:19" x14ac:dyDescent="0.25">
      <c r="A2352" s="1">
        <v>2347</v>
      </c>
      <c r="B2352" s="1" t="s">
        <v>2</v>
      </c>
      <c r="C2352" s="1" t="str">
        <f>IF($B2352 = "Production Item", _xlfn.XLOOKUP($A2352, 'Instrument Table'!$J:$J, 'Instrument Table'!$B:$B, $C2351), IF($B2352 = "Service Item", _xlfn.XLOOKUP($A2352, 'Instrument Table'!$I:$I, 'Instrument Table'!$B:$B, $C2351), _xlfn.XLOOKUP($A2352, 'Instrument Table'!$H:$H, 'Instrument Table'!$B:$B, $C2351)))</f>
        <v>Piccolo</v>
      </c>
      <c r="D2352" s="1" t="str">
        <f>VLOOKUP($C2352, 'Instrument Table'!$B:$C, 2, FALSE)</f>
        <v>Woodwinds</v>
      </c>
      <c r="E2352" s="1">
        <f t="shared" si="216"/>
        <v>1</v>
      </c>
      <c r="F2352" s="1">
        <f>_xlfn.XLOOKUP($C2352, 'Instrument Table'!$B:$B, 'Instrument Table'!$A:$A, "")</f>
        <v>33</v>
      </c>
      <c r="G2352" s="1" t="str">
        <f>TEXT(IF($B2352 = "Retail Item", IF((ROW($A2352) - 4504 - _xlfn.XMATCH($C2352, $C$4506:$C$5005, 0, 1)) &lt;= VLOOKUP($C2352, 'Instrument Table'!$B:$D, 3, FALSE), ROW($A2352) - 4504 - _xlfn.XMATCH($C2352, $C$4506:$C$5005, 0, 1), 0), 0), "00")</f>
        <v>00</v>
      </c>
      <c r="H2352" s="1" t="str">
        <f t="shared" si="217"/>
        <v>046</v>
      </c>
      <c r="I2352" s="1" t="str">
        <f t="shared" si="218"/>
        <v>13300-046</v>
      </c>
      <c r="J2352" s="1" t="str">
        <f t="shared" si="219"/>
        <v>Piccolo production item #046</v>
      </c>
      <c r="K2352" s="1" t="str">
        <f>IF(SUM(COUNTIFS(I:I, I2352)) &gt; 1, "DUPLICATE", "UNIQUE")</f>
        <v>UNIQUE</v>
      </c>
      <c r="L2352" s="18">
        <v>0</v>
      </c>
      <c r="M2352" s="28">
        <v>25</v>
      </c>
      <c r="N2352" s="6">
        <v>0</v>
      </c>
      <c r="O2352" s="30">
        <f t="shared" si="220"/>
        <v>0</v>
      </c>
      <c r="P2352" s="30">
        <f t="shared" si="221"/>
        <v>0</v>
      </c>
      <c r="Q2352" s="1">
        <f>COUNTIFS($P:$P, "&gt;" &amp; $P2352) + 1</f>
        <v>4746</v>
      </c>
      <c r="R2352" s="63">
        <f>(COUNTIFS($P:$P, "&gt;" &amp; $P2352) + 1) / (COUNTA($I:$I) - 1)</f>
        <v>0.94920000000000004</v>
      </c>
      <c r="S2352" s="23">
        <f>SUMIFS($P:$P, $Q:$Q, "&lt;" &amp; $Q2352)</f>
        <v>186547861</v>
      </c>
    </row>
    <row r="2353" spans="1:19" x14ac:dyDescent="0.25">
      <c r="A2353" s="1">
        <v>2348</v>
      </c>
      <c r="B2353" s="1" t="s">
        <v>2</v>
      </c>
      <c r="C2353" s="1" t="str">
        <f>IF($B2353 = "Production Item", _xlfn.XLOOKUP($A2353, 'Instrument Table'!$J:$J, 'Instrument Table'!$B:$B, $C2352), IF($B2353 = "Service Item", _xlfn.XLOOKUP($A2353, 'Instrument Table'!$I:$I, 'Instrument Table'!$B:$B, $C2352), _xlfn.XLOOKUP($A2353, 'Instrument Table'!$H:$H, 'Instrument Table'!$B:$B, $C2352)))</f>
        <v>Piccolo</v>
      </c>
      <c r="D2353" s="1" t="str">
        <f>VLOOKUP($C2353, 'Instrument Table'!$B:$C, 2, FALSE)</f>
        <v>Woodwinds</v>
      </c>
      <c r="E2353" s="1">
        <f t="shared" si="216"/>
        <v>1</v>
      </c>
      <c r="F2353" s="1">
        <f>_xlfn.XLOOKUP($C2353, 'Instrument Table'!$B:$B, 'Instrument Table'!$A:$A, "")</f>
        <v>33</v>
      </c>
      <c r="G2353" s="1" t="str">
        <f>TEXT(IF($B2353 = "Retail Item", IF((ROW($A2353) - 4504 - _xlfn.XMATCH($C2353, $C$4506:$C$5005, 0, 1)) &lt;= VLOOKUP($C2353, 'Instrument Table'!$B:$D, 3, FALSE), ROW($A2353) - 4504 - _xlfn.XMATCH($C2353, $C$4506:$C$5005, 0, 1), 0), 0), "00")</f>
        <v>00</v>
      </c>
      <c r="H2353" s="1" t="str">
        <f t="shared" si="217"/>
        <v>047</v>
      </c>
      <c r="I2353" s="1" t="str">
        <f t="shared" si="218"/>
        <v>13300-047</v>
      </c>
      <c r="J2353" s="1" t="str">
        <f t="shared" si="219"/>
        <v>Piccolo production item #047</v>
      </c>
      <c r="K2353" s="1" t="str">
        <f>IF(SUM(COUNTIFS(I:I, I2353)) &gt; 1, "DUPLICATE", "UNIQUE")</f>
        <v>UNIQUE</v>
      </c>
      <c r="L2353" s="18">
        <v>0</v>
      </c>
      <c r="M2353" s="28">
        <v>100</v>
      </c>
      <c r="N2353" s="6">
        <v>36</v>
      </c>
      <c r="O2353" s="30">
        <f t="shared" si="220"/>
        <v>0</v>
      </c>
      <c r="P2353" s="30">
        <f t="shared" si="221"/>
        <v>3600</v>
      </c>
      <c r="Q2353" s="1">
        <f>COUNTIFS($P:$P, "&gt;" &amp; $P2353) + 1</f>
        <v>2737</v>
      </c>
      <c r="R2353" s="63">
        <f>(COUNTIFS($P:$P, "&gt;" &amp; $P2353) + 1) / (COUNTA($I:$I) - 1)</f>
        <v>0.5474</v>
      </c>
      <c r="S2353" s="23">
        <f>SUMIFS($P:$P, $Q:$Q, "&lt;" &amp; $Q2353)</f>
        <v>184104041</v>
      </c>
    </row>
    <row r="2354" spans="1:19" x14ac:dyDescent="0.25">
      <c r="A2354" s="1">
        <v>2349</v>
      </c>
      <c r="B2354" s="1" t="s">
        <v>2</v>
      </c>
      <c r="C2354" s="1" t="str">
        <f>IF($B2354 = "Production Item", _xlfn.XLOOKUP($A2354, 'Instrument Table'!$J:$J, 'Instrument Table'!$B:$B, $C2353), IF($B2354 = "Service Item", _xlfn.XLOOKUP($A2354, 'Instrument Table'!$I:$I, 'Instrument Table'!$B:$B, $C2353), _xlfn.XLOOKUP($A2354, 'Instrument Table'!$H:$H, 'Instrument Table'!$B:$B, $C2353)))</f>
        <v>Piccolo</v>
      </c>
      <c r="D2354" s="1" t="str">
        <f>VLOOKUP($C2354, 'Instrument Table'!$B:$C, 2, FALSE)</f>
        <v>Woodwinds</v>
      </c>
      <c r="E2354" s="1">
        <f t="shared" si="216"/>
        <v>1</v>
      </c>
      <c r="F2354" s="1">
        <f>_xlfn.XLOOKUP($C2354, 'Instrument Table'!$B:$B, 'Instrument Table'!$A:$A, "")</f>
        <v>33</v>
      </c>
      <c r="G2354" s="1" t="str">
        <f>TEXT(IF($B2354 = "Retail Item", IF((ROW($A2354) - 4504 - _xlfn.XMATCH($C2354, $C$4506:$C$5005, 0, 1)) &lt;= VLOOKUP($C2354, 'Instrument Table'!$B:$D, 3, FALSE), ROW($A2354) - 4504 - _xlfn.XMATCH($C2354, $C$4506:$C$5005, 0, 1), 0), 0), "00")</f>
        <v>00</v>
      </c>
      <c r="H2354" s="1" t="str">
        <f t="shared" si="217"/>
        <v>048</v>
      </c>
      <c r="I2354" s="1" t="str">
        <f t="shared" si="218"/>
        <v>13300-048</v>
      </c>
      <c r="J2354" s="1" t="str">
        <f t="shared" si="219"/>
        <v>Piccolo production item #048</v>
      </c>
      <c r="K2354" s="1" t="str">
        <f>IF(SUM(COUNTIFS(I:I, I2354)) &gt; 1, "DUPLICATE", "UNIQUE")</f>
        <v>UNIQUE</v>
      </c>
      <c r="L2354" s="18">
        <v>1</v>
      </c>
      <c r="M2354" s="28">
        <v>17</v>
      </c>
      <c r="N2354" s="6">
        <v>400</v>
      </c>
      <c r="O2354" s="30">
        <f t="shared" si="220"/>
        <v>17</v>
      </c>
      <c r="P2354" s="30">
        <f t="shared" si="221"/>
        <v>6800</v>
      </c>
      <c r="Q2354" s="1">
        <f>COUNTIFS($P:$P, "&gt;" &amp; $P2354) + 1</f>
        <v>2166</v>
      </c>
      <c r="R2354" s="63">
        <f>(COUNTIFS($P:$P, "&gt;" &amp; $P2354) + 1) / (COUNTA($I:$I) - 1)</f>
        <v>0.43319999999999997</v>
      </c>
      <c r="S2354" s="23">
        <f>SUMIFS($P:$P, $Q:$Q, "&lt;" &amp; $Q2354)</f>
        <v>181223492</v>
      </c>
    </row>
    <row r="2355" spans="1:19" x14ac:dyDescent="0.25">
      <c r="A2355" s="1">
        <v>2350</v>
      </c>
      <c r="B2355" s="1" t="s">
        <v>2</v>
      </c>
      <c r="C2355" s="1" t="str">
        <f>IF($B2355 = "Production Item", _xlfn.XLOOKUP($A2355, 'Instrument Table'!$J:$J, 'Instrument Table'!$B:$B, $C2354), IF($B2355 = "Service Item", _xlfn.XLOOKUP($A2355, 'Instrument Table'!$I:$I, 'Instrument Table'!$B:$B, $C2354), _xlfn.XLOOKUP($A2355, 'Instrument Table'!$H:$H, 'Instrument Table'!$B:$B, $C2354)))</f>
        <v>Piccolo</v>
      </c>
      <c r="D2355" s="1" t="str">
        <f>VLOOKUP($C2355, 'Instrument Table'!$B:$C, 2, FALSE)</f>
        <v>Woodwinds</v>
      </c>
      <c r="E2355" s="1">
        <f t="shared" si="216"/>
        <v>1</v>
      </c>
      <c r="F2355" s="1">
        <f>_xlfn.XLOOKUP($C2355, 'Instrument Table'!$B:$B, 'Instrument Table'!$A:$A, "")</f>
        <v>33</v>
      </c>
      <c r="G2355" s="1" t="str">
        <f>TEXT(IF($B2355 = "Retail Item", IF((ROW($A2355) - 4504 - _xlfn.XMATCH($C2355, $C$4506:$C$5005, 0, 1)) &lt;= VLOOKUP($C2355, 'Instrument Table'!$B:$D, 3, FALSE), ROW($A2355) - 4504 - _xlfn.XMATCH($C2355, $C$4506:$C$5005, 0, 1), 0), 0), "00")</f>
        <v>00</v>
      </c>
      <c r="H2355" s="1" t="str">
        <f t="shared" si="217"/>
        <v>049</v>
      </c>
      <c r="I2355" s="1" t="str">
        <f t="shared" si="218"/>
        <v>13300-049</v>
      </c>
      <c r="J2355" s="1" t="str">
        <f t="shared" si="219"/>
        <v>Piccolo production item #049</v>
      </c>
      <c r="K2355" s="1" t="str">
        <f>IF(SUM(COUNTIFS(I:I, I2355)) &gt; 1, "DUPLICATE", "UNIQUE")</f>
        <v>UNIQUE</v>
      </c>
      <c r="L2355" s="18">
        <v>0</v>
      </c>
      <c r="M2355" s="28">
        <v>5</v>
      </c>
      <c r="N2355" s="6">
        <v>4</v>
      </c>
      <c r="O2355" s="30">
        <f t="shared" si="220"/>
        <v>0</v>
      </c>
      <c r="P2355" s="30">
        <f t="shared" si="221"/>
        <v>20</v>
      </c>
      <c r="Q2355" s="1">
        <f>COUNTIFS($P:$P, "&gt;" &amp; $P2355) + 1</f>
        <v>4692</v>
      </c>
      <c r="R2355" s="63">
        <f>(COUNTIFS($P:$P, "&gt;" &amp; $P2355) + 1) / (COUNTA($I:$I) - 1)</f>
        <v>0.93840000000000001</v>
      </c>
      <c r="S2355" s="23">
        <f>SUMIFS($P:$P, $Q:$Q, "&lt;" &amp; $Q2355)</f>
        <v>186547241</v>
      </c>
    </row>
    <row r="2356" spans="1:19" x14ac:dyDescent="0.25">
      <c r="A2356" s="1">
        <v>2351</v>
      </c>
      <c r="B2356" s="1" t="s">
        <v>2</v>
      </c>
      <c r="C2356" s="1" t="str">
        <f>IF($B2356 = "Production Item", _xlfn.XLOOKUP($A2356, 'Instrument Table'!$J:$J, 'Instrument Table'!$B:$B, $C2355), IF($B2356 = "Service Item", _xlfn.XLOOKUP($A2356, 'Instrument Table'!$I:$I, 'Instrument Table'!$B:$B, $C2355), _xlfn.XLOOKUP($A2356, 'Instrument Table'!$H:$H, 'Instrument Table'!$B:$B, $C2355)))</f>
        <v>Oboe</v>
      </c>
      <c r="D2356" s="1" t="str">
        <f>VLOOKUP($C2356, 'Instrument Table'!$B:$C, 2, FALSE)</f>
        <v>Woodwinds</v>
      </c>
      <c r="E2356" s="1">
        <f t="shared" si="216"/>
        <v>1</v>
      </c>
      <c r="F2356" s="1">
        <f>_xlfn.XLOOKUP($C2356, 'Instrument Table'!$B:$B, 'Instrument Table'!$A:$A, "")</f>
        <v>34</v>
      </c>
      <c r="G2356" s="1" t="str">
        <f>TEXT(IF($B2356 = "Retail Item", IF((ROW($A2356) - 4504 - _xlfn.XMATCH($C2356, $C$4506:$C$5005, 0, 1)) &lt;= VLOOKUP($C2356, 'Instrument Table'!$B:$D, 3, FALSE), ROW($A2356) - 4504 - _xlfn.XMATCH($C2356, $C$4506:$C$5005, 0, 1), 0), 0), "00")</f>
        <v>00</v>
      </c>
      <c r="H2356" s="1" t="str">
        <f t="shared" si="217"/>
        <v>000</v>
      </c>
      <c r="I2356" s="1" t="str">
        <f t="shared" si="218"/>
        <v>13400-000</v>
      </c>
      <c r="J2356" s="1" t="str">
        <f t="shared" si="219"/>
        <v>Oboe production item #000</v>
      </c>
      <c r="K2356" s="1" t="str">
        <f>IF(SUM(COUNTIFS(I:I, I2356)) &gt; 1, "DUPLICATE", "UNIQUE")</f>
        <v>UNIQUE</v>
      </c>
      <c r="L2356" s="18">
        <v>32</v>
      </c>
      <c r="M2356" s="28">
        <v>45</v>
      </c>
      <c r="N2356" s="6">
        <v>36</v>
      </c>
      <c r="O2356" s="30">
        <f t="shared" si="220"/>
        <v>1440</v>
      </c>
      <c r="P2356" s="30">
        <f t="shared" si="221"/>
        <v>1620</v>
      </c>
      <c r="Q2356" s="1">
        <f>COUNTIFS($P:$P, "&gt;" &amp; $P2356) + 1</f>
        <v>3392</v>
      </c>
      <c r="R2356" s="63">
        <f>(COUNTIFS($P:$P, "&gt;" &amp; $P2356) + 1) / (COUNTA($I:$I) - 1)</f>
        <v>0.6784</v>
      </c>
      <c r="S2356" s="23">
        <f>SUMIFS($P:$P, $Q:$Q, "&lt;" &amp; $Q2356)</f>
        <v>185772049</v>
      </c>
    </row>
    <row r="2357" spans="1:19" x14ac:dyDescent="0.25">
      <c r="A2357" s="1">
        <v>2352</v>
      </c>
      <c r="B2357" s="1" t="s">
        <v>2</v>
      </c>
      <c r="C2357" s="1" t="str">
        <f>IF($B2357 = "Production Item", _xlfn.XLOOKUP($A2357, 'Instrument Table'!$J:$J, 'Instrument Table'!$B:$B, $C2356), IF($B2357 = "Service Item", _xlfn.XLOOKUP($A2357, 'Instrument Table'!$I:$I, 'Instrument Table'!$B:$B, $C2356), _xlfn.XLOOKUP($A2357, 'Instrument Table'!$H:$H, 'Instrument Table'!$B:$B, $C2356)))</f>
        <v>Oboe</v>
      </c>
      <c r="D2357" s="1" t="str">
        <f>VLOOKUP($C2357, 'Instrument Table'!$B:$C, 2, FALSE)</f>
        <v>Woodwinds</v>
      </c>
      <c r="E2357" s="1">
        <f t="shared" si="216"/>
        <v>1</v>
      </c>
      <c r="F2357" s="1">
        <f>_xlfn.XLOOKUP($C2357, 'Instrument Table'!$B:$B, 'Instrument Table'!$A:$A, "")</f>
        <v>34</v>
      </c>
      <c r="G2357" s="1" t="str">
        <f>TEXT(IF($B2357 = "Retail Item", IF((ROW($A2357) - 4504 - _xlfn.XMATCH($C2357, $C$4506:$C$5005, 0, 1)) &lt;= VLOOKUP($C2357, 'Instrument Table'!$B:$D, 3, FALSE), ROW($A2357) - 4504 - _xlfn.XMATCH($C2357, $C$4506:$C$5005, 0, 1), 0), 0), "00")</f>
        <v>00</v>
      </c>
      <c r="H2357" s="1" t="str">
        <f t="shared" si="217"/>
        <v>001</v>
      </c>
      <c r="I2357" s="1" t="str">
        <f t="shared" si="218"/>
        <v>13400-001</v>
      </c>
      <c r="J2357" s="1" t="str">
        <f t="shared" si="219"/>
        <v>Oboe production item #001</v>
      </c>
      <c r="K2357" s="1" t="str">
        <f>IF(SUM(COUNTIFS(I:I, I2357)) &gt; 1, "DUPLICATE", "UNIQUE")</f>
        <v>UNIQUE</v>
      </c>
      <c r="L2357" s="18">
        <v>1</v>
      </c>
      <c r="M2357" s="28">
        <v>53</v>
      </c>
      <c r="N2357" s="6">
        <v>9</v>
      </c>
      <c r="O2357" s="30">
        <f t="shared" si="220"/>
        <v>53</v>
      </c>
      <c r="P2357" s="30">
        <f t="shared" si="221"/>
        <v>477</v>
      </c>
      <c r="Q2357" s="1">
        <f>COUNTIFS($P:$P, "&gt;" &amp; $P2357) + 1</f>
        <v>4047</v>
      </c>
      <c r="R2357" s="63">
        <f>(COUNTIFS($P:$P, "&gt;" &amp; $P2357) + 1) / (COUNTA($I:$I) - 1)</f>
        <v>0.80940000000000001</v>
      </c>
      <c r="S2357" s="23">
        <f>SUMIFS($P:$P, $Q:$Q, "&lt;" &amp; $Q2357)</f>
        <v>186421966</v>
      </c>
    </row>
    <row r="2358" spans="1:19" x14ac:dyDescent="0.25">
      <c r="A2358" s="1">
        <v>2353</v>
      </c>
      <c r="B2358" s="1" t="s">
        <v>2</v>
      </c>
      <c r="C2358" s="1" t="str">
        <f>IF($B2358 = "Production Item", _xlfn.XLOOKUP($A2358, 'Instrument Table'!$J:$J, 'Instrument Table'!$B:$B, $C2357), IF($B2358 = "Service Item", _xlfn.XLOOKUP($A2358, 'Instrument Table'!$I:$I, 'Instrument Table'!$B:$B, $C2357), _xlfn.XLOOKUP($A2358, 'Instrument Table'!$H:$H, 'Instrument Table'!$B:$B, $C2357)))</f>
        <v>Oboe</v>
      </c>
      <c r="D2358" s="1" t="str">
        <f>VLOOKUP($C2358, 'Instrument Table'!$B:$C, 2, FALSE)</f>
        <v>Woodwinds</v>
      </c>
      <c r="E2358" s="1">
        <f t="shared" si="216"/>
        <v>1</v>
      </c>
      <c r="F2358" s="1">
        <f>_xlfn.XLOOKUP($C2358, 'Instrument Table'!$B:$B, 'Instrument Table'!$A:$A, "")</f>
        <v>34</v>
      </c>
      <c r="G2358" s="1" t="str">
        <f>TEXT(IF($B2358 = "Retail Item", IF((ROW($A2358) - 4504 - _xlfn.XMATCH($C2358, $C$4506:$C$5005, 0, 1)) &lt;= VLOOKUP($C2358, 'Instrument Table'!$B:$D, 3, FALSE), ROW($A2358) - 4504 - _xlfn.XMATCH($C2358, $C$4506:$C$5005, 0, 1), 0), 0), "00")</f>
        <v>00</v>
      </c>
      <c r="H2358" s="1" t="str">
        <f t="shared" si="217"/>
        <v>002</v>
      </c>
      <c r="I2358" s="1" t="str">
        <f t="shared" si="218"/>
        <v>13400-002</v>
      </c>
      <c r="J2358" s="1" t="str">
        <f t="shared" si="219"/>
        <v>Oboe production item #002</v>
      </c>
      <c r="K2358" s="1" t="str">
        <f>IF(SUM(COUNTIFS(I:I, I2358)) &gt; 1, "DUPLICATE", "UNIQUE")</f>
        <v>UNIQUE</v>
      </c>
      <c r="L2358" s="18">
        <v>1</v>
      </c>
      <c r="M2358" s="28">
        <v>95</v>
      </c>
      <c r="N2358" s="6">
        <v>256</v>
      </c>
      <c r="O2358" s="30">
        <f t="shared" si="220"/>
        <v>95</v>
      </c>
      <c r="P2358" s="30">
        <f t="shared" si="221"/>
        <v>24320</v>
      </c>
      <c r="Q2358" s="1">
        <f>COUNTIFS($P:$P, "&gt;" &amp; $P2358) + 1</f>
        <v>861</v>
      </c>
      <c r="R2358" s="63">
        <f>(COUNTIFS($P:$P, "&gt;" &amp; $P2358) + 1) / (COUNTA($I:$I) - 1)</f>
        <v>0.17219999999999999</v>
      </c>
      <c r="S2358" s="23">
        <f>SUMIFS($P:$P, $Q:$Q, "&lt;" &amp; $Q2358)</f>
        <v>163353057</v>
      </c>
    </row>
    <row r="2359" spans="1:19" x14ac:dyDescent="0.25">
      <c r="A2359" s="1">
        <v>2354</v>
      </c>
      <c r="B2359" s="1" t="s">
        <v>2</v>
      </c>
      <c r="C2359" s="1" t="str">
        <f>IF($B2359 = "Production Item", _xlfn.XLOOKUP($A2359, 'Instrument Table'!$J:$J, 'Instrument Table'!$B:$B, $C2358), IF($B2359 = "Service Item", _xlfn.XLOOKUP($A2359, 'Instrument Table'!$I:$I, 'Instrument Table'!$B:$B, $C2358), _xlfn.XLOOKUP($A2359, 'Instrument Table'!$H:$H, 'Instrument Table'!$B:$B, $C2358)))</f>
        <v>Oboe</v>
      </c>
      <c r="D2359" s="1" t="str">
        <f>VLOOKUP($C2359, 'Instrument Table'!$B:$C, 2, FALSE)</f>
        <v>Woodwinds</v>
      </c>
      <c r="E2359" s="1">
        <f t="shared" si="216"/>
        <v>1</v>
      </c>
      <c r="F2359" s="1">
        <f>_xlfn.XLOOKUP($C2359, 'Instrument Table'!$B:$B, 'Instrument Table'!$A:$A, "")</f>
        <v>34</v>
      </c>
      <c r="G2359" s="1" t="str">
        <f>TEXT(IF($B2359 = "Retail Item", IF((ROW($A2359) - 4504 - _xlfn.XMATCH($C2359, $C$4506:$C$5005, 0, 1)) &lt;= VLOOKUP($C2359, 'Instrument Table'!$B:$D, 3, FALSE), ROW($A2359) - 4504 - _xlfn.XMATCH($C2359, $C$4506:$C$5005, 0, 1), 0), 0), "00")</f>
        <v>00</v>
      </c>
      <c r="H2359" s="1" t="str">
        <f t="shared" si="217"/>
        <v>003</v>
      </c>
      <c r="I2359" s="1" t="str">
        <f t="shared" si="218"/>
        <v>13400-003</v>
      </c>
      <c r="J2359" s="1" t="str">
        <f t="shared" si="219"/>
        <v>Oboe production item #003</v>
      </c>
      <c r="K2359" s="1" t="str">
        <f>IF(SUM(COUNTIFS(I:I, I2359)) &gt; 1, "DUPLICATE", "UNIQUE")</f>
        <v>UNIQUE</v>
      </c>
      <c r="L2359" s="18">
        <v>0</v>
      </c>
      <c r="M2359" s="28">
        <v>83</v>
      </c>
      <c r="N2359" s="6">
        <v>289</v>
      </c>
      <c r="O2359" s="30">
        <f t="shared" si="220"/>
        <v>0</v>
      </c>
      <c r="P2359" s="30">
        <f t="shared" si="221"/>
        <v>23987</v>
      </c>
      <c r="Q2359" s="1">
        <f>COUNTIFS($P:$P, "&gt;" &amp; $P2359) + 1</f>
        <v>874</v>
      </c>
      <c r="R2359" s="63">
        <f>(COUNTIFS($P:$P, "&gt;" &amp; $P2359) + 1) / (COUNTA($I:$I) - 1)</f>
        <v>0.17480000000000001</v>
      </c>
      <c r="S2359" s="23">
        <f>SUMIFS($P:$P, $Q:$Q, "&lt;" &amp; $Q2359)</f>
        <v>163667085</v>
      </c>
    </row>
    <row r="2360" spans="1:19" x14ac:dyDescent="0.25">
      <c r="A2360" s="1">
        <v>2355</v>
      </c>
      <c r="B2360" s="1" t="s">
        <v>2</v>
      </c>
      <c r="C2360" s="1" t="str">
        <f>IF($B2360 = "Production Item", _xlfn.XLOOKUP($A2360, 'Instrument Table'!$J:$J, 'Instrument Table'!$B:$B, $C2359), IF($B2360 = "Service Item", _xlfn.XLOOKUP($A2360, 'Instrument Table'!$I:$I, 'Instrument Table'!$B:$B, $C2359), _xlfn.XLOOKUP($A2360, 'Instrument Table'!$H:$H, 'Instrument Table'!$B:$B, $C2359)))</f>
        <v>Oboe</v>
      </c>
      <c r="D2360" s="1" t="str">
        <f>VLOOKUP($C2360, 'Instrument Table'!$B:$C, 2, FALSE)</f>
        <v>Woodwinds</v>
      </c>
      <c r="E2360" s="1">
        <f t="shared" si="216"/>
        <v>1</v>
      </c>
      <c r="F2360" s="1">
        <f>_xlfn.XLOOKUP($C2360, 'Instrument Table'!$B:$B, 'Instrument Table'!$A:$A, "")</f>
        <v>34</v>
      </c>
      <c r="G2360" s="1" t="str">
        <f>TEXT(IF($B2360 = "Retail Item", IF((ROW($A2360) - 4504 - _xlfn.XMATCH($C2360, $C$4506:$C$5005, 0, 1)) &lt;= VLOOKUP($C2360, 'Instrument Table'!$B:$D, 3, FALSE), ROW($A2360) - 4504 - _xlfn.XMATCH($C2360, $C$4506:$C$5005, 0, 1), 0), 0), "00")</f>
        <v>00</v>
      </c>
      <c r="H2360" s="1" t="str">
        <f t="shared" si="217"/>
        <v>004</v>
      </c>
      <c r="I2360" s="1" t="str">
        <f t="shared" si="218"/>
        <v>13400-004</v>
      </c>
      <c r="J2360" s="1" t="str">
        <f t="shared" si="219"/>
        <v>Oboe production item #004</v>
      </c>
      <c r="K2360" s="1" t="str">
        <f>IF(SUM(COUNTIFS(I:I, I2360)) &gt; 1, "DUPLICATE", "UNIQUE")</f>
        <v>UNIQUE</v>
      </c>
      <c r="L2360" s="18">
        <v>1</v>
      </c>
      <c r="M2360" s="28">
        <v>94</v>
      </c>
      <c r="N2360" s="6">
        <v>1</v>
      </c>
      <c r="O2360" s="30">
        <f t="shared" si="220"/>
        <v>94</v>
      </c>
      <c r="P2360" s="30">
        <f t="shared" si="221"/>
        <v>94</v>
      </c>
      <c r="Q2360" s="1">
        <f>COUNTIFS($P:$P, "&gt;" &amp; $P2360) + 1</f>
        <v>4473</v>
      </c>
      <c r="R2360" s="63">
        <f>(COUNTIFS($P:$P, "&gt;" &amp; $P2360) + 1) / (COUNTA($I:$I) - 1)</f>
        <v>0.89459999999999995</v>
      </c>
      <c r="S2360" s="23">
        <f>SUMIFS($P:$P, $Q:$Q, "&lt;" &amp; $Q2360)</f>
        <v>186534472</v>
      </c>
    </row>
    <row r="2361" spans="1:19" x14ac:dyDescent="0.25">
      <c r="A2361" s="1">
        <v>2356</v>
      </c>
      <c r="B2361" s="1" t="s">
        <v>2</v>
      </c>
      <c r="C2361" s="1" t="str">
        <f>IF($B2361 = "Production Item", _xlfn.XLOOKUP($A2361, 'Instrument Table'!$J:$J, 'Instrument Table'!$B:$B, $C2360), IF($B2361 = "Service Item", _xlfn.XLOOKUP($A2361, 'Instrument Table'!$I:$I, 'Instrument Table'!$B:$B, $C2360), _xlfn.XLOOKUP($A2361, 'Instrument Table'!$H:$H, 'Instrument Table'!$B:$B, $C2360)))</f>
        <v>Oboe</v>
      </c>
      <c r="D2361" s="1" t="str">
        <f>VLOOKUP($C2361, 'Instrument Table'!$B:$C, 2, FALSE)</f>
        <v>Woodwinds</v>
      </c>
      <c r="E2361" s="1">
        <f t="shared" si="216"/>
        <v>1</v>
      </c>
      <c r="F2361" s="1">
        <f>_xlfn.XLOOKUP($C2361, 'Instrument Table'!$B:$B, 'Instrument Table'!$A:$A, "")</f>
        <v>34</v>
      </c>
      <c r="G2361" s="1" t="str">
        <f>TEXT(IF($B2361 = "Retail Item", IF((ROW($A2361) - 4504 - _xlfn.XMATCH($C2361, $C$4506:$C$5005, 0, 1)) &lt;= VLOOKUP($C2361, 'Instrument Table'!$B:$D, 3, FALSE), ROW($A2361) - 4504 - _xlfn.XMATCH($C2361, $C$4506:$C$5005, 0, 1), 0), 0), "00")</f>
        <v>00</v>
      </c>
      <c r="H2361" s="1" t="str">
        <f t="shared" si="217"/>
        <v>005</v>
      </c>
      <c r="I2361" s="1" t="str">
        <f t="shared" si="218"/>
        <v>13400-005</v>
      </c>
      <c r="J2361" s="1" t="str">
        <f t="shared" si="219"/>
        <v>Oboe production item #005</v>
      </c>
      <c r="K2361" s="1" t="str">
        <f>IF(SUM(COUNTIFS(I:I, I2361)) &gt; 1, "DUPLICATE", "UNIQUE")</f>
        <v>UNIQUE</v>
      </c>
      <c r="L2361" s="18">
        <v>4</v>
      </c>
      <c r="M2361" s="28">
        <v>38</v>
      </c>
      <c r="N2361" s="6">
        <v>81</v>
      </c>
      <c r="O2361" s="30">
        <f t="shared" si="220"/>
        <v>152</v>
      </c>
      <c r="P2361" s="30">
        <f t="shared" si="221"/>
        <v>3078</v>
      </c>
      <c r="Q2361" s="1">
        <f>COUNTIFS($P:$P, "&gt;" &amp; $P2361) + 1</f>
        <v>2884</v>
      </c>
      <c r="R2361" s="63">
        <f>(COUNTIFS($P:$P, "&gt;" &amp; $P2361) + 1) / (COUNTA($I:$I) - 1)</f>
        <v>0.57679999999999998</v>
      </c>
      <c r="S2361" s="23">
        <f>SUMIFS($P:$P, $Q:$Q, "&lt;" &amp; $Q2361)</f>
        <v>184599355</v>
      </c>
    </row>
    <row r="2362" spans="1:19" x14ac:dyDescent="0.25">
      <c r="A2362" s="1">
        <v>2357</v>
      </c>
      <c r="B2362" s="1" t="s">
        <v>2</v>
      </c>
      <c r="C2362" s="1" t="str">
        <f>IF($B2362 = "Production Item", _xlfn.XLOOKUP($A2362, 'Instrument Table'!$J:$J, 'Instrument Table'!$B:$B, $C2361), IF($B2362 = "Service Item", _xlfn.XLOOKUP($A2362, 'Instrument Table'!$I:$I, 'Instrument Table'!$B:$B, $C2361), _xlfn.XLOOKUP($A2362, 'Instrument Table'!$H:$H, 'Instrument Table'!$B:$B, $C2361)))</f>
        <v>Oboe</v>
      </c>
      <c r="D2362" s="1" t="str">
        <f>VLOOKUP($C2362, 'Instrument Table'!$B:$C, 2, FALSE)</f>
        <v>Woodwinds</v>
      </c>
      <c r="E2362" s="1">
        <f t="shared" si="216"/>
        <v>1</v>
      </c>
      <c r="F2362" s="1">
        <f>_xlfn.XLOOKUP($C2362, 'Instrument Table'!$B:$B, 'Instrument Table'!$A:$A, "")</f>
        <v>34</v>
      </c>
      <c r="G2362" s="1" t="str">
        <f>TEXT(IF($B2362 = "Retail Item", IF((ROW($A2362) - 4504 - _xlfn.XMATCH($C2362, $C$4506:$C$5005, 0, 1)) &lt;= VLOOKUP($C2362, 'Instrument Table'!$B:$D, 3, FALSE), ROW($A2362) - 4504 - _xlfn.XMATCH($C2362, $C$4506:$C$5005, 0, 1), 0), 0), "00")</f>
        <v>00</v>
      </c>
      <c r="H2362" s="1" t="str">
        <f t="shared" si="217"/>
        <v>006</v>
      </c>
      <c r="I2362" s="1" t="str">
        <f t="shared" si="218"/>
        <v>13400-006</v>
      </c>
      <c r="J2362" s="1" t="str">
        <f t="shared" si="219"/>
        <v>Oboe production item #006</v>
      </c>
      <c r="K2362" s="1" t="str">
        <f>IF(SUM(COUNTIFS(I:I, I2362)) &gt; 1, "DUPLICATE", "UNIQUE")</f>
        <v>UNIQUE</v>
      </c>
      <c r="L2362" s="18">
        <v>1</v>
      </c>
      <c r="M2362" s="28">
        <v>46</v>
      </c>
      <c r="N2362" s="6">
        <v>361</v>
      </c>
      <c r="O2362" s="30">
        <f t="shared" si="220"/>
        <v>46</v>
      </c>
      <c r="P2362" s="30">
        <f t="shared" si="221"/>
        <v>16606</v>
      </c>
      <c r="Q2362" s="1">
        <f>COUNTIFS($P:$P, "&gt;" &amp; $P2362) + 1</f>
        <v>1241</v>
      </c>
      <c r="R2362" s="63">
        <f>(COUNTIFS($P:$P, "&gt;" &amp; $P2362) + 1) / (COUNTA($I:$I) - 1)</f>
        <v>0.2482</v>
      </c>
      <c r="S2362" s="23">
        <f>SUMIFS($P:$P, $Q:$Q, "&lt;" &amp; $Q2362)</f>
        <v>171020664</v>
      </c>
    </row>
    <row r="2363" spans="1:19" x14ac:dyDescent="0.25">
      <c r="A2363" s="1">
        <v>2358</v>
      </c>
      <c r="B2363" s="1" t="s">
        <v>2</v>
      </c>
      <c r="C2363" s="1" t="str">
        <f>IF($B2363 = "Production Item", _xlfn.XLOOKUP($A2363, 'Instrument Table'!$J:$J, 'Instrument Table'!$B:$B, $C2362), IF($B2363 = "Service Item", _xlfn.XLOOKUP($A2363, 'Instrument Table'!$I:$I, 'Instrument Table'!$B:$B, $C2362), _xlfn.XLOOKUP($A2363, 'Instrument Table'!$H:$H, 'Instrument Table'!$B:$B, $C2362)))</f>
        <v>Oboe</v>
      </c>
      <c r="D2363" s="1" t="str">
        <f>VLOOKUP($C2363, 'Instrument Table'!$B:$C, 2, FALSE)</f>
        <v>Woodwinds</v>
      </c>
      <c r="E2363" s="1">
        <f t="shared" si="216"/>
        <v>1</v>
      </c>
      <c r="F2363" s="1">
        <f>_xlfn.XLOOKUP($C2363, 'Instrument Table'!$B:$B, 'Instrument Table'!$A:$A, "")</f>
        <v>34</v>
      </c>
      <c r="G2363" s="1" t="str">
        <f>TEXT(IF($B2363 = "Retail Item", IF((ROW($A2363) - 4504 - _xlfn.XMATCH($C2363, $C$4506:$C$5005, 0, 1)) &lt;= VLOOKUP($C2363, 'Instrument Table'!$B:$D, 3, FALSE), ROW($A2363) - 4504 - _xlfn.XMATCH($C2363, $C$4506:$C$5005, 0, 1), 0), 0), "00")</f>
        <v>00</v>
      </c>
      <c r="H2363" s="1" t="str">
        <f t="shared" si="217"/>
        <v>007</v>
      </c>
      <c r="I2363" s="1" t="str">
        <f t="shared" si="218"/>
        <v>13400-007</v>
      </c>
      <c r="J2363" s="1" t="str">
        <f t="shared" si="219"/>
        <v>Oboe production item #007</v>
      </c>
      <c r="K2363" s="1" t="str">
        <f>IF(SUM(COUNTIFS(I:I, I2363)) &gt; 1, "DUPLICATE", "UNIQUE")</f>
        <v>UNIQUE</v>
      </c>
      <c r="L2363" s="18">
        <v>8</v>
      </c>
      <c r="M2363" s="28">
        <v>93</v>
      </c>
      <c r="N2363" s="6">
        <v>144</v>
      </c>
      <c r="O2363" s="30">
        <f t="shared" si="220"/>
        <v>744</v>
      </c>
      <c r="P2363" s="30">
        <f t="shared" si="221"/>
        <v>13392</v>
      </c>
      <c r="Q2363" s="1">
        <f>COUNTIFS($P:$P, "&gt;" &amp; $P2363) + 1</f>
        <v>1465</v>
      </c>
      <c r="R2363" s="63">
        <f>(COUNTIFS($P:$P, "&gt;" &amp; $P2363) + 1) / (COUNTA($I:$I) - 1)</f>
        <v>0.29299999999999998</v>
      </c>
      <c r="S2363" s="23">
        <f>SUMIFS($P:$P, $Q:$Q, "&lt;" &amp; $Q2363)</f>
        <v>174376381</v>
      </c>
    </row>
    <row r="2364" spans="1:19" x14ac:dyDescent="0.25">
      <c r="A2364" s="1">
        <v>2359</v>
      </c>
      <c r="B2364" s="1" t="s">
        <v>2</v>
      </c>
      <c r="C2364" s="1" t="str">
        <f>IF($B2364 = "Production Item", _xlfn.XLOOKUP($A2364, 'Instrument Table'!$J:$J, 'Instrument Table'!$B:$B, $C2363), IF($B2364 = "Service Item", _xlfn.XLOOKUP($A2364, 'Instrument Table'!$I:$I, 'Instrument Table'!$B:$B, $C2363), _xlfn.XLOOKUP($A2364, 'Instrument Table'!$H:$H, 'Instrument Table'!$B:$B, $C2363)))</f>
        <v>Oboe</v>
      </c>
      <c r="D2364" s="1" t="str">
        <f>VLOOKUP($C2364, 'Instrument Table'!$B:$C, 2, FALSE)</f>
        <v>Woodwinds</v>
      </c>
      <c r="E2364" s="1">
        <f t="shared" si="216"/>
        <v>1</v>
      </c>
      <c r="F2364" s="1">
        <f>_xlfn.XLOOKUP($C2364, 'Instrument Table'!$B:$B, 'Instrument Table'!$A:$A, "")</f>
        <v>34</v>
      </c>
      <c r="G2364" s="1" t="str">
        <f>TEXT(IF($B2364 = "Retail Item", IF((ROW($A2364) - 4504 - _xlfn.XMATCH($C2364, $C$4506:$C$5005, 0, 1)) &lt;= VLOOKUP($C2364, 'Instrument Table'!$B:$D, 3, FALSE), ROW($A2364) - 4504 - _xlfn.XMATCH($C2364, $C$4506:$C$5005, 0, 1), 0), 0), "00")</f>
        <v>00</v>
      </c>
      <c r="H2364" s="1" t="str">
        <f t="shared" si="217"/>
        <v>008</v>
      </c>
      <c r="I2364" s="1" t="str">
        <f t="shared" si="218"/>
        <v>13400-008</v>
      </c>
      <c r="J2364" s="1" t="str">
        <f t="shared" si="219"/>
        <v>Oboe production item #008</v>
      </c>
      <c r="K2364" s="1" t="str">
        <f>IF(SUM(COUNTIFS(I:I, I2364)) &gt; 1, "DUPLICATE", "UNIQUE")</f>
        <v>UNIQUE</v>
      </c>
      <c r="L2364" s="18">
        <v>32</v>
      </c>
      <c r="M2364" s="28">
        <v>20</v>
      </c>
      <c r="N2364" s="6">
        <v>144</v>
      </c>
      <c r="O2364" s="30">
        <f t="shared" si="220"/>
        <v>640</v>
      </c>
      <c r="P2364" s="30">
        <f t="shared" si="221"/>
        <v>2880</v>
      </c>
      <c r="Q2364" s="1">
        <f>COUNTIFS($P:$P, "&gt;" &amp; $P2364) + 1</f>
        <v>2942</v>
      </c>
      <c r="R2364" s="63">
        <f>(COUNTIFS($P:$P, "&gt;" &amp; $P2364) + 1) / (COUNTA($I:$I) - 1)</f>
        <v>0.58840000000000003</v>
      </c>
      <c r="S2364" s="23">
        <f>SUMIFS($P:$P, $Q:$Q, "&lt;" &amp; $Q2364)</f>
        <v>184772089</v>
      </c>
    </row>
    <row r="2365" spans="1:19" x14ac:dyDescent="0.25">
      <c r="A2365" s="1">
        <v>2360</v>
      </c>
      <c r="B2365" s="1" t="s">
        <v>2</v>
      </c>
      <c r="C2365" s="1" t="str">
        <f>IF($B2365 = "Production Item", _xlfn.XLOOKUP($A2365, 'Instrument Table'!$J:$J, 'Instrument Table'!$B:$B, $C2364), IF($B2365 = "Service Item", _xlfn.XLOOKUP($A2365, 'Instrument Table'!$I:$I, 'Instrument Table'!$B:$B, $C2364), _xlfn.XLOOKUP($A2365, 'Instrument Table'!$H:$H, 'Instrument Table'!$B:$B, $C2364)))</f>
        <v>Oboe</v>
      </c>
      <c r="D2365" s="1" t="str">
        <f>VLOOKUP($C2365, 'Instrument Table'!$B:$C, 2, FALSE)</f>
        <v>Woodwinds</v>
      </c>
      <c r="E2365" s="1">
        <f t="shared" si="216"/>
        <v>1</v>
      </c>
      <c r="F2365" s="1">
        <f>_xlfn.XLOOKUP($C2365, 'Instrument Table'!$B:$B, 'Instrument Table'!$A:$A, "")</f>
        <v>34</v>
      </c>
      <c r="G2365" s="1" t="str">
        <f>TEXT(IF($B2365 = "Retail Item", IF((ROW($A2365) - 4504 - _xlfn.XMATCH($C2365, $C$4506:$C$5005, 0, 1)) &lt;= VLOOKUP($C2365, 'Instrument Table'!$B:$D, 3, FALSE), ROW($A2365) - 4504 - _xlfn.XMATCH($C2365, $C$4506:$C$5005, 0, 1), 0), 0), "00")</f>
        <v>00</v>
      </c>
      <c r="H2365" s="1" t="str">
        <f t="shared" si="217"/>
        <v>009</v>
      </c>
      <c r="I2365" s="1" t="str">
        <f t="shared" si="218"/>
        <v>13400-009</v>
      </c>
      <c r="J2365" s="1" t="str">
        <f t="shared" si="219"/>
        <v>Oboe production item #009</v>
      </c>
      <c r="K2365" s="1" t="str">
        <f>IF(SUM(COUNTIFS(I:I, I2365)) &gt; 1, "DUPLICATE", "UNIQUE")</f>
        <v>UNIQUE</v>
      </c>
      <c r="L2365" s="18">
        <v>16</v>
      </c>
      <c r="M2365" s="28">
        <v>100</v>
      </c>
      <c r="N2365" s="6">
        <v>289</v>
      </c>
      <c r="O2365" s="30">
        <f t="shared" si="220"/>
        <v>1600</v>
      </c>
      <c r="P2365" s="30">
        <f t="shared" si="221"/>
        <v>28900</v>
      </c>
      <c r="Q2365" s="1">
        <f>COUNTIFS($P:$P, "&gt;" &amp; $P2365) + 1</f>
        <v>714</v>
      </c>
      <c r="R2365" s="63">
        <f>(COUNTIFS($P:$P, "&gt;" &amp; $P2365) + 1) / (COUNTA($I:$I) - 1)</f>
        <v>0.14280000000000001</v>
      </c>
      <c r="S2365" s="23">
        <f>SUMIFS($P:$P, $Q:$Q, "&lt;" &amp; $Q2365)</f>
        <v>159498251</v>
      </c>
    </row>
    <row r="2366" spans="1:19" x14ac:dyDescent="0.25">
      <c r="A2366" s="1">
        <v>2361</v>
      </c>
      <c r="B2366" s="1" t="s">
        <v>2</v>
      </c>
      <c r="C2366" s="1" t="str">
        <f>IF($B2366 = "Production Item", _xlfn.XLOOKUP($A2366, 'Instrument Table'!$J:$J, 'Instrument Table'!$B:$B, $C2365), IF($B2366 = "Service Item", _xlfn.XLOOKUP($A2366, 'Instrument Table'!$I:$I, 'Instrument Table'!$B:$B, $C2365), _xlfn.XLOOKUP($A2366, 'Instrument Table'!$H:$H, 'Instrument Table'!$B:$B, $C2365)))</f>
        <v>Oboe</v>
      </c>
      <c r="D2366" s="1" t="str">
        <f>VLOOKUP($C2366, 'Instrument Table'!$B:$C, 2, FALSE)</f>
        <v>Woodwinds</v>
      </c>
      <c r="E2366" s="1">
        <f t="shared" si="216"/>
        <v>1</v>
      </c>
      <c r="F2366" s="1">
        <f>_xlfn.XLOOKUP($C2366, 'Instrument Table'!$B:$B, 'Instrument Table'!$A:$A, "")</f>
        <v>34</v>
      </c>
      <c r="G2366" s="1" t="str">
        <f>TEXT(IF($B2366 = "Retail Item", IF((ROW($A2366) - 4504 - _xlfn.XMATCH($C2366, $C$4506:$C$5005, 0, 1)) &lt;= VLOOKUP($C2366, 'Instrument Table'!$B:$D, 3, FALSE), ROW($A2366) - 4504 - _xlfn.XMATCH($C2366, $C$4506:$C$5005, 0, 1), 0), 0), "00")</f>
        <v>00</v>
      </c>
      <c r="H2366" s="1" t="str">
        <f t="shared" si="217"/>
        <v>010</v>
      </c>
      <c r="I2366" s="1" t="str">
        <f t="shared" si="218"/>
        <v>13400-010</v>
      </c>
      <c r="J2366" s="1" t="str">
        <f t="shared" si="219"/>
        <v>Oboe production item #010</v>
      </c>
      <c r="K2366" s="1" t="str">
        <f>IF(SUM(COUNTIFS(I:I, I2366)) &gt; 1, "DUPLICATE", "UNIQUE")</f>
        <v>UNIQUE</v>
      </c>
      <c r="L2366" s="18">
        <v>1</v>
      </c>
      <c r="M2366" s="28">
        <v>5</v>
      </c>
      <c r="N2366" s="6">
        <v>1</v>
      </c>
      <c r="O2366" s="30">
        <f t="shared" si="220"/>
        <v>5</v>
      </c>
      <c r="P2366" s="30">
        <f t="shared" si="221"/>
        <v>5</v>
      </c>
      <c r="Q2366" s="1">
        <f>COUNTIFS($P:$P, "&gt;" &amp; $P2366) + 1</f>
        <v>4737</v>
      </c>
      <c r="R2366" s="63">
        <f>(COUNTIFS($P:$P, "&gt;" &amp; $P2366) + 1) / (COUNTA($I:$I) - 1)</f>
        <v>0.94740000000000002</v>
      </c>
      <c r="S2366" s="23">
        <f>SUMIFS($P:$P, $Q:$Q, "&lt;" &amp; $Q2366)</f>
        <v>186547836</v>
      </c>
    </row>
    <row r="2367" spans="1:19" x14ac:dyDescent="0.25">
      <c r="A2367" s="1">
        <v>2362</v>
      </c>
      <c r="B2367" s="1" t="s">
        <v>2</v>
      </c>
      <c r="C2367" s="1" t="str">
        <f>IF($B2367 = "Production Item", _xlfn.XLOOKUP($A2367, 'Instrument Table'!$J:$J, 'Instrument Table'!$B:$B, $C2366), IF($B2367 = "Service Item", _xlfn.XLOOKUP($A2367, 'Instrument Table'!$I:$I, 'Instrument Table'!$B:$B, $C2366), _xlfn.XLOOKUP($A2367, 'Instrument Table'!$H:$H, 'Instrument Table'!$B:$B, $C2366)))</f>
        <v>Oboe</v>
      </c>
      <c r="D2367" s="1" t="str">
        <f>VLOOKUP($C2367, 'Instrument Table'!$B:$C, 2, FALSE)</f>
        <v>Woodwinds</v>
      </c>
      <c r="E2367" s="1">
        <f t="shared" si="216"/>
        <v>1</v>
      </c>
      <c r="F2367" s="1">
        <f>_xlfn.XLOOKUP($C2367, 'Instrument Table'!$B:$B, 'Instrument Table'!$A:$A, "")</f>
        <v>34</v>
      </c>
      <c r="G2367" s="1" t="str">
        <f>TEXT(IF($B2367 = "Retail Item", IF((ROW($A2367) - 4504 - _xlfn.XMATCH($C2367, $C$4506:$C$5005, 0, 1)) &lt;= VLOOKUP($C2367, 'Instrument Table'!$B:$D, 3, FALSE), ROW($A2367) - 4504 - _xlfn.XMATCH($C2367, $C$4506:$C$5005, 0, 1), 0), 0), "00")</f>
        <v>00</v>
      </c>
      <c r="H2367" s="1" t="str">
        <f t="shared" si="217"/>
        <v>011</v>
      </c>
      <c r="I2367" s="1" t="str">
        <f t="shared" si="218"/>
        <v>13400-011</v>
      </c>
      <c r="J2367" s="1" t="str">
        <f t="shared" si="219"/>
        <v>Oboe production item #011</v>
      </c>
      <c r="K2367" s="1" t="str">
        <f>IF(SUM(COUNTIFS(I:I, I2367)) &gt; 1, "DUPLICATE", "UNIQUE")</f>
        <v>UNIQUE</v>
      </c>
      <c r="L2367" s="18">
        <v>0</v>
      </c>
      <c r="M2367" s="28">
        <v>81</v>
      </c>
      <c r="N2367" s="6">
        <v>400</v>
      </c>
      <c r="O2367" s="30">
        <f t="shared" si="220"/>
        <v>0</v>
      </c>
      <c r="P2367" s="30">
        <f t="shared" si="221"/>
        <v>32400</v>
      </c>
      <c r="Q2367" s="1">
        <f>COUNTIFS($P:$P, "&gt;" &amp; $P2367) + 1</f>
        <v>636</v>
      </c>
      <c r="R2367" s="63">
        <f>(COUNTIFS($P:$P, "&gt;" &amp; $P2367) + 1) / (COUNTA($I:$I) - 1)</f>
        <v>0.12720000000000001</v>
      </c>
      <c r="S2367" s="23">
        <f>SUMIFS($P:$P, $Q:$Q, "&lt;" &amp; $Q2367)</f>
        <v>157094192</v>
      </c>
    </row>
    <row r="2368" spans="1:19" x14ac:dyDescent="0.25">
      <c r="A2368" s="1">
        <v>2363</v>
      </c>
      <c r="B2368" s="1" t="s">
        <v>2</v>
      </c>
      <c r="C2368" s="1" t="str">
        <f>IF($B2368 = "Production Item", _xlfn.XLOOKUP($A2368, 'Instrument Table'!$J:$J, 'Instrument Table'!$B:$B, $C2367), IF($B2368 = "Service Item", _xlfn.XLOOKUP($A2368, 'Instrument Table'!$I:$I, 'Instrument Table'!$B:$B, $C2367), _xlfn.XLOOKUP($A2368, 'Instrument Table'!$H:$H, 'Instrument Table'!$B:$B, $C2367)))</f>
        <v>Oboe</v>
      </c>
      <c r="D2368" s="1" t="str">
        <f>VLOOKUP($C2368, 'Instrument Table'!$B:$C, 2, FALSE)</f>
        <v>Woodwinds</v>
      </c>
      <c r="E2368" s="1">
        <f t="shared" si="216"/>
        <v>1</v>
      </c>
      <c r="F2368" s="1">
        <f>_xlfn.XLOOKUP($C2368, 'Instrument Table'!$B:$B, 'Instrument Table'!$A:$A, "")</f>
        <v>34</v>
      </c>
      <c r="G2368" s="1" t="str">
        <f>TEXT(IF($B2368 = "Retail Item", IF((ROW($A2368) - 4504 - _xlfn.XMATCH($C2368, $C$4506:$C$5005, 0, 1)) &lt;= VLOOKUP($C2368, 'Instrument Table'!$B:$D, 3, FALSE), ROW($A2368) - 4504 - _xlfn.XMATCH($C2368, $C$4506:$C$5005, 0, 1), 0), 0), "00")</f>
        <v>00</v>
      </c>
      <c r="H2368" s="1" t="str">
        <f t="shared" si="217"/>
        <v>012</v>
      </c>
      <c r="I2368" s="1" t="str">
        <f t="shared" si="218"/>
        <v>13400-012</v>
      </c>
      <c r="J2368" s="1" t="str">
        <f t="shared" si="219"/>
        <v>Oboe production item #012</v>
      </c>
      <c r="K2368" s="1" t="str">
        <f>IF(SUM(COUNTIFS(I:I, I2368)) &gt; 1, "DUPLICATE", "UNIQUE")</f>
        <v>UNIQUE</v>
      </c>
      <c r="L2368" s="18">
        <v>1</v>
      </c>
      <c r="M2368" s="28">
        <v>54</v>
      </c>
      <c r="N2368" s="6">
        <v>4</v>
      </c>
      <c r="O2368" s="30">
        <f t="shared" si="220"/>
        <v>54</v>
      </c>
      <c r="P2368" s="30">
        <f t="shared" si="221"/>
        <v>216</v>
      </c>
      <c r="Q2368" s="1">
        <f>COUNTIFS($P:$P, "&gt;" &amp; $P2368) + 1</f>
        <v>4305</v>
      </c>
      <c r="R2368" s="63">
        <f>(COUNTIFS($P:$P, "&gt;" &amp; $P2368) + 1) / (COUNTA($I:$I) - 1)</f>
        <v>0.86099999999999999</v>
      </c>
      <c r="S2368" s="23">
        <f>SUMIFS($P:$P, $Q:$Q, "&lt;" &amp; $Q2368)</f>
        <v>186508546</v>
      </c>
    </row>
    <row r="2369" spans="1:19" x14ac:dyDescent="0.25">
      <c r="A2369" s="1">
        <v>2364</v>
      </c>
      <c r="B2369" s="1" t="s">
        <v>2</v>
      </c>
      <c r="C2369" s="1" t="str">
        <f>IF($B2369 = "Production Item", _xlfn.XLOOKUP($A2369, 'Instrument Table'!$J:$J, 'Instrument Table'!$B:$B, $C2368), IF($B2369 = "Service Item", _xlfn.XLOOKUP($A2369, 'Instrument Table'!$I:$I, 'Instrument Table'!$B:$B, $C2368), _xlfn.XLOOKUP($A2369, 'Instrument Table'!$H:$H, 'Instrument Table'!$B:$B, $C2368)))</f>
        <v>Oboe</v>
      </c>
      <c r="D2369" s="1" t="str">
        <f>VLOOKUP($C2369, 'Instrument Table'!$B:$C, 2, FALSE)</f>
        <v>Woodwinds</v>
      </c>
      <c r="E2369" s="1">
        <f t="shared" si="216"/>
        <v>1</v>
      </c>
      <c r="F2369" s="1">
        <f>_xlfn.XLOOKUP($C2369, 'Instrument Table'!$B:$B, 'Instrument Table'!$A:$A, "")</f>
        <v>34</v>
      </c>
      <c r="G2369" s="1" t="str">
        <f>TEXT(IF($B2369 = "Retail Item", IF((ROW($A2369) - 4504 - _xlfn.XMATCH($C2369, $C$4506:$C$5005, 0, 1)) &lt;= VLOOKUP($C2369, 'Instrument Table'!$B:$D, 3, FALSE), ROW($A2369) - 4504 - _xlfn.XMATCH($C2369, $C$4506:$C$5005, 0, 1), 0), 0), "00")</f>
        <v>00</v>
      </c>
      <c r="H2369" s="1" t="str">
        <f t="shared" si="217"/>
        <v>013</v>
      </c>
      <c r="I2369" s="1" t="str">
        <f t="shared" si="218"/>
        <v>13400-013</v>
      </c>
      <c r="J2369" s="1" t="str">
        <f t="shared" si="219"/>
        <v>Oboe production item #013</v>
      </c>
      <c r="K2369" s="1" t="str">
        <f>IF(SUM(COUNTIFS(I:I, I2369)) &gt; 1, "DUPLICATE", "UNIQUE")</f>
        <v>UNIQUE</v>
      </c>
      <c r="L2369" s="18">
        <v>0</v>
      </c>
      <c r="M2369" s="28">
        <v>62</v>
      </c>
      <c r="N2369" s="6">
        <v>169</v>
      </c>
      <c r="O2369" s="30">
        <f t="shared" si="220"/>
        <v>0</v>
      </c>
      <c r="P2369" s="30">
        <f t="shared" si="221"/>
        <v>10478</v>
      </c>
      <c r="Q2369" s="1">
        <f>COUNTIFS($P:$P, "&gt;" &amp; $P2369) + 1</f>
        <v>1730</v>
      </c>
      <c r="R2369" s="63">
        <f>(COUNTIFS($P:$P, "&gt;" &amp; $P2369) + 1) / (COUNTA($I:$I) - 1)</f>
        <v>0.34599999999999997</v>
      </c>
      <c r="S2369" s="23">
        <f>SUMIFS($P:$P, $Q:$Q, "&lt;" &amp; $Q2369)</f>
        <v>177534117</v>
      </c>
    </row>
    <row r="2370" spans="1:19" x14ac:dyDescent="0.25">
      <c r="A2370" s="1">
        <v>2365</v>
      </c>
      <c r="B2370" s="1" t="s">
        <v>2</v>
      </c>
      <c r="C2370" s="1" t="str">
        <f>IF($B2370 = "Production Item", _xlfn.XLOOKUP($A2370, 'Instrument Table'!$J:$J, 'Instrument Table'!$B:$B, $C2369), IF($B2370 = "Service Item", _xlfn.XLOOKUP($A2370, 'Instrument Table'!$I:$I, 'Instrument Table'!$B:$B, $C2369), _xlfn.XLOOKUP($A2370, 'Instrument Table'!$H:$H, 'Instrument Table'!$B:$B, $C2369)))</f>
        <v>Oboe</v>
      </c>
      <c r="D2370" s="1" t="str">
        <f>VLOOKUP($C2370, 'Instrument Table'!$B:$C, 2, FALSE)</f>
        <v>Woodwinds</v>
      </c>
      <c r="E2370" s="1">
        <f t="shared" si="216"/>
        <v>1</v>
      </c>
      <c r="F2370" s="1">
        <f>_xlfn.XLOOKUP($C2370, 'Instrument Table'!$B:$B, 'Instrument Table'!$A:$A, "")</f>
        <v>34</v>
      </c>
      <c r="G2370" s="1" t="str">
        <f>TEXT(IF($B2370 = "Retail Item", IF((ROW($A2370) - 4504 - _xlfn.XMATCH($C2370, $C$4506:$C$5005, 0, 1)) &lt;= VLOOKUP($C2370, 'Instrument Table'!$B:$D, 3, FALSE), ROW($A2370) - 4504 - _xlfn.XMATCH($C2370, $C$4506:$C$5005, 0, 1), 0), 0), "00")</f>
        <v>00</v>
      </c>
      <c r="H2370" s="1" t="str">
        <f t="shared" si="217"/>
        <v>014</v>
      </c>
      <c r="I2370" s="1" t="str">
        <f t="shared" si="218"/>
        <v>13400-014</v>
      </c>
      <c r="J2370" s="1" t="str">
        <f t="shared" si="219"/>
        <v>Oboe production item #014</v>
      </c>
      <c r="K2370" s="1" t="str">
        <f>IF(SUM(COUNTIFS(I:I, I2370)) &gt; 1, "DUPLICATE", "UNIQUE")</f>
        <v>UNIQUE</v>
      </c>
      <c r="L2370" s="18">
        <v>0</v>
      </c>
      <c r="M2370" s="28">
        <v>31</v>
      </c>
      <c r="N2370" s="6">
        <v>196</v>
      </c>
      <c r="O2370" s="30">
        <f t="shared" si="220"/>
        <v>0</v>
      </c>
      <c r="P2370" s="30">
        <f t="shared" si="221"/>
        <v>6076</v>
      </c>
      <c r="Q2370" s="1">
        <f>COUNTIFS($P:$P, "&gt;" &amp; $P2370) + 1</f>
        <v>2247</v>
      </c>
      <c r="R2370" s="63">
        <f>(COUNTIFS($P:$P, "&gt;" &amp; $P2370) + 1) / (COUNTA($I:$I) - 1)</f>
        <v>0.44940000000000002</v>
      </c>
      <c r="S2370" s="23">
        <f>SUMIFS($P:$P, $Q:$Q, "&lt;" &amp; $Q2370)</f>
        <v>181748890</v>
      </c>
    </row>
    <row r="2371" spans="1:19" x14ac:dyDescent="0.25">
      <c r="A2371" s="1">
        <v>2366</v>
      </c>
      <c r="B2371" s="1" t="s">
        <v>2</v>
      </c>
      <c r="C2371" s="1" t="str">
        <f>IF($B2371 = "Production Item", _xlfn.XLOOKUP($A2371, 'Instrument Table'!$J:$J, 'Instrument Table'!$B:$B, $C2370), IF($B2371 = "Service Item", _xlfn.XLOOKUP($A2371, 'Instrument Table'!$I:$I, 'Instrument Table'!$B:$B, $C2370), _xlfn.XLOOKUP($A2371, 'Instrument Table'!$H:$H, 'Instrument Table'!$B:$B, $C2370)))</f>
        <v>Oboe</v>
      </c>
      <c r="D2371" s="1" t="str">
        <f>VLOOKUP($C2371, 'Instrument Table'!$B:$C, 2, FALSE)</f>
        <v>Woodwinds</v>
      </c>
      <c r="E2371" s="1">
        <f t="shared" si="216"/>
        <v>1</v>
      </c>
      <c r="F2371" s="1">
        <f>_xlfn.XLOOKUP($C2371, 'Instrument Table'!$B:$B, 'Instrument Table'!$A:$A, "")</f>
        <v>34</v>
      </c>
      <c r="G2371" s="1" t="str">
        <f>TEXT(IF($B2371 = "Retail Item", IF((ROW($A2371) - 4504 - _xlfn.XMATCH($C2371, $C$4506:$C$5005, 0, 1)) &lt;= VLOOKUP($C2371, 'Instrument Table'!$B:$D, 3, FALSE), ROW($A2371) - 4504 - _xlfn.XMATCH($C2371, $C$4506:$C$5005, 0, 1), 0), 0), "00")</f>
        <v>00</v>
      </c>
      <c r="H2371" s="1" t="str">
        <f t="shared" si="217"/>
        <v>015</v>
      </c>
      <c r="I2371" s="1" t="str">
        <f t="shared" si="218"/>
        <v>13400-015</v>
      </c>
      <c r="J2371" s="1" t="str">
        <f t="shared" si="219"/>
        <v>Oboe production item #015</v>
      </c>
      <c r="K2371" s="1" t="str">
        <f>IF(SUM(COUNTIFS(I:I, I2371)) &gt; 1, "DUPLICATE", "UNIQUE")</f>
        <v>UNIQUE</v>
      </c>
      <c r="L2371" s="18">
        <v>4</v>
      </c>
      <c r="M2371" s="28">
        <v>56</v>
      </c>
      <c r="N2371" s="6">
        <v>121</v>
      </c>
      <c r="O2371" s="30">
        <f t="shared" si="220"/>
        <v>224</v>
      </c>
      <c r="P2371" s="30">
        <f t="shared" si="221"/>
        <v>6776</v>
      </c>
      <c r="Q2371" s="1">
        <f>COUNTIFS($P:$P, "&gt;" &amp; $P2371) + 1</f>
        <v>2171</v>
      </c>
      <c r="R2371" s="63">
        <f>(COUNTIFS($P:$P, "&gt;" &amp; $P2371) + 1) / (COUNTA($I:$I) - 1)</f>
        <v>0.43419999999999997</v>
      </c>
      <c r="S2371" s="23">
        <f>SUMIFS($P:$P, $Q:$Q, "&lt;" &amp; $Q2371)</f>
        <v>181257492</v>
      </c>
    </row>
    <row r="2372" spans="1:19" x14ac:dyDescent="0.25">
      <c r="A2372" s="1">
        <v>2367</v>
      </c>
      <c r="B2372" s="1" t="s">
        <v>2</v>
      </c>
      <c r="C2372" s="1" t="str">
        <f>IF($B2372 = "Production Item", _xlfn.XLOOKUP($A2372, 'Instrument Table'!$J:$J, 'Instrument Table'!$B:$B, $C2371), IF($B2372 = "Service Item", _xlfn.XLOOKUP($A2372, 'Instrument Table'!$I:$I, 'Instrument Table'!$B:$B, $C2371), _xlfn.XLOOKUP($A2372, 'Instrument Table'!$H:$H, 'Instrument Table'!$B:$B, $C2371)))</f>
        <v>Oboe</v>
      </c>
      <c r="D2372" s="1" t="str">
        <f>VLOOKUP($C2372, 'Instrument Table'!$B:$C, 2, FALSE)</f>
        <v>Woodwinds</v>
      </c>
      <c r="E2372" s="1">
        <f t="shared" si="216"/>
        <v>1</v>
      </c>
      <c r="F2372" s="1">
        <f>_xlfn.XLOOKUP($C2372, 'Instrument Table'!$B:$B, 'Instrument Table'!$A:$A, "")</f>
        <v>34</v>
      </c>
      <c r="G2372" s="1" t="str">
        <f>TEXT(IF($B2372 = "Retail Item", IF((ROW($A2372) - 4504 - _xlfn.XMATCH($C2372, $C$4506:$C$5005, 0, 1)) &lt;= VLOOKUP($C2372, 'Instrument Table'!$B:$D, 3, FALSE), ROW($A2372) - 4504 - _xlfn.XMATCH($C2372, $C$4506:$C$5005, 0, 1), 0), 0), "00")</f>
        <v>00</v>
      </c>
      <c r="H2372" s="1" t="str">
        <f t="shared" si="217"/>
        <v>016</v>
      </c>
      <c r="I2372" s="1" t="str">
        <f t="shared" si="218"/>
        <v>13400-016</v>
      </c>
      <c r="J2372" s="1" t="str">
        <f t="shared" si="219"/>
        <v>Oboe production item #016</v>
      </c>
      <c r="K2372" s="1" t="str">
        <f>IF(SUM(COUNTIFS(I:I, I2372)) &gt; 1, "DUPLICATE", "UNIQUE")</f>
        <v>UNIQUE</v>
      </c>
      <c r="L2372" s="18">
        <v>2</v>
      </c>
      <c r="M2372" s="28">
        <v>87</v>
      </c>
      <c r="N2372" s="6">
        <v>289</v>
      </c>
      <c r="O2372" s="30">
        <f t="shared" si="220"/>
        <v>174</v>
      </c>
      <c r="P2372" s="30">
        <f t="shared" si="221"/>
        <v>25143</v>
      </c>
      <c r="Q2372" s="1">
        <f>COUNTIFS($P:$P, "&gt;" &amp; $P2372) + 1</f>
        <v>822</v>
      </c>
      <c r="R2372" s="63">
        <f>(COUNTIFS($P:$P, "&gt;" &amp; $P2372) + 1) / (COUNTA($I:$I) - 1)</f>
        <v>0.16439999999999999</v>
      </c>
      <c r="S2372" s="23">
        <f>SUMIFS($P:$P, $Q:$Q, "&lt;" &amp; $Q2372)</f>
        <v>162388580</v>
      </c>
    </row>
    <row r="2373" spans="1:19" x14ac:dyDescent="0.25">
      <c r="A2373" s="1">
        <v>2368</v>
      </c>
      <c r="B2373" s="1" t="s">
        <v>2</v>
      </c>
      <c r="C2373" s="1" t="str">
        <f>IF($B2373 = "Production Item", _xlfn.XLOOKUP($A2373, 'Instrument Table'!$J:$J, 'Instrument Table'!$B:$B, $C2372), IF($B2373 = "Service Item", _xlfn.XLOOKUP($A2373, 'Instrument Table'!$I:$I, 'Instrument Table'!$B:$B, $C2372), _xlfn.XLOOKUP($A2373, 'Instrument Table'!$H:$H, 'Instrument Table'!$B:$B, $C2372)))</f>
        <v>Oboe</v>
      </c>
      <c r="D2373" s="1" t="str">
        <f>VLOOKUP($C2373, 'Instrument Table'!$B:$C, 2, FALSE)</f>
        <v>Woodwinds</v>
      </c>
      <c r="E2373" s="1">
        <f t="shared" si="216"/>
        <v>1</v>
      </c>
      <c r="F2373" s="1">
        <f>_xlfn.XLOOKUP($C2373, 'Instrument Table'!$B:$B, 'Instrument Table'!$A:$A, "")</f>
        <v>34</v>
      </c>
      <c r="G2373" s="1" t="str">
        <f>TEXT(IF($B2373 = "Retail Item", IF((ROW($A2373) - 4504 - _xlfn.XMATCH($C2373, $C$4506:$C$5005, 0, 1)) &lt;= VLOOKUP($C2373, 'Instrument Table'!$B:$D, 3, FALSE), ROW($A2373) - 4504 - _xlfn.XMATCH($C2373, $C$4506:$C$5005, 0, 1), 0), 0), "00")</f>
        <v>00</v>
      </c>
      <c r="H2373" s="1" t="str">
        <f t="shared" si="217"/>
        <v>017</v>
      </c>
      <c r="I2373" s="1" t="str">
        <f t="shared" si="218"/>
        <v>13400-017</v>
      </c>
      <c r="J2373" s="1" t="str">
        <f t="shared" si="219"/>
        <v>Oboe production item #017</v>
      </c>
      <c r="K2373" s="1" t="str">
        <f>IF(SUM(COUNTIFS(I:I, I2373)) &gt; 1, "DUPLICATE", "UNIQUE")</f>
        <v>UNIQUE</v>
      </c>
      <c r="L2373" s="18">
        <v>0</v>
      </c>
      <c r="M2373" s="28">
        <v>43</v>
      </c>
      <c r="N2373" s="6">
        <v>196</v>
      </c>
      <c r="O2373" s="30">
        <f t="shared" si="220"/>
        <v>0</v>
      </c>
      <c r="P2373" s="30">
        <f t="shared" si="221"/>
        <v>8428</v>
      </c>
      <c r="Q2373" s="1">
        <f>COUNTIFS($P:$P, "&gt;" &amp; $P2373) + 1</f>
        <v>1933</v>
      </c>
      <c r="R2373" s="63">
        <f>(COUNTIFS($P:$P, "&gt;" &amp; $P2373) + 1) / (COUNTA($I:$I) - 1)</f>
        <v>0.3866</v>
      </c>
      <c r="S2373" s="23">
        <f>SUMIFS($P:$P, $Q:$Q, "&lt;" &amp; $Q2373)</f>
        <v>179448605</v>
      </c>
    </row>
    <row r="2374" spans="1:19" x14ac:dyDescent="0.25">
      <c r="A2374" s="1">
        <v>2369</v>
      </c>
      <c r="B2374" s="1" t="s">
        <v>2</v>
      </c>
      <c r="C2374" s="1" t="str">
        <f>IF($B2374 = "Production Item", _xlfn.XLOOKUP($A2374, 'Instrument Table'!$J:$J, 'Instrument Table'!$B:$B, $C2373), IF($B2374 = "Service Item", _xlfn.XLOOKUP($A2374, 'Instrument Table'!$I:$I, 'Instrument Table'!$B:$B, $C2373), _xlfn.XLOOKUP($A2374, 'Instrument Table'!$H:$H, 'Instrument Table'!$B:$B, $C2373)))</f>
        <v>Oboe</v>
      </c>
      <c r="D2374" s="1" t="str">
        <f>VLOOKUP($C2374, 'Instrument Table'!$B:$C, 2, FALSE)</f>
        <v>Woodwinds</v>
      </c>
      <c r="E2374" s="1">
        <f t="shared" si="216"/>
        <v>1</v>
      </c>
      <c r="F2374" s="1">
        <f>_xlfn.XLOOKUP($C2374, 'Instrument Table'!$B:$B, 'Instrument Table'!$A:$A, "")</f>
        <v>34</v>
      </c>
      <c r="G2374" s="1" t="str">
        <f>TEXT(IF($B2374 = "Retail Item", IF((ROW($A2374) - 4504 - _xlfn.XMATCH($C2374, $C$4506:$C$5005, 0, 1)) &lt;= VLOOKUP($C2374, 'Instrument Table'!$B:$D, 3, FALSE), ROW($A2374) - 4504 - _xlfn.XMATCH($C2374, $C$4506:$C$5005, 0, 1), 0), 0), "00")</f>
        <v>00</v>
      </c>
      <c r="H2374" s="1" t="str">
        <f t="shared" si="217"/>
        <v>018</v>
      </c>
      <c r="I2374" s="1" t="str">
        <f t="shared" si="218"/>
        <v>13400-018</v>
      </c>
      <c r="J2374" s="1" t="str">
        <f t="shared" si="219"/>
        <v>Oboe production item #018</v>
      </c>
      <c r="K2374" s="1" t="str">
        <f>IF(SUM(COUNTIFS(I:I, I2374)) &gt; 1, "DUPLICATE", "UNIQUE")</f>
        <v>UNIQUE</v>
      </c>
      <c r="L2374" s="18">
        <v>0</v>
      </c>
      <c r="M2374" s="28">
        <v>84</v>
      </c>
      <c r="N2374" s="6">
        <v>400</v>
      </c>
      <c r="O2374" s="30">
        <f t="shared" si="220"/>
        <v>0</v>
      </c>
      <c r="P2374" s="30">
        <f t="shared" si="221"/>
        <v>33600</v>
      </c>
      <c r="Q2374" s="1">
        <f>COUNTIFS($P:$P, "&gt;" &amp; $P2374) + 1</f>
        <v>621</v>
      </c>
      <c r="R2374" s="63">
        <f>(COUNTIFS($P:$P, "&gt;" &amp; $P2374) + 1) / (COUNTA($I:$I) - 1)</f>
        <v>0.1242</v>
      </c>
      <c r="S2374" s="23">
        <f>SUMIFS($P:$P, $Q:$Q, "&lt;" &amp; $Q2374)</f>
        <v>156596921</v>
      </c>
    </row>
    <row r="2375" spans="1:19" x14ac:dyDescent="0.25">
      <c r="A2375" s="1">
        <v>2370</v>
      </c>
      <c r="B2375" s="1" t="s">
        <v>2</v>
      </c>
      <c r="C2375" s="1" t="str">
        <f>IF($B2375 = "Production Item", _xlfn.XLOOKUP($A2375, 'Instrument Table'!$J:$J, 'Instrument Table'!$B:$B, $C2374), IF($B2375 = "Service Item", _xlfn.XLOOKUP($A2375, 'Instrument Table'!$I:$I, 'Instrument Table'!$B:$B, $C2374), _xlfn.XLOOKUP($A2375, 'Instrument Table'!$H:$H, 'Instrument Table'!$B:$B, $C2374)))</f>
        <v>Oboe</v>
      </c>
      <c r="D2375" s="1" t="str">
        <f>VLOOKUP($C2375, 'Instrument Table'!$B:$C, 2, FALSE)</f>
        <v>Woodwinds</v>
      </c>
      <c r="E2375" s="1">
        <f t="shared" ref="E2375:E2438" si="222">IF($B2375 = "Production Item", 1, IF($B2375 = "Service Item", 2, IF($B2375 = "Retail Item", 3, "")))</f>
        <v>1</v>
      </c>
      <c r="F2375" s="1">
        <f>_xlfn.XLOOKUP($C2375, 'Instrument Table'!$B:$B, 'Instrument Table'!$A:$A, "")</f>
        <v>34</v>
      </c>
      <c r="G2375" s="1" t="str">
        <f>TEXT(IF($B2375 = "Retail Item", IF((ROW($A2375) - 4504 - _xlfn.XMATCH($C2375, $C$4506:$C$5005, 0, 1)) &lt;= VLOOKUP($C2375, 'Instrument Table'!$B:$D, 3, FALSE), ROW($A2375) - 4504 - _xlfn.XMATCH($C2375, $C$4506:$C$5005, 0, 1), 0), 0), "00")</f>
        <v>00</v>
      </c>
      <c r="H2375" s="1" t="str">
        <f t="shared" ref="H2375:H2438" si="223">TEXT(IF($E2375 &amp; $F2375 &amp; $G2375 = $E2374 &amp; $F2374 &amp; $G2374, 1 + H2374, 0), "000")</f>
        <v>019</v>
      </c>
      <c r="I2375" s="1" t="str">
        <f t="shared" ref="I2375:I2438" si="224" xml:space="preserve"> _xlfn.CONCAT($E2375, $F2375, $G2375, "-", H2375)</f>
        <v>13400-019</v>
      </c>
      <c r="J2375" s="1" t="str">
        <f t="shared" ref="J2375:J2438" si="225">LEFT($C2375, 1) &amp; LOWER(RIGHT($C2375, LEN($C2375) - 1)) &amp; IF(AND($G2375 &lt;&gt; "00", $B2375 = "Retail Item"), " model #" &amp; $G2375, " " &amp; LOWER($B2375) &amp; " #" &amp; $H2375)</f>
        <v>Oboe production item #019</v>
      </c>
      <c r="K2375" s="1" t="str">
        <f>IF(SUM(COUNTIFS(I:I, I2375)) &gt; 1, "DUPLICATE", "UNIQUE")</f>
        <v>UNIQUE</v>
      </c>
      <c r="L2375" s="18">
        <v>0</v>
      </c>
      <c r="M2375" s="28">
        <v>15</v>
      </c>
      <c r="N2375" s="6">
        <v>81</v>
      </c>
      <c r="O2375" s="30">
        <f t="shared" ref="O2375:O2438" si="226">$L2375 * $M2375</f>
        <v>0</v>
      </c>
      <c r="P2375" s="30">
        <f t="shared" ref="P2375:P2438" si="227">$N2375 * $M2375</f>
        <v>1215</v>
      </c>
      <c r="Q2375" s="1">
        <f>COUNTIFS($P:$P, "&gt;" &amp; $P2375) + 1</f>
        <v>3600</v>
      </c>
      <c r="R2375" s="63">
        <f>(COUNTIFS($P:$P, "&gt;" &amp; $P2375) + 1) / (COUNTA($I:$I) - 1)</f>
        <v>0.72</v>
      </c>
      <c r="S2375" s="23">
        <f>SUMIFS($P:$P, $Q:$Q, "&lt;" &amp; $Q2375)</f>
        <v>186069743</v>
      </c>
    </row>
    <row r="2376" spans="1:19" x14ac:dyDescent="0.25">
      <c r="A2376" s="1">
        <v>2371</v>
      </c>
      <c r="B2376" s="1" t="s">
        <v>2</v>
      </c>
      <c r="C2376" s="1" t="str">
        <f>IF($B2376 = "Production Item", _xlfn.XLOOKUP($A2376, 'Instrument Table'!$J:$J, 'Instrument Table'!$B:$B, $C2375), IF($B2376 = "Service Item", _xlfn.XLOOKUP($A2376, 'Instrument Table'!$I:$I, 'Instrument Table'!$B:$B, $C2375), _xlfn.XLOOKUP($A2376, 'Instrument Table'!$H:$H, 'Instrument Table'!$B:$B, $C2375)))</f>
        <v>Oboe</v>
      </c>
      <c r="D2376" s="1" t="str">
        <f>VLOOKUP($C2376, 'Instrument Table'!$B:$C, 2, FALSE)</f>
        <v>Woodwinds</v>
      </c>
      <c r="E2376" s="1">
        <f t="shared" si="222"/>
        <v>1</v>
      </c>
      <c r="F2376" s="1">
        <f>_xlfn.XLOOKUP($C2376, 'Instrument Table'!$B:$B, 'Instrument Table'!$A:$A, "")</f>
        <v>34</v>
      </c>
      <c r="G2376" s="1" t="str">
        <f>TEXT(IF($B2376 = "Retail Item", IF((ROW($A2376) - 4504 - _xlfn.XMATCH($C2376, $C$4506:$C$5005, 0, 1)) &lt;= VLOOKUP($C2376, 'Instrument Table'!$B:$D, 3, FALSE), ROW($A2376) - 4504 - _xlfn.XMATCH($C2376, $C$4506:$C$5005, 0, 1), 0), 0), "00")</f>
        <v>00</v>
      </c>
      <c r="H2376" s="1" t="str">
        <f t="shared" si="223"/>
        <v>020</v>
      </c>
      <c r="I2376" s="1" t="str">
        <f t="shared" si="224"/>
        <v>13400-020</v>
      </c>
      <c r="J2376" s="1" t="str">
        <f t="shared" si="225"/>
        <v>Oboe production item #020</v>
      </c>
      <c r="K2376" s="1" t="str">
        <f>IF(SUM(COUNTIFS(I:I, I2376)) &gt; 1, "DUPLICATE", "UNIQUE")</f>
        <v>UNIQUE</v>
      </c>
      <c r="L2376" s="18">
        <v>1</v>
      </c>
      <c r="M2376" s="28">
        <v>96</v>
      </c>
      <c r="N2376" s="6">
        <v>169</v>
      </c>
      <c r="O2376" s="30">
        <f t="shared" si="226"/>
        <v>96</v>
      </c>
      <c r="P2376" s="30">
        <f t="shared" si="227"/>
        <v>16224</v>
      </c>
      <c r="Q2376" s="1">
        <f>COUNTIFS($P:$P, "&gt;" &amp; $P2376) + 1</f>
        <v>1262</v>
      </c>
      <c r="R2376" s="63">
        <f>(COUNTIFS($P:$P, "&gt;" &amp; $P2376) + 1) / (COUNTA($I:$I) - 1)</f>
        <v>0.25240000000000001</v>
      </c>
      <c r="S2376" s="23">
        <f>SUMIFS($P:$P, $Q:$Q, "&lt;" &amp; $Q2376)</f>
        <v>171365642</v>
      </c>
    </row>
    <row r="2377" spans="1:19" x14ac:dyDescent="0.25">
      <c r="A2377" s="1">
        <v>2372</v>
      </c>
      <c r="B2377" s="1" t="s">
        <v>2</v>
      </c>
      <c r="C2377" s="1" t="str">
        <f>IF($B2377 = "Production Item", _xlfn.XLOOKUP($A2377, 'Instrument Table'!$J:$J, 'Instrument Table'!$B:$B, $C2376), IF($B2377 = "Service Item", _xlfn.XLOOKUP($A2377, 'Instrument Table'!$I:$I, 'Instrument Table'!$B:$B, $C2376), _xlfn.XLOOKUP($A2377, 'Instrument Table'!$H:$H, 'Instrument Table'!$B:$B, $C2376)))</f>
        <v>Oboe</v>
      </c>
      <c r="D2377" s="1" t="str">
        <f>VLOOKUP($C2377, 'Instrument Table'!$B:$C, 2, FALSE)</f>
        <v>Woodwinds</v>
      </c>
      <c r="E2377" s="1">
        <f t="shared" si="222"/>
        <v>1</v>
      </c>
      <c r="F2377" s="1">
        <f>_xlfn.XLOOKUP($C2377, 'Instrument Table'!$B:$B, 'Instrument Table'!$A:$A, "")</f>
        <v>34</v>
      </c>
      <c r="G2377" s="1" t="str">
        <f>TEXT(IF($B2377 = "Retail Item", IF((ROW($A2377) - 4504 - _xlfn.XMATCH($C2377, $C$4506:$C$5005, 0, 1)) &lt;= VLOOKUP($C2377, 'Instrument Table'!$B:$D, 3, FALSE), ROW($A2377) - 4504 - _xlfn.XMATCH($C2377, $C$4506:$C$5005, 0, 1), 0), 0), "00")</f>
        <v>00</v>
      </c>
      <c r="H2377" s="1" t="str">
        <f t="shared" si="223"/>
        <v>021</v>
      </c>
      <c r="I2377" s="1" t="str">
        <f t="shared" si="224"/>
        <v>13400-021</v>
      </c>
      <c r="J2377" s="1" t="str">
        <f t="shared" si="225"/>
        <v>Oboe production item #021</v>
      </c>
      <c r="K2377" s="1" t="str">
        <f>IF(SUM(COUNTIFS(I:I, I2377)) &gt; 1, "DUPLICATE", "UNIQUE")</f>
        <v>UNIQUE</v>
      </c>
      <c r="L2377" s="18">
        <v>0</v>
      </c>
      <c r="M2377" s="28">
        <v>11</v>
      </c>
      <c r="N2377" s="6">
        <v>1</v>
      </c>
      <c r="O2377" s="30">
        <f t="shared" si="226"/>
        <v>0</v>
      </c>
      <c r="P2377" s="30">
        <f t="shared" si="227"/>
        <v>11</v>
      </c>
      <c r="Q2377" s="1">
        <f>COUNTIFS($P:$P, "&gt;" &amp; $P2377) + 1</f>
        <v>4717</v>
      </c>
      <c r="R2377" s="63">
        <f>(COUNTIFS($P:$P, "&gt;" &amp; $P2377) + 1) / (COUNTA($I:$I) - 1)</f>
        <v>0.94340000000000002</v>
      </c>
      <c r="S2377" s="23">
        <f>SUMIFS($P:$P, $Q:$Q, "&lt;" &amp; $Q2377)</f>
        <v>186547660</v>
      </c>
    </row>
    <row r="2378" spans="1:19" x14ac:dyDescent="0.25">
      <c r="A2378" s="1">
        <v>2373</v>
      </c>
      <c r="B2378" s="1" t="s">
        <v>2</v>
      </c>
      <c r="C2378" s="1" t="str">
        <f>IF($B2378 = "Production Item", _xlfn.XLOOKUP($A2378, 'Instrument Table'!$J:$J, 'Instrument Table'!$B:$B, $C2377), IF($B2378 = "Service Item", _xlfn.XLOOKUP($A2378, 'Instrument Table'!$I:$I, 'Instrument Table'!$B:$B, $C2377), _xlfn.XLOOKUP($A2378, 'Instrument Table'!$H:$H, 'Instrument Table'!$B:$B, $C2377)))</f>
        <v>Oboe</v>
      </c>
      <c r="D2378" s="1" t="str">
        <f>VLOOKUP($C2378, 'Instrument Table'!$B:$C, 2, FALSE)</f>
        <v>Woodwinds</v>
      </c>
      <c r="E2378" s="1">
        <f t="shared" si="222"/>
        <v>1</v>
      </c>
      <c r="F2378" s="1">
        <f>_xlfn.XLOOKUP($C2378, 'Instrument Table'!$B:$B, 'Instrument Table'!$A:$A, "")</f>
        <v>34</v>
      </c>
      <c r="G2378" s="1" t="str">
        <f>TEXT(IF($B2378 = "Retail Item", IF((ROW($A2378) - 4504 - _xlfn.XMATCH($C2378, $C$4506:$C$5005, 0, 1)) &lt;= VLOOKUP($C2378, 'Instrument Table'!$B:$D, 3, FALSE), ROW($A2378) - 4504 - _xlfn.XMATCH($C2378, $C$4506:$C$5005, 0, 1), 0), 0), "00")</f>
        <v>00</v>
      </c>
      <c r="H2378" s="1" t="str">
        <f t="shared" si="223"/>
        <v>022</v>
      </c>
      <c r="I2378" s="1" t="str">
        <f t="shared" si="224"/>
        <v>13400-022</v>
      </c>
      <c r="J2378" s="1" t="str">
        <f t="shared" si="225"/>
        <v>Oboe production item #022</v>
      </c>
      <c r="K2378" s="1" t="str">
        <f>IF(SUM(COUNTIFS(I:I, I2378)) &gt; 1, "DUPLICATE", "UNIQUE")</f>
        <v>UNIQUE</v>
      </c>
      <c r="L2378" s="18">
        <v>0</v>
      </c>
      <c r="M2378" s="28">
        <v>63</v>
      </c>
      <c r="N2378" s="6">
        <v>16</v>
      </c>
      <c r="O2378" s="30">
        <f t="shared" si="226"/>
        <v>0</v>
      </c>
      <c r="P2378" s="30">
        <f t="shared" si="227"/>
        <v>1008</v>
      </c>
      <c r="Q2378" s="1">
        <f>COUNTIFS($P:$P, "&gt;" &amp; $P2378) + 1</f>
        <v>3673</v>
      </c>
      <c r="R2378" s="63">
        <f>(COUNTIFS($P:$P, "&gt;" &amp; $P2378) + 1) / (COUNTA($I:$I) - 1)</f>
        <v>0.73460000000000003</v>
      </c>
      <c r="S2378" s="23">
        <f>SUMIFS($P:$P, $Q:$Q, "&lt;" &amp; $Q2378)</f>
        <v>186152095</v>
      </c>
    </row>
    <row r="2379" spans="1:19" x14ac:dyDescent="0.25">
      <c r="A2379" s="1">
        <v>2374</v>
      </c>
      <c r="B2379" s="1" t="s">
        <v>2</v>
      </c>
      <c r="C2379" s="1" t="str">
        <f>IF($B2379 = "Production Item", _xlfn.XLOOKUP($A2379, 'Instrument Table'!$J:$J, 'Instrument Table'!$B:$B, $C2378), IF($B2379 = "Service Item", _xlfn.XLOOKUP($A2379, 'Instrument Table'!$I:$I, 'Instrument Table'!$B:$B, $C2378), _xlfn.XLOOKUP($A2379, 'Instrument Table'!$H:$H, 'Instrument Table'!$B:$B, $C2378)))</f>
        <v>Oboe</v>
      </c>
      <c r="D2379" s="1" t="str">
        <f>VLOOKUP($C2379, 'Instrument Table'!$B:$C, 2, FALSE)</f>
        <v>Woodwinds</v>
      </c>
      <c r="E2379" s="1">
        <f t="shared" si="222"/>
        <v>1</v>
      </c>
      <c r="F2379" s="1">
        <f>_xlfn.XLOOKUP($C2379, 'Instrument Table'!$B:$B, 'Instrument Table'!$A:$A, "")</f>
        <v>34</v>
      </c>
      <c r="G2379" s="1" t="str">
        <f>TEXT(IF($B2379 = "Retail Item", IF((ROW($A2379) - 4504 - _xlfn.XMATCH($C2379, $C$4506:$C$5005, 0, 1)) &lt;= VLOOKUP($C2379, 'Instrument Table'!$B:$D, 3, FALSE), ROW($A2379) - 4504 - _xlfn.XMATCH($C2379, $C$4506:$C$5005, 0, 1), 0), 0), "00")</f>
        <v>00</v>
      </c>
      <c r="H2379" s="1" t="str">
        <f t="shared" si="223"/>
        <v>023</v>
      </c>
      <c r="I2379" s="1" t="str">
        <f t="shared" si="224"/>
        <v>13400-023</v>
      </c>
      <c r="J2379" s="1" t="str">
        <f t="shared" si="225"/>
        <v>Oboe production item #023</v>
      </c>
      <c r="K2379" s="1" t="str">
        <f>IF(SUM(COUNTIFS(I:I, I2379)) &gt; 1, "DUPLICATE", "UNIQUE")</f>
        <v>UNIQUE</v>
      </c>
      <c r="L2379" s="18">
        <v>16</v>
      </c>
      <c r="M2379" s="28">
        <v>44</v>
      </c>
      <c r="N2379" s="6">
        <v>400</v>
      </c>
      <c r="O2379" s="30">
        <f t="shared" si="226"/>
        <v>704</v>
      </c>
      <c r="P2379" s="30">
        <f t="shared" si="227"/>
        <v>17600</v>
      </c>
      <c r="Q2379" s="1">
        <f>COUNTIFS($P:$P, "&gt;" &amp; $P2379) + 1</f>
        <v>1182</v>
      </c>
      <c r="R2379" s="63">
        <f>(COUNTIFS($P:$P, "&gt;" &amp; $P2379) + 1) / (COUNTA($I:$I) - 1)</f>
        <v>0.2364</v>
      </c>
      <c r="S2379" s="23">
        <f>SUMIFS($P:$P, $Q:$Q, "&lt;" &amp; $Q2379)</f>
        <v>170011245</v>
      </c>
    </row>
    <row r="2380" spans="1:19" x14ac:dyDescent="0.25">
      <c r="A2380" s="1">
        <v>2375</v>
      </c>
      <c r="B2380" s="1" t="s">
        <v>2</v>
      </c>
      <c r="C2380" s="1" t="str">
        <f>IF($B2380 = "Production Item", _xlfn.XLOOKUP($A2380, 'Instrument Table'!$J:$J, 'Instrument Table'!$B:$B, $C2379), IF($B2380 = "Service Item", _xlfn.XLOOKUP($A2380, 'Instrument Table'!$I:$I, 'Instrument Table'!$B:$B, $C2379), _xlfn.XLOOKUP($A2380, 'Instrument Table'!$H:$H, 'Instrument Table'!$B:$B, $C2379)))</f>
        <v>Oboe</v>
      </c>
      <c r="D2380" s="1" t="str">
        <f>VLOOKUP($C2380, 'Instrument Table'!$B:$C, 2, FALSE)</f>
        <v>Woodwinds</v>
      </c>
      <c r="E2380" s="1">
        <f t="shared" si="222"/>
        <v>1</v>
      </c>
      <c r="F2380" s="1">
        <f>_xlfn.XLOOKUP($C2380, 'Instrument Table'!$B:$B, 'Instrument Table'!$A:$A, "")</f>
        <v>34</v>
      </c>
      <c r="G2380" s="1" t="str">
        <f>TEXT(IF($B2380 = "Retail Item", IF((ROW($A2380) - 4504 - _xlfn.XMATCH($C2380, $C$4506:$C$5005, 0, 1)) &lt;= VLOOKUP($C2380, 'Instrument Table'!$B:$D, 3, FALSE), ROW($A2380) - 4504 - _xlfn.XMATCH($C2380, $C$4506:$C$5005, 0, 1), 0), 0), "00")</f>
        <v>00</v>
      </c>
      <c r="H2380" s="1" t="str">
        <f t="shared" si="223"/>
        <v>024</v>
      </c>
      <c r="I2380" s="1" t="str">
        <f t="shared" si="224"/>
        <v>13400-024</v>
      </c>
      <c r="J2380" s="1" t="str">
        <f t="shared" si="225"/>
        <v>Oboe production item #024</v>
      </c>
      <c r="K2380" s="1" t="str">
        <f>IF(SUM(COUNTIFS(I:I, I2380)) &gt; 1, "DUPLICATE", "UNIQUE")</f>
        <v>UNIQUE</v>
      </c>
      <c r="L2380" s="18">
        <v>1</v>
      </c>
      <c r="M2380" s="28">
        <v>84</v>
      </c>
      <c r="N2380" s="6">
        <v>1</v>
      </c>
      <c r="O2380" s="30">
        <f t="shared" si="226"/>
        <v>84</v>
      </c>
      <c r="P2380" s="30">
        <f t="shared" si="227"/>
        <v>84</v>
      </c>
      <c r="Q2380" s="1">
        <f>COUNTIFS($P:$P, "&gt;" &amp; $P2380) + 1</f>
        <v>4496</v>
      </c>
      <c r="R2380" s="63">
        <f>(COUNTIFS($P:$P, "&gt;" &amp; $P2380) + 1) / (COUNTA($I:$I) - 1)</f>
        <v>0.8992</v>
      </c>
      <c r="S2380" s="23">
        <f>SUMIFS($P:$P, $Q:$Q, "&lt;" &amp; $Q2380)</f>
        <v>186536523</v>
      </c>
    </row>
    <row r="2381" spans="1:19" x14ac:dyDescent="0.25">
      <c r="A2381" s="1">
        <v>2376</v>
      </c>
      <c r="B2381" s="1" t="s">
        <v>2</v>
      </c>
      <c r="C2381" s="1" t="str">
        <f>IF($B2381 = "Production Item", _xlfn.XLOOKUP($A2381, 'Instrument Table'!$J:$J, 'Instrument Table'!$B:$B, $C2380), IF($B2381 = "Service Item", _xlfn.XLOOKUP($A2381, 'Instrument Table'!$I:$I, 'Instrument Table'!$B:$B, $C2380), _xlfn.XLOOKUP($A2381, 'Instrument Table'!$H:$H, 'Instrument Table'!$B:$B, $C2380)))</f>
        <v>Oboe</v>
      </c>
      <c r="D2381" s="1" t="str">
        <f>VLOOKUP($C2381, 'Instrument Table'!$B:$C, 2, FALSE)</f>
        <v>Woodwinds</v>
      </c>
      <c r="E2381" s="1">
        <f t="shared" si="222"/>
        <v>1</v>
      </c>
      <c r="F2381" s="1">
        <f>_xlfn.XLOOKUP($C2381, 'Instrument Table'!$B:$B, 'Instrument Table'!$A:$A, "")</f>
        <v>34</v>
      </c>
      <c r="G2381" s="1" t="str">
        <f>TEXT(IF($B2381 = "Retail Item", IF((ROW($A2381) - 4504 - _xlfn.XMATCH($C2381, $C$4506:$C$5005, 0, 1)) &lt;= VLOOKUP($C2381, 'Instrument Table'!$B:$D, 3, FALSE), ROW($A2381) - 4504 - _xlfn.XMATCH($C2381, $C$4506:$C$5005, 0, 1), 0), 0), "00")</f>
        <v>00</v>
      </c>
      <c r="H2381" s="1" t="str">
        <f t="shared" si="223"/>
        <v>025</v>
      </c>
      <c r="I2381" s="1" t="str">
        <f t="shared" si="224"/>
        <v>13400-025</v>
      </c>
      <c r="J2381" s="1" t="str">
        <f t="shared" si="225"/>
        <v>Oboe production item #025</v>
      </c>
      <c r="K2381" s="1" t="str">
        <f>IF(SUM(COUNTIFS(I:I, I2381)) &gt; 1, "DUPLICATE", "UNIQUE")</f>
        <v>UNIQUE</v>
      </c>
      <c r="L2381" s="18">
        <v>1</v>
      </c>
      <c r="M2381" s="28">
        <v>13</v>
      </c>
      <c r="N2381" s="6">
        <v>196</v>
      </c>
      <c r="O2381" s="30">
        <f t="shared" si="226"/>
        <v>13</v>
      </c>
      <c r="P2381" s="30">
        <f t="shared" si="227"/>
        <v>2548</v>
      </c>
      <c r="Q2381" s="1">
        <f>COUNTIFS($P:$P, "&gt;" &amp; $P2381) + 1</f>
        <v>3033</v>
      </c>
      <c r="R2381" s="63">
        <f>(COUNTIFS($P:$P, "&gt;" &amp; $P2381) + 1) / (COUNTA($I:$I) - 1)</f>
        <v>0.60660000000000003</v>
      </c>
      <c r="S2381" s="23">
        <f>SUMIFS($P:$P, $Q:$Q, "&lt;" &amp; $Q2381)</f>
        <v>185017602</v>
      </c>
    </row>
    <row r="2382" spans="1:19" x14ac:dyDescent="0.25">
      <c r="A2382" s="1">
        <v>2377</v>
      </c>
      <c r="B2382" s="1" t="s">
        <v>2</v>
      </c>
      <c r="C2382" s="1" t="str">
        <f>IF($B2382 = "Production Item", _xlfn.XLOOKUP($A2382, 'Instrument Table'!$J:$J, 'Instrument Table'!$B:$B, $C2381), IF($B2382 = "Service Item", _xlfn.XLOOKUP($A2382, 'Instrument Table'!$I:$I, 'Instrument Table'!$B:$B, $C2381), _xlfn.XLOOKUP($A2382, 'Instrument Table'!$H:$H, 'Instrument Table'!$B:$B, $C2381)))</f>
        <v>Oboe</v>
      </c>
      <c r="D2382" s="1" t="str">
        <f>VLOOKUP($C2382, 'Instrument Table'!$B:$C, 2, FALSE)</f>
        <v>Woodwinds</v>
      </c>
      <c r="E2382" s="1">
        <f t="shared" si="222"/>
        <v>1</v>
      </c>
      <c r="F2382" s="1">
        <f>_xlfn.XLOOKUP($C2382, 'Instrument Table'!$B:$B, 'Instrument Table'!$A:$A, "")</f>
        <v>34</v>
      </c>
      <c r="G2382" s="1" t="str">
        <f>TEXT(IF($B2382 = "Retail Item", IF((ROW($A2382) - 4504 - _xlfn.XMATCH($C2382, $C$4506:$C$5005, 0, 1)) &lt;= VLOOKUP($C2382, 'Instrument Table'!$B:$D, 3, FALSE), ROW($A2382) - 4504 - _xlfn.XMATCH($C2382, $C$4506:$C$5005, 0, 1), 0), 0), "00")</f>
        <v>00</v>
      </c>
      <c r="H2382" s="1" t="str">
        <f t="shared" si="223"/>
        <v>026</v>
      </c>
      <c r="I2382" s="1" t="str">
        <f t="shared" si="224"/>
        <v>13400-026</v>
      </c>
      <c r="J2382" s="1" t="str">
        <f t="shared" si="225"/>
        <v>Oboe production item #026</v>
      </c>
      <c r="K2382" s="1" t="str">
        <f>IF(SUM(COUNTIFS(I:I, I2382)) &gt; 1, "DUPLICATE", "UNIQUE")</f>
        <v>UNIQUE</v>
      </c>
      <c r="L2382" s="18">
        <v>2</v>
      </c>
      <c r="M2382" s="28">
        <v>53</v>
      </c>
      <c r="N2382" s="6">
        <v>256</v>
      </c>
      <c r="O2382" s="30">
        <f t="shared" si="226"/>
        <v>106</v>
      </c>
      <c r="P2382" s="30">
        <f t="shared" si="227"/>
        <v>13568</v>
      </c>
      <c r="Q2382" s="1">
        <f>COUNTIFS($P:$P, "&gt;" &amp; $P2382) + 1</f>
        <v>1454</v>
      </c>
      <c r="R2382" s="63">
        <f>(COUNTIFS($P:$P, "&gt;" &amp; $P2382) + 1) / (COUNTA($I:$I) - 1)</f>
        <v>0.2908</v>
      </c>
      <c r="S2382" s="23">
        <f>SUMIFS($P:$P, $Q:$Q, "&lt;" &amp; $Q2382)</f>
        <v>174227505</v>
      </c>
    </row>
    <row r="2383" spans="1:19" x14ac:dyDescent="0.25">
      <c r="A2383" s="1">
        <v>2378</v>
      </c>
      <c r="B2383" s="1" t="s">
        <v>2</v>
      </c>
      <c r="C2383" s="1" t="str">
        <f>IF($B2383 = "Production Item", _xlfn.XLOOKUP($A2383, 'Instrument Table'!$J:$J, 'Instrument Table'!$B:$B, $C2382), IF($B2383 = "Service Item", _xlfn.XLOOKUP($A2383, 'Instrument Table'!$I:$I, 'Instrument Table'!$B:$B, $C2382), _xlfn.XLOOKUP($A2383, 'Instrument Table'!$H:$H, 'Instrument Table'!$B:$B, $C2382)))</f>
        <v>Oboe</v>
      </c>
      <c r="D2383" s="1" t="str">
        <f>VLOOKUP($C2383, 'Instrument Table'!$B:$C, 2, FALSE)</f>
        <v>Woodwinds</v>
      </c>
      <c r="E2383" s="1">
        <f t="shared" si="222"/>
        <v>1</v>
      </c>
      <c r="F2383" s="1">
        <f>_xlfn.XLOOKUP($C2383, 'Instrument Table'!$B:$B, 'Instrument Table'!$A:$A, "")</f>
        <v>34</v>
      </c>
      <c r="G2383" s="1" t="str">
        <f>TEXT(IF($B2383 = "Retail Item", IF((ROW($A2383) - 4504 - _xlfn.XMATCH($C2383, $C$4506:$C$5005, 0, 1)) &lt;= VLOOKUP($C2383, 'Instrument Table'!$B:$D, 3, FALSE), ROW($A2383) - 4504 - _xlfn.XMATCH($C2383, $C$4506:$C$5005, 0, 1), 0), 0), "00")</f>
        <v>00</v>
      </c>
      <c r="H2383" s="1" t="str">
        <f t="shared" si="223"/>
        <v>027</v>
      </c>
      <c r="I2383" s="1" t="str">
        <f t="shared" si="224"/>
        <v>13400-027</v>
      </c>
      <c r="J2383" s="1" t="str">
        <f t="shared" si="225"/>
        <v>Oboe production item #027</v>
      </c>
      <c r="K2383" s="1" t="str">
        <f>IF(SUM(COUNTIFS(I:I, I2383)) &gt; 1, "DUPLICATE", "UNIQUE")</f>
        <v>UNIQUE</v>
      </c>
      <c r="L2383" s="18">
        <v>0</v>
      </c>
      <c r="M2383" s="28">
        <v>91</v>
      </c>
      <c r="N2383" s="6">
        <v>64</v>
      </c>
      <c r="O2383" s="30">
        <f t="shared" si="226"/>
        <v>0</v>
      </c>
      <c r="P2383" s="30">
        <f t="shared" si="227"/>
        <v>5824</v>
      </c>
      <c r="Q2383" s="1">
        <f>COUNTIFS($P:$P, "&gt;" &amp; $P2383) + 1</f>
        <v>2293</v>
      </c>
      <c r="R2383" s="63">
        <f>(COUNTIFS($P:$P, "&gt;" &amp; $P2383) + 1) / (COUNTA($I:$I) - 1)</f>
        <v>0.45860000000000001</v>
      </c>
      <c r="S2383" s="23">
        <f>SUMIFS($P:$P, $Q:$Q, "&lt;" &amp; $Q2383)</f>
        <v>182023514</v>
      </c>
    </row>
    <row r="2384" spans="1:19" x14ac:dyDescent="0.25">
      <c r="A2384" s="1">
        <v>2379</v>
      </c>
      <c r="B2384" s="1" t="s">
        <v>2</v>
      </c>
      <c r="C2384" s="1" t="str">
        <f>IF($B2384 = "Production Item", _xlfn.XLOOKUP($A2384, 'Instrument Table'!$J:$J, 'Instrument Table'!$B:$B, $C2383), IF($B2384 = "Service Item", _xlfn.XLOOKUP($A2384, 'Instrument Table'!$I:$I, 'Instrument Table'!$B:$B, $C2383), _xlfn.XLOOKUP($A2384, 'Instrument Table'!$H:$H, 'Instrument Table'!$B:$B, $C2383)))</f>
        <v>Oboe</v>
      </c>
      <c r="D2384" s="1" t="str">
        <f>VLOOKUP($C2384, 'Instrument Table'!$B:$C, 2, FALSE)</f>
        <v>Woodwinds</v>
      </c>
      <c r="E2384" s="1">
        <f t="shared" si="222"/>
        <v>1</v>
      </c>
      <c r="F2384" s="1">
        <f>_xlfn.XLOOKUP($C2384, 'Instrument Table'!$B:$B, 'Instrument Table'!$A:$A, "")</f>
        <v>34</v>
      </c>
      <c r="G2384" s="1" t="str">
        <f>TEXT(IF($B2384 = "Retail Item", IF((ROW($A2384) - 4504 - _xlfn.XMATCH($C2384, $C$4506:$C$5005, 0, 1)) &lt;= VLOOKUP($C2384, 'Instrument Table'!$B:$D, 3, FALSE), ROW($A2384) - 4504 - _xlfn.XMATCH($C2384, $C$4506:$C$5005, 0, 1), 0), 0), "00")</f>
        <v>00</v>
      </c>
      <c r="H2384" s="1" t="str">
        <f t="shared" si="223"/>
        <v>028</v>
      </c>
      <c r="I2384" s="1" t="str">
        <f t="shared" si="224"/>
        <v>13400-028</v>
      </c>
      <c r="J2384" s="1" t="str">
        <f t="shared" si="225"/>
        <v>Oboe production item #028</v>
      </c>
      <c r="K2384" s="1" t="str">
        <f>IF(SUM(COUNTIFS(I:I, I2384)) &gt; 1, "DUPLICATE", "UNIQUE")</f>
        <v>UNIQUE</v>
      </c>
      <c r="L2384" s="18">
        <v>0</v>
      </c>
      <c r="M2384" s="28">
        <v>66</v>
      </c>
      <c r="N2384" s="6">
        <v>49</v>
      </c>
      <c r="O2384" s="30">
        <f t="shared" si="226"/>
        <v>0</v>
      </c>
      <c r="P2384" s="30">
        <f t="shared" si="227"/>
        <v>3234</v>
      </c>
      <c r="Q2384" s="1">
        <f>COUNTIFS($P:$P, "&gt;" &amp; $P2384) + 1</f>
        <v>2847</v>
      </c>
      <c r="R2384" s="63">
        <f>(COUNTIFS($P:$P, "&gt;" &amp; $P2384) + 1) / (COUNTA($I:$I) - 1)</f>
        <v>0.56940000000000002</v>
      </c>
      <c r="S2384" s="23">
        <f>SUMIFS($P:$P, $Q:$Q, "&lt;" &amp; $Q2384)</f>
        <v>184482110</v>
      </c>
    </row>
    <row r="2385" spans="1:19" x14ac:dyDescent="0.25">
      <c r="A2385" s="1">
        <v>2380</v>
      </c>
      <c r="B2385" s="1" t="s">
        <v>2</v>
      </c>
      <c r="C2385" s="1" t="str">
        <f>IF($B2385 = "Production Item", _xlfn.XLOOKUP($A2385, 'Instrument Table'!$J:$J, 'Instrument Table'!$B:$B, $C2384), IF($B2385 = "Service Item", _xlfn.XLOOKUP($A2385, 'Instrument Table'!$I:$I, 'Instrument Table'!$B:$B, $C2384), _xlfn.XLOOKUP($A2385, 'Instrument Table'!$H:$H, 'Instrument Table'!$B:$B, $C2384)))</f>
        <v>Oboe</v>
      </c>
      <c r="D2385" s="1" t="str">
        <f>VLOOKUP($C2385, 'Instrument Table'!$B:$C, 2, FALSE)</f>
        <v>Woodwinds</v>
      </c>
      <c r="E2385" s="1">
        <f t="shared" si="222"/>
        <v>1</v>
      </c>
      <c r="F2385" s="1">
        <f>_xlfn.XLOOKUP($C2385, 'Instrument Table'!$B:$B, 'Instrument Table'!$A:$A, "")</f>
        <v>34</v>
      </c>
      <c r="G2385" s="1" t="str">
        <f>TEXT(IF($B2385 = "Retail Item", IF((ROW($A2385) - 4504 - _xlfn.XMATCH($C2385, $C$4506:$C$5005, 0, 1)) &lt;= VLOOKUP($C2385, 'Instrument Table'!$B:$D, 3, FALSE), ROW($A2385) - 4504 - _xlfn.XMATCH($C2385, $C$4506:$C$5005, 0, 1), 0), 0), "00")</f>
        <v>00</v>
      </c>
      <c r="H2385" s="1" t="str">
        <f t="shared" si="223"/>
        <v>029</v>
      </c>
      <c r="I2385" s="1" t="str">
        <f t="shared" si="224"/>
        <v>13400-029</v>
      </c>
      <c r="J2385" s="1" t="str">
        <f t="shared" si="225"/>
        <v>Oboe production item #029</v>
      </c>
      <c r="K2385" s="1" t="str">
        <f>IF(SUM(COUNTIFS(I:I, I2385)) &gt; 1, "DUPLICATE", "UNIQUE")</f>
        <v>UNIQUE</v>
      </c>
      <c r="L2385" s="18">
        <v>32</v>
      </c>
      <c r="M2385" s="28">
        <v>81</v>
      </c>
      <c r="N2385" s="6">
        <v>36</v>
      </c>
      <c r="O2385" s="30">
        <f t="shared" si="226"/>
        <v>2592</v>
      </c>
      <c r="P2385" s="30">
        <f t="shared" si="227"/>
        <v>2916</v>
      </c>
      <c r="Q2385" s="1">
        <f>COUNTIFS($P:$P, "&gt;" &amp; $P2385) + 1</f>
        <v>2925</v>
      </c>
      <c r="R2385" s="63">
        <f>(COUNTIFS($P:$P, "&gt;" &amp; $P2385) + 1) / (COUNTA($I:$I) - 1)</f>
        <v>0.58499999999999996</v>
      </c>
      <c r="S2385" s="23">
        <f>SUMIFS($P:$P, $Q:$Q, "&lt;" &amp; $Q2385)</f>
        <v>184722737</v>
      </c>
    </row>
    <row r="2386" spans="1:19" x14ac:dyDescent="0.25">
      <c r="A2386" s="1">
        <v>2381</v>
      </c>
      <c r="B2386" s="1" t="s">
        <v>2</v>
      </c>
      <c r="C2386" s="1" t="str">
        <f>IF($B2386 = "Production Item", _xlfn.XLOOKUP($A2386, 'Instrument Table'!$J:$J, 'Instrument Table'!$B:$B, $C2385), IF($B2386 = "Service Item", _xlfn.XLOOKUP($A2386, 'Instrument Table'!$I:$I, 'Instrument Table'!$B:$B, $C2385), _xlfn.XLOOKUP($A2386, 'Instrument Table'!$H:$H, 'Instrument Table'!$B:$B, $C2385)))</f>
        <v>Oboe</v>
      </c>
      <c r="D2386" s="1" t="str">
        <f>VLOOKUP($C2386, 'Instrument Table'!$B:$C, 2, FALSE)</f>
        <v>Woodwinds</v>
      </c>
      <c r="E2386" s="1">
        <f t="shared" si="222"/>
        <v>1</v>
      </c>
      <c r="F2386" s="1">
        <f>_xlfn.XLOOKUP($C2386, 'Instrument Table'!$B:$B, 'Instrument Table'!$A:$A, "")</f>
        <v>34</v>
      </c>
      <c r="G2386" s="1" t="str">
        <f>TEXT(IF($B2386 = "Retail Item", IF((ROW($A2386) - 4504 - _xlfn.XMATCH($C2386, $C$4506:$C$5005, 0, 1)) &lt;= VLOOKUP($C2386, 'Instrument Table'!$B:$D, 3, FALSE), ROW($A2386) - 4504 - _xlfn.XMATCH($C2386, $C$4506:$C$5005, 0, 1), 0), 0), "00")</f>
        <v>00</v>
      </c>
      <c r="H2386" s="1" t="str">
        <f t="shared" si="223"/>
        <v>030</v>
      </c>
      <c r="I2386" s="1" t="str">
        <f t="shared" si="224"/>
        <v>13400-030</v>
      </c>
      <c r="J2386" s="1" t="str">
        <f t="shared" si="225"/>
        <v>Oboe production item #030</v>
      </c>
      <c r="K2386" s="1" t="str">
        <f>IF(SUM(COUNTIFS(I:I, I2386)) &gt; 1, "DUPLICATE", "UNIQUE")</f>
        <v>UNIQUE</v>
      </c>
      <c r="L2386" s="18">
        <v>1</v>
      </c>
      <c r="M2386" s="28">
        <v>72</v>
      </c>
      <c r="N2386" s="6">
        <v>100</v>
      </c>
      <c r="O2386" s="30">
        <f t="shared" si="226"/>
        <v>72</v>
      </c>
      <c r="P2386" s="30">
        <f t="shared" si="227"/>
        <v>7200</v>
      </c>
      <c r="Q2386" s="1">
        <f>COUNTIFS($P:$P, "&gt;" &amp; $P2386) + 1</f>
        <v>2115</v>
      </c>
      <c r="R2386" s="63">
        <f>(COUNTIFS($P:$P, "&gt;" &amp; $P2386) + 1) / (COUNTA($I:$I) - 1)</f>
        <v>0.42299999999999999</v>
      </c>
      <c r="S2386" s="23">
        <f>SUMIFS($P:$P, $Q:$Q, "&lt;" &amp; $Q2386)</f>
        <v>180867271</v>
      </c>
    </row>
    <row r="2387" spans="1:19" x14ac:dyDescent="0.25">
      <c r="A2387" s="1">
        <v>2382</v>
      </c>
      <c r="B2387" s="1" t="s">
        <v>2</v>
      </c>
      <c r="C2387" s="1" t="str">
        <f>IF($B2387 = "Production Item", _xlfn.XLOOKUP($A2387, 'Instrument Table'!$J:$J, 'Instrument Table'!$B:$B, $C2386), IF($B2387 = "Service Item", _xlfn.XLOOKUP($A2387, 'Instrument Table'!$I:$I, 'Instrument Table'!$B:$B, $C2386), _xlfn.XLOOKUP($A2387, 'Instrument Table'!$H:$H, 'Instrument Table'!$B:$B, $C2386)))</f>
        <v>Oboe</v>
      </c>
      <c r="D2387" s="1" t="str">
        <f>VLOOKUP($C2387, 'Instrument Table'!$B:$C, 2, FALSE)</f>
        <v>Woodwinds</v>
      </c>
      <c r="E2387" s="1">
        <f t="shared" si="222"/>
        <v>1</v>
      </c>
      <c r="F2387" s="1">
        <f>_xlfn.XLOOKUP($C2387, 'Instrument Table'!$B:$B, 'Instrument Table'!$A:$A, "")</f>
        <v>34</v>
      </c>
      <c r="G2387" s="1" t="str">
        <f>TEXT(IF($B2387 = "Retail Item", IF((ROW($A2387) - 4504 - _xlfn.XMATCH($C2387, $C$4506:$C$5005, 0, 1)) &lt;= VLOOKUP($C2387, 'Instrument Table'!$B:$D, 3, FALSE), ROW($A2387) - 4504 - _xlfn.XMATCH($C2387, $C$4506:$C$5005, 0, 1), 0), 0), "00")</f>
        <v>00</v>
      </c>
      <c r="H2387" s="1" t="str">
        <f t="shared" si="223"/>
        <v>031</v>
      </c>
      <c r="I2387" s="1" t="str">
        <f t="shared" si="224"/>
        <v>13400-031</v>
      </c>
      <c r="J2387" s="1" t="str">
        <f t="shared" si="225"/>
        <v>Oboe production item #031</v>
      </c>
      <c r="K2387" s="1" t="str">
        <f>IF(SUM(COUNTIFS(I:I, I2387)) &gt; 1, "DUPLICATE", "UNIQUE")</f>
        <v>UNIQUE</v>
      </c>
      <c r="L2387" s="18">
        <v>1</v>
      </c>
      <c r="M2387" s="28">
        <v>66</v>
      </c>
      <c r="N2387" s="6">
        <v>1</v>
      </c>
      <c r="O2387" s="30">
        <f t="shared" si="226"/>
        <v>66</v>
      </c>
      <c r="P2387" s="30">
        <f t="shared" si="227"/>
        <v>66</v>
      </c>
      <c r="Q2387" s="1">
        <f>COUNTIFS($P:$P, "&gt;" &amp; $P2387) + 1</f>
        <v>4547</v>
      </c>
      <c r="R2387" s="63">
        <f>(COUNTIFS($P:$P, "&gt;" &amp; $P2387) + 1) / (COUNTA($I:$I) - 1)</f>
        <v>0.90939999999999999</v>
      </c>
      <c r="S2387" s="23">
        <f>SUMIFS($P:$P, $Q:$Q, "&lt;" &amp; $Q2387)</f>
        <v>186540456</v>
      </c>
    </row>
    <row r="2388" spans="1:19" x14ac:dyDescent="0.25">
      <c r="A2388" s="1">
        <v>2383</v>
      </c>
      <c r="B2388" s="1" t="s">
        <v>2</v>
      </c>
      <c r="C2388" s="1" t="str">
        <f>IF($B2388 = "Production Item", _xlfn.XLOOKUP($A2388, 'Instrument Table'!$J:$J, 'Instrument Table'!$B:$B, $C2387), IF($B2388 = "Service Item", _xlfn.XLOOKUP($A2388, 'Instrument Table'!$I:$I, 'Instrument Table'!$B:$B, $C2387), _xlfn.XLOOKUP($A2388, 'Instrument Table'!$H:$H, 'Instrument Table'!$B:$B, $C2387)))</f>
        <v>Oboe</v>
      </c>
      <c r="D2388" s="1" t="str">
        <f>VLOOKUP($C2388, 'Instrument Table'!$B:$C, 2, FALSE)</f>
        <v>Woodwinds</v>
      </c>
      <c r="E2388" s="1">
        <f t="shared" si="222"/>
        <v>1</v>
      </c>
      <c r="F2388" s="1">
        <f>_xlfn.XLOOKUP($C2388, 'Instrument Table'!$B:$B, 'Instrument Table'!$A:$A, "")</f>
        <v>34</v>
      </c>
      <c r="G2388" s="1" t="str">
        <f>TEXT(IF($B2388 = "Retail Item", IF((ROW($A2388) - 4504 - _xlfn.XMATCH($C2388, $C$4506:$C$5005, 0, 1)) &lt;= VLOOKUP($C2388, 'Instrument Table'!$B:$D, 3, FALSE), ROW($A2388) - 4504 - _xlfn.XMATCH($C2388, $C$4506:$C$5005, 0, 1), 0), 0), "00")</f>
        <v>00</v>
      </c>
      <c r="H2388" s="1" t="str">
        <f t="shared" si="223"/>
        <v>032</v>
      </c>
      <c r="I2388" s="1" t="str">
        <f t="shared" si="224"/>
        <v>13400-032</v>
      </c>
      <c r="J2388" s="1" t="str">
        <f t="shared" si="225"/>
        <v>Oboe production item #032</v>
      </c>
      <c r="K2388" s="1" t="str">
        <f>IF(SUM(COUNTIFS(I:I, I2388)) &gt; 1, "DUPLICATE", "UNIQUE")</f>
        <v>UNIQUE</v>
      </c>
      <c r="L2388" s="18">
        <v>0</v>
      </c>
      <c r="M2388" s="28">
        <v>78</v>
      </c>
      <c r="N2388" s="6">
        <v>36</v>
      </c>
      <c r="O2388" s="30">
        <f t="shared" si="226"/>
        <v>0</v>
      </c>
      <c r="P2388" s="30">
        <f t="shared" si="227"/>
        <v>2808</v>
      </c>
      <c r="Q2388" s="1">
        <f>COUNTIFS($P:$P, "&gt;" &amp; $P2388) + 1</f>
        <v>2958</v>
      </c>
      <c r="R2388" s="63">
        <f>(COUNTIFS($P:$P, "&gt;" &amp; $P2388) + 1) / (COUNTA($I:$I) - 1)</f>
        <v>0.59160000000000001</v>
      </c>
      <c r="S2388" s="23">
        <f>SUMIFS($P:$P, $Q:$Q, "&lt;" &amp; $Q2388)</f>
        <v>184817725</v>
      </c>
    </row>
    <row r="2389" spans="1:19" x14ac:dyDescent="0.25">
      <c r="A2389" s="1">
        <v>2384</v>
      </c>
      <c r="B2389" s="1" t="s">
        <v>2</v>
      </c>
      <c r="C2389" s="1" t="str">
        <f>IF($B2389 = "Production Item", _xlfn.XLOOKUP($A2389, 'Instrument Table'!$J:$J, 'Instrument Table'!$B:$B, $C2388), IF($B2389 = "Service Item", _xlfn.XLOOKUP($A2389, 'Instrument Table'!$I:$I, 'Instrument Table'!$B:$B, $C2388), _xlfn.XLOOKUP($A2389, 'Instrument Table'!$H:$H, 'Instrument Table'!$B:$B, $C2388)))</f>
        <v>Oboe</v>
      </c>
      <c r="D2389" s="1" t="str">
        <f>VLOOKUP($C2389, 'Instrument Table'!$B:$C, 2, FALSE)</f>
        <v>Woodwinds</v>
      </c>
      <c r="E2389" s="1">
        <f t="shared" si="222"/>
        <v>1</v>
      </c>
      <c r="F2389" s="1">
        <f>_xlfn.XLOOKUP($C2389, 'Instrument Table'!$B:$B, 'Instrument Table'!$A:$A, "")</f>
        <v>34</v>
      </c>
      <c r="G2389" s="1" t="str">
        <f>TEXT(IF($B2389 = "Retail Item", IF((ROW($A2389) - 4504 - _xlfn.XMATCH($C2389, $C$4506:$C$5005, 0, 1)) &lt;= VLOOKUP($C2389, 'Instrument Table'!$B:$D, 3, FALSE), ROW($A2389) - 4504 - _xlfn.XMATCH($C2389, $C$4506:$C$5005, 0, 1), 0), 0), "00")</f>
        <v>00</v>
      </c>
      <c r="H2389" s="1" t="str">
        <f t="shared" si="223"/>
        <v>033</v>
      </c>
      <c r="I2389" s="1" t="str">
        <f t="shared" si="224"/>
        <v>13400-033</v>
      </c>
      <c r="J2389" s="1" t="str">
        <f t="shared" si="225"/>
        <v>Oboe production item #033</v>
      </c>
      <c r="K2389" s="1" t="str">
        <f>IF(SUM(COUNTIFS(I:I, I2389)) &gt; 1, "DUPLICATE", "UNIQUE")</f>
        <v>UNIQUE</v>
      </c>
      <c r="L2389" s="18">
        <v>0</v>
      </c>
      <c r="M2389" s="28">
        <v>78</v>
      </c>
      <c r="N2389" s="6">
        <v>225</v>
      </c>
      <c r="O2389" s="30">
        <f t="shared" si="226"/>
        <v>0</v>
      </c>
      <c r="P2389" s="30">
        <f t="shared" si="227"/>
        <v>17550</v>
      </c>
      <c r="Q2389" s="1">
        <f>COUNTIFS($P:$P, "&gt;" &amp; $P2389) + 1</f>
        <v>1187</v>
      </c>
      <c r="R2389" s="63">
        <f>(COUNTIFS($P:$P, "&gt;" &amp; $P2389) + 1) / (COUNTA($I:$I) - 1)</f>
        <v>0.2374</v>
      </c>
      <c r="S2389" s="23">
        <f>SUMIFS($P:$P, $Q:$Q, "&lt;" &amp; $Q2389)</f>
        <v>170099245</v>
      </c>
    </row>
    <row r="2390" spans="1:19" x14ac:dyDescent="0.25">
      <c r="A2390" s="1">
        <v>2385</v>
      </c>
      <c r="B2390" s="1" t="s">
        <v>2</v>
      </c>
      <c r="C2390" s="1" t="str">
        <f>IF($B2390 = "Production Item", _xlfn.XLOOKUP($A2390, 'Instrument Table'!$J:$J, 'Instrument Table'!$B:$B, $C2389), IF($B2390 = "Service Item", _xlfn.XLOOKUP($A2390, 'Instrument Table'!$I:$I, 'Instrument Table'!$B:$B, $C2389), _xlfn.XLOOKUP($A2390, 'Instrument Table'!$H:$H, 'Instrument Table'!$B:$B, $C2389)))</f>
        <v>Oboe</v>
      </c>
      <c r="D2390" s="1" t="str">
        <f>VLOOKUP($C2390, 'Instrument Table'!$B:$C, 2, FALSE)</f>
        <v>Woodwinds</v>
      </c>
      <c r="E2390" s="1">
        <f t="shared" si="222"/>
        <v>1</v>
      </c>
      <c r="F2390" s="1">
        <f>_xlfn.XLOOKUP($C2390, 'Instrument Table'!$B:$B, 'Instrument Table'!$A:$A, "")</f>
        <v>34</v>
      </c>
      <c r="G2390" s="1" t="str">
        <f>TEXT(IF($B2390 = "Retail Item", IF((ROW($A2390) - 4504 - _xlfn.XMATCH($C2390, $C$4506:$C$5005, 0, 1)) &lt;= VLOOKUP($C2390, 'Instrument Table'!$B:$D, 3, FALSE), ROW($A2390) - 4504 - _xlfn.XMATCH($C2390, $C$4506:$C$5005, 0, 1), 0), 0), "00")</f>
        <v>00</v>
      </c>
      <c r="H2390" s="1" t="str">
        <f t="shared" si="223"/>
        <v>034</v>
      </c>
      <c r="I2390" s="1" t="str">
        <f t="shared" si="224"/>
        <v>13400-034</v>
      </c>
      <c r="J2390" s="1" t="str">
        <f t="shared" si="225"/>
        <v>Oboe production item #034</v>
      </c>
      <c r="K2390" s="1" t="str">
        <f>IF(SUM(COUNTIFS(I:I, I2390)) &gt; 1, "DUPLICATE", "UNIQUE")</f>
        <v>UNIQUE</v>
      </c>
      <c r="L2390" s="18">
        <v>1</v>
      </c>
      <c r="M2390" s="28">
        <v>15</v>
      </c>
      <c r="N2390" s="6">
        <v>4</v>
      </c>
      <c r="O2390" s="30">
        <f t="shared" si="226"/>
        <v>15</v>
      </c>
      <c r="P2390" s="30">
        <f t="shared" si="227"/>
        <v>60</v>
      </c>
      <c r="Q2390" s="1">
        <f>COUNTIFS($P:$P, "&gt;" &amp; $P2390) + 1</f>
        <v>4578</v>
      </c>
      <c r="R2390" s="63">
        <f>(COUNTIFS($P:$P, "&gt;" &amp; $P2390) + 1) / (COUNTA($I:$I) - 1)</f>
        <v>0.91559999999999997</v>
      </c>
      <c r="S2390" s="23">
        <f>SUMIFS($P:$P, $Q:$Q, "&lt;" &amp; $Q2390)</f>
        <v>186542436</v>
      </c>
    </row>
    <row r="2391" spans="1:19" x14ac:dyDescent="0.25">
      <c r="A2391" s="1">
        <v>2386</v>
      </c>
      <c r="B2391" s="1" t="s">
        <v>2</v>
      </c>
      <c r="C2391" s="1" t="str">
        <f>IF($B2391 = "Production Item", _xlfn.XLOOKUP($A2391, 'Instrument Table'!$J:$J, 'Instrument Table'!$B:$B, $C2390), IF($B2391 = "Service Item", _xlfn.XLOOKUP($A2391, 'Instrument Table'!$I:$I, 'Instrument Table'!$B:$B, $C2390), _xlfn.XLOOKUP($A2391, 'Instrument Table'!$H:$H, 'Instrument Table'!$B:$B, $C2390)))</f>
        <v>Oboe</v>
      </c>
      <c r="D2391" s="1" t="str">
        <f>VLOOKUP($C2391, 'Instrument Table'!$B:$C, 2, FALSE)</f>
        <v>Woodwinds</v>
      </c>
      <c r="E2391" s="1">
        <f t="shared" si="222"/>
        <v>1</v>
      </c>
      <c r="F2391" s="1">
        <f>_xlfn.XLOOKUP($C2391, 'Instrument Table'!$B:$B, 'Instrument Table'!$A:$A, "")</f>
        <v>34</v>
      </c>
      <c r="G2391" s="1" t="str">
        <f>TEXT(IF($B2391 = "Retail Item", IF((ROW($A2391) - 4504 - _xlfn.XMATCH($C2391, $C$4506:$C$5005, 0, 1)) &lt;= VLOOKUP($C2391, 'Instrument Table'!$B:$D, 3, FALSE), ROW($A2391) - 4504 - _xlfn.XMATCH($C2391, $C$4506:$C$5005, 0, 1), 0), 0), "00")</f>
        <v>00</v>
      </c>
      <c r="H2391" s="1" t="str">
        <f t="shared" si="223"/>
        <v>035</v>
      </c>
      <c r="I2391" s="1" t="str">
        <f t="shared" si="224"/>
        <v>13400-035</v>
      </c>
      <c r="J2391" s="1" t="str">
        <f t="shared" si="225"/>
        <v>Oboe production item #035</v>
      </c>
      <c r="K2391" s="1" t="str">
        <f>IF(SUM(COUNTIFS(I:I, I2391)) &gt; 1, "DUPLICATE", "UNIQUE")</f>
        <v>UNIQUE</v>
      </c>
      <c r="L2391" s="18">
        <v>1</v>
      </c>
      <c r="M2391" s="28">
        <v>4</v>
      </c>
      <c r="N2391" s="6">
        <v>25</v>
      </c>
      <c r="O2391" s="30">
        <f t="shared" si="226"/>
        <v>4</v>
      </c>
      <c r="P2391" s="30">
        <f t="shared" si="227"/>
        <v>100</v>
      </c>
      <c r="Q2391" s="1">
        <f>COUNTIFS($P:$P, "&gt;" &amp; $P2391) + 1</f>
        <v>4452</v>
      </c>
      <c r="R2391" s="63">
        <f>(COUNTIFS($P:$P, "&gt;" &amp; $P2391) + 1) / (COUNTA($I:$I) - 1)</f>
        <v>0.89039999999999997</v>
      </c>
      <c r="S2391" s="23">
        <f>SUMIFS($P:$P, $Q:$Q, "&lt;" &amp; $Q2391)</f>
        <v>186532418</v>
      </c>
    </row>
    <row r="2392" spans="1:19" x14ac:dyDescent="0.25">
      <c r="A2392" s="1">
        <v>2387</v>
      </c>
      <c r="B2392" s="1" t="s">
        <v>2</v>
      </c>
      <c r="C2392" s="1" t="str">
        <f>IF($B2392 = "Production Item", _xlfn.XLOOKUP($A2392, 'Instrument Table'!$J:$J, 'Instrument Table'!$B:$B, $C2391), IF($B2392 = "Service Item", _xlfn.XLOOKUP($A2392, 'Instrument Table'!$I:$I, 'Instrument Table'!$B:$B, $C2391), _xlfn.XLOOKUP($A2392, 'Instrument Table'!$H:$H, 'Instrument Table'!$B:$B, $C2391)))</f>
        <v>Oboe</v>
      </c>
      <c r="D2392" s="1" t="str">
        <f>VLOOKUP($C2392, 'Instrument Table'!$B:$C, 2, FALSE)</f>
        <v>Woodwinds</v>
      </c>
      <c r="E2392" s="1">
        <f t="shared" si="222"/>
        <v>1</v>
      </c>
      <c r="F2392" s="1">
        <f>_xlfn.XLOOKUP($C2392, 'Instrument Table'!$B:$B, 'Instrument Table'!$A:$A, "")</f>
        <v>34</v>
      </c>
      <c r="G2392" s="1" t="str">
        <f>TEXT(IF($B2392 = "Retail Item", IF((ROW($A2392) - 4504 - _xlfn.XMATCH($C2392, $C$4506:$C$5005, 0, 1)) &lt;= VLOOKUP($C2392, 'Instrument Table'!$B:$D, 3, FALSE), ROW($A2392) - 4504 - _xlfn.XMATCH($C2392, $C$4506:$C$5005, 0, 1), 0), 0), "00")</f>
        <v>00</v>
      </c>
      <c r="H2392" s="1" t="str">
        <f t="shared" si="223"/>
        <v>036</v>
      </c>
      <c r="I2392" s="1" t="str">
        <f t="shared" si="224"/>
        <v>13400-036</v>
      </c>
      <c r="J2392" s="1" t="str">
        <f t="shared" si="225"/>
        <v>Oboe production item #036</v>
      </c>
      <c r="K2392" s="1" t="str">
        <f>IF(SUM(COUNTIFS(I:I, I2392)) &gt; 1, "DUPLICATE", "UNIQUE")</f>
        <v>UNIQUE</v>
      </c>
      <c r="L2392" s="18">
        <v>1</v>
      </c>
      <c r="M2392" s="28">
        <v>26</v>
      </c>
      <c r="N2392" s="6">
        <v>169</v>
      </c>
      <c r="O2392" s="30">
        <f t="shared" si="226"/>
        <v>26</v>
      </c>
      <c r="P2392" s="30">
        <f t="shared" si="227"/>
        <v>4394</v>
      </c>
      <c r="Q2392" s="1">
        <f>COUNTIFS($P:$P, "&gt;" &amp; $P2392) + 1</f>
        <v>2570</v>
      </c>
      <c r="R2392" s="63">
        <f>(COUNTIFS($P:$P, "&gt;" &amp; $P2392) + 1) / (COUNTA($I:$I) - 1)</f>
        <v>0.51400000000000001</v>
      </c>
      <c r="S2392" s="23">
        <f>SUMIFS($P:$P, $Q:$Q, "&lt;" &amp; $Q2392)</f>
        <v>183433854</v>
      </c>
    </row>
    <row r="2393" spans="1:19" x14ac:dyDescent="0.25">
      <c r="A2393" s="1">
        <v>2388</v>
      </c>
      <c r="B2393" s="1" t="s">
        <v>2</v>
      </c>
      <c r="C2393" s="1" t="str">
        <f>IF($B2393 = "Production Item", _xlfn.XLOOKUP($A2393, 'Instrument Table'!$J:$J, 'Instrument Table'!$B:$B, $C2392), IF($B2393 = "Service Item", _xlfn.XLOOKUP($A2393, 'Instrument Table'!$I:$I, 'Instrument Table'!$B:$B, $C2392), _xlfn.XLOOKUP($A2393, 'Instrument Table'!$H:$H, 'Instrument Table'!$B:$B, $C2392)))</f>
        <v>Oboe</v>
      </c>
      <c r="D2393" s="1" t="str">
        <f>VLOOKUP($C2393, 'Instrument Table'!$B:$C, 2, FALSE)</f>
        <v>Woodwinds</v>
      </c>
      <c r="E2393" s="1">
        <f t="shared" si="222"/>
        <v>1</v>
      </c>
      <c r="F2393" s="1">
        <f>_xlfn.XLOOKUP($C2393, 'Instrument Table'!$B:$B, 'Instrument Table'!$A:$A, "")</f>
        <v>34</v>
      </c>
      <c r="G2393" s="1" t="str">
        <f>TEXT(IF($B2393 = "Retail Item", IF((ROW($A2393) - 4504 - _xlfn.XMATCH($C2393, $C$4506:$C$5005, 0, 1)) &lt;= VLOOKUP($C2393, 'Instrument Table'!$B:$D, 3, FALSE), ROW($A2393) - 4504 - _xlfn.XMATCH($C2393, $C$4506:$C$5005, 0, 1), 0), 0), "00")</f>
        <v>00</v>
      </c>
      <c r="H2393" s="1" t="str">
        <f t="shared" si="223"/>
        <v>037</v>
      </c>
      <c r="I2393" s="1" t="str">
        <f t="shared" si="224"/>
        <v>13400-037</v>
      </c>
      <c r="J2393" s="1" t="str">
        <f t="shared" si="225"/>
        <v>Oboe production item #037</v>
      </c>
      <c r="K2393" s="1" t="str">
        <f>IF(SUM(COUNTIFS(I:I, I2393)) &gt; 1, "DUPLICATE", "UNIQUE")</f>
        <v>UNIQUE</v>
      </c>
      <c r="L2393" s="18">
        <v>1</v>
      </c>
      <c r="M2393" s="28">
        <v>32</v>
      </c>
      <c r="N2393" s="6">
        <v>144</v>
      </c>
      <c r="O2393" s="30">
        <f t="shared" si="226"/>
        <v>32</v>
      </c>
      <c r="P2393" s="30">
        <f t="shared" si="227"/>
        <v>4608</v>
      </c>
      <c r="Q2393" s="1">
        <f>COUNTIFS($P:$P, "&gt;" &amp; $P2393) + 1</f>
        <v>2515</v>
      </c>
      <c r="R2393" s="63">
        <f>(COUNTIFS($P:$P, "&gt;" &amp; $P2393) + 1) / (COUNTA($I:$I) - 1)</f>
        <v>0.503</v>
      </c>
      <c r="S2393" s="23">
        <f>SUMIFS($P:$P, $Q:$Q, "&lt;" &amp; $Q2393)</f>
        <v>183185375</v>
      </c>
    </row>
    <row r="2394" spans="1:19" x14ac:dyDescent="0.25">
      <c r="A2394" s="1">
        <v>2389</v>
      </c>
      <c r="B2394" s="1" t="s">
        <v>2</v>
      </c>
      <c r="C2394" s="1" t="str">
        <f>IF($B2394 = "Production Item", _xlfn.XLOOKUP($A2394, 'Instrument Table'!$J:$J, 'Instrument Table'!$B:$B, $C2393), IF($B2394 = "Service Item", _xlfn.XLOOKUP($A2394, 'Instrument Table'!$I:$I, 'Instrument Table'!$B:$B, $C2393), _xlfn.XLOOKUP($A2394, 'Instrument Table'!$H:$H, 'Instrument Table'!$B:$B, $C2393)))</f>
        <v>Oboe</v>
      </c>
      <c r="D2394" s="1" t="str">
        <f>VLOOKUP($C2394, 'Instrument Table'!$B:$C, 2, FALSE)</f>
        <v>Woodwinds</v>
      </c>
      <c r="E2394" s="1">
        <f t="shared" si="222"/>
        <v>1</v>
      </c>
      <c r="F2394" s="1">
        <f>_xlfn.XLOOKUP($C2394, 'Instrument Table'!$B:$B, 'Instrument Table'!$A:$A, "")</f>
        <v>34</v>
      </c>
      <c r="G2394" s="1" t="str">
        <f>TEXT(IF($B2394 = "Retail Item", IF((ROW($A2394) - 4504 - _xlfn.XMATCH($C2394, $C$4506:$C$5005, 0, 1)) &lt;= VLOOKUP($C2394, 'Instrument Table'!$B:$D, 3, FALSE), ROW($A2394) - 4504 - _xlfn.XMATCH($C2394, $C$4506:$C$5005, 0, 1), 0), 0), "00")</f>
        <v>00</v>
      </c>
      <c r="H2394" s="1" t="str">
        <f t="shared" si="223"/>
        <v>038</v>
      </c>
      <c r="I2394" s="1" t="str">
        <f t="shared" si="224"/>
        <v>13400-038</v>
      </c>
      <c r="J2394" s="1" t="str">
        <f t="shared" si="225"/>
        <v>Oboe production item #038</v>
      </c>
      <c r="K2394" s="1" t="str">
        <f>IF(SUM(COUNTIFS(I:I, I2394)) &gt; 1, "DUPLICATE", "UNIQUE")</f>
        <v>UNIQUE</v>
      </c>
      <c r="L2394" s="18">
        <v>0</v>
      </c>
      <c r="M2394" s="28">
        <v>54</v>
      </c>
      <c r="N2394" s="6">
        <v>1</v>
      </c>
      <c r="O2394" s="30">
        <f t="shared" si="226"/>
        <v>0</v>
      </c>
      <c r="P2394" s="30">
        <f t="shared" si="227"/>
        <v>54</v>
      </c>
      <c r="Q2394" s="1">
        <f>COUNTIFS($P:$P, "&gt;" &amp; $P2394) + 1</f>
        <v>4596</v>
      </c>
      <c r="R2394" s="63">
        <f>(COUNTIFS($P:$P, "&gt;" &amp; $P2394) + 1) / (COUNTA($I:$I) - 1)</f>
        <v>0.91920000000000002</v>
      </c>
      <c r="S2394" s="23">
        <f>SUMIFS($P:$P, $Q:$Q, "&lt;" &amp; $Q2394)</f>
        <v>186543478</v>
      </c>
    </row>
    <row r="2395" spans="1:19" x14ac:dyDescent="0.25">
      <c r="A2395" s="1">
        <v>2390</v>
      </c>
      <c r="B2395" s="1" t="s">
        <v>2</v>
      </c>
      <c r="C2395" s="1" t="str">
        <f>IF($B2395 = "Production Item", _xlfn.XLOOKUP($A2395, 'Instrument Table'!$J:$J, 'Instrument Table'!$B:$B, $C2394), IF($B2395 = "Service Item", _xlfn.XLOOKUP($A2395, 'Instrument Table'!$I:$I, 'Instrument Table'!$B:$B, $C2394), _xlfn.XLOOKUP($A2395, 'Instrument Table'!$H:$H, 'Instrument Table'!$B:$B, $C2394)))</f>
        <v>Oboe</v>
      </c>
      <c r="D2395" s="1" t="str">
        <f>VLOOKUP($C2395, 'Instrument Table'!$B:$C, 2, FALSE)</f>
        <v>Woodwinds</v>
      </c>
      <c r="E2395" s="1">
        <f t="shared" si="222"/>
        <v>1</v>
      </c>
      <c r="F2395" s="1">
        <f>_xlfn.XLOOKUP($C2395, 'Instrument Table'!$B:$B, 'Instrument Table'!$A:$A, "")</f>
        <v>34</v>
      </c>
      <c r="G2395" s="1" t="str">
        <f>TEXT(IF($B2395 = "Retail Item", IF((ROW($A2395) - 4504 - _xlfn.XMATCH($C2395, $C$4506:$C$5005, 0, 1)) &lt;= VLOOKUP($C2395, 'Instrument Table'!$B:$D, 3, FALSE), ROW($A2395) - 4504 - _xlfn.XMATCH($C2395, $C$4506:$C$5005, 0, 1), 0), 0), "00")</f>
        <v>00</v>
      </c>
      <c r="H2395" s="1" t="str">
        <f t="shared" si="223"/>
        <v>039</v>
      </c>
      <c r="I2395" s="1" t="str">
        <f t="shared" si="224"/>
        <v>13400-039</v>
      </c>
      <c r="J2395" s="1" t="str">
        <f t="shared" si="225"/>
        <v>Oboe production item #039</v>
      </c>
      <c r="K2395" s="1" t="str">
        <f>IF(SUM(COUNTIFS(I:I, I2395)) &gt; 1, "DUPLICATE", "UNIQUE")</f>
        <v>UNIQUE</v>
      </c>
      <c r="L2395" s="18">
        <v>0</v>
      </c>
      <c r="M2395" s="28">
        <v>37</v>
      </c>
      <c r="N2395" s="6">
        <v>81</v>
      </c>
      <c r="O2395" s="30">
        <f t="shared" si="226"/>
        <v>0</v>
      </c>
      <c r="P2395" s="30">
        <f t="shared" si="227"/>
        <v>2997</v>
      </c>
      <c r="Q2395" s="1">
        <f>COUNTIFS($P:$P, "&gt;" &amp; $P2395) + 1</f>
        <v>2909</v>
      </c>
      <c r="R2395" s="63">
        <f>(COUNTIFS($P:$P, "&gt;" &amp; $P2395) + 1) / (COUNTA($I:$I) - 1)</f>
        <v>0.58179999999999998</v>
      </c>
      <c r="S2395" s="23">
        <f>SUMIFS($P:$P, $Q:$Q, "&lt;" &amp; $Q2395)</f>
        <v>184675418</v>
      </c>
    </row>
    <row r="2396" spans="1:19" x14ac:dyDescent="0.25">
      <c r="A2396" s="1">
        <v>2391</v>
      </c>
      <c r="B2396" s="1" t="s">
        <v>2</v>
      </c>
      <c r="C2396" s="1" t="str">
        <f>IF($B2396 = "Production Item", _xlfn.XLOOKUP($A2396, 'Instrument Table'!$J:$J, 'Instrument Table'!$B:$B, $C2395), IF($B2396 = "Service Item", _xlfn.XLOOKUP($A2396, 'Instrument Table'!$I:$I, 'Instrument Table'!$B:$B, $C2395), _xlfn.XLOOKUP($A2396, 'Instrument Table'!$H:$H, 'Instrument Table'!$B:$B, $C2395)))</f>
        <v>Oboe</v>
      </c>
      <c r="D2396" s="1" t="str">
        <f>VLOOKUP($C2396, 'Instrument Table'!$B:$C, 2, FALSE)</f>
        <v>Woodwinds</v>
      </c>
      <c r="E2396" s="1">
        <f t="shared" si="222"/>
        <v>1</v>
      </c>
      <c r="F2396" s="1">
        <f>_xlfn.XLOOKUP($C2396, 'Instrument Table'!$B:$B, 'Instrument Table'!$A:$A, "")</f>
        <v>34</v>
      </c>
      <c r="G2396" s="1" t="str">
        <f>TEXT(IF($B2396 = "Retail Item", IF((ROW($A2396) - 4504 - _xlfn.XMATCH($C2396, $C$4506:$C$5005, 0, 1)) &lt;= VLOOKUP($C2396, 'Instrument Table'!$B:$D, 3, FALSE), ROW($A2396) - 4504 - _xlfn.XMATCH($C2396, $C$4506:$C$5005, 0, 1), 0), 0), "00")</f>
        <v>00</v>
      </c>
      <c r="H2396" s="1" t="str">
        <f t="shared" si="223"/>
        <v>040</v>
      </c>
      <c r="I2396" s="1" t="str">
        <f t="shared" si="224"/>
        <v>13400-040</v>
      </c>
      <c r="J2396" s="1" t="str">
        <f t="shared" si="225"/>
        <v>Oboe production item #040</v>
      </c>
      <c r="K2396" s="1" t="str">
        <f>IF(SUM(COUNTIFS(I:I, I2396)) &gt; 1, "DUPLICATE", "UNIQUE")</f>
        <v>UNIQUE</v>
      </c>
      <c r="L2396" s="18">
        <v>1</v>
      </c>
      <c r="M2396" s="28">
        <v>8</v>
      </c>
      <c r="N2396" s="6">
        <v>9</v>
      </c>
      <c r="O2396" s="30">
        <f t="shared" si="226"/>
        <v>8</v>
      </c>
      <c r="P2396" s="30">
        <f t="shared" si="227"/>
        <v>72</v>
      </c>
      <c r="Q2396" s="1">
        <f>COUNTIFS($P:$P, "&gt;" &amp; $P2396) + 1</f>
        <v>4534</v>
      </c>
      <c r="R2396" s="63">
        <f>(COUNTIFS($P:$P, "&gt;" &amp; $P2396) + 1) / (COUNTA($I:$I) - 1)</f>
        <v>0.90680000000000005</v>
      </c>
      <c r="S2396" s="23">
        <f>SUMIFS($P:$P, $Q:$Q, "&lt;" &amp; $Q2396)</f>
        <v>186539538</v>
      </c>
    </row>
    <row r="2397" spans="1:19" x14ac:dyDescent="0.25">
      <c r="A2397" s="1">
        <v>2392</v>
      </c>
      <c r="B2397" s="1" t="s">
        <v>2</v>
      </c>
      <c r="C2397" s="1" t="str">
        <f>IF($B2397 = "Production Item", _xlfn.XLOOKUP($A2397, 'Instrument Table'!$J:$J, 'Instrument Table'!$B:$B, $C2396), IF($B2397 = "Service Item", _xlfn.XLOOKUP($A2397, 'Instrument Table'!$I:$I, 'Instrument Table'!$B:$B, $C2396), _xlfn.XLOOKUP($A2397, 'Instrument Table'!$H:$H, 'Instrument Table'!$B:$B, $C2396)))</f>
        <v>Oboe</v>
      </c>
      <c r="D2397" s="1" t="str">
        <f>VLOOKUP($C2397, 'Instrument Table'!$B:$C, 2, FALSE)</f>
        <v>Woodwinds</v>
      </c>
      <c r="E2397" s="1">
        <f t="shared" si="222"/>
        <v>1</v>
      </c>
      <c r="F2397" s="1">
        <f>_xlfn.XLOOKUP($C2397, 'Instrument Table'!$B:$B, 'Instrument Table'!$A:$A, "")</f>
        <v>34</v>
      </c>
      <c r="G2397" s="1" t="str">
        <f>TEXT(IF($B2397 = "Retail Item", IF((ROW($A2397) - 4504 - _xlfn.XMATCH($C2397, $C$4506:$C$5005, 0, 1)) &lt;= VLOOKUP($C2397, 'Instrument Table'!$B:$D, 3, FALSE), ROW($A2397) - 4504 - _xlfn.XMATCH($C2397, $C$4506:$C$5005, 0, 1), 0), 0), "00")</f>
        <v>00</v>
      </c>
      <c r="H2397" s="1" t="str">
        <f t="shared" si="223"/>
        <v>041</v>
      </c>
      <c r="I2397" s="1" t="str">
        <f t="shared" si="224"/>
        <v>13400-041</v>
      </c>
      <c r="J2397" s="1" t="str">
        <f t="shared" si="225"/>
        <v>Oboe production item #041</v>
      </c>
      <c r="K2397" s="1" t="str">
        <f>IF(SUM(COUNTIFS(I:I, I2397)) &gt; 1, "DUPLICATE", "UNIQUE")</f>
        <v>UNIQUE</v>
      </c>
      <c r="L2397" s="18">
        <v>1</v>
      </c>
      <c r="M2397" s="28">
        <v>8</v>
      </c>
      <c r="N2397" s="6">
        <v>4</v>
      </c>
      <c r="O2397" s="30">
        <f t="shared" si="226"/>
        <v>8</v>
      </c>
      <c r="P2397" s="30">
        <f t="shared" si="227"/>
        <v>32</v>
      </c>
      <c r="Q2397" s="1">
        <f>COUNTIFS($P:$P, "&gt;" &amp; $P2397) + 1</f>
        <v>4658</v>
      </c>
      <c r="R2397" s="63">
        <f>(COUNTIFS($P:$P, "&gt;" &amp; $P2397) + 1) / (COUNTA($I:$I) - 1)</f>
        <v>0.93159999999999998</v>
      </c>
      <c r="S2397" s="23">
        <f>SUMIFS($P:$P, $Q:$Q, "&lt;" &amp; $Q2397)</f>
        <v>186546308</v>
      </c>
    </row>
    <row r="2398" spans="1:19" x14ac:dyDescent="0.25">
      <c r="A2398" s="1">
        <v>2393</v>
      </c>
      <c r="B2398" s="1" t="s">
        <v>2</v>
      </c>
      <c r="C2398" s="1" t="str">
        <f>IF($B2398 = "Production Item", _xlfn.XLOOKUP($A2398, 'Instrument Table'!$J:$J, 'Instrument Table'!$B:$B, $C2397), IF($B2398 = "Service Item", _xlfn.XLOOKUP($A2398, 'Instrument Table'!$I:$I, 'Instrument Table'!$B:$B, $C2397), _xlfn.XLOOKUP($A2398, 'Instrument Table'!$H:$H, 'Instrument Table'!$B:$B, $C2397)))</f>
        <v>Oboe</v>
      </c>
      <c r="D2398" s="1" t="str">
        <f>VLOOKUP($C2398, 'Instrument Table'!$B:$C, 2, FALSE)</f>
        <v>Woodwinds</v>
      </c>
      <c r="E2398" s="1">
        <f t="shared" si="222"/>
        <v>1</v>
      </c>
      <c r="F2398" s="1">
        <f>_xlfn.XLOOKUP($C2398, 'Instrument Table'!$B:$B, 'Instrument Table'!$A:$A, "")</f>
        <v>34</v>
      </c>
      <c r="G2398" s="1" t="str">
        <f>TEXT(IF($B2398 = "Retail Item", IF((ROW($A2398) - 4504 - _xlfn.XMATCH($C2398, $C$4506:$C$5005, 0, 1)) &lt;= VLOOKUP($C2398, 'Instrument Table'!$B:$D, 3, FALSE), ROW($A2398) - 4504 - _xlfn.XMATCH($C2398, $C$4506:$C$5005, 0, 1), 0), 0), "00")</f>
        <v>00</v>
      </c>
      <c r="H2398" s="1" t="str">
        <f t="shared" si="223"/>
        <v>042</v>
      </c>
      <c r="I2398" s="1" t="str">
        <f t="shared" si="224"/>
        <v>13400-042</v>
      </c>
      <c r="J2398" s="1" t="str">
        <f t="shared" si="225"/>
        <v>Oboe production item #042</v>
      </c>
      <c r="K2398" s="1" t="str">
        <f>IF(SUM(COUNTIFS(I:I, I2398)) &gt; 1, "DUPLICATE", "UNIQUE")</f>
        <v>UNIQUE</v>
      </c>
      <c r="L2398" s="18">
        <v>1</v>
      </c>
      <c r="M2398" s="28">
        <v>85</v>
      </c>
      <c r="N2398" s="6">
        <v>169</v>
      </c>
      <c r="O2398" s="30">
        <f t="shared" si="226"/>
        <v>85</v>
      </c>
      <c r="P2398" s="30">
        <f t="shared" si="227"/>
        <v>14365</v>
      </c>
      <c r="Q2398" s="1">
        <f>COUNTIFS($P:$P, "&gt;" &amp; $P2398) + 1</f>
        <v>1396</v>
      </c>
      <c r="R2398" s="63">
        <f>(COUNTIFS($P:$P, "&gt;" &amp; $P2398) + 1) / (COUNTA($I:$I) - 1)</f>
        <v>0.2792</v>
      </c>
      <c r="S2398" s="23">
        <f>SUMIFS($P:$P, $Q:$Q, "&lt;" &amp; $Q2398)</f>
        <v>173418358</v>
      </c>
    </row>
    <row r="2399" spans="1:19" x14ac:dyDescent="0.25">
      <c r="A2399" s="1">
        <v>2394</v>
      </c>
      <c r="B2399" s="1" t="s">
        <v>2</v>
      </c>
      <c r="C2399" s="1" t="str">
        <f>IF($B2399 = "Production Item", _xlfn.XLOOKUP($A2399, 'Instrument Table'!$J:$J, 'Instrument Table'!$B:$B, $C2398), IF($B2399 = "Service Item", _xlfn.XLOOKUP($A2399, 'Instrument Table'!$I:$I, 'Instrument Table'!$B:$B, $C2398), _xlfn.XLOOKUP($A2399, 'Instrument Table'!$H:$H, 'Instrument Table'!$B:$B, $C2398)))</f>
        <v>Oboe</v>
      </c>
      <c r="D2399" s="1" t="str">
        <f>VLOOKUP($C2399, 'Instrument Table'!$B:$C, 2, FALSE)</f>
        <v>Woodwinds</v>
      </c>
      <c r="E2399" s="1">
        <f t="shared" si="222"/>
        <v>1</v>
      </c>
      <c r="F2399" s="1">
        <f>_xlfn.XLOOKUP($C2399, 'Instrument Table'!$B:$B, 'Instrument Table'!$A:$A, "")</f>
        <v>34</v>
      </c>
      <c r="G2399" s="1" t="str">
        <f>TEXT(IF($B2399 = "Retail Item", IF((ROW($A2399) - 4504 - _xlfn.XMATCH($C2399, $C$4506:$C$5005, 0, 1)) &lt;= VLOOKUP($C2399, 'Instrument Table'!$B:$D, 3, FALSE), ROW($A2399) - 4504 - _xlfn.XMATCH($C2399, $C$4506:$C$5005, 0, 1), 0), 0), "00")</f>
        <v>00</v>
      </c>
      <c r="H2399" s="1" t="str">
        <f t="shared" si="223"/>
        <v>043</v>
      </c>
      <c r="I2399" s="1" t="str">
        <f t="shared" si="224"/>
        <v>13400-043</v>
      </c>
      <c r="J2399" s="1" t="str">
        <f t="shared" si="225"/>
        <v>Oboe production item #043</v>
      </c>
      <c r="K2399" s="1" t="str">
        <f>IF(SUM(COUNTIFS(I:I, I2399)) &gt; 1, "DUPLICATE", "UNIQUE")</f>
        <v>UNIQUE</v>
      </c>
      <c r="L2399" s="18">
        <v>0</v>
      </c>
      <c r="M2399" s="28">
        <v>81</v>
      </c>
      <c r="N2399" s="6">
        <v>1</v>
      </c>
      <c r="O2399" s="30">
        <f t="shared" si="226"/>
        <v>0</v>
      </c>
      <c r="P2399" s="30">
        <f t="shared" si="227"/>
        <v>81</v>
      </c>
      <c r="Q2399" s="1">
        <f>COUNTIFS($P:$P, "&gt;" &amp; $P2399) + 1</f>
        <v>4505</v>
      </c>
      <c r="R2399" s="63">
        <f>(COUNTIFS($P:$P, "&gt;" &amp; $P2399) + 1) / (COUNTA($I:$I) - 1)</f>
        <v>0.90100000000000002</v>
      </c>
      <c r="S2399" s="23">
        <f>SUMIFS($P:$P, $Q:$Q, "&lt;" &amp; $Q2399)</f>
        <v>186537273</v>
      </c>
    </row>
    <row r="2400" spans="1:19" x14ac:dyDescent="0.25">
      <c r="A2400" s="1">
        <v>2395</v>
      </c>
      <c r="B2400" s="1" t="s">
        <v>2</v>
      </c>
      <c r="C2400" s="1" t="str">
        <f>IF($B2400 = "Production Item", _xlfn.XLOOKUP($A2400, 'Instrument Table'!$J:$J, 'Instrument Table'!$B:$B, $C2399), IF($B2400 = "Service Item", _xlfn.XLOOKUP($A2400, 'Instrument Table'!$I:$I, 'Instrument Table'!$B:$B, $C2399), _xlfn.XLOOKUP($A2400, 'Instrument Table'!$H:$H, 'Instrument Table'!$B:$B, $C2399)))</f>
        <v>Oboe</v>
      </c>
      <c r="D2400" s="1" t="str">
        <f>VLOOKUP($C2400, 'Instrument Table'!$B:$C, 2, FALSE)</f>
        <v>Woodwinds</v>
      </c>
      <c r="E2400" s="1">
        <f t="shared" si="222"/>
        <v>1</v>
      </c>
      <c r="F2400" s="1">
        <f>_xlfn.XLOOKUP($C2400, 'Instrument Table'!$B:$B, 'Instrument Table'!$A:$A, "")</f>
        <v>34</v>
      </c>
      <c r="G2400" s="1" t="str">
        <f>TEXT(IF($B2400 = "Retail Item", IF((ROW($A2400) - 4504 - _xlfn.XMATCH($C2400, $C$4506:$C$5005, 0, 1)) &lt;= VLOOKUP($C2400, 'Instrument Table'!$B:$D, 3, FALSE), ROW($A2400) - 4504 - _xlfn.XMATCH($C2400, $C$4506:$C$5005, 0, 1), 0), 0), "00")</f>
        <v>00</v>
      </c>
      <c r="H2400" s="1" t="str">
        <f t="shared" si="223"/>
        <v>044</v>
      </c>
      <c r="I2400" s="1" t="str">
        <f t="shared" si="224"/>
        <v>13400-044</v>
      </c>
      <c r="J2400" s="1" t="str">
        <f t="shared" si="225"/>
        <v>Oboe production item #044</v>
      </c>
      <c r="K2400" s="1" t="str">
        <f>IF(SUM(COUNTIFS(I:I, I2400)) &gt; 1, "DUPLICATE", "UNIQUE")</f>
        <v>UNIQUE</v>
      </c>
      <c r="L2400" s="18">
        <v>1</v>
      </c>
      <c r="M2400" s="28">
        <v>83</v>
      </c>
      <c r="N2400" s="6">
        <v>4</v>
      </c>
      <c r="O2400" s="30">
        <f t="shared" si="226"/>
        <v>83</v>
      </c>
      <c r="P2400" s="30">
        <f t="shared" si="227"/>
        <v>332</v>
      </c>
      <c r="Q2400" s="1">
        <f>COUNTIFS($P:$P, "&gt;" &amp; $P2400) + 1</f>
        <v>4174</v>
      </c>
      <c r="R2400" s="63">
        <f>(COUNTIFS($P:$P, "&gt;" &amp; $P2400) + 1) / (COUNTA($I:$I) - 1)</f>
        <v>0.83479999999999999</v>
      </c>
      <c r="S2400" s="23">
        <f>SUMIFS($P:$P, $Q:$Q, "&lt;" &amp; $Q2400)</f>
        <v>186471980</v>
      </c>
    </row>
    <row r="2401" spans="1:19" x14ac:dyDescent="0.25">
      <c r="A2401" s="1">
        <v>2396</v>
      </c>
      <c r="B2401" s="1" t="s">
        <v>2</v>
      </c>
      <c r="C2401" s="1" t="str">
        <f>IF($B2401 = "Production Item", _xlfn.XLOOKUP($A2401, 'Instrument Table'!$J:$J, 'Instrument Table'!$B:$B, $C2400), IF($B2401 = "Service Item", _xlfn.XLOOKUP($A2401, 'Instrument Table'!$I:$I, 'Instrument Table'!$B:$B, $C2400), _xlfn.XLOOKUP($A2401, 'Instrument Table'!$H:$H, 'Instrument Table'!$B:$B, $C2400)))</f>
        <v>Oboe</v>
      </c>
      <c r="D2401" s="1" t="str">
        <f>VLOOKUP($C2401, 'Instrument Table'!$B:$C, 2, FALSE)</f>
        <v>Woodwinds</v>
      </c>
      <c r="E2401" s="1">
        <f t="shared" si="222"/>
        <v>1</v>
      </c>
      <c r="F2401" s="1">
        <f>_xlfn.XLOOKUP($C2401, 'Instrument Table'!$B:$B, 'Instrument Table'!$A:$A, "")</f>
        <v>34</v>
      </c>
      <c r="G2401" s="1" t="str">
        <f>TEXT(IF($B2401 = "Retail Item", IF((ROW($A2401) - 4504 - _xlfn.XMATCH($C2401, $C$4506:$C$5005, 0, 1)) &lt;= VLOOKUP($C2401, 'Instrument Table'!$B:$D, 3, FALSE), ROW($A2401) - 4504 - _xlfn.XMATCH($C2401, $C$4506:$C$5005, 0, 1), 0), 0), "00")</f>
        <v>00</v>
      </c>
      <c r="H2401" s="1" t="str">
        <f t="shared" si="223"/>
        <v>045</v>
      </c>
      <c r="I2401" s="1" t="str">
        <f t="shared" si="224"/>
        <v>13400-045</v>
      </c>
      <c r="J2401" s="1" t="str">
        <f t="shared" si="225"/>
        <v>Oboe production item #045</v>
      </c>
      <c r="K2401" s="1" t="str">
        <f>IF(SUM(COUNTIFS(I:I, I2401)) &gt; 1, "DUPLICATE", "UNIQUE")</f>
        <v>UNIQUE</v>
      </c>
      <c r="L2401" s="18">
        <v>2</v>
      </c>
      <c r="M2401" s="28">
        <v>19</v>
      </c>
      <c r="N2401" s="6">
        <v>1</v>
      </c>
      <c r="O2401" s="30">
        <f t="shared" si="226"/>
        <v>38</v>
      </c>
      <c r="P2401" s="30">
        <f t="shared" si="227"/>
        <v>19</v>
      </c>
      <c r="Q2401" s="1">
        <f>COUNTIFS($P:$P, "&gt;" &amp; $P2401) + 1</f>
        <v>4695</v>
      </c>
      <c r="R2401" s="63">
        <f>(COUNTIFS($P:$P, "&gt;" &amp; $P2401) + 1) / (COUNTA($I:$I) - 1)</f>
        <v>0.93899999999999995</v>
      </c>
      <c r="S2401" s="23">
        <f>SUMIFS($P:$P, $Q:$Q, "&lt;" &amp; $Q2401)</f>
        <v>186547301</v>
      </c>
    </row>
    <row r="2402" spans="1:19" x14ac:dyDescent="0.25">
      <c r="A2402" s="1">
        <v>2397</v>
      </c>
      <c r="B2402" s="1" t="s">
        <v>2</v>
      </c>
      <c r="C2402" s="1" t="str">
        <f>IF($B2402 = "Production Item", _xlfn.XLOOKUP($A2402, 'Instrument Table'!$J:$J, 'Instrument Table'!$B:$B, $C2401), IF($B2402 = "Service Item", _xlfn.XLOOKUP($A2402, 'Instrument Table'!$I:$I, 'Instrument Table'!$B:$B, $C2401), _xlfn.XLOOKUP($A2402, 'Instrument Table'!$H:$H, 'Instrument Table'!$B:$B, $C2401)))</f>
        <v>Oboe</v>
      </c>
      <c r="D2402" s="1" t="str">
        <f>VLOOKUP($C2402, 'Instrument Table'!$B:$C, 2, FALSE)</f>
        <v>Woodwinds</v>
      </c>
      <c r="E2402" s="1">
        <f t="shared" si="222"/>
        <v>1</v>
      </c>
      <c r="F2402" s="1">
        <f>_xlfn.XLOOKUP($C2402, 'Instrument Table'!$B:$B, 'Instrument Table'!$A:$A, "")</f>
        <v>34</v>
      </c>
      <c r="G2402" s="1" t="str">
        <f>TEXT(IF($B2402 = "Retail Item", IF((ROW($A2402) - 4504 - _xlfn.XMATCH($C2402, $C$4506:$C$5005, 0, 1)) &lt;= VLOOKUP($C2402, 'Instrument Table'!$B:$D, 3, FALSE), ROW($A2402) - 4504 - _xlfn.XMATCH($C2402, $C$4506:$C$5005, 0, 1), 0), 0), "00")</f>
        <v>00</v>
      </c>
      <c r="H2402" s="1" t="str">
        <f t="shared" si="223"/>
        <v>046</v>
      </c>
      <c r="I2402" s="1" t="str">
        <f t="shared" si="224"/>
        <v>13400-046</v>
      </c>
      <c r="J2402" s="1" t="str">
        <f t="shared" si="225"/>
        <v>Oboe production item #046</v>
      </c>
      <c r="K2402" s="1" t="str">
        <f>IF(SUM(COUNTIFS(I:I, I2402)) &gt; 1, "DUPLICATE", "UNIQUE")</f>
        <v>UNIQUE</v>
      </c>
      <c r="L2402" s="18">
        <v>32</v>
      </c>
      <c r="M2402" s="28">
        <v>34</v>
      </c>
      <c r="N2402" s="6">
        <v>169</v>
      </c>
      <c r="O2402" s="30">
        <f t="shared" si="226"/>
        <v>1088</v>
      </c>
      <c r="P2402" s="30">
        <f t="shared" si="227"/>
        <v>5746</v>
      </c>
      <c r="Q2402" s="1">
        <f>COUNTIFS($P:$P, "&gt;" &amp; $P2402) + 1</f>
        <v>2312</v>
      </c>
      <c r="R2402" s="63">
        <f>(COUNTIFS($P:$P, "&gt;" &amp; $P2402) + 1) / (COUNTA($I:$I) - 1)</f>
        <v>0.46239999999999998</v>
      </c>
      <c r="S2402" s="23">
        <f>SUMIFS($P:$P, $Q:$Q, "&lt;" &amp; $Q2402)</f>
        <v>182133569</v>
      </c>
    </row>
    <row r="2403" spans="1:19" x14ac:dyDescent="0.25">
      <c r="A2403" s="1">
        <v>2398</v>
      </c>
      <c r="B2403" s="1" t="s">
        <v>2</v>
      </c>
      <c r="C2403" s="1" t="str">
        <f>IF($B2403 = "Production Item", _xlfn.XLOOKUP($A2403, 'Instrument Table'!$J:$J, 'Instrument Table'!$B:$B, $C2402), IF($B2403 = "Service Item", _xlfn.XLOOKUP($A2403, 'Instrument Table'!$I:$I, 'Instrument Table'!$B:$B, $C2402), _xlfn.XLOOKUP($A2403, 'Instrument Table'!$H:$H, 'Instrument Table'!$B:$B, $C2402)))</f>
        <v>Oboe</v>
      </c>
      <c r="D2403" s="1" t="str">
        <f>VLOOKUP($C2403, 'Instrument Table'!$B:$C, 2, FALSE)</f>
        <v>Woodwinds</v>
      </c>
      <c r="E2403" s="1">
        <f t="shared" si="222"/>
        <v>1</v>
      </c>
      <c r="F2403" s="1">
        <f>_xlfn.XLOOKUP($C2403, 'Instrument Table'!$B:$B, 'Instrument Table'!$A:$A, "")</f>
        <v>34</v>
      </c>
      <c r="G2403" s="1" t="str">
        <f>TEXT(IF($B2403 = "Retail Item", IF((ROW($A2403) - 4504 - _xlfn.XMATCH($C2403, $C$4506:$C$5005, 0, 1)) &lt;= VLOOKUP($C2403, 'Instrument Table'!$B:$D, 3, FALSE), ROW($A2403) - 4504 - _xlfn.XMATCH($C2403, $C$4506:$C$5005, 0, 1), 0), 0), "00")</f>
        <v>00</v>
      </c>
      <c r="H2403" s="1" t="str">
        <f t="shared" si="223"/>
        <v>047</v>
      </c>
      <c r="I2403" s="1" t="str">
        <f t="shared" si="224"/>
        <v>13400-047</v>
      </c>
      <c r="J2403" s="1" t="str">
        <f t="shared" si="225"/>
        <v>Oboe production item #047</v>
      </c>
      <c r="K2403" s="1" t="str">
        <f>IF(SUM(COUNTIFS(I:I, I2403)) &gt; 1, "DUPLICATE", "UNIQUE")</f>
        <v>UNIQUE</v>
      </c>
      <c r="L2403" s="18">
        <v>16</v>
      </c>
      <c r="M2403" s="28">
        <v>90</v>
      </c>
      <c r="N2403" s="6">
        <v>225</v>
      </c>
      <c r="O2403" s="30">
        <f t="shared" si="226"/>
        <v>1440</v>
      </c>
      <c r="P2403" s="30">
        <f t="shared" si="227"/>
        <v>20250</v>
      </c>
      <c r="Q2403" s="1">
        <f>COUNTIFS($P:$P, "&gt;" &amp; $P2403) + 1</f>
        <v>1042</v>
      </c>
      <c r="R2403" s="63">
        <f>(COUNTIFS($P:$P, "&gt;" &amp; $P2403) + 1) / (COUNTA($I:$I) - 1)</f>
        <v>0.2084</v>
      </c>
      <c r="S2403" s="23">
        <f>SUMIFS($P:$P, $Q:$Q, "&lt;" &amp; $Q2403)</f>
        <v>167360556</v>
      </c>
    </row>
    <row r="2404" spans="1:19" x14ac:dyDescent="0.25">
      <c r="A2404" s="1">
        <v>2399</v>
      </c>
      <c r="B2404" s="1" t="s">
        <v>2</v>
      </c>
      <c r="C2404" s="1" t="str">
        <f>IF($B2404 = "Production Item", _xlfn.XLOOKUP($A2404, 'Instrument Table'!$J:$J, 'Instrument Table'!$B:$B, $C2403), IF($B2404 = "Service Item", _xlfn.XLOOKUP($A2404, 'Instrument Table'!$I:$I, 'Instrument Table'!$B:$B, $C2403), _xlfn.XLOOKUP($A2404, 'Instrument Table'!$H:$H, 'Instrument Table'!$B:$B, $C2403)))</f>
        <v>Oboe</v>
      </c>
      <c r="D2404" s="1" t="str">
        <f>VLOOKUP($C2404, 'Instrument Table'!$B:$C, 2, FALSE)</f>
        <v>Woodwinds</v>
      </c>
      <c r="E2404" s="1">
        <f t="shared" si="222"/>
        <v>1</v>
      </c>
      <c r="F2404" s="1">
        <f>_xlfn.XLOOKUP($C2404, 'Instrument Table'!$B:$B, 'Instrument Table'!$A:$A, "")</f>
        <v>34</v>
      </c>
      <c r="G2404" s="1" t="str">
        <f>TEXT(IF($B2404 = "Retail Item", IF((ROW($A2404) - 4504 - _xlfn.XMATCH($C2404, $C$4506:$C$5005, 0, 1)) &lt;= VLOOKUP($C2404, 'Instrument Table'!$B:$D, 3, FALSE), ROW($A2404) - 4504 - _xlfn.XMATCH($C2404, $C$4506:$C$5005, 0, 1), 0), 0), "00")</f>
        <v>00</v>
      </c>
      <c r="H2404" s="1" t="str">
        <f t="shared" si="223"/>
        <v>048</v>
      </c>
      <c r="I2404" s="1" t="str">
        <f t="shared" si="224"/>
        <v>13400-048</v>
      </c>
      <c r="J2404" s="1" t="str">
        <f t="shared" si="225"/>
        <v>Oboe production item #048</v>
      </c>
      <c r="K2404" s="1" t="str">
        <f>IF(SUM(COUNTIFS(I:I, I2404)) &gt; 1, "DUPLICATE", "UNIQUE")</f>
        <v>UNIQUE</v>
      </c>
      <c r="L2404" s="18">
        <v>16</v>
      </c>
      <c r="M2404" s="28">
        <v>48</v>
      </c>
      <c r="N2404" s="6">
        <v>400</v>
      </c>
      <c r="O2404" s="30">
        <f t="shared" si="226"/>
        <v>768</v>
      </c>
      <c r="P2404" s="30">
        <f t="shared" si="227"/>
        <v>19200</v>
      </c>
      <c r="Q2404" s="1">
        <f>COUNTIFS($P:$P, "&gt;" &amp; $P2404) + 1</f>
        <v>1090</v>
      </c>
      <c r="R2404" s="63">
        <f>(COUNTIFS($P:$P, "&gt;" &amp; $P2404) + 1) / (COUNTA($I:$I) - 1)</f>
        <v>0.218</v>
      </c>
      <c r="S2404" s="23">
        <f>SUMIFS($P:$P, $Q:$Q, "&lt;" &amp; $Q2404)</f>
        <v>168312341</v>
      </c>
    </row>
    <row r="2405" spans="1:19" x14ac:dyDescent="0.25">
      <c r="A2405" s="1">
        <v>2400</v>
      </c>
      <c r="B2405" s="1" t="s">
        <v>2</v>
      </c>
      <c r="C2405" s="1" t="str">
        <f>IF($B2405 = "Production Item", _xlfn.XLOOKUP($A2405, 'Instrument Table'!$J:$J, 'Instrument Table'!$B:$B, $C2404), IF($B2405 = "Service Item", _xlfn.XLOOKUP($A2405, 'Instrument Table'!$I:$I, 'Instrument Table'!$B:$B, $C2404), _xlfn.XLOOKUP($A2405, 'Instrument Table'!$H:$H, 'Instrument Table'!$B:$B, $C2404)))</f>
        <v>Oboe</v>
      </c>
      <c r="D2405" s="1" t="str">
        <f>VLOOKUP($C2405, 'Instrument Table'!$B:$C, 2, FALSE)</f>
        <v>Woodwinds</v>
      </c>
      <c r="E2405" s="1">
        <f t="shared" si="222"/>
        <v>1</v>
      </c>
      <c r="F2405" s="1">
        <f>_xlfn.XLOOKUP($C2405, 'Instrument Table'!$B:$B, 'Instrument Table'!$A:$A, "")</f>
        <v>34</v>
      </c>
      <c r="G2405" s="1" t="str">
        <f>TEXT(IF($B2405 = "Retail Item", IF((ROW($A2405) - 4504 - _xlfn.XMATCH($C2405, $C$4506:$C$5005, 0, 1)) &lt;= VLOOKUP($C2405, 'Instrument Table'!$B:$D, 3, FALSE), ROW($A2405) - 4504 - _xlfn.XMATCH($C2405, $C$4506:$C$5005, 0, 1), 0), 0), "00")</f>
        <v>00</v>
      </c>
      <c r="H2405" s="1" t="str">
        <f t="shared" si="223"/>
        <v>049</v>
      </c>
      <c r="I2405" s="1" t="str">
        <f t="shared" si="224"/>
        <v>13400-049</v>
      </c>
      <c r="J2405" s="1" t="str">
        <f t="shared" si="225"/>
        <v>Oboe production item #049</v>
      </c>
      <c r="K2405" s="1" t="str">
        <f>IF(SUM(COUNTIFS(I:I, I2405)) &gt; 1, "DUPLICATE", "UNIQUE")</f>
        <v>UNIQUE</v>
      </c>
      <c r="L2405" s="18">
        <v>16</v>
      </c>
      <c r="M2405" s="28">
        <v>78</v>
      </c>
      <c r="N2405" s="6">
        <v>36</v>
      </c>
      <c r="O2405" s="30">
        <f t="shared" si="226"/>
        <v>1248</v>
      </c>
      <c r="P2405" s="30">
        <f t="shared" si="227"/>
        <v>2808</v>
      </c>
      <c r="Q2405" s="1">
        <f>COUNTIFS($P:$P, "&gt;" &amp; $P2405) + 1</f>
        <v>2958</v>
      </c>
      <c r="R2405" s="63">
        <f>(COUNTIFS($P:$P, "&gt;" &amp; $P2405) + 1) / (COUNTA($I:$I) - 1)</f>
        <v>0.59160000000000001</v>
      </c>
      <c r="S2405" s="23">
        <f>SUMIFS($P:$P, $Q:$Q, "&lt;" &amp; $Q2405)</f>
        <v>184817725</v>
      </c>
    </row>
    <row r="2406" spans="1:19" x14ac:dyDescent="0.25">
      <c r="A2406" s="1">
        <v>2401</v>
      </c>
      <c r="B2406" s="1" t="s">
        <v>2</v>
      </c>
      <c r="C2406" s="1" t="str">
        <f>IF($B2406 = "Production Item", _xlfn.XLOOKUP($A2406, 'Instrument Table'!$J:$J, 'Instrument Table'!$B:$B, $C2405), IF($B2406 = "Service Item", _xlfn.XLOOKUP($A2406, 'Instrument Table'!$I:$I, 'Instrument Table'!$B:$B, $C2405), _xlfn.XLOOKUP($A2406, 'Instrument Table'!$H:$H, 'Instrument Table'!$B:$B, $C2405)))</f>
        <v>Bassoon</v>
      </c>
      <c r="D2406" s="1" t="str">
        <f>VLOOKUP($C2406, 'Instrument Table'!$B:$C, 2, FALSE)</f>
        <v>Woodwinds</v>
      </c>
      <c r="E2406" s="1">
        <f t="shared" si="222"/>
        <v>1</v>
      </c>
      <c r="F2406" s="1">
        <f>_xlfn.XLOOKUP($C2406, 'Instrument Table'!$B:$B, 'Instrument Table'!$A:$A, "")</f>
        <v>35</v>
      </c>
      <c r="G2406" s="1" t="str">
        <f>TEXT(IF($B2406 = "Retail Item", IF((ROW($A2406) - 4504 - _xlfn.XMATCH($C2406, $C$4506:$C$5005, 0, 1)) &lt;= VLOOKUP($C2406, 'Instrument Table'!$B:$D, 3, FALSE), ROW($A2406) - 4504 - _xlfn.XMATCH($C2406, $C$4506:$C$5005, 0, 1), 0), 0), "00")</f>
        <v>00</v>
      </c>
      <c r="H2406" s="1" t="str">
        <f t="shared" si="223"/>
        <v>000</v>
      </c>
      <c r="I2406" s="1" t="str">
        <f t="shared" si="224"/>
        <v>13500-000</v>
      </c>
      <c r="J2406" s="1" t="str">
        <f t="shared" si="225"/>
        <v>Bassoon production item #000</v>
      </c>
      <c r="K2406" s="1" t="str">
        <f>IF(SUM(COUNTIFS(I:I, I2406)) &gt; 1, "DUPLICATE", "UNIQUE")</f>
        <v>UNIQUE</v>
      </c>
      <c r="L2406" s="18">
        <v>0</v>
      </c>
      <c r="M2406" s="28">
        <v>42</v>
      </c>
      <c r="N2406" s="6">
        <v>289</v>
      </c>
      <c r="O2406" s="30">
        <f t="shared" si="226"/>
        <v>0</v>
      </c>
      <c r="P2406" s="30">
        <f t="shared" si="227"/>
        <v>12138</v>
      </c>
      <c r="Q2406" s="1">
        <f>COUNTIFS($P:$P, "&gt;" &amp; $P2406) + 1</f>
        <v>1570</v>
      </c>
      <c r="R2406" s="63">
        <f>(COUNTIFS($P:$P, "&gt;" &amp; $P2406) + 1) / (COUNTA($I:$I) - 1)</f>
        <v>0.314</v>
      </c>
      <c r="S2406" s="23">
        <f>SUMIFS($P:$P, $Q:$Q, "&lt;" &amp; $Q2406)</f>
        <v>175719474</v>
      </c>
    </row>
    <row r="2407" spans="1:19" x14ac:dyDescent="0.25">
      <c r="A2407" s="1">
        <v>2402</v>
      </c>
      <c r="B2407" s="1" t="s">
        <v>2</v>
      </c>
      <c r="C2407" s="1" t="str">
        <f>IF($B2407 = "Production Item", _xlfn.XLOOKUP($A2407, 'Instrument Table'!$J:$J, 'Instrument Table'!$B:$B, $C2406), IF($B2407 = "Service Item", _xlfn.XLOOKUP($A2407, 'Instrument Table'!$I:$I, 'Instrument Table'!$B:$B, $C2406), _xlfn.XLOOKUP($A2407, 'Instrument Table'!$H:$H, 'Instrument Table'!$B:$B, $C2406)))</f>
        <v>Bassoon</v>
      </c>
      <c r="D2407" s="1" t="str">
        <f>VLOOKUP($C2407, 'Instrument Table'!$B:$C, 2, FALSE)</f>
        <v>Woodwinds</v>
      </c>
      <c r="E2407" s="1">
        <f t="shared" si="222"/>
        <v>1</v>
      </c>
      <c r="F2407" s="1">
        <f>_xlfn.XLOOKUP($C2407, 'Instrument Table'!$B:$B, 'Instrument Table'!$A:$A, "")</f>
        <v>35</v>
      </c>
      <c r="G2407" s="1" t="str">
        <f>TEXT(IF($B2407 = "Retail Item", IF((ROW($A2407) - 4504 - _xlfn.XMATCH($C2407, $C$4506:$C$5005, 0, 1)) &lt;= VLOOKUP($C2407, 'Instrument Table'!$B:$D, 3, FALSE), ROW($A2407) - 4504 - _xlfn.XMATCH($C2407, $C$4506:$C$5005, 0, 1), 0), 0), "00")</f>
        <v>00</v>
      </c>
      <c r="H2407" s="1" t="str">
        <f t="shared" si="223"/>
        <v>001</v>
      </c>
      <c r="I2407" s="1" t="str">
        <f t="shared" si="224"/>
        <v>13500-001</v>
      </c>
      <c r="J2407" s="1" t="str">
        <f t="shared" si="225"/>
        <v>Bassoon production item #001</v>
      </c>
      <c r="K2407" s="1" t="str">
        <f>IF(SUM(COUNTIFS(I:I, I2407)) &gt; 1, "DUPLICATE", "UNIQUE")</f>
        <v>UNIQUE</v>
      </c>
      <c r="L2407" s="18">
        <v>1</v>
      </c>
      <c r="M2407" s="28">
        <v>83</v>
      </c>
      <c r="N2407" s="6">
        <v>289</v>
      </c>
      <c r="O2407" s="30">
        <f t="shared" si="226"/>
        <v>83</v>
      </c>
      <c r="P2407" s="30">
        <f t="shared" si="227"/>
        <v>23987</v>
      </c>
      <c r="Q2407" s="1">
        <f>COUNTIFS($P:$P, "&gt;" &amp; $P2407) + 1</f>
        <v>874</v>
      </c>
      <c r="R2407" s="63">
        <f>(COUNTIFS($P:$P, "&gt;" &amp; $P2407) + 1) / (COUNTA($I:$I) - 1)</f>
        <v>0.17480000000000001</v>
      </c>
      <c r="S2407" s="23">
        <f>SUMIFS($P:$P, $Q:$Q, "&lt;" &amp; $Q2407)</f>
        <v>163667085</v>
      </c>
    </row>
    <row r="2408" spans="1:19" x14ac:dyDescent="0.25">
      <c r="A2408" s="1">
        <v>2403</v>
      </c>
      <c r="B2408" s="1" t="s">
        <v>2</v>
      </c>
      <c r="C2408" s="1" t="str">
        <f>IF($B2408 = "Production Item", _xlfn.XLOOKUP($A2408, 'Instrument Table'!$J:$J, 'Instrument Table'!$B:$B, $C2407), IF($B2408 = "Service Item", _xlfn.XLOOKUP($A2408, 'Instrument Table'!$I:$I, 'Instrument Table'!$B:$B, $C2407), _xlfn.XLOOKUP($A2408, 'Instrument Table'!$H:$H, 'Instrument Table'!$B:$B, $C2407)))</f>
        <v>Bassoon</v>
      </c>
      <c r="D2408" s="1" t="str">
        <f>VLOOKUP($C2408, 'Instrument Table'!$B:$C, 2, FALSE)</f>
        <v>Woodwinds</v>
      </c>
      <c r="E2408" s="1">
        <f t="shared" si="222"/>
        <v>1</v>
      </c>
      <c r="F2408" s="1">
        <f>_xlfn.XLOOKUP($C2408, 'Instrument Table'!$B:$B, 'Instrument Table'!$A:$A, "")</f>
        <v>35</v>
      </c>
      <c r="G2408" s="1" t="str">
        <f>TEXT(IF($B2408 = "Retail Item", IF((ROW($A2408) - 4504 - _xlfn.XMATCH($C2408, $C$4506:$C$5005, 0, 1)) &lt;= VLOOKUP($C2408, 'Instrument Table'!$B:$D, 3, FALSE), ROW($A2408) - 4504 - _xlfn.XMATCH($C2408, $C$4506:$C$5005, 0, 1), 0), 0), "00")</f>
        <v>00</v>
      </c>
      <c r="H2408" s="1" t="str">
        <f t="shared" si="223"/>
        <v>002</v>
      </c>
      <c r="I2408" s="1" t="str">
        <f t="shared" si="224"/>
        <v>13500-002</v>
      </c>
      <c r="J2408" s="1" t="str">
        <f t="shared" si="225"/>
        <v>Bassoon production item #002</v>
      </c>
      <c r="K2408" s="1" t="str">
        <f>IF(SUM(COUNTIFS(I:I, I2408)) &gt; 1, "DUPLICATE", "UNIQUE")</f>
        <v>UNIQUE</v>
      </c>
      <c r="L2408" s="18">
        <v>2</v>
      </c>
      <c r="M2408" s="28">
        <v>13</v>
      </c>
      <c r="N2408" s="6">
        <v>9</v>
      </c>
      <c r="O2408" s="30">
        <f t="shared" si="226"/>
        <v>26</v>
      </c>
      <c r="P2408" s="30">
        <f t="shared" si="227"/>
        <v>117</v>
      </c>
      <c r="Q2408" s="1">
        <f>COUNTIFS($P:$P, "&gt;" &amp; $P2408) + 1</f>
        <v>4429</v>
      </c>
      <c r="R2408" s="63">
        <f>(COUNTIFS($P:$P, "&gt;" &amp; $P2408) + 1) / (COUNTA($I:$I) - 1)</f>
        <v>0.88580000000000003</v>
      </c>
      <c r="S2408" s="23">
        <f>SUMIFS($P:$P, $Q:$Q, "&lt;" &amp; $Q2408)</f>
        <v>186529879</v>
      </c>
    </row>
    <row r="2409" spans="1:19" x14ac:dyDescent="0.25">
      <c r="A2409" s="1">
        <v>2404</v>
      </c>
      <c r="B2409" s="1" t="s">
        <v>2</v>
      </c>
      <c r="C2409" s="1" t="str">
        <f>IF($B2409 = "Production Item", _xlfn.XLOOKUP($A2409, 'Instrument Table'!$J:$J, 'Instrument Table'!$B:$B, $C2408), IF($B2409 = "Service Item", _xlfn.XLOOKUP($A2409, 'Instrument Table'!$I:$I, 'Instrument Table'!$B:$B, $C2408), _xlfn.XLOOKUP($A2409, 'Instrument Table'!$H:$H, 'Instrument Table'!$B:$B, $C2408)))</f>
        <v>Bassoon</v>
      </c>
      <c r="D2409" s="1" t="str">
        <f>VLOOKUP($C2409, 'Instrument Table'!$B:$C, 2, FALSE)</f>
        <v>Woodwinds</v>
      </c>
      <c r="E2409" s="1">
        <f t="shared" si="222"/>
        <v>1</v>
      </c>
      <c r="F2409" s="1">
        <f>_xlfn.XLOOKUP($C2409, 'Instrument Table'!$B:$B, 'Instrument Table'!$A:$A, "")</f>
        <v>35</v>
      </c>
      <c r="G2409" s="1" t="str">
        <f>TEXT(IF($B2409 = "Retail Item", IF((ROW($A2409) - 4504 - _xlfn.XMATCH($C2409, $C$4506:$C$5005, 0, 1)) &lt;= VLOOKUP($C2409, 'Instrument Table'!$B:$D, 3, FALSE), ROW($A2409) - 4504 - _xlfn.XMATCH($C2409, $C$4506:$C$5005, 0, 1), 0), 0), "00")</f>
        <v>00</v>
      </c>
      <c r="H2409" s="1" t="str">
        <f t="shared" si="223"/>
        <v>003</v>
      </c>
      <c r="I2409" s="1" t="str">
        <f t="shared" si="224"/>
        <v>13500-003</v>
      </c>
      <c r="J2409" s="1" t="str">
        <f t="shared" si="225"/>
        <v>Bassoon production item #003</v>
      </c>
      <c r="K2409" s="1" t="str">
        <f>IF(SUM(COUNTIFS(I:I, I2409)) &gt; 1, "DUPLICATE", "UNIQUE")</f>
        <v>UNIQUE</v>
      </c>
      <c r="L2409" s="18">
        <v>1</v>
      </c>
      <c r="M2409" s="28">
        <v>30</v>
      </c>
      <c r="N2409" s="6">
        <v>100</v>
      </c>
      <c r="O2409" s="30">
        <f t="shared" si="226"/>
        <v>30</v>
      </c>
      <c r="P2409" s="30">
        <f t="shared" si="227"/>
        <v>3000</v>
      </c>
      <c r="Q2409" s="1">
        <f>COUNTIFS($P:$P, "&gt;" &amp; $P2409) + 1</f>
        <v>2907</v>
      </c>
      <c r="R2409" s="63">
        <f>(COUNTIFS($P:$P, "&gt;" &amp; $P2409) + 1) / (COUNTA($I:$I) - 1)</f>
        <v>0.58140000000000003</v>
      </c>
      <c r="S2409" s="23">
        <f>SUMIFS($P:$P, $Q:$Q, "&lt;" &amp; $Q2409)</f>
        <v>184669418</v>
      </c>
    </row>
    <row r="2410" spans="1:19" x14ac:dyDescent="0.25">
      <c r="A2410" s="1">
        <v>2405</v>
      </c>
      <c r="B2410" s="1" t="s">
        <v>2</v>
      </c>
      <c r="C2410" s="1" t="str">
        <f>IF($B2410 = "Production Item", _xlfn.XLOOKUP($A2410, 'Instrument Table'!$J:$J, 'Instrument Table'!$B:$B, $C2409), IF($B2410 = "Service Item", _xlfn.XLOOKUP($A2410, 'Instrument Table'!$I:$I, 'Instrument Table'!$B:$B, $C2409), _xlfn.XLOOKUP($A2410, 'Instrument Table'!$H:$H, 'Instrument Table'!$B:$B, $C2409)))</f>
        <v>Bassoon</v>
      </c>
      <c r="D2410" s="1" t="str">
        <f>VLOOKUP($C2410, 'Instrument Table'!$B:$C, 2, FALSE)</f>
        <v>Woodwinds</v>
      </c>
      <c r="E2410" s="1">
        <f t="shared" si="222"/>
        <v>1</v>
      </c>
      <c r="F2410" s="1">
        <f>_xlfn.XLOOKUP($C2410, 'Instrument Table'!$B:$B, 'Instrument Table'!$A:$A, "")</f>
        <v>35</v>
      </c>
      <c r="G2410" s="1" t="str">
        <f>TEXT(IF($B2410 = "Retail Item", IF((ROW($A2410) - 4504 - _xlfn.XMATCH($C2410, $C$4506:$C$5005, 0, 1)) &lt;= VLOOKUP($C2410, 'Instrument Table'!$B:$D, 3, FALSE), ROW($A2410) - 4504 - _xlfn.XMATCH($C2410, $C$4506:$C$5005, 0, 1), 0), 0), "00")</f>
        <v>00</v>
      </c>
      <c r="H2410" s="1" t="str">
        <f t="shared" si="223"/>
        <v>004</v>
      </c>
      <c r="I2410" s="1" t="str">
        <f t="shared" si="224"/>
        <v>13500-004</v>
      </c>
      <c r="J2410" s="1" t="str">
        <f t="shared" si="225"/>
        <v>Bassoon production item #004</v>
      </c>
      <c r="K2410" s="1" t="str">
        <f>IF(SUM(COUNTIFS(I:I, I2410)) &gt; 1, "DUPLICATE", "UNIQUE")</f>
        <v>UNIQUE</v>
      </c>
      <c r="L2410" s="18">
        <v>2</v>
      </c>
      <c r="M2410" s="28">
        <v>91</v>
      </c>
      <c r="N2410" s="6">
        <v>1</v>
      </c>
      <c r="O2410" s="30">
        <f t="shared" si="226"/>
        <v>182</v>
      </c>
      <c r="P2410" s="30">
        <f t="shared" si="227"/>
        <v>91</v>
      </c>
      <c r="Q2410" s="1">
        <f>COUNTIFS($P:$P, "&gt;" &amp; $P2410) + 1</f>
        <v>4478</v>
      </c>
      <c r="R2410" s="63">
        <f>(COUNTIFS($P:$P, "&gt;" &amp; $P2410) + 1) / (COUNTA($I:$I) - 1)</f>
        <v>0.89559999999999995</v>
      </c>
      <c r="S2410" s="23">
        <f>SUMIFS($P:$P, $Q:$Q, "&lt;" &amp; $Q2410)</f>
        <v>186534936</v>
      </c>
    </row>
    <row r="2411" spans="1:19" x14ac:dyDescent="0.25">
      <c r="A2411" s="1">
        <v>2406</v>
      </c>
      <c r="B2411" s="1" t="s">
        <v>2</v>
      </c>
      <c r="C2411" s="1" t="str">
        <f>IF($B2411 = "Production Item", _xlfn.XLOOKUP($A2411, 'Instrument Table'!$J:$J, 'Instrument Table'!$B:$B, $C2410), IF($B2411 = "Service Item", _xlfn.XLOOKUP($A2411, 'Instrument Table'!$I:$I, 'Instrument Table'!$B:$B, $C2410), _xlfn.XLOOKUP($A2411, 'Instrument Table'!$H:$H, 'Instrument Table'!$B:$B, $C2410)))</f>
        <v>Bassoon</v>
      </c>
      <c r="D2411" s="1" t="str">
        <f>VLOOKUP($C2411, 'Instrument Table'!$B:$C, 2, FALSE)</f>
        <v>Woodwinds</v>
      </c>
      <c r="E2411" s="1">
        <f t="shared" si="222"/>
        <v>1</v>
      </c>
      <c r="F2411" s="1">
        <f>_xlfn.XLOOKUP($C2411, 'Instrument Table'!$B:$B, 'Instrument Table'!$A:$A, "")</f>
        <v>35</v>
      </c>
      <c r="G2411" s="1" t="str">
        <f>TEXT(IF($B2411 = "Retail Item", IF((ROW($A2411) - 4504 - _xlfn.XMATCH($C2411, $C$4506:$C$5005, 0, 1)) &lt;= VLOOKUP($C2411, 'Instrument Table'!$B:$D, 3, FALSE), ROW($A2411) - 4504 - _xlfn.XMATCH($C2411, $C$4506:$C$5005, 0, 1), 0), 0), "00")</f>
        <v>00</v>
      </c>
      <c r="H2411" s="1" t="str">
        <f t="shared" si="223"/>
        <v>005</v>
      </c>
      <c r="I2411" s="1" t="str">
        <f t="shared" si="224"/>
        <v>13500-005</v>
      </c>
      <c r="J2411" s="1" t="str">
        <f t="shared" si="225"/>
        <v>Bassoon production item #005</v>
      </c>
      <c r="K2411" s="1" t="str">
        <f>IF(SUM(COUNTIFS(I:I, I2411)) &gt; 1, "DUPLICATE", "UNIQUE")</f>
        <v>UNIQUE</v>
      </c>
      <c r="L2411" s="18">
        <v>0</v>
      </c>
      <c r="M2411" s="28">
        <v>16</v>
      </c>
      <c r="N2411" s="6">
        <v>4</v>
      </c>
      <c r="O2411" s="30">
        <f t="shared" si="226"/>
        <v>0</v>
      </c>
      <c r="P2411" s="30">
        <f t="shared" si="227"/>
        <v>64</v>
      </c>
      <c r="Q2411" s="1">
        <f>COUNTIFS($P:$P, "&gt;" &amp; $P2411) + 1</f>
        <v>4553</v>
      </c>
      <c r="R2411" s="63">
        <f>(COUNTIFS($P:$P, "&gt;" &amp; $P2411) + 1) / (COUNTA($I:$I) - 1)</f>
        <v>0.91059999999999997</v>
      </c>
      <c r="S2411" s="23">
        <f>SUMIFS($P:$P, $Q:$Q, "&lt;" &amp; $Q2411)</f>
        <v>186540850</v>
      </c>
    </row>
    <row r="2412" spans="1:19" x14ac:dyDescent="0.25">
      <c r="A2412" s="1">
        <v>2407</v>
      </c>
      <c r="B2412" s="1" t="s">
        <v>2</v>
      </c>
      <c r="C2412" s="1" t="str">
        <f>IF($B2412 = "Production Item", _xlfn.XLOOKUP($A2412, 'Instrument Table'!$J:$J, 'Instrument Table'!$B:$B, $C2411), IF($B2412 = "Service Item", _xlfn.XLOOKUP($A2412, 'Instrument Table'!$I:$I, 'Instrument Table'!$B:$B, $C2411), _xlfn.XLOOKUP($A2412, 'Instrument Table'!$H:$H, 'Instrument Table'!$B:$B, $C2411)))</f>
        <v>Bassoon</v>
      </c>
      <c r="D2412" s="1" t="str">
        <f>VLOOKUP($C2412, 'Instrument Table'!$B:$C, 2, FALSE)</f>
        <v>Woodwinds</v>
      </c>
      <c r="E2412" s="1">
        <f t="shared" si="222"/>
        <v>1</v>
      </c>
      <c r="F2412" s="1">
        <f>_xlfn.XLOOKUP($C2412, 'Instrument Table'!$B:$B, 'Instrument Table'!$A:$A, "")</f>
        <v>35</v>
      </c>
      <c r="G2412" s="1" t="str">
        <f>TEXT(IF($B2412 = "Retail Item", IF((ROW($A2412) - 4504 - _xlfn.XMATCH($C2412, $C$4506:$C$5005, 0, 1)) &lt;= VLOOKUP($C2412, 'Instrument Table'!$B:$D, 3, FALSE), ROW($A2412) - 4504 - _xlfn.XMATCH($C2412, $C$4506:$C$5005, 0, 1), 0), 0), "00")</f>
        <v>00</v>
      </c>
      <c r="H2412" s="1" t="str">
        <f t="shared" si="223"/>
        <v>006</v>
      </c>
      <c r="I2412" s="1" t="str">
        <f t="shared" si="224"/>
        <v>13500-006</v>
      </c>
      <c r="J2412" s="1" t="str">
        <f t="shared" si="225"/>
        <v>Bassoon production item #006</v>
      </c>
      <c r="K2412" s="1" t="str">
        <f>IF(SUM(COUNTIFS(I:I, I2412)) &gt; 1, "DUPLICATE", "UNIQUE")</f>
        <v>UNIQUE</v>
      </c>
      <c r="L2412" s="18">
        <v>0</v>
      </c>
      <c r="M2412" s="28">
        <v>70</v>
      </c>
      <c r="N2412" s="6">
        <v>64</v>
      </c>
      <c r="O2412" s="30">
        <f t="shared" si="226"/>
        <v>0</v>
      </c>
      <c r="P2412" s="30">
        <f t="shared" si="227"/>
        <v>4480</v>
      </c>
      <c r="Q2412" s="1">
        <f>COUNTIFS($P:$P, "&gt;" &amp; $P2412) + 1</f>
        <v>2548</v>
      </c>
      <c r="R2412" s="63">
        <f>(COUNTIFS($P:$P, "&gt;" &amp; $P2412) + 1) / (COUNTA($I:$I) - 1)</f>
        <v>0.50960000000000005</v>
      </c>
      <c r="S2412" s="23">
        <f>SUMIFS($P:$P, $Q:$Q, "&lt;" &amp; $Q2412)</f>
        <v>183336003</v>
      </c>
    </row>
    <row r="2413" spans="1:19" x14ac:dyDescent="0.25">
      <c r="A2413" s="1">
        <v>2408</v>
      </c>
      <c r="B2413" s="1" t="s">
        <v>2</v>
      </c>
      <c r="C2413" s="1" t="str">
        <f>IF($B2413 = "Production Item", _xlfn.XLOOKUP($A2413, 'Instrument Table'!$J:$J, 'Instrument Table'!$B:$B, $C2412), IF($B2413 = "Service Item", _xlfn.XLOOKUP($A2413, 'Instrument Table'!$I:$I, 'Instrument Table'!$B:$B, $C2412), _xlfn.XLOOKUP($A2413, 'Instrument Table'!$H:$H, 'Instrument Table'!$B:$B, $C2412)))</f>
        <v>Bassoon</v>
      </c>
      <c r="D2413" s="1" t="str">
        <f>VLOOKUP($C2413, 'Instrument Table'!$B:$C, 2, FALSE)</f>
        <v>Woodwinds</v>
      </c>
      <c r="E2413" s="1">
        <f t="shared" si="222"/>
        <v>1</v>
      </c>
      <c r="F2413" s="1">
        <f>_xlfn.XLOOKUP($C2413, 'Instrument Table'!$B:$B, 'Instrument Table'!$A:$A, "")</f>
        <v>35</v>
      </c>
      <c r="G2413" s="1" t="str">
        <f>TEXT(IF($B2413 = "Retail Item", IF((ROW($A2413) - 4504 - _xlfn.XMATCH($C2413, $C$4506:$C$5005, 0, 1)) &lt;= VLOOKUP($C2413, 'Instrument Table'!$B:$D, 3, FALSE), ROW($A2413) - 4504 - _xlfn.XMATCH($C2413, $C$4506:$C$5005, 0, 1), 0), 0), "00")</f>
        <v>00</v>
      </c>
      <c r="H2413" s="1" t="str">
        <f t="shared" si="223"/>
        <v>007</v>
      </c>
      <c r="I2413" s="1" t="str">
        <f t="shared" si="224"/>
        <v>13500-007</v>
      </c>
      <c r="J2413" s="1" t="str">
        <f t="shared" si="225"/>
        <v>Bassoon production item #007</v>
      </c>
      <c r="K2413" s="1" t="str">
        <f>IF(SUM(COUNTIFS(I:I, I2413)) &gt; 1, "DUPLICATE", "UNIQUE")</f>
        <v>UNIQUE</v>
      </c>
      <c r="L2413" s="18">
        <v>32</v>
      </c>
      <c r="M2413" s="28">
        <v>13</v>
      </c>
      <c r="N2413" s="6">
        <v>225</v>
      </c>
      <c r="O2413" s="30">
        <f t="shared" si="226"/>
        <v>416</v>
      </c>
      <c r="P2413" s="30">
        <f t="shared" si="227"/>
        <v>2925</v>
      </c>
      <c r="Q2413" s="1">
        <f>COUNTIFS($P:$P, "&gt;" &amp; $P2413) + 1</f>
        <v>2923</v>
      </c>
      <c r="R2413" s="63">
        <f>(COUNTIFS($P:$P, "&gt;" &amp; $P2413) + 1) / (COUNTA($I:$I) - 1)</f>
        <v>0.58460000000000001</v>
      </c>
      <c r="S2413" s="23">
        <f>SUMIFS($P:$P, $Q:$Q, "&lt;" &amp; $Q2413)</f>
        <v>184716887</v>
      </c>
    </row>
    <row r="2414" spans="1:19" x14ac:dyDescent="0.25">
      <c r="A2414" s="1">
        <v>2409</v>
      </c>
      <c r="B2414" s="1" t="s">
        <v>2</v>
      </c>
      <c r="C2414" s="1" t="str">
        <f>IF($B2414 = "Production Item", _xlfn.XLOOKUP($A2414, 'Instrument Table'!$J:$J, 'Instrument Table'!$B:$B, $C2413), IF($B2414 = "Service Item", _xlfn.XLOOKUP($A2414, 'Instrument Table'!$I:$I, 'Instrument Table'!$B:$B, $C2413), _xlfn.XLOOKUP($A2414, 'Instrument Table'!$H:$H, 'Instrument Table'!$B:$B, $C2413)))</f>
        <v>Bassoon</v>
      </c>
      <c r="D2414" s="1" t="str">
        <f>VLOOKUP($C2414, 'Instrument Table'!$B:$C, 2, FALSE)</f>
        <v>Woodwinds</v>
      </c>
      <c r="E2414" s="1">
        <f t="shared" si="222"/>
        <v>1</v>
      </c>
      <c r="F2414" s="1">
        <f>_xlfn.XLOOKUP($C2414, 'Instrument Table'!$B:$B, 'Instrument Table'!$A:$A, "")</f>
        <v>35</v>
      </c>
      <c r="G2414" s="1" t="str">
        <f>TEXT(IF($B2414 = "Retail Item", IF((ROW($A2414) - 4504 - _xlfn.XMATCH($C2414, $C$4506:$C$5005, 0, 1)) &lt;= VLOOKUP($C2414, 'Instrument Table'!$B:$D, 3, FALSE), ROW($A2414) - 4504 - _xlfn.XMATCH($C2414, $C$4506:$C$5005, 0, 1), 0), 0), "00")</f>
        <v>00</v>
      </c>
      <c r="H2414" s="1" t="str">
        <f t="shared" si="223"/>
        <v>008</v>
      </c>
      <c r="I2414" s="1" t="str">
        <f t="shared" si="224"/>
        <v>13500-008</v>
      </c>
      <c r="J2414" s="1" t="str">
        <f t="shared" si="225"/>
        <v>Bassoon production item #008</v>
      </c>
      <c r="K2414" s="1" t="str">
        <f>IF(SUM(COUNTIFS(I:I, I2414)) &gt; 1, "DUPLICATE", "UNIQUE")</f>
        <v>UNIQUE</v>
      </c>
      <c r="L2414" s="18">
        <v>0</v>
      </c>
      <c r="M2414" s="28">
        <v>10</v>
      </c>
      <c r="N2414" s="6">
        <v>196</v>
      </c>
      <c r="O2414" s="30">
        <f t="shared" si="226"/>
        <v>0</v>
      </c>
      <c r="P2414" s="30">
        <f t="shared" si="227"/>
        <v>1960</v>
      </c>
      <c r="Q2414" s="1">
        <f>COUNTIFS($P:$P, "&gt;" &amp; $P2414) + 1</f>
        <v>3270</v>
      </c>
      <c r="R2414" s="63">
        <f>(COUNTIFS($P:$P, "&gt;" &amp; $P2414) + 1) / (COUNTA($I:$I) - 1)</f>
        <v>0.65400000000000003</v>
      </c>
      <c r="S2414" s="23">
        <f>SUMIFS($P:$P, $Q:$Q, "&lt;" &amp; $Q2414)</f>
        <v>185551060</v>
      </c>
    </row>
    <row r="2415" spans="1:19" x14ac:dyDescent="0.25">
      <c r="A2415" s="1">
        <v>2410</v>
      </c>
      <c r="B2415" s="1" t="s">
        <v>2</v>
      </c>
      <c r="C2415" s="1" t="str">
        <f>IF($B2415 = "Production Item", _xlfn.XLOOKUP($A2415, 'Instrument Table'!$J:$J, 'Instrument Table'!$B:$B, $C2414), IF($B2415 = "Service Item", _xlfn.XLOOKUP($A2415, 'Instrument Table'!$I:$I, 'Instrument Table'!$B:$B, $C2414), _xlfn.XLOOKUP($A2415, 'Instrument Table'!$H:$H, 'Instrument Table'!$B:$B, $C2414)))</f>
        <v>Bassoon</v>
      </c>
      <c r="D2415" s="1" t="str">
        <f>VLOOKUP($C2415, 'Instrument Table'!$B:$C, 2, FALSE)</f>
        <v>Woodwinds</v>
      </c>
      <c r="E2415" s="1">
        <f t="shared" si="222"/>
        <v>1</v>
      </c>
      <c r="F2415" s="1">
        <f>_xlfn.XLOOKUP($C2415, 'Instrument Table'!$B:$B, 'Instrument Table'!$A:$A, "")</f>
        <v>35</v>
      </c>
      <c r="G2415" s="1" t="str">
        <f>TEXT(IF($B2415 = "Retail Item", IF((ROW($A2415) - 4504 - _xlfn.XMATCH($C2415, $C$4506:$C$5005, 0, 1)) &lt;= VLOOKUP($C2415, 'Instrument Table'!$B:$D, 3, FALSE), ROW($A2415) - 4504 - _xlfn.XMATCH($C2415, $C$4506:$C$5005, 0, 1), 0), 0), "00")</f>
        <v>00</v>
      </c>
      <c r="H2415" s="1" t="str">
        <f t="shared" si="223"/>
        <v>009</v>
      </c>
      <c r="I2415" s="1" t="str">
        <f t="shared" si="224"/>
        <v>13500-009</v>
      </c>
      <c r="J2415" s="1" t="str">
        <f t="shared" si="225"/>
        <v>Bassoon production item #009</v>
      </c>
      <c r="K2415" s="1" t="str">
        <f>IF(SUM(COUNTIFS(I:I, I2415)) &gt; 1, "DUPLICATE", "UNIQUE")</f>
        <v>UNIQUE</v>
      </c>
      <c r="L2415" s="18">
        <v>0</v>
      </c>
      <c r="M2415" s="28">
        <v>37</v>
      </c>
      <c r="N2415" s="6">
        <v>121</v>
      </c>
      <c r="O2415" s="30">
        <f t="shared" si="226"/>
        <v>0</v>
      </c>
      <c r="P2415" s="30">
        <f t="shared" si="227"/>
        <v>4477</v>
      </c>
      <c r="Q2415" s="1">
        <f>COUNTIFS($P:$P, "&gt;" &amp; $P2415) + 1</f>
        <v>2550</v>
      </c>
      <c r="R2415" s="63">
        <f>(COUNTIFS($P:$P, "&gt;" &amp; $P2415) + 1) / (COUNTA($I:$I) - 1)</f>
        <v>0.51</v>
      </c>
      <c r="S2415" s="23">
        <f>SUMIFS($P:$P, $Q:$Q, "&lt;" &amp; $Q2415)</f>
        <v>183344963</v>
      </c>
    </row>
    <row r="2416" spans="1:19" x14ac:dyDescent="0.25">
      <c r="A2416" s="1">
        <v>2411</v>
      </c>
      <c r="B2416" s="1" t="s">
        <v>2</v>
      </c>
      <c r="C2416" s="1" t="str">
        <f>IF($B2416 = "Production Item", _xlfn.XLOOKUP($A2416, 'Instrument Table'!$J:$J, 'Instrument Table'!$B:$B, $C2415), IF($B2416 = "Service Item", _xlfn.XLOOKUP($A2416, 'Instrument Table'!$I:$I, 'Instrument Table'!$B:$B, $C2415), _xlfn.XLOOKUP($A2416, 'Instrument Table'!$H:$H, 'Instrument Table'!$B:$B, $C2415)))</f>
        <v>Bassoon</v>
      </c>
      <c r="D2416" s="1" t="str">
        <f>VLOOKUP($C2416, 'Instrument Table'!$B:$C, 2, FALSE)</f>
        <v>Woodwinds</v>
      </c>
      <c r="E2416" s="1">
        <f t="shared" si="222"/>
        <v>1</v>
      </c>
      <c r="F2416" s="1">
        <f>_xlfn.XLOOKUP($C2416, 'Instrument Table'!$B:$B, 'Instrument Table'!$A:$A, "")</f>
        <v>35</v>
      </c>
      <c r="G2416" s="1" t="str">
        <f>TEXT(IF($B2416 = "Retail Item", IF((ROW($A2416) - 4504 - _xlfn.XMATCH($C2416, $C$4506:$C$5005, 0, 1)) &lt;= VLOOKUP($C2416, 'Instrument Table'!$B:$D, 3, FALSE), ROW($A2416) - 4504 - _xlfn.XMATCH($C2416, $C$4506:$C$5005, 0, 1), 0), 0), "00")</f>
        <v>00</v>
      </c>
      <c r="H2416" s="1" t="str">
        <f t="shared" si="223"/>
        <v>010</v>
      </c>
      <c r="I2416" s="1" t="str">
        <f t="shared" si="224"/>
        <v>13500-010</v>
      </c>
      <c r="J2416" s="1" t="str">
        <f t="shared" si="225"/>
        <v>Bassoon production item #010</v>
      </c>
      <c r="K2416" s="1" t="str">
        <f>IF(SUM(COUNTIFS(I:I, I2416)) &gt; 1, "DUPLICATE", "UNIQUE")</f>
        <v>UNIQUE</v>
      </c>
      <c r="L2416" s="18">
        <v>1</v>
      </c>
      <c r="M2416" s="28">
        <v>98</v>
      </c>
      <c r="N2416" s="6">
        <v>121</v>
      </c>
      <c r="O2416" s="30">
        <f t="shared" si="226"/>
        <v>98</v>
      </c>
      <c r="P2416" s="30">
        <f t="shared" si="227"/>
        <v>11858</v>
      </c>
      <c r="Q2416" s="1">
        <f>COUNTIFS($P:$P, "&gt;" &amp; $P2416) + 1</f>
        <v>1592</v>
      </c>
      <c r="R2416" s="63">
        <f>(COUNTIFS($P:$P, "&gt;" &amp; $P2416) + 1) / (COUNTA($I:$I) - 1)</f>
        <v>0.31840000000000002</v>
      </c>
      <c r="S2416" s="23">
        <f>SUMIFS($P:$P, $Q:$Q, "&lt;" &amp; $Q2416)</f>
        <v>175984031</v>
      </c>
    </row>
    <row r="2417" spans="1:19" x14ac:dyDescent="0.25">
      <c r="A2417" s="1">
        <v>2412</v>
      </c>
      <c r="B2417" s="1" t="s">
        <v>2</v>
      </c>
      <c r="C2417" s="1" t="str">
        <f>IF($B2417 = "Production Item", _xlfn.XLOOKUP($A2417, 'Instrument Table'!$J:$J, 'Instrument Table'!$B:$B, $C2416), IF($B2417 = "Service Item", _xlfn.XLOOKUP($A2417, 'Instrument Table'!$I:$I, 'Instrument Table'!$B:$B, $C2416), _xlfn.XLOOKUP($A2417, 'Instrument Table'!$H:$H, 'Instrument Table'!$B:$B, $C2416)))</f>
        <v>Bassoon</v>
      </c>
      <c r="D2417" s="1" t="str">
        <f>VLOOKUP($C2417, 'Instrument Table'!$B:$C, 2, FALSE)</f>
        <v>Woodwinds</v>
      </c>
      <c r="E2417" s="1">
        <f t="shared" si="222"/>
        <v>1</v>
      </c>
      <c r="F2417" s="1">
        <f>_xlfn.XLOOKUP($C2417, 'Instrument Table'!$B:$B, 'Instrument Table'!$A:$A, "")</f>
        <v>35</v>
      </c>
      <c r="G2417" s="1" t="str">
        <f>TEXT(IF($B2417 = "Retail Item", IF((ROW($A2417) - 4504 - _xlfn.XMATCH($C2417, $C$4506:$C$5005, 0, 1)) &lt;= VLOOKUP($C2417, 'Instrument Table'!$B:$D, 3, FALSE), ROW($A2417) - 4504 - _xlfn.XMATCH($C2417, $C$4506:$C$5005, 0, 1), 0), 0), "00")</f>
        <v>00</v>
      </c>
      <c r="H2417" s="1" t="str">
        <f t="shared" si="223"/>
        <v>011</v>
      </c>
      <c r="I2417" s="1" t="str">
        <f t="shared" si="224"/>
        <v>13500-011</v>
      </c>
      <c r="J2417" s="1" t="str">
        <f t="shared" si="225"/>
        <v>Bassoon production item #011</v>
      </c>
      <c r="K2417" s="1" t="str">
        <f>IF(SUM(COUNTIFS(I:I, I2417)) &gt; 1, "DUPLICATE", "UNIQUE")</f>
        <v>UNIQUE</v>
      </c>
      <c r="L2417" s="18">
        <v>16</v>
      </c>
      <c r="M2417" s="28">
        <v>43</v>
      </c>
      <c r="N2417" s="6">
        <v>361</v>
      </c>
      <c r="O2417" s="30">
        <f t="shared" si="226"/>
        <v>688</v>
      </c>
      <c r="P2417" s="30">
        <f t="shared" si="227"/>
        <v>15523</v>
      </c>
      <c r="Q2417" s="1">
        <f>COUNTIFS($P:$P, "&gt;" &amp; $P2417) + 1</f>
        <v>1317</v>
      </c>
      <c r="R2417" s="63">
        <f>(COUNTIFS($P:$P, "&gt;" &amp; $P2417) + 1) / (COUNTA($I:$I) - 1)</f>
        <v>0.26340000000000002</v>
      </c>
      <c r="S2417" s="23">
        <f>SUMIFS($P:$P, $Q:$Q, "&lt;" &amp; $Q2417)</f>
        <v>172238990</v>
      </c>
    </row>
    <row r="2418" spans="1:19" x14ac:dyDescent="0.25">
      <c r="A2418" s="1">
        <v>2413</v>
      </c>
      <c r="B2418" s="1" t="s">
        <v>2</v>
      </c>
      <c r="C2418" s="1" t="str">
        <f>IF($B2418 = "Production Item", _xlfn.XLOOKUP($A2418, 'Instrument Table'!$J:$J, 'Instrument Table'!$B:$B, $C2417), IF($B2418 = "Service Item", _xlfn.XLOOKUP($A2418, 'Instrument Table'!$I:$I, 'Instrument Table'!$B:$B, $C2417), _xlfn.XLOOKUP($A2418, 'Instrument Table'!$H:$H, 'Instrument Table'!$B:$B, $C2417)))</f>
        <v>Bassoon</v>
      </c>
      <c r="D2418" s="1" t="str">
        <f>VLOOKUP($C2418, 'Instrument Table'!$B:$C, 2, FALSE)</f>
        <v>Woodwinds</v>
      </c>
      <c r="E2418" s="1">
        <f t="shared" si="222"/>
        <v>1</v>
      </c>
      <c r="F2418" s="1">
        <f>_xlfn.XLOOKUP($C2418, 'Instrument Table'!$B:$B, 'Instrument Table'!$A:$A, "")</f>
        <v>35</v>
      </c>
      <c r="G2418" s="1" t="str">
        <f>TEXT(IF($B2418 = "Retail Item", IF((ROW($A2418) - 4504 - _xlfn.XMATCH($C2418, $C$4506:$C$5005, 0, 1)) &lt;= VLOOKUP($C2418, 'Instrument Table'!$B:$D, 3, FALSE), ROW($A2418) - 4504 - _xlfn.XMATCH($C2418, $C$4506:$C$5005, 0, 1), 0), 0), "00")</f>
        <v>00</v>
      </c>
      <c r="H2418" s="1" t="str">
        <f t="shared" si="223"/>
        <v>012</v>
      </c>
      <c r="I2418" s="1" t="str">
        <f t="shared" si="224"/>
        <v>13500-012</v>
      </c>
      <c r="J2418" s="1" t="str">
        <f t="shared" si="225"/>
        <v>Bassoon production item #012</v>
      </c>
      <c r="K2418" s="1" t="str">
        <f>IF(SUM(COUNTIFS(I:I, I2418)) &gt; 1, "DUPLICATE", "UNIQUE")</f>
        <v>UNIQUE</v>
      </c>
      <c r="L2418" s="18">
        <v>16</v>
      </c>
      <c r="M2418" s="28">
        <v>3</v>
      </c>
      <c r="N2418" s="6">
        <v>361</v>
      </c>
      <c r="O2418" s="30">
        <f t="shared" si="226"/>
        <v>48</v>
      </c>
      <c r="P2418" s="30">
        <f t="shared" si="227"/>
        <v>1083</v>
      </c>
      <c r="Q2418" s="1">
        <f>COUNTIFS($P:$P, "&gt;" &amp; $P2418) + 1</f>
        <v>3653</v>
      </c>
      <c r="R2418" s="63">
        <f>(COUNTIFS($P:$P, "&gt;" &amp; $P2418) + 1) / (COUNTA($I:$I) - 1)</f>
        <v>0.73060000000000003</v>
      </c>
      <c r="S2418" s="23">
        <f>SUMIFS($P:$P, $Q:$Q, "&lt;" &amp; $Q2418)</f>
        <v>186131075</v>
      </c>
    </row>
    <row r="2419" spans="1:19" x14ac:dyDescent="0.25">
      <c r="A2419" s="1">
        <v>2414</v>
      </c>
      <c r="B2419" s="1" t="s">
        <v>2</v>
      </c>
      <c r="C2419" s="1" t="str">
        <f>IF($B2419 = "Production Item", _xlfn.XLOOKUP($A2419, 'Instrument Table'!$J:$J, 'Instrument Table'!$B:$B, $C2418), IF($B2419 = "Service Item", _xlfn.XLOOKUP($A2419, 'Instrument Table'!$I:$I, 'Instrument Table'!$B:$B, $C2418), _xlfn.XLOOKUP($A2419, 'Instrument Table'!$H:$H, 'Instrument Table'!$B:$B, $C2418)))</f>
        <v>Bassoon</v>
      </c>
      <c r="D2419" s="1" t="str">
        <f>VLOOKUP($C2419, 'Instrument Table'!$B:$C, 2, FALSE)</f>
        <v>Woodwinds</v>
      </c>
      <c r="E2419" s="1">
        <f t="shared" si="222"/>
        <v>1</v>
      </c>
      <c r="F2419" s="1">
        <f>_xlfn.XLOOKUP($C2419, 'Instrument Table'!$B:$B, 'Instrument Table'!$A:$A, "")</f>
        <v>35</v>
      </c>
      <c r="G2419" s="1" t="str">
        <f>TEXT(IF($B2419 = "Retail Item", IF((ROW($A2419) - 4504 - _xlfn.XMATCH($C2419, $C$4506:$C$5005, 0, 1)) &lt;= VLOOKUP($C2419, 'Instrument Table'!$B:$D, 3, FALSE), ROW($A2419) - 4504 - _xlfn.XMATCH($C2419, $C$4506:$C$5005, 0, 1), 0), 0), "00")</f>
        <v>00</v>
      </c>
      <c r="H2419" s="1" t="str">
        <f t="shared" si="223"/>
        <v>013</v>
      </c>
      <c r="I2419" s="1" t="str">
        <f t="shared" si="224"/>
        <v>13500-013</v>
      </c>
      <c r="J2419" s="1" t="str">
        <f t="shared" si="225"/>
        <v>Bassoon production item #013</v>
      </c>
      <c r="K2419" s="1" t="str">
        <f>IF(SUM(COUNTIFS(I:I, I2419)) &gt; 1, "DUPLICATE", "UNIQUE")</f>
        <v>UNIQUE</v>
      </c>
      <c r="L2419" s="18">
        <v>1</v>
      </c>
      <c r="M2419" s="28">
        <v>63</v>
      </c>
      <c r="N2419" s="6">
        <v>25</v>
      </c>
      <c r="O2419" s="30">
        <f t="shared" si="226"/>
        <v>63</v>
      </c>
      <c r="P2419" s="30">
        <f t="shared" si="227"/>
        <v>1575</v>
      </c>
      <c r="Q2419" s="1">
        <f>COUNTIFS($P:$P, "&gt;" &amp; $P2419) + 1</f>
        <v>3424</v>
      </c>
      <c r="R2419" s="63">
        <f>(COUNTIFS($P:$P, "&gt;" &amp; $P2419) + 1) / (COUNTA($I:$I) - 1)</f>
        <v>0.68479999999999996</v>
      </c>
      <c r="S2419" s="23">
        <f>SUMIFS($P:$P, $Q:$Q, "&lt;" &amp; $Q2419)</f>
        <v>185823279</v>
      </c>
    </row>
    <row r="2420" spans="1:19" x14ac:dyDescent="0.25">
      <c r="A2420" s="1">
        <v>2415</v>
      </c>
      <c r="B2420" s="1" t="s">
        <v>2</v>
      </c>
      <c r="C2420" s="1" t="str">
        <f>IF($B2420 = "Production Item", _xlfn.XLOOKUP($A2420, 'Instrument Table'!$J:$J, 'Instrument Table'!$B:$B, $C2419), IF($B2420 = "Service Item", _xlfn.XLOOKUP($A2420, 'Instrument Table'!$I:$I, 'Instrument Table'!$B:$B, $C2419), _xlfn.XLOOKUP($A2420, 'Instrument Table'!$H:$H, 'Instrument Table'!$B:$B, $C2419)))</f>
        <v>Bassoon</v>
      </c>
      <c r="D2420" s="1" t="str">
        <f>VLOOKUP($C2420, 'Instrument Table'!$B:$C, 2, FALSE)</f>
        <v>Woodwinds</v>
      </c>
      <c r="E2420" s="1">
        <f t="shared" si="222"/>
        <v>1</v>
      </c>
      <c r="F2420" s="1">
        <f>_xlfn.XLOOKUP($C2420, 'Instrument Table'!$B:$B, 'Instrument Table'!$A:$A, "")</f>
        <v>35</v>
      </c>
      <c r="G2420" s="1" t="str">
        <f>TEXT(IF($B2420 = "Retail Item", IF((ROW($A2420) - 4504 - _xlfn.XMATCH($C2420, $C$4506:$C$5005, 0, 1)) &lt;= VLOOKUP($C2420, 'Instrument Table'!$B:$D, 3, FALSE), ROW($A2420) - 4504 - _xlfn.XMATCH($C2420, $C$4506:$C$5005, 0, 1), 0), 0), "00")</f>
        <v>00</v>
      </c>
      <c r="H2420" s="1" t="str">
        <f t="shared" si="223"/>
        <v>014</v>
      </c>
      <c r="I2420" s="1" t="str">
        <f t="shared" si="224"/>
        <v>13500-014</v>
      </c>
      <c r="J2420" s="1" t="str">
        <f t="shared" si="225"/>
        <v>Bassoon production item #014</v>
      </c>
      <c r="K2420" s="1" t="str">
        <f>IF(SUM(COUNTIFS(I:I, I2420)) &gt; 1, "DUPLICATE", "UNIQUE")</f>
        <v>UNIQUE</v>
      </c>
      <c r="L2420" s="18">
        <v>1</v>
      </c>
      <c r="M2420" s="28">
        <v>1</v>
      </c>
      <c r="N2420" s="6">
        <v>81</v>
      </c>
      <c r="O2420" s="30">
        <f t="shared" si="226"/>
        <v>1</v>
      </c>
      <c r="P2420" s="30">
        <f t="shared" si="227"/>
        <v>81</v>
      </c>
      <c r="Q2420" s="1">
        <f>COUNTIFS($P:$P, "&gt;" &amp; $P2420) + 1</f>
        <v>4505</v>
      </c>
      <c r="R2420" s="63">
        <f>(COUNTIFS($P:$P, "&gt;" &amp; $P2420) + 1) / (COUNTA($I:$I) - 1)</f>
        <v>0.90100000000000002</v>
      </c>
      <c r="S2420" s="23">
        <f>SUMIFS($P:$P, $Q:$Q, "&lt;" &amp; $Q2420)</f>
        <v>186537273</v>
      </c>
    </row>
    <row r="2421" spans="1:19" x14ac:dyDescent="0.25">
      <c r="A2421" s="1">
        <v>2416</v>
      </c>
      <c r="B2421" s="1" t="s">
        <v>2</v>
      </c>
      <c r="C2421" s="1" t="str">
        <f>IF($B2421 = "Production Item", _xlfn.XLOOKUP($A2421, 'Instrument Table'!$J:$J, 'Instrument Table'!$B:$B, $C2420), IF($B2421 = "Service Item", _xlfn.XLOOKUP($A2421, 'Instrument Table'!$I:$I, 'Instrument Table'!$B:$B, $C2420), _xlfn.XLOOKUP($A2421, 'Instrument Table'!$H:$H, 'Instrument Table'!$B:$B, $C2420)))</f>
        <v>Bassoon</v>
      </c>
      <c r="D2421" s="1" t="str">
        <f>VLOOKUP($C2421, 'Instrument Table'!$B:$C, 2, FALSE)</f>
        <v>Woodwinds</v>
      </c>
      <c r="E2421" s="1">
        <f t="shared" si="222"/>
        <v>1</v>
      </c>
      <c r="F2421" s="1">
        <f>_xlfn.XLOOKUP($C2421, 'Instrument Table'!$B:$B, 'Instrument Table'!$A:$A, "")</f>
        <v>35</v>
      </c>
      <c r="G2421" s="1" t="str">
        <f>TEXT(IF($B2421 = "Retail Item", IF((ROW($A2421) - 4504 - _xlfn.XMATCH($C2421, $C$4506:$C$5005, 0, 1)) &lt;= VLOOKUP($C2421, 'Instrument Table'!$B:$D, 3, FALSE), ROW($A2421) - 4504 - _xlfn.XMATCH($C2421, $C$4506:$C$5005, 0, 1), 0), 0), "00")</f>
        <v>00</v>
      </c>
      <c r="H2421" s="1" t="str">
        <f t="shared" si="223"/>
        <v>015</v>
      </c>
      <c r="I2421" s="1" t="str">
        <f t="shared" si="224"/>
        <v>13500-015</v>
      </c>
      <c r="J2421" s="1" t="str">
        <f t="shared" si="225"/>
        <v>Bassoon production item #015</v>
      </c>
      <c r="K2421" s="1" t="str">
        <f>IF(SUM(COUNTIFS(I:I, I2421)) &gt; 1, "DUPLICATE", "UNIQUE")</f>
        <v>UNIQUE</v>
      </c>
      <c r="L2421" s="18">
        <v>1</v>
      </c>
      <c r="M2421" s="28">
        <v>15</v>
      </c>
      <c r="N2421" s="6">
        <v>64</v>
      </c>
      <c r="O2421" s="30">
        <f t="shared" si="226"/>
        <v>15</v>
      </c>
      <c r="P2421" s="30">
        <f t="shared" si="227"/>
        <v>960</v>
      </c>
      <c r="Q2421" s="1">
        <f>COUNTIFS($P:$P, "&gt;" &amp; $P2421) + 1</f>
        <v>3701</v>
      </c>
      <c r="R2421" s="63">
        <f>(COUNTIFS($P:$P, "&gt;" &amp; $P2421) + 1) / (COUNTA($I:$I) - 1)</f>
        <v>0.74019999999999997</v>
      </c>
      <c r="S2421" s="23">
        <f>SUMIFS($P:$P, $Q:$Q, "&lt;" &amp; $Q2421)</f>
        <v>186179798</v>
      </c>
    </row>
    <row r="2422" spans="1:19" x14ac:dyDescent="0.25">
      <c r="A2422" s="1">
        <v>2417</v>
      </c>
      <c r="B2422" s="1" t="s">
        <v>2</v>
      </c>
      <c r="C2422" s="1" t="str">
        <f>IF($B2422 = "Production Item", _xlfn.XLOOKUP($A2422, 'Instrument Table'!$J:$J, 'Instrument Table'!$B:$B, $C2421), IF($B2422 = "Service Item", _xlfn.XLOOKUP($A2422, 'Instrument Table'!$I:$I, 'Instrument Table'!$B:$B, $C2421), _xlfn.XLOOKUP($A2422, 'Instrument Table'!$H:$H, 'Instrument Table'!$B:$B, $C2421)))</f>
        <v>Bassoon</v>
      </c>
      <c r="D2422" s="1" t="str">
        <f>VLOOKUP($C2422, 'Instrument Table'!$B:$C, 2, FALSE)</f>
        <v>Woodwinds</v>
      </c>
      <c r="E2422" s="1">
        <f t="shared" si="222"/>
        <v>1</v>
      </c>
      <c r="F2422" s="1">
        <f>_xlfn.XLOOKUP($C2422, 'Instrument Table'!$B:$B, 'Instrument Table'!$A:$A, "")</f>
        <v>35</v>
      </c>
      <c r="G2422" s="1" t="str">
        <f>TEXT(IF($B2422 = "Retail Item", IF((ROW($A2422) - 4504 - _xlfn.XMATCH($C2422, $C$4506:$C$5005, 0, 1)) &lt;= VLOOKUP($C2422, 'Instrument Table'!$B:$D, 3, FALSE), ROW($A2422) - 4504 - _xlfn.XMATCH($C2422, $C$4506:$C$5005, 0, 1), 0), 0), "00")</f>
        <v>00</v>
      </c>
      <c r="H2422" s="1" t="str">
        <f t="shared" si="223"/>
        <v>016</v>
      </c>
      <c r="I2422" s="1" t="str">
        <f t="shared" si="224"/>
        <v>13500-016</v>
      </c>
      <c r="J2422" s="1" t="str">
        <f t="shared" si="225"/>
        <v>Bassoon production item #016</v>
      </c>
      <c r="K2422" s="1" t="str">
        <f>IF(SUM(COUNTIFS(I:I, I2422)) &gt; 1, "DUPLICATE", "UNIQUE")</f>
        <v>UNIQUE</v>
      </c>
      <c r="L2422" s="18">
        <v>0</v>
      </c>
      <c r="M2422" s="28">
        <v>25</v>
      </c>
      <c r="N2422" s="6">
        <v>121</v>
      </c>
      <c r="O2422" s="30">
        <f t="shared" si="226"/>
        <v>0</v>
      </c>
      <c r="P2422" s="30">
        <f t="shared" si="227"/>
        <v>3025</v>
      </c>
      <c r="Q2422" s="1">
        <f>COUNTIFS($P:$P, "&gt;" &amp; $P2422) + 1</f>
        <v>2900</v>
      </c>
      <c r="R2422" s="63">
        <f>(COUNTIFS($P:$P, "&gt;" &amp; $P2422) + 1) / (COUNTA($I:$I) - 1)</f>
        <v>0.57999999999999996</v>
      </c>
      <c r="S2422" s="23">
        <f>SUMIFS($P:$P, $Q:$Q, "&lt;" &amp; $Q2422)</f>
        <v>184648263</v>
      </c>
    </row>
    <row r="2423" spans="1:19" x14ac:dyDescent="0.25">
      <c r="A2423" s="1">
        <v>2418</v>
      </c>
      <c r="B2423" s="1" t="s">
        <v>2</v>
      </c>
      <c r="C2423" s="1" t="str">
        <f>IF($B2423 = "Production Item", _xlfn.XLOOKUP($A2423, 'Instrument Table'!$J:$J, 'Instrument Table'!$B:$B, $C2422), IF($B2423 = "Service Item", _xlfn.XLOOKUP($A2423, 'Instrument Table'!$I:$I, 'Instrument Table'!$B:$B, $C2422), _xlfn.XLOOKUP($A2423, 'Instrument Table'!$H:$H, 'Instrument Table'!$B:$B, $C2422)))</f>
        <v>Bassoon</v>
      </c>
      <c r="D2423" s="1" t="str">
        <f>VLOOKUP($C2423, 'Instrument Table'!$B:$C, 2, FALSE)</f>
        <v>Woodwinds</v>
      </c>
      <c r="E2423" s="1">
        <f t="shared" si="222"/>
        <v>1</v>
      </c>
      <c r="F2423" s="1">
        <f>_xlfn.XLOOKUP($C2423, 'Instrument Table'!$B:$B, 'Instrument Table'!$A:$A, "")</f>
        <v>35</v>
      </c>
      <c r="G2423" s="1" t="str">
        <f>TEXT(IF($B2423 = "Retail Item", IF((ROW($A2423) - 4504 - _xlfn.XMATCH($C2423, $C$4506:$C$5005, 0, 1)) &lt;= VLOOKUP($C2423, 'Instrument Table'!$B:$D, 3, FALSE), ROW($A2423) - 4504 - _xlfn.XMATCH($C2423, $C$4506:$C$5005, 0, 1), 0), 0), "00")</f>
        <v>00</v>
      </c>
      <c r="H2423" s="1" t="str">
        <f t="shared" si="223"/>
        <v>017</v>
      </c>
      <c r="I2423" s="1" t="str">
        <f t="shared" si="224"/>
        <v>13500-017</v>
      </c>
      <c r="J2423" s="1" t="str">
        <f t="shared" si="225"/>
        <v>Bassoon production item #017</v>
      </c>
      <c r="K2423" s="1" t="str">
        <f>IF(SUM(COUNTIFS(I:I, I2423)) &gt; 1, "DUPLICATE", "UNIQUE")</f>
        <v>UNIQUE</v>
      </c>
      <c r="L2423" s="18">
        <v>0</v>
      </c>
      <c r="M2423" s="28">
        <v>42</v>
      </c>
      <c r="N2423" s="6">
        <v>196</v>
      </c>
      <c r="O2423" s="30">
        <f t="shared" si="226"/>
        <v>0</v>
      </c>
      <c r="P2423" s="30">
        <f t="shared" si="227"/>
        <v>8232</v>
      </c>
      <c r="Q2423" s="1">
        <f>COUNTIFS($P:$P, "&gt;" &amp; $P2423) + 1</f>
        <v>1954</v>
      </c>
      <c r="R2423" s="63">
        <f>(COUNTIFS($P:$P, "&gt;" &amp; $P2423) + 1) / (COUNTA($I:$I) - 1)</f>
        <v>0.39079999999999998</v>
      </c>
      <c r="S2423" s="23">
        <f>SUMIFS($P:$P, $Q:$Q, "&lt;" &amp; $Q2423)</f>
        <v>179624569</v>
      </c>
    </row>
    <row r="2424" spans="1:19" x14ac:dyDescent="0.25">
      <c r="A2424" s="1">
        <v>2419</v>
      </c>
      <c r="B2424" s="1" t="s">
        <v>2</v>
      </c>
      <c r="C2424" s="1" t="str">
        <f>IF($B2424 = "Production Item", _xlfn.XLOOKUP($A2424, 'Instrument Table'!$J:$J, 'Instrument Table'!$B:$B, $C2423), IF($B2424 = "Service Item", _xlfn.XLOOKUP($A2424, 'Instrument Table'!$I:$I, 'Instrument Table'!$B:$B, $C2423), _xlfn.XLOOKUP($A2424, 'Instrument Table'!$H:$H, 'Instrument Table'!$B:$B, $C2423)))</f>
        <v>Bassoon</v>
      </c>
      <c r="D2424" s="1" t="str">
        <f>VLOOKUP($C2424, 'Instrument Table'!$B:$C, 2, FALSE)</f>
        <v>Woodwinds</v>
      </c>
      <c r="E2424" s="1">
        <f t="shared" si="222"/>
        <v>1</v>
      </c>
      <c r="F2424" s="1">
        <f>_xlfn.XLOOKUP($C2424, 'Instrument Table'!$B:$B, 'Instrument Table'!$A:$A, "")</f>
        <v>35</v>
      </c>
      <c r="G2424" s="1" t="str">
        <f>TEXT(IF($B2424 = "Retail Item", IF((ROW($A2424) - 4504 - _xlfn.XMATCH($C2424, $C$4506:$C$5005, 0, 1)) &lt;= VLOOKUP($C2424, 'Instrument Table'!$B:$D, 3, FALSE), ROW($A2424) - 4504 - _xlfn.XMATCH($C2424, $C$4506:$C$5005, 0, 1), 0), 0), "00")</f>
        <v>00</v>
      </c>
      <c r="H2424" s="1" t="str">
        <f t="shared" si="223"/>
        <v>018</v>
      </c>
      <c r="I2424" s="1" t="str">
        <f t="shared" si="224"/>
        <v>13500-018</v>
      </c>
      <c r="J2424" s="1" t="str">
        <f t="shared" si="225"/>
        <v>Bassoon production item #018</v>
      </c>
      <c r="K2424" s="1" t="str">
        <f>IF(SUM(COUNTIFS(I:I, I2424)) &gt; 1, "DUPLICATE", "UNIQUE")</f>
        <v>UNIQUE</v>
      </c>
      <c r="L2424" s="18">
        <v>1</v>
      </c>
      <c r="M2424" s="28">
        <v>31</v>
      </c>
      <c r="N2424" s="6">
        <v>4</v>
      </c>
      <c r="O2424" s="30">
        <f t="shared" si="226"/>
        <v>31</v>
      </c>
      <c r="P2424" s="30">
        <f t="shared" si="227"/>
        <v>124</v>
      </c>
      <c r="Q2424" s="1">
        <f>COUNTIFS($P:$P, "&gt;" &amp; $P2424) + 1</f>
        <v>4422</v>
      </c>
      <c r="R2424" s="63">
        <f>(COUNTIFS($P:$P, "&gt;" &amp; $P2424) + 1) / (COUNTA($I:$I) - 1)</f>
        <v>0.88439999999999996</v>
      </c>
      <c r="S2424" s="23">
        <f>SUMIFS($P:$P, $Q:$Q, "&lt;" &amp; $Q2424)</f>
        <v>186529025</v>
      </c>
    </row>
    <row r="2425" spans="1:19" x14ac:dyDescent="0.25">
      <c r="A2425" s="1">
        <v>2420</v>
      </c>
      <c r="B2425" s="1" t="s">
        <v>2</v>
      </c>
      <c r="C2425" s="1" t="str">
        <f>IF($B2425 = "Production Item", _xlfn.XLOOKUP($A2425, 'Instrument Table'!$J:$J, 'Instrument Table'!$B:$B, $C2424), IF($B2425 = "Service Item", _xlfn.XLOOKUP($A2425, 'Instrument Table'!$I:$I, 'Instrument Table'!$B:$B, $C2424), _xlfn.XLOOKUP($A2425, 'Instrument Table'!$H:$H, 'Instrument Table'!$B:$B, $C2424)))</f>
        <v>Bassoon</v>
      </c>
      <c r="D2425" s="1" t="str">
        <f>VLOOKUP($C2425, 'Instrument Table'!$B:$C, 2, FALSE)</f>
        <v>Woodwinds</v>
      </c>
      <c r="E2425" s="1">
        <f t="shared" si="222"/>
        <v>1</v>
      </c>
      <c r="F2425" s="1">
        <f>_xlfn.XLOOKUP($C2425, 'Instrument Table'!$B:$B, 'Instrument Table'!$A:$A, "")</f>
        <v>35</v>
      </c>
      <c r="G2425" s="1" t="str">
        <f>TEXT(IF($B2425 = "Retail Item", IF((ROW($A2425) - 4504 - _xlfn.XMATCH($C2425, $C$4506:$C$5005, 0, 1)) &lt;= VLOOKUP($C2425, 'Instrument Table'!$B:$D, 3, FALSE), ROW($A2425) - 4504 - _xlfn.XMATCH($C2425, $C$4506:$C$5005, 0, 1), 0), 0), "00")</f>
        <v>00</v>
      </c>
      <c r="H2425" s="1" t="str">
        <f t="shared" si="223"/>
        <v>019</v>
      </c>
      <c r="I2425" s="1" t="str">
        <f t="shared" si="224"/>
        <v>13500-019</v>
      </c>
      <c r="J2425" s="1" t="str">
        <f t="shared" si="225"/>
        <v>Bassoon production item #019</v>
      </c>
      <c r="K2425" s="1" t="str">
        <f>IF(SUM(COUNTIFS(I:I, I2425)) &gt; 1, "DUPLICATE", "UNIQUE")</f>
        <v>UNIQUE</v>
      </c>
      <c r="L2425" s="18">
        <v>4</v>
      </c>
      <c r="M2425" s="28">
        <v>47</v>
      </c>
      <c r="N2425" s="6">
        <v>4</v>
      </c>
      <c r="O2425" s="30">
        <f t="shared" si="226"/>
        <v>188</v>
      </c>
      <c r="P2425" s="30">
        <f t="shared" si="227"/>
        <v>188</v>
      </c>
      <c r="Q2425" s="1">
        <f>COUNTIFS($P:$P, "&gt;" &amp; $P2425) + 1</f>
        <v>4348</v>
      </c>
      <c r="R2425" s="63">
        <f>(COUNTIFS($P:$P, "&gt;" &amp; $P2425) + 1) / (COUNTA($I:$I) - 1)</f>
        <v>0.86960000000000004</v>
      </c>
      <c r="S2425" s="23">
        <f>SUMIFS($P:$P, $Q:$Q, "&lt;" &amp; $Q2425)</f>
        <v>186517200</v>
      </c>
    </row>
    <row r="2426" spans="1:19" x14ac:dyDescent="0.25">
      <c r="A2426" s="1">
        <v>2421</v>
      </c>
      <c r="B2426" s="1" t="s">
        <v>2</v>
      </c>
      <c r="C2426" s="1" t="str">
        <f>IF($B2426 = "Production Item", _xlfn.XLOOKUP($A2426, 'Instrument Table'!$J:$J, 'Instrument Table'!$B:$B, $C2425), IF($B2426 = "Service Item", _xlfn.XLOOKUP($A2426, 'Instrument Table'!$I:$I, 'Instrument Table'!$B:$B, $C2425), _xlfn.XLOOKUP($A2426, 'Instrument Table'!$H:$H, 'Instrument Table'!$B:$B, $C2425)))</f>
        <v>Bassoon</v>
      </c>
      <c r="D2426" s="1" t="str">
        <f>VLOOKUP($C2426, 'Instrument Table'!$B:$C, 2, FALSE)</f>
        <v>Woodwinds</v>
      </c>
      <c r="E2426" s="1">
        <f t="shared" si="222"/>
        <v>1</v>
      </c>
      <c r="F2426" s="1">
        <f>_xlfn.XLOOKUP($C2426, 'Instrument Table'!$B:$B, 'Instrument Table'!$A:$A, "")</f>
        <v>35</v>
      </c>
      <c r="G2426" s="1" t="str">
        <f>TEXT(IF($B2426 = "Retail Item", IF((ROW($A2426) - 4504 - _xlfn.XMATCH($C2426, $C$4506:$C$5005, 0, 1)) &lt;= VLOOKUP($C2426, 'Instrument Table'!$B:$D, 3, FALSE), ROW($A2426) - 4504 - _xlfn.XMATCH($C2426, $C$4506:$C$5005, 0, 1), 0), 0), "00")</f>
        <v>00</v>
      </c>
      <c r="H2426" s="1" t="str">
        <f t="shared" si="223"/>
        <v>020</v>
      </c>
      <c r="I2426" s="1" t="str">
        <f t="shared" si="224"/>
        <v>13500-020</v>
      </c>
      <c r="J2426" s="1" t="str">
        <f t="shared" si="225"/>
        <v>Bassoon production item #020</v>
      </c>
      <c r="K2426" s="1" t="str">
        <f>IF(SUM(COUNTIFS(I:I, I2426)) &gt; 1, "DUPLICATE", "UNIQUE")</f>
        <v>UNIQUE</v>
      </c>
      <c r="L2426" s="18">
        <v>1</v>
      </c>
      <c r="M2426" s="28">
        <v>82</v>
      </c>
      <c r="N2426" s="6">
        <v>64</v>
      </c>
      <c r="O2426" s="30">
        <f t="shared" si="226"/>
        <v>82</v>
      </c>
      <c r="P2426" s="30">
        <f t="shared" si="227"/>
        <v>5248</v>
      </c>
      <c r="Q2426" s="1">
        <f>COUNTIFS($P:$P, "&gt;" &amp; $P2426) + 1</f>
        <v>2395</v>
      </c>
      <c r="R2426" s="63">
        <f>(COUNTIFS($P:$P, "&gt;" &amp; $P2426) + 1) / (COUNTA($I:$I) - 1)</f>
        <v>0.47899999999999998</v>
      </c>
      <c r="S2426" s="23">
        <f>SUMIFS($P:$P, $Q:$Q, "&lt;" &amp; $Q2426)</f>
        <v>182590307</v>
      </c>
    </row>
    <row r="2427" spans="1:19" x14ac:dyDescent="0.25">
      <c r="A2427" s="1">
        <v>2422</v>
      </c>
      <c r="B2427" s="1" t="s">
        <v>2</v>
      </c>
      <c r="C2427" s="1" t="str">
        <f>IF($B2427 = "Production Item", _xlfn.XLOOKUP($A2427, 'Instrument Table'!$J:$J, 'Instrument Table'!$B:$B, $C2426), IF($B2427 = "Service Item", _xlfn.XLOOKUP($A2427, 'Instrument Table'!$I:$I, 'Instrument Table'!$B:$B, $C2426), _xlfn.XLOOKUP($A2427, 'Instrument Table'!$H:$H, 'Instrument Table'!$B:$B, $C2426)))</f>
        <v>Bassoon</v>
      </c>
      <c r="D2427" s="1" t="str">
        <f>VLOOKUP($C2427, 'Instrument Table'!$B:$C, 2, FALSE)</f>
        <v>Woodwinds</v>
      </c>
      <c r="E2427" s="1">
        <f t="shared" si="222"/>
        <v>1</v>
      </c>
      <c r="F2427" s="1">
        <f>_xlfn.XLOOKUP($C2427, 'Instrument Table'!$B:$B, 'Instrument Table'!$A:$A, "")</f>
        <v>35</v>
      </c>
      <c r="G2427" s="1" t="str">
        <f>TEXT(IF($B2427 = "Retail Item", IF((ROW($A2427) - 4504 - _xlfn.XMATCH($C2427, $C$4506:$C$5005, 0, 1)) &lt;= VLOOKUP($C2427, 'Instrument Table'!$B:$D, 3, FALSE), ROW($A2427) - 4504 - _xlfn.XMATCH($C2427, $C$4506:$C$5005, 0, 1), 0), 0), "00")</f>
        <v>00</v>
      </c>
      <c r="H2427" s="1" t="str">
        <f t="shared" si="223"/>
        <v>021</v>
      </c>
      <c r="I2427" s="1" t="str">
        <f t="shared" si="224"/>
        <v>13500-021</v>
      </c>
      <c r="J2427" s="1" t="str">
        <f t="shared" si="225"/>
        <v>Bassoon production item #021</v>
      </c>
      <c r="K2427" s="1" t="str">
        <f>IF(SUM(COUNTIFS(I:I, I2427)) &gt; 1, "DUPLICATE", "UNIQUE")</f>
        <v>UNIQUE</v>
      </c>
      <c r="L2427" s="18">
        <v>0</v>
      </c>
      <c r="M2427" s="28">
        <v>53</v>
      </c>
      <c r="N2427" s="6">
        <v>289</v>
      </c>
      <c r="O2427" s="30">
        <f t="shared" si="226"/>
        <v>0</v>
      </c>
      <c r="P2427" s="30">
        <f t="shared" si="227"/>
        <v>15317</v>
      </c>
      <c r="Q2427" s="1">
        <f>COUNTIFS($P:$P, "&gt;" &amp; $P2427) + 1</f>
        <v>1328</v>
      </c>
      <c r="R2427" s="63">
        <f>(COUNTIFS($P:$P, "&gt;" &amp; $P2427) + 1) / (COUNTA($I:$I) - 1)</f>
        <v>0.2656</v>
      </c>
      <c r="S2427" s="23">
        <f>SUMIFS($P:$P, $Q:$Q, "&lt;" &amp; $Q2427)</f>
        <v>172409168</v>
      </c>
    </row>
    <row r="2428" spans="1:19" x14ac:dyDescent="0.25">
      <c r="A2428" s="1">
        <v>2423</v>
      </c>
      <c r="B2428" s="1" t="s">
        <v>2</v>
      </c>
      <c r="C2428" s="1" t="str">
        <f>IF($B2428 = "Production Item", _xlfn.XLOOKUP($A2428, 'Instrument Table'!$J:$J, 'Instrument Table'!$B:$B, $C2427), IF($B2428 = "Service Item", _xlfn.XLOOKUP($A2428, 'Instrument Table'!$I:$I, 'Instrument Table'!$B:$B, $C2427), _xlfn.XLOOKUP($A2428, 'Instrument Table'!$H:$H, 'Instrument Table'!$B:$B, $C2427)))</f>
        <v>Bassoon</v>
      </c>
      <c r="D2428" s="1" t="str">
        <f>VLOOKUP($C2428, 'Instrument Table'!$B:$C, 2, FALSE)</f>
        <v>Woodwinds</v>
      </c>
      <c r="E2428" s="1">
        <f t="shared" si="222"/>
        <v>1</v>
      </c>
      <c r="F2428" s="1">
        <f>_xlfn.XLOOKUP($C2428, 'Instrument Table'!$B:$B, 'Instrument Table'!$A:$A, "")</f>
        <v>35</v>
      </c>
      <c r="G2428" s="1" t="str">
        <f>TEXT(IF($B2428 = "Retail Item", IF((ROW($A2428) - 4504 - _xlfn.XMATCH($C2428, $C$4506:$C$5005, 0, 1)) &lt;= VLOOKUP($C2428, 'Instrument Table'!$B:$D, 3, FALSE), ROW($A2428) - 4504 - _xlfn.XMATCH($C2428, $C$4506:$C$5005, 0, 1), 0), 0), "00")</f>
        <v>00</v>
      </c>
      <c r="H2428" s="1" t="str">
        <f t="shared" si="223"/>
        <v>022</v>
      </c>
      <c r="I2428" s="1" t="str">
        <f t="shared" si="224"/>
        <v>13500-022</v>
      </c>
      <c r="J2428" s="1" t="str">
        <f t="shared" si="225"/>
        <v>Bassoon production item #022</v>
      </c>
      <c r="K2428" s="1" t="str">
        <f>IF(SUM(COUNTIFS(I:I, I2428)) &gt; 1, "DUPLICATE", "UNIQUE")</f>
        <v>UNIQUE</v>
      </c>
      <c r="L2428" s="18">
        <v>0</v>
      </c>
      <c r="M2428" s="28">
        <v>22</v>
      </c>
      <c r="N2428" s="6">
        <v>25</v>
      </c>
      <c r="O2428" s="30">
        <f t="shared" si="226"/>
        <v>0</v>
      </c>
      <c r="P2428" s="30">
        <f t="shared" si="227"/>
        <v>550</v>
      </c>
      <c r="Q2428" s="1">
        <f>COUNTIFS($P:$P, "&gt;" &amp; $P2428) + 1</f>
        <v>3978</v>
      </c>
      <c r="R2428" s="63">
        <f>(COUNTIFS($P:$P, "&gt;" &amp; $P2428) + 1) / (COUNTA($I:$I) - 1)</f>
        <v>0.79559999999999997</v>
      </c>
      <c r="S2428" s="23">
        <f>SUMIFS($P:$P, $Q:$Q, "&lt;" &amp; $Q2428)</f>
        <v>186386371</v>
      </c>
    </row>
    <row r="2429" spans="1:19" x14ac:dyDescent="0.25">
      <c r="A2429" s="1">
        <v>2424</v>
      </c>
      <c r="B2429" s="1" t="s">
        <v>2</v>
      </c>
      <c r="C2429" s="1" t="str">
        <f>IF($B2429 = "Production Item", _xlfn.XLOOKUP($A2429, 'Instrument Table'!$J:$J, 'Instrument Table'!$B:$B, $C2428), IF($B2429 = "Service Item", _xlfn.XLOOKUP($A2429, 'Instrument Table'!$I:$I, 'Instrument Table'!$B:$B, $C2428), _xlfn.XLOOKUP($A2429, 'Instrument Table'!$H:$H, 'Instrument Table'!$B:$B, $C2428)))</f>
        <v>Bassoon</v>
      </c>
      <c r="D2429" s="1" t="str">
        <f>VLOOKUP($C2429, 'Instrument Table'!$B:$C, 2, FALSE)</f>
        <v>Woodwinds</v>
      </c>
      <c r="E2429" s="1">
        <f t="shared" si="222"/>
        <v>1</v>
      </c>
      <c r="F2429" s="1">
        <f>_xlfn.XLOOKUP($C2429, 'Instrument Table'!$B:$B, 'Instrument Table'!$A:$A, "")</f>
        <v>35</v>
      </c>
      <c r="G2429" s="1" t="str">
        <f>TEXT(IF($B2429 = "Retail Item", IF((ROW($A2429) - 4504 - _xlfn.XMATCH($C2429, $C$4506:$C$5005, 0, 1)) &lt;= VLOOKUP($C2429, 'Instrument Table'!$B:$D, 3, FALSE), ROW($A2429) - 4504 - _xlfn.XMATCH($C2429, $C$4506:$C$5005, 0, 1), 0), 0), "00")</f>
        <v>00</v>
      </c>
      <c r="H2429" s="1" t="str">
        <f t="shared" si="223"/>
        <v>023</v>
      </c>
      <c r="I2429" s="1" t="str">
        <f t="shared" si="224"/>
        <v>13500-023</v>
      </c>
      <c r="J2429" s="1" t="str">
        <f t="shared" si="225"/>
        <v>Bassoon production item #023</v>
      </c>
      <c r="K2429" s="1" t="str">
        <f>IF(SUM(COUNTIFS(I:I, I2429)) &gt; 1, "DUPLICATE", "UNIQUE")</f>
        <v>UNIQUE</v>
      </c>
      <c r="L2429" s="18">
        <v>0</v>
      </c>
      <c r="M2429" s="28">
        <v>8</v>
      </c>
      <c r="N2429" s="6">
        <v>225</v>
      </c>
      <c r="O2429" s="30">
        <f t="shared" si="226"/>
        <v>0</v>
      </c>
      <c r="P2429" s="30">
        <f t="shared" si="227"/>
        <v>1800</v>
      </c>
      <c r="Q2429" s="1">
        <f>COUNTIFS($P:$P, "&gt;" &amp; $P2429) + 1</f>
        <v>3333</v>
      </c>
      <c r="R2429" s="63">
        <f>(COUNTIFS($P:$P, "&gt;" &amp; $P2429) + 1) / (COUNTA($I:$I) - 1)</f>
        <v>0.66659999999999997</v>
      </c>
      <c r="S2429" s="23">
        <f>SUMIFS($P:$P, $Q:$Q, "&lt;" &amp; $Q2429)</f>
        <v>185669981</v>
      </c>
    </row>
    <row r="2430" spans="1:19" x14ac:dyDescent="0.25">
      <c r="A2430" s="1">
        <v>2425</v>
      </c>
      <c r="B2430" s="1" t="s">
        <v>2</v>
      </c>
      <c r="C2430" s="1" t="str">
        <f>IF($B2430 = "Production Item", _xlfn.XLOOKUP($A2430, 'Instrument Table'!$J:$J, 'Instrument Table'!$B:$B, $C2429), IF($B2430 = "Service Item", _xlfn.XLOOKUP($A2430, 'Instrument Table'!$I:$I, 'Instrument Table'!$B:$B, $C2429), _xlfn.XLOOKUP($A2430, 'Instrument Table'!$H:$H, 'Instrument Table'!$B:$B, $C2429)))</f>
        <v>Bassoon</v>
      </c>
      <c r="D2430" s="1" t="str">
        <f>VLOOKUP($C2430, 'Instrument Table'!$B:$C, 2, FALSE)</f>
        <v>Woodwinds</v>
      </c>
      <c r="E2430" s="1">
        <f t="shared" si="222"/>
        <v>1</v>
      </c>
      <c r="F2430" s="1">
        <f>_xlfn.XLOOKUP($C2430, 'Instrument Table'!$B:$B, 'Instrument Table'!$A:$A, "")</f>
        <v>35</v>
      </c>
      <c r="G2430" s="1" t="str">
        <f>TEXT(IF($B2430 = "Retail Item", IF((ROW($A2430) - 4504 - _xlfn.XMATCH($C2430, $C$4506:$C$5005, 0, 1)) &lt;= VLOOKUP($C2430, 'Instrument Table'!$B:$D, 3, FALSE), ROW($A2430) - 4504 - _xlfn.XMATCH($C2430, $C$4506:$C$5005, 0, 1), 0), 0), "00")</f>
        <v>00</v>
      </c>
      <c r="H2430" s="1" t="str">
        <f t="shared" si="223"/>
        <v>024</v>
      </c>
      <c r="I2430" s="1" t="str">
        <f t="shared" si="224"/>
        <v>13500-024</v>
      </c>
      <c r="J2430" s="1" t="str">
        <f t="shared" si="225"/>
        <v>Bassoon production item #024</v>
      </c>
      <c r="K2430" s="1" t="str">
        <f>IF(SUM(COUNTIFS(I:I, I2430)) &gt; 1, "DUPLICATE", "UNIQUE")</f>
        <v>UNIQUE</v>
      </c>
      <c r="L2430" s="18">
        <v>0</v>
      </c>
      <c r="M2430" s="28">
        <v>3</v>
      </c>
      <c r="N2430" s="6">
        <v>225</v>
      </c>
      <c r="O2430" s="30">
        <f t="shared" si="226"/>
        <v>0</v>
      </c>
      <c r="P2430" s="30">
        <f t="shared" si="227"/>
        <v>675</v>
      </c>
      <c r="Q2430" s="1">
        <f>COUNTIFS($P:$P, "&gt;" &amp; $P2430) + 1</f>
        <v>3894</v>
      </c>
      <c r="R2430" s="63">
        <f>(COUNTIFS($P:$P, "&gt;" &amp; $P2430) + 1) / (COUNTA($I:$I) - 1)</f>
        <v>0.77880000000000005</v>
      </c>
      <c r="S2430" s="23">
        <f>SUMIFS($P:$P, $Q:$Q, "&lt;" &amp; $Q2430)</f>
        <v>186334804</v>
      </c>
    </row>
    <row r="2431" spans="1:19" x14ac:dyDescent="0.25">
      <c r="A2431" s="1">
        <v>2426</v>
      </c>
      <c r="B2431" s="1" t="s">
        <v>2</v>
      </c>
      <c r="C2431" s="1" t="str">
        <f>IF($B2431 = "Production Item", _xlfn.XLOOKUP($A2431, 'Instrument Table'!$J:$J, 'Instrument Table'!$B:$B, $C2430), IF($B2431 = "Service Item", _xlfn.XLOOKUP($A2431, 'Instrument Table'!$I:$I, 'Instrument Table'!$B:$B, $C2430), _xlfn.XLOOKUP($A2431, 'Instrument Table'!$H:$H, 'Instrument Table'!$B:$B, $C2430)))</f>
        <v>Bassoon</v>
      </c>
      <c r="D2431" s="1" t="str">
        <f>VLOOKUP($C2431, 'Instrument Table'!$B:$C, 2, FALSE)</f>
        <v>Woodwinds</v>
      </c>
      <c r="E2431" s="1">
        <f t="shared" si="222"/>
        <v>1</v>
      </c>
      <c r="F2431" s="1">
        <f>_xlfn.XLOOKUP($C2431, 'Instrument Table'!$B:$B, 'Instrument Table'!$A:$A, "")</f>
        <v>35</v>
      </c>
      <c r="G2431" s="1" t="str">
        <f>TEXT(IF($B2431 = "Retail Item", IF((ROW($A2431) - 4504 - _xlfn.XMATCH($C2431, $C$4506:$C$5005, 0, 1)) &lt;= VLOOKUP($C2431, 'Instrument Table'!$B:$D, 3, FALSE), ROW($A2431) - 4504 - _xlfn.XMATCH($C2431, $C$4506:$C$5005, 0, 1), 0), 0), "00")</f>
        <v>00</v>
      </c>
      <c r="H2431" s="1" t="str">
        <f t="shared" si="223"/>
        <v>025</v>
      </c>
      <c r="I2431" s="1" t="str">
        <f t="shared" si="224"/>
        <v>13500-025</v>
      </c>
      <c r="J2431" s="1" t="str">
        <f t="shared" si="225"/>
        <v>Bassoon production item #025</v>
      </c>
      <c r="K2431" s="1" t="str">
        <f>IF(SUM(COUNTIFS(I:I, I2431)) &gt; 1, "DUPLICATE", "UNIQUE")</f>
        <v>UNIQUE</v>
      </c>
      <c r="L2431" s="18">
        <v>1</v>
      </c>
      <c r="M2431" s="28">
        <v>20</v>
      </c>
      <c r="N2431" s="6">
        <v>0</v>
      </c>
      <c r="O2431" s="30">
        <f t="shared" si="226"/>
        <v>20</v>
      </c>
      <c r="P2431" s="30">
        <f t="shared" si="227"/>
        <v>0</v>
      </c>
      <c r="Q2431" s="1">
        <f>COUNTIFS($P:$P, "&gt;" &amp; $P2431) + 1</f>
        <v>4746</v>
      </c>
      <c r="R2431" s="63">
        <f>(COUNTIFS($P:$P, "&gt;" &amp; $P2431) + 1) / (COUNTA($I:$I) - 1)</f>
        <v>0.94920000000000004</v>
      </c>
      <c r="S2431" s="23">
        <f>SUMIFS($P:$P, $Q:$Q, "&lt;" &amp; $Q2431)</f>
        <v>186547861</v>
      </c>
    </row>
    <row r="2432" spans="1:19" x14ac:dyDescent="0.25">
      <c r="A2432" s="1">
        <v>2427</v>
      </c>
      <c r="B2432" s="1" t="s">
        <v>2</v>
      </c>
      <c r="C2432" s="1" t="str">
        <f>IF($B2432 = "Production Item", _xlfn.XLOOKUP($A2432, 'Instrument Table'!$J:$J, 'Instrument Table'!$B:$B, $C2431), IF($B2432 = "Service Item", _xlfn.XLOOKUP($A2432, 'Instrument Table'!$I:$I, 'Instrument Table'!$B:$B, $C2431), _xlfn.XLOOKUP($A2432, 'Instrument Table'!$H:$H, 'Instrument Table'!$B:$B, $C2431)))</f>
        <v>Bassoon</v>
      </c>
      <c r="D2432" s="1" t="str">
        <f>VLOOKUP($C2432, 'Instrument Table'!$B:$C, 2, FALSE)</f>
        <v>Woodwinds</v>
      </c>
      <c r="E2432" s="1">
        <f t="shared" si="222"/>
        <v>1</v>
      </c>
      <c r="F2432" s="1">
        <f>_xlfn.XLOOKUP($C2432, 'Instrument Table'!$B:$B, 'Instrument Table'!$A:$A, "")</f>
        <v>35</v>
      </c>
      <c r="G2432" s="1" t="str">
        <f>TEXT(IF($B2432 = "Retail Item", IF((ROW($A2432) - 4504 - _xlfn.XMATCH($C2432, $C$4506:$C$5005, 0, 1)) &lt;= VLOOKUP($C2432, 'Instrument Table'!$B:$D, 3, FALSE), ROW($A2432) - 4504 - _xlfn.XMATCH($C2432, $C$4506:$C$5005, 0, 1), 0), 0), "00")</f>
        <v>00</v>
      </c>
      <c r="H2432" s="1" t="str">
        <f t="shared" si="223"/>
        <v>026</v>
      </c>
      <c r="I2432" s="1" t="str">
        <f t="shared" si="224"/>
        <v>13500-026</v>
      </c>
      <c r="J2432" s="1" t="str">
        <f t="shared" si="225"/>
        <v>Bassoon production item #026</v>
      </c>
      <c r="K2432" s="1" t="str">
        <f>IF(SUM(COUNTIFS(I:I, I2432)) &gt; 1, "DUPLICATE", "UNIQUE")</f>
        <v>UNIQUE</v>
      </c>
      <c r="L2432" s="18">
        <v>1</v>
      </c>
      <c r="M2432" s="28">
        <v>94</v>
      </c>
      <c r="N2432" s="6">
        <v>0</v>
      </c>
      <c r="O2432" s="30">
        <f t="shared" si="226"/>
        <v>94</v>
      </c>
      <c r="P2432" s="30">
        <f t="shared" si="227"/>
        <v>0</v>
      </c>
      <c r="Q2432" s="1">
        <f>COUNTIFS($P:$P, "&gt;" &amp; $P2432) + 1</f>
        <v>4746</v>
      </c>
      <c r="R2432" s="63">
        <f>(COUNTIFS($P:$P, "&gt;" &amp; $P2432) + 1) / (COUNTA($I:$I) - 1)</f>
        <v>0.94920000000000004</v>
      </c>
      <c r="S2432" s="23">
        <f>SUMIFS($P:$P, $Q:$Q, "&lt;" &amp; $Q2432)</f>
        <v>186547861</v>
      </c>
    </row>
    <row r="2433" spans="1:19" x14ac:dyDescent="0.25">
      <c r="A2433" s="1">
        <v>2428</v>
      </c>
      <c r="B2433" s="1" t="s">
        <v>2</v>
      </c>
      <c r="C2433" s="1" t="str">
        <f>IF($B2433 = "Production Item", _xlfn.XLOOKUP($A2433, 'Instrument Table'!$J:$J, 'Instrument Table'!$B:$B, $C2432), IF($B2433 = "Service Item", _xlfn.XLOOKUP($A2433, 'Instrument Table'!$I:$I, 'Instrument Table'!$B:$B, $C2432), _xlfn.XLOOKUP($A2433, 'Instrument Table'!$H:$H, 'Instrument Table'!$B:$B, $C2432)))</f>
        <v>Bassoon</v>
      </c>
      <c r="D2433" s="1" t="str">
        <f>VLOOKUP($C2433, 'Instrument Table'!$B:$C, 2, FALSE)</f>
        <v>Woodwinds</v>
      </c>
      <c r="E2433" s="1">
        <f t="shared" si="222"/>
        <v>1</v>
      </c>
      <c r="F2433" s="1">
        <f>_xlfn.XLOOKUP($C2433, 'Instrument Table'!$B:$B, 'Instrument Table'!$A:$A, "")</f>
        <v>35</v>
      </c>
      <c r="G2433" s="1" t="str">
        <f>TEXT(IF($B2433 = "Retail Item", IF((ROW($A2433) - 4504 - _xlfn.XMATCH($C2433, $C$4506:$C$5005, 0, 1)) &lt;= VLOOKUP($C2433, 'Instrument Table'!$B:$D, 3, FALSE), ROW($A2433) - 4504 - _xlfn.XMATCH($C2433, $C$4506:$C$5005, 0, 1), 0), 0), "00")</f>
        <v>00</v>
      </c>
      <c r="H2433" s="1" t="str">
        <f t="shared" si="223"/>
        <v>027</v>
      </c>
      <c r="I2433" s="1" t="str">
        <f t="shared" si="224"/>
        <v>13500-027</v>
      </c>
      <c r="J2433" s="1" t="str">
        <f t="shared" si="225"/>
        <v>Bassoon production item #027</v>
      </c>
      <c r="K2433" s="1" t="str">
        <f>IF(SUM(COUNTIFS(I:I, I2433)) &gt; 1, "DUPLICATE", "UNIQUE")</f>
        <v>UNIQUE</v>
      </c>
      <c r="L2433" s="18">
        <v>32</v>
      </c>
      <c r="M2433" s="28">
        <v>5</v>
      </c>
      <c r="N2433" s="6">
        <v>361</v>
      </c>
      <c r="O2433" s="30">
        <f t="shared" si="226"/>
        <v>160</v>
      </c>
      <c r="P2433" s="30">
        <f t="shared" si="227"/>
        <v>1805</v>
      </c>
      <c r="Q2433" s="1">
        <f>COUNTIFS($P:$P, "&gt;" &amp; $P2433) + 1</f>
        <v>3328</v>
      </c>
      <c r="R2433" s="63">
        <f>(COUNTIFS($P:$P, "&gt;" &amp; $P2433) + 1) / (COUNTA($I:$I) - 1)</f>
        <v>0.66559999999999997</v>
      </c>
      <c r="S2433" s="23">
        <f>SUMIFS($P:$P, $Q:$Q, "&lt;" &amp; $Q2433)</f>
        <v>185660956</v>
      </c>
    </row>
    <row r="2434" spans="1:19" x14ac:dyDescent="0.25">
      <c r="A2434" s="1">
        <v>2429</v>
      </c>
      <c r="B2434" s="1" t="s">
        <v>2</v>
      </c>
      <c r="C2434" s="1" t="str">
        <f>IF($B2434 = "Production Item", _xlfn.XLOOKUP($A2434, 'Instrument Table'!$J:$J, 'Instrument Table'!$B:$B, $C2433), IF($B2434 = "Service Item", _xlfn.XLOOKUP($A2434, 'Instrument Table'!$I:$I, 'Instrument Table'!$B:$B, $C2433), _xlfn.XLOOKUP($A2434, 'Instrument Table'!$H:$H, 'Instrument Table'!$B:$B, $C2433)))</f>
        <v>Bassoon</v>
      </c>
      <c r="D2434" s="1" t="str">
        <f>VLOOKUP($C2434, 'Instrument Table'!$B:$C, 2, FALSE)</f>
        <v>Woodwinds</v>
      </c>
      <c r="E2434" s="1">
        <f t="shared" si="222"/>
        <v>1</v>
      </c>
      <c r="F2434" s="1">
        <f>_xlfn.XLOOKUP($C2434, 'Instrument Table'!$B:$B, 'Instrument Table'!$A:$A, "")</f>
        <v>35</v>
      </c>
      <c r="G2434" s="1" t="str">
        <f>TEXT(IF($B2434 = "Retail Item", IF((ROW($A2434) - 4504 - _xlfn.XMATCH($C2434, $C$4506:$C$5005, 0, 1)) &lt;= VLOOKUP($C2434, 'Instrument Table'!$B:$D, 3, FALSE), ROW($A2434) - 4504 - _xlfn.XMATCH($C2434, $C$4506:$C$5005, 0, 1), 0), 0), "00")</f>
        <v>00</v>
      </c>
      <c r="H2434" s="1" t="str">
        <f t="shared" si="223"/>
        <v>028</v>
      </c>
      <c r="I2434" s="1" t="str">
        <f t="shared" si="224"/>
        <v>13500-028</v>
      </c>
      <c r="J2434" s="1" t="str">
        <f t="shared" si="225"/>
        <v>Bassoon production item #028</v>
      </c>
      <c r="K2434" s="1" t="str">
        <f>IF(SUM(COUNTIFS(I:I, I2434)) &gt; 1, "DUPLICATE", "UNIQUE")</f>
        <v>UNIQUE</v>
      </c>
      <c r="L2434" s="18">
        <v>0</v>
      </c>
      <c r="M2434" s="28">
        <v>92</v>
      </c>
      <c r="N2434" s="6">
        <v>144</v>
      </c>
      <c r="O2434" s="30">
        <f t="shared" si="226"/>
        <v>0</v>
      </c>
      <c r="P2434" s="30">
        <f t="shared" si="227"/>
        <v>13248</v>
      </c>
      <c r="Q2434" s="1">
        <f>COUNTIFS($P:$P, "&gt;" &amp; $P2434) + 1</f>
        <v>1487</v>
      </c>
      <c r="R2434" s="63">
        <f>(COUNTIFS($P:$P, "&gt;" &amp; $P2434) + 1) / (COUNTA($I:$I) - 1)</f>
        <v>0.2974</v>
      </c>
      <c r="S2434" s="23">
        <f>SUMIFS($P:$P, $Q:$Q, "&lt;" &amp; $Q2434)</f>
        <v>174669460</v>
      </c>
    </row>
    <row r="2435" spans="1:19" x14ac:dyDescent="0.25">
      <c r="A2435" s="1">
        <v>2430</v>
      </c>
      <c r="B2435" s="1" t="s">
        <v>2</v>
      </c>
      <c r="C2435" s="1" t="str">
        <f>IF($B2435 = "Production Item", _xlfn.XLOOKUP($A2435, 'Instrument Table'!$J:$J, 'Instrument Table'!$B:$B, $C2434), IF($B2435 = "Service Item", _xlfn.XLOOKUP($A2435, 'Instrument Table'!$I:$I, 'Instrument Table'!$B:$B, $C2434), _xlfn.XLOOKUP($A2435, 'Instrument Table'!$H:$H, 'Instrument Table'!$B:$B, $C2434)))</f>
        <v>Bassoon</v>
      </c>
      <c r="D2435" s="1" t="str">
        <f>VLOOKUP($C2435, 'Instrument Table'!$B:$C, 2, FALSE)</f>
        <v>Woodwinds</v>
      </c>
      <c r="E2435" s="1">
        <f t="shared" si="222"/>
        <v>1</v>
      </c>
      <c r="F2435" s="1">
        <f>_xlfn.XLOOKUP($C2435, 'Instrument Table'!$B:$B, 'Instrument Table'!$A:$A, "")</f>
        <v>35</v>
      </c>
      <c r="G2435" s="1" t="str">
        <f>TEXT(IF($B2435 = "Retail Item", IF((ROW($A2435) - 4504 - _xlfn.XMATCH($C2435, $C$4506:$C$5005, 0, 1)) &lt;= VLOOKUP($C2435, 'Instrument Table'!$B:$D, 3, FALSE), ROW($A2435) - 4504 - _xlfn.XMATCH($C2435, $C$4506:$C$5005, 0, 1), 0), 0), "00")</f>
        <v>00</v>
      </c>
      <c r="H2435" s="1" t="str">
        <f t="shared" si="223"/>
        <v>029</v>
      </c>
      <c r="I2435" s="1" t="str">
        <f t="shared" si="224"/>
        <v>13500-029</v>
      </c>
      <c r="J2435" s="1" t="str">
        <f t="shared" si="225"/>
        <v>Bassoon production item #029</v>
      </c>
      <c r="K2435" s="1" t="str">
        <f>IF(SUM(COUNTIFS(I:I, I2435)) &gt; 1, "DUPLICATE", "UNIQUE")</f>
        <v>UNIQUE</v>
      </c>
      <c r="L2435" s="18">
        <v>32</v>
      </c>
      <c r="M2435" s="28">
        <v>70</v>
      </c>
      <c r="N2435" s="6">
        <v>144</v>
      </c>
      <c r="O2435" s="30">
        <f t="shared" si="226"/>
        <v>2240</v>
      </c>
      <c r="P2435" s="30">
        <f t="shared" si="227"/>
        <v>10080</v>
      </c>
      <c r="Q2435" s="1">
        <f>COUNTIFS($P:$P, "&gt;" &amp; $P2435) + 1</f>
        <v>1765</v>
      </c>
      <c r="R2435" s="63">
        <f>(COUNTIFS($P:$P, "&gt;" &amp; $P2435) + 1) / (COUNTA($I:$I) - 1)</f>
        <v>0.35299999999999998</v>
      </c>
      <c r="S2435" s="23">
        <f>SUMIFS($P:$P, $Q:$Q, "&lt;" &amp; $Q2435)</f>
        <v>177895397</v>
      </c>
    </row>
    <row r="2436" spans="1:19" x14ac:dyDescent="0.25">
      <c r="A2436" s="1">
        <v>2431</v>
      </c>
      <c r="B2436" s="1" t="s">
        <v>2</v>
      </c>
      <c r="C2436" s="1" t="str">
        <f>IF($B2436 = "Production Item", _xlfn.XLOOKUP($A2436, 'Instrument Table'!$J:$J, 'Instrument Table'!$B:$B, $C2435), IF($B2436 = "Service Item", _xlfn.XLOOKUP($A2436, 'Instrument Table'!$I:$I, 'Instrument Table'!$B:$B, $C2435), _xlfn.XLOOKUP($A2436, 'Instrument Table'!$H:$H, 'Instrument Table'!$B:$B, $C2435)))</f>
        <v>Bassoon</v>
      </c>
      <c r="D2436" s="1" t="str">
        <f>VLOOKUP($C2436, 'Instrument Table'!$B:$C, 2, FALSE)</f>
        <v>Woodwinds</v>
      </c>
      <c r="E2436" s="1">
        <f t="shared" si="222"/>
        <v>1</v>
      </c>
      <c r="F2436" s="1">
        <f>_xlfn.XLOOKUP($C2436, 'Instrument Table'!$B:$B, 'Instrument Table'!$A:$A, "")</f>
        <v>35</v>
      </c>
      <c r="G2436" s="1" t="str">
        <f>TEXT(IF($B2436 = "Retail Item", IF((ROW($A2436) - 4504 - _xlfn.XMATCH($C2436, $C$4506:$C$5005, 0, 1)) &lt;= VLOOKUP($C2436, 'Instrument Table'!$B:$D, 3, FALSE), ROW($A2436) - 4504 - _xlfn.XMATCH($C2436, $C$4506:$C$5005, 0, 1), 0), 0), "00")</f>
        <v>00</v>
      </c>
      <c r="H2436" s="1" t="str">
        <f t="shared" si="223"/>
        <v>030</v>
      </c>
      <c r="I2436" s="1" t="str">
        <f t="shared" si="224"/>
        <v>13500-030</v>
      </c>
      <c r="J2436" s="1" t="str">
        <f t="shared" si="225"/>
        <v>Bassoon production item #030</v>
      </c>
      <c r="K2436" s="1" t="str">
        <f>IF(SUM(COUNTIFS(I:I, I2436)) &gt; 1, "DUPLICATE", "UNIQUE")</f>
        <v>UNIQUE</v>
      </c>
      <c r="L2436" s="18">
        <v>0</v>
      </c>
      <c r="M2436" s="28">
        <v>31</v>
      </c>
      <c r="N2436" s="6">
        <v>144</v>
      </c>
      <c r="O2436" s="30">
        <f t="shared" si="226"/>
        <v>0</v>
      </c>
      <c r="P2436" s="30">
        <f t="shared" si="227"/>
        <v>4464</v>
      </c>
      <c r="Q2436" s="1">
        <f>COUNTIFS($P:$P, "&gt;" &amp; $P2436) + 1</f>
        <v>2555</v>
      </c>
      <c r="R2436" s="63">
        <f>(COUNTIFS($P:$P, "&gt;" &amp; $P2436) + 1) / (COUNTA($I:$I) - 1)</f>
        <v>0.51100000000000001</v>
      </c>
      <c r="S2436" s="23">
        <f>SUMIFS($P:$P, $Q:$Q, "&lt;" &amp; $Q2436)</f>
        <v>183367348</v>
      </c>
    </row>
    <row r="2437" spans="1:19" x14ac:dyDescent="0.25">
      <c r="A2437" s="1">
        <v>2432</v>
      </c>
      <c r="B2437" s="1" t="s">
        <v>2</v>
      </c>
      <c r="C2437" s="1" t="str">
        <f>IF($B2437 = "Production Item", _xlfn.XLOOKUP($A2437, 'Instrument Table'!$J:$J, 'Instrument Table'!$B:$B, $C2436), IF($B2437 = "Service Item", _xlfn.XLOOKUP($A2437, 'Instrument Table'!$I:$I, 'Instrument Table'!$B:$B, $C2436), _xlfn.XLOOKUP($A2437, 'Instrument Table'!$H:$H, 'Instrument Table'!$B:$B, $C2436)))</f>
        <v>Bassoon</v>
      </c>
      <c r="D2437" s="1" t="str">
        <f>VLOOKUP($C2437, 'Instrument Table'!$B:$C, 2, FALSE)</f>
        <v>Woodwinds</v>
      </c>
      <c r="E2437" s="1">
        <f t="shared" si="222"/>
        <v>1</v>
      </c>
      <c r="F2437" s="1">
        <f>_xlfn.XLOOKUP($C2437, 'Instrument Table'!$B:$B, 'Instrument Table'!$A:$A, "")</f>
        <v>35</v>
      </c>
      <c r="G2437" s="1" t="str">
        <f>TEXT(IF($B2437 = "Retail Item", IF((ROW($A2437) - 4504 - _xlfn.XMATCH($C2437, $C$4506:$C$5005, 0, 1)) &lt;= VLOOKUP($C2437, 'Instrument Table'!$B:$D, 3, FALSE), ROW($A2437) - 4504 - _xlfn.XMATCH($C2437, $C$4506:$C$5005, 0, 1), 0), 0), "00")</f>
        <v>00</v>
      </c>
      <c r="H2437" s="1" t="str">
        <f t="shared" si="223"/>
        <v>031</v>
      </c>
      <c r="I2437" s="1" t="str">
        <f t="shared" si="224"/>
        <v>13500-031</v>
      </c>
      <c r="J2437" s="1" t="str">
        <f t="shared" si="225"/>
        <v>Bassoon production item #031</v>
      </c>
      <c r="K2437" s="1" t="str">
        <f>IF(SUM(COUNTIFS(I:I, I2437)) &gt; 1, "DUPLICATE", "UNIQUE")</f>
        <v>UNIQUE</v>
      </c>
      <c r="L2437" s="18">
        <v>16</v>
      </c>
      <c r="M2437" s="28">
        <v>84</v>
      </c>
      <c r="N2437" s="6">
        <v>0</v>
      </c>
      <c r="O2437" s="30">
        <f t="shared" si="226"/>
        <v>1344</v>
      </c>
      <c r="P2437" s="30">
        <f t="shared" si="227"/>
        <v>0</v>
      </c>
      <c r="Q2437" s="1">
        <f>COUNTIFS($P:$P, "&gt;" &amp; $P2437) + 1</f>
        <v>4746</v>
      </c>
      <c r="R2437" s="63">
        <f>(COUNTIFS($P:$P, "&gt;" &amp; $P2437) + 1) / (COUNTA($I:$I) - 1)</f>
        <v>0.94920000000000004</v>
      </c>
      <c r="S2437" s="23">
        <f>SUMIFS($P:$P, $Q:$Q, "&lt;" &amp; $Q2437)</f>
        <v>186547861</v>
      </c>
    </row>
    <row r="2438" spans="1:19" x14ac:dyDescent="0.25">
      <c r="A2438" s="1">
        <v>2433</v>
      </c>
      <c r="B2438" s="1" t="s">
        <v>2</v>
      </c>
      <c r="C2438" s="1" t="str">
        <f>IF($B2438 = "Production Item", _xlfn.XLOOKUP($A2438, 'Instrument Table'!$J:$J, 'Instrument Table'!$B:$B, $C2437), IF($B2438 = "Service Item", _xlfn.XLOOKUP($A2438, 'Instrument Table'!$I:$I, 'Instrument Table'!$B:$B, $C2437), _xlfn.XLOOKUP($A2438, 'Instrument Table'!$H:$H, 'Instrument Table'!$B:$B, $C2437)))</f>
        <v>Bassoon</v>
      </c>
      <c r="D2438" s="1" t="str">
        <f>VLOOKUP($C2438, 'Instrument Table'!$B:$C, 2, FALSE)</f>
        <v>Woodwinds</v>
      </c>
      <c r="E2438" s="1">
        <f t="shared" si="222"/>
        <v>1</v>
      </c>
      <c r="F2438" s="1">
        <f>_xlfn.XLOOKUP($C2438, 'Instrument Table'!$B:$B, 'Instrument Table'!$A:$A, "")</f>
        <v>35</v>
      </c>
      <c r="G2438" s="1" t="str">
        <f>TEXT(IF($B2438 = "Retail Item", IF((ROW($A2438) - 4504 - _xlfn.XMATCH($C2438, $C$4506:$C$5005, 0, 1)) &lt;= VLOOKUP($C2438, 'Instrument Table'!$B:$D, 3, FALSE), ROW($A2438) - 4504 - _xlfn.XMATCH($C2438, $C$4506:$C$5005, 0, 1), 0), 0), "00")</f>
        <v>00</v>
      </c>
      <c r="H2438" s="1" t="str">
        <f t="shared" si="223"/>
        <v>032</v>
      </c>
      <c r="I2438" s="1" t="str">
        <f t="shared" si="224"/>
        <v>13500-032</v>
      </c>
      <c r="J2438" s="1" t="str">
        <f t="shared" si="225"/>
        <v>Bassoon production item #032</v>
      </c>
      <c r="K2438" s="1" t="str">
        <f>IF(SUM(COUNTIFS(I:I, I2438)) &gt; 1, "DUPLICATE", "UNIQUE")</f>
        <v>UNIQUE</v>
      </c>
      <c r="L2438" s="18">
        <v>0</v>
      </c>
      <c r="M2438" s="28">
        <v>72</v>
      </c>
      <c r="N2438" s="6">
        <v>400</v>
      </c>
      <c r="O2438" s="30">
        <f t="shared" si="226"/>
        <v>0</v>
      </c>
      <c r="P2438" s="30">
        <f t="shared" si="227"/>
        <v>28800</v>
      </c>
      <c r="Q2438" s="1">
        <f>COUNTIFS($P:$P, "&gt;" &amp; $P2438) + 1</f>
        <v>718</v>
      </c>
      <c r="R2438" s="63">
        <f>(COUNTIFS($P:$P, "&gt;" &amp; $P2438) + 1) / (COUNTA($I:$I) - 1)</f>
        <v>0.14360000000000001</v>
      </c>
      <c r="S2438" s="23">
        <f>SUMIFS($P:$P, $Q:$Q, "&lt;" &amp; $Q2438)</f>
        <v>159613831</v>
      </c>
    </row>
    <row r="2439" spans="1:19" x14ac:dyDescent="0.25">
      <c r="A2439" s="1">
        <v>2434</v>
      </c>
      <c r="B2439" s="1" t="s">
        <v>2</v>
      </c>
      <c r="C2439" s="1" t="str">
        <f>IF($B2439 = "Production Item", _xlfn.XLOOKUP($A2439, 'Instrument Table'!$J:$J, 'Instrument Table'!$B:$B, $C2438), IF($B2439 = "Service Item", _xlfn.XLOOKUP($A2439, 'Instrument Table'!$I:$I, 'Instrument Table'!$B:$B, $C2438), _xlfn.XLOOKUP($A2439, 'Instrument Table'!$H:$H, 'Instrument Table'!$B:$B, $C2438)))</f>
        <v>Bassoon</v>
      </c>
      <c r="D2439" s="1" t="str">
        <f>VLOOKUP($C2439, 'Instrument Table'!$B:$C, 2, FALSE)</f>
        <v>Woodwinds</v>
      </c>
      <c r="E2439" s="1">
        <f t="shared" ref="E2439:E2502" si="228">IF($B2439 = "Production Item", 1, IF($B2439 = "Service Item", 2, IF($B2439 = "Retail Item", 3, "")))</f>
        <v>1</v>
      </c>
      <c r="F2439" s="1">
        <f>_xlfn.XLOOKUP($C2439, 'Instrument Table'!$B:$B, 'Instrument Table'!$A:$A, "")</f>
        <v>35</v>
      </c>
      <c r="G2439" s="1" t="str">
        <f>TEXT(IF($B2439 = "Retail Item", IF((ROW($A2439) - 4504 - _xlfn.XMATCH($C2439, $C$4506:$C$5005, 0, 1)) &lt;= VLOOKUP($C2439, 'Instrument Table'!$B:$D, 3, FALSE), ROW($A2439) - 4504 - _xlfn.XMATCH($C2439, $C$4506:$C$5005, 0, 1), 0), 0), "00")</f>
        <v>00</v>
      </c>
      <c r="H2439" s="1" t="str">
        <f t="shared" ref="H2439:H2502" si="229">TEXT(IF($E2439 &amp; $F2439 &amp; $G2439 = $E2438 &amp; $F2438 &amp; $G2438, 1 + H2438, 0), "000")</f>
        <v>033</v>
      </c>
      <c r="I2439" s="1" t="str">
        <f t="shared" ref="I2439:I2502" si="230" xml:space="preserve"> _xlfn.CONCAT($E2439, $F2439, $G2439, "-", H2439)</f>
        <v>13500-033</v>
      </c>
      <c r="J2439" s="1" t="str">
        <f t="shared" ref="J2439:J2502" si="231">LEFT($C2439, 1) &amp; LOWER(RIGHT($C2439, LEN($C2439) - 1)) &amp; IF(AND($G2439 &lt;&gt; "00", $B2439 = "Retail Item"), " model #" &amp; $G2439, " " &amp; LOWER($B2439) &amp; " #" &amp; $H2439)</f>
        <v>Bassoon production item #033</v>
      </c>
      <c r="K2439" s="1" t="str">
        <f>IF(SUM(COUNTIFS(I:I, I2439)) &gt; 1, "DUPLICATE", "UNIQUE")</f>
        <v>UNIQUE</v>
      </c>
      <c r="L2439" s="18">
        <v>1</v>
      </c>
      <c r="M2439" s="28">
        <v>71</v>
      </c>
      <c r="N2439" s="6">
        <v>9</v>
      </c>
      <c r="O2439" s="30">
        <f t="shared" ref="O2439:O2502" si="232">$L2439 * $M2439</f>
        <v>71</v>
      </c>
      <c r="P2439" s="30">
        <f t="shared" ref="P2439:P2502" si="233">$N2439 * $M2439</f>
        <v>639</v>
      </c>
      <c r="Q2439" s="1">
        <f>COUNTIFS($P:$P, "&gt;" &amp; $P2439) + 1</f>
        <v>3921</v>
      </c>
      <c r="R2439" s="63">
        <f>(COUNTIFS($P:$P, "&gt;" &amp; $P2439) + 1) / (COUNTA($I:$I) - 1)</f>
        <v>0.78420000000000001</v>
      </c>
      <c r="S2439" s="23">
        <f>SUMIFS($P:$P, $Q:$Q, "&lt;" &amp; $Q2439)</f>
        <v>186352563</v>
      </c>
    </row>
    <row r="2440" spans="1:19" x14ac:dyDescent="0.25">
      <c r="A2440" s="1">
        <v>2435</v>
      </c>
      <c r="B2440" s="1" t="s">
        <v>2</v>
      </c>
      <c r="C2440" s="1" t="str">
        <f>IF($B2440 = "Production Item", _xlfn.XLOOKUP($A2440, 'Instrument Table'!$J:$J, 'Instrument Table'!$B:$B, $C2439), IF($B2440 = "Service Item", _xlfn.XLOOKUP($A2440, 'Instrument Table'!$I:$I, 'Instrument Table'!$B:$B, $C2439), _xlfn.XLOOKUP($A2440, 'Instrument Table'!$H:$H, 'Instrument Table'!$B:$B, $C2439)))</f>
        <v>Bassoon</v>
      </c>
      <c r="D2440" s="1" t="str">
        <f>VLOOKUP($C2440, 'Instrument Table'!$B:$C, 2, FALSE)</f>
        <v>Woodwinds</v>
      </c>
      <c r="E2440" s="1">
        <f t="shared" si="228"/>
        <v>1</v>
      </c>
      <c r="F2440" s="1">
        <f>_xlfn.XLOOKUP($C2440, 'Instrument Table'!$B:$B, 'Instrument Table'!$A:$A, "")</f>
        <v>35</v>
      </c>
      <c r="G2440" s="1" t="str">
        <f>TEXT(IF($B2440 = "Retail Item", IF((ROW($A2440) - 4504 - _xlfn.XMATCH($C2440, $C$4506:$C$5005, 0, 1)) &lt;= VLOOKUP($C2440, 'Instrument Table'!$B:$D, 3, FALSE), ROW($A2440) - 4504 - _xlfn.XMATCH($C2440, $C$4506:$C$5005, 0, 1), 0), 0), "00")</f>
        <v>00</v>
      </c>
      <c r="H2440" s="1" t="str">
        <f t="shared" si="229"/>
        <v>034</v>
      </c>
      <c r="I2440" s="1" t="str">
        <f t="shared" si="230"/>
        <v>13500-034</v>
      </c>
      <c r="J2440" s="1" t="str">
        <f t="shared" si="231"/>
        <v>Bassoon production item #034</v>
      </c>
      <c r="K2440" s="1" t="str">
        <f>IF(SUM(COUNTIFS(I:I, I2440)) &gt; 1, "DUPLICATE", "UNIQUE")</f>
        <v>UNIQUE</v>
      </c>
      <c r="L2440" s="18">
        <v>1</v>
      </c>
      <c r="M2440" s="28">
        <v>26</v>
      </c>
      <c r="N2440" s="6">
        <v>100</v>
      </c>
      <c r="O2440" s="30">
        <f t="shared" si="232"/>
        <v>26</v>
      </c>
      <c r="P2440" s="30">
        <f t="shared" si="233"/>
        <v>2600</v>
      </c>
      <c r="Q2440" s="1">
        <f>COUNTIFS($P:$P, "&gt;" &amp; $P2440) + 1</f>
        <v>3008</v>
      </c>
      <c r="R2440" s="63">
        <f>(COUNTIFS($P:$P, "&gt;" &amp; $P2440) + 1) / (COUNTA($I:$I) - 1)</f>
        <v>0.60160000000000002</v>
      </c>
      <c r="S2440" s="23">
        <f>SUMIFS($P:$P, $Q:$Q, "&lt;" &amp; $Q2440)</f>
        <v>184953072</v>
      </c>
    </row>
    <row r="2441" spans="1:19" x14ac:dyDescent="0.25">
      <c r="A2441" s="1">
        <v>2436</v>
      </c>
      <c r="B2441" s="1" t="s">
        <v>2</v>
      </c>
      <c r="C2441" s="1" t="str">
        <f>IF($B2441 = "Production Item", _xlfn.XLOOKUP($A2441, 'Instrument Table'!$J:$J, 'Instrument Table'!$B:$B, $C2440), IF($B2441 = "Service Item", _xlfn.XLOOKUP($A2441, 'Instrument Table'!$I:$I, 'Instrument Table'!$B:$B, $C2440), _xlfn.XLOOKUP($A2441, 'Instrument Table'!$H:$H, 'Instrument Table'!$B:$B, $C2440)))</f>
        <v>Bassoon</v>
      </c>
      <c r="D2441" s="1" t="str">
        <f>VLOOKUP($C2441, 'Instrument Table'!$B:$C, 2, FALSE)</f>
        <v>Woodwinds</v>
      </c>
      <c r="E2441" s="1">
        <f t="shared" si="228"/>
        <v>1</v>
      </c>
      <c r="F2441" s="1">
        <f>_xlfn.XLOOKUP($C2441, 'Instrument Table'!$B:$B, 'Instrument Table'!$A:$A, "")</f>
        <v>35</v>
      </c>
      <c r="G2441" s="1" t="str">
        <f>TEXT(IF($B2441 = "Retail Item", IF((ROW($A2441) - 4504 - _xlfn.XMATCH($C2441, $C$4506:$C$5005, 0, 1)) &lt;= VLOOKUP($C2441, 'Instrument Table'!$B:$D, 3, FALSE), ROW($A2441) - 4504 - _xlfn.XMATCH($C2441, $C$4506:$C$5005, 0, 1), 0), 0), "00")</f>
        <v>00</v>
      </c>
      <c r="H2441" s="1" t="str">
        <f t="shared" si="229"/>
        <v>035</v>
      </c>
      <c r="I2441" s="1" t="str">
        <f t="shared" si="230"/>
        <v>13500-035</v>
      </c>
      <c r="J2441" s="1" t="str">
        <f t="shared" si="231"/>
        <v>Bassoon production item #035</v>
      </c>
      <c r="K2441" s="1" t="str">
        <f>IF(SUM(COUNTIFS(I:I, I2441)) &gt; 1, "DUPLICATE", "UNIQUE")</f>
        <v>UNIQUE</v>
      </c>
      <c r="L2441" s="18">
        <v>4</v>
      </c>
      <c r="M2441" s="28">
        <v>22</v>
      </c>
      <c r="N2441" s="6">
        <v>100</v>
      </c>
      <c r="O2441" s="30">
        <f t="shared" si="232"/>
        <v>88</v>
      </c>
      <c r="P2441" s="30">
        <f t="shared" si="233"/>
        <v>2200</v>
      </c>
      <c r="Q2441" s="1">
        <f>COUNTIFS($P:$P, "&gt;" &amp; $P2441) + 1</f>
        <v>3168</v>
      </c>
      <c r="R2441" s="63">
        <f>(COUNTIFS($P:$P, "&gt;" &amp; $P2441) + 1) / (COUNTA($I:$I) - 1)</f>
        <v>0.63360000000000005</v>
      </c>
      <c r="S2441" s="23">
        <f>SUMIFS($P:$P, $Q:$Q, "&lt;" &amp; $Q2441)</f>
        <v>185338595</v>
      </c>
    </row>
    <row r="2442" spans="1:19" x14ac:dyDescent="0.25">
      <c r="A2442" s="1">
        <v>2437</v>
      </c>
      <c r="B2442" s="1" t="s">
        <v>2</v>
      </c>
      <c r="C2442" s="1" t="str">
        <f>IF($B2442 = "Production Item", _xlfn.XLOOKUP($A2442, 'Instrument Table'!$J:$J, 'Instrument Table'!$B:$B, $C2441), IF($B2442 = "Service Item", _xlfn.XLOOKUP($A2442, 'Instrument Table'!$I:$I, 'Instrument Table'!$B:$B, $C2441), _xlfn.XLOOKUP($A2442, 'Instrument Table'!$H:$H, 'Instrument Table'!$B:$B, $C2441)))</f>
        <v>Bassoon</v>
      </c>
      <c r="D2442" s="1" t="str">
        <f>VLOOKUP($C2442, 'Instrument Table'!$B:$C, 2, FALSE)</f>
        <v>Woodwinds</v>
      </c>
      <c r="E2442" s="1">
        <f t="shared" si="228"/>
        <v>1</v>
      </c>
      <c r="F2442" s="1">
        <f>_xlfn.XLOOKUP($C2442, 'Instrument Table'!$B:$B, 'Instrument Table'!$A:$A, "")</f>
        <v>35</v>
      </c>
      <c r="G2442" s="1" t="str">
        <f>TEXT(IF($B2442 = "Retail Item", IF((ROW($A2442) - 4504 - _xlfn.XMATCH($C2442, $C$4506:$C$5005, 0, 1)) &lt;= VLOOKUP($C2442, 'Instrument Table'!$B:$D, 3, FALSE), ROW($A2442) - 4504 - _xlfn.XMATCH($C2442, $C$4506:$C$5005, 0, 1), 0), 0), "00")</f>
        <v>00</v>
      </c>
      <c r="H2442" s="1" t="str">
        <f t="shared" si="229"/>
        <v>036</v>
      </c>
      <c r="I2442" s="1" t="str">
        <f t="shared" si="230"/>
        <v>13500-036</v>
      </c>
      <c r="J2442" s="1" t="str">
        <f t="shared" si="231"/>
        <v>Bassoon production item #036</v>
      </c>
      <c r="K2442" s="1" t="str">
        <f>IF(SUM(COUNTIFS(I:I, I2442)) &gt; 1, "DUPLICATE", "UNIQUE")</f>
        <v>UNIQUE</v>
      </c>
      <c r="L2442" s="18">
        <v>0</v>
      </c>
      <c r="M2442" s="28">
        <v>2</v>
      </c>
      <c r="N2442" s="6">
        <v>9</v>
      </c>
      <c r="O2442" s="30">
        <f t="shared" si="232"/>
        <v>0</v>
      </c>
      <c r="P2442" s="30">
        <f t="shared" si="233"/>
        <v>18</v>
      </c>
      <c r="Q2442" s="1">
        <f>COUNTIFS($P:$P, "&gt;" &amp; $P2442) + 1</f>
        <v>4697</v>
      </c>
      <c r="R2442" s="63">
        <f>(COUNTIFS($P:$P, "&gt;" &amp; $P2442) + 1) / (COUNTA($I:$I) - 1)</f>
        <v>0.93940000000000001</v>
      </c>
      <c r="S2442" s="23">
        <f>SUMIFS($P:$P, $Q:$Q, "&lt;" &amp; $Q2442)</f>
        <v>186547339</v>
      </c>
    </row>
    <row r="2443" spans="1:19" x14ac:dyDescent="0.25">
      <c r="A2443" s="1">
        <v>2438</v>
      </c>
      <c r="B2443" s="1" t="s">
        <v>2</v>
      </c>
      <c r="C2443" s="1" t="str">
        <f>IF($B2443 = "Production Item", _xlfn.XLOOKUP($A2443, 'Instrument Table'!$J:$J, 'Instrument Table'!$B:$B, $C2442), IF($B2443 = "Service Item", _xlfn.XLOOKUP($A2443, 'Instrument Table'!$I:$I, 'Instrument Table'!$B:$B, $C2442), _xlfn.XLOOKUP($A2443, 'Instrument Table'!$H:$H, 'Instrument Table'!$B:$B, $C2442)))</f>
        <v>Bassoon</v>
      </c>
      <c r="D2443" s="1" t="str">
        <f>VLOOKUP($C2443, 'Instrument Table'!$B:$C, 2, FALSE)</f>
        <v>Woodwinds</v>
      </c>
      <c r="E2443" s="1">
        <f t="shared" si="228"/>
        <v>1</v>
      </c>
      <c r="F2443" s="1">
        <f>_xlfn.XLOOKUP($C2443, 'Instrument Table'!$B:$B, 'Instrument Table'!$A:$A, "")</f>
        <v>35</v>
      </c>
      <c r="G2443" s="1" t="str">
        <f>TEXT(IF($B2443 = "Retail Item", IF((ROW($A2443) - 4504 - _xlfn.XMATCH($C2443, $C$4506:$C$5005, 0, 1)) &lt;= VLOOKUP($C2443, 'Instrument Table'!$B:$D, 3, FALSE), ROW($A2443) - 4504 - _xlfn.XMATCH($C2443, $C$4506:$C$5005, 0, 1), 0), 0), "00")</f>
        <v>00</v>
      </c>
      <c r="H2443" s="1" t="str">
        <f t="shared" si="229"/>
        <v>037</v>
      </c>
      <c r="I2443" s="1" t="str">
        <f t="shared" si="230"/>
        <v>13500-037</v>
      </c>
      <c r="J2443" s="1" t="str">
        <f t="shared" si="231"/>
        <v>Bassoon production item #037</v>
      </c>
      <c r="K2443" s="1" t="str">
        <f>IF(SUM(COUNTIFS(I:I, I2443)) &gt; 1, "DUPLICATE", "UNIQUE")</f>
        <v>UNIQUE</v>
      </c>
      <c r="L2443" s="18">
        <v>0</v>
      </c>
      <c r="M2443" s="28">
        <v>48</v>
      </c>
      <c r="N2443" s="6">
        <v>289</v>
      </c>
      <c r="O2443" s="30">
        <f t="shared" si="232"/>
        <v>0</v>
      </c>
      <c r="P2443" s="30">
        <f t="shared" si="233"/>
        <v>13872</v>
      </c>
      <c r="Q2443" s="1">
        <f>COUNTIFS($P:$P, "&gt;" &amp; $P2443) + 1</f>
        <v>1429</v>
      </c>
      <c r="R2443" s="63">
        <f>(COUNTIFS($P:$P, "&gt;" &amp; $P2443) + 1) / (COUNTA($I:$I) - 1)</f>
        <v>0.2858</v>
      </c>
      <c r="S2443" s="23">
        <f>SUMIFS($P:$P, $Q:$Q, "&lt;" &amp; $Q2443)</f>
        <v>173884352</v>
      </c>
    </row>
    <row r="2444" spans="1:19" x14ac:dyDescent="0.25">
      <c r="A2444" s="1">
        <v>2439</v>
      </c>
      <c r="B2444" s="1" t="s">
        <v>2</v>
      </c>
      <c r="C2444" s="1" t="str">
        <f>IF($B2444 = "Production Item", _xlfn.XLOOKUP($A2444, 'Instrument Table'!$J:$J, 'Instrument Table'!$B:$B, $C2443), IF($B2444 = "Service Item", _xlfn.XLOOKUP($A2444, 'Instrument Table'!$I:$I, 'Instrument Table'!$B:$B, $C2443), _xlfn.XLOOKUP($A2444, 'Instrument Table'!$H:$H, 'Instrument Table'!$B:$B, $C2443)))</f>
        <v>Bassoon</v>
      </c>
      <c r="D2444" s="1" t="str">
        <f>VLOOKUP($C2444, 'Instrument Table'!$B:$C, 2, FALSE)</f>
        <v>Woodwinds</v>
      </c>
      <c r="E2444" s="1">
        <f t="shared" si="228"/>
        <v>1</v>
      </c>
      <c r="F2444" s="1">
        <f>_xlfn.XLOOKUP($C2444, 'Instrument Table'!$B:$B, 'Instrument Table'!$A:$A, "")</f>
        <v>35</v>
      </c>
      <c r="G2444" s="1" t="str">
        <f>TEXT(IF($B2444 = "Retail Item", IF((ROW($A2444) - 4504 - _xlfn.XMATCH($C2444, $C$4506:$C$5005, 0, 1)) &lt;= VLOOKUP($C2444, 'Instrument Table'!$B:$D, 3, FALSE), ROW($A2444) - 4504 - _xlfn.XMATCH($C2444, $C$4506:$C$5005, 0, 1), 0), 0), "00")</f>
        <v>00</v>
      </c>
      <c r="H2444" s="1" t="str">
        <f t="shared" si="229"/>
        <v>038</v>
      </c>
      <c r="I2444" s="1" t="str">
        <f t="shared" si="230"/>
        <v>13500-038</v>
      </c>
      <c r="J2444" s="1" t="str">
        <f t="shared" si="231"/>
        <v>Bassoon production item #038</v>
      </c>
      <c r="K2444" s="1" t="str">
        <f>IF(SUM(COUNTIFS(I:I, I2444)) &gt; 1, "DUPLICATE", "UNIQUE")</f>
        <v>UNIQUE</v>
      </c>
      <c r="L2444" s="18">
        <v>1</v>
      </c>
      <c r="M2444" s="28">
        <v>38</v>
      </c>
      <c r="N2444" s="6">
        <v>0</v>
      </c>
      <c r="O2444" s="30">
        <f t="shared" si="232"/>
        <v>38</v>
      </c>
      <c r="P2444" s="30">
        <f t="shared" si="233"/>
        <v>0</v>
      </c>
      <c r="Q2444" s="1">
        <f>COUNTIFS($P:$P, "&gt;" &amp; $P2444) + 1</f>
        <v>4746</v>
      </c>
      <c r="R2444" s="63">
        <f>(COUNTIFS($P:$P, "&gt;" &amp; $P2444) + 1) / (COUNTA($I:$I) - 1)</f>
        <v>0.94920000000000004</v>
      </c>
      <c r="S2444" s="23">
        <f>SUMIFS($P:$P, $Q:$Q, "&lt;" &amp; $Q2444)</f>
        <v>186547861</v>
      </c>
    </row>
    <row r="2445" spans="1:19" x14ac:dyDescent="0.25">
      <c r="A2445" s="1">
        <v>2440</v>
      </c>
      <c r="B2445" s="1" t="s">
        <v>2</v>
      </c>
      <c r="C2445" s="1" t="str">
        <f>IF($B2445 = "Production Item", _xlfn.XLOOKUP($A2445, 'Instrument Table'!$J:$J, 'Instrument Table'!$B:$B, $C2444), IF($B2445 = "Service Item", _xlfn.XLOOKUP($A2445, 'Instrument Table'!$I:$I, 'Instrument Table'!$B:$B, $C2444), _xlfn.XLOOKUP($A2445, 'Instrument Table'!$H:$H, 'Instrument Table'!$B:$B, $C2444)))</f>
        <v>Bassoon</v>
      </c>
      <c r="D2445" s="1" t="str">
        <f>VLOOKUP($C2445, 'Instrument Table'!$B:$C, 2, FALSE)</f>
        <v>Woodwinds</v>
      </c>
      <c r="E2445" s="1">
        <f t="shared" si="228"/>
        <v>1</v>
      </c>
      <c r="F2445" s="1">
        <f>_xlfn.XLOOKUP($C2445, 'Instrument Table'!$B:$B, 'Instrument Table'!$A:$A, "")</f>
        <v>35</v>
      </c>
      <c r="G2445" s="1" t="str">
        <f>TEXT(IF($B2445 = "Retail Item", IF((ROW($A2445) - 4504 - _xlfn.XMATCH($C2445, $C$4506:$C$5005, 0, 1)) &lt;= VLOOKUP($C2445, 'Instrument Table'!$B:$D, 3, FALSE), ROW($A2445) - 4504 - _xlfn.XMATCH($C2445, $C$4506:$C$5005, 0, 1), 0), 0), "00")</f>
        <v>00</v>
      </c>
      <c r="H2445" s="1" t="str">
        <f t="shared" si="229"/>
        <v>039</v>
      </c>
      <c r="I2445" s="1" t="str">
        <f t="shared" si="230"/>
        <v>13500-039</v>
      </c>
      <c r="J2445" s="1" t="str">
        <f t="shared" si="231"/>
        <v>Bassoon production item #039</v>
      </c>
      <c r="K2445" s="1" t="str">
        <f>IF(SUM(COUNTIFS(I:I, I2445)) &gt; 1, "DUPLICATE", "UNIQUE")</f>
        <v>UNIQUE</v>
      </c>
      <c r="L2445" s="18">
        <v>8</v>
      </c>
      <c r="M2445" s="28">
        <v>42</v>
      </c>
      <c r="N2445" s="6">
        <v>121</v>
      </c>
      <c r="O2445" s="30">
        <f t="shared" si="232"/>
        <v>336</v>
      </c>
      <c r="P2445" s="30">
        <f t="shared" si="233"/>
        <v>5082</v>
      </c>
      <c r="Q2445" s="1">
        <f>COUNTIFS($P:$P, "&gt;" &amp; $P2445) + 1</f>
        <v>2432</v>
      </c>
      <c r="R2445" s="63">
        <f>(COUNTIFS($P:$P, "&gt;" &amp; $P2445) + 1) / (COUNTA($I:$I) - 1)</f>
        <v>0.4864</v>
      </c>
      <c r="S2445" s="23">
        <f>SUMIFS($P:$P, $Q:$Q, "&lt;" &amp; $Q2445)</f>
        <v>182781729</v>
      </c>
    </row>
    <row r="2446" spans="1:19" x14ac:dyDescent="0.25">
      <c r="A2446" s="1">
        <v>2441</v>
      </c>
      <c r="B2446" s="1" t="s">
        <v>2</v>
      </c>
      <c r="C2446" s="1" t="str">
        <f>IF($B2446 = "Production Item", _xlfn.XLOOKUP($A2446, 'Instrument Table'!$J:$J, 'Instrument Table'!$B:$B, $C2445), IF($B2446 = "Service Item", _xlfn.XLOOKUP($A2446, 'Instrument Table'!$I:$I, 'Instrument Table'!$B:$B, $C2445), _xlfn.XLOOKUP($A2446, 'Instrument Table'!$H:$H, 'Instrument Table'!$B:$B, $C2445)))</f>
        <v>Bassoon</v>
      </c>
      <c r="D2446" s="1" t="str">
        <f>VLOOKUP($C2446, 'Instrument Table'!$B:$C, 2, FALSE)</f>
        <v>Woodwinds</v>
      </c>
      <c r="E2446" s="1">
        <f t="shared" si="228"/>
        <v>1</v>
      </c>
      <c r="F2446" s="1">
        <f>_xlfn.XLOOKUP($C2446, 'Instrument Table'!$B:$B, 'Instrument Table'!$A:$A, "")</f>
        <v>35</v>
      </c>
      <c r="G2446" s="1" t="str">
        <f>TEXT(IF($B2446 = "Retail Item", IF((ROW($A2446) - 4504 - _xlfn.XMATCH($C2446, $C$4506:$C$5005, 0, 1)) &lt;= VLOOKUP($C2446, 'Instrument Table'!$B:$D, 3, FALSE), ROW($A2446) - 4504 - _xlfn.XMATCH($C2446, $C$4506:$C$5005, 0, 1), 0), 0), "00")</f>
        <v>00</v>
      </c>
      <c r="H2446" s="1" t="str">
        <f t="shared" si="229"/>
        <v>040</v>
      </c>
      <c r="I2446" s="1" t="str">
        <f t="shared" si="230"/>
        <v>13500-040</v>
      </c>
      <c r="J2446" s="1" t="str">
        <f t="shared" si="231"/>
        <v>Bassoon production item #040</v>
      </c>
      <c r="K2446" s="1" t="str">
        <f>IF(SUM(COUNTIFS(I:I, I2446)) &gt; 1, "DUPLICATE", "UNIQUE")</f>
        <v>UNIQUE</v>
      </c>
      <c r="L2446" s="18">
        <v>0</v>
      </c>
      <c r="M2446" s="28">
        <v>58</v>
      </c>
      <c r="N2446" s="6">
        <v>16</v>
      </c>
      <c r="O2446" s="30">
        <f t="shared" si="232"/>
        <v>0</v>
      </c>
      <c r="P2446" s="30">
        <f t="shared" si="233"/>
        <v>928</v>
      </c>
      <c r="Q2446" s="1">
        <f>COUNTIFS($P:$P, "&gt;" &amp; $P2446) + 1</f>
        <v>3712</v>
      </c>
      <c r="R2446" s="63">
        <f>(COUNTIFS($P:$P, "&gt;" &amp; $P2446) + 1) / (COUNTA($I:$I) - 1)</f>
        <v>0.74239999999999995</v>
      </c>
      <c r="S2446" s="23">
        <f>SUMIFS($P:$P, $Q:$Q, "&lt;" &amp; $Q2446)</f>
        <v>186190191</v>
      </c>
    </row>
    <row r="2447" spans="1:19" x14ac:dyDescent="0.25">
      <c r="A2447" s="1">
        <v>2442</v>
      </c>
      <c r="B2447" s="1" t="s">
        <v>2</v>
      </c>
      <c r="C2447" s="1" t="str">
        <f>IF($B2447 = "Production Item", _xlfn.XLOOKUP($A2447, 'Instrument Table'!$J:$J, 'Instrument Table'!$B:$B, $C2446), IF($B2447 = "Service Item", _xlfn.XLOOKUP($A2447, 'Instrument Table'!$I:$I, 'Instrument Table'!$B:$B, $C2446), _xlfn.XLOOKUP($A2447, 'Instrument Table'!$H:$H, 'Instrument Table'!$B:$B, $C2446)))</f>
        <v>Bassoon</v>
      </c>
      <c r="D2447" s="1" t="str">
        <f>VLOOKUP($C2447, 'Instrument Table'!$B:$C, 2, FALSE)</f>
        <v>Woodwinds</v>
      </c>
      <c r="E2447" s="1">
        <f t="shared" si="228"/>
        <v>1</v>
      </c>
      <c r="F2447" s="1">
        <f>_xlfn.XLOOKUP($C2447, 'Instrument Table'!$B:$B, 'Instrument Table'!$A:$A, "")</f>
        <v>35</v>
      </c>
      <c r="G2447" s="1" t="str">
        <f>TEXT(IF($B2447 = "Retail Item", IF((ROW($A2447) - 4504 - _xlfn.XMATCH($C2447, $C$4506:$C$5005, 0, 1)) &lt;= VLOOKUP($C2447, 'Instrument Table'!$B:$D, 3, FALSE), ROW($A2447) - 4504 - _xlfn.XMATCH($C2447, $C$4506:$C$5005, 0, 1), 0), 0), "00")</f>
        <v>00</v>
      </c>
      <c r="H2447" s="1" t="str">
        <f t="shared" si="229"/>
        <v>041</v>
      </c>
      <c r="I2447" s="1" t="str">
        <f t="shared" si="230"/>
        <v>13500-041</v>
      </c>
      <c r="J2447" s="1" t="str">
        <f t="shared" si="231"/>
        <v>Bassoon production item #041</v>
      </c>
      <c r="K2447" s="1" t="str">
        <f>IF(SUM(COUNTIFS(I:I, I2447)) &gt; 1, "DUPLICATE", "UNIQUE")</f>
        <v>UNIQUE</v>
      </c>
      <c r="L2447" s="18">
        <v>1</v>
      </c>
      <c r="M2447" s="28">
        <v>56</v>
      </c>
      <c r="N2447" s="6">
        <v>49</v>
      </c>
      <c r="O2447" s="30">
        <f t="shared" si="232"/>
        <v>56</v>
      </c>
      <c r="P2447" s="30">
        <f t="shared" si="233"/>
        <v>2744</v>
      </c>
      <c r="Q2447" s="1">
        <f>COUNTIFS($P:$P, "&gt;" &amp; $P2447) + 1</f>
        <v>2969</v>
      </c>
      <c r="R2447" s="63">
        <f>(COUNTIFS($P:$P, "&gt;" &amp; $P2447) + 1) / (COUNTA($I:$I) - 1)</f>
        <v>0.59379999999999999</v>
      </c>
      <c r="S2447" s="23">
        <f>SUMIFS($P:$P, $Q:$Q, "&lt;" &amp; $Q2447)</f>
        <v>184848382</v>
      </c>
    </row>
    <row r="2448" spans="1:19" x14ac:dyDescent="0.25">
      <c r="A2448" s="1">
        <v>2443</v>
      </c>
      <c r="B2448" s="1" t="s">
        <v>2</v>
      </c>
      <c r="C2448" s="1" t="str">
        <f>IF($B2448 = "Production Item", _xlfn.XLOOKUP($A2448, 'Instrument Table'!$J:$J, 'Instrument Table'!$B:$B, $C2447), IF($B2448 = "Service Item", _xlfn.XLOOKUP($A2448, 'Instrument Table'!$I:$I, 'Instrument Table'!$B:$B, $C2447), _xlfn.XLOOKUP($A2448, 'Instrument Table'!$H:$H, 'Instrument Table'!$B:$B, $C2447)))</f>
        <v>Bassoon</v>
      </c>
      <c r="D2448" s="1" t="str">
        <f>VLOOKUP($C2448, 'Instrument Table'!$B:$C, 2, FALSE)</f>
        <v>Woodwinds</v>
      </c>
      <c r="E2448" s="1">
        <f t="shared" si="228"/>
        <v>1</v>
      </c>
      <c r="F2448" s="1">
        <f>_xlfn.XLOOKUP($C2448, 'Instrument Table'!$B:$B, 'Instrument Table'!$A:$A, "")</f>
        <v>35</v>
      </c>
      <c r="G2448" s="1" t="str">
        <f>TEXT(IF($B2448 = "Retail Item", IF((ROW($A2448) - 4504 - _xlfn.XMATCH($C2448, $C$4506:$C$5005, 0, 1)) &lt;= VLOOKUP($C2448, 'Instrument Table'!$B:$D, 3, FALSE), ROW($A2448) - 4504 - _xlfn.XMATCH($C2448, $C$4506:$C$5005, 0, 1), 0), 0), "00")</f>
        <v>00</v>
      </c>
      <c r="H2448" s="1" t="str">
        <f t="shared" si="229"/>
        <v>042</v>
      </c>
      <c r="I2448" s="1" t="str">
        <f t="shared" si="230"/>
        <v>13500-042</v>
      </c>
      <c r="J2448" s="1" t="str">
        <f t="shared" si="231"/>
        <v>Bassoon production item #042</v>
      </c>
      <c r="K2448" s="1" t="str">
        <f>IF(SUM(COUNTIFS(I:I, I2448)) &gt; 1, "DUPLICATE", "UNIQUE")</f>
        <v>UNIQUE</v>
      </c>
      <c r="L2448" s="18">
        <v>0</v>
      </c>
      <c r="M2448" s="28">
        <v>23</v>
      </c>
      <c r="N2448" s="6">
        <v>9</v>
      </c>
      <c r="O2448" s="30">
        <f t="shared" si="232"/>
        <v>0</v>
      </c>
      <c r="P2448" s="30">
        <f t="shared" si="233"/>
        <v>207</v>
      </c>
      <c r="Q2448" s="1">
        <f>COUNTIFS($P:$P, "&gt;" &amp; $P2448) + 1</f>
        <v>4315</v>
      </c>
      <c r="R2448" s="63">
        <f>(COUNTIFS($P:$P, "&gt;" &amp; $P2448) + 1) / (COUNTA($I:$I) - 1)</f>
        <v>0.86299999999999999</v>
      </c>
      <c r="S2448" s="23">
        <f>SUMIFS($P:$P, $Q:$Q, "&lt;" &amp; $Q2448)</f>
        <v>186510654</v>
      </c>
    </row>
    <row r="2449" spans="1:19" x14ac:dyDescent="0.25">
      <c r="A2449" s="1">
        <v>2444</v>
      </c>
      <c r="B2449" s="1" t="s">
        <v>2</v>
      </c>
      <c r="C2449" s="1" t="str">
        <f>IF($B2449 = "Production Item", _xlfn.XLOOKUP($A2449, 'Instrument Table'!$J:$J, 'Instrument Table'!$B:$B, $C2448), IF($B2449 = "Service Item", _xlfn.XLOOKUP($A2449, 'Instrument Table'!$I:$I, 'Instrument Table'!$B:$B, $C2448), _xlfn.XLOOKUP($A2449, 'Instrument Table'!$H:$H, 'Instrument Table'!$B:$B, $C2448)))</f>
        <v>Bassoon</v>
      </c>
      <c r="D2449" s="1" t="str">
        <f>VLOOKUP($C2449, 'Instrument Table'!$B:$C, 2, FALSE)</f>
        <v>Woodwinds</v>
      </c>
      <c r="E2449" s="1">
        <f t="shared" si="228"/>
        <v>1</v>
      </c>
      <c r="F2449" s="1">
        <f>_xlfn.XLOOKUP($C2449, 'Instrument Table'!$B:$B, 'Instrument Table'!$A:$A, "")</f>
        <v>35</v>
      </c>
      <c r="G2449" s="1" t="str">
        <f>TEXT(IF($B2449 = "Retail Item", IF((ROW($A2449) - 4504 - _xlfn.XMATCH($C2449, $C$4506:$C$5005, 0, 1)) &lt;= VLOOKUP($C2449, 'Instrument Table'!$B:$D, 3, FALSE), ROW($A2449) - 4504 - _xlfn.XMATCH($C2449, $C$4506:$C$5005, 0, 1), 0), 0), "00")</f>
        <v>00</v>
      </c>
      <c r="H2449" s="1" t="str">
        <f t="shared" si="229"/>
        <v>043</v>
      </c>
      <c r="I2449" s="1" t="str">
        <f t="shared" si="230"/>
        <v>13500-043</v>
      </c>
      <c r="J2449" s="1" t="str">
        <f t="shared" si="231"/>
        <v>Bassoon production item #043</v>
      </c>
      <c r="K2449" s="1" t="str">
        <f>IF(SUM(COUNTIFS(I:I, I2449)) &gt; 1, "DUPLICATE", "UNIQUE")</f>
        <v>UNIQUE</v>
      </c>
      <c r="L2449" s="18">
        <v>1</v>
      </c>
      <c r="M2449" s="28">
        <v>7</v>
      </c>
      <c r="N2449" s="6">
        <v>49</v>
      </c>
      <c r="O2449" s="30">
        <f t="shared" si="232"/>
        <v>7</v>
      </c>
      <c r="P2449" s="30">
        <f t="shared" si="233"/>
        <v>343</v>
      </c>
      <c r="Q2449" s="1">
        <f>COUNTIFS($P:$P, "&gt;" &amp; $P2449) + 1</f>
        <v>4162</v>
      </c>
      <c r="R2449" s="63">
        <f>(COUNTIFS($P:$P, "&gt;" &amp; $P2449) + 1) / (COUNTA($I:$I) - 1)</f>
        <v>0.83240000000000003</v>
      </c>
      <c r="S2449" s="23">
        <f>SUMIFS($P:$P, $Q:$Q, "&lt;" &amp; $Q2449)</f>
        <v>186467915</v>
      </c>
    </row>
    <row r="2450" spans="1:19" x14ac:dyDescent="0.25">
      <c r="A2450" s="1">
        <v>2445</v>
      </c>
      <c r="B2450" s="1" t="s">
        <v>2</v>
      </c>
      <c r="C2450" s="1" t="str">
        <f>IF($B2450 = "Production Item", _xlfn.XLOOKUP($A2450, 'Instrument Table'!$J:$J, 'Instrument Table'!$B:$B, $C2449), IF($B2450 = "Service Item", _xlfn.XLOOKUP($A2450, 'Instrument Table'!$I:$I, 'Instrument Table'!$B:$B, $C2449), _xlfn.XLOOKUP($A2450, 'Instrument Table'!$H:$H, 'Instrument Table'!$B:$B, $C2449)))</f>
        <v>Bassoon</v>
      </c>
      <c r="D2450" s="1" t="str">
        <f>VLOOKUP($C2450, 'Instrument Table'!$B:$C, 2, FALSE)</f>
        <v>Woodwinds</v>
      </c>
      <c r="E2450" s="1">
        <f t="shared" si="228"/>
        <v>1</v>
      </c>
      <c r="F2450" s="1">
        <f>_xlfn.XLOOKUP($C2450, 'Instrument Table'!$B:$B, 'Instrument Table'!$A:$A, "")</f>
        <v>35</v>
      </c>
      <c r="G2450" s="1" t="str">
        <f>TEXT(IF($B2450 = "Retail Item", IF((ROW($A2450) - 4504 - _xlfn.XMATCH($C2450, $C$4506:$C$5005, 0, 1)) &lt;= VLOOKUP($C2450, 'Instrument Table'!$B:$D, 3, FALSE), ROW($A2450) - 4504 - _xlfn.XMATCH($C2450, $C$4506:$C$5005, 0, 1), 0), 0), "00")</f>
        <v>00</v>
      </c>
      <c r="H2450" s="1" t="str">
        <f t="shared" si="229"/>
        <v>044</v>
      </c>
      <c r="I2450" s="1" t="str">
        <f t="shared" si="230"/>
        <v>13500-044</v>
      </c>
      <c r="J2450" s="1" t="str">
        <f t="shared" si="231"/>
        <v>Bassoon production item #044</v>
      </c>
      <c r="K2450" s="1" t="str">
        <f>IF(SUM(COUNTIFS(I:I, I2450)) &gt; 1, "DUPLICATE", "UNIQUE")</f>
        <v>UNIQUE</v>
      </c>
      <c r="L2450" s="18">
        <v>1</v>
      </c>
      <c r="M2450" s="28">
        <v>43</v>
      </c>
      <c r="N2450" s="6">
        <v>49</v>
      </c>
      <c r="O2450" s="30">
        <f t="shared" si="232"/>
        <v>43</v>
      </c>
      <c r="P2450" s="30">
        <f t="shared" si="233"/>
        <v>2107</v>
      </c>
      <c r="Q2450" s="1">
        <f>COUNTIFS($P:$P, "&gt;" &amp; $P2450) + 1</f>
        <v>3203</v>
      </c>
      <c r="R2450" s="63">
        <f>(COUNTIFS($P:$P, "&gt;" &amp; $P2450) + 1) / (COUNTA($I:$I) - 1)</f>
        <v>0.64059999999999995</v>
      </c>
      <c r="S2450" s="23">
        <f>SUMIFS($P:$P, $Q:$Q, "&lt;" &amp; $Q2450)</f>
        <v>185414023</v>
      </c>
    </row>
    <row r="2451" spans="1:19" x14ac:dyDescent="0.25">
      <c r="A2451" s="1">
        <v>2446</v>
      </c>
      <c r="B2451" s="1" t="s">
        <v>2</v>
      </c>
      <c r="C2451" s="1" t="str">
        <f>IF($B2451 = "Production Item", _xlfn.XLOOKUP($A2451, 'Instrument Table'!$J:$J, 'Instrument Table'!$B:$B, $C2450), IF($B2451 = "Service Item", _xlfn.XLOOKUP($A2451, 'Instrument Table'!$I:$I, 'Instrument Table'!$B:$B, $C2450), _xlfn.XLOOKUP($A2451, 'Instrument Table'!$H:$H, 'Instrument Table'!$B:$B, $C2450)))</f>
        <v>Bassoon</v>
      </c>
      <c r="D2451" s="1" t="str">
        <f>VLOOKUP($C2451, 'Instrument Table'!$B:$C, 2, FALSE)</f>
        <v>Woodwinds</v>
      </c>
      <c r="E2451" s="1">
        <f t="shared" si="228"/>
        <v>1</v>
      </c>
      <c r="F2451" s="1">
        <f>_xlfn.XLOOKUP($C2451, 'Instrument Table'!$B:$B, 'Instrument Table'!$A:$A, "")</f>
        <v>35</v>
      </c>
      <c r="G2451" s="1" t="str">
        <f>TEXT(IF($B2451 = "Retail Item", IF((ROW($A2451) - 4504 - _xlfn.XMATCH($C2451, $C$4506:$C$5005, 0, 1)) &lt;= VLOOKUP($C2451, 'Instrument Table'!$B:$D, 3, FALSE), ROW($A2451) - 4504 - _xlfn.XMATCH($C2451, $C$4506:$C$5005, 0, 1), 0), 0), "00")</f>
        <v>00</v>
      </c>
      <c r="H2451" s="1" t="str">
        <f t="shared" si="229"/>
        <v>045</v>
      </c>
      <c r="I2451" s="1" t="str">
        <f t="shared" si="230"/>
        <v>13500-045</v>
      </c>
      <c r="J2451" s="1" t="str">
        <f t="shared" si="231"/>
        <v>Bassoon production item #045</v>
      </c>
      <c r="K2451" s="1" t="str">
        <f>IF(SUM(COUNTIFS(I:I, I2451)) &gt; 1, "DUPLICATE", "UNIQUE")</f>
        <v>UNIQUE</v>
      </c>
      <c r="L2451" s="18">
        <v>1</v>
      </c>
      <c r="M2451" s="28">
        <v>41</v>
      </c>
      <c r="N2451" s="6">
        <v>0</v>
      </c>
      <c r="O2451" s="30">
        <f t="shared" si="232"/>
        <v>41</v>
      </c>
      <c r="P2451" s="30">
        <f t="shared" si="233"/>
        <v>0</v>
      </c>
      <c r="Q2451" s="1">
        <f>COUNTIFS($P:$P, "&gt;" &amp; $P2451) + 1</f>
        <v>4746</v>
      </c>
      <c r="R2451" s="63">
        <f>(COUNTIFS($P:$P, "&gt;" &amp; $P2451) + 1) / (COUNTA($I:$I) - 1)</f>
        <v>0.94920000000000004</v>
      </c>
      <c r="S2451" s="23">
        <f>SUMIFS($P:$P, $Q:$Q, "&lt;" &amp; $Q2451)</f>
        <v>186547861</v>
      </c>
    </row>
    <row r="2452" spans="1:19" x14ac:dyDescent="0.25">
      <c r="A2452" s="1">
        <v>2447</v>
      </c>
      <c r="B2452" s="1" t="s">
        <v>2</v>
      </c>
      <c r="C2452" s="1" t="str">
        <f>IF($B2452 = "Production Item", _xlfn.XLOOKUP($A2452, 'Instrument Table'!$J:$J, 'Instrument Table'!$B:$B, $C2451), IF($B2452 = "Service Item", _xlfn.XLOOKUP($A2452, 'Instrument Table'!$I:$I, 'Instrument Table'!$B:$B, $C2451), _xlfn.XLOOKUP($A2452, 'Instrument Table'!$H:$H, 'Instrument Table'!$B:$B, $C2451)))</f>
        <v>Bassoon</v>
      </c>
      <c r="D2452" s="1" t="str">
        <f>VLOOKUP($C2452, 'Instrument Table'!$B:$C, 2, FALSE)</f>
        <v>Woodwinds</v>
      </c>
      <c r="E2452" s="1">
        <f t="shared" si="228"/>
        <v>1</v>
      </c>
      <c r="F2452" s="1">
        <f>_xlfn.XLOOKUP($C2452, 'Instrument Table'!$B:$B, 'Instrument Table'!$A:$A, "")</f>
        <v>35</v>
      </c>
      <c r="G2452" s="1" t="str">
        <f>TEXT(IF($B2452 = "Retail Item", IF((ROW($A2452) - 4504 - _xlfn.XMATCH($C2452, $C$4506:$C$5005, 0, 1)) &lt;= VLOOKUP($C2452, 'Instrument Table'!$B:$D, 3, FALSE), ROW($A2452) - 4504 - _xlfn.XMATCH($C2452, $C$4506:$C$5005, 0, 1), 0), 0), "00")</f>
        <v>00</v>
      </c>
      <c r="H2452" s="1" t="str">
        <f t="shared" si="229"/>
        <v>046</v>
      </c>
      <c r="I2452" s="1" t="str">
        <f t="shared" si="230"/>
        <v>13500-046</v>
      </c>
      <c r="J2452" s="1" t="str">
        <f t="shared" si="231"/>
        <v>Bassoon production item #046</v>
      </c>
      <c r="K2452" s="1" t="str">
        <f>IF(SUM(COUNTIFS(I:I, I2452)) &gt; 1, "DUPLICATE", "UNIQUE")</f>
        <v>UNIQUE</v>
      </c>
      <c r="L2452" s="18">
        <v>1</v>
      </c>
      <c r="M2452" s="28">
        <v>100</v>
      </c>
      <c r="N2452" s="6">
        <v>361</v>
      </c>
      <c r="O2452" s="30">
        <f t="shared" si="232"/>
        <v>100</v>
      </c>
      <c r="P2452" s="30">
        <f t="shared" si="233"/>
        <v>36100</v>
      </c>
      <c r="Q2452" s="1">
        <f>COUNTIFS($P:$P, "&gt;" &amp; $P2452) + 1</f>
        <v>587</v>
      </c>
      <c r="R2452" s="63">
        <f>(COUNTIFS($P:$P, "&gt;" &amp; $P2452) + 1) / (COUNTA($I:$I) - 1)</f>
        <v>0.1174</v>
      </c>
      <c r="S2452" s="23">
        <f>SUMIFS($P:$P, $Q:$Q, "&lt;" &amp; $Q2452)</f>
        <v>155404269</v>
      </c>
    </row>
    <row r="2453" spans="1:19" x14ac:dyDescent="0.25">
      <c r="A2453" s="1">
        <v>2448</v>
      </c>
      <c r="B2453" s="1" t="s">
        <v>2</v>
      </c>
      <c r="C2453" s="1" t="str">
        <f>IF($B2453 = "Production Item", _xlfn.XLOOKUP($A2453, 'Instrument Table'!$J:$J, 'Instrument Table'!$B:$B, $C2452), IF($B2453 = "Service Item", _xlfn.XLOOKUP($A2453, 'Instrument Table'!$I:$I, 'Instrument Table'!$B:$B, $C2452), _xlfn.XLOOKUP($A2453, 'Instrument Table'!$H:$H, 'Instrument Table'!$B:$B, $C2452)))</f>
        <v>Bassoon</v>
      </c>
      <c r="D2453" s="1" t="str">
        <f>VLOOKUP($C2453, 'Instrument Table'!$B:$C, 2, FALSE)</f>
        <v>Woodwinds</v>
      </c>
      <c r="E2453" s="1">
        <f t="shared" si="228"/>
        <v>1</v>
      </c>
      <c r="F2453" s="1">
        <f>_xlfn.XLOOKUP($C2453, 'Instrument Table'!$B:$B, 'Instrument Table'!$A:$A, "")</f>
        <v>35</v>
      </c>
      <c r="G2453" s="1" t="str">
        <f>TEXT(IF($B2453 = "Retail Item", IF((ROW($A2453) - 4504 - _xlfn.XMATCH($C2453, $C$4506:$C$5005, 0, 1)) &lt;= VLOOKUP($C2453, 'Instrument Table'!$B:$D, 3, FALSE), ROW($A2453) - 4504 - _xlfn.XMATCH($C2453, $C$4506:$C$5005, 0, 1), 0), 0), "00")</f>
        <v>00</v>
      </c>
      <c r="H2453" s="1" t="str">
        <f t="shared" si="229"/>
        <v>047</v>
      </c>
      <c r="I2453" s="1" t="str">
        <f t="shared" si="230"/>
        <v>13500-047</v>
      </c>
      <c r="J2453" s="1" t="str">
        <f t="shared" si="231"/>
        <v>Bassoon production item #047</v>
      </c>
      <c r="K2453" s="1" t="str">
        <f>IF(SUM(COUNTIFS(I:I, I2453)) &gt; 1, "DUPLICATE", "UNIQUE")</f>
        <v>UNIQUE</v>
      </c>
      <c r="L2453" s="18">
        <v>1</v>
      </c>
      <c r="M2453" s="28">
        <v>81</v>
      </c>
      <c r="N2453" s="6">
        <v>4</v>
      </c>
      <c r="O2453" s="30">
        <f t="shared" si="232"/>
        <v>81</v>
      </c>
      <c r="P2453" s="30">
        <f t="shared" si="233"/>
        <v>324</v>
      </c>
      <c r="Q2453" s="1">
        <f>COUNTIFS($P:$P, "&gt;" &amp; $P2453) + 1</f>
        <v>4180</v>
      </c>
      <c r="R2453" s="63">
        <f>(COUNTIFS($P:$P, "&gt;" &amp; $P2453) + 1) / (COUNTA($I:$I) - 1)</f>
        <v>0.83599999999999997</v>
      </c>
      <c r="S2453" s="23">
        <f>SUMIFS($P:$P, $Q:$Q, "&lt;" &amp; $Q2453)</f>
        <v>186473950</v>
      </c>
    </row>
    <row r="2454" spans="1:19" x14ac:dyDescent="0.25">
      <c r="A2454" s="1">
        <v>2449</v>
      </c>
      <c r="B2454" s="1" t="s">
        <v>2</v>
      </c>
      <c r="C2454" s="1" t="str">
        <f>IF($B2454 = "Production Item", _xlfn.XLOOKUP($A2454, 'Instrument Table'!$J:$J, 'Instrument Table'!$B:$B, $C2453), IF($B2454 = "Service Item", _xlfn.XLOOKUP($A2454, 'Instrument Table'!$I:$I, 'Instrument Table'!$B:$B, $C2453), _xlfn.XLOOKUP($A2454, 'Instrument Table'!$H:$H, 'Instrument Table'!$B:$B, $C2453)))</f>
        <v>Bassoon</v>
      </c>
      <c r="D2454" s="1" t="str">
        <f>VLOOKUP($C2454, 'Instrument Table'!$B:$C, 2, FALSE)</f>
        <v>Woodwinds</v>
      </c>
      <c r="E2454" s="1">
        <f t="shared" si="228"/>
        <v>1</v>
      </c>
      <c r="F2454" s="1">
        <f>_xlfn.XLOOKUP($C2454, 'Instrument Table'!$B:$B, 'Instrument Table'!$A:$A, "")</f>
        <v>35</v>
      </c>
      <c r="G2454" s="1" t="str">
        <f>TEXT(IF($B2454 = "Retail Item", IF((ROW($A2454) - 4504 - _xlfn.XMATCH($C2454, $C$4506:$C$5005, 0, 1)) &lt;= VLOOKUP($C2454, 'Instrument Table'!$B:$D, 3, FALSE), ROW($A2454) - 4504 - _xlfn.XMATCH($C2454, $C$4506:$C$5005, 0, 1), 0), 0), "00")</f>
        <v>00</v>
      </c>
      <c r="H2454" s="1" t="str">
        <f t="shared" si="229"/>
        <v>048</v>
      </c>
      <c r="I2454" s="1" t="str">
        <f t="shared" si="230"/>
        <v>13500-048</v>
      </c>
      <c r="J2454" s="1" t="str">
        <f t="shared" si="231"/>
        <v>Bassoon production item #048</v>
      </c>
      <c r="K2454" s="1" t="str">
        <f>IF(SUM(COUNTIFS(I:I, I2454)) &gt; 1, "DUPLICATE", "UNIQUE")</f>
        <v>UNIQUE</v>
      </c>
      <c r="L2454" s="18">
        <v>1</v>
      </c>
      <c r="M2454" s="28">
        <v>52</v>
      </c>
      <c r="N2454" s="6">
        <v>4</v>
      </c>
      <c r="O2454" s="30">
        <f t="shared" si="232"/>
        <v>52</v>
      </c>
      <c r="P2454" s="30">
        <f t="shared" si="233"/>
        <v>208</v>
      </c>
      <c r="Q2454" s="1">
        <f>COUNTIFS($P:$P, "&gt;" &amp; $P2454) + 1</f>
        <v>4309</v>
      </c>
      <c r="R2454" s="63">
        <f>(COUNTIFS($P:$P, "&gt;" &amp; $P2454) + 1) / (COUNTA($I:$I) - 1)</f>
        <v>0.86180000000000001</v>
      </c>
      <c r="S2454" s="23">
        <f>SUMIFS($P:$P, $Q:$Q, "&lt;" &amp; $Q2454)</f>
        <v>186509406</v>
      </c>
    </row>
    <row r="2455" spans="1:19" x14ac:dyDescent="0.25">
      <c r="A2455" s="1">
        <v>2450</v>
      </c>
      <c r="B2455" s="1" t="s">
        <v>2</v>
      </c>
      <c r="C2455" s="1" t="str">
        <f>IF($B2455 = "Production Item", _xlfn.XLOOKUP($A2455, 'Instrument Table'!$J:$J, 'Instrument Table'!$B:$B, $C2454), IF($B2455 = "Service Item", _xlfn.XLOOKUP($A2455, 'Instrument Table'!$I:$I, 'Instrument Table'!$B:$B, $C2454), _xlfn.XLOOKUP($A2455, 'Instrument Table'!$H:$H, 'Instrument Table'!$B:$B, $C2454)))</f>
        <v>Bassoon</v>
      </c>
      <c r="D2455" s="1" t="str">
        <f>VLOOKUP($C2455, 'Instrument Table'!$B:$C, 2, FALSE)</f>
        <v>Woodwinds</v>
      </c>
      <c r="E2455" s="1">
        <f t="shared" si="228"/>
        <v>1</v>
      </c>
      <c r="F2455" s="1">
        <f>_xlfn.XLOOKUP($C2455, 'Instrument Table'!$B:$B, 'Instrument Table'!$A:$A, "")</f>
        <v>35</v>
      </c>
      <c r="G2455" s="1" t="str">
        <f>TEXT(IF($B2455 = "Retail Item", IF((ROW($A2455) - 4504 - _xlfn.XMATCH($C2455, $C$4506:$C$5005, 0, 1)) &lt;= VLOOKUP($C2455, 'Instrument Table'!$B:$D, 3, FALSE), ROW($A2455) - 4504 - _xlfn.XMATCH($C2455, $C$4506:$C$5005, 0, 1), 0), 0), "00")</f>
        <v>00</v>
      </c>
      <c r="H2455" s="1" t="str">
        <f t="shared" si="229"/>
        <v>049</v>
      </c>
      <c r="I2455" s="1" t="str">
        <f t="shared" si="230"/>
        <v>13500-049</v>
      </c>
      <c r="J2455" s="1" t="str">
        <f t="shared" si="231"/>
        <v>Bassoon production item #049</v>
      </c>
      <c r="K2455" s="1" t="str">
        <f>IF(SUM(COUNTIFS(I:I, I2455)) &gt; 1, "DUPLICATE", "UNIQUE")</f>
        <v>UNIQUE</v>
      </c>
      <c r="L2455" s="18">
        <v>1</v>
      </c>
      <c r="M2455" s="28">
        <v>10</v>
      </c>
      <c r="N2455" s="6">
        <v>81</v>
      </c>
      <c r="O2455" s="30">
        <f t="shared" si="232"/>
        <v>10</v>
      </c>
      <c r="P2455" s="30">
        <f t="shared" si="233"/>
        <v>810</v>
      </c>
      <c r="Q2455" s="1">
        <f>COUNTIFS($P:$P, "&gt;" &amp; $P2455) + 1</f>
        <v>3785</v>
      </c>
      <c r="R2455" s="63">
        <f>(COUNTIFS($P:$P, "&gt;" &amp; $P2455) + 1) / (COUNTA($I:$I) - 1)</f>
        <v>0.75700000000000001</v>
      </c>
      <c r="S2455" s="23">
        <f>SUMIFS($P:$P, $Q:$Q, "&lt;" &amp; $Q2455)</f>
        <v>186253650</v>
      </c>
    </row>
    <row r="2456" spans="1:19" x14ac:dyDescent="0.25">
      <c r="A2456" s="1">
        <v>2451</v>
      </c>
      <c r="B2456" s="1" t="s">
        <v>2</v>
      </c>
      <c r="C2456" s="1" t="str">
        <f>IF($B2456 = "Production Item", _xlfn.XLOOKUP($A2456, 'Instrument Table'!$J:$J, 'Instrument Table'!$B:$B, $C2455), IF($B2456 = "Service Item", _xlfn.XLOOKUP($A2456, 'Instrument Table'!$I:$I, 'Instrument Table'!$B:$B, $C2455), _xlfn.XLOOKUP($A2456, 'Instrument Table'!$H:$H, 'Instrument Table'!$B:$B, $C2455)))</f>
        <v>French Horn</v>
      </c>
      <c r="D2456" s="1" t="str">
        <f>VLOOKUP($C2456, 'Instrument Table'!$B:$C, 2, FALSE)</f>
        <v>Brass</v>
      </c>
      <c r="E2456" s="1">
        <f t="shared" si="228"/>
        <v>1</v>
      </c>
      <c r="F2456" s="1">
        <f>_xlfn.XLOOKUP($C2456, 'Instrument Table'!$B:$B, 'Instrument Table'!$A:$A, "")</f>
        <v>40</v>
      </c>
      <c r="G2456" s="1" t="str">
        <f>TEXT(IF($B2456 = "Retail Item", IF((ROW($A2456) - 4504 - _xlfn.XMATCH($C2456, $C$4506:$C$5005, 0, 1)) &lt;= VLOOKUP($C2456, 'Instrument Table'!$B:$D, 3, FALSE), ROW($A2456) - 4504 - _xlfn.XMATCH($C2456, $C$4506:$C$5005, 0, 1), 0), 0), "00")</f>
        <v>00</v>
      </c>
      <c r="H2456" s="1" t="str">
        <f t="shared" si="229"/>
        <v>000</v>
      </c>
      <c r="I2456" s="1" t="str">
        <f t="shared" si="230"/>
        <v>14000-000</v>
      </c>
      <c r="J2456" s="1" t="str">
        <f t="shared" si="231"/>
        <v>French horn production item #000</v>
      </c>
      <c r="K2456" s="1" t="str">
        <f>IF(SUM(COUNTIFS(I:I, I2456)) &gt; 1, "DUPLICATE", "UNIQUE")</f>
        <v>UNIQUE</v>
      </c>
      <c r="L2456" s="18">
        <v>1</v>
      </c>
      <c r="M2456" s="28">
        <v>88</v>
      </c>
      <c r="N2456" s="6">
        <v>1</v>
      </c>
      <c r="O2456" s="30">
        <f t="shared" si="232"/>
        <v>88</v>
      </c>
      <c r="P2456" s="30">
        <f t="shared" si="233"/>
        <v>88</v>
      </c>
      <c r="Q2456" s="1">
        <f>COUNTIFS($P:$P, "&gt;" &amp; $P2456) + 1</f>
        <v>4484</v>
      </c>
      <c r="R2456" s="63">
        <f>(COUNTIFS($P:$P, "&gt;" &amp; $P2456) + 1) / (COUNTA($I:$I) - 1)</f>
        <v>0.89680000000000004</v>
      </c>
      <c r="S2456" s="23">
        <f>SUMIFS($P:$P, $Q:$Q, "&lt;" &amp; $Q2456)</f>
        <v>186535476</v>
      </c>
    </row>
    <row r="2457" spans="1:19" x14ac:dyDescent="0.25">
      <c r="A2457" s="1">
        <v>2452</v>
      </c>
      <c r="B2457" s="1" t="s">
        <v>2</v>
      </c>
      <c r="C2457" s="1" t="str">
        <f>IF($B2457 = "Production Item", _xlfn.XLOOKUP($A2457, 'Instrument Table'!$J:$J, 'Instrument Table'!$B:$B, $C2456), IF($B2457 = "Service Item", _xlfn.XLOOKUP($A2457, 'Instrument Table'!$I:$I, 'Instrument Table'!$B:$B, $C2456), _xlfn.XLOOKUP($A2457, 'Instrument Table'!$H:$H, 'Instrument Table'!$B:$B, $C2456)))</f>
        <v>French Horn</v>
      </c>
      <c r="D2457" s="1" t="str">
        <f>VLOOKUP($C2457, 'Instrument Table'!$B:$C, 2, FALSE)</f>
        <v>Brass</v>
      </c>
      <c r="E2457" s="1">
        <f t="shared" si="228"/>
        <v>1</v>
      </c>
      <c r="F2457" s="1">
        <f>_xlfn.XLOOKUP($C2457, 'Instrument Table'!$B:$B, 'Instrument Table'!$A:$A, "")</f>
        <v>40</v>
      </c>
      <c r="G2457" s="1" t="str">
        <f>TEXT(IF($B2457 = "Retail Item", IF((ROW($A2457) - 4504 - _xlfn.XMATCH($C2457, $C$4506:$C$5005, 0, 1)) &lt;= VLOOKUP($C2457, 'Instrument Table'!$B:$D, 3, FALSE), ROW($A2457) - 4504 - _xlfn.XMATCH($C2457, $C$4506:$C$5005, 0, 1), 0), 0), "00")</f>
        <v>00</v>
      </c>
      <c r="H2457" s="1" t="str">
        <f t="shared" si="229"/>
        <v>001</v>
      </c>
      <c r="I2457" s="1" t="str">
        <f t="shared" si="230"/>
        <v>14000-001</v>
      </c>
      <c r="J2457" s="1" t="str">
        <f t="shared" si="231"/>
        <v>French horn production item #001</v>
      </c>
      <c r="K2457" s="1" t="str">
        <f>IF(SUM(COUNTIFS(I:I, I2457)) &gt; 1, "DUPLICATE", "UNIQUE")</f>
        <v>UNIQUE</v>
      </c>
      <c r="L2457" s="18">
        <v>8</v>
      </c>
      <c r="M2457" s="28">
        <v>100</v>
      </c>
      <c r="N2457" s="6">
        <v>324</v>
      </c>
      <c r="O2457" s="30">
        <f t="shared" si="232"/>
        <v>800</v>
      </c>
      <c r="P2457" s="30">
        <f t="shared" si="233"/>
        <v>32400</v>
      </c>
      <c r="Q2457" s="1">
        <f>COUNTIFS($P:$P, "&gt;" &amp; $P2457) + 1</f>
        <v>636</v>
      </c>
      <c r="R2457" s="63">
        <f>(COUNTIFS($P:$P, "&gt;" &amp; $P2457) + 1) / (COUNTA($I:$I) - 1)</f>
        <v>0.12720000000000001</v>
      </c>
      <c r="S2457" s="23">
        <f>SUMIFS($P:$P, $Q:$Q, "&lt;" &amp; $Q2457)</f>
        <v>157094192</v>
      </c>
    </row>
    <row r="2458" spans="1:19" x14ac:dyDescent="0.25">
      <c r="A2458" s="1">
        <v>2453</v>
      </c>
      <c r="B2458" s="1" t="s">
        <v>2</v>
      </c>
      <c r="C2458" s="1" t="str">
        <f>IF($B2458 = "Production Item", _xlfn.XLOOKUP($A2458, 'Instrument Table'!$J:$J, 'Instrument Table'!$B:$B, $C2457), IF($B2458 = "Service Item", _xlfn.XLOOKUP($A2458, 'Instrument Table'!$I:$I, 'Instrument Table'!$B:$B, $C2457), _xlfn.XLOOKUP($A2458, 'Instrument Table'!$H:$H, 'Instrument Table'!$B:$B, $C2457)))</f>
        <v>French Horn</v>
      </c>
      <c r="D2458" s="1" t="str">
        <f>VLOOKUP($C2458, 'Instrument Table'!$B:$C, 2, FALSE)</f>
        <v>Brass</v>
      </c>
      <c r="E2458" s="1">
        <f t="shared" si="228"/>
        <v>1</v>
      </c>
      <c r="F2458" s="1">
        <f>_xlfn.XLOOKUP($C2458, 'Instrument Table'!$B:$B, 'Instrument Table'!$A:$A, "")</f>
        <v>40</v>
      </c>
      <c r="G2458" s="1" t="str">
        <f>TEXT(IF($B2458 = "Retail Item", IF((ROW($A2458) - 4504 - _xlfn.XMATCH($C2458, $C$4506:$C$5005, 0, 1)) &lt;= VLOOKUP($C2458, 'Instrument Table'!$B:$D, 3, FALSE), ROW($A2458) - 4504 - _xlfn.XMATCH($C2458, $C$4506:$C$5005, 0, 1), 0), 0), "00")</f>
        <v>00</v>
      </c>
      <c r="H2458" s="1" t="str">
        <f t="shared" si="229"/>
        <v>002</v>
      </c>
      <c r="I2458" s="1" t="str">
        <f t="shared" si="230"/>
        <v>14000-002</v>
      </c>
      <c r="J2458" s="1" t="str">
        <f t="shared" si="231"/>
        <v>French horn production item #002</v>
      </c>
      <c r="K2458" s="1" t="str">
        <f>IF(SUM(COUNTIFS(I:I, I2458)) &gt; 1, "DUPLICATE", "UNIQUE")</f>
        <v>UNIQUE</v>
      </c>
      <c r="L2458" s="18">
        <v>0</v>
      </c>
      <c r="M2458" s="28">
        <v>39</v>
      </c>
      <c r="N2458" s="6">
        <v>196</v>
      </c>
      <c r="O2458" s="30">
        <f t="shared" si="232"/>
        <v>0</v>
      </c>
      <c r="P2458" s="30">
        <f t="shared" si="233"/>
        <v>7644</v>
      </c>
      <c r="Q2458" s="1">
        <f>COUNTIFS($P:$P, "&gt;" &amp; $P2458) + 1</f>
        <v>2049</v>
      </c>
      <c r="R2458" s="63">
        <f>(COUNTIFS($P:$P, "&gt;" &amp; $P2458) + 1) / (COUNTA($I:$I) - 1)</f>
        <v>0.4098</v>
      </c>
      <c r="S2458" s="23">
        <f>SUMIFS($P:$P, $Q:$Q, "&lt;" &amp; $Q2458)</f>
        <v>180377400</v>
      </c>
    </row>
    <row r="2459" spans="1:19" x14ac:dyDescent="0.25">
      <c r="A2459" s="1">
        <v>2454</v>
      </c>
      <c r="B2459" s="1" t="s">
        <v>2</v>
      </c>
      <c r="C2459" s="1" t="str">
        <f>IF($B2459 = "Production Item", _xlfn.XLOOKUP($A2459, 'Instrument Table'!$J:$J, 'Instrument Table'!$B:$B, $C2458), IF($B2459 = "Service Item", _xlfn.XLOOKUP($A2459, 'Instrument Table'!$I:$I, 'Instrument Table'!$B:$B, $C2458), _xlfn.XLOOKUP($A2459, 'Instrument Table'!$H:$H, 'Instrument Table'!$B:$B, $C2458)))</f>
        <v>French Horn</v>
      </c>
      <c r="D2459" s="1" t="str">
        <f>VLOOKUP($C2459, 'Instrument Table'!$B:$C, 2, FALSE)</f>
        <v>Brass</v>
      </c>
      <c r="E2459" s="1">
        <f t="shared" si="228"/>
        <v>1</v>
      </c>
      <c r="F2459" s="1">
        <f>_xlfn.XLOOKUP($C2459, 'Instrument Table'!$B:$B, 'Instrument Table'!$A:$A, "")</f>
        <v>40</v>
      </c>
      <c r="G2459" s="1" t="str">
        <f>TEXT(IF($B2459 = "Retail Item", IF((ROW($A2459) - 4504 - _xlfn.XMATCH($C2459, $C$4506:$C$5005, 0, 1)) &lt;= VLOOKUP($C2459, 'Instrument Table'!$B:$D, 3, FALSE), ROW($A2459) - 4504 - _xlfn.XMATCH($C2459, $C$4506:$C$5005, 0, 1), 0), 0), "00")</f>
        <v>00</v>
      </c>
      <c r="H2459" s="1" t="str">
        <f t="shared" si="229"/>
        <v>003</v>
      </c>
      <c r="I2459" s="1" t="str">
        <f t="shared" si="230"/>
        <v>14000-003</v>
      </c>
      <c r="J2459" s="1" t="str">
        <f t="shared" si="231"/>
        <v>French horn production item #003</v>
      </c>
      <c r="K2459" s="1" t="str">
        <f>IF(SUM(COUNTIFS(I:I, I2459)) &gt; 1, "DUPLICATE", "UNIQUE")</f>
        <v>UNIQUE</v>
      </c>
      <c r="L2459" s="18">
        <v>16</v>
      </c>
      <c r="M2459" s="28">
        <v>62</v>
      </c>
      <c r="N2459" s="6">
        <v>144</v>
      </c>
      <c r="O2459" s="30">
        <f t="shared" si="232"/>
        <v>992</v>
      </c>
      <c r="P2459" s="30">
        <f t="shared" si="233"/>
        <v>8928</v>
      </c>
      <c r="Q2459" s="1">
        <f>COUNTIFS($P:$P, "&gt;" &amp; $P2459) + 1</f>
        <v>1883</v>
      </c>
      <c r="R2459" s="63">
        <f>(COUNTIFS($P:$P, "&gt;" &amp; $P2459) + 1) / (COUNTA($I:$I) - 1)</f>
        <v>0.37659999999999999</v>
      </c>
      <c r="S2459" s="23">
        <f>SUMIFS($P:$P, $Q:$Q, "&lt;" &amp; $Q2459)</f>
        <v>179012771</v>
      </c>
    </row>
    <row r="2460" spans="1:19" x14ac:dyDescent="0.25">
      <c r="A2460" s="1">
        <v>2455</v>
      </c>
      <c r="B2460" s="1" t="s">
        <v>2</v>
      </c>
      <c r="C2460" s="1" t="str">
        <f>IF($B2460 = "Production Item", _xlfn.XLOOKUP($A2460, 'Instrument Table'!$J:$J, 'Instrument Table'!$B:$B, $C2459), IF($B2460 = "Service Item", _xlfn.XLOOKUP($A2460, 'Instrument Table'!$I:$I, 'Instrument Table'!$B:$B, $C2459), _xlfn.XLOOKUP($A2460, 'Instrument Table'!$H:$H, 'Instrument Table'!$B:$B, $C2459)))</f>
        <v>French Horn</v>
      </c>
      <c r="D2460" s="1" t="str">
        <f>VLOOKUP($C2460, 'Instrument Table'!$B:$C, 2, FALSE)</f>
        <v>Brass</v>
      </c>
      <c r="E2460" s="1">
        <f t="shared" si="228"/>
        <v>1</v>
      </c>
      <c r="F2460" s="1">
        <f>_xlfn.XLOOKUP($C2460, 'Instrument Table'!$B:$B, 'Instrument Table'!$A:$A, "")</f>
        <v>40</v>
      </c>
      <c r="G2460" s="1" t="str">
        <f>TEXT(IF($B2460 = "Retail Item", IF((ROW($A2460) - 4504 - _xlfn.XMATCH($C2460, $C$4506:$C$5005, 0, 1)) &lt;= VLOOKUP($C2460, 'Instrument Table'!$B:$D, 3, FALSE), ROW($A2460) - 4504 - _xlfn.XMATCH($C2460, $C$4506:$C$5005, 0, 1), 0), 0), "00")</f>
        <v>00</v>
      </c>
      <c r="H2460" s="1" t="str">
        <f t="shared" si="229"/>
        <v>004</v>
      </c>
      <c r="I2460" s="1" t="str">
        <f t="shared" si="230"/>
        <v>14000-004</v>
      </c>
      <c r="J2460" s="1" t="str">
        <f t="shared" si="231"/>
        <v>French horn production item #004</v>
      </c>
      <c r="K2460" s="1" t="str">
        <f>IF(SUM(COUNTIFS(I:I, I2460)) &gt; 1, "DUPLICATE", "UNIQUE")</f>
        <v>UNIQUE</v>
      </c>
      <c r="L2460" s="18">
        <v>1</v>
      </c>
      <c r="M2460" s="28">
        <v>5</v>
      </c>
      <c r="N2460" s="6">
        <v>100</v>
      </c>
      <c r="O2460" s="30">
        <f t="shared" si="232"/>
        <v>5</v>
      </c>
      <c r="P2460" s="30">
        <f t="shared" si="233"/>
        <v>500</v>
      </c>
      <c r="Q2460" s="1">
        <f>COUNTIFS($P:$P, "&gt;" &amp; $P2460) + 1</f>
        <v>4026</v>
      </c>
      <c r="R2460" s="63">
        <f>(COUNTIFS($P:$P, "&gt;" &amp; $P2460) + 1) / (COUNTA($I:$I) - 1)</f>
        <v>0.80520000000000003</v>
      </c>
      <c r="S2460" s="23">
        <f>SUMIFS($P:$P, $Q:$Q, "&lt;" &amp; $Q2460)</f>
        <v>186411659</v>
      </c>
    </row>
    <row r="2461" spans="1:19" x14ac:dyDescent="0.25">
      <c r="A2461" s="1">
        <v>2456</v>
      </c>
      <c r="B2461" s="1" t="s">
        <v>2</v>
      </c>
      <c r="C2461" s="1" t="str">
        <f>IF($B2461 = "Production Item", _xlfn.XLOOKUP($A2461, 'Instrument Table'!$J:$J, 'Instrument Table'!$B:$B, $C2460), IF($B2461 = "Service Item", _xlfn.XLOOKUP($A2461, 'Instrument Table'!$I:$I, 'Instrument Table'!$B:$B, $C2460), _xlfn.XLOOKUP($A2461, 'Instrument Table'!$H:$H, 'Instrument Table'!$B:$B, $C2460)))</f>
        <v>French Horn</v>
      </c>
      <c r="D2461" s="1" t="str">
        <f>VLOOKUP($C2461, 'Instrument Table'!$B:$C, 2, FALSE)</f>
        <v>Brass</v>
      </c>
      <c r="E2461" s="1">
        <f t="shared" si="228"/>
        <v>1</v>
      </c>
      <c r="F2461" s="1">
        <f>_xlfn.XLOOKUP($C2461, 'Instrument Table'!$B:$B, 'Instrument Table'!$A:$A, "")</f>
        <v>40</v>
      </c>
      <c r="G2461" s="1" t="str">
        <f>TEXT(IF($B2461 = "Retail Item", IF((ROW($A2461) - 4504 - _xlfn.XMATCH($C2461, $C$4506:$C$5005, 0, 1)) &lt;= VLOOKUP($C2461, 'Instrument Table'!$B:$D, 3, FALSE), ROW($A2461) - 4504 - _xlfn.XMATCH($C2461, $C$4506:$C$5005, 0, 1), 0), 0), "00")</f>
        <v>00</v>
      </c>
      <c r="H2461" s="1" t="str">
        <f t="shared" si="229"/>
        <v>005</v>
      </c>
      <c r="I2461" s="1" t="str">
        <f t="shared" si="230"/>
        <v>14000-005</v>
      </c>
      <c r="J2461" s="1" t="str">
        <f t="shared" si="231"/>
        <v>French horn production item #005</v>
      </c>
      <c r="K2461" s="1" t="str">
        <f>IF(SUM(COUNTIFS(I:I, I2461)) &gt; 1, "DUPLICATE", "UNIQUE")</f>
        <v>UNIQUE</v>
      </c>
      <c r="L2461" s="18">
        <v>32</v>
      </c>
      <c r="M2461" s="28">
        <v>66</v>
      </c>
      <c r="N2461" s="6">
        <v>289</v>
      </c>
      <c r="O2461" s="30">
        <f t="shared" si="232"/>
        <v>2112</v>
      </c>
      <c r="P2461" s="30">
        <f t="shared" si="233"/>
        <v>19074</v>
      </c>
      <c r="Q2461" s="1">
        <f>COUNTIFS($P:$P, "&gt;" &amp; $P2461) + 1</f>
        <v>1103</v>
      </c>
      <c r="R2461" s="63">
        <f>(COUNTIFS($P:$P, "&gt;" &amp; $P2461) + 1) / (COUNTA($I:$I) - 1)</f>
        <v>0.22059999999999999</v>
      </c>
      <c r="S2461" s="23">
        <f>SUMIFS($P:$P, $Q:$Q, "&lt;" &amp; $Q2461)</f>
        <v>168561254</v>
      </c>
    </row>
    <row r="2462" spans="1:19" x14ac:dyDescent="0.25">
      <c r="A2462" s="1">
        <v>2457</v>
      </c>
      <c r="B2462" s="1" t="s">
        <v>2</v>
      </c>
      <c r="C2462" s="1" t="str">
        <f>IF($B2462 = "Production Item", _xlfn.XLOOKUP($A2462, 'Instrument Table'!$J:$J, 'Instrument Table'!$B:$B, $C2461), IF($B2462 = "Service Item", _xlfn.XLOOKUP($A2462, 'Instrument Table'!$I:$I, 'Instrument Table'!$B:$B, $C2461), _xlfn.XLOOKUP($A2462, 'Instrument Table'!$H:$H, 'Instrument Table'!$B:$B, $C2461)))</f>
        <v>French Horn</v>
      </c>
      <c r="D2462" s="1" t="str">
        <f>VLOOKUP($C2462, 'Instrument Table'!$B:$C, 2, FALSE)</f>
        <v>Brass</v>
      </c>
      <c r="E2462" s="1">
        <f t="shared" si="228"/>
        <v>1</v>
      </c>
      <c r="F2462" s="1">
        <f>_xlfn.XLOOKUP($C2462, 'Instrument Table'!$B:$B, 'Instrument Table'!$A:$A, "")</f>
        <v>40</v>
      </c>
      <c r="G2462" s="1" t="str">
        <f>TEXT(IF($B2462 = "Retail Item", IF((ROW($A2462) - 4504 - _xlfn.XMATCH($C2462, $C$4506:$C$5005, 0, 1)) &lt;= VLOOKUP($C2462, 'Instrument Table'!$B:$D, 3, FALSE), ROW($A2462) - 4504 - _xlfn.XMATCH($C2462, $C$4506:$C$5005, 0, 1), 0), 0), "00")</f>
        <v>00</v>
      </c>
      <c r="H2462" s="1" t="str">
        <f t="shared" si="229"/>
        <v>006</v>
      </c>
      <c r="I2462" s="1" t="str">
        <f t="shared" si="230"/>
        <v>14000-006</v>
      </c>
      <c r="J2462" s="1" t="str">
        <f t="shared" si="231"/>
        <v>French horn production item #006</v>
      </c>
      <c r="K2462" s="1" t="str">
        <f>IF(SUM(COUNTIFS(I:I, I2462)) &gt; 1, "DUPLICATE", "UNIQUE")</f>
        <v>UNIQUE</v>
      </c>
      <c r="L2462" s="18">
        <v>1</v>
      </c>
      <c r="M2462" s="28">
        <v>63</v>
      </c>
      <c r="N2462" s="6">
        <v>1</v>
      </c>
      <c r="O2462" s="30">
        <f t="shared" si="232"/>
        <v>63</v>
      </c>
      <c r="P2462" s="30">
        <f t="shared" si="233"/>
        <v>63</v>
      </c>
      <c r="Q2462" s="1">
        <f>COUNTIFS($P:$P, "&gt;" &amp; $P2462) + 1</f>
        <v>4568</v>
      </c>
      <c r="R2462" s="63">
        <f>(COUNTIFS($P:$P, "&gt;" &amp; $P2462) + 1) / (COUNTA($I:$I) - 1)</f>
        <v>0.91359999999999997</v>
      </c>
      <c r="S2462" s="23">
        <f>SUMIFS($P:$P, $Q:$Q, "&lt;" &amp; $Q2462)</f>
        <v>186541810</v>
      </c>
    </row>
    <row r="2463" spans="1:19" x14ac:dyDescent="0.25">
      <c r="A2463" s="1">
        <v>2458</v>
      </c>
      <c r="B2463" s="1" t="s">
        <v>2</v>
      </c>
      <c r="C2463" s="1" t="str">
        <f>IF($B2463 = "Production Item", _xlfn.XLOOKUP($A2463, 'Instrument Table'!$J:$J, 'Instrument Table'!$B:$B, $C2462), IF($B2463 = "Service Item", _xlfn.XLOOKUP($A2463, 'Instrument Table'!$I:$I, 'Instrument Table'!$B:$B, $C2462), _xlfn.XLOOKUP($A2463, 'Instrument Table'!$H:$H, 'Instrument Table'!$B:$B, $C2462)))</f>
        <v>French Horn</v>
      </c>
      <c r="D2463" s="1" t="str">
        <f>VLOOKUP($C2463, 'Instrument Table'!$B:$C, 2, FALSE)</f>
        <v>Brass</v>
      </c>
      <c r="E2463" s="1">
        <f t="shared" si="228"/>
        <v>1</v>
      </c>
      <c r="F2463" s="1">
        <f>_xlfn.XLOOKUP($C2463, 'Instrument Table'!$B:$B, 'Instrument Table'!$A:$A, "")</f>
        <v>40</v>
      </c>
      <c r="G2463" s="1" t="str">
        <f>TEXT(IF($B2463 = "Retail Item", IF((ROW($A2463) - 4504 - _xlfn.XMATCH($C2463, $C$4506:$C$5005, 0, 1)) &lt;= VLOOKUP($C2463, 'Instrument Table'!$B:$D, 3, FALSE), ROW($A2463) - 4504 - _xlfn.XMATCH($C2463, $C$4506:$C$5005, 0, 1), 0), 0), "00")</f>
        <v>00</v>
      </c>
      <c r="H2463" s="1" t="str">
        <f t="shared" si="229"/>
        <v>007</v>
      </c>
      <c r="I2463" s="1" t="str">
        <f t="shared" si="230"/>
        <v>14000-007</v>
      </c>
      <c r="J2463" s="1" t="str">
        <f t="shared" si="231"/>
        <v>French horn production item #007</v>
      </c>
      <c r="K2463" s="1" t="str">
        <f>IF(SUM(COUNTIFS(I:I, I2463)) &gt; 1, "DUPLICATE", "UNIQUE")</f>
        <v>UNIQUE</v>
      </c>
      <c r="L2463" s="18">
        <v>32</v>
      </c>
      <c r="M2463" s="28">
        <v>90</v>
      </c>
      <c r="N2463" s="6">
        <v>289</v>
      </c>
      <c r="O2463" s="30">
        <f t="shared" si="232"/>
        <v>2880</v>
      </c>
      <c r="P2463" s="30">
        <f t="shared" si="233"/>
        <v>26010</v>
      </c>
      <c r="Q2463" s="1">
        <f>COUNTIFS($P:$P, "&gt;" &amp; $P2463) + 1</f>
        <v>786</v>
      </c>
      <c r="R2463" s="63">
        <f>(COUNTIFS($P:$P, "&gt;" &amp; $P2463) + 1) / (COUNTA($I:$I) - 1)</f>
        <v>0.15720000000000001</v>
      </c>
      <c r="S2463" s="23">
        <f>SUMIFS($P:$P, $Q:$Q, "&lt;" &amp; $Q2463)</f>
        <v>161465003</v>
      </c>
    </row>
    <row r="2464" spans="1:19" x14ac:dyDescent="0.25">
      <c r="A2464" s="1">
        <v>2459</v>
      </c>
      <c r="B2464" s="1" t="s">
        <v>2</v>
      </c>
      <c r="C2464" s="1" t="str">
        <f>IF($B2464 = "Production Item", _xlfn.XLOOKUP($A2464, 'Instrument Table'!$J:$J, 'Instrument Table'!$B:$B, $C2463), IF($B2464 = "Service Item", _xlfn.XLOOKUP($A2464, 'Instrument Table'!$I:$I, 'Instrument Table'!$B:$B, $C2463), _xlfn.XLOOKUP($A2464, 'Instrument Table'!$H:$H, 'Instrument Table'!$B:$B, $C2463)))</f>
        <v>French Horn</v>
      </c>
      <c r="D2464" s="1" t="str">
        <f>VLOOKUP($C2464, 'Instrument Table'!$B:$C, 2, FALSE)</f>
        <v>Brass</v>
      </c>
      <c r="E2464" s="1">
        <f t="shared" si="228"/>
        <v>1</v>
      </c>
      <c r="F2464" s="1">
        <f>_xlfn.XLOOKUP($C2464, 'Instrument Table'!$B:$B, 'Instrument Table'!$A:$A, "")</f>
        <v>40</v>
      </c>
      <c r="G2464" s="1" t="str">
        <f>TEXT(IF($B2464 = "Retail Item", IF((ROW($A2464) - 4504 - _xlfn.XMATCH($C2464, $C$4506:$C$5005, 0, 1)) &lt;= VLOOKUP($C2464, 'Instrument Table'!$B:$D, 3, FALSE), ROW($A2464) - 4504 - _xlfn.XMATCH($C2464, $C$4506:$C$5005, 0, 1), 0), 0), "00")</f>
        <v>00</v>
      </c>
      <c r="H2464" s="1" t="str">
        <f t="shared" si="229"/>
        <v>008</v>
      </c>
      <c r="I2464" s="1" t="str">
        <f t="shared" si="230"/>
        <v>14000-008</v>
      </c>
      <c r="J2464" s="1" t="str">
        <f t="shared" si="231"/>
        <v>French horn production item #008</v>
      </c>
      <c r="K2464" s="1" t="str">
        <f>IF(SUM(COUNTIFS(I:I, I2464)) &gt; 1, "DUPLICATE", "UNIQUE")</f>
        <v>UNIQUE</v>
      </c>
      <c r="L2464" s="18">
        <v>0</v>
      </c>
      <c r="M2464" s="28">
        <v>10</v>
      </c>
      <c r="N2464" s="6">
        <v>49</v>
      </c>
      <c r="O2464" s="30">
        <f t="shared" si="232"/>
        <v>0</v>
      </c>
      <c r="P2464" s="30">
        <f t="shared" si="233"/>
        <v>490</v>
      </c>
      <c r="Q2464" s="1">
        <f>COUNTIFS($P:$P, "&gt;" &amp; $P2464) + 1</f>
        <v>4035</v>
      </c>
      <c r="R2464" s="63">
        <f>(COUNTIFS($P:$P, "&gt;" &amp; $P2464) + 1) / (COUNTA($I:$I) - 1)</f>
        <v>0.80700000000000005</v>
      </c>
      <c r="S2464" s="23">
        <f>SUMIFS($P:$P, $Q:$Q, "&lt;" &amp; $Q2464)</f>
        <v>186416132</v>
      </c>
    </row>
    <row r="2465" spans="1:19" x14ac:dyDescent="0.25">
      <c r="A2465" s="1">
        <v>2460</v>
      </c>
      <c r="B2465" s="1" t="s">
        <v>2</v>
      </c>
      <c r="C2465" s="1" t="str">
        <f>IF($B2465 = "Production Item", _xlfn.XLOOKUP($A2465, 'Instrument Table'!$J:$J, 'Instrument Table'!$B:$B, $C2464), IF($B2465 = "Service Item", _xlfn.XLOOKUP($A2465, 'Instrument Table'!$I:$I, 'Instrument Table'!$B:$B, $C2464), _xlfn.XLOOKUP($A2465, 'Instrument Table'!$H:$H, 'Instrument Table'!$B:$B, $C2464)))</f>
        <v>French Horn</v>
      </c>
      <c r="D2465" s="1" t="str">
        <f>VLOOKUP($C2465, 'Instrument Table'!$B:$C, 2, FALSE)</f>
        <v>Brass</v>
      </c>
      <c r="E2465" s="1">
        <f t="shared" si="228"/>
        <v>1</v>
      </c>
      <c r="F2465" s="1">
        <f>_xlfn.XLOOKUP($C2465, 'Instrument Table'!$B:$B, 'Instrument Table'!$A:$A, "")</f>
        <v>40</v>
      </c>
      <c r="G2465" s="1" t="str">
        <f>TEXT(IF($B2465 = "Retail Item", IF((ROW($A2465) - 4504 - _xlfn.XMATCH($C2465, $C$4506:$C$5005, 0, 1)) &lt;= VLOOKUP($C2465, 'Instrument Table'!$B:$D, 3, FALSE), ROW($A2465) - 4504 - _xlfn.XMATCH($C2465, $C$4506:$C$5005, 0, 1), 0), 0), "00")</f>
        <v>00</v>
      </c>
      <c r="H2465" s="1" t="str">
        <f t="shared" si="229"/>
        <v>009</v>
      </c>
      <c r="I2465" s="1" t="str">
        <f t="shared" si="230"/>
        <v>14000-009</v>
      </c>
      <c r="J2465" s="1" t="str">
        <f t="shared" si="231"/>
        <v>French horn production item #009</v>
      </c>
      <c r="K2465" s="1" t="str">
        <f>IF(SUM(COUNTIFS(I:I, I2465)) &gt; 1, "DUPLICATE", "UNIQUE")</f>
        <v>UNIQUE</v>
      </c>
      <c r="L2465" s="18">
        <v>2</v>
      </c>
      <c r="M2465" s="28">
        <v>74</v>
      </c>
      <c r="N2465" s="6">
        <v>25</v>
      </c>
      <c r="O2465" s="30">
        <f t="shared" si="232"/>
        <v>148</v>
      </c>
      <c r="P2465" s="30">
        <f t="shared" si="233"/>
        <v>1850</v>
      </c>
      <c r="Q2465" s="1">
        <f>COUNTIFS($P:$P, "&gt;" &amp; $P2465) + 1</f>
        <v>3317</v>
      </c>
      <c r="R2465" s="63">
        <f>(COUNTIFS($P:$P, "&gt;" &amp; $P2465) + 1) / (COUNTA($I:$I) - 1)</f>
        <v>0.66339999999999999</v>
      </c>
      <c r="S2465" s="23">
        <f>SUMIFS($P:$P, $Q:$Q, "&lt;" &amp; $Q2465)</f>
        <v>185640897</v>
      </c>
    </row>
    <row r="2466" spans="1:19" x14ac:dyDescent="0.25">
      <c r="A2466" s="1">
        <v>2461</v>
      </c>
      <c r="B2466" s="1" t="s">
        <v>2</v>
      </c>
      <c r="C2466" s="1" t="str">
        <f>IF($B2466 = "Production Item", _xlfn.XLOOKUP($A2466, 'Instrument Table'!$J:$J, 'Instrument Table'!$B:$B, $C2465), IF($B2466 = "Service Item", _xlfn.XLOOKUP($A2466, 'Instrument Table'!$I:$I, 'Instrument Table'!$B:$B, $C2465), _xlfn.XLOOKUP($A2466, 'Instrument Table'!$H:$H, 'Instrument Table'!$B:$B, $C2465)))</f>
        <v>French Horn</v>
      </c>
      <c r="D2466" s="1" t="str">
        <f>VLOOKUP($C2466, 'Instrument Table'!$B:$C, 2, FALSE)</f>
        <v>Brass</v>
      </c>
      <c r="E2466" s="1">
        <f t="shared" si="228"/>
        <v>1</v>
      </c>
      <c r="F2466" s="1">
        <f>_xlfn.XLOOKUP($C2466, 'Instrument Table'!$B:$B, 'Instrument Table'!$A:$A, "")</f>
        <v>40</v>
      </c>
      <c r="G2466" s="1" t="str">
        <f>TEXT(IF($B2466 = "Retail Item", IF((ROW($A2466) - 4504 - _xlfn.XMATCH($C2466, $C$4506:$C$5005, 0, 1)) &lt;= VLOOKUP($C2466, 'Instrument Table'!$B:$D, 3, FALSE), ROW($A2466) - 4504 - _xlfn.XMATCH($C2466, $C$4506:$C$5005, 0, 1), 0), 0), "00")</f>
        <v>00</v>
      </c>
      <c r="H2466" s="1" t="str">
        <f t="shared" si="229"/>
        <v>010</v>
      </c>
      <c r="I2466" s="1" t="str">
        <f t="shared" si="230"/>
        <v>14000-010</v>
      </c>
      <c r="J2466" s="1" t="str">
        <f t="shared" si="231"/>
        <v>French horn production item #010</v>
      </c>
      <c r="K2466" s="1" t="str">
        <f>IF(SUM(COUNTIFS(I:I, I2466)) &gt; 1, "DUPLICATE", "UNIQUE")</f>
        <v>UNIQUE</v>
      </c>
      <c r="L2466" s="18">
        <v>1</v>
      </c>
      <c r="M2466" s="28">
        <v>55</v>
      </c>
      <c r="N2466" s="6">
        <v>121</v>
      </c>
      <c r="O2466" s="30">
        <f t="shared" si="232"/>
        <v>55</v>
      </c>
      <c r="P2466" s="30">
        <f t="shared" si="233"/>
        <v>6655</v>
      </c>
      <c r="Q2466" s="1">
        <f>COUNTIFS($P:$P, "&gt;" &amp; $P2466) + 1</f>
        <v>2188</v>
      </c>
      <c r="R2466" s="63">
        <f>(COUNTIFS($P:$P, "&gt;" &amp; $P2466) + 1) / (COUNTA($I:$I) - 1)</f>
        <v>0.43759999999999999</v>
      </c>
      <c r="S2466" s="23">
        <f>SUMIFS($P:$P, $Q:$Q, "&lt;" &amp; $Q2466)</f>
        <v>181371952</v>
      </c>
    </row>
    <row r="2467" spans="1:19" x14ac:dyDescent="0.25">
      <c r="A2467" s="1">
        <v>2462</v>
      </c>
      <c r="B2467" s="1" t="s">
        <v>2</v>
      </c>
      <c r="C2467" s="1" t="str">
        <f>IF($B2467 = "Production Item", _xlfn.XLOOKUP($A2467, 'Instrument Table'!$J:$J, 'Instrument Table'!$B:$B, $C2466), IF($B2467 = "Service Item", _xlfn.XLOOKUP($A2467, 'Instrument Table'!$I:$I, 'Instrument Table'!$B:$B, $C2466), _xlfn.XLOOKUP($A2467, 'Instrument Table'!$H:$H, 'Instrument Table'!$B:$B, $C2466)))</f>
        <v>French Horn</v>
      </c>
      <c r="D2467" s="1" t="str">
        <f>VLOOKUP($C2467, 'Instrument Table'!$B:$C, 2, FALSE)</f>
        <v>Brass</v>
      </c>
      <c r="E2467" s="1">
        <f t="shared" si="228"/>
        <v>1</v>
      </c>
      <c r="F2467" s="1">
        <f>_xlfn.XLOOKUP($C2467, 'Instrument Table'!$B:$B, 'Instrument Table'!$A:$A, "")</f>
        <v>40</v>
      </c>
      <c r="G2467" s="1" t="str">
        <f>TEXT(IF($B2467 = "Retail Item", IF((ROW($A2467) - 4504 - _xlfn.XMATCH($C2467, $C$4506:$C$5005, 0, 1)) &lt;= VLOOKUP($C2467, 'Instrument Table'!$B:$D, 3, FALSE), ROW($A2467) - 4504 - _xlfn.XMATCH($C2467, $C$4506:$C$5005, 0, 1), 0), 0), "00")</f>
        <v>00</v>
      </c>
      <c r="H2467" s="1" t="str">
        <f t="shared" si="229"/>
        <v>011</v>
      </c>
      <c r="I2467" s="1" t="str">
        <f t="shared" si="230"/>
        <v>14000-011</v>
      </c>
      <c r="J2467" s="1" t="str">
        <f t="shared" si="231"/>
        <v>French horn production item #011</v>
      </c>
      <c r="K2467" s="1" t="str">
        <f>IF(SUM(COUNTIFS(I:I, I2467)) &gt; 1, "DUPLICATE", "UNIQUE")</f>
        <v>UNIQUE</v>
      </c>
      <c r="L2467" s="18">
        <v>1</v>
      </c>
      <c r="M2467" s="28">
        <v>37</v>
      </c>
      <c r="N2467" s="6">
        <v>16</v>
      </c>
      <c r="O2467" s="30">
        <f t="shared" si="232"/>
        <v>37</v>
      </c>
      <c r="P2467" s="30">
        <f t="shared" si="233"/>
        <v>592</v>
      </c>
      <c r="Q2467" s="1">
        <f>COUNTIFS($P:$P, "&gt;" &amp; $P2467) + 1</f>
        <v>3947</v>
      </c>
      <c r="R2467" s="63">
        <f>(COUNTIFS($P:$P, "&gt;" &amp; $P2467) + 1) / (COUNTA($I:$I) - 1)</f>
        <v>0.78939999999999999</v>
      </c>
      <c r="S2467" s="23">
        <f>SUMIFS($P:$P, $Q:$Q, "&lt;" &amp; $Q2467)</f>
        <v>186368477</v>
      </c>
    </row>
    <row r="2468" spans="1:19" x14ac:dyDescent="0.25">
      <c r="A2468" s="1">
        <v>2463</v>
      </c>
      <c r="B2468" s="1" t="s">
        <v>2</v>
      </c>
      <c r="C2468" s="1" t="str">
        <f>IF($B2468 = "Production Item", _xlfn.XLOOKUP($A2468, 'Instrument Table'!$J:$J, 'Instrument Table'!$B:$B, $C2467), IF($B2468 = "Service Item", _xlfn.XLOOKUP($A2468, 'Instrument Table'!$I:$I, 'Instrument Table'!$B:$B, $C2467), _xlfn.XLOOKUP($A2468, 'Instrument Table'!$H:$H, 'Instrument Table'!$B:$B, $C2467)))</f>
        <v>French Horn</v>
      </c>
      <c r="D2468" s="1" t="str">
        <f>VLOOKUP($C2468, 'Instrument Table'!$B:$C, 2, FALSE)</f>
        <v>Brass</v>
      </c>
      <c r="E2468" s="1">
        <f t="shared" si="228"/>
        <v>1</v>
      </c>
      <c r="F2468" s="1">
        <f>_xlfn.XLOOKUP($C2468, 'Instrument Table'!$B:$B, 'Instrument Table'!$A:$A, "")</f>
        <v>40</v>
      </c>
      <c r="G2468" s="1" t="str">
        <f>TEXT(IF($B2468 = "Retail Item", IF((ROW($A2468) - 4504 - _xlfn.XMATCH($C2468, $C$4506:$C$5005, 0, 1)) &lt;= VLOOKUP($C2468, 'Instrument Table'!$B:$D, 3, FALSE), ROW($A2468) - 4504 - _xlfn.XMATCH($C2468, $C$4506:$C$5005, 0, 1), 0), 0), "00")</f>
        <v>00</v>
      </c>
      <c r="H2468" s="1" t="str">
        <f t="shared" si="229"/>
        <v>012</v>
      </c>
      <c r="I2468" s="1" t="str">
        <f t="shared" si="230"/>
        <v>14000-012</v>
      </c>
      <c r="J2468" s="1" t="str">
        <f t="shared" si="231"/>
        <v>French horn production item #012</v>
      </c>
      <c r="K2468" s="1" t="str">
        <f>IF(SUM(COUNTIFS(I:I, I2468)) &gt; 1, "DUPLICATE", "UNIQUE")</f>
        <v>UNIQUE</v>
      </c>
      <c r="L2468" s="18">
        <v>4</v>
      </c>
      <c r="M2468" s="28">
        <v>15</v>
      </c>
      <c r="N2468" s="6">
        <v>36</v>
      </c>
      <c r="O2468" s="30">
        <f t="shared" si="232"/>
        <v>60</v>
      </c>
      <c r="P2468" s="30">
        <f t="shared" si="233"/>
        <v>540</v>
      </c>
      <c r="Q2468" s="1">
        <f>COUNTIFS($P:$P, "&gt;" &amp; $P2468) + 1</f>
        <v>3988</v>
      </c>
      <c r="R2468" s="63">
        <f>(COUNTIFS($P:$P, "&gt;" &amp; $P2468) + 1) / (COUNTA($I:$I) - 1)</f>
        <v>0.79759999999999998</v>
      </c>
      <c r="S2468" s="23">
        <f>SUMIFS($P:$P, $Q:$Q, "&lt;" &amp; $Q2468)</f>
        <v>186391860</v>
      </c>
    </row>
    <row r="2469" spans="1:19" x14ac:dyDescent="0.25">
      <c r="A2469" s="1">
        <v>2464</v>
      </c>
      <c r="B2469" s="1" t="s">
        <v>2</v>
      </c>
      <c r="C2469" s="1" t="str">
        <f>IF($B2469 = "Production Item", _xlfn.XLOOKUP($A2469, 'Instrument Table'!$J:$J, 'Instrument Table'!$B:$B, $C2468), IF($B2469 = "Service Item", _xlfn.XLOOKUP($A2469, 'Instrument Table'!$I:$I, 'Instrument Table'!$B:$B, $C2468), _xlfn.XLOOKUP($A2469, 'Instrument Table'!$H:$H, 'Instrument Table'!$B:$B, $C2468)))</f>
        <v>French Horn</v>
      </c>
      <c r="D2469" s="1" t="str">
        <f>VLOOKUP($C2469, 'Instrument Table'!$B:$C, 2, FALSE)</f>
        <v>Brass</v>
      </c>
      <c r="E2469" s="1">
        <f t="shared" si="228"/>
        <v>1</v>
      </c>
      <c r="F2469" s="1">
        <f>_xlfn.XLOOKUP($C2469, 'Instrument Table'!$B:$B, 'Instrument Table'!$A:$A, "")</f>
        <v>40</v>
      </c>
      <c r="G2469" s="1" t="str">
        <f>TEXT(IF($B2469 = "Retail Item", IF((ROW($A2469) - 4504 - _xlfn.XMATCH($C2469, $C$4506:$C$5005, 0, 1)) &lt;= VLOOKUP($C2469, 'Instrument Table'!$B:$D, 3, FALSE), ROW($A2469) - 4504 - _xlfn.XMATCH($C2469, $C$4506:$C$5005, 0, 1), 0), 0), "00")</f>
        <v>00</v>
      </c>
      <c r="H2469" s="1" t="str">
        <f t="shared" si="229"/>
        <v>013</v>
      </c>
      <c r="I2469" s="1" t="str">
        <f t="shared" si="230"/>
        <v>14000-013</v>
      </c>
      <c r="J2469" s="1" t="str">
        <f t="shared" si="231"/>
        <v>French horn production item #013</v>
      </c>
      <c r="K2469" s="1" t="str">
        <f>IF(SUM(COUNTIFS(I:I, I2469)) &gt; 1, "DUPLICATE", "UNIQUE")</f>
        <v>UNIQUE</v>
      </c>
      <c r="L2469" s="18">
        <v>0</v>
      </c>
      <c r="M2469" s="28">
        <v>17</v>
      </c>
      <c r="N2469" s="6">
        <v>121</v>
      </c>
      <c r="O2469" s="30">
        <f t="shared" si="232"/>
        <v>0</v>
      </c>
      <c r="P2469" s="30">
        <f t="shared" si="233"/>
        <v>2057</v>
      </c>
      <c r="Q2469" s="1">
        <f>COUNTIFS($P:$P, "&gt;" &amp; $P2469) + 1</f>
        <v>3229</v>
      </c>
      <c r="R2469" s="63">
        <f>(COUNTIFS($P:$P, "&gt;" &amp; $P2469) + 1) / (COUNTA($I:$I) - 1)</f>
        <v>0.64580000000000004</v>
      </c>
      <c r="S2469" s="23">
        <f>SUMIFS($P:$P, $Q:$Q, "&lt;" &amp; $Q2469)</f>
        <v>185468282</v>
      </c>
    </row>
    <row r="2470" spans="1:19" x14ac:dyDescent="0.25">
      <c r="A2470" s="1">
        <v>2465</v>
      </c>
      <c r="B2470" s="1" t="s">
        <v>2</v>
      </c>
      <c r="C2470" s="1" t="str">
        <f>IF($B2470 = "Production Item", _xlfn.XLOOKUP($A2470, 'Instrument Table'!$J:$J, 'Instrument Table'!$B:$B, $C2469), IF($B2470 = "Service Item", _xlfn.XLOOKUP($A2470, 'Instrument Table'!$I:$I, 'Instrument Table'!$B:$B, $C2469), _xlfn.XLOOKUP($A2470, 'Instrument Table'!$H:$H, 'Instrument Table'!$B:$B, $C2469)))</f>
        <v>French Horn</v>
      </c>
      <c r="D2470" s="1" t="str">
        <f>VLOOKUP($C2470, 'Instrument Table'!$B:$C, 2, FALSE)</f>
        <v>Brass</v>
      </c>
      <c r="E2470" s="1">
        <f t="shared" si="228"/>
        <v>1</v>
      </c>
      <c r="F2470" s="1">
        <f>_xlfn.XLOOKUP($C2470, 'Instrument Table'!$B:$B, 'Instrument Table'!$A:$A, "")</f>
        <v>40</v>
      </c>
      <c r="G2470" s="1" t="str">
        <f>TEXT(IF($B2470 = "Retail Item", IF((ROW($A2470) - 4504 - _xlfn.XMATCH($C2470, $C$4506:$C$5005, 0, 1)) &lt;= VLOOKUP($C2470, 'Instrument Table'!$B:$D, 3, FALSE), ROW($A2470) - 4504 - _xlfn.XMATCH($C2470, $C$4506:$C$5005, 0, 1), 0), 0), "00")</f>
        <v>00</v>
      </c>
      <c r="H2470" s="1" t="str">
        <f t="shared" si="229"/>
        <v>014</v>
      </c>
      <c r="I2470" s="1" t="str">
        <f t="shared" si="230"/>
        <v>14000-014</v>
      </c>
      <c r="J2470" s="1" t="str">
        <f t="shared" si="231"/>
        <v>French horn production item #014</v>
      </c>
      <c r="K2470" s="1" t="str">
        <f>IF(SUM(COUNTIFS(I:I, I2470)) &gt; 1, "DUPLICATE", "UNIQUE")</f>
        <v>UNIQUE</v>
      </c>
      <c r="L2470" s="18">
        <v>4</v>
      </c>
      <c r="M2470" s="28">
        <v>81</v>
      </c>
      <c r="N2470" s="6">
        <v>81</v>
      </c>
      <c r="O2470" s="30">
        <f t="shared" si="232"/>
        <v>324</v>
      </c>
      <c r="P2470" s="30">
        <f t="shared" si="233"/>
        <v>6561</v>
      </c>
      <c r="Q2470" s="1">
        <f>COUNTIFS($P:$P, "&gt;" &amp; $P2470) + 1</f>
        <v>2199</v>
      </c>
      <c r="R2470" s="63">
        <f>(COUNTIFS($P:$P, "&gt;" &amp; $P2470) + 1) / (COUNTA($I:$I) - 1)</f>
        <v>0.43980000000000002</v>
      </c>
      <c r="S2470" s="23">
        <f>SUMIFS($P:$P, $Q:$Q, "&lt;" &amp; $Q2470)</f>
        <v>181444870</v>
      </c>
    </row>
    <row r="2471" spans="1:19" x14ac:dyDescent="0.25">
      <c r="A2471" s="1">
        <v>2466</v>
      </c>
      <c r="B2471" s="1" t="s">
        <v>2</v>
      </c>
      <c r="C2471" s="1" t="str">
        <f>IF($B2471 = "Production Item", _xlfn.XLOOKUP($A2471, 'Instrument Table'!$J:$J, 'Instrument Table'!$B:$B, $C2470), IF($B2471 = "Service Item", _xlfn.XLOOKUP($A2471, 'Instrument Table'!$I:$I, 'Instrument Table'!$B:$B, $C2470), _xlfn.XLOOKUP($A2471, 'Instrument Table'!$H:$H, 'Instrument Table'!$B:$B, $C2470)))</f>
        <v>French Horn</v>
      </c>
      <c r="D2471" s="1" t="str">
        <f>VLOOKUP($C2471, 'Instrument Table'!$B:$C, 2, FALSE)</f>
        <v>Brass</v>
      </c>
      <c r="E2471" s="1">
        <f t="shared" si="228"/>
        <v>1</v>
      </c>
      <c r="F2471" s="1">
        <f>_xlfn.XLOOKUP($C2471, 'Instrument Table'!$B:$B, 'Instrument Table'!$A:$A, "")</f>
        <v>40</v>
      </c>
      <c r="G2471" s="1" t="str">
        <f>TEXT(IF($B2471 = "Retail Item", IF((ROW($A2471) - 4504 - _xlfn.XMATCH($C2471, $C$4506:$C$5005, 0, 1)) &lt;= VLOOKUP($C2471, 'Instrument Table'!$B:$D, 3, FALSE), ROW($A2471) - 4504 - _xlfn.XMATCH($C2471, $C$4506:$C$5005, 0, 1), 0), 0), "00")</f>
        <v>00</v>
      </c>
      <c r="H2471" s="1" t="str">
        <f t="shared" si="229"/>
        <v>015</v>
      </c>
      <c r="I2471" s="1" t="str">
        <f t="shared" si="230"/>
        <v>14000-015</v>
      </c>
      <c r="J2471" s="1" t="str">
        <f t="shared" si="231"/>
        <v>French horn production item #015</v>
      </c>
      <c r="K2471" s="1" t="str">
        <f>IF(SUM(COUNTIFS(I:I, I2471)) &gt; 1, "DUPLICATE", "UNIQUE")</f>
        <v>UNIQUE</v>
      </c>
      <c r="L2471" s="18">
        <v>16</v>
      </c>
      <c r="M2471" s="28">
        <v>86</v>
      </c>
      <c r="N2471" s="6">
        <v>1</v>
      </c>
      <c r="O2471" s="30">
        <f t="shared" si="232"/>
        <v>1376</v>
      </c>
      <c r="P2471" s="30">
        <f t="shared" si="233"/>
        <v>86</v>
      </c>
      <c r="Q2471" s="1">
        <f>COUNTIFS($P:$P, "&gt;" &amp; $P2471) + 1</f>
        <v>4492</v>
      </c>
      <c r="R2471" s="63">
        <f>(COUNTIFS($P:$P, "&gt;" &amp; $P2471) + 1) / (COUNTA($I:$I) - 1)</f>
        <v>0.89839999999999998</v>
      </c>
      <c r="S2471" s="23">
        <f>SUMIFS($P:$P, $Q:$Q, "&lt;" &amp; $Q2471)</f>
        <v>186536179</v>
      </c>
    </row>
    <row r="2472" spans="1:19" x14ac:dyDescent="0.25">
      <c r="A2472" s="1">
        <v>2467</v>
      </c>
      <c r="B2472" s="1" t="s">
        <v>2</v>
      </c>
      <c r="C2472" s="1" t="str">
        <f>IF($B2472 = "Production Item", _xlfn.XLOOKUP($A2472, 'Instrument Table'!$J:$J, 'Instrument Table'!$B:$B, $C2471), IF($B2472 = "Service Item", _xlfn.XLOOKUP($A2472, 'Instrument Table'!$I:$I, 'Instrument Table'!$B:$B, $C2471), _xlfn.XLOOKUP($A2472, 'Instrument Table'!$H:$H, 'Instrument Table'!$B:$B, $C2471)))</f>
        <v>French Horn</v>
      </c>
      <c r="D2472" s="1" t="str">
        <f>VLOOKUP($C2472, 'Instrument Table'!$B:$C, 2, FALSE)</f>
        <v>Brass</v>
      </c>
      <c r="E2472" s="1">
        <f t="shared" si="228"/>
        <v>1</v>
      </c>
      <c r="F2472" s="1">
        <f>_xlfn.XLOOKUP($C2472, 'Instrument Table'!$B:$B, 'Instrument Table'!$A:$A, "")</f>
        <v>40</v>
      </c>
      <c r="G2472" s="1" t="str">
        <f>TEXT(IF($B2472 = "Retail Item", IF((ROW($A2472) - 4504 - _xlfn.XMATCH($C2472, $C$4506:$C$5005, 0, 1)) &lt;= VLOOKUP($C2472, 'Instrument Table'!$B:$D, 3, FALSE), ROW($A2472) - 4504 - _xlfn.XMATCH($C2472, $C$4506:$C$5005, 0, 1), 0), 0), "00")</f>
        <v>00</v>
      </c>
      <c r="H2472" s="1" t="str">
        <f t="shared" si="229"/>
        <v>016</v>
      </c>
      <c r="I2472" s="1" t="str">
        <f t="shared" si="230"/>
        <v>14000-016</v>
      </c>
      <c r="J2472" s="1" t="str">
        <f t="shared" si="231"/>
        <v>French horn production item #016</v>
      </c>
      <c r="K2472" s="1" t="str">
        <f>IF(SUM(COUNTIFS(I:I, I2472)) &gt; 1, "DUPLICATE", "UNIQUE")</f>
        <v>UNIQUE</v>
      </c>
      <c r="L2472" s="18">
        <v>0</v>
      </c>
      <c r="M2472" s="28">
        <v>52</v>
      </c>
      <c r="N2472" s="6">
        <v>81</v>
      </c>
      <c r="O2472" s="30">
        <f t="shared" si="232"/>
        <v>0</v>
      </c>
      <c r="P2472" s="30">
        <f t="shared" si="233"/>
        <v>4212</v>
      </c>
      <c r="Q2472" s="1">
        <f>COUNTIFS($P:$P, "&gt;" &amp; $P2472) + 1</f>
        <v>2613</v>
      </c>
      <c r="R2472" s="63">
        <f>(COUNTIFS($P:$P, "&gt;" &amp; $P2472) + 1) / (COUNTA($I:$I) - 1)</f>
        <v>0.52259999999999995</v>
      </c>
      <c r="S2472" s="23">
        <f>SUMIFS($P:$P, $Q:$Q, "&lt;" &amp; $Q2472)</f>
        <v>183618325</v>
      </c>
    </row>
    <row r="2473" spans="1:19" x14ac:dyDescent="0.25">
      <c r="A2473" s="1">
        <v>2468</v>
      </c>
      <c r="B2473" s="1" t="s">
        <v>2</v>
      </c>
      <c r="C2473" s="1" t="str">
        <f>IF($B2473 = "Production Item", _xlfn.XLOOKUP($A2473, 'Instrument Table'!$J:$J, 'Instrument Table'!$B:$B, $C2472), IF($B2473 = "Service Item", _xlfn.XLOOKUP($A2473, 'Instrument Table'!$I:$I, 'Instrument Table'!$B:$B, $C2472), _xlfn.XLOOKUP($A2473, 'Instrument Table'!$H:$H, 'Instrument Table'!$B:$B, $C2472)))</f>
        <v>French Horn</v>
      </c>
      <c r="D2473" s="1" t="str">
        <f>VLOOKUP($C2473, 'Instrument Table'!$B:$C, 2, FALSE)</f>
        <v>Brass</v>
      </c>
      <c r="E2473" s="1">
        <f t="shared" si="228"/>
        <v>1</v>
      </c>
      <c r="F2473" s="1">
        <f>_xlfn.XLOOKUP($C2473, 'Instrument Table'!$B:$B, 'Instrument Table'!$A:$A, "")</f>
        <v>40</v>
      </c>
      <c r="G2473" s="1" t="str">
        <f>TEXT(IF($B2473 = "Retail Item", IF((ROW($A2473) - 4504 - _xlfn.XMATCH($C2473, $C$4506:$C$5005, 0, 1)) &lt;= VLOOKUP($C2473, 'Instrument Table'!$B:$D, 3, FALSE), ROW($A2473) - 4504 - _xlfn.XMATCH($C2473, $C$4506:$C$5005, 0, 1), 0), 0), "00")</f>
        <v>00</v>
      </c>
      <c r="H2473" s="1" t="str">
        <f t="shared" si="229"/>
        <v>017</v>
      </c>
      <c r="I2473" s="1" t="str">
        <f t="shared" si="230"/>
        <v>14000-017</v>
      </c>
      <c r="J2473" s="1" t="str">
        <f t="shared" si="231"/>
        <v>French horn production item #017</v>
      </c>
      <c r="K2473" s="1" t="str">
        <f>IF(SUM(COUNTIFS(I:I, I2473)) &gt; 1, "DUPLICATE", "UNIQUE")</f>
        <v>UNIQUE</v>
      </c>
      <c r="L2473" s="18">
        <v>0</v>
      </c>
      <c r="M2473" s="28">
        <v>24</v>
      </c>
      <c r="N2473" s="6">
        <v>9</v>
      </c>
      <c r="O2473" s="30">
        <f t="shared" si="232"/>
        <v>0</v>
      </c>
      <c r="P2473" s="30">
        <f t="shared" si="233"/>
        <v>216</v>
      </c>
      <c r="Q2473" s="1">
        <f>COUNTIFS($P:$P, "&gt;" &amp; $P2473) + 1</f>
        <v>4305</v>
      </c>
      <c r="R2473" s="63">
        <f>(COUNTIFS($P:$P, "&gt;" &amp; $P2473) + 1) / (COUNTA($I:$I) - 1)</f>
        <v>0.86099999999999999</v>
      </c>
      <c r="S2473" s="23">
        <f>SUMIFS($P:$P, $Q:$Q, "&lt;" &amp; $Q2473)</f>
        <v>186508546</v>
      </c>
    </row>
    <row r="2474" spans="1:19" x14ac:dyDescent="0.25">
      <c r="A2474" s="1">
        <v>2469</v>
      </c>
      <c r="B2474" s="1" t="s">
        <v>2</v>
      </c>
      <c r="C2474" s="1" t="str">
        <f>IF($B2474 = "Production Item", _xlfn.XLOOKUP($A2474, 'Instrument Table'!$J:$J, 'Instrument Table'!$B:$B, $C2473), IF($B2474 = "Service Item", _xlfn.XLOOKUP($A2474, 'Instrument Table'!$I:$I, 'Instrument Table'!$B:$B, $C2473), _xlfn.XLOOKUP($A2474, 'Instrument Table'!$H:$H, 'Instrument Table'!$B:$B, $C2473)))</f>
        <v>French Horn</v>
      </c>
      <c r="D2474" s="1" t="str">
        <f>VLOOKUP($C2474, 'Instrument Table'!$B:$C, 2, FALSE)</f>
        <v>Brass</v>
      </c>
      <c r="E2474" s="1">
        <f t="shared" si="228"/>
        <v>1</v>
      </c>
      <c r="F2474" s="1">
        <f>_xlfn.XLOOKUP($C2474, 'Instrument Table'!$B:$B, 'Instrument Table'!$A:$A, "")</f>
        <v>40</v>
      </c>
      <c r="G2474" s="1" t="str">
        <f>TEXT(IF($B2474 = "Retail Item", IF((ROW($A2474) - 4504 - _xlfn.XMATCH($C2474, $C$4506:$C$5005, 0, 1)) &lt;= VLOOKUP($C2474, 'Instrument Table'!$B:$D, 3, FALSE), ROW($A2474) - 4504 - _xlfn.XMATCH($C2474, $C$4506:$C$5005, 0, 1), 0), 0), "00")</f>
        <v>00</v>
      </c>
      <c r="H2474" s="1" t="str">
        <f t="shared" si="229"/>
        <v>018</v>
      </c>
      <c r="I2474" s="1" t="str">
        <f t="shared" si="230"/>
        <v>14000-018</v>
      </c>
      <c r="J2474" s="1" t="str">
        <f t="shared" si="231"/>
        <v>French horn production item #018</v>
      </c>
      <c r="K2474" s="1" t="str">
        <f>IF(SUM(COUNTIFS(I:I, I2474)) &gt; 1, "DUPLICATE", "UNIQUE")</f>
        <v>UNIQUE</v>
      </c>
      <c r="L2474" s="18">
        <v>0</v>
      </c>
      <c r="M2474" s="28">
        <v>91</v>
      </c>
      <c r="N2474" s="6">
        <v>1</v>
      </c>
      <c r="O2474" s="30">
        <f t="shared" si="232"/>
        <v>0</v>
      </c>
      <c r="P2474" s="30">
        <f t="shared" si="233"/>
        <v>91</v>
      </c>
      <c r="Q2474" s="1">
        <f>COUNTIFS($P:$P, "&gt;" &amp; $P2474) + 1</f>
        <v>4478</v>
      </c>
      <c r="R2474" s="63">
        <f>(COUNTIFS($P:$P, "&gt;" &amp; $P2474) + 1) / (COUNTA($I:$I) - 1)</f>
        <v>0.89559999999999995</v>
      </c>
      <c r="S2474" s="23">
        <f>SUMIFS($P:$P, $Q:$Q, "&lt;" &amp; $Q2474)</f>
        <v>186534936</v>
      </c>
    </row>
    <row r="2475" spans="1:19" x14ac:dyDescent="0.25">
      <c r="A2475" s="1">
        <v>2470</v>
      </c>
      <c r="B2475" s="1" t="s">
        <v>2</v>
      </c>
      <c r="C2475" s="1" t="str">
        <f>IF($B2475 = "Production Item", _xlfn.XLOOKUP($A2475, 'Instrument Table'!$J:$J, 'Instrument Table'!$B:$B, $C2474), IF($B2475 = "Service Item", _xlfn.XLOOKUP($A2475, 'Instrument Table'!$I:$I, 'Instrument Table'!$B:$B, $C2474), _xlfn.XLOOKUP($A2475, 'Instrument Table'!$H:$H, 'Instrument Table'!$B:$B, $C2474)))</f>
        <v>French Horn</v>
      </c>
      <c r="D2475" s="1" t="str">
        <f>VLOOKUP($C2475, 'Instrument Table'!$B:$C, 2, FALSE)</f>
        <v>Brass</v>
      </c>
      <c r="E2475" s="1">
        <f t="shared" si="228"/>
        <v>1</v>
      </c>
      <c r="F2475" s="1">
        <f>_xlfn.XLOOKUP($C2475, 'Instrument Table'!$B:$B, 'Instrument Table'!$A:$A, "")</f>
        <v>40</v>
      </c>
      <c r="G2475" s="1" t="str">
        <f>TEXT(IF($B2475 = "Retail Item", IF((ROW($A2475) - 4504 - _xlfn.XMATCH($C2475, $C$4506:$C$5005, 0, 1)) &lt;= VLOOKUP($C2475, 'Instrument Table'!$B:$D, 3, FALSE), ROW($A2475) - 4504 - _xlfn.XMATCH($C2475, $C$4506:$C$5005, 0, 1), 0), 0), "00")</f>
        <v>00</v>
      </c>
      <c r="H2475" s="1" t="str">
        <f t="shared" si="229"/>
        <v>019</v>
      </c>
      <c r="I2475" s="1" t="str">
        <f t="shared" si="230"/>
        <v>14000-019</v>
      </c>
      <c r="J2475" s="1" t="str">
        <f t="shared" si="231"/>
        <v>French horn production item #019</v>
      </c>
      <c r="K2475" s="1" t="str">
        <f>IF(SUM(COUNTIFS(I:I, I2475)) &gt; 1, "DUPLICATE", "UNIQUE")</f>
        <v>UNIQUE</v>
      </c>
      <c r="L2475" s="18">
        <v>2</v>
      </c>
      <c r="M2475" s="28">
        <v>39</v>
      </c>
      <c r="N2475" s="6">
        <v>144</v>
      </c>
      <c r="O2475" s="30">
        <f t="shared" si="232"/>
        <v>78</v>
      </c>
      <c r="P2475" s="30">
        <f t="shared" si="233"/>
        <v>5616</v>
      </c>
      <c r="Q2475" s="1">
        <f>COUNTIFS($P:$P, "&gt;" &amp; $P2475) + 1</f>
        <v>2332</v>
      </c>
      <c r="R2475" s="63">
        <f>(COUNTIFS($P:$P, "&gt;" &amp; $P2475) + 1) / (COUNTA($I:$I) - 1)</f>
        <v>0.46639999999999998</v>
      </c>
      <c r="S2475" s="23">
        <f>SUMIFS($P:$P, $Q:$Q, "&lt;" &amp; $Q2475)</f>
        <v>182247288</v>
      </c>
    </row>
    <row r="2476" spans="1:19" x14ac:dyDescent="0.25">
      <c r="A2476" s="1">
        <v>2471</v>
      </c>
      <c r="B2476" s="1" t="s">
        <v>2</v>
      </c>
      <c r="C2476" s="1" t="str">
        <f>IF($B2476 = "Production Item", _xlfn.XLOOKUP($A2476, 'Instrument Table'!$J:$J, 'Instrument Table'!$B:$B, $C2475), IF($B2476 = "Service Item", _xlfn.XLOOKUP($A2476, 'Instrument Table'!$I:$I, 'Instrument Table'!$B:$B, $C2475), _xlfn.XLOOKUP($A2476, 'Instrument Table'!$H:$H, 'Instrument Table'!$B:$B, $C2475)))</f>
        <v>French Horn</v>
      </c>
      <c r="D2476" s="1" t="str">
        <f>VLOOKUP($C2476, 'Instrument Table'!$B:$C, 2, FALSE)</f>
        <v>Brass</v>
      </c>
      <c r="E2476" s="1">
        <f t="shared" si="228"/>
        <v>1</v>
      </c>
      <c r="F2476" s="1">
        <f>_xlfn.XLOOKUP($C2476, 'Instrument Table'!$B:$B, 'Instrument Table'!$A:$A, "")</f>
        <v>40</v>
      </c>
      <c r="G2476" s="1" t="str">
        <f>TEXT(IF($B2476 = "Retail Item", IF((ROW($A2476) - 4504 - _xlfn.XMATCH($C2476, $C$4506:$C$5005, 0, 1)) &lt;= VLOOKUP($C2476, 'Instrument Table'!$B:$D, 3, FALSE), ROW($A2476) - 4504 - _xlfn.XMATCH($C2476, $C$4506:$C$5005, 0, 1), 0), 0), "00")</f>
        <v>00</v>
      </c>
      <c r="H2476" s="1" t="str">
        <f t="shared" si="229"/>
        <v>020</v>
      </c>
      <c r="I2476" s="1" t="str">
        <f t="shared" si="230"/>
        <v>14000-020</v>
      </c>
      <c r="J2476" s="1" t="str">
        <f t="shared" si="231"/>
        <v>French horn production item #020</v>
      </c>
      <c r="K2476" s="1" t="str">
        <f>IF(SUM(COUNTIFS(I:I, I2476)) &gt; 1, "DUPLICATE", "UNIQUE")</f>
        <v>UNIQUE</v>
      </c>
      <c r="L2476" s="18">
        <v>32</v>
      </c>
      <c r="M2476" s="28">
        <v>59</v>
      </c>
      <c r="N2476" s="6">
        <v>361</v>
      </c>
      <c r="O2476" s="30">
        <f t="shared" si="232"/>
        <v>1888</v>
      </c>
      <c r="P2476" s="30">
        <f t="shared" si="233"/>
        <v>21299</v>
      </c>
      <c r="Q2476" s="1">
        <f>COUNTIFS($P:$P, "&gt;" &amp; $P2476) + 1</f>
        <v>991</v>
      </c>
      <c r="R2476" s="63">
        <f>(COUNTIFS($P:$P, "&gt;" &amp; $P2476) + 1) / (COUNTA($I:$I) - 1)</f>
        <v>0.19819999999999999</v>
      </c>
      <c r="S2476" s="23">
        <f>SUMIFS($P:$P, $Q:$Q, "&lt;" &amp; $Q2476)</f>
        <v>166300051</v>
      </c>
    </row>
    <row r="2477" spans="1:19" x14ac:dyDescent="0.25">
      <c r="A2477" s="1">
        <v>2472</v>
      </c>
      <c r="B2477" s="1" t="s">
        <v>2</v>
      </c>
      <c r="C2477" s="1" t="str">
        <f>IF($B2477 = "Production Item", _xlfn.XLOOKUP($A2477, 'Instrument Table'!$J:$J, 'Instrument Table'!$B:$B, $C2476), IF($B2477 = "Service Item", _xlfn.XLOOKUP($A2477, 'Instrument Table'!$I:$I, 'Instrument Table'!$B:$B, $C2476), _xlfn.XLOOKUP($A2477, 'Instrument Table'!$H:$H, 'Instrument Table'!$B:$B, $C2476)))</f>
        <v>French Horn</v>
      </c>
      <c r="D2477" s="1" t="str">
        <f>VLOOKUP($C2477, 'Instrument Table'!$B:$C, 2, FALSE)</f>
        <v>Brass</v>
      </c>
      <c r="E2477" s="1">
        <f t="shared" si="228"/>
        <v>1</v>
      </c>
      <c r="F2477" s="1">
        <f>_xlfn.XLOOKUP($C2477, 'Instrument Table'!$B:$B, 'Instrument Table'!$A:$A, "")</f>
        <v>40</v>
      </c>
      <c r="G2477" s="1" t="str">
        <f>TEXT(IF($B2477 = "Retail Item", IF((ROW($A2477) - 4504 - _xlfn.XMATCH($C2477, $C$4506:$C$5005, 0, 1)) &lt;= VLOOKUP($C2477, 'Instrument Table'!$B:$D, 3, FALSE), ROW($A2477) - 4504 - _xlfn.XMATCH($C2477, $C$4506:$C$5005, 0, 1), 0), 0), "00")</f>
        <v>00</v>
      </c>
      <c r="H2477" s="1" t="str">
        <f t="shared" si="229"/>
        <v>021</v>
      </c>
      <c r="I2477" s="1" t="str">
        <f t="shared" si="230"/>
        <v>14000-021</v>
      </c>
      <c r="J2477" s="1" t="str">
        <f t="shared" si="231"/>
        <v>French horn production item #021</v>
      </c>
      <c r="K2477" s="1" t="str">
        <f>IF(SUM(COUNTIFS(I:I, I2477)) &gt; 1, "DUPLICATE", "UNIQUE")</f>
        <v>UNIQUE</v>
      </c>
      <c r="L2477" s="18">
        <v>1</v>
      </c>
      <c r="M2477" s="28">
        <v>46</v>
      </c>
      <c r="N2477" s="6">
        <v>36</v>
      </c>
      <c r="O2477" s="30">
        <f t="shared" si="232"/>
        <v>46</v>
      </c>
      <c r="P2477" s="30">
        <f t="shared" si="233"/>
        <v>1656</v>
      </c>
      <c r="Q2477" s="1">
        <f>COUNTIFS($P:$P, "&gt;" &amp; $P2477) + 1</f>
        <v>3384</v>
      </c>
      <c r="R2477" s="63">
        <f>(COUNTIFS($P:$P, "&gt;" &amp; $P2477) + 1) / (COUNTA($I:$I) - 1)</f>
        <v>0.67679999999999996</v>
      </c>
      <c r="S2477" s="23">
        <f>SUMIFS($P:$P, $Q:$Q, "&lt;" &amp; $Q2477)</f>
        <v>185758875</v>
      </c>
    </row>
    <row r="2478" spans="1:19" x14ac:dyDescent="0.25">
      <c r="A2478" s="1">
        <v>2473</v>
      </c>
      <c r="B2478" s="1" t="s">
        <v>2</v>
      </c>
      <c r="C2478" s="1" t="str">
        <f>IF($B2478 = "Production Item", _xlfn.XLOOKUP($A2478, 'Instrument Table'!$J:$J, 'Instrument Table'!$B:$B, $C2477), IF($B2478 = "Service Item", _xlfn.XLOOKUP($A2478, 'Instrument Table'!$I:$I, 'Instrument Table'!$B:$B, $C2477), _xlfn.XLOOKUP($A2478, 'Instrument Table'!$H:$H, 'Instrument Table'!$B:$B, $C2477)))</f>
        <v>French Horn</v>
      </c>
      <c r="D2478" s="1" t="str">
        <f>VLOOKUP($C2478, 'Instrument Table'!$B:$C, 2, FALSE)</f>
        <v>Brass</v>
      </c>
      <c r="E2478" s="1">
        <f t="shared" si="228"/>
        <v>1</v>
      </c>
      <c r="F2478" s="1">
        <f>_xlfn.XLOOKUP($C2478, 'Instrument Table'!$B:$B, 'Instrument Table'!$A:$A, "")</f>
        <v>40</v>
      </c>
      <c r="G2478" s="1" t="str">
        <f>TEXT(IF($B2478 = "Retail Item", IF((ROW($A2478) - 4504 - _xlfn.XMATCH($C2478, $C$4506:$C$5005, 0, 1)) &lt;= VLOOKUP($C2478, 'Instrument Table'!$B:$D, 3, FALSE), ROW($A2478) - 4504 - _xlfn.XMATCH($C2478, $C$4506:$C$5005, 0, 1), 0), 0), "00")</f>
        <v>00</v>
      </c>
      <c r="H2478" s="1" t="str">
        <f t="shared" si="229"/>
        <v>022</v>
      </c>
      <c r="I2478" s="1" t="str">
        <f t="shared" si="230"/>
        <v>14000-022</v>
      </c>
      <c r="J2478" s="1" t="str">
        <f t="shared" si="231"/>
        <v>French horn production item #022</v>
      </c>
      <c r="K2478" s="1" t="str">
        <f>IF(SUM(COUNTIFS(I:I, I2478)) &gt; 1, "DUPLICATE", "UNIQUE")</f>
        <v>UNIQUE</v>
      </c>
      <c r="L2478" s="18">
        <v>1</v>
      </c>
      <c r="M2478" s="28">
        <v>68</v>
      </c>
      <c r="N2478" s="6">
        <v>81</v>
      </c>
      <c r="O2478" s="30">
        <f t="shared" si="232"/>
        <v>68</v>
      </c>
      <c r="P2478" s="30">
        <f t="shared" si="233"/>
        <v>5508</v>
      </c>
      <c r="Q2478" s="1">
        <f>COUNTIFS($P:$P, "&gt;" &amp; $P2478) + 1</f>
        <v>2346</v>
      </c>
      <c r="R2478" s="63">
        <f>(COUNTIFS($P:$P, "&gt;" &amp; $P2478) + 1) / (COUNTA($I:$I) - 1)</f>
        <v>0.46920000000000001</v>
      </c>
      <c r="S2478" s="23">
        <f>SUMIFS($P:$P, $Q:$Q, "&lt;" &amp; $Q2478)</f>
        <v>182325513</v>
      </c>
    </row>
    <row r="2479" spans="1:19" x14ac:dyDescent="0.25">
      <c r="A2479" s="1">
        <v>2474</v>
      </c>
      <c r="B2479" s="1" t="s">
        <v>2</v>
      </c>
      <c r="C2479" s="1" t="str">
        <f>IF($B2479 = "Production Item", _xlfn.XLOOKUP($A2479, 'Instrument Table'!$J:$J, 'Instrument Table'!$B:$B, $C2478), IF($B2479 = "Service Item", _xlfn.XLOOKUP($A2479, 'Instrument Table'!$I:$I, 'Instrument Table'!$B:$B, $C2478), _xlfn.XLOOKUP($A2479, 'Instrument Table'!$H:$H, 'Instrument Table'!$B:$B, $C2478)))</f>
        <v>French Horn</v>
      </c>
      <c r="D2479" s="1" t="str">
        <f>VLOOKUP($C2479, 'Instrument Table'!$B:$C, 2, FALSE)</f>
        <v>Brass</v>
      </c>
      <c r="E2479" s="1">
        <f t="shared" si="228"/>
        <v>1</v>
      </c>
      <c r="F2479" s="1">
        <f>_xlfn.XLOOKUP($C2479, 'Instrument Table'!$B:$B, 'Instrument Table'!$A:$A, "")</f>
        <v>40</v>
      </c>
      <c r="G2479" s="1" t="str">
        <f>TEXT(IF($B2479 = "Retail Item", IF((ROW($A2479) - 4504 - _xlfn.XMATCH($C2479, $C$4506:$C$5005, 0, 1)) &lt;= VLOOKUP($C2479, 'Instrument Table'!$B:$D, 3, FALSE), ROW($A2479) - 4504 - _xlfn.XMATCH($C2479, $C$4506:$C$5005, 0, 1), 0), 0), "00")</f>
        <v>00</v>
      </c>
      <c r="H2479" s="1" t="str">
        <f t="shared" si="229"/>
        <v>023</v>
      </c>
      <c r="I2479" s="1" t="str">
        <f t="shared" si="230"/>
        <v>14000-023</v>
      </c>
      <c r="J2479" s="1" t="str">
        <f t="shared" si="231"/>
        <v>French horn production item #023</v>
      </c>
      <c r="K2479" s="1" t="str">
        <f>IF(SUM(COUNTIFS(I:I, I2479)) &gt; 1, "DUPLICATE", "UNIQUE")</f>
        <v>UNIQUE</v>
      </c>
      <c r="L2479" s="18">
        <v>1</v>
      </c>
      <c r="M2479" s="28">
        <v>77</v>
      </c>
      <c r="N2479" s="6">
        <v>144</v>
      </c>
      <c r="O2479" s="30">
        <f t="shared" si="232"/>
        <v>77</v>
      </c>
      <c r="P2479" s="30">
        <f t="shared" si="233"/>
        <v>11088</v>
      </c>
      <c r="Q2479" s="1">
        <f>COUNTIFS($P:$P, "&gt;" &amp; $P2479) + 1</f>
        <v>1675</v>
      </c>
      <c r="R2479" s="63">
        <f>(COUNTIFS($P:$P, "&gt;" &amp; $P2479) + 1) / (COUNTA($I:$I) - 1)</f>
        <v>0.33500000000000002</v>
      </c>
      <c r="S2479" s="23">
        <f>SUMIFS($P:$P, $Q:$Q, "&lt;" &amp; $Q2479)</f>
        <v>176939358</v>
      </c>
    </row>
    <row r="2480" spans="1:19" x14ac:dyDescent="0.25">
      <c r="A2480" s="1">
        <v>2475</v>
      </c>
      <c r="B2480" s="1" t="s">
        <v>2</v>
      </c>
      <c r="C2480" s="1" t="str">
        <f>IF($B2480 = "Production Item", _xlfn.XLOOKUP($A2480, 'Instrument Table'!$J:$J, 'Instrument Table'!$B:$B, $C2479), IF($B2480 = "Service Item", _xlfn.XLOOKUP($A2480, 'Instrument Table'!$I:$I, 'Instrument Table'!$B:$B, $C2479), _xlfn.XLOOKUP($A2480, 'Instrument Table'!$H:$H, 'Instrument Table'!$B:$B, $C2479)))</f>
        <v>French Horn</v>
      </c>
      <c r="D2480" s="1" t="str">
        <f>VLOOKUP($C2480, 'Instrument Table'!$B:$C, 2, FALSE)</f>
        <v>Brass</v>
      </c>
      <c r="E2480" s="1">
        <f t="shared" si="228"/>
        <v>1</v>
      </c>
      <c r="F2480" s="1">
        <f>_xlfn.XLOOKUP($C2480, 'Instrument Table'!$B:$B, 'Instrument Table'!$A:$A, "")</f>
        <v>40</v>
      </c>
      <c r="G2480" s="1" t="str">
        <f>TEXT(IF($B2480 = "Retail Item", IF((ROW($A2480) - 4504 - _xlfn.XMATCH($C2480, $C$4506:$C$5005, 0, 1)) &lt;= VLOOKUP($C2480, 'Instrument Table'!$B:$D, 3, FALSE), ROW($A2480) - 4504 - _xlfn.XMATCH($C2480, $C$4506:$C$5005, 0, 1), 0), 0), "00")</f>
        <v>00</v>
      </c>
      <c r="H2480" s="1" t="str">
        <f t="shared" si="229"/>
        <v>024</v>
      </c>
      <c r="I2480" s="1" t="str">
        <f t="shared" si="230"/>
        <v>14000-024</v>
      </c>
      <c r="J2480" s="1" t="str">
        <f t="shared" si="231"/>
        <v>French horn production item #024</v>
      </c>
      <c r="K2480" s="1" t="str">
        <f>IF(SUM(COUNTIFS(I:I, I2480)) &gt; 1, "DUPLICATE", "UNIQUE")</f>
        <v>UNIQUE</v>
      </c>
      <c r="L2480" s="18">
        <v>2</v>
      </c>
      <c r="M2480" s="28">
        <v>84</v>
      </c>
      <c r="N2480" s="6">
        <v>144</v>
      </c>
      <c r="O2480" s="30">
        <f t="shared" si="232"/>
        <v>168</v>
      </c>
      <c r="P2480" s="30">
        <f t="shared" si="233"/>
        <v>12096</v>
      </c>
      <c r="Q2480" s="1">
        <f>COUNTIFS($P:$P, "&gt;" &amp; $P2480) + 1</f>
        <v>1572</v>
      </c>
      <c r="R2480" s="63">
        <f>(COUNTIFS($P:$P, "&gt;" &amp; $P2480) + 1) / (COUNTA($I:$I) - 1)</f>
        <v>0.31440000000000001</v>
      </c>
      <c r="S2480" s="23">
        <f>SUMIFS($P:$P, $Q:$Q, "&lt;" &amp; $Q2480)</f>
        <v>175743737</v>
      </c>
    </row>
    <row r="2481" spans="1:19" x14ac:dyDescent="0.25">
      <c r="A2481" s="1">
        <v>2476</v>
      </c>
      <c r="B2481" s="1" t="s">
        <v>2</v>
      </c>
      <c r="C2481" s="1" t="str">
        <f>IF($B2481 = "Production Item", _xlfn.XLOOKUP($A2481, 'Instrument Table'!$J:$J, 'Instrument Table'!$B:$B, $C2480), IF($B2481 = "Service Item", _xlfn.XLOOKUP($A2481, 'Instrument Table'!$I:$I, 'Instrument Table'!$B:$B, $C2480), _xlfn.XLOOKUP($A2481, 'Instrument Table'!$H:$H, 'Instrument Table'!$B:$B, $C2480)))</f>
        <v>French Horn</v>
      </c>
      <c r="D2481" s="1" t="str">
        <f>VLOOKUP($C2481, 'Instrument Table'!$B:$C, 2, FALSE)</f>
        <v>Brass</v>
      </c>
      <c r="E2481" s="1">
        <f t="shared" si="228"/>
        <v>1</v>
      </c>
      <c r="F2481" s="1">
        <f>_xlfn.XLOOKUP($C2481, 'Instrument Table'!$B:$B, 'Instrument Table'!$A:$A, "")</f>
        <v>40</v>
      </c>
      <c r="G2481" s="1" t="str">
        <f>TEXT(IF($B2481 = "Retail Item", IF((ROW($A2481) - 4504 - _xlfn.XMATCH($C2481, $C$4506:$C$5005, 0, 1)) &lt;= VLOOKUP($C2481, 'Instrument Table'!$B:$D, 3, FALSE), ROW($A2481) - 4504 - _xlfn.XMATCH($C2481, $C$4506:$C$5005, 0, 1), 0), 0), "00")</f>
        <v>00</v>
      </c>
      <c r="H2481" s="1" t="str">
        <f t="shared" si="229"/>
        <v>025</v>
      </c>
      <c r="I2481" s="1" t="str">
        <f t="shared" si="230"/>
        <v>14000-025</v>
      </c>
      <c r="J2481" s="1" t="str">
        <f t="shared" si="231"/>
        <v>French horn production item #025</v>
      </c>
      <c r="K2481" s="1" t="str">
        <f>IF(SUM(COUNTIFS(I:I, I2481)) &gt; 1, "DUPLICATE", "UNIQUE")</f>
        <v>UNIQUE</v>
      </c>
      <c r="L2481" s="18">
        <v>16</v>
      </c>
      <c r="M2481" s="28">
        <v>38</v>
      </c>
      <c r="N2481" s="6">
        <v>144</v>
      </c>
      <c r="O2481" s="30">
        <f t="shared" si="232"/>
        <v>608</v>
      </c>
      <c r="P2481" s="30">
        <f t="shared" si="233"/>
        <v>5472</v>
      </c>
      <c r="Q2481" s="1">
        <f>COUNTIFS($P:$P, "&gt;" &amp; $P2481) + 1</f>
        <v>2358</v>
      </c>
      <c r="R2481" s="63">
        <f>(COUNTIFS($P:$P, "&gt;" &amp; $P2481) + 1) / (COUNTA($I:$I) - 1)</f>
        <v>0.47160000000000002</v>
      </c>
      <c r="S2481" s="23">
        <f>SUMIFS($P:$P, $Q:$Q, "&lt;" &amp; $Q2481)</f>
        <v>182391519</v>
      </c>
    </row>
    <row r="2482" spans="1:19" x14ac:dyDescent="0.25">
      <c r="A2482" s="1">
        <v>2477</v>
      </c>
      <c r="B2482" s="1" t="s">
        <v>2</v>
      </c>
      <c r="C2482" s="1" t="str">
        <f>IF($B2482 = "Production Item", _xlfn.XLOOKUP($A2482, 'Instrument Table'!$J:$J, 'Instrument Table'!$B:$B, $C2481), IF($B2482 = "Service Item", _xlfn.XLOOKUP($A2482, 'Instrument Table'!$I:$I, 'Instrument Table'!$B:$B, $C2481), _xlfn.XLOOKUP($A2482, 'Instrument Table'!$H:$H, 'Instrument Table'!$B:$B, $C2481)))</f>
        <v>French Horn</v>
      </c>
      <c r="D2482" s="1" t="str">
        <f>VLOOKUP($C2482, 'Instrument Table'!$B:$C, 2, FALSE)</f>
        <v>Brass</v>
      </c>
      <c r="E2482" s="1">
        <f t="shared" si="228"/>
        <v>1</v>
      </c>
      <c r="F2482" s="1">
        <f>_xlfn.XLOOKUP($C2482, 'Instrument Table'!$B:$B, 'Instrument Table'!$A:$A, "")</f>
        <v>40</v>
      </c>
      <c r="G2482" s="1" t="str">
        <f>TEXT(IF($B2482 = "Retail Item", IF((ROW($A2482) - 4504 - _xlfn.XMATCH($C2482, $C$4506:$C$5005, 0, 1)) &lt;= VLOOKUP($C2482, 'Instrument Table'!$B:$D, 3, FALSE), ROW($A2482) - 4504 - _xlfn.XMATCH($C2482, $C$4506:$C$5005, 0, 1), 0), 0), "00")</f>
        <v>00</v>
      </c>
      <c r="H2482" s="1" t="str">
        <f t="shared" si="229"/>
        <v>026</v>
      </c>
      <c r="I2482" s="1" t="str">
        <f t="shared" si="230"/>
        <v>14000-026</v>
      </c>
      <c r="J2482" s="1" t="str">
        <f t="shared" si="231"/>
        <v>French horn production item #026</v>
      </c>
      <c r="K2482" s="1" t="str">
        <f>IF(SUM(COUNTIFS(I:I, I2482)) &gt; 1, "DUPLICATE", "UNIQUE")</f>
        <v>UNIQUE</v>
      </c>
      <c r="L2482" s="18">
        <v>1</v>
      </c>
      <c r="M2482" s="28">
        <v>51</v>
      </c>
      <c r="N2482" s="6">
        <v>289</v>
      </c>
      <c r="O2482" s="30">
        <f t="shared" si="232"/>
        <v>51</v>
      </c>
      <c r="P2482" s="30">
        <f t="shared" si="233"/>
        <v>14739</v>
      </c>
      <c r="Q2482" s="1">
        <f>COUNTIFS($P:$P, "&gt;" &amp; $P2482) + 1</f>
        <v>1365</v>
      </c>
      <c r="R2482" s="63">
        <f>(COUNTIFS($P:$P, "&gt;" &amp; $P2482) + 1) / (COUNTA($I:$I) - 1)</f>
        <v>0.27300000000000002</v>
      </c>
      <c r="S2482" s="23">
        <f>SUMIFS($P:$P, $Q:$Q, "&lt;" &amp; $Q2482)</f>
        <v>172966555</v>
      </c>
    </row>
    <row r="2483" spans="1:19" x14ac:dyDescent="0.25">
      <c r="A2483" s="1">
        <v>2478</v>
      </c>
      <c r="B2483" s="1" t="s">
        <v>2</v>
      </c>
      <c r="C2483" s="1" t="str">
        <f>IF($B2483 = "Production Item", _xlfn.XLOOKUP($A2483, 'Instrument Table'!$J:$J, 'Instrument Table'!$B:$B, $C2482), IF($B2483 = "Service Item", _xlfn.XLOOKUP($A2483, 'Instrument Table'!$I:$I, 'Instrument Table'!$B:$B, $C2482), _xlfn.XLOOKUP($A2483, 'Instrument Table'!$H:$H, 'Instrument Table'!$B:$B, $C2482)))</f>
        <v>French Horn</v>
      </c>
      <c r="D2483" s="1" t="str">
        <f>VLOOKUP($C2483, 'Instrument Table'!$B:$C, 2, FALSE)</f>
        <v>Brass</v>
      </c>
      <c r="E2483" s="1">
        <f t="shared" si="228"/>
        <v>1</v>
      </c>
      <c r="F2483" s="1">
        <f>_xlfn.XLOOKUP($C2483, 'Instrument Table'!$B:$B, 'Instrument Table'!$A:$A, "")</f>
        <v>40</v>
      </c>
      <c r="G2483" s="1" t="str">
        <f>TEXT(IF($B2483 = "Retail Item", IF((ROW($A2483) - 4504 - _xlfn.XMATCH($C2483, $C$4506:$C$5005, 0, 1)) &lt;= VLOOKUP($C2483, 'Instrument Table'!$B:$D, 3, FALSE), ROW($A2483) - 4504 - _xlfn.XMATCH($C2483, $C$4506:$C$5005, 0, 1), 0), 0), "00")</f>
        <v>00</v>
      </c>
      <c r="H2483" s="1" t="str">
        <f t="shared" si="229"/>
        <v>027</v>
      </c>
      <c r="I2483" s="1" t="str">
        <f t="shared" si="230"/>
        <v>14000-027</v>
      </c>
      <c r="J2483" s="1" t="str">
        <f t="shared" si="231"/>
        <v>French horn production item #027</v>
      </c>
      <c r="K2483" s="1" t="str">
        <f>IF(SUM(COUNTIFS(I:I, I2483)) &gt; 1, "DUPLICATE", "UNIQUE")</f>
        <v>UNIQUE</v>
      </c>
      <c r="L2483" s="18">
        <v>1</v>
      </c>
      <c r="M2483" s="28">
        <v>21</v>
      </c>
      <c r="N2483" s="6">
        <v>289</v>
      </c>
      <c r="O2483" s="30">
        <f t="shared" si="232"/>
        <v>21</v>
      </c>
      <c r="P2483" s="30">
        <f t="shared" si="233"/>
        <v>6069</v>
      </c>
      <c r="Q2483" s="1">
        <f>COUNTIFS($P:$P, "&gt;" &amp; $P2483) + 1</f>
        <v>2255</v>
      </c>
      <c r="R2483" s="63">
        <f>(COUNTIFS($P:$P, "&gt;" &amp; $P2483) + 1) / (COUNTA($I:$I) - 1)</f>
        <v>0.45100000000000001</v>
      </c>
      <c r="S2483" s="23">
        <f>SUMIFS($P:$P, $Q:$Q, "&lt;" &amp; $Q2483)</f>
        <v>181797491</v>
      </c>
    </row>
    <row r="2484" spans="1:19" x14ac:dyDescent="0.25">
      <c r="A2484" s="1">
        <v>2479</v>
      </c>
      <c r="B2484" s="1" t="s">
        <v>2</v>
      </c>
      <c r="C2484" s="1" t="str">
        <f>IF($B2484 = "Production Item", _xlfn.XLOOKUP($A2484, 'Instrument Table'!$J:$J, 'Instrument Table'!$B:$B, $C2483), IF($B2484 = "Service Item", _xlfn.XLOOKUP($A2484, 'Instrument Table'!$I:$I, 'Instrument Table'!$B:$B, $C2483), _xlfn.XLOOKUP($A2484, 'Instrument Table'!$H:$H, 'Instrument Table'!$B:$B, $C2483)))</f>
        <v>French Horn</v>
      </c>
      <c r="D2484" s="1" t="str">
        <f>VLOOKUP($C2484, 'Instrument Table'!$B:$C, 2, FALSE)</f>
        <v>Brass</v>
      </c>
      <c r="E2484" s="1">
        <f t="shared" si="228"/>
        <v>1</v>
      </c>
      <c r="F2484" s="1">
        <f>_xlfn.XLOOKUP($C2484, 'Instrument Table'!$B:$B, 'Instrument Table'!$A:$A, "")</f>
        <v>40</v>
      </c>
      <c r="G2484" s="1" t="str">
        <f>TEXT(IF($B2484 = "Retail Item", IF((ROW($A2484) - 4504 - _xlfn.XMATCH($C2484, $C$4506:$C$5005, 0, 1)) &lt;= VLOOKUP($C2484, 'Instrument Table'!$B:$D, 3, FALSE), ROW($A2484) - 4504 - _xlfn.XMATCH($C2484, $C$4506:$C$5005, 0, 1), 0), 0), "00")</f>
        <v>00</v>
      </c>
      <c r="H2484" s="1" t="str">
        <f t="shared" si="229"/>
        <v>028</v>
      </c>
      <c r="I2484" s="1" t="str">
        <f t="shared" si="230"/>
        <v>14000-028</v>
      </c>
      <c r="J2484" s="1" t="str">
        <f t="shared" si="231"/>
        <v>French horn production item #028</v>
      </c>
      <c r="K2484" s="1" t="str">
        <f>IF(SUM(COUNTIFS(I:I, I2484)) &gt; 1, "DUPLICATE", "UNIQUE")</f>
        <v>UNIQUE</v>
      </c>
      <c r="L2484" s="18">
        <v>0</v>
      </c>
      <c r="M2484" s="28">
        <v>96</v>
      </c>
      <c r="N2484" s="6">
        <v>1</v>
      </c>
      <c r="O2484" s="30">
        <f t="shared" si="232"/>
        <v>0</v>
      </c>
      <c r="P2484" s="30">
        <f t="shared" si="233"/>
        <v>96</v>
      </c>
      <c r="Q2484" s="1">
        <f>COUNTIFS($P:$P, "&gt;" &amp; $P2484) + 1</f>
        <v>4466</v>
      </c>
      <c r="R2484" s="63">
        <f>(COUNTIFS($P:$P, "&gt;" &amp; $P2484) + 1) / (COUNTA($I:$I) - 1)</f>
        <v>0.89319999999999999</v>
      </c>
      <c r="S2484" s="23">
        <f>SUMIFS($P:$P, $Q:$Q, "&lt;" &amp; $Q2484)</f>
        <v>186533802</v>
      </c>
    </row>
    <row r="2485" spans="1:19" x14ac:dyDescent="0.25">
      <c r="A2485" s="1">
        <v>2480</v>
      </c>
      <c r="B2485" s="1" t="s">
        <v>2</v>
      </c>
      <c r="C2485" s="1" t="str">
        <f>IF($B2485 = "Production Item", _xlfn.XLOOKUP($A2485, 'Instrument Table'!$J:$J, 'Instrument Table'!$B:$B, $C2484), IF($B2485 = "Service Item", _xlfn.XLOOKUP($A2485, 'Instrument Table'!$I:$I, 'Instrument Table'!$B:$B, $C2484), _xlfn.XLOOKUP($A2485, 'Instrument Table'!$H:$H, 'Instrument Table'!$B:$B, $C2484)))</f>
        <v>French Horn</v>
      </c>
      <c r="D2485" s="1" t="str">
        <f>VLOOKUP($C2485, 'Instrument Table'!$B:$C, 2, FALSE)</f>
        <v>Brass</v>
      </c>
      <c r="E2485" s="1">
        <f t="shared" si="228"/>
        <v>1</v>
      </c>
      <c r="F2485" s="1">
        <f>_xlfn.XLOOKUP($C2485, 'Instrument Table'!$B:$B, 'Instrument Table'!$A:$A, "")</f>
        <v>40</v>
      </c>
      <c r="G2485" s="1" t="str">
        <f>TEXT(IF($B2485 = "Retail Item", IF((ROW($A2485) - 4504 - _xlfn.XMATCH($C2485, $C$4506:$C$5005, 0, 1)) &lt;= VLOOKUP($C2485, 'Instrument Table'!$B:$D, 3, FALSE), ROW($A2485) - 4504 - _xlfn.XMATCH($C2485, $C$4506:$C$5005, 0, 1), 0), 0), "00")</f>
        <v>00</v>
      </c>
      <c r="H2485" s="1" t="str">
        <f t="shared" si="229"/>
        <v>029</v>
      </c>
      <c r="I2485" s="1" t="str">
        <f t="shared" si="230"/>
        <v>14000-029</v>
      </c>
      <c r="J2485" s="1" t="str">
        <f t="shared" si="231"/>
        <v>French horn production item #029</v>
      </c>
      <c r="K2485" s="1" t="str">
        <f>IF(SUM(COUNTIFS(I:I, I2485)) &gt; 1, "DUPLICATE", "UNIQUE")</f>
        <v>UNIQUE</v>
      </c>
      <c r="L2485" s="18">
        <v>1</v>
      </c>
      <c r="M2485" s="28">
        <v>28</v>
      </c>
      <c r="N2485" s="6">
        <v>9</v>
      </c>
      <c r="O2485" s="30">
        <f t="shared" si="232"/>
        <v>28</v>
      </c>
      <c r="P2485" s="30">
        <f t="shared" si="233"/>
        <v>252</v>
      </c>
      <c r="Q2485" s="1">
        <f>COUNTIFS($P:$P, "&gt;" &amp; $P2485) + 1</f>
        <v>4269</v>
      </c>
      <c r="R2485" s="63">
        <f>(COUNTIFS($P:$P, "&gt;" &amp; $P2485) + 1) / (COUNTA($I:$I) - 1)</f>
        <v>0.8538</v>
      </c>
      <c r="S2485" s="23">
        <f>SUMIFS($P:$P, $Q:$Q, "&lt;" &amp; $Q2485)</f>
        <v>186500011</v>
      </c>
    </row>
    <row r="2486" spans="1:19" x14ac:dyDescent="0.25">
      <c r="A2486" s="1">
        <v>2481</v>
      </c>
      <c r="B2486" s="1" t="s">
        <v>2</v>
      </c>
      <c r="C2486" s="1" t="str">
        <f>IF($B2486 = "Production Item", _xlfn.XLOOKUP($A2486, 'Instrument Table'!$J:$J, 'Instrument Table'!$B:$B, $C2485), IF($B2486 = "Service Item", _xlfn.XLOOKUP($A2486, 'Instrument Table'!$I:$I, 'Instrument Table'!$B:$B, $C2485), _xlfn.XLOOKUP($A2486, 'Instrument Table'!$H:$H, 'Instrument Table'!$B:$B, $C2485)))</f>
        <v>French Horn</v>
      </c>
      <c r="D2486" s="1" t="str">
        <f>VLOOKUP($C2486, 'Instrument Table'!$B:$C, 2, FALSE)</f>
        <v>Brass</v>
      </c>
      <c r="E2486" s="1">
        <f t="shared" si="228"/>
        <v>1</v>
      </c>
      <c r="F2486" s="1">
        <f>_xlfn.XLOOKUP($C2486, 'Instrument Table'!$B:$B, 'Instrument Table'!$A:$A, "")</f>
        <v>40</v>
      </c>
      <c r="G2486" s="1" t="str">
        <f>TEXT(IF($B2486 = "Retail Item", IF((ROW($A2486) - 4504 - _xlfn.XMATCH($C2486, $C$4506:$C$5005, 0, 1)) &lt;= VLOOKUP($C2486, 'Instrument Table'!$B:$D, 3, FALSE), ROW($A2486) - 4504 - _xlfn.XMATCH($C2486, $C$4506:$C$5005, 0, 1), 0), 0), "00")</f>
        <v>00</v>
      </c>
      <c r="H2486" s="1" t="str">
        <f t="shared" si="229"/>
        <v>030</v>
      </c>
      <c r="I2486" s="1" t="str">
        <f t="shared" si="230"/>
        <v>14000-030</v>
      </c>
      <c r="J2486" s="1" t="str">
        <f t="shared" si="231"/>
        <v>French horn production item #030</v>
      </c>
      <c r="K2486" s="1" t="str">
        <f>IF(SUM(COUNTIFS(I:I, I2486)) &gt; 1, "DUPLICATE", "UNIQUE")</f>
        <v>UNIQUE</v>
      </c>
      <c r="L2486" s="18">
        <v>32</v>
      </c>
      <c r="M2486" s="28">
        <v>57</v>
      </c>
      <c r="N2486" s="6">
        <v>144</v>
      </c>
      <c r="O2486" s="30">
        <f t="shared" si="232"/>
        <v>1824</v>
      </c>
      <c r="P2486" s="30">
        <f t="shared" si="233"/>
        <v>8208</v>
      </c>
      <c r="Q2486" s="1">
        <f>COUNTIFS($P:$P, "&gt;" &amp; $P2486) + 1</f>
        <v>1959</v>
      </c>
      <c r="R2486" s="63">
        <f>(COUNTIFS($P:$P, "&gt;" &amp; $P2486) + 1) / (COUNTA($I:$I) - 1)</f>
        <v>0.39179999999999998</v>
      </c>
      <c r="S2486" s="23">
        <f>SUMIFS($P:$P, $Q:$Q, "&lt;" &amp; $Q2486)</f>
        <v>179665725</v>
      </c>
    </row>
    <row r="2487" spans="1:19" x14ac:dyDescent="0.25">
      <c r="A2487" s="1">
        <v>2482</v>
      </c>
      <c r="B2487" s="1" t="s">
        <v>2</v>
      </c>
      <c r="C2487" s="1" t="str">
        <f>IF($B2487 = "Production Item", _xlfn.XLOOKUP($A2487, 'Instrument Table'!$J:$J, 'Instrument Table'!$B:$B, $C2486), IF($B2487 = "Service Item", _xlfn.XLOOKUP($A2487, 'Instrument Table'!$I:$I, 'Instrument Table'!$B:$B, $C2486), _xlfn.XLOOKUP($A2487, 'Instrument Table'!$H:$H, 'Instrument Table'!$B:$B, $C2486)))</f>
        <v>French Horn</v>
      </c>
      <c r="D2487" s="1" t="str">
        <f>VLOOKUP($C2487, 'Instrument Table'!$B:$C, 2, FALSE)</f>
        <v>Brass</v>
      </c>
      <c r="E2487" s="1">
        <f t="shared" si="228"/>
        <v>1</v>
      </c>
      <c r="F2487" s="1">
        <f>_xlfn.XLOOKUP($C2487, 'Instrument Table'!$B:$B, 'Instrument Table'!$A:$A, "")</f>
        <v>40</v>
      </c>
      <c r="G2487" s="1" t="str">
        <f>TEXT(IF($B2487 = "Retail Item", IF((ROW($A2487) - 4504 - _xlfn.XMATCH($C2487, $C$4506:$C$5005, 0, 1)) &lt;= VLOOKUP($C2487, 'Instrument Table'!$B:$D, 3, FALSE), ROW($A2487) - 4504 - _xlfn.XMATCH($C2487, $C$4506:$C$5005, 0, 1), 0), 0), "00")</f>
        <v>00</v>
      </c>
      <c r="H2487" s="1" t="str">
        <f t="shared" si="229"/>
        <v>031</v>
      </c>
      <c r="I2487" s="1" t="str">
        <f t="shared" si="230"/>
        <v>14000-031</v>
      </c>
      <c r="J2487" s="1" t="str">
        <f t="shared" si="231"/>
        <v>French horn production item #031</v>
      </c>
      <c r="K2487" s="1" t="str">
        <f>IF(SUM(COUNTIFS(I:I, I2487)) &gt; 1, "DUPLICATE", "UNIQUE")</f>
        <v>UNIQUE</v>
      </c>
      <c r="L2487" s="18">
        <v>0</v>
      </c>
      <c r="M2487" s="28">
        <v>37</v>
      </c>
      <c r="N2487" s="6">
        <v>16</v>
      </c>
      <c r="O2487" s="30">
        <f t="shared" si="232"/>
        <v>0</v>
      </c>
      <c r="P2487" s="30">
        <f t="shared" si="233"/>
        <v>592</v>
      </c>
      <c r="Q2487" s="1">
        <f>COUNTIFS($P:$P, "&gt;" &amp; $P2487) + 1</f>
        <v>3947</v>
      </c>
      <c r="R2487" s="63">
        <f>(COUNTIFS($P:$P, "&gt;" &amp; $P2487) + 1) / (COUNTA($I:$I) - 1)</f>
        <v>0.78939999999999999</v>
      </c>
      <c r="S2487" s="23">
        <f>SUMIFS($P:$P, $Q:$Q, "&lt;" &amp; $Q2487)</f>
        <v>186368477</v>
      </c>
    </row>
    <row r="2488" spans="1:19" x14ac:dyDescent="0.25">
      <c r="A2488" s="1">
        <v>2483</v>
      </c>
      <c r="B2488" s="1" t="s">
        <v>2</v>
      </c>
      <c r="C2488" s="1" t="str">
        <f>IF($B2488 = "Production Item", _xlfn.XLOOKUP($A2488, 'Instrument Table'!$J:$J, 'Instrument Table'!$B:$B, $C2487), IF($B2488 = "Service Item", _xlfn.XLOOKUP($A2488, 'Instrument Table'!$I:$I, 'Instrument Table'!$B:$B, $C2487), _xlfn.XLOOKUP($A2488, 'Instrument Table'!$H:$H, 'Instrument Table'!$B:$B, $C2487)))</f>
        <v>French Horn</v>
      </c>
      <c r="D2488" s="1" t="str">
        <f>VLOOKUP($C2488, 'Instrument Table'!$B:$C, 2, FALSE)</f>
        <v>Brass</v>
      </c>
      <c r="E2488" s="1">
        <f t="shared" si="228"/>
        <v>1</v>
      </c>
      <c r="F2488" s="1">
        <f>_xlfn.XLOOKUP($C2488, 'Instrument Table'!$B:$B, 'Instrument Table'!$A:$A, "")</f>
        <v>40</v>
      </c>
      <c r="G2488" s="1" t="str">
        <f>TEXT(IF($B2488 = "Retail Item", IF((ROW($A2488) - 4504 - _xlfn.XMATCH($C2488, $C$4506:$C$5005, 0, 1)) &lt;= VLOOKUP($C2488, 'Instrument Table'!$B:$D, 3, FALSE), ROW($A2488) - 4504 - _xlfn.XMATCH($C2488, $C$4506:$C$5005, 0, 1), 0), 0), "00")</f>
        <v>00</v>
      </c>
      <c r="H2488" s="1" t="str">
        <f t="shared" si="229"/>
        <v>032</v>
      </c>
      <c r="I2488" s="1" t="str">
        <f t="shared" si="230"/>
        <v>14000-032</v>
      </c>
      <c r="J2488" s="1" t="str">
        <f t="shared" si="231"/>
        <v>French horn production item #032</v>
      </c>
      <c r="K2488" s="1" t="str">
        <f>IF(SUM(COUNTIFS(I:I, I2488)) &gt; 1, "DUPLICATE", "UNIQUE")</f>
        <v>UNIQUE</v>
      </c>
      <c r="L2488" s="18">
        <v>8</v>
      </c>
      <c r="M2488" s="28">
        <v>43</v>
      </c>
      <c r="N2488" s="6">
        <v>36</v>
      </c>
      <c r="O2488" s="30">
        <f t="shared" si="232"/>
        <v>344</v>
      </c>
      <c r="P2488" s="30">
        <f t="shared" si="233"/>
        <v>1548</v>
      </c>
      <c r="Q2488" s="1">
        <f>COUNTIFS($P:$P, "&gt;" &amp; $P2488) + 1</f>
        <v>3440</v>
      </c>
      <c r="R2488" s="63">
        <f>(COUNTIFS($P:$P, "&gt;" &amp; $P2488) + 1) / (COUNTA($I:$I) - 1)</f>
        <v>0.68799999999999994</v>
      </c>
      <c r="S2488" s="23">
        <f>SUMIFS($P:$P, $Q:$Q, "&lt;" &amp; $Q2488)</f>
        <v>185848427</v>
      </c>
    </row>
    <row r="2489" spans="1:19" x14ac:dyDescent="0.25">
      <c r="A2489" s="1">
        <v>2484</v>
      </c>
      <c r="B2489" s="1" t="s">
        <v>2</v>
      </c>
      <c r="C2489" s="1" t="str">
        <f>IF($B2489 = "Production Item", _xlfn.XLOOKUP($A2489, 'Instrument Table'!$J:$J, 'Instrument Table'!$B:$B, $C2488), IF($B2489 = "Service Item", _xlfn.XLOOKUP($A2489, 'Instrument Table'!$I:$I, 'Instrument Table'!$B:$B, $C2488), _xlfn.XLOOKUP($A2489, 'Instrument Table'!$H:$H, 'Instrument Table'!$B:$B, $C2488)))</f>
        <v>French Horn</v>
      </c>
      <c r="D2489" s="1" t="str">
        <f>VLOOKUP($C2489, 'Instrument Table'!$B:$C, 2, FALSE)</f>
        <v>Brass</v>
      </c>
      <c r="E2489" s="1">
        <f t="shared" si="228"/>
        <v>1</v>
      </c>
      <c r="F2489" s="1">
        <f>_xlfn.XLOOKUP($C2489, 'Instrument Table'!$B:$B, 'Instrument Table'!$A:$A, "")</f>
        <v>40</v>
      </c>
      <c r="G2489" s="1" t="str">
        <f>TEXT(IF($B2489 = "Retail Item", IF((ROW($A2489) - 4504 - _xlfn.XMATCH($C2489, $C$4506:$C$5005, 0, 1)) &lt;= VLOOKUP($C2489, 'Instrument Table'!$B:$D, 3, FALSE), ROW($A2489) - 4504 - _xlfn.XMATCH($C2489, $C$4506:$C$5005, 0, 1), 0), 0), "00")</f>
        <v>00</v>
      </c>
      <c r="H2489" s="1" t="str">
        <f t="shared" si="229"/>
        <v>033</v>
      </c>
      <c r="I2489" s="1" t="str">
        <f t="shared" si="230"/>
        <v>14000-033</v>
      </c>
      <c r="J2489" s="1" t="str">
        <f t="shared" si="231"/>
        <v>French horn production item #033</v>
      </c>
      <c r="K2489" s="1" t="str">
        <f>IF(SUM(COUNTIFS(I:I, I2489)) &gt; 1, "DUPLICATE", "UNIQUE")</f>
        <v>UNIQUE</v>
      </c>
      <c r="L2489" s="18">
        <v>32</v>
      </c>
      <c r="M2489" s="28">
        <v>85</v>
      </c>
      <c r="N2489" s="6">
        <v>16</v>
      </c>
      <c r="O2489" s="30">
        <f t="shared" si="232"/>
        <v>2720</v>
      </c>
      <c r="P2489" s="30">
        <f t="shared" si="233"/>
        <v>1360</v>
      </c>
      <c r="Q2489" s="1">
        <f>COUNTIFS($P:$P, "&gt;" &amp; $P2489) + 1</f>
        <v>3529</v>
      </c>
      <c r="R2489" s="63">
        <f>(COUNTIFS($P:$P, "&gt;" &amp; $P2489) + 1) / (COUNTA($I:$I) - 1)</f>
        <v>0.70579999999999998</v>
      </c>
      <c r="S2489" s="23">
        <f>SUMIFS($P:$P, $Q:$Q, "&lt;" &amp; $Q2489)</f>
        <v>185977817</v>
      </c>
    </row>
    <row r="2490" spans="1:19" x14ac:dyDescent="0.25">
      <c r="A2490" s="1">
        <v>2485</v>
      </c>
      <c r="B2490" s="1" t="s">
        <v>2</v>
      </c>
      <c r="C2490" s="1" t="str">
        <f>IF($B2490 = "Production Item", _xlfn.XLOOKUP($A2490, 'Instrument Table'!$J:$J, 'Instrument Table'!$B:$B, $C2489), IF($B2490 = "Service Item", _xlfn.XLOOKUP($A2490, 'Instrument Table'!$I:$I, 'Instrument Table'!$B:$B, $C2489), _xlfn.XLOOKUP($A2490, 'Instrument Table'!$H:$H, 'Instrument Table'!$B:$B, $C2489)))</f>
        <v>French Horn</v>
      </c>
      <c r="D2490" s="1" t="str">
        <f>VLOOKUP($C2490, 'Instrument Table'!$B:$C, 2, FALSE)</f>
        <v>Brass</v>
      </c>
      <c r="E2490" s="1">
        <f t="shared" si="228"/>
        <v>1</v>
      </c>
      <c r="F2490" s="1">
        <f>_xlfn.XLOOKUP($C2490, 'Instrument Table'!$B:$B, 'Instrument Table'!$A:$A, "")</f>
        <v>40</v>
      </c>
      <c r="G2490" s="1" t="str">
        <f>TEXT(IF($B2490 = "Retail Item", IF((ROW($A2490) - 4504 - _xlfn.XMATCH($C2490, $C$4506:$C$5005, 0, 1)) &lt;= VLOOKUP($C2490, 'Instrument Table'!$B:$D, 3, FALSE), ROW($A2490) - 4504 - _xlfn.XMATCH($C2490, $C$4506:$C$5005, 0, 1), 0), 0), "00")</f>
        <v>00</v>
      </c>
      <c r="H2490" s="1" t="str">
        <f t="shared" si="229"/>
        <v>034</v>
      </c>
      <c r="I2490" s="1" t="str">
        <f t="shared" si="230"/>
        <v>14000-034</v>
      </c>
      <c r="J2490" s="1" t="str">
        <f t="shared" si="231"/>
        <v>French horn production item #034</v>
      </c>
      <c r="K2490" s="1" t="str">
        <f>IF(SUM(COUNTIFS(I:I, I2490)) &gt; 1, "DUPLICATE", "UNIQUE")</f>
        <v>UNIQUE</v>
      </c>
      <c r="L2490" s="18">
        <v>0</v>
      </c>
      <c r="M2490" s="28">
        <v>18</v>
      </c>
      <c r="N2490" s="6">
        <v>81</v>
      </c>
      <c r="O2490" s="30">
        <f t="shared" si="232"/>
        <v>0</v>
      </c>
      <c r="P2490" s="30">
        <f t="shared" si="233"/>
        <v>1458</v>
      </c>
      <c r="Q2490" s="1">
        <f>COUNTIFS($P:$P, "&gt;" &amp; $P2490) + 1</f>
        <v>3477</v>
      </c>
      <c r="R2490" s="63">
        <f>(COUNTIFS($P:$P, "&gt;" &amp; $P2490) + 1) / (COUNTA($I:$I) - 1)</f>
        <v>0.69540000000000002</v>
      </c>
      <c r="S2490" s="23">
        <f>SUMIFS($P:$P, $Q:$Q, "&lt;" &amp; $Q2490)</f>
        <v>185904150</v>
      </c>
    </row>
    <row r="2491" spans="1:19" x14ac:dyDescent="0.25">
      <c r="A2491" s="1">
        <v>2486</v>
      </c>
      <c r="B2491" s="1" t="s">
        <v>2</v>
      </c>
      <c r="C2491" s="1" t="str">
        <f>IF($B2491 = "Production Item", _xlfn.XLOOKUP($A2491, 'Instrument Table'!$J:$J, 'Instrument Table'!$B:$B, $C2490), IF($B2491 = "Service Item", _xlfn.XLOOKUP($A2491, 'Instrument Table'!$I:$I, 'Instrument Table'!$B:$B, $C2490), _xlfn.XLOOKUP($A2491, 'Instrument Table'!$H:$H, 'Instrument Table'!$B:$B, $C2490)))</f>
        <v>French Horn</v>
      </c>
      <c r="D2491" s="1" t="str">
        <f>VLOOKUP($C2491, 'Instrument Table'!$B:$C, 2, FALSE)</f>
        <v>Brass</v>
      </c>
      <c r="E2491" s="1">
        <f t="shared" si="228"/>
        <v>1</v>
      </c>
      <c r="F2491" s="1">
        <f>_xlfn.XLOOKUP($C2491, 'Instrument Table'!$B:$B, 'Instrument Table'!$A:$A, "")</f>
        <v>40</v>
      </c>
      <c r="G2491" s="1" t="str">
        <f>TEXT(IF($B2491 = "Retail Item", IF((ROW($A2491) - 4504 - _xlfn.XMATCH($C2491, $C$4506:$C$5005, 0, 1)) &lt;= VLOOKUP($C2491, 'Instrument Table'!$B:$D, 3, FALSE), ROW($A2491) - 4504 - _xlfn.XMATCH($C2491, $C$4506:$C$5005, 0, 1), 0), 0), "00")</f>
        <v>00</v>
      </c>
      <c r="H2491" s="1" t="str">
        <f t="shared" si="229"/>
        <v>035</v>
      </c>
      <c r="I2491" s="1" t="str">
        <f t="shared" si="230"/>
        <v>14000-035</v>
      </c>
      <c r="J2491" s="1" t="str">
        <f t="shared" si="231"/>
        <v>French horn production item #035</v>
      </c>
      <c r="K2491" s="1" t="str">
        <f>IF(SUM(COUNTIFS(I:I, I2491)) &gt; 1, "DUPLICATE", "UNIQUE")</f>
        <v>UNIQUE</v>
      </c>
      <c r="L2491" s="18">
        <v>1</v>
      </c>
      <c r="M2491" s="28">
        <v>72</v>
      </c>
      <c r="N2491" s="6">
        <v>144</v>
      </c>
      <c r="O2491" s="30">
        <f t="shared" si="232"/>
        <v>72</v>
      </c>
      <c r="P2491" s="30">
        <f t="shared" si="233"/>
        <v>10368</v>
      </c>
      <c r="Q2491" s="1">
        <f>COUNTIFS($P:$P, "&gt;" &amp; $P2491) + 1</f>
        <v>1741</v>
      </c>
      <c r="R2491" s="63">
        <f>(COUNTIFS($P:$P, "&gt;" &amp; $P2491) + 1) / (COUNTA($I:$I) - 1)</f>
        <v>0.34820000000000001</v>
      </c>
      <c r="S2491" s="23">
        <f>SUMIFS($P:$P, $Q:$Q, "&lt;" &amp; $Q2491)</f>
        <v>177648980</v>
      </c>
    </row>
    <row r="2492" spans="1:19" x14ac:dyDescent="0.25">
      <c r="A2492" s="1">
        <v>2487</v>
      </c>
      <c r="B2492" s="1" t="s">
        <v>2</v>
      </c>
      <c r="C2492" s="1" t="str">
        <f>IF($B2492 = "Production Item", _xlfn.XLOOKUP($A2492, 'Instrument Table'!$J:$J, 'Instrument Table'!$B:$B, $C2491), IF($B2492 = "Service Item", _xlfn.XLOOKUP($A2492, 'Instrument Table'!$I:$I, 'Instrument Table'!$B:$B, $C2491), _xlfn.XLOOKUP($A2492, 'Instrument Table'!$H:$H, 'Instrument Table'!$B:$B, $C2491)))</f>
        <v>French Horn</v>
      </c>
      <c r="D2492" s="1" t="str">
        <f>VLOOKUP($C2492, 'Instrument Table'!$B:$C, 2, FALSE)</f>
        <v>Brass</v>
      </c>
      <c r="E2492" s="1">
        <f t="shared" si="228"/>
        <v>1</v>
      </c>
      <c r="F2492" s="1">
        <f>_xlfn.XLOOKUP($C2492, 'Instrument Table'!$B:$B, 'Instrument Table'!$A:$A, "")</f>
        <v>40</v>
      </c>
      <c r="G2492" s="1" t="str">
        <f>TEXT(IF($B2492 = "Retail Item", IF((ROW($A2492) - 4504 - _xlfn.XMATCH($C2492, $C$4506:$C$5005, 0, 1)) &lt;= VLOOKUP($C2492, 'Instrument Table'!$B:$D, 3, FALSE), ROW($A2492) - 4504 - _xlfn.XMATCH($C2492, $C$4506:$C$5005, 0, 1), 0), 0), "00")</f>
        <v>00</v>
      </c>
      <c r="H2492" s="1" t="str">
        <f t="shared" si="229"/>
        <v>036</v>
      </c>
      <c r="I2492" s="1" t="str">
        <f t="shared" si="230"/>
        <v>14000-036</v>
      </c>
      <c r="J2492" s="1" t="str">
        <f t="shared" si="231"/>
        <v>French horn production item #036</v>
      </c>
      <c r="K2492" s="1" t="str">
        <f>IF(SUM(COUNTIFS(I:I, I2492)) &gt; 1, "DUPLICATE", "UNIQUE")</f>
        <v>UNIQUE</v>
      </c>
      <c r="L2492" s="18">
        <v>2</v>
      </c>
      <c r="M2492" s="28">
        <v>36</v>
      </c>
      <c r="N2492" s="6">
        <v>324</v>
      </c>
      <c r="O2492" s="30">
        <f t="shared" si="232"/>
        <v>72</v>
      </c>
      <c r="P2492" s="30">
        <f t="shared" si="233"/>
        <v>11664</v>
      </c>
      <c r="Q2492" s="1">
        <f>COUNTIFS($P:$P, "&gt;" &amp; $P2492) + 1</f>
        <v>1607</v>
      </c>
      <c r="R2492" s="63">
        <f>(COUNTIFS($P:$P, "&gt;" &amp; $P2492) + 1) / (COUNTA($I:$I) - 1)</f>
        <v>0.32140000000000002</v>
      </c>
      <c r="S2492" s="23">
        <f>SUMIFS($P:$P, $Q:$Q, "&lt;" &amp; $Q2492)</f>
        <v>176160715</v>
      </c>
    </row>
    <row r="2493" spans="1:19" x14ac:dyDescent="0.25">
      <c r="A2493" s="1">
        <v>2488</v>
      </c>
      <c r="B2493" s="1" t="s">
        <v>2</v>
      </c>
      <c r="C2493" s="1" t="str">
        <f>IF($B2493 = "Production Item", _xlfn.XLOOKUP($A2493, 'Instrument Table'!$J:$J, 'Instrument Table'!$B:$B, $C2492), IF($B2493 = "Service Item", _xlfn.XLOOKUP($A2493, 'Instrument Table'!$I:$I, 'Instrument Table'!$B:$B, $C2492), _xlfn.XLOOKUP($A2493, 'Instrument Table'!$H:$H, 'Instrument Table'!$B:$B, $C2492)))</f>
        <v>French Horn</v>
      </c>
      <c r="D2493" s="1" t="str">
        <f>VLOOKUP($C2493, 'Instrument Table'!$B:$C, 2, FALSE)</f>
        <v>Brass</v>
      </c>
      <c r="E2493" s="1">
        <f t="shared" si="228"/>
        <v>1</v>
      </c>
      <c r="F2493" s="1">
        <f>_xlfn.XLOOKUP($C2493, 'Instrument Table'!$B:$B, 'Instrument Table'!$A:$A, "")</f>
        <v>40</v>
      </c>
      <c r="G2493" s="1" t="str">
        <f>TEXT(IF($B2493 = "Retail Item", IF((ROW($A2493) - 4504 - _xlfn.XMATCH($C2493, $C$4506:$C$5005, 0, 1)) &lt;= VLOOKUP($C2493, 'Instrument Table'!$B:$D, 3, FALSE), ROW($A2493) - 4504 - _xlfn.XMATCH($C2493, $C$4506:$C$5005, 0, 1), 0), 0), "00")</f>
        <v>00</v>
      </c>
      <c r="H2493" s="1" t="str">
        <f t="shared" si="229"/>
        <v>037</v>
      </c>
      <c r="I2493" s="1" t="str">
        <f t="shared" si="230"/>
        <v>14000-037</v>
      </c>
      <c r="J2493" s="1" t="str">
        <f t="shared" si="231"/>
        <v>French horn production item #037</v>
      </c>
      <c r="K2493" s="1" t="str">
        <f>IF(SUM(COUNTIFS(I:I, I2493)) &gt; 1, "DUPLICATE", "UNIQUE")</f>
        <v>UNIQUE</v>
      </c>
      <c r="L2493" s="18">
        <v>32</v>
      </c>
      <c r="M2493" s="28">
        <v>36</v>
      </c>
      <c r="N2493" s="6">
        <v>225</v>
      </c>
      <c r="O2493" s="30">
        <f t="shared" si="232"/>
        <v>1152</v>
      </c>
      <c r="P2493" s="30">
        <f t="shared" si="233"/>
        <v>8100</v>
      </c>
      <c r="Q2493" s="1">
        <f>COUNTIFS($P:$P, "&gt;" &amp; $P2493) + 1</f>
        <v>1974</v>
      </c>
      <c r="R2493" s="63">
        <f>(COUNTIFS($P:$P, "&gt;" &amp; $P2493) + 1) / (COUNTA($I:$I) - 1)</f>
        <v>0.39479999999999998</v>
      </c>
      <c r="S2493" s="23">
        <f>SUMIFS($P:$P, $Q:$Q, "&lt;" &amp; $Q2493)</f>
        <v>179788102</v>
      </c>
    </row>
    <row r="2494" spans="1:19" x14ac:dyDescent="0.25">
      <c r="A2494" s="1">
        <v>2489</v>
      </c>
      <c r="B2494" s="1" t="s">
        <v>2</v>
      </c>
      <c r="C2494" s="1" t="str">
        <f>IF($B2494 = "Production Item", _xlfn.XLOOKUP($A2494, 'Instrument Table'!$J:$J, 'Instrument Table'!$B:$B, $C2493), IF($B2494 = "Service Item", _xlfn.XLOOKUP($A2494, 'Instrument Table'!$I:$I, 'Instrument Table'!$B:$B, $C2493), _xlfn.XLOOKUP($A2494, 'Instrument Table'!$H:$H, 'Instrument Table'!$B:$B, $C2493)))</f>
        <v>French Horn</v>
      </c>
      <c r="D2494" s="1" t="str">
        <f>VLOOKUP($C2494, 'Instrument Table'!$B:$C, 2, FALSE)</f>
        <v>Brass</v>
      </c>
      <c r="E2494" s="1">
        <f t="shared" si="228"/>
        <v>1</v>
      </c>
      <c r="F2494" s="1">
        <f>_xlfn.XLOOKUP($C2494, 'Instrument Table'!$B:$B, 'Instrument Table'!$A:$A, "")</f>
        <v>40</v>
      </c>
      <c r="G2494" s="1" t="str">
        <f>TEXT(IF($B2494 = "Retail Item", IF((ROW($A2494) - 4504 - _xlfn.XMATCH($C2494, $C$4506:$C$5005, 0, 1)) &lt;= VLOOKUP($C2494, 'Instrument Table'!$B:$D, 3, FALSE), ROW($A2494) - 4504 - _xlfn.XMATCH($C2494, $C$4506:$C$5005, 0, 1), 0), 0), "00")</f>
        <v>00</v>
      </c>
      <c r="H2494" s="1" t="str">
        <f t="shared" si="229"/>
        <v>038</v>
      </c>
      <c r="I2494" s="1" t="str">
        <f t="shared" si="230"/>
        <v>14000-038</v>
      </c>
      <c r="J2494" s="1" t="str">
        <f t="shared" si="231"/>
        <v>French horn production item #038</v>
      </c>
      <c r="K2494" s="1" t="str">
        <f>IF(SUM(COUNTIFS(I:I, I2494)) &gt; 1, "DUPLICATE", "UNIQUE")</f>
        <v>UNIQUE</v>
      </c>
      <c r="L2494" s="18">
        <v>0</v>
      </c>
      <c r="M2494" s="28">
        <v>14</v>
      </c>
      <c r="N2494" s="6">
        <v>324</v>
      </c>
      <c r="O2494" s="30">
        <f t="shared" si="232"/>
        <v>0</v>
      </c>
      <c r="P2494" s="30">
        <f t="shared" si="233"/>
        <v>4536</v>
      </c>
      <c r="Q2494" s="1">
        <f>COUNTIFS($P:$P, "&gt;" &amp; $P2494) + 1</f>
        <v>2534</v>
      </c>
      <c r="R2494" s="63">
        <f>(COUNTIFS($P:$P, "&gt;" &amp; $P2494) + 1) / (COUNTA($I:$I) - 1)</f>
        <v>0.50680000000000003</v>
      </c>
      <c r="S2494" s="23">
        <f>SUMIFS($P:$P, $Q:$Q, "&lt;" &amp; $Q2494)</f>
        <v>183272703</v>
      </c>
    </row>
    <row r="2495" spans="1:19" x14ac:dyDescent="0.25">
      <c r="A2495" s="1">
        <v>2490</v>
      </c>
      <c r="B2495" s="1" t="s">
        <v>2</v>
      </c>
      <c r="C2495" s="1" t="str">
        <f>IF($B2495 = "Production Item", _xlfn.XLOOKUP($A2495, 'Instrument Table'!$J:$J, 'Instrument Table'!$B:$B, $C2494), IF($B2495 = "Service Item", _xlfn.XLOOKUP($A2495, 'Instrument Table'!$I:$I, 'Instrument Table'!$B:$B, $C2494), _xlfn.XLOOKUP($A2495, 'Instrument Table'!$H:$H, 'Instrument Table'!$B:$B, $C2494)))</f>
        <v>French Horn</v>
      </c>
      <c r="D2495" s="1" t="str">
        <f>VLOOKUP($C2495, 'Instrument Table'!$B:$C, 2, FALSE)</f>
        <v>Brass</v>
      </c>
      <c r="E2495" s="1">
        <f t="shared" si="228"/>
        <v>1</v>
      </c>
      <c r="F2495" s="1">
        <f>_xlfn.XLOOKUP($C2495, 'Instrument Table'!$B:$B, 'Instrument Table'!$A:$A, "")</f>
        <v>40</v>
      </c>
      <c r="G2495" s="1" t="str">
        <f>TEXT(IF($B2495 = "Retail Item", IF((ROW($A2495) - 4504 - _xlfn.XMATCH($C2495, $C$4506:$C$5005, 0, 1)) &lt;= VLOOKUP($C2495, 'Instrument Table'!$B:$D, 3, FALSE), ROW($A2495) - 4504 - _xlfn.XMATCH($C2495, $C$4506:$C$5005, 0, 1), 0), 0), "00")</f>
        <v>00</v>
      </c>
      <c r="H2495" s="1" t="str">
        <f t="shared" si="229"/>
        <v>039</v>
      </c>
      <c r="I2495" s="1" t="str">
        <f t="shared" si="230"/>
        <v>14000-039</v>
      </c>
      <c r="J2495" s="1" t="str">
        <f t="shared" si="231"/>
        <v>French horn production item #039</v>
      </c>
      <c r="K2495" s="1" t="str">
        <f>IF(SUM(COUNTIFS(I:I, I2495)) &gt; 1, "DUPLICATE", "UNIQUE")</f>
        <v>UNIQUE</v>
      </c>
      <c r="L2495" s="18">
        <v>0</v>
      </c>
      <c r="M2495" s="28">
        <v>13</v>
      </c>
      <c r="N2495" s="6">
        <v>64</v>
      </c>
      <c r="O2495" s="30">
        <f t="shared" si="232"/>
        <v>0</v>
      </c>
      <c r="P2495" s="30">
        <f t="shared" si="233"/>
        <v>832</v>
      </c>
      <c r="Q2495" s="1">
        <f>COUNTIFS($P:$P, "&gt;" &amp; $P2495) + 1</f>
        <v>3775</v>
      </c>
      <c r="R2495" s="63">
        <f>(COUNTIFS($P:$P, "&gt;" &amp; $P2495) + 1) / (COUNTA($I:$I) - 1)</f>
        <v>0.755</v>
      </c>
      <c r="S2495" s="23">
        <f>SUMIFS($P:$P, $Q:$Q, "&lt;" &amp; $Q2495)</f>
        <v>186245417</v>
      </c>
    </row>
    <row r="2496" spans="1:19" x14ac:dyDescent="0.25">
      <c r="A2496" s="1">
        <v>2491</v>
      </c>
      <c r="B2496" s="1" t="s">
        <v>2</v>
      </c>
      <c r="C2496" s="1" t="str">
        <f>IF($B2496 = "Production Item", _xlfn.XLOOKUP($A2496, 'Instrument Table'!$J:$J, 'Instrument Table'!$B:$B, $C2495), IF($B2496 = "Service Item", _xlfn.XLOOKUP($A2496, 'Instrument Table'!$I:$I, 'Instrument Table'!$B:$B, $C2495), _xlfn.XLOOKUP($A2496, 'Instrument Table'!$H:$H, 'Instrument Table'!$B:$B, $C2495)))</f>
        <v>French Horn</v>
      </c>
      <c r="D2496" s="1" t="str">
        <f>VLOOKUP($C2496, 'Instrument Table'!$B:$C, 2, FALSE)</f>
        <v>Brass</v>
      </c>
      <c r="E2496" s="1">
        <f t="shared" si="228"/>
        <v>1</v>
      </c>
      <c r="F2496" s="1">
        <f>_xlfn.XLOOKUP($C2496, 'Instrument Table'!$B:$B, 'Instrument Table'!$A:$A, "")</f>
        <v>40</v>
      </c>
      <c r="G2496" s="1" t="str">
        <f>TEXT(IF($B2496 = "Retail Item", IF((ROW($A2496) - 4504 - _xlfn.XMATCH($C2496, $C$4506:$C$5005, 0, 1)) &lt;= VLOOKUP($C2496, 'Instrument Table'!$B:$D, 3, FALSE), ROW($A2496) - 4504 - _xlfn.XMATCH($C2496, $C$4506:$C$5005, 0, 1), 0), 0), "00")</f>
        <v>00</v>
      </c>
      <c r="H2496" s="1" t="str">
        <f t="shared" si="229"/>
        <v>040</v>
      </c>
      <c r="I2496" s="1" t="str">
        <f t="shared" si="230"/>
        <v>14000-040</v>
      </c>
      <c r="J2496" s="1" t="str">
        <f t="shared" si="231"/>
        <v>French horn production item #040</v>
      </c>
      <c r="K2496" s="1" t="str">
        <f>IF(SUM(COUNTIFS(I:I, I2496)) &gt; 1, "DUPLICATE", "UNIQUE")</f>
        <v>UNIQUE</v>
      </c>
      <c r="L2496" s="18">
        <v>1</v>
      </c>
      <c r="M2496" s="28">
        <v>29</v>
      </c>
      <c r="N2496" s="6">
        <v>196</v>
      </c>
      <c r="O2496" s="30">
        <f t="shared" si="232"/>
        <v>29</v>
      </c>
      <c r="P2496" s="30">
        <f t="shared" si="233"/>
        <v>5684</v>
      </c>
      <c r="Q2496" s="1">
        <f>COUNTIFS($P:$P, "&gt;" &amp; $P2496) + 1</f>
        <v>2322</v>
      </c>
      <c r="R2496" s="63">
        <f>(COUNTIFS($P:$P, "&gt;" &amp; $P2496) + 1) / (COUNTA($I:$I) - 1)</f>
        <v>0.46439999999999998</v>
      </c>
      <c r="S2496" s="23">
        <f>SUMIFS($P:$P, $Q:$Q, "&lt;" &amp; $Q2496)</f>
        <v>182190656</v>
      </c>
    </row>
    <row r="2497" spans="1:19" x14ac:dyDescent="0.25">
      <c r="A2497" s="1">
        <v>2492</v>
      </c>
      <c r="B2497" s="1" t="s">
        <v>2</v>
      </c>
      <c r="C2497" s="1" t="str">
        <f>IF($B2497 = "Production Item", _xlfn.XLOOKUP($A2497, 'Instrument Table'!$J:$J, 'Instrument Table'!$B:$B, $C2496), IF($B2497 = "Service Item", _xlfn.XLOOKUP($A2497, 'Instrument Table'!$I:$I, 'Instrument Table'!$B:$B, $C2496), _xlfn.XLOOKUP($A2497, 'Instrument Table'!$H:$H, 'Instrument Table'!$B:$B, $C2496)))</f>
        <v>French Horn</v>
      </c>
      <c r="D2497" s="1" t="str">
        <f>VLOOKUP($C2497, 'Instrument Table'!$B:$C, 2, FALSE)</f>
        <v>Brass</v>
      </c>
      <c r="E2497" s="1">
        <f t="shared" si="228"/>
        <v>1</v>
      </c>
      <c r="F2497" s="1">
        <f>_xlfn.XLOOKUP($C2497, 'Instrument Table'!$B:$B, 'Instrument Table'!$A:$A, "")</f>
        <v>40</v>
      </c>
      <c r="G2497" s="1" t="str">
        <f>TEXT(IF($B2497 = "Retail Item", IF((ROW($A2497) - 4504 - _xlfn.XMATCH($C2497, $C$4506:$C$5005, 0, 1)) &lt;= VLOOKUP($C2497, 'Instrument Table'!$B:$D, 3, FALSE), ROW($A2497) - 4504 - _xlfn.XMATCH($C2497, $C$4506:$C$5005, 0, 1), 0), 0), "00")</f>
        <v>00</v>
      </c>
      <c r="H2497" s="1" t="str">
        <f t="shared" si="229"/>
        <v>041</v>
      </c>
      <c r="I2497" s="1" t="str">
        <f t="shared" si="230"/>
        <v>14000-041</v>
      </c>
      <c r="J2497" s="1" t="str">
        <f t="shared" si="231"/>
        <v>French horn production item #041</v>
      </c>
      <c r="K2497" s="1" t="str">
        <f>IF(SUM(COUNTIFS(I:I, I2497)) &gt; 1, "DUPLICATE", "UNIQUE")</f>
        <v>UNIQUE</v>
      </c>
      <c r="L2497" s="18">
        <v>0</v>
      </c>
      <c r="M2497" s="28">
        <v>1</v>
      </c>
      <c r="N2497" s="6">
        <v>64</v>
      </c>
      <c r="O2497" s="30">
        <f t="shared" si="232"/>
        <v>0</v>
      </c>
      <c r="P2497" s="30">
        <f t="shared" si="233"/>
        <v>64</v>
      </c>
      <c r="Q2497" s="1">
        <f>COUNTIFS($P:$P, "&gt;" &amp; $P2497) + 1</f>
        <v>4553</v>
      </c>
      <c r="R2497" s="63">
        <f>(COUNTIFS($P:$P, "&gt;" &amp; $P2497) + 1) / (COUNTA($I:$I) - 1)</f>
        <v>0.91059999999999997</v>
      </c>
      <c r="S2497" s="23">
        <f>SUMIFS($P:$P, $Q:$Q, "&lt;" &amp; $Q2497)</f>
        <v>186540850</v>
      </c>
    </row>
    <row r="2498" spans="1:19" x14ac:dyDescent="0.25">
      <c r="A2498" s="1">
        <v>2493</v>
      </c>
      <c r="B2498" s="1" t="s">
        <v>2</v>
      </c>
      <c r="C2498" s="1" t="str">
        <f>IF($B2498 = "Production Item", _xlfn.XLOOKUP($A2498, 'Instrument Table'!$J:$J, 'Instrument Table'!$B:$B, $C2497), IF($B2498 = "Service Item", _xlfn.XLOOKUP($A2498, 'Instrument Table'!$I:$I, 'Instrument Table'!$B:$B, $C2497), _xlfn.XLOOKUP($A2498, 'Instrument Table'!$H:$H, 'Instrument Table'!$B:$B, $C2497)))</f>
        <v>French Horn</v>
      </c>
      <c r="D2498" s="1" t="str">
        <f>VLOOKUP($C2498, 'Instrument Table'!$B:$C, 2, FALSE)</f>
        <v>Brass</v>
      </c>
      <c r="E2498" s="1">
        <f t="shared" si="228"/>
        <v>1</v>
      </c>
      <c r="F2498" s="1">
        <f>_xlfn.XLOOKUP($C2498, 'Instrument Table'!$B:$B, 'Instrument Table'!$A:$A, "")</f>
        <v>40</v>
      </c>
      <c r="G2498" s="1" t="str">
        <f>TEXT(IF($B2498 = "Retail Item", IF((ROW($A2498) - 4504 - _xlfn.XMATCH($C2498, $C$4506:$C$5005, 0, 1)) &lt;= VLOOKUP($C2498, 'Instrument Table'!$B:$D, 3, FALSE), ROW($A2498) - 4504 - _xlfn.XMATCH($C2498, $C$4506:$C$5005, 0, 1), 0), 0), "00")</f>
        <v>00</v>
      </c>
      <c r="H2498" s="1" t="str">
        <f t="shared" si="229"/>
        <v>042</v>
      </c>
      <c r="I2498" s="1" t="str">
        <f t="shared" si="230"/>
        <v>14000-042</v>
      </c>
      <c r="J2498" s="1" t="str">
        <f t="shared" si="231"/>
        <v>French horn production item #042</v>
      </c>
      <c r="K2498" s="1" t="str">
        <f>IF(SUM(COUNTIFS(I:I, I2498)) &gt; 1, "DUPLICATE", "UNIQUE")</f>
        <v>UNIQUE</v>
      </c>
      <c r="L2498" s="18">
        <v>1</v>
      </c>
      <c r="M2498" s="28">
        <v>77</v>
      </c>
      <c r="N2498" s="6">
        <v>36</v>
      </c>
      <c r="O2498" s="30">
        <f t="shared" si="232"/>
        <v>77</v>
      </c>
      <c r="P2498" s="30">
        <f t="shared" si="233"/>
        <v>2772</v>
      </c>
      <c r="Q2498" s="1">
        <f>COUNTIFS($P:$P, "&gt;" &amp; $P2498) + 1</f>
        <v>2966</v>
      </c>
      <c r="R2498" s="63">
        <f>(COUNTIFS($P:$P, "&gt;" &amp; $P2498) + 1) / (COUNTA($I:$I) - 1)</f>
        <v>0.59319999999999995</v>
      </c>
      <c r="S2498" s="23">
        <f>SUMIFS($P:$P, $Q:$Q, "&lt;" &amp; $Q2498)</f>
        <v>184840084</v>
      </c>
    </row>
    <row r="2499" spans="1:19" x14ac:dyDescent="0.25">
      <c r="A2499" s="1">
        <v>2494</v>
      </c>
      <c r="B2499" s="1" t="s">
        <v>2</v>
      </c>
      <c r="C2499" s="1" t="str">
        <f>IF($B2499 = "Production Item", _xlfn.XLOOKUP($A2499, 'Instrument Table'!$J:$J, 'Instrument Table'!$B:$B, $C2498), IF($B2499 = "Service Item", _xlfn.XLOOKUP($A2499, 'Instrument Table'!$I:$I, 'Instrument Table'!$B:$B, $C2498), _xlfn.XLOOKUP($A2499, 'Instrument Table'!$H:$H, 'Instrument Table'!$B:$B, $C2498)))</f>
        <v>French Horn</v>
      </c>
      <c r="D2499" s="1" t="str">
        <f>VLOOKUP($C2499, 'Instrument Table'!$B:$C, 2, FALSE)</f>
        <v>Brass</v>
      </c>
      <c r="E2499" s="1">
        <f t="shared" si="228"/>
        <v>1</v>
      </c>
      <c r="F2499" s="1">
        <f>_xlfn.XLOOKUP($C2499, 'Instrument Table'!$B:$B, 'Instrument Table'!$A:$A, "")</f>
        <v>40</v>
      </c>
      <c r="G2499" s="1" t="str">
        <f>TEXT(IF($B2499 = "Retail Item", IF((ROW($A2499) - 4504 - _xlfn.XMATCH($C2499, $C$4506:$C$5005, 0, 1)) &lt;= VLOOKUP($C2499, 'Instrument Table'!$B:$D, 3, FALSE), ROW($A2499) - 4504 - _xlfn.XMATCH($C2499, $C$4506:$C$5005, 0, 1), 0), 0), "00")</f>
        <v>00</v>
      </c>
      <c r="H2499" s="1" t="str">
        <f t="shared" si="229"/>
        <v>043</v>
      </c>
      <c r="I2499" s="1" t="str">
        <f t="shared" si="230"/>
        <v>14000-043</v>
      </c>
      <c r="J2499" s="1" t="str">
        <f t="shared" si="231"/>
        <v>French horn production item #043</v>
      </c>
      <c r="K2499" s="1" t="str">
        <f>IF(SUM(COUNTIFS(I:I, I2499)) &gt; 1, "DUPLICATE", "UNIQUE")</f>
        <v>UNIQUE</v>
      </c>
      <c r="L2499" s="18">
        <v>1</v>
      </c>
      <c r="M2499" s="28">
        <v>29</v>
      </c>
      <c r="N2499" s="6">
        <v>289</v>
      </c>
      <c r="O2499" s="30">
        <f t="shared" si="232"/>
        <v>29</v>
      </c>
      <c r="P2499" s="30">
        <f t="shared" si="233"/>
        <v>8381</v>
      </c>
      <c r="Q2499" s="1">
        <f>COUNTIFS($P:$P, "&gt;" &amp; $P2499) + 1</f>
        <v>1942</v>
      </c>
      <c r="R2499" s="63">
        <f>(COUNTIFS($P:$P, "&gt;" &amp; $P2499) + 1) / (COUNTA($I:$I) - 1)</f>
        <v>0.38840000000000002</v>
      </c>
      <c r="S2499" s="23">
        <f>SUMIFS($P:$P, $Q:$Q, "&lt;" &amp; $Q2499)</f>
        <v>179524365</v>
      </c>
    </row>
    <row r="2500" spans="1:19" x14ac:dyDescent="0.25">
      <c r="A2500" s="1">
        <v>2495</v>
      </c>
      <c r="B2500" s="1" t="s">
        <v>2</v>
      </c>
      <c r="C2500" s="1" t="str">
        <f>IF($B2500 = "Production Item", _xlfn.XLOOKUP($A2500, 'Instrument Table'!$J:$J, 'Instrument Table'!$B:$B, $C2499), IF($B2500 = "Service Item", _xlfn.XLOOKUP($A2500, 'Instrument Table'!$I:$I, 'Instrument Table'!$B:$B, $C2499), _xlfn.XLOOKUP($A2500, 'Instrument Table'!$H:$H, 'Instrument Table'!$B:$B, $C2499)))</f>
        <v>French Horn</v>
      </c>
      <c r="D2500" s="1" t="str">
        <f>VLOOKUP($C2500, 'Instrument Table'!$B:$C, 2, FALSE)</f>
        <v>Brass</v>
      </c>
      <c r="E2500" s="1">
        <f t="shared" si="228"/>
        <v>1</v>
      </c>
      <c r="F2500" s="1">
        <f>_xlfn.XLOOKUP($C2500, 'Instrument Table'!$B:$B, 'Instrument Table'!$A:$A, "")</f>
        <v>40</v>
      </c>
      <c r="G2500" s="1" t="str">
        <f>TEXT(IF($B2500 = "Retail Item", IF((ROW($A2500) - 4504 - _xlfn.XMATCH($C2500, $C$4506:$C$5005, 0, 1)) &lt;= VLOOKUP($C2500, 'Instrument Table'!$B:$D, 3, FALSE), ROW($A2500) - 4504 - _xlfn.XMATCH($C2500, $C$4506:$C$5005, 0, 1), 0), 0), "00")</f>
        <v>00</v>
      </c>
      <c r="H2500" s="1" t="str">
        <f t="shared" si="229"/>
        <v>044</v>
      </c>
      <c r="I2500" s="1" t="str">
        <f t="shared" si="230"/>
        <v>14000-044</v>
      </c>
      <c r="J2500" s="1" t="str">
        <f t="shared" si="231"/>
        <v>French horn production item #044</v>
      </c>
      <c r="K2500" s="1" t="str">
        <f>IF(SUM(COUNTIFS(I:I, I2500)) &gt; 1, "DUPLICATE", "UNIQUE")</f>
        <v>UNIQUE</v>
      </c>
      <c r="L2500" s="18">
        <v>1</v>
      </c>
      <c r="M2500" s="28">
        <v>83</v>
      </c>
      <c r="N2500" s="6">
        <v>81</v>
      </c>
      <c r="O2500" s="30">
        <f t="shared" si="232"/>
        <v>83</v>
      </c>
      <c r="P2500" s="30">
        <f t="shared" si="233"/>
        <v>6723</v>
      </c>
      <c r="Q2500" s="1">
        <f>COUNTIFS($P:$P, "&gt;" &amp; $P2500) + 1</f>
        <v>2180</v>
      </c>
      <c r="R2500" s="63">
        <f>(COUNTIFS($P:$P, "&gt;" &amp; $P2500) + 1) / (COUNTA($I:$I) - 1)</f>
        <v>0.436</v>
      </c>
      <c r="S2500" s="23">
        <f>SUMIFS($P:$P, $Q:$Q, "&lt;" &amp; $Q2500)</f>
        <v>181318402</v>
      </c>
    </row>
    <row r="2501" spans="1:19" x14ac:dyDescent="0.25">
      <c r="A2501" s="1">
        <v>2496</v>
      </c>
      <c r="B2501" s="1" t="s">
        <v>2</v>
      </c>
      <c r="C2501" s="1" t="str">
        <f>IF($B2501 = "Production Item", _xlfn.XLOOKUP($A2501, 'Instrument Table'!$J:$J, 'Instrument Table'!$B:$B, $C2500), IF($B2501 = "Service Item", _xlfn.XLOOKUP($A2501, 'Instrument Table'!$I:$I, 'Instrument Table'!$B:$B, $C2500), _xlfn.XLOOKUP($A2501, 'Instrument Table'!$H:$H, 'Instrument Table'!$B:$B, $C2500)))</f>
        <v>French Horn</v>
      </c>
      <c r="D2501" s="1" t="str">
        <f>VLOOKUP($C2501, 'Instrument Table'!$B:$C, 2, FALSE)</f>
        <v>Brass</v>
      </c>
      <c r="E2501" s="1">
        <f t="shared" si="228"/>
        <v>1</v>
      </c>
      <c r="F2501" s="1">
        <f>_xlfn.XLOOKUP($C2501, 'Instrument Table'!$B:$B, 'Instrument Table'!$A:$A, "")</f>
        <v>40</v>
      </c>
      <c r="G2501" s="1" t="str">
        <f>TEXT(IF($B2501 = "Retail Item", IF((ROW($A2501) - 4504 - _xlfn.XMATCH($C2501, $C$4506:$C$5005, 0, 1)) &lt;= VLOOKUP($C2501, 'Instrument Table'!$B:$D, 3, FALSE), ROW($A2501) - 4504 - _xlfn.XMATCH($C2501, $C$4506:$C$5005, 0, 1), 0), 0), "00")</f>
        <v>00</v>
      </c>
      <c r="H2501" s="1" t="str">
        <f t="shared" si="229"/>
        <v>045</v>
      </c>
      <c r="I2501" s="1" t="str">
        <f t="shared" si="230"/>
        <v>14000-045</v>
      </c>
      <c r="J2501" s="1" t="str">
        <f t="shared" si="231"/>
        <v>French horn production item #045</v>
      </c>
      <c r="K2501" s="1" t="str">
        <f>IF(SUM(COUNTIFS(I:I, I2501)) &gt; 1, "DUPLICATE", "UNIQUE")</f>
        <v>UNIQUE</v>
      </c>
      <c r="L2501" s="18">
        <v>1</v>
      </c>
      <c r="M2501" s="28">
        <v>63</v>
      </c>
      <c r="N2501" s="6">
        <v>9</v>
      </c>
      <c r="O2501" s="30">
        <f t="shared" si="232"/>
        <v>63</v>
      </c>
      <c r="P2501" s="30">
        <f t="shared" si="233"/>
        <v>567</v>
      </c>
      <c r="Q2501" s="1">
        <f>COUNTIFS($P:$P, "&gt;" &amp; $P2501) + 1</f>
        <v>3972</v>
      </c>
      <c r="R2501" s="63">
        <f>(COUNTIFS($P:$P, "&gt;" &amp; $P2501) + 1) / (COUNTA($I:$I) - 1)</f>
        <v>0.7944</v>
      </c>
      <c r="S2501" s="23">
        <f>SUMIFS($P:$P, $Q:$Q, "&lt;" &amp; $Q2501)</f>
        <v>186383007</v>
      </c>
    </row>
    <row r="2502" spans="1:19" x14ac:dyDescent="0.25">
      <c r="A2502" s="1">
        <v>2497</v>
      </c>
      <c r="B2502" s="1" t="s">
        <v>2</v>
      </c>
      <c r="C2502" s="1" t="str">
        <f>IF($B2502 = "Production Item", _xlfn.XLOOKUP($A2502, 'Instrument Table'!$J:$J, 'Instrument Table'!$B:$B, $C2501), IF($B2502 = "Service Item", _xlfn.XLOOKUP($A2502, 'Instrument Table'!$I:$I, 'Instrument Table'!$B:$B, $C2501), _xlfn.XLOOKUP($A2502, 'Instrument Table'!$H:$H, 'Instrument Table'!$B:$B, $C2501)))</f>
        <v>French Horn</v>
      </c>
      <c r="D2502" s="1" t="str">
        <f>VLOOKUP($C2502, 'Instrument Table'!$B:$C, 2, FALSE)</f>
        <v>Brass</v>
      </c>
      <c r="E2502" s="1">
        <f t="shared" si="228"/>
        <v>1</v>
      </c>
      <c r="F2502" s="1">
        <f>_xlfn.XLOOKUP($C2502, 'Instrument Table'!$B:$B, 'Instrument Table'!$A:$A, "")</f>
        <v>40</v>
      </c>
      <c r="G2502" s="1" t="str">
        <f>TEXT(IF($B2502 = "Retail Item", IF((ROW($A2502) - 4504 - _xlfn.XMATCH($C2502, $C$4506:$C$5005, 0, 1)) &lt;= VLOOKUP($C2502, 'Instrument Table'!$B:$D, 3, FALSE), ROW($A2502) - 4504 - _xlfn.XMATCH($C2502, $C$4506:$C$5005, 0, 1), 0), 0), "00")</f>
        <v>00</v>
      </c>
      <c r="H2502" s="1" t="str">
        <f t="shared" si="229"/>
        <v>046</v>
      </c>
      <c r="I2502" s="1" t="str">
        <f t="shared" si="230"/>
        <v>14000-046</v>
      </c>
      <c r="J2502" s="1" t="str">
        <f t="shared" si="231"/>
        <v>French horn production item #046</v>
      </c>
      <c r="K2502" s="1" t="str">
        <f>IF(SUM(COUNTIFS(I:I, I2502)) &gt; 1, "DUPLICATE", "UNIQUE")</f>
        <v>UNIQUE</v>
      </c>
      <c r="L2502" s="18">
        <v>32</v>
      </c>
      <c r="M2502" s="28">
        <v>34</v>
      </c>
      <c r="N2502" s="6">
        <v>400</v>
      </c>
      <c r="O2502" s="30">
        <f t="shared" si="232"/>
        <v>1088</v>
      </c>
      <c r="P2502" s="30">
        <f t="shared" si="233"/>
        <v>13600</v>
      </c>
      <c r="Q2502" s="1">
        <f>COUNTIFS($P:$P, "&gt;" &amp; $P2502) + 1</f>
        <v>1450</v>
      </c>
      <c r="R2502" s="63">
        <f>(COUNTIFS($P:$P, "&gt;" &amp; $P2502) + 1) / (COUNTA($I:$I) - 1)</f>
        <v>0.28999999999999998</v>
      </c>
      <c r="S2502" s="23">
        <f>SUMIFS($P:$P, $Q:$Q, "&lt;" &amp; $Q2502)</f>
        <v>174173105</v>
      </c>
    </row>
    <row r="2503" spans="1:19" x14ac:dyDescent="0.25">
      <c r="A2503" s="1">
        <v>2498</v>
      </c>
      <c r="B2503" s="1" t="s">
        <v>2</v>
      </c>
      <c r="C2503" s="1" t="str">
        <f>IF($B2503 = "Production Item", _xlfn.XLOOKUP($A2503, 'Instrument Table'!$J:$J, 'Instrument Table'!$B:$B, $C2502), IF($B2503 = "Service Item", _xlfn.XLOOKUP($A2503, 'Instrument Table'!$I:$I, 'Instrument Table'!$B:$B, $C2502), _xlfn.XLOOKUP($A2503, 'Instrument Table'!$H:$H, 'Instrument Table'!$B:$B, $C2502)))</f>
        <v>French Horn</v>
      </c>
      <c r="D2503" s="1" t="str">
        <f>VLOOKUP($C2503, 'Instrument Table'!$B:$C, 2, FALSE)</f>
        <v>Brass</v>
      </c>
      <c r="E2503" s="1">
        <f t="shared" ref="E2503:E2566" si="234">IF($B2503 = "Production Item", 1, IF($B2503 = "Service Item", 2, IF($B2503 = "Retail Item", 3, "")))</f>
        <v>1</v>
      </c>
      <c r="F2503" s="1">
        <f>_xlfn.XLOOKUP($C2503, 'Instrument Table'!$B:$B, 'Instrument Table'!$A:$A, "")</f>
        <v>40</v>
      </c>
      <c r="G2503" s="1" t="str">
        <f>TEXT(IF($B2503 = "Retail Item", IF((ROW($A2503) - 4504 - _xlfn.XMATCH($C2503, $C$4506:$C$5005, 0, 1)) &lt;= VLOOKUP($C2503, 'Instrument Table'!$B:$D, 3, FALSE), ROW($A2503) - 4504 - _xlfn.XMATCH($C2503, $C$4506:$C$5005, 0, 1), 0), 0), "00")</f>
        <v>00</v>
      </c>
      <c r="H2503" s="1" t="str">
        <f t="shared" ref="H2503:H2566" si="235">TEXT(IF($E2503 &amp; $F2503 &amp; $G2503 = $E2502 &amp; $F2502 &amp; $G2502, 1 + H2502, 0), "000")</f>
        <v>047</v>
      </c>
      <c r="I2503" s="1" t="str">
        <f t="shared" ref="I2503:I2566" si="236" xml:space="preserve"> _xlfn.CONCAT($E2503, $F2503, $G2503, "-", H2503)</f>
        <v>14000-047</v>
      </c>
      <c r="J2503" s="1" t="str">
        <f t="shared" ref="J2503:J2566" si="237">LEFT($C2503, 1) &amp; LOWER(RIGHT($C2503, LEN($C2503) - 1)) &amp; IF(AND($G2503 &lt;&gt; "00", $B2503 = "Retail Item"), " model #" &amp; $G2503, " " &amp; LOWER($B2503) &amp; " #" &amp; $H2503)</f>
        <v>French horn production item #047</v>
      </c>
      <c r="K2503" s="1" t="str">
        <f>IF(SUM(COUNTIFS(I:I, I2503)) &gt; 1, "DUPLICATE", "UNIQUE")</f>
        <v>UNIQUE</v>
      </c>
      <c r="L2503" s="18">
        <v>2</v>
      </c>
      <c r="M2503" s="28">
        <v>58</v>
      </c>
      <c r="N2503" s="6">
        <v>64</v>
      </c>
      <c r="O2503" s="30">
        <f t="shared" ref="O2503:O2566" si="238">$L2503 * $M2503</f>
        <v>116</v>
      </c>
      <c r="P2503" s="30">
        <f t="shared" ref="P2503:P2566" si="239">$N2503 * $M2503</f>
        <v>3712</v>
      </c>
      <c r="Q2503" s="1">
        <f>COUNTIFS($P:$P, "&gt;" &amp; $P2503) + 1</f>
        <v>2720</v>
      </c>
      <c r="R2503" s="63">
        <f>(COUNTIFS($P:$P, "&gt;" &amp; $P2503) + 1) / (COUNTA($I:$I) - 1)</f>
        <v>0.54400000000000004</v>
      </c>
      <c r="S2503" s="23">
        <f>SUMIFS($P:$P, $Q:$Q, "&lt;" &amp; $Q2503)</f>
        <v>184041686</v>
      </c>
    </row>
    <row r="2504" spans="1:19" x14ac:dyDescent="0.25">
      <c r="A2504" s="1">
        <v>2499</v>
      </c>
      <c r="B2504" s="1" t="s">
        <v>2</v>
      </c>
      <c r="C2504" s="1" t="str">
        <f>IF($B2504 = "Production Item", _xlfn.XLOOKUP($A2504, 'Instrument Table'!$J:$J, 'Instrument Table'!$B:$B, $C2503), IF($B2504 = "Service Item", _xlfn.XLOOKUP($A2504, 'Instrument Table'!$I:$I, 'Instrument Table'!$B:$B, $C2503), _xlfn.XLOOKUP($A2504, 'Instrument Table'!$H:$H, 'Instrument Table'!$B:$B, $C2503)))</f>
        <v>French Horn</v>
      </c>
      <c r="D2504" s="1" t="str">
        <f>VLOOKUP($C2504, 'Instrument Table'!$B:$C, 2, FALSE)</f>
        <v>Brass</v>
      </c>
      <c r="E2504" s="1">
        <f t="shared" si="234"/>
        <v>1</v>
      </c>
      <c r="F2504" s="1">
        <f>_xlfn.XLOOKUP($C2504, 'Instrument Table'!$B:$B, 'Instrument Table'!$A:$A, "")</f>
        <v>40</v>
      </c>
      <c r="G2504" s="1" t="str">
        <f>TEXT(IF($B2504 = "Retail Item", IF((ROW($A2504) - 4504 - _xlfn.XMATCH($C2504, $C$4506:$C$5005, 0, 1)) &lt;= VLOOKUP($C2504, 'Instrument Table'!$B:$D, 3, FALSE), ROW($A2504) - 4504 - _xlfn.XMATCH($C2504, $C$4506:$C$5005, 0, 1), 0), 0), "00")</f>
        <v>00</v>
      </c>
      <c r="H2504" s="1" t="str">
        <f t="shared" si="235"/>
        <v>048</v>
      </c>
      <c r="I2504" s="1" t="str">
        <f t="shared" si="236"/>
        <v>14000-048</v>
      </c>
      <c r="J2504" s="1" t="str">
        <f t="shared" si="237"/>
        <v>French horn production item #048</v>
      </c>
      <c r="K2504" s="1" t="str">
        <f>IF(SUM(COUNTIFS(I:I, I2504)) &gt; 1, "DUPLICATE", "UNIQUE")</f>
        <v>UNIQUE</v>
      </c>
      <c r="L2504" s="18">
        <v>0</v>
      </c>
      <c r="M2504" s="28">
        <v>96</v>
      </c>
      <c r="N2504" s="6">
        <v>169</v>
      </c>
      <c r="O2504" s="30">
        <f t="shared" si="238"/>
        <v>0</v>
      </c>
      <c r="P2504" s="30">
        <f t="shared" si="239"/>
        <v>16224</v>
      </c>
      <c r="Q2504" s="1">
        <f>COUNTIFS($P:$P, "&gt;" &amp; $P2504) + 1</f>
        <v>1262</v>
      </c>
      <c r="R2504" s="63">
        <f>(COUNTIFS($P:$P, "&gt;" &amp; $P2504) + 1) / (COUNTA($I:$I) - 1)</f>
        <v>0.25240000000000001</v>
      </c>
      <c r="S2504" s="23">
        <f>SUMIFS($P:$P, $Q:$Q, "&lt;" &amp; $Q2504)</f>
        <v>171365642</v>
      </c>
    </row>
    <row r="2505" spans="1:19" x14ac:dyDescent="0.25">
      <c r="A2505" s="1">
        <v>2500</v>
      </c>
      <c r="B2505" s="1" t="s">
        <v>2</v>
      </c>
      <c r="C2505" s="1" t="str">
        <f>IF($B2505 = "Production Item", _xlfn.XLOOKUP($A2505, 'Instrument Table'!$J:$J, 'Instrument Table'!$B:$B, $C2504), IF($B2505 = "Service Item", _xlfn.XLOOKUP($A2505, 'Instrument Table'!$I:$I, 'Instrument Table'!$B:$B, $C2504), _xlfn.XLOOKUP($A2505, 'Instrument Table'!$H:$H, 'Instrument Table'!$B:$B, $C2504)))</f>
        <v>French Horn</v>
      </c>
      <c r="D2505" s="1" t="str">
        <f>VLOOKUP($C2505, 'Instrument Table'!$B:$C, 2, FALSE)</f>
        <v>Brass</v>
      </c>
      <c r="E2505" s="1">
        <f t="shared" si="234"/>
        <v>1</v>
      </c>
      <c r="F2505" s="1">
        <f>_xlfn.XLOOKUP($C2505, 'Instrument Table'!$B:$B, 'Instrument Table'!$A:$A, "")</f>
        <v>40</v>
      </c>
      <c r="G2505" s="1" t="str">
        <f>TEXT(IF($B2505 = "Retail Item", IF((ROW($A2505) - 4504 - _xlfn.XMATCH($C2505, $C$4506:$C$5005, 0, 1)) &lt;= VLOOKUP($C2505, 'Instrument Table'!$B:$D, 3, FALSE), ROW($A2505) - 4504 - _xlfn.XMATCH($C2505, $C$4506:$C$5005, 0, 1), 0), 0), "00")</f>
        <v>00</v>
      </c>
      <c r="H2505" s="1" t="str">
        <f t="shared" si="235"/>
        <v>049</v>
      </c>
      <c r="I2505" s="1" t="str">
        <f t="shared" si="236"/>
        <v>14000-049</v>
      </c>
      <c r="J2505" s="1" t="str">
        <f t="shared" si="237"/>
        <v>French horn production item #049</v>
      </c>
      <c r="K2505" s="1" t="str">
        <f>IF(SUM(COUNTIFS(I:I, I2505)) &gt; 1, "DUPLICATE", "UNIQUE")</f>
        <v>UNIQUE</v>
      </c>
      <c r="L2505" s="18">
        <v>1</v>
      </c>
      <c r="M2505" s="28">
        <v>11</v>
      </c>
      <c r="N2505" s="6">
        <v>289</v>
      </c>
      <c r="O2505" s="30">
        <f t="shared" si="238"/>
        <v>11</v>
      </c>
      <c r="P2505" s="30">
        <f t="shared" si="239"/>
        <v>3179</v>
      </c>
      <c r="Q2505" s="1">
        <f>COUNTIFS($P:$P, "&gt;" &amp; $P2505) + 1</f>
        <v>2864</v>
      </c>
      <c r="R2505" s="63">
        <f>(COUNTIFS($P:$P, "&gt;" &amp; $P2505) + 1) / (COUNTA($I:$I) - 1)</f>
        <v>0.57279999999999998</v>
      </c>
      <c r="S2505" s="23">
        <f>SUMIFS($P:$P, $Q:$Q, "&lt;" &amp; $Q2505)</f>
        <v>184536611</v>
      </c>
    </row>
    <row r="2506" spans="1:19" x14ac:dyDescent="0.25">
      <c r="A2506" s="1">
        <v>2501</v>
      </c>
      <c r="B2506" s="1" t="s">
        <v>2</v>
      </c>
      <c r="C2506" s="1" t="str">
        <f>IF($B2506 = "Production Item", _xlfn.XLOOKUP($A2506, 'Instrument Table'!$J:$J, 'Instrument Table'!$B:$B, $C2505), IF($B2506 = "Service Item", _xlfn.XLOOKUP($A2506, 'Instrument Table'!$I:$I, 'Instrument Table'!$B:$B, $C2505), _xlfn.XLOOKUP($A2506, 'Instrument Table'!$H:$H, 'Instrument Table'!$B:$B, $C2505)))</f>
        <v>French Horn</v>
      </c>
      <c r="D2506" s="1" t="str">
        <f>VLOOKUP($C2506, 'Instrument Table'!$B:$C, 2, FALSE)</f>
        <v>Brass</v>
      </c>
      <c r="E2506" s="1">
        <f t="shared" si="234"/>
        <v>1</v>
      </c>
      <c r="F2506" s="1">
        <f>_xlfn.XLOOKUP($C2506, 'Instrument Table'!$B:$B, 'Instrument Table'!$A:$A, "")</f>
        <v>40</v>
      </c>
      <c r="G2506" s="1" t="str">
        <f>TEXT(IF($B2506 = "Retail Item", IF((ROW($A2506) - 4504 - _xlfn.XMATCH($C2506, $C$4506:$C$5005, 0, 1)) &lt;= VLOOKUP($C2506, 'Instrument Table'!$B:$D, 3, FALSE), ROW($A2506) - 4504 - _xlfn.XMATCH($C2506, $C$4506:$C$5005, 0, 1), 0), 0), "00")</f>
        <v>00</v>
      </c>
      <c r="H2506" s="1" t="str">
        <f t="shared" si="235"/>
        <v>050</v>
      </c>
      <c r="I2506" s="1" t="str">
        <f t="shared" si="236"/>
        <v>14000-050</v>
      </c>
      <c r="J2506" s="1" t="str">
        <f t="shared" si="237"/>
        <v>French horn production item #050</v>
      </c>
      <c r="K2506" s="1" t="str">
        <f>IF(SUM(COUNTIFS(I:I, I2506)) &gt; 1, "DUPLICATE", "UNIQUE")</f>
        <v>UNIQUE</v>
      </c>
      <c r="L2506" s="18">
        <v>0</v>
      </c>
      <c r="M2506" s="28">
        <v>15</v>
      </c>
      <c r="N2506" s="6">
        <v>361</v>
      </c>
      <c r="O2506" s="30">
        <f t="shared" si="238"/>
        <v>0</v>
      </c>
      <c r="P2506" s="30">
        <f t="shared" si="239"/>
        <v>5415</v>
      </c>
      <c r="Q2506" s="1">
        <f>COUNTIFS($P:$P, "&gt;" &amp; $P2506) + 1</f>
        <v>2370</v>
      </c>
      <c r="R2506" s="63">
        <f>(COUNTIFS($P:$P, "&gt;" &amp; $P2506) + 1) / (COUNTA($I:$I) - 1)</f>
        <v>0.47399999999999998</v>
      </c>
      <c r="S2506" s="23">
        <f>SUMIFS($P:$P, $Q:$Q, "&lt;" &amp; $Q2506)</f>
        <v>182456924</v>
      </c>
    </row>
    <row r="2507" spans="1:19" x14ac:dyDescent="0.25">
      <c r="A2507" s="1">
        <v>2502</v>
      </c>
      <c r="B2507" s="1" t="s">
        <v>2</v>
      </c>
      <c r="C2507" s="1" t="str">
        <f>IF($B2507 = "Production Item", _xlfn.XLOOKUP($A2507, 'Instrument Table'!$J:$J, 'Instrument Table'!$B:$B, $C2506), IF($B2507 = "Service Item", _xlfn.XLOOKUP($A2507, 'Instrument Table'!$I:$I, 'Instrument Table'!$B:$B, $C2506), _xlfn.XLOOKUP($A2507, 'Instrument Table'!$H:$H, 'Instrument Table'!$B:$B, $C2506)))</f>
        <v>French Horn</v>
      </c>
      <c r="D2507" s="1" t="str">
        <f>VLOOKUP($C2507, 'Instrument Table'!$B:$C, 2, FALSE)</f>
        <v>Brass</v>
      </c>
      <c r="E2507" s="1">
        <f t="shared" si="234"/>
        <v>1</v>
      </c>
      <c r="F2507" s="1">
        <f>_xlfn.XLOOKUP($C2507, 'Instrument Table'!$B:$B, 'Instrument Table'!$A:$A, "")</f>
        <v>40</v>
      </c>
      <c r="G2507" s="1" t="str">
        <f>TEXT(IF($B2507 = "Retail Item", IF((ROW($A2507) - 4504 - _xlfn.XMATCH($C2507, $C$4506:$C$5005, 0, 1)) &lt;= VLOOKUP($C2507, 'Instrument Table'!$B:$D, 3, FALSE), ROW($A2507) - 4504 - _xlfn.XMATCH($C2507, $C$4506:$C$5005, 0, 1), 0), 0), "00")</f>
        <v>00</v>
      </c>
      <c r="H2507" s="1" t="str">
        <f t="shared" si="235"/>
        <v>051</v>
      </c>
      <c r="I2507" s="1" t="str">
        <f t="shared" si="236"/>
        <v>14000-051</v>
      </c>
      <c r="J2507" s="1" t="str">
        <f t="shared" si="237"/>
        <v>French horn production item #051</v>
      </c>
      <c r="K2507" s="1" t="str">
        <f>IF(SUM(COUNTIFS(I:I, I2507)) &gt; 1, "DUPLICATE", "UNIQUE")</f>
        <v>UNIQUE</v>
      </c>
      <c r="L2507" s="18">
        <v>4</v>
      </c>
      <c r="M2507" s="28">
        <v>30</v>
      </c>
      <c r="N2507" s="6">
        <v>324</v>
      </c>
      <c r="O2507" s="30">
        <f t="shared" si="238"/>
        <v>120</v>
      </c>
      <c r="P2507" s="30">
        <f t="shared" si="239"/>
        <v>9720</v>
      </c>
      <c r="Q2507" s="1">
        <f>COUNTIFS($P:$P, "&gt;" &amp; $P2507) + 1</f>
        <v>1795</v>
      </c>
      <c r="R2507" s="63">
        <f>(COUNTIFS($P:$P, "&gt;" &amp; $P2507) + 1) / (COUNTA($I:$I) - 1)</f>
        <v>0.35899999999999999</v>
      </c>
      <c r="S2507" s="23">
        <f>SUMIFS($P:$P, $Q:$Q, "&lt;" &amp; $Q2507)</f>
        <v>178192728</v>
      </c>
    </row>
    <row r="2508" spans="1:19" x14ac:dyDescent="0.25">
      <c r="A2508" s="1">
        <v>2503</v>
      </c>
      <c r="B2508" s="1" t="s">
        <v>2</v>
      </c>
      <c r="C2508" s="1" t="str">
        <f>IF($B2508 = "Production Item", _xlfn.XLOOKUP($A2508, 'Instrument Table'!$J:$J, 'Instrument Table'!$B:$B, $C2507), IF($B2508 = "Service Item", _xlfn.XLOOKUP($A2508, 'Instrument Table'!$I:$I, 'Instrument Table'!$B:$B, $C2507), _xlfn.XLOOKUP($A2508, 'Instrument Table'!$H:$H, 'Instrument Table'!$B:$B, $C2507)))</f>
        <v>French Horn</v>
      </c>
      <c r="D2508" s="1" t="str">
        <f>VLOOKUP($C2508, 'Instrument Table'!$B:$C, 2, FALSE)</f>
        <v>Brass</v>
      </c>
      <c r="E2508" s="1">
        <f t="shared" si="234"/>
        <v>1</v>
      </c>
      <c r="F2508" s="1">
        <f>_xlfn.XLOOKUP($C2508, 'Instrument Table'!$B:$B, 'Instrument Table'!$A:$A, "")</f>
        <v>40</v>
      </c>
      <c r="G2508" s="1" t="str">
        <f>TEXT(IF($B2508 = "Retail Item", IF((ROW($A2508) - 4504 - _xlfn.XMATCH($C2508, $C$4506:$C$5005, 0, 1)) &lt;= VLOOKUP($C2508, 'Instrument Table'!$B:$D, 3, FALSE), ROW($A2508) - 4504 - _xlfn.XMATCH($C2508, $C$4506:$C$5005, 0, 1), 0), 0), "00")</f>
        <v>00</v>
      </c>
      <c r="H2508" s="1" t="str">
        <f t="shared" si="235"/>
        <v>052</v>
      </c>
      <c r="I2508" s="1" t="str">
        <f t="shared" si="236"/>
        <v>14000-052</v>
      </c>
      <c r="J2508" s="1" t="str">
        <f t="shared" si="237"/>
        <v>French horn production item #052</v>
      </c>
      <c r="K2508" s="1" t="str">
        <f>IF(SUM(COUNTIFS(I:I, I2508)) &gt; 1, "DUPLICATE", "UNIQUE")</f>
        <v>UNIQUE</v>
      </c>
      <c r="L2508" s="18">
        <v>1</v>
      </c>
      <c r="M2508" s="28">
        <v>22</v>
      </c>
      <c r="N2508" s="6">
        <v>361</v>
      </c>
      <c r="O2508" s="30">
        <f t="shared" si="238"/>
        <v>22</v>
      </c>
      <c r="P2508" s="30">
        <f t="shared" si="239"/>
        <v>7942</v>
      </c>
      <c r="Q2508" s="1">
        <f>COUNTIFS($P:$P, "&gt;" &amp; $P2508) + 1</f>
        <v>1994</v>
      </c>
      <c r="R2508" s="63">
        <f>(COUNTIFS($P:$P, "&gt;" &amp; $P2508) + 1) / (COUNTA($I:$I) - 1)</f>
        <v>0.39879999999999999</v>
      </c>
      <c r="S2508" s="23">
        <f>SUMIFS($P:$P, $Q:$Q, "&lt;" &amp; $Q2508)</f>
        <v>179948847</v>
      </c>
    </row>
    <row r="2509" spans="1:19" x14ac:dyDescent="0.25">
      <c r="A2509" s="1">
        <v>2504</v>
      </c>
      <c r="B2509" s="1" t="s">
        <v>2</v>
      </c>
      <c r="C2509" s="1" t="str">
        <f>IF($B2509 = "Production Item", _xlfn.XLOOKUP($A2509, 'Instrument Table'!$J:$J, 'Instrument Table'!$B:$B, $C2508), IF($B2509 = "Service Item", _xlfn.XLOOKUP($A2509, 'Instrument Table'!$I:$I, 'Instrument Table'!$B:$B, $C2508), _xlfn.XLOOKUP($A2509, 'Instrument Table'!$H:$H, 'Instrument Table'!$B:$B, $C2508)))</f>
        <v>French Horn</v>
      </c>
      <c r="D2509" s="1" t="str">
        <f>VLOOKUP($C2509, 'Instrument Table'!$B:$C, 2, FALSE)</f>
        <v>Brass</v>
      </c>
      <c r="E2509" s="1">
        <f t="shared" si="234"/>
        <v>1</v>
      </c>
      <c r="F2509" s="1">
        <f>_xlfn.XLOOKUP($C2509, 'Instrument Table'!$B:$B, 'Instrument Table'!$A:$A, "")</f>
        <v>40</v>
      </c>
      <c r="G2509" s="1" t="str">
        <f>TEXT(IF($B2509 = "Retail Item", IF((ROW($A2509) - 4504 - _xlfn.XMATCH($C2509, $C$4506:$C$5005, 0, 1)) &lt;= VLOOKUP($C2509, 'Instrument Table'!$B:$D, 3, FALSE), ROW($A2509) - 4504 - _xlfn.XMATCH($C2509, $C$4506:$C$5005, 0, 1), 0), 0), "00")</f>
        <v>00</v>
      </c>
      <c r="H2509" s="1" t="str">
        <f t="shared" si="235"/>
        <v>053</v>
      </c>
      <c r="I2509" s="1" t="str">
        <f t="shared" si="236"/>
        <v>14000-053</v>
      </c>
      <c r="J2509" s="1" t="str">
        <f t="shared" si="237"/>
        <v>French horn production item #053</v>
      </c>
      <c r="K2509" s="1" t="str">
        <f>IF(SUM(COUNTIFS(I:I, I2509)) &gt; 1, "DUPLICATE", "UNIQUE")</f>
        <v>UNIQUE</v>
      </c>
      <c r="L2509" s="18">
        <v>1</v>
      </c>
      <c r="M2509" s="28">
        <v>46</v>
      </c>
      <c r="N2509" s="6">
        <v>100</v>
      </c>
      <c r="O2509" s="30">
        <f t="shared" si="238"/>
        <v>46</v>
      </c>
      <c r="P2509" s="30">
        <f t="shared" si="239"/>
        <v>4600</v>
      </c>
      <c r="Q2509" s="1">
        <f>COUNTIFS($P:$P, "&gt;" &amp; $P2509) + 1</f>
        <v>2524</v>
      </c>
      <c r="R2509" s="63">
        <f>(COUNTIFS($P:$P, "&gt;" &amp; $P2509) + 1) / (COUNTA($I:$I) - 1)</f>
        <v>0.50480000000000003</v>
      </c>
      <c r="S2509" s="23">
        <f>SUMIFS($P:$P, $Q:$Q, "&lt;" &amp; $Q2509)</f>
        <v>183226841</v>
      </c>
    </row>
    <row r="2510" spans="1:19" x14ac:dyDescent="0.25">
      <c r="A2510" s="1">
        <v>2505</v>
      </c>
      <c r="B2510" s="1" t="s">
        <v>2</v>
      </c>
      <c r="C2510" s="1" t="str">
        <f>IF($B2510 = "Production Item", _xlfn.XLOOKUP($A2510, 'Instrument Table'!$J:$J, 'Instrument Table'!$B:$B, $C2509), IF($B2510 = "Service Item", _xlfn.XLOOKUP($A2510, 'Instrument Table'!$I:$I, 'Instrument Table'!$B:$B, $C2509), _xlfn.XLOOKUP($A2510, 'Instrument Table'!$H:$H, 'Instrument Table'!$B:$B, $C2509)))</f>
        <v>French Horn</v>
      </c>
      <c r="D2510" s="1" t="str">
        <f>VLOOKUP($C2510, 'Instrument Table'!$B:$C, 2, FALSE)</f>
        <v>Brass</v>
      </c>
      <c r="E2510" s="1">
        <f t="shared" si="234"/>
        <v>1</v>
      </c>
      <c r="F2510" s="1">
        <f>_xlfn.XLOOKUP($C2510, 'Instrument Table'!$B:$B, 'Instrument Table'!$A:$A, "")</f>
        <v>40</v>
      </c>
      <c r="G2510" s="1" t="str">
        <f>TEXT(IF($B2510 = "Retail Item", IF((ROW($A2510) - 4504 - _xlfn.XMATCH($C2510, $C$4506:$C$5005, 0, 1)) &lt;= VLOOKUP($C2510, 'Instrument Table'!$B:$D, 3, FALSE), ROW($A2510) - 4504 - _xlfn.XMATCH($C2510, $C$4506:$C$5005, 0, 1), 0), 0), "00")</f>
        <v>00</v>
      </c>
      <c r="H2510" s="1" t="str">
        <f t="shared" si="235"/>
        <v>054</v>
      </c>
      <c r="I2510" s="1" t="str">
        <f t="shared" si="236"/>
        <v>14000-054</v>
      </c>
      <c r="J2510" s="1" t="str">
        <f t="shared" si="237"/>
        <v>French horn production item #054</v>
      </c>
      <c r="K2510" s="1" t="str">
        <f>IF(SUM(COUNTIFS(I:I, I2510)) &gt; 1, "DUPLICATE", "UNIQUE")</f>
        <v>UNIQUE</v>
      </c>
      <c r="L2510" s="18">
        <v>1</v>
      </c>
      <c r="M2510" s="28">
        <v>67</v>
      </c>
      <c r="N2510" s="6">
        <v>16</v>
      </c>
      <c r="O2510" s="30">
        <f t="shared" si="238"/>
        <v>67</v>
      </c>
      <c r="P2510" s="30">
        <f t="shared" si="239"/>
        <v>1072</v>
      </c>
      <c r="Q2510" s="1">
        <f>COUNTIFS($P:$P, "&gt;" &amp; $P2510) + 1</f>
        <v>3658</v>
      </c>
      <c r="R2510" s="63">
        <f>(COUNTIFS($P:$P, "&gt;" &amp; $P2510) + 1) / (COUNTA($I:$I) - 1)</f>
        <v>0.73160000000000003</v>
      </c>
      <c r="S2510" s="23">
        <f>SUMIFS($P:$P, $Q:$Q, "&lt;" &amp; $Q2510)</f>
        <v>186136472</v>
      </c>
    </row>
    <row r="2511" spans="1:19" x14ac:dyDescent="0.25">
      <c r="A2511" s="1">
        <v>2506</v>
      </c>
      <c r="B2511" s="1" t="s">
        <v>2</v>
      </c>
      <c r="C2511" s="1" t="str">
        <f>IF($B2511 = "Production Item", _xlfn.XLOOKUP($A2511, 'Instrument Table'!$J:$J, 'Instrument Table'!$B:$B, $C2510), IF($B2511 = "Service Item", _xlfn.XLOOKUP($A2511, 'Instrument Table'!$I:$I, 'Instrument Table'!$B:$B, $C2510), _xlfn.XLOOKUP($A2511, 'Instrument Table'!$H:$H, 'Instrument Table'!$B:$B, $C2510)))</f>
        <v>French Horn</v>
      </c>
      <c r="D2511" s="1" t="str">
        <f>VLOOKUP($C2511, 'Instrument Table'!$B:$C, 2, FALSE)</f>
        <v>Brass</v>
      </c>
      <c r="E2511" s="1">
        <f t="shared" si="234"/>
        <v>1</v>
      </c>
      <c r="F2511" s="1">
        <f>_xlfn.XLOOKUP($C2511, 'Instrument Table'!$B:$B, 'Instrument Table'!$A:$A, "")</f>
        <v>40</v>
      </c>
      <c r="G2511" s="1" t="str">
        <f>TEXT(IF($B2511 = "Retail Item", IF((ROW($A2511) - 4504 - _xlfn.XMATCH($C2511, $C$4506:$C$5005, 0, 1)) &lt;= VLOOKUP($C2511, 'Instrument Table'!$B:$D, 3, FALSE), ROW($A2511) - 4504 - _xlfn.XMATCH($C2511, $C$4506:$C$5005, 0, 1), 0), 0), "00")</f>
        <v>00</v>
      </c>
      <c r="H2511" s="1" t="str">
        <f t="shared" si="235"/>
        <v>055</v>
      </c>
      <c r="I2511" s="1" t="str">
        <f t="shared" si="236"/>
        <v>14000-055</v>
      </c>
      <c r="J2511" s="1" t="str">
        <f t="shared" si="237"/>
        <v>French horn production item #055</v>
      </c>
      <c r="K2511" s="1" t="str">
        <f>IF(SUM(COUNTIFS(I:I, I2511)) &gt; 1, "DUPLICATE", "UNIQUE")</f>
        <v>UNIQUE</v>
      </c>
      <c r="L2511" s="18">
        <v>1</v>
      </c>
      <c r="M2511" s="28">
        <v>10</v>
      </c>
      <c r="N2511" s="6">
        <v>256</v>
      </c>
      <c r="O2511" s="30">
        <f t="shared" si="238"/>
        <v>10</v>
      </c>
      <c r="P2511" s="30">
        <f t="shared" si="239"/>
        <v>2560</v>
      </c>
      <c r="Q2511" s="1">
        <f>COUNTIFS($P:$P, "&gt;" &amp; $P2511) + 1</f>
        <v>3025</v>
      </c>
      <c r="R2511" s="63">
        <f>(COUNTIFS($P:$P, "&gt;" &amp; $P2511) + 1) / (COUNTA($I:$I) - 1)</f>
        <v>0.60499999999999998</v>
      </c>
      <c r="S2511" s="23">
        <f>SUMIFS($P:$P, $Q:$Q, "&lt;" &amp; $Q2511)</f>
        <v>184997138</v>
      </c>
    </row>
    <row r="2512" spans="1:19" x14ac:dyDescent="0.25">
      <c r="A2512" s="1">
        <v>2507</v>
      </c>
      <c r="B2512" s="1" t="s">
        <v>2</v>
      </c>
      <c r="C2512" s="1" t="str">
        <f>IF($B2512 = "Production Item", _xlfn.XLOOKUP($A2512, 'Instrument Table'!$J:$J, 'Instrument Table'!$B:$B, $C2511), IF($B2512 = "Service Item", _xlfn.XLOOKUP($A2512, 'Instrument Table'!$I:$I, 'Instrument Table'!$B:$B, $C2511), _xlfn.XLOOKUP($A2512, 'Instrument Table'!$H:$H, 'Instrument Table'!$B:$B, $C2511)))</f>
        <v>French Horn</v>
      </c>
      <c r="D2512" s="1" t="str">
        <f>VLOOKUP($C2512, 'Instrument Table'!$B:$C, 2, FALSE)</f>
        <v>Brass</v>
      </c>
      <c r="E2512" s="1">
        <f t="shared" si="234"/>
        <v>1</v>
      </c>
      <c r="F2512" s="1">
        <f>_xlfn.XLOOKUP($C2512, 'Instrument Table'!$B:$B, 'Instrument Table'!$A:$A, "")</f>
        <v>40</v>
      </c>
      <c r="G2512" s="1" t="str">
        <f>TEXT(IF($B2512 = "Retail Item", IF((ROW($A2512) - 4504 - _xlfn.XMATCH($C2512, $C$4506:$C$5005, 0, 1)) &lt;= VLOOKUP($C2512, 'Instrument Table'!$B:$D, 3, FALSE), ROW($A2512) - 4504 - _xlfn.XMATCH($C2512, $C$4506:$C$5005, 0, 1), 0), 0), "00")</f>
        <v>00</v>
      </c>
      <c r="H2512" s="1" t="str">
        <f t="shared" si="235"/>
        <v>056</v>
      </c>
      <c r="I2512" s="1" t="str">
        <f t="shared" si="236"/>
        <v>14000-056</v>
      </c>
      <c r="J2512" s="1" t="str">
        <f t="shared" si="237"/>
        <v>French horn production item #056</v>
      </c>
      <c r="K2512" s="1" t="str">
        <f>IF(SUM(COUNTIFS(I:I, I2512)) &gt; 1, "DUPLICATE", "UNIQUE")</f>
        <v>UNIQUE</v>
      </c>
      <c r="L2512" s="18">
        <v>32</v>
      </c>
      <c r="M2512" s="28">
        <v>57</v>
      </c>
      <c r="N2512" s="6">
        <v>9</v>
      </c>
      <c r="O2512" s="30">
        <f t="shared" si="238"/>
        <v>1824</v>
      </c>
      <c r="P2512" s="30">
        <f t="shared" si="239"/>
        <v>513</v>
      </c>
      <c r="Q2512" s="1">
        <f>COUNTIFS($P:$P, "&gt;" &amp; $P2512) + 1</f>
        <v>4008</v>
      </c>
      <c r="R2512" s="63">
        <f>(COUNTIFS($P:$P, "&gt;" &amp; $P2512) + 1) / (COUNTA($I:$I) - 1)</f>
        <v>0.80159999999999998</v>
      </c>
      <c r="S2512" s="23">
        <f>SUMIFS($P:$P, $Q:$Q, "&lt;" &amp; $Q2512)</f>
        <v>186402478</v>
      </c>
    </row>
    <row r="2513" spans="1:19" x14ac:dyDescent="0.25">
      <c r="A2513" s="1">
        <v>2508</v>
      </c>
      <c r="B2513" s="1" t="s">
        <v>2</v>
      </c>
      <c r="C2513" s="1" t="str">
        <f>IF($B2513 = "Production Item", _xlfn.XLOOKUP($A2513, 'Instrument Table'!$J:$J, 'Instrument Table'!$B:$B, $C2512), IF($B2513 = "Service Item", _xlfn.XLOOKUP($A2513, 'Instrument Table'!$I:$I, 'Instrument Table'!$B:$B, $C2512), _xlfn.XLOOKUP($A2513, 'Instrument Table'!$H:$H, 'Instrument Table'!$B:$B, $C2512)))</f>
        <v>French Horn</v>
      </c>
      <c r="D2513" s="1" t="str">
        <f>VLOOKUP($C2513, 'Instrument Table'!$B:$C, 2, FALSE)</f>
        <v>Brass</v>
      </c>
      <c r="E2513" s="1">
        <f t="shared" si="234"/>
        <v>1</v>
      </c>
      <c r="F2513" s="1">
        <f>_xlfn.XLOOKUP($C2513, 'Instrument Table'!$B:$B, 'Instrument Table'!$A:$A, "")</f>
        <v>40</v>
      </c>
      <c r="G2513" s="1" t="str">
        <f>TEXT(IF($B2513 = "Retail Item", IF((ROW($A2513) - 4504 - _xlfn.XMATCH($C2513, $C$4506:$C$5005, 0, 1)) &lt;= VLOOKUP($C2513, 'Instrument Table'!$B:$D, 3, FALSE), ROW($A2513) - 4504 - _xlfn.XMATCH($C2513, $C$4506:$C$5005, 0, 1), 0), 0), "00")</f>
        <v>00</v>
      </c>
      <c r="H2513" s="1" t="str">
        <f t="shared" si="235"/>
        <v>057</v>
      </c>
      <c r="I2513" s="1" t="str">
        <f t="shared" si="236"/>
        <v>14000-057</v>
      </c>
      <c r="J2513" s="1" t="str">
        <f t="shared" si="237"/>
        <v>French horn production item #057</v>
      </c>
      <c r="K2513" s="1" t="str">
        <f>IF(SUM(COUNTIFS(I:I, I2513)) &gt; 1, "DUPLICATE", "UNIQUE")</f>
        <v>UNIQUE</v>
      </c>
      <c r="L2513" s="18">
        <v>0</v>
      </c>
      <c r="M2513" s="28">
        <v>100</v>
      </c>
      <c r="N2513" s="6">
        <v>256</v>
      </c>
      <c r="O2513" s="30">
        <f t="shared" si="238"/>
        <v>0</v>
      </c>
      <c r="P2513" s="30">
        <f t="shared" si="239"/>
        <v>25600</v>
      </c>
      <c r="Q2513" s="1">
        <f>COUNTIFS($P:$P, "&gt;" &amp; $P2513) + 1</f>
        <v>807</v>
      </c>
      <c r="R2513" s="63">
        <f>(COUNTIFS($P:$P, "&gt;" &amp; $P2513) + 1) / (COUNTA($I:$I) - 1)</f>
        <v>0.16139999999999999</v>
      </c>
      <c r="S2513" s="23">
        <f>SUMIFS($P:$P, $Q:$Q, "&lt;" &amp; $Q2513)</f>
        <v>162007541</v>
      </c>
    </row>
    <row r="2514" spans="1:19" x14ac:dyDescent="0.25">
      <c r="A2514" s="1">
        <v>2509</v>
      </c>
      <c r="B2514" s="1" t="s">
        <v>2</v>
      </c>
      <c r="C2514" s="1" t="str">
        <f>IF($B2514 = "Production Item", _xlfn.XLOOKUP($A2514, 'Instrument Table'!$J:$J, 'Instrument Table'!$B:$B, $C2513), IF($B2514 = "Service Item", _xlfn.XLOOKUP($A2514, 'Instrument Table'!$I:$I, 'Instrument Table'!$B:$B, $C2513), _xlfn.XLOOKUP($A2514, 'Instrument Table'!$H:$H, 'Instrument Table'!$B:$B, $C2513)))</f>
        <v>French Horn</v>
      </c>
      <c r="D2514" s="1" t="str">
        <f>VLOOKUP($C2514, 'Instrument Table'!$B:$C, 2, FALSE)</f>
        <v>Brass</v>
      </c>
      <c r="E2514" s="1">
        <f t="shared" si="234"/>
        <v>1</v>
      </c>
      <c r="F2514" s="1">
        <f>_xlfn.XLOOKUP($C2514, 'Instrument Table'!$B:$B, 'Instrument Table'!$A:$A, "")</f>
        <v>40</v>
      </c>
      <c r="G2514" s="1" t="str">
        <f>TEXT(IF($B2514 = "Retail Item", IF((ROW($A2514) - 4504 - _xlfn.XMATCH($C2514, $C$4506:$C$5005, 0, 1)) &lt;= VLOOKUP($C2514, 'Instrument Table'!$B:$D, 3, FALSE), ROW($A2514) - 4504 - _xlfn.XMATCH($C2514, $C$4506:$C$5005, 0, 1), 0), 0), "00")</f>
        <v>00</v>
      </c>
      <c r="H2514" s="1" t="str">
        <f t="shared" si="235"/>
        <v>058</v>
      </c>
      <c r="I2514" s="1" t="str">
        <f t="shared" si="236"/>
        <v>14000-058</v>
      </c>
      <c r="J2514" s="1" t="str">
        <f t="shared" si="237"/>
        <v>French horn production item #058</v>
      </c>
      <c r="K2514" s="1" t="str">
        <f>IF(SUM(COUNTIFS(I:I, I2514)) &gt; 1, "DUPLICATE", "UNIQUE")</f>
        <v>UNIQUE</v>
      </c>
      <c r="L2514" s="18">
        <v>2</v>
      </c>
      <c r="M2514" s="28">
        <v>57</v>
      </c>
      <c r="N2514" s="6">
        <v>100</v>
      </c>
      <c r="O2514" s="30">
        <f t="shared" si="238"/>
        <v>114</v>
      </c>
      <c r="P2514" s="30">
        <f t="shared" si="239"/>
        <v>5700</v>
      </c>
      <c r="Q2514" s="1">
        <f>COUNTIFS($P:$P, "&gt;" &amp; $P2514) + 1</f>
        <v>2315</v>
      </c>
      <c r="R2514" s="63">
        <f>(COUNTIFS($P:$P, "&gt;" &amp; $P2514) + 1) / (COUNTA($I:$I) - 1)</f>
        <v>0.46300000000000002</v>
      </c>
      <c r="S2514" s="23">
        <f>SUMIFS($P:$P, $Q:$Q, "&lt;" &amp; $Q2514)</f>
        <v>182150773</v>
      </c>
    </row>
    <row r="2515" spans="1:19" x14ac:dyDescent="0.25">
      <c r="A2515" s="1">
        <v>2510</v>
      </c>
      <c r="B2515" s="1" t="s">
        <v>2</v>
      </c>
      <c r="C2515" s="1" t="str">
        <f>IF($B2515 = "Production Item", _xlfn.XLOOKUP($A2515, 'Instrument Table'!$J:$J, 'Instrument Table'!$B:$B, $C2514), IF($B2515 = "Service Item", _xlfn.XLOOKUP($A2515, 'Instrument Table'!$I:$I, 'Instrument Table'!$B:$B, $C2514), _xlfn.XLOOKUP($A2515, 'Instrument Table'!$H:$H, 'Instrument Table'!$B:$B, $C2514)))</f>
        <v>French Horn</v>
      </c>
      <c r="D2515" s="1" t="str">
        <f>VLOOKUP($C2515, 'Instrument Table'!$B:$C, 2, FALSE)</f>
        <v>Brass</v>
      </c>
      <c r="E2515" s="1">
        <f t="shared" si="234"/>
        <v>1</v>
      </c>
      <c r="F2515" s="1">
        <f>_xlfn.XLOOKUP($C2515, 'Instrument Table'!$B:$B, 'Instrument Table'!$A:$A, "")</f>
        <v>40</v>
      </c>
      <c r="G2515" s="1" t="str">
        <f>TEXT(IF($B2515 = "Retail Item", IF((ROW($A2515) - 4504 - _xlfn.XMATCH($C2515, $C$4506:$C$5005, 0, 1)) &lt;= VLOOKUP($C2515, 'Instrument Table'!$B:$D, 3, FALSE), ROW($A2515) - 4504 - _xlfn.XMATCH($C2515, $C$4506:$C$5005, 0, 1), 0), 0), "00")</f>
        <v>00</v>
      </c>
      <c r="H2515" s="1" t="str">
        <f t="shared" si="235"/>
        <v>059</v>
      </c>
      <c r="I2515" s="1" t="str">
        <f t="shared" si="236"/>
        <v>14000-059</v>
      </c>
      <c r="J2515" s="1" t="str">
        <f t="shared" si="237"/>
        <v>French horn production item #059</v>
      </c>
      <c r="K2515" s="1" t="str">
        <f>IF(SUM(COUNTIFS(I:I, I2515)) &gt; 1, "DUPLICATE", "UNIQUE")</f>
        <v>UNIQUE</v>
      </c>
      <c r="L2515" s="18">
        <v>8</v>
      </c>
      <c r="M2515" s="28">
        <v>37</v>
      </c>
      <c r="N2515" s="6">
        <v>144</v>
      </c>
      <c r="O2515" s="30">
        <f t="shared" si="238"/>
        <v>296</v>
      </c>
      <c r="P2515" s="30">
        <f t="shared" si="239"/>
        <v>5328</v>
      </c>
      <c r="Q2515" s="1">
        <f>COUNTIFS($P:$P, "&gt;" &amp; $P2515) + 1</f>
        <v>2381</v>
      </c>
      <c r="R2515" s="63">
        <f>(COUNTIFS($P:$P, "&gt;" &amp; $P2515) + 1) / (COUNTA($I:$I) - 1)</f>
        <v>0.47620000000000001</v>
      </c>
      <c r="S2515" s="23">
        <f>SUMIFS($P:$P, $Q:$Q, "&lt;" &amp; $Q2515)</f>
        <v>182516121</v>
      </c>
    </row>
    <row r="2516" spans="1:19" x14ac:dyDescent="0.25">
      <c r="A2516" s="1">
        <v>2511</v>
      </c>
      <c r="B2516" s="1" t="s">
        <v>2</v>
      </c>
      <c r="C2516" s="1" t="str">
        <f>IF($B2516 = "Production Item", _xlfn.XLOOKUP($A2516, 'Instrument Table'!$J:$J, 'Instrument Table'!$B:$B, $C2515), IF($B2516 = "Service Item", _xlfn.XLOOKUP($A2516, 'Instrument Table'!$I:$I, 'Instrument Table'!$B:$B, $C2515), _xlfn.XLOOKUP($A2516, 'Instrument Table'!$H:$H, 'Instrument Table'!$B:$B, $C2515)))</f>
        <v>French Horn</v>
      </c>
      <c r="D2516" s="1" t="str">
        <f>VLOOKUP($C2516, 'Instrument Table'!$B:$C, 2, FALSE)</f>
        <v>Brass</v>
      </c>
      <c r="E2516" s="1">
        <f t="shared" si="234"/>
        <v>1</v>
      </c>
      <c r="F2516" s="1">
        <f>_xlfn.XLOOKUP($C2516, 'Instrument Table'!$B:$B, 'Instrument Table'!$A:$A, "")</f>
        <v>40</v>
      </c>
      <c r="G2516" s="1" t="str">
        <f>TEXT(IF($B2516 = "Retail Item", IF((ROW($A2516) - 4504 - _xlfn.XMATCH($C2516, $C$4506:$C$5005, 0, 1)) &lt;= VLOOKUP($C2516, 'Instrument Table'!$B:$D, 3, FALSE), ROW($A2516) - 4504 - _xlfn.XMATCH($C2516, $C$4506:$C$5005, 0, 1), 0), 0), "00")</f>
        <v>00</v>
      </c>
      <c r="H2516" s="1" t="str">
        <f t="shared" si="235"/>
        <v>060</v>
      </c>
      <c r="I2516" s="1" t="str">
        <f t="shared" si="236"/>
        <v>14000-060</v>
      </c>
      <c r="J2516" s="1" t="str">
        <f t="shared" si="237"/>
        <v>French horn production item #060</v>
      </c>
      <c r="K2516" s="1" t="str">
        <f>IF(SUM(COUNTIFS(I:I, I2516)) &gt; 1, "DUPLICATE", "UNIQUE")</f>
        <v>UNIQUE</v>
      </c>
      <c r="L2516" s="18">
        <v>0</v>
      </c>
      <c r="M2516" s="28">
        <v>44</v>
      </c>
      <c r="N2516" s="6">
        <v>81</v>
      </c>
      <c r="O2516" s="30">
        <f t="shared" si="238"/>
        <v>0</v>
      </c>
      <c r="P2516" s="30">
        <f t="shared" si="239"/>
        <v>3564</v>
      </c>
      <c r="Q2516" s="1">
        <f>COUNTIFS($P:$P, "&gt;" &amp; $P2516) + 1</f>
        <v>2753</v>
      </c>
      <c r="R2516" s="63">
        <f>(COUNTIFS($P:$P, "&gt;" &amp; $P2516) + 1) / (COUNTA($I:$I) - 1)</f>
        <v>0.55059999999999998</v>
      </c>
      <c r="S2516" s="23">
        <f>SUMIFS($P:$P, $Q:$Q, "&lt;" &amp; $Q2516)</f>
        <v>184161538</v>
      </c>
    </row>
    <row r="2517" spans="1:19" x14ac:dyDescent="0.25">
      <c r="A2517" s="1">
        <v>2512</v>
      </c>
      <c r="B2517" s="1" t="s">
        <v>2</v>
      </c>
      <c r="C2517" s="1" t="str">
        <f>IF($B2517 = "Production Item", _xlfn.XLOOKUP($A2517, 'Instrument Table'!$J:$J, 'Instrument Table'!$B:$B, $C2516), IF($B2517 = "Service Item", _xlfn.XLOOKUP($A2517, 'Instrument Table'!$I:$I, 'Instrument Table'!$B:$B, $C2516), _xlfn.XLOOKUP($A2517, 'Instrument Table'!$H:$H, 'Instrument Table'!$B:$B, $C2516)))</f>
        <v>French Horn</v>
      </c>
      <c r="D2517" s="1" t="str">
        <f>VLOOKUP($C2517, 'Instrument Table'!$B:$C, 2, FALSE)</f>
        <v>Brass</v>
      </c>
      <c r="E2517" s="1">
        <f t="shared" si="234"/>
        <v>1</v>
      </c>
      <c r="F2517" s="1">
        <f>_xlfn.XLOOKUP($C2517, 'Instrument Table'!$B:$B, 'Instrument Table'!$A:$A, "")</f>
        <v>40</v>
      </c>
      <c r="G2517" s="1" t="str">
        <f>TEXT(IF($B2517 = "Retail Item", IF((ROW($A2517) - 4504 - _xlfn.XMATCH($C2517, $C$4506:$C$5005, 0, 1)) &lt;= VLOOKUP($C2517, 'Instrument Table'!$B:$D, 3, FALSE), ROW($A2517) - 4504 - _xlfn.XMATCH($C2517, $C$4506:$C$5005, 0, 1), 0), 0), "00")</f>
        <v>00</v>
      </c>
      <c r="H2517" s="1" t="str">
        <f t="shared" si="235"/>
        <v>061</v>
      </c>
      <c r="I2517" s="1" t="str">
        <f t="shared" si="236"/>
        <v>14000-061</v>
      </c>
      <c r="J2517" s="1" t="str">
        <f t="shared" si="237"/>
        <v>French horn production item #061</v>
      </c>
      <c r="K2517" s="1" t="str">
        <f>IF(SUM(COUNTIFS(I:I, I2517)) &gt; 1, "DUPLICATE", "UNIQUE")</f>
        <v>UNIQUE</v>
      </c>
      <c r="L2517" s="18">
        <v>1</v>
      </c>
      <c r="M2517" s="28">
        <v>57</v>
      </c>
      <c r="N2517" s="6">
        <v>16</v>
      </c>
      <c r="O2517" s="30">
        <f t="shared" si="238"/>
        <v>57</v>
      </c>
      <c r="P2517" s="30">
        <f t="shared" si="239"/>
        <v>912</v>
      </c>
      <c r="Q2517" s="1">
        <f>COUNTIFS($P:$P, "&gt;" &amp; $P2517) + 1</f>
        <v>3719</v>
      </c>
      <c r="R2517" s="63">
        <f>(COUNTIFS($P:$P, "&gt;" &amp; $P2517) + 1) / (COUNTA($I:$I) - 1)</f>
        <v>0.74380000000000002</v>
      </c>
      <c r="S2517" s="23">
        <f>SUMIFS($P:$P, $Q:$Q, "&lt;" &amp; $Q2517)</f>
        <v>186196664</v>
      </c>
    </row>
    <row r="2518" spans="1:19" x14ac:dyDescent="0.25">
      <c r="A2518" s="1">
        <v>2513</v>
      </c>
      <c r="B2518" s="1" t="s">
        <v>2</v>
      </c>
      <c r="C2518" s="1" t="str">
        <f>IF($B2518 = "Production Item", _xlfn.XLOOKUP($A2518, 'Instrument Table'!$J:$J, 'Instrument Table'!$B:$B, $C2517), IF($B2518 = "Service Item", _xlfn.XLOOKUP($A2518, 'Instrument Table'!$I:$I, 'Instrument Table'!$B:$B, $C2517), _xlfn.XLOOKUP($A2518, 'Instrument Table'!$H:$H, 'Instrument Table'!$B:$B, $C2517)))</f>
        <v>French Horn</v>
      </c>
      <c r="D2518" s="1" t="str">
        <f>VLOOKUP($C2518, 'Instrument Table'!$B:$C, 2, FALSE)</f>
        <v>Brass</v>
      </c>
      <c r="E2518" s="1">
        <f t="shared" si="234"/>
        <v>1</v>
      </c>
      <c r="F2518" s="1">
        <f>_xlfn.XLOOKUP($C2518, 'Instrument Table'!$B:$B, 'Instrument Table'!$A:$A, "")</f>
        <v>40</v>
      </c>
      <c r="G2518" s="1" t="str">
        <f>TEXT(IF($B2518 = "Retail Item", IF((ROW($A2518) - 4504 - _xlfn.XMATCH($C2518, $C$4506:$C$5005, 0, 1)) &lt;= VLOOKUP($C2518, 'Instrument Table'!$B:$D, 3, FALSE), ROW($A2518) - 4504 - _xlfn.XMATCH($C2518, $C$4506:$C$5005, 0, 1), 0), 0), "00")</f>
        <v>00</v>
      </c>
      <c r="H2518" s="1" t="str">
        <f t="shared" si="235"/>
        <v>062</v>
      </c>
      <c r="I2518" s="1" t="str">
        <f t="shared" si="236"/>
        <v>14000-062</v>
      </c>
      <c r="J2518" s="1" t="str">
        <f t="shared" si="237"/>
        <v>French horn production item #062</v>
      </c>
      <c r="K2518" s="1" t="str">
        <f>IF(SUM(COUNTIFS(I:I, I2518)) &gt; 1, "DUPLICATE", "UNIQUE")</f>
        <v>UNIQUE</v>
      </c>
      <c r="L2518" s="18">
        <v>16</v>
      </c>
      <c r="M2518" s="28">
        <v>93</v>
      </c>
      <c r="N2518" s="6">
        <v>25</v>
      </c>
      <c r="O2518" s="30">
        <f t="shared" si="238"/>
        <v>1488</v>
      </c>
      <c r="P2518" s="30">
        <f t="shared" si="239"/>
        <v>2325</v>
      </c>
      <c r="Q2518" s="1">
        <f>COUNTIFS($P:$P, "&gt;" &amp; $P2518) + 1</f>
        <v>3115</v>
      </c>
      <c r="R2518" s="63">
        <f>(COUNTIFS($P:$P, "&gt;" &amp; $P2518) + 1) / (COUNTA($I:$I) - 1)</f>
        <v>0.623</v>
      </c>
      <c r="S2518" s="23">
        <f>SUMIFS($P:$P, $Q:$Q, "&lt;" &amp; $Q2518)</f>
        <v>185217692</v>
      </c>
    </row>
    <row r="2519" spans="1:19" x14ac:dyDescent="0.25">
      <c r="A2519" s="1">
        <v>2514</v>
      </c>
      <c r="B2519" s="1" t="s">
        <v>2</v>
      </c>
      <c r="C2519" s="1" t="str">
        <f>IF($B2519 = "Production Item", _xlfn.XLOOKUP($A2519, 'Instrument Table'!$J:$J, 'Instrument Table'!$B:$B, $C2518), IF($B2519 = "Service Item", _xlfn.XLOOKUP($A2519, 'Instrument Table'!$I:$I, 'Instrument Table'!$B:$B, $C2518), _xlfn.XLOOKUP($A2519, 'Instrument Table'!$H:$H, 'Instrument Table'!$B:$B, $C2518)))</f>
        <v>French Horn</v>
      </c>
      <c r="D2519" s="1" t="str">
        <f>VLOOKUP($C2519, 'Instrument Table'!$B:$C, 2, FALSE)</f>
        <v>Brass</v>
      </c>
      <c r="E2519" s="1">
        <f t="shared" si="234"/>
        <v>1</v>
      </c>
      <c r="F2519" s="1">
        <f>_xlfn.XLOOKUP($C2519, 'Instrument Table'!$B:$B, 'Instrument Table'!$A:$A, "")</f>
        <v>40</v>
      </c>
      <c r="G2519" s="1" t="str">
        <f>TEXT(IF($B2519 = "Retail Item", IF((ROW($A2519) - 4504 - _xlfn.XMATCH($C2519, $C$4506:$C$5005, 0, 1)) &lt;= VLOOKUP($C2519, 'Instrument Table'!$B:$D, 3, FALSE), ROW($A2519) - 4504 - _xlfn.XMATCH($C2519, $C$4506:$C$5005, 0, 1), 0), 0), "00")</f>
        <v>00</v>
      </c>
      <c r="H2519" s="1" t="str">
        <f t="shared" si="235"/>
        <v>063</v>
      </c>
      <c r="I2519" s="1" t="str">
        <f t="shared" si="236"/>
        <v>14000-063</v>
      </c>
      <c r="J2519" s="1" t="str">
        <f t="shared" si="237"/>
        <v>French horn production item #063</v>
      </c>
      <c r="K2519" s="1" t="str">
        <f>IF(SUM(COUNTIFS(I:I, I2519)) &gt; 1, "DUPLICATE", "UNIQUE")</f>
        <v>UNIQUE</v>
      </c>
      <c r="L2519" s="18">
        <v>16</v>
      </c>
      <c r="M2519" s="28">
        <v>13</v>
      </c>
      <c r="N2519" s="6">
        <v>64</v>
      </c>
      <c r="O2519" s="30">
        <f t="shared" si="238"/>
        <v>208</v>
      </c>
      <c r="P2519" s="30">
        <f t="shared" si="239"/>
        <v>832</v>
      </c>
      <c r="Q2519" s="1">
        <f>COUNTIFS($P:$P, "&gt;" &amp; $P2519) + 1</f>
        <v>3775</v>
      </c>
      <c r="R2519" s="63">
        <f>(COUNTIFS($P:$P, "&gt;" &amp; $P2519) + 1) / (COUNTA($I:$I) - 1)</f>
        <v>0.755</v>
      </c>
      <c r="S2519" s="23">
        <f>SUMIFS($P:$P, $Q:$Q, "&lt;" &amp; $Q2519)</f>
        <v>186245417</v>
      </c>
    </row>
    <row r="2520" spans="1:19" x14ac:dyDescent="0.25">
      <c r="A2520" s="1">
        <v>2515</v>
      </c>
      <c r="B2520" s="1" t="s">
        <v>2</v>
      </c>
      <c r="C2520" s="1" t="str">
        <f>IF($B2520 = "Production Item", _xlfn.XLOOKUP($A2520, 'Instrument Table'!$J:$J, 'Instrument Table'!$B:$B, $C2519), IF($B2520 = "Service Item", _xlfn.XLOOKUP($A2520, 'Instrument Table'!$I:$I, 'Instrument Table'!$B:$B, $C2519), _xlfn.XLOOKUP($A2520, 'Instrument Table'!$H:$H, 'Instrument Table'!$B:$B, $C2519)))</f>
        <v>French Horn</v>
      </c>
      <c r="D2520" s="1" t="str">
        <f>VLOOKUP($C2520, 'Instrument Table'!$B:$C, 2, FALSE)</f>
        <v>Brass</v>
      </c>
      <c r="E2520" s="1">
        <f t="shared" si="234"/>
        <v>1</v>
      </c>
      <c r="F2520" s="1">
        <f>_xlfn.XLOOKUP($C2520, 'Instrument Table'!$B:$B, 'Instrument Table'!$A:$A, "")</f>
        <v>40</v>
      </c>
      <c r="G2520" s="1" t="str">
        <f>TEXT(IF($B2520 = "Retail Item", IF((ROW($A2520) - 4504 - _xlfn.XMATCH($C2520, $C$4506:$C$5005, 0, 1)) &lt;= VLOOKUP($C2520, 'Instrument Table'!$B:$D, 3, FALSE), ROW($A2520) - 4504 - _xlfn.XMATCH($C2520, $C$4506:$C$5005, 0, 1), 0), 0), "00")</f>
        <v>00</v>
      </c>
      <c r="H2520" s="1" t="str">
        <f t="shared" si="235"/>
        <v>064</v>
      </c>
      <c r="I2520" s="1" t="str">
        <f t="shared" si="236"/>
        <v>14000-064</v>
      </c>
      <c r="J2520" s="1" t="str">
        <f t="shared" si="237"/>
        <v>French horn production item #064</v>
      </c>
      <c r="K2520" s="1" t="str">
        <f>IF(SUM(COUNTIFS(I:I, I2520)) &gt; 1, "DUPLICATE", "UNIQUE")</f>
        <v>UNIQUE</v>
      </c>
      <c r="L2520" s="18">
        <v>0</v>
      </c>
      <c r="M2520" s="28">
        <v>57</v>
      </c>
      <c r="N2520" s="6">
        <v>324</v>
      </c>
      <c r="O2520" s="30">
        <f t="shared" si="238"/>
        <v>0</v>
      </c>
      <c r="P2520" s="30">
        <f t="shared" si="239"/>
        <v>18468</v>
      </c>
      <c r="Q2520" s="1">
        <f>COUNTIFS($P:$P, "&gt;" &amp; $P2520) + 1</f>
        <v>1132</v>
      </c>
      <c r="R2520" s="63">
        <f>(COUNTIFS($P:$P, "&gt;" &amp; $P2520) + 1) / (COUNTA($I:$I) - 1)</f>
        <v>0.22639999999999999</v>
      </c>
      <c r="S2520" s="23">
        <f>SUMIFS($P:$P, $Q:$Q, "&lt;" &amp; $Q2520)</f>
        <v>169105103</v>
      </c>
    </row>
    <row r="2521" spans="1:19" x14ac:dyDescent="0.25">
      <c r="A2521" s="1">
        <v>2516</v>
      </c>
      <c r="B2521" s="1" t="s">
        <v>2</v>
      </c>
      <c r="C2521" s="1" t="str">
        <f>IF($B2521 = "Production Item", _xlfn.XLOOKUP($A2521, 'Instrument Table'!$J:$J, 'Instrument Table'!$B:$B, $C2520), IF($B2521 = "Service Item", _xlfn.XLOOKUP($A2521, 'Instrument Table'!$I:$I, 'Instrument Table'!$B:$B, $C2520), _xlfn.XLOOKUP($A2521, 'Instrument Table'!$H:$H, 'Instrument Table'!$B:$B, $C2520)))</f>
        <v>French Horn</v>
      </c>
      <c r="D2521" s="1" t="str">
        <f>VLOOKUP($C2521, 'Instrument Table'!$B:$C, 2, FALSE)</f>
        <v>Brass</v>
      </c>
      <c r="E2521" s="1">
        <f t="shared" si="234"/>
        <v>1</v>
      </c>
      <c r="F2521" s="1">
        <f>_xlfn.XLOOKUP($C2521, 'Instrument Table'!$B:$B, 'Instrument Table'!$A:$A, "")</f>
        <v>40</v>
      </c>
      <c r="G2521" s="1" t="str">
        <f>TEXT(IF($B2521 = "Retail Item", IF((ROW($A2521) - 4504 - _xlfn.XMATCH($C2521, $C$4506:$C$5005, 0, 1)) &lt;= VLOOKUP($C2521, 'Instrument Table'!$B:$D, 3, FALSE), ROW($A2521) - 4504 - _xlfn.XMATCH($C2521, $C$4506:$C$5005, 0, 1), 0), 0), "00")</f>
        <v>00</v>
      </c>
      <c r="H2521" s="1" t="str">
        <f t="shared" si="235"/>
        <v>065</v>
      </c>
      <c r="I2521" s="1" t="str">
        <f t="shared" si="236"/>
        <v>14000-065</v>
      </c>
      <c r="J2521" s="1" t="str">
        <f t="shared" si="237"/>
        <v>French horn production item #065</v>
      </c>
      <c r="K2521" s="1" t="str">
        <f>IF(SUM(COUNTIFS(I:I, I2521)) &gt; 1, "DUPLICATE", "UNIQUE")</f>
        <v>UNIQUE</v>
      </c>
      <c r="L2521" s="18">
        <v>4</v>
      </c>
      <c r="M2521" s="28">
        <v>39</v>
      </c>
      <c r="N2521" s="6">
        <v>49</v>
      </c>
      <c r="O2521" s="30">
        <f t="shared" si="238"/>
        <v>156</v>
      </c>
      <c r="P2521" s="30">
        <f t="shared" si="239"/>
        <v>1911</v>
      </c>
      <c r="Q2521" s="1">
        <f>COUNTIFS($P:$P, "&gt;" &amp; $P2521) + 1</f>
        <v>3291</v>
      </c>
      <c r="R2521" s="63">
        <f>(COUNTIFS($P:$P, "&gt;" &amp; $P2521) + 1) / (COUNTA($I:$I) - 1)</f>
        <v>0.65820000000000001</v>
      </c>
      <c r="S2521" s="23">
        <f>SUMIFS($P:$P, $Q:$Q, "&lt;" &amp; $Q2521)</f>
        <v>185591898</v>
      </c>
    </row>
    <row r="2522" spans="1:19" x14ac:dyDescent="0.25">
      <c r="A2522" s="1">
        <v>2517</v>
      </c>
      <c r="B2522" s="1" t="s">
        <v>2</v>
      </c>
      <c r="C2522" s="1" t="str">
        <f>IF($B2522 = "Production Item", _xlfn.XLOOKUP($A2522, 'Instrument Table'!$J:$J, 'Instrument Table'!$B:$B, $C2521), IF($B2522 = "Service Item", _xlfn.XLOOKUP($A2522, 'Instrument Table'!$I:$I, 'Instrument Table'!$B:$B, $C2521), _xlfn.XLOOKUP($A2522, 'Instrument Table'!$H:$H, 'Instrument Table'!$B:$B, $C2521)))</f>
        <v>French Horn</v>
      </c>
      <c r="D2522" s="1" t="str">
        <f>VLOOKUP($C2522, 'Instrument Table'!$B:$C, 2, FALSE)</f>
        <v>Brass</v>
      </c>
      <c r="E2522" s="1">
        <f t="shared" si="234"/>
        <v>1</v>
      </c>
      <c r="F2522" s="1">
        <f>_xlfn.XLOOKUP($C2522, 'Instrument Table'!$B:$B, 'Instrument Table'!$A:$A, "")</f>
        <v>40</v>
      </c>
      <c r="G2522" s="1" t="str">
        <f>TEXT(IF($B2522 = "Retail Item", IF((ROW($A2522) - 4504 - _xlfn.XMATCH($C2522, $C$4506:$C$5005, 0, 1)) &lt;= VLOOKUP($C2522, 'Instrument Table'!$B:$D, 3, FALSE), ROW($A2522) - 4504 - _xlfn.XMATCH($C2522, $C$4506:$C$5005, 0, 1), 0), 0), "00")</f>
        <v>00</v>
      </c>
      <c r="H2522" s="1" t="str">
        <f t="shared" si="235"/>
        <v>066</v>
      </c>
      <c r="I2522" s="1" t="str">
        <f t="shared" si="236"/>
        <v>14000-066</v>
      </c>
      <c r="J2522" s="1" t="str">
        <f t="shared" si="237"/>
        <v>French horn production item #066</v>
      </c>
      <c r="K2522" s="1" t="str">
        <f>IF(SUM(COUNTIFS(I:I, I2522)) &gt; 1, "DUPLICATE", "UNIQUE")</f>
        <v>UNIQUE</v>
      </c>
      <c r="L2522" s="18">
        <v>0</v>
      </c>
      <c r="M2522" s="28">
        <v>37</v>
      </c>
      <c r="N2522" s="6">
        <v>361</v>
      </c>
      <c r="O2522" s="30">
        <f t="shared" si="238"/>
        <v>0</v>
      </c>
      <c r="P2522" s="30">
        <f t="shared" si="239"/>
        <v>13357</v>
      </c>
      <c r="Q2522" s="1">
        <f>COUNTIFS($P:$P, "&gt;" &amp; $P2522) + 1</f>
        <v>1468</v>
      </c>
      <c r="R2522" s="63">
        <f>(COUNTIFS($P:$P, "&gt;" &amp; $P2522) + 1) / (COUNTA($I:$I) - 1)</f>
        <v>0.29360000000000003</v>
      </c>
      <c r="S2522" s="23">
        <f>SUMIFS($P:$P, $Q:$Q, "&lt;" &amp; $Q2522)</f>
        <v>174416557</v>
      </c>
    </row>
    <row r="2523" spans="1:19" x14ac:dyDescent="0.25">
      <c r="A2523" s="1">
        <v>2518</v>
      </c>
      <c r="B2523" s="1" t="s">
        <v>2</v>
      </c>
      <c r="C2523" s="1" t="str">
        <f>IF($B2523 = "Production Item", _xlfn.XLOOKUP($A2523, 'Instrument Table'!$J:$J, 'Instrument Table'!$B:$B, $C2522), IF($B2523 = "Service Item", _xlfn.XLOOKUP($A2523, 'Instrument Table'!$I:$I, 'Instrument Table'!$B:$B, $C2522), _xlfn.XLOOKUP($A2523, 'Instrument Table'!$H:$H, 'Instrument Table'!$B:$B, $C2522)))</f>
        <v>French Horn</v>
      </c>
      <c r="D2523" s="1" t="str">
        <f>VLOOKUP($C2523, 'Instrument Table'!$B:$C, 2, FALSE)</f>
        <v>Brass</v>
      </c>
      <c r="E2523" s="1">
        <f t="shared" si="234"/>
        <v>1</v>
      </c>
      <c r="F2523" s="1">
        <f>_xlfn.XLOOKUP($C2523, 'Instrument Table'!$B:$B, 'Instrument Table'!$A:$A, "")</f>
        <v>40</v>
      </c>
      <c r="G2523" s="1" t="str">
        <f>TEXT(IF($B2523 = "Retail Item", IF((ROW($A2523) - 4504 - _xlfn.XMATCH($C2523, $C$4506:$C$5005, 0, 1)) &lt;= VLOOKUP($C2523, 'Instrument Table'!$B:$D, 3, FALSE), ROW($A2523) - 4504 - _xlfn.XMATCH($C2523, $C$4506:$C$5005, 0, 1), 0), 0), "00")</f>
        <v>00</v>
      </c>
      <c r="H2523" s="1" t="str">
        <f t="shared" si="235"/>
        <v>067</v>
      </c>
      <c r="I2523" s="1" t="str">
        <f t="shared" si="236"/>
        <v>14000-067</v>
      </c>
      <c r="J2523" s="1" t="str">
        <f t="shared" si="237"/>
        <v>French horn production item #067</v>
      </c>
      <c r="K2523" s="1" t="str">
        <f>IF(SUM(COUNTIFS(I:I, I2523)) &gt; 1, "DUPLICATE", "UNIQUE")</f>
        <v>UNIQUE</v>
      </c>
      <c r="L2523" s="18">
        <v>0</v>
      </c>
      <c r="M2523" s="28">
        <v>94</v>
      </c>
      <c r="N2523" s="6">
        <v>64</v>
      </c>
      <c r="O2523" s="30">
        <f t="shared" si="238"/>
        <v>0</v>
      </c>
      <c r="P2523" s="30">
        <f t="shared" si="239"/>
        <v>6016</v>
      </c>
      <c r="Q2523" s="1">
        <f>COUNTIFS($P:$P, "&gt;" &amp; $P2523) + 1</f>
        <v>2261</v>
      </c>
      <c r="R2523" s="63">
        <f>(COUNTIFS($P:$P, "&gt;" &amp; $P2523) + 1) / (COUNTA($I:$I) - 1)</f>
        <v>0.45219999999999999</v>
      </c>
      <c r="S2523" s="23">
        <f>SUMIFS($P:$P, $Q:$Q, "&lt;" &amp; $Q2523)</f>
        <v>181833826</v>
      </c>
    </row>
    <row r="2524" spans="1:19" x14ac:dyDescent="0.25">
      <c r="A2524" s="1">
        <v>2519</v>
      </c>
      <c r="B2524" s="1" t="s">
        <v>2</v>
      </c>
      <c r="C2524" s="1" t="str">
        <f>IF($B2524 = "Production Item", _xlfn.XLOOKUP($A2524, 'Instrument Table'!$J:$J, 'Instrument Table'!$B:$B, $C2523), IF($B2524 = "Service Item", _xlfn.XLOOKUP($A2524, 'Instrument Table'!$I:$I, 'Instrument Table'!$B:$B, $C2523), _xlfn.XLOOKUP($A2524, 'Instrument Table'!$H:$H, 'Instrument Table'!$B:$B, $C2523)))</f>
        <v>French Horn</v>
      </c>
      <c r="D2524" s="1" t="str">
        <f>VLOOKUP($C2524, 'Instrument Table'!$B:$C, 2, FALSE)</f>
        <v>Brass</v>
      </c>
      <c r="E2524" s="1">
        <f t="shared" si="234"/>
        <v>1</v>
      </c>
      <c r="F2524" s="1">
        <f>_xlfn.XLOOKUP($C2524, 'Instrument Table'!$B:$B, 'Instrument Table'!$A:$A, "")</f>
        <v>40</v>
      </c>
      <c r="G2524" s="1" t="str">
        <f>TEXT(IF($B2524 = "Retail Item", IF((ROW($A2524) - 4504 - _xlfn.XMATCH($C2524, $C$4506:$C$5005, 0, 1)) &lt;= VLOOKUP($C2524, 'Instrument Table'!$B:$D, 3, FALSE), ROW($A2524) - 4504 - _xlfn.XMATCH($C2524, $C$4506:$C$5005, 0, 1), 0), 0), "00")</f>
        <v>00</v>
      </c>
      <c r="H2524" s="1" t="str">
        <f t="shared" si="235"/>
        <v>068</v>
      </c>
      <c r="I2524" s="1" t="str">
        <f t="shared" si="236"/>
        <v>14000-068</v>
      </c>
      <c r="J2524" s="1" t="str">
        <f t="shared" si="237"/>
        <v>French horn production item #068</v>
      </c>
      <c r="K2524" s="1" t="str">
        <f>IF(SUM(COUNTIFS(I:I, I2524)) &gt; 1, "DUPLICATE", "UNIQUE")</f>
        <v>UNIQUE</v>
      </c>
      <c r="L2524" s="18">
        <v>0</v>
      </c>
      <c r="M2524" s="28">
        <v>55</v>
      </c>
      <c r="N2524" s="6">
        <v>25</v>
      </c>
      <c r="O2524" s="30">
        <f t="shared" si="238"/>
        <v>0</v>
      </c>
      <c r="P2524" s="30">
        <f t="shared" si="239"/>
        <v>1375</v>
      </c>
      <c r="Q2524" s="1">
        <f>COUNTIFS($P:$P, "&gt;" &amp; $P2524) + 1</f>
        <v>3521</v>
      </c>
      <c r="R2524" s="63">
        <f>(COUNTIFS($P:$P, "&gt;" &amp; $P2524) + 1) / (COUNTA($I:$I) - 1)</f>
        <v>0.70420000000000005</v>
      </c>
      <c r="S2524" s="23">
        <f>SUMIFS($P:$P, $Q:$Q, "&lt;" &amp; $Q2524)</f>
        <v>185966843</v>
      </c>
    </row>
    <row r="2525" spans="1:19" x14ac:dyDescent="0.25">
      <c r="A2525" s="1">
        <v>2520</v>
      </c>
      <c r="B2525" s="1" t="s">
        <v>2</v>
      </c>
      <c r="C2525" s="1" t="str">
        <f>IF($B2525 = "Production Item", _xlfn.XLOOKUP($A2525, 'Instrument Table'!$J:$J, 'Instrument Table'!$B:$B, $C2524), IF($B2525 = "Service Item", _xlfn.XLOOKUP($A2525, 'Instrument Table'!$I:$I, 'Instrument Table'!$B:$B, $C2524), _xlfn.XLOOKUP($A2525, 'Instrument Table'!$H:$H, 'Instrument Table'!$B:$B, $C2524)))</f>
        <v>French Horn</v>
      </c>
      <c r="D2525" s="1" t="str">
        <f>VLOOKUP($C2525, 'Instrument Table'!$B:$C, 2, FALSE)</f>
        <v>Brass</v>
      </c>
      <c r="E2525" s="1">
        <f t="shared" si="234"/>
        <v>1</v>
      </c>
      <c r="F2525" s="1">
        <f>_xlfn.XLOOKUP($C2525, 'Instrument Table'!$B:$B, 'Instrument Table'!$A:$A, "")</f>
        <v>40</v>
      </c>
      <c r="G2525" s="1" t="str">
        <f>TEXT(IF($B2525 = "Retail Item", IF((ROW($A2525) - 4504 - _xlfn.XMATCH($C2525, $C$4506:$C$5005, 0, 1)) &lt;= VLOOKUP($C2525, 'Instrument Table'!$B:$D, 3, FALSE), ROW($A2525) - 4504 - _xlfn.XMATCH($C2525, $C$4506:$C$5005, 0, 1), 0), 0), "00")</f>
        <v>00</v>
      </c>
      <c r="H2525" s="1" t="str">
        <f t="shared" si="235"/>
        <v>069</v>
      </c>
      <c r="I2525" s="1" t="str">
        <f t="shared" si="236"/>
        <v>14000-069</v>
      </c>
      <c r="J2525" s="1" t="str">
        <f t="shared" si="237"/>
        <v>French horn production item #069</v>
      </c>
      <c r="K2525" s="1" t="str">
        <f>IF(SUM(COUNTIFS(I:I, I2525)) &gt; 1, "DUPLICATE", "UNIQUE")</f>
        <v>UNIQUE</v>
      </c>
      <c r="L2525" s="18">
        <v>0</v>
      </c>
      <c r="M2525" s="28">
        <v>51</v>
      </c>
      <c r="N2525" s="6">
        <v>1</v>
      </c>
      <c r="O2525" s="30">
        <f t="shared" si="238"/>
        <v>0</v>
      </c>
      <c r="P2525" s="30">
        <f t="shared" si="239"/>
        <v>51</v>
      </c>
      <c r="Q2525" s="1">
        <f>COUNTIFS($P:$P, "&gt;" &amp; $P2525) + 1</f>
        <v>4612</v>
      </c>
      <c r="R2525" s="63">
        <f>(COUNTIFS($P:$P, "&gt;" &amp; $P2525) + 1) / (COUNTA($I:$I) - 1)</f>
        <v>0.9224</v>
      </c>
      <c r="S2525" s="23">
        <f>SUMIFS($P:$P, $Q:$Q, "&lt;" &amp; $Q2525)</f>
        <v>186544333</v>
      </c>
    </row>
    <row r="2526" spans="1:19" x14ac:dyDescent="0.25">
      <c r="A2526" s="1">
        <v>2521</v>
      </c>
      <c r="B2526" s="1" t="s">
        <v>2</v>
      </c>
      <c r="C2526" s="1" t="str">
        <f>IF($B2526 = "Production Item", _xlfn.XLOOKUP($A2526, 'Instrument Table'!$J:$J, 'Instrument Table'!$B:$B, $C2525), IF($B2526 = "Service Item", _xlfn.XLOOKUP($A2526, 'Instrument Table'!$I:$I, 'Instrument Table'!$B:$B, $C2525), _xlfn.XLOOKUP($A2526, 'Instrument Table'!$H:$H, 'Instrument Table'!$B:$B, $C2525)))</f>
        <v>French Horn</v>
      </c>
      <c r="D2526" s="1" t="str">
        <f>VLOOKUP($C2526, 'Instrument Table'!$B:$C, 2, FALSE)</f>
        <v>Brass</v>
      </c>
      <c r="E2526" s="1">
        <f t="shared" si="234"/>
        <v>1</v>
      </c>
      <c r="F2526" s="1">
        <f>_xlfn.XLOOKUP($C2526, 'Instrument Table'!$B:$B, 'Instrument Table'!$A:$A, "")</f>
        <v>40</v>
      </c>
      <c r="G2526" s="1" t="str">
        <f>TEXT(IF($B2526 = "Retail Item", IF((ROW($A2526) - 4504 - _xlfn.XMATCH($C2526, $C$4506:$C$5005, 0, 1)) &lt;= VLOOKUP($C2526, 'Instrument Table'!$B:$D, 3, FALSE), ROW($A2526) - 4504 - _xlfn.XMATCH($C2526, $C$4506:$C$5005, 0, 1), 0), 0), "00")</f>
        <v>00</v>
      </c>
      <c r="H2526" s="1" t="str">
        <f t="shared" si="235"/>
        <v>070</v>
      </c>
      <c r="I2526" s="1" t="str">
        <f t="shared" si="236"/>
        <v>14000-070</v>
      </c>
      <c r="J2526" s="1" t="str">
        <f t="shared" si="237"/>
        <v>French horn production item #070</v>
      </c>
      <c r="K2526" s="1" t="str">
        <f>IF(SUM(COUNTIFS(I:I, I2526)) &gt; 1, "DUPLICATE", "UNIQUE")</f>
        <v>UNIQUE</v>
      </c>
      <c r="L2526" s="18">
        <v>4</v>
      </c>
      <c r="M2526" s="28">
        <v>7</v>
      </c>
      <c r="N2526" s="6">
        <v>289</v>
      </c>
      <c r="O2526" s="30">
        <f t="shared" si="238"/>
        <v>28</v>
      </c>
      <c r="P2526" s="30">
        <f t="shared" si="239"/>
        <v>2023</v>
      </c>
      <c r="Q2526" s="1">
        <f>COUNTIFS($P:$P, "&gt;" &amp; $P2526) + 1</f>
        <v>3249</v>
      </c>
      <c r="R2526" s="63">
        <f>(COUNTIFS($P:$P, "&gt;" &amp; $P2526) + 1) / (COUNTA($I:$I) - 1)</f>
        <v>0.64980000000000004</v>
      </c>
      <c r="S2526" s="23">
        <f>SUMIFS($P:$P, $Q:$Q, "&lt;" &amp; $Q2526)</f>
        <v>185509063</v>
      </c>
    </row>
    <row r="2527" spans="1:19" x14ac:dyDescent="0.25">
      <c r="A2527" s="1">
        <v>2522</v>
      </c>
      <c r="B2527" s="1" t="s">
        <v>2</v>
      </c>
      <c r="C2527" s="1" t="str">
        <f>IF($B2527 = "Production Item", _xlfn.XLOOKUP($A2527, 'Instrument Table'!$J:$J, 'Instrument Table'!$B:$B, $C2526), IF($B2527 = "Service Item", _xlfn.XLOOKUP($A2527, 'Instrument Table'!$I:$I, 'Instrument Table'!$B:$B, $C2526), _xlfn.XLOOKUP($A2527, 'Instrument Table'!$H:$H, 'Instrument Table'!$B:$B, $C2526)))</f>
        <v>French Horn</v>
      </c>
      <c r="D2527" s="1" t="str">
        <f>VLOOKUP($C2527, 'Instrument Table'!$B:$C, 2, FALSE)</f>
        <v>Brass</v>
      </c>
      <c r="E2527" s="1">
        <f t="shared" si="234"/>
        <v>1</v>
      </c>
      <c r="F2527" s="1">
        <f>_xlfn.XLOOKUP($C2527, 'Instrument Table'!$B:$B, 'Instrument Table'!$A:$A, "")</f>
        <v>40</v>
      </c>
      <c r="G2527" s="1" t="str">
        <f>TEXT(IF($B2527 = "Retail Item", IF((ROW($A2527) - 4504 - _xlfn.XMATCH($C2527, $C$4506:$C$5005, 0, 1)) &lt;= VLOOKUP($C2527, 'Instrument Table'!$B:$D, 3, FALSE), ROW($A2527) - 4504 - _xlfn.XMATCH($C2527, $C$4506:$C$5005, 0, 1), 0), 0), "00")</f>
        <v>00</v>
      </c>
      <c r="H2527" s="1" t="str">
        <f t="shared" si="235"/>
        <v>071</v>
      </c>
      <c r="I2527" s="1" t="str">
        <f t="shared" si="236"/>
        <v>14000-071</v>
      </c>
      <c r="J2527" s="1" t="str">
        <f t="shared" si="237"/>
        <v>French horn production item #071</v>
      </c>
      <c r="K2527" s="1" t="str">
        <f>IF(SUM(COUNTIFS(I:I, I2527)) &gt; 1, "DUPLICATE", "UNIQUE")</f>
        <v>UNIQUE</v>
      </c>
      <c r="L2527" s="18">
        <v>8</v>
      </c>
      <c r="M2527" s="28">
        <v>93</v>
      </c>
      <c r="N2527" s="6">
        <v>100</v>
      </c>
      <c r="O2527" s="30">
        <f t="shared" si="238"/>
        <v>744</v>
      </c>
      <c r="P2527" s="30">
        <f t="shared" si="239"/>
        <v>9300</v>
      </c>
      <c r="Q2527" s="1">
        <f>COUNTIFS($P:$P, "&gt;" &amp; $P2527) + 1</f>
        <v>1842</v>
      </c>
      <c r="R2527" s="63">
        <f>(COUNTIFS($P:$P, "&gt;" &amp; $P2527) + 1) / (COUNTA($I:$I) - 1)</f>
        <v>0.36840000000000001</v>
      </c>
      <c r="S2527" s="23">
        <f>SUMIFS($P:$P, $Q:$Q, "&lt;" &amp; $Q2527)</f>
        <v>178639834</v>
      </c>
    </row>
    <row r="2528" spans="1:19" x14ac:dyDescent="0.25">
      <c r="A2528" s="1">
        <v>2523</v>
      </c>
      <c r="B2528" s="1" t="s">
        <v>2</v>
      </c>
      <c r="C2528" s="1" t="str">
        <f>IF($B2528 = "Production Item", _xlfn.XLOOKUP($A2528, 'Instrument Table'!$J:$J, 'Instrument Table'!$B:$B, $C2527), IF($B2528 = "Service Item", _xlfn.XLOOKUP($A2528, 'Instrument Table'!$I:$I, 'Instrument Table'!$B:$B, $C2527), _xlfn.XLOOKUP($A2528, 'Instrument Table'!$H:$H, 'Instrument Table'!$B:$B, $C2527)))</f>
        <v>French Horn</v>
      </c>
      <c r="D2528" s="1" t="str">
        <f>VLOOKUP($C2528, 'Instrument Table'!$B:$C, 2, FALSE)</f>
        <v>Brass</v>
      </c>
      <c r="E2528" s="1">
        <f t="shared" si="234"/>
        <v>1</v>
      </c>
      <c r="F2528" s="1">
        <f>_xlfn.XLOOKUP($C2528, 'Instrument Table'!$B:$B, 'Instrument Table'!$A:$A, "")</f>
        <v>40</v>
      </c>
      <c r="G2528" s="1" t="str">
        <f>TEXT(IF($B2528 = "Retail Item", IF((ROW($A2528) - 4504 - _xlfn.XMATCH($C2528, $C$4506:$C$5005, 0, 1)) &lt;= VLOOKUP($C2528, 'Instrument Table'!$B:$D, 3, FALSE), ROW($A2528) - 4504 - _xlfn.XMATCH($C2528, $C$4506:$C$5005, 0, 1), 0), 0), "00")</f>
        <v>00</v>
      </c>
      <c r="H2528" s="1" t="str">
        <f t="shared" si="235"/>
        <v>072</v>
      </c>
      <c r="I2528" s="1" t="str">
        <f t="shared" si="236"/>
        <v>14000-072</v>
      </c>
      <c r="J2528" s="1" t="str">
        <f t="shared" si="237"/>
        <v>French horn production item #072</v>
      </c>
      <c r="K2528" s="1" t="str">
        <f>IF(SUM(COUNTIFS(I:I, I2528)) &gt; 1, "DUPLICATE", "UNIQUE")</f>
        <v>UNIQUE</v>
      </c>
      <c r="L2528" s="18">
        <v>0</v>
      </c>
      <c r="M2528" s="28">
        <v>30</v>
      </c>
      <c r="N2528" s="6">
        <v>361</v>
      </c>
      <c r="O2528" s="30">
        <f t="shared" si="238"/>
        <v>0</v>
      </c>
      <c r="P2528" s="30">
        <f t="shared" si="239"/>
        <v>10830</v>
      </c>
      <c r="Q2528" s="1">
        <f>COUNTIFS($P:$P, "&gt;" &amp; $P2528) + 1</f>
        <v>1698</v>
      </c>
      <c r="R2528" s="63">
        <f>(COUNTIFS($P:$P, "&gt;" &amp; $P2528) + 1) / (COUNTA($I:$I) - 1)</f>
        <v>0.33960000000000001</v>
      </c>
      <c r="S2528" s="23">
        <f>SUMIFS($P:$P, $Q:$Q, "&lt;" &amp; $Q2528)</f>
        <v>177191776</v>
      </c>
    </row>
    <row r="2529" spans="1:19" x14ac:dyDescent="0.25">
      <c r="A2529" s="1">
        <v>2524</v>
      </c>
      <c r="B2529" s="1" t="s">
        <v>2</v>
      </c>
      <c r="C2529" s="1" t="str">
        <f>IF($B2529 = "Production Item", _xlfn.XLOOKUP($A2529, 'Instrument Table'!$J:$J, 'Instrument Table'!$B:$B, $C2528), IF($B2529 = "Service Item", _xlfn.XLOOKUP($A2529, 'Instrument Table'!$I:$I, 'Instrument Table'!$B:$B, $C2528), _xlfn.XLOOKUP($A2529, 'Instrument Table'!$H:$H, 'Instrument Table'!$B:$B, $C2528)))</f>
        <v>French Horn</v>
      </c>
      <c r="D2529" s="1" t="str">
        <f>VLOOKUP($C2529, 'Instrument Table'!$B:$C, 2, FALSE)</f>
        <v>Brass</v>
      </c>
      <c r="E2529" s="1">
        <f t="shared" si="234"/>
        <v>1</v>
      </c>
      <c r="F2529" s="1">
        <f>_xlfn.XLOOKUP($C2529, 'Instrument Table'!$B:$B, 'Instrument Table'!$A:$A, "")</f>
        <v>40</v>
      </c>
      <c r="G2529" s="1" t="str">
        <f>TEXT(IF($B2529 = "Retail Item", IF((ROW($A2529) - 4504 - _xlfn.XMATCH($C2529, $C$4506:$C$5005, 0, 1)) &lt;= VLOOKUP($C2529, 'Instrument Table'!$B:$D, 3, FALSE), ROW($A2529) - 4504 - _xlfn.XMATCH($C2529, $C$4506:$C$5005, 0, 1), 0), 0), "00")</f>
        <v>00</v>
      </c>
      <c r="H2529" s="1" t="str">
        <f t="shared" si="235"/>
        <v>073</v>
      </c>
      <c r="I2529" s="1" t="str">
        <f t="shared" si="236"/>
        <v>14000-073</v>
      </c>
      <c r="J2529" s="1" t="str">
        <f t="shared" si="237"/>
        <v>French horn production item #073</v>
      </c>
      <c r="K2529" s="1" t="str">
        <f>IF(SUM(COUNTIFS(I:I, I2529)) &gt; 1, "DUPLICATE", "UNIQUE")</f>
        <v>UNIQUE</v>
      </c>
      <c r="L2529" s="18">
        <v>0</v>
      </c>
      <c r="M2529" s="28">
        <v>76</v>
      </c>
      <c r="N2529" s="6">
        <v>324</v>
      </c>
      <c r="O2529" s="30">
        <f t="shared" si="238"/>
        <v>0</v>
      </c>
      <c r="P2529" s="30">
        <f t="shared" si="239"/>
        <v>24624</v>
      </c>
      <c r="Q2529" s="1">
        <f>COUNTIFS($P:$P, "&gt;" &amp; $P2529) + 1</f>
        <v>839</v>
      </c>
      <c r="R2529" s="63">
        <f>(COUNTIFS($P:$P, "&gt;" &amp; $P2529) + 1) / (COUNTA($I:$I) - 1)</f>
        <v>0.1678</v>
      </c>
      <c r="S2529" s="23">
        <f>SUMIFS($P:$P, $Q:$Q, "&lt;" &amp; $Q2529)</f>
        <v>162813140</v>
      </c>
    </row>
    <row r="2530" spans="1:19" x14ac:dyDescent="0.25">
      <c r="A2530" s="1">
        <v>2525</v>
      </c>
      <c r="B2530" s="1" t="s">
        <v>2</v>
      </c>
      <c r="C2530" s="1" t="str">
        <f>IF($B2530 = "Production Item", _xlfn.XLOOKUP($A2530, 'Instrument Table'!$J:$J, 'Instrument Table'!$B:$B, $C2529), IF($B2530 = "Service Item", _xlfn.XLOOKUP($A2530, 'Instrument Table'!$I:$I, 'Instrument Table'!$B:$B, $C2529), _xlfn.XLOOKUP($A2530, 'Instrument Table'!$H:$H, 'Instrument Table'!$B:$B, $C2529)))</f>
        <v>French Horn</v>
      </c>
      <c r="D2530" s="1" t="str">
        <f>VLOOKUP($C2530, 'Instrument Table'!$B:$C, 2, FALSE)</f>
        <v>Brass</v>
      </c>
      <c r="E2530" s="1">
        <f t="shared" si="234"/>
        <v>1</v>
      </c>
      <c r="F2530" s="1">
        <f>_xlfn.XLOOKUP($C2530, 'Instrument Table'!$B:$B, 'Instrument Table'!$A:$A, "")</f>
        <v>40</v>
      </c>
      <c r="G2530" s="1" t="str">
        <f>TEXT(IF($B2530 = "Retail Item", IF((ROW($A2530) - 4504 - _xlfn.XMATCH($C2530, $C$4506:$C$5005, 0, 1)) &lt;= VLOOKUP($C2530, 'Instrument Table'!$B:$D, 3, FALSE), ROW($A2530) - 4504 - _xlfn.XMATCH($C2530, $C$4506:$C$5005, 0, 1), 0), 0), "00")</f>
        <v>00</v>
      </c>
      <c r="H2530" s="1" t="str">
        <f t="shared" si="235"/>
        <v>074</v>
      </c>
      <c r="I2530" s="1" t="str">
        <f t="shared" si="236"/>
        <v>14000-074</v>
      </c>
      <c r="J2530" s="1" t="str">
        <f t="shared" si="237"/>
        <v>French horn production item #074</v>
      </c>
      <c r="K2530" s="1" t="str">
        <f>IF(SUM(COUNTIFS(I:I, I2530)) &gt; 1, "DUPLICATE", "UNIQUE")</f>
        <v>UNIQUE</v>
      </c>
      <c r="L2530" s="18">
        <v>1</v>
      </c>
      <c r="M2530" s="28">
        <v>22</v>
      </c>
      <c r="N2530" s="6">
        <v>169</v>
      </c>
      <c r="O2530" s="30">
        <f t="shared" si="238"/>
        <v>22</v>
      </c>
      <c r="P2530" s="30">
        <f t="shared" si="239"/>
        <v>3718</v>
      </c>
      <c r="Q2530" s="1">
        <f>COUNTIFS($P:$P, "&gt;" &amp; $P2530) + 1</f>
        <v>2718</v>
      </c>
      <c r="R2530" s="63">
        <f>(COUNTIFS($P:$P, "&gt;" &amp; $P2530) + 1) / (COUNTA($I:$I) - 1)</f>
        <v>0.54359999999999997</v>
      </c>
      <c r="S2530" s="23">
        <f>SUMIFS($P:$P, $Q:$Q, "&lt;" &amp; $Q2530)</f>
        <v>184034250</v>
      </c>
    </row>
    <row r="2531" spans="1:19" x14ac:dyDescent="0.25">
      <c r="A2531" s="1">
        <v>2526</v>
      </c>
      <c r="B2531" s="1" t="s">
        <v>2</v>
      </c>
      <c r="C2531" s="1" t="str">
        <f>IF($B2531 = "Production Item", _xlfn.XLOOKUP($A2531, 'Instrument Table'!$J:$J, 'Instrument Table'!$B:$B, $C2530), IF($B2531 = "Service Item", _xlfn.XLOOKUP($A2531, 'Instrument Table'!$I:$I, 'Instrument Table'!$B:$B, $C2530), _xlfn.XLOOKUP($A2531, 'Instrument Table'!$H:$H, 'Instrument Table'!$B:$B, $C2530)))</f>
        <v>French Horn</v>
      </c>
      <c r="D2531" s="1" t="str">
        <f>VLOOKUP($C2531, 'Instrument Table'!$B:$C, 2, FALSE)</f>
        <v>Brass</v>
      </c>
      <c r="E2531" s="1">
        <f t="shared" si="234"/>
        <v>1</v>
      </c>
      <c r="F2531" s="1">
        <f>_xlfn.XLOOKUP($C2531, 'Instrument Table'!$B:$B, 'Instrument Table'!$A:$A, "")</f>
        <v>40</v>
      </c>
      <c r="G2531" s="1" t="str">
        <f>TEXT(IF($B2531 = "Retail Item", IF((ROW($A2531) - 4504 - _xlfn.XMATCH($C2531, $C$4506:$C$5005, 0, 1)) &lt;= VLOOKUP($C2531, 'Instrument Table'!$B:$D, 3, FALSE), ROW($A2531) - 4504 - _xlfn.XMATCH($C2531, $C$4506:$C$5005, 0, 1), 0), 0), "00")</f>
        <v>00</v>
      </c>
      <c r="H2531" s="1" t="str">
        <f t="shared" si="235"/>
        <v>075</v>
      </c>
      <c r="I2531" s="1" t="str">
        <f t="shared" si="236"/>
        <v>14000-075</v>
      </c>
      <c r="J2531" s="1" t="str">
        <f t="shared" si="237"/>
        <v>French horn production item #075</v>
      </c>
      <c r="K2531" s="1" t="str">
        <f>IF(SUM(COUNTIFS(I:I, I2531)) &gt; 1, "DUPLICATE", "UNIQUE")</f>
        <v>UNIQUE</v>
      </c>
      <c r="L2531" s="18">
        <v>0</v>
      </c>
      <c r="M2531" s="28">
        <v>60</v>
      </c>
      <c r="N2531" s="6">
        <v>100</v>
      </c>
      <c r="O2531" s="30">
        <f t="shared" si="238"/>
        <v>0</v>
      </c>
      <c r="P2531" s="30">
        <f t="shared" si="239"/>
        <v>6000</v>
      </c>
      <c r="Q2531" s="1">
        <f>COUNTIFS($P:$P, "&gt;" &amp; $P2531) + 1</f>
        <v>2264</v>
      </c>
      <c r="R2531" s="63">
        <f>(COUNTIFS($P:$P, "&gt;" &amp; $P2531) + 1) / (COUNTA($I:$I) - 1)</f>
        <v>0.45279999999999998</v>
      </c>
      <c r="S2531" s="23">
        <f>SUMIFS($P:$P, $Q:$Q, "&lt;" &amp; $Q2531)</f>
        <v>181851858</v>
      </c>
    </row>
    <row r="2532" spans="1:19" x14ac:dyDescent="0.25">
      <c r="A2532" s="1">
        <v>2527</v>
      </c>
      <c r="B2532" s="1" t="s">
        <v>2</v>
      </c>
      <c r="C2532" s="1" t="str">
        <f>IF($B2532 = "Production Item", _xlfn.XLOOKUP($A2532, 'Instrument Table'!$J:$J, 'Instrument Table'!$B:$B, $C2531), IF($B2532 = "Service Item", _xlfn.XLOOKUP($A2532, 'Instrument Table'!$I:$I, 'Instrument Table'!$B:$B, $C2531), _xlfn.XLOOKUP($A2532, 'Instrument Table'!$H:$H, 'Instrument Table'!$B:$B, $C2531)))</f>
        <v>French Horn</v>
      </c>
      <c r="D2532" s="1" t="str">
        <f>VLOOKUP($C2532, 'Instrument Table'!$B:$C, 2, FALSE)</f>
        <v>Brass</v>
      </c>
      <c r="E2532" s="1">
        <f t="shared" si="234"/>
        <v>1</v>
      </c>
      <c r="F2532" s="1">
        <f>_xlfn.XLOOKUP($C2532, 'Instrument Table'!$B:$B, 'Instrument Table'!$A:$A, "")</f>
        <v>40</v>
      </c>
      <c r="G2532" s="1" t="str">
        <f>TEXT(IF($B2532 = "Retail Item", IF((ROW($A2532) - 4504 - _xlfn.XMATCH($C2532, $C$4506:$C$5005, 0, 1)) &lt;= VLOOKUP($C2532, 'Instrument Table'!$B:$D, 3, FALSE), ROW($A2532) - 4504 - _xlfn.XMATCH($C2532, $C$4506:$C$5005, 0, 1), 0), 0), "00")</f>
        <v>00</v>
      </c>
      <c r="H2532" s="1" t="str">
        <f t="shared" si="235"/>
        <v>076</v>
      </c>
      <c r="I2532" s="1" t="str">
        <f t="shared" si="236"/>
        <v>14000-076</v>
      </c>
      <c r="J2532" s="1" t="str">
        <f t="shared" si="237"/>
        <v>French horn production item #076</v>
      </c>
      <c r="K2532" s="1" t="str">
        <f>IF(SUM(COUNTIFS(I:I, I2532)) &gt; 1, "DUPLICATE", "UNIQUE")</f>
        <v>UNIQUE</v>
      </c>
      <c r="L2532" s="18">
        <v>32</v>
      </c>
      <c r="M2532" s="28">
        <v>72</v>
      </c>
      <c r="N2532" s="6">
        <v>256</v>
      </c>
      <c r="O2532" s="30">
        <f t="shared" si="238"/>
        <v>2304</v>
      </c>
      <c r="P2532" s="30">
        <f t="shared" si="239"/>
        <v>18432</v>
      </c>
      <c r="Q2532" s="1">
        <f>COUNTIFS($P:$P, "&gt;" &amp; $P2532) + 1</f>
        <v>1137</v>
      </c>
      <c r="R2532" s="63">
        <f>(COUNTIFS($P:$P, "&gt;" &amp; $P2532) + 1) / (COUNTA($I:$I) - 1)</f>
        <v>0.22739999999999999</v>
      </c>
      <c r="S2532" s="23">
        <f>SUMIFS($P:$P, $Q:$Q, "&lt;" &amp; $Q2532)</f>
        <v>169197389</v>
      </c>
    </row>
    <row r="2533" spans="1:19" x14ac:dyDescent="0.25">
      <c r="A2533" s="1">
        <v>2528</v>
      </c>
      <c r="B2533" s="1" t="s">
        <v>2</v>
      </c>
      <c r="C2533" s="1" t="str">
        <f>IF($B2533 = "Production Item", _xlfn.XLOOKUP($A2533, 'Instrument Table'!$J:$J, 'Instrument Table'!$B:$B, $C2532), IF($B2533 = "Service Item", _xlfn.XLOOKUP($A2533, 'Instrument Table'!$I:$I, 'Instrument Table'!$B:$B, $C2532), _xlfn.XLOOKUP($A2533, 'Instrument Table'!$H:$H, 'Instrument Table'!$B:$B, $C2532)))</f>
        <v>French Horn</v>
      </c>
      <c r="D2533" s="1" t="str">
        <f>VLOOKUP($C2533, 'Instrument Table'!$B:$C, 2, FALSE)</f>
        <v>Brass</v>
      </c>
      <c r="E2533" s="1">
        <f t="shared" si="234"/>
        <v>1</v>
      </c>
      <c r="F2533" s="1">
        <f>_xlfn.XLOOKUP($C2533, 'Instrument Table'!$B:$B, 'Instrument Table'!$A:$A, "")</f>
        <v>40</v>
      </c>
      <c r="G2533" s="1" t="str">
        <f>TEXT(IF($B2533 = "Retail Item", IF((ROW($A2533) - 4504 - _xlfn.XMATCH($C2533, $C$4506:$C$5005, 0, 1)) &lt;= VLOOKUP($C2533, 'Instrument Table'!$B:$D, 3, FALSE), ROW($A2533) - 4504 - _xlfn.XMATCH($C2533, $C$4506:$C$5005, 0, 1), 0), 0), "00")</f>
        <v>00</v>
      </c>
      <c r="H2533" s="1" t="str">
        <f t="shared" si="235"/>
        <v>077</v>
      </c>
      <c r="I2533" s="1" t="str">
        <f t="shared" si="236"/>
        <v>14000-077</v>
      </c>
      <c r="J2533" s="1" t="str">
        <f t="shared" si="237"/>
        <v>French horn production item #077</v>
      </c>
      <c r="K2533" s="1" t="str">
        <f>IF(SUM(COUNTIFS(I:I, I2533)) &gt; 1, "DUPLICATE", "UNIQUE")</f>
        <v>UNIQUE</v>
      </c>
      <c r="L2533" s="18">
        <v>4</v>
      </c>
      <c r="M2533" s="28">
        <v>15</v>
      </c>
      <c r="N2533" s="6">
        <v>400</v>
      </c>
      <c r="O2533" s="30">
        <f t="shared" si="238"/>
        <v>60</v>
      </c>
      <c r="P2533" s="30">
        <f t="shared" si="239"/>
        <v>6000</v>
      </c>
      <c r="Q2533" s="1">
        <f>COUNTIFS($P:$P, "&gt;" &amp; $P2533) + 1</f>
        <v>2264</v>
      </c>
      <c r="R2533" s="63">
        <f>(COUNTIFS($P:$P, "&gt;" &amp; $P2533) + 1) / (COUNTA($I:$I) - 1)</f>
        <v>0.45279999999999998</v>
      </c>
      <c r="S2533" s="23">
        <f>SUMIFS($P:$P, $Q:$Q, "&lt;" &amp; $Q2533)</f>
        <v>181851858</v>
      </c>
    </row>
    <row r="2534" spans="1:19" x14ac:dyDescent="0.25">
      <c r="A2534" s="1">
        <v>2529</v>
      </c>
      <c r="B2534" s="1" t="s">
        <v>2</v>
      </c>
      <c r="C2534" s="1" t="str">
        <f>IF($B2534 = "Production Item", _xlfn.XLOOKUP($A2534, 'Instrument Table'!$J:$J, 'Instrument Table'!$B:$B, $C2533), IF($B2534 = "Service Item", _xlfn.XLOOKUP($A2534, 'Instrument Table'!$I:$I, 'Instrument Table'!$B:$B, $C2533), _xlfn.XLOOKUP($A2534, 'Instrument Table'!$H:$H, 'Instrument Table'!$B:$B, $C2533)))</f>
        <v>French Horn</v>
      </c>
      <c r="D2534" s="1" t="str">
        <f>VLOOKUP($C2534, 'Instrument Table'!$B:$C, 2, FALSE)</f>
        <v>Brass</v>
      </c>
      <c r="E2534" s="1">
        <f t="shared" si="234"/>
        <v>1</v>
      </c>
      <c r="F2534" s="1">
        <f>_xlfn.XLOOKUP($C2534, 'Instrument Table'!$B:$B, 'Instrument Table'!$A:$A, "")</f>
        <v>40</v>
      </c>
      <c r="G2534" s="1" t="str">
        <f>TEXT(IF($B2534 = "Retail Item", IF((ROW($A2534) - 4504 - _xlfn.XMATCH($C2534, $C$4506:$C$5005, 0, 1)) &lt;= VLOOKUP($C2534, 'Instrument Table'!$B:$D, 3, FALSE), ROW($A2534) - 4504 - _xlfn.XMATCH($C2534, $C$4506:$C$5005, 0, 1), 0), 0), "00")</f>
        <v>00</v>
      </c>
      <c r="H2534" s="1" t="str">
        <f t="shared" si="235"/>
        <v>078</v>
      </c>
      <c r="I2534" s="1" t="str">
        <f t="shared" si="236"/>
        <v>14000-078</v>
      </c>
      <c r="J2534" s="1" t="str">
        <f t="shared" si="237"/>
        <v>French horn production item #078</v>
      </c>
      <c r="K2534" s="1" t="str">
        <f>IF(SUM(COUNTIFS(I:I, I2534)) &gt; 1, "DUPLICATE", "UNIQUE")</f>
        <v>UNIQUE</v>
      </c>
      <c r="L2534" s="18">
        <v>16</v>
      </c>
      <c r="M2534" s="28">
        <v>51</v>
      </c>
      <c r="N2534" s="6">
        <v>324</v>
      </c>
      <c r="O2534" s="30">
        <f t="shared" si="238"/>
        <v>816</v>
      </c>
      <c r="P2534" s="30">
        <f t="shared" si="239"/>
        <v>16524</v>
      </c>
      <c r="Q2534" s="1">
        <f>COUNTIFS($P:$P, "&gt;" &amp; $P2534) + 1</f>
        <v>1244</v>
      </c>
      <c r="R2534" s="63">
        <f>(COUNTIFS($P:$P, "&gt;" &amp; $P2534) + 1) / (COUNTA($I:$I) - 1)</f>
        <v>0.24879999999999999</v>
      </c>
      <c r="S2534" s="23">
        <f>SUMIFS($P:$P, $Q:$Q, "&lt;" &amp; $Q2534)</f>
        <v>171070482</v>
      </c>
    </row>
    <row r="2535" spans="1:19" x14ac:dyDescent="0.25">
      <c r="A2535" s="1">
        <v>2530</v>
      </c>
      <c r="B2535" s="1" t="s">
        <v>2</v>
      </c>
      <c r="C2535" s="1" t="str">
        <f>IF($B2535 = "Production Item", _xlfn.XLOOKUP($A2535, 'Instrument Table'!$J:$J, 'Instrument Table'!$B:$B, $C2534), IF($B2535 = "Service Item", _xlfn.XLOOKUP($A2535, 'Instrument Table'!$I:$I, 'Instrument Table'!$B:$B, $C2534), _xlfn.XLOOKUP($A2535, 'Instrument Table'!$H:$H, 'Instrument Table'!$B:$B, $C2534)))</f>
        <v>French Horn</v>
      </c>
      <c r="D2535" s="1" t="str">
        <f>VLOOKUP($C2535, 'Instrument Table'!$B:$C, 2, FALSE)</f>
        <v>Brass</v>
      </c>
      <c r="E2535" s="1">
        <f t="shared" si="234"/>
        <v>1</v>
      </c>
      <c r="F2535" s="1">
        <f>_xlfn.XLOOKUP($C2535, 'Instrument Table'!$B:$B, 'Instrument Table'!$A:$A, "")</f>
        <v>40</v>
      </c>
      <c r="G2535" s="1" t="str">
        <f>TEXT(IF($B2535 = "Retail Item", IF((ROW($A2535) - 4504 - _xlfn.XMATCH($C2535, $C$4506:$C$5005, 0, 1)) &lt;= VLOOKUP($C2535, 'Instrument Table'!$B:$D, 3, FALSE), ROW($A2535) - 4504 - _xlfn.XMATCH($C2535, $C$4506:$C$5005, 0, 1), 0), 0), "00")</f>
        <v>00</v>
      </c>
      <c r="H2535" s="1" t="str">
        <f t="shared" si="235"/>
        <v>079</v>
      </c>
      <c r="I2535" s="1" t="str">
        <f t="shared" si="236"/>
        <v>14000-079</v>
      </c>
      <c r="J2535" s="1" t="str">
        <f t="shared" si="237"/>
        <v>French horn production item #079</v>
      </c>
      <c r="K2535" s="1" t="str">
        <f>IF(SUM(COUNTIFS(I:I, I2535)) &gt; 1, "DUPLICATE", "UNIQUE")</f>
        <v>UNIQUE</v>
      </c>
      <c r="L2535" s="18">
        <v>32</v>
      </c>
      <c r="M2535" s="28">
        <v>18</v>
      </c>
      <c r="N2535" s="6">
        <v>9</v>
      </c>
      <c r="O2535" s="30">
        <f t="shared" si="238"/>
        <v>576</v>
      </c>
      <c r="P2535" s="30">
        <f t="shared" si="239"/>
        <v>162</v>
      </c>
      <c r="Q2535" s="1">
        <f>COUNTIFS($P:$P, "&gt;" &amp; $P2535) + 1</f>
        <v>4383</v>
      </c>
      <c r="R2535" s="63">
        <f>(COUNTIFS($P:$P, "&gt;" &amp; $P2535) + 1) / (COUNTA($I:$I) - 1)</f>
        <v>0.87660000000000005</v>
      </c>
      <c r="S2535" s="23">
        <f>SUMIFS($P:$P, $Q:$Q, "&lt;" &amp; $Q2535)</f>
        <v>186523354</v>
      </c>
    </row>
    <row r="2536" spans="1:19" x14ac:dyDescent="0.25">
      <c r="A2536" s="1">
        <v>2531</v>
      </c>
      <c r="B2536" s="1" t="s">
        <v>2</v>
      </c>
      <c r="C2536" s="1" t="str">
        <f>IF($B2536 = "Production Item", _xlfn.XLOOKUP($A2536, 'Instrument Table'!$J:$J, 'Instrument Table'!$B:$B, $C2535), IF($B2536 = "Service Item", _xlfn.XLOOKUP($A2536, 'Instrument Table'!$I:$I, 'Instrument Table'!$B:$B, $C2535), _xlfn.XLOOKUP($A2536, 'Instrument Table'!$H:$H, 'Instrument Table'!$B:$B, $C2535)))</f>
        <v>French Horn</v>
      </c>
      <c r="D2536" s="1" t="str">
        <f>VLOOKUP($C2536, 'Instrument Table'!$B:$C, 2, FALSE)</f>
        <v>Brass</v>
      </c>
      <c r="E2536" s="1">
        <f t="shared" si="234"/>
        <v>1</v>
      </c>
      <c r="F2536" s="1">
        <f>_xlfn.XLOOKUP($C2536, 'Instrument Table'!$B:$B, 'Instrument Table'!$A:$A, "")</f>
        <v>40</v>
      </c>
      <c r="G2536" s="1" t="str">
        <f>TEXT(IF($B2536 = "Retail Item", IF((ROW($A2536) - 4504 - _xlfn.XMATCH($C2536, $C$4506:$C$5005, 0, 1)) &lt;= VLOOKUP($C2536, 'Instrument Table'!$B:$D, 3, FALSE), ROW($A2536) - 4504 - _xlfn.XMATCH($C2536, $C$4506:$C$5005, 0, 1), 0), 0), "00")</f>
        <v>00</v>
      </c>
      <c r="H2536" s="1" t="str">
        <f t="shared" si="235"/>
        <v>080</v>
      </c>
      <c r="I2536" s="1" t="str">
        <f t="shared" si="236"/>
        <v>14000-080</v>
      </c>
      <c r="J2536" s="1" t="str">
        <f t="shared" si="237"/>
        <v>French horn production item #080</v>
      </c>
      <c r="K2536" s="1" t="str">
        <f>IF(SUM(COUNTIFS(I:I, I2536)) &gt; 1, "DUPLICATE", "UNIQUE")</f>
        <v>UNIQUE</v>
      </c>
      <c r="L2536" s="18">
        <v>1</v>
      </c>
      <c r="M2536" s="28">
        <v>73</v>
      </c>
      <c r="N2536" s="6">
        <v>289</v>
      </c>
      <c r="O2536" s="30">
        <f t="shared" si="238"/>
        <v>73</v>
      </c>
      <c r="P2536" s="30">
        <f t="shared" si="239"/>
        <v>21097</v>
      </c>
      <c r="Q2536" s="1">
        <f>COUNTIFS($P:$P, "&gt;" &amp; $P2536) + 1</f>
        <v>999</v>
      </c>
      <c r="R2536" s="63">
        <f>(COUNTIFS($P:$P, "&gt;" &amp; $P2536) + 1) / (COUNTA($I:$I) - 1)</f>
        <v>0.19980000000000001</v>
      </c>
      <c r="S2536" s="23">
        <f>SUMIFS($P:$P, $Q:$Q, "&lt;" &amp; $Q2536)</f>
        <v>166469848</v>
      </c>
    </row>
    <row r="2537" spans="1:19" x14ac:dyDescent="0.25">
      <c r="A2537" s="1">
        <v>2532</v>
      </c>
      <c r="B2537" s="1" t="s">
        <v>2</v>
      </c>
      <c r="C2537" s="1" t="str">
        <f>IF($B2537 = "Production Item", _xlfn.XLOOKUP($A2537, 'Instrument Table'!$J:$J, 'Instrument Table'!$B:$B, $C2536), IF($B2537 = "Service Item", _xlfn.XLOOKUP($A2537, 'Instrument Table'!$I:$I, 'Instrument Table'!$B:$B, $C2536), _xlfn.XLOOKUP($A2537, 'Instrument Table'!$H:$H, 'Instrument Table'!$B:$B, $C2536)))</f>
        <v>French Horn</v>
      </c>
      <c r="D2537" s="1" t="str">
        <f>VLOOKUP($C2537, 'Instrument Table'!$B:$C, 2, FALSE)</f>
        <v>Brass</v>
      </c>
      <c r="E2537" s="1">
        <f t="shared" si="234"/>
        <v>1</v>
      </c>
      <c r="F2537" s="1">
        <f>_xlfn.XLOOKUP($C2537, 'Instrument Table'!$B:$B, 'Instrument Table'!$A:$A, "")</f>
        <v>40</v>
      </c>
      <c r="G2537" s="1" t="str">
        <f>TEXT(IF($B2537 = "Retail Item", IF((ROW($A2537) - 4504 - _xlfn.XMATCH($C2537, $C$4506:$C$5005, 0, 1)) &lt;= VLOOKUP($C2537, 'Instrument Table'!$B:$D, 3, FALSE), ROW($A2537) - 4504 - _xlfn.XMATCH($C2537, $C$4506:$C$5005, 0, 1), 0), 0), "00")</f>
        <v>00</v>
      </c>
      <c r="H2537" s="1" t="str">
        <f t="shared" si="235"/>
        <v>081</v>
      </c>
      <c r="I2537" s="1" t="str">
        <f t="shared" si="236"/>
        <v>14000-081</v>
      </c>
      <c r="J2537" s="1" t="str">
        <f t="shared" si="237"/>
        <v>French horn production item #081</v>
      </c>
      <c r="K2537" s="1" t="str">
        <f>IF(SUM(COUNTIFS(I:I, I2537)) &gt; 1, "DUPLICATE", "UNIQUE")</f>
        <v>UNIQUE</v>
      </c>
      <c r="L2537" s="18">
        <v>2</v>
      </c>
      <c r="M2537" s="28">
        <v>92</v>
      </c>
      <c r="N2537" s="6">
        <v>81</v>
      </c>
      <c r="O2537" s="30">
        <f t="shared" si="238"/>
        <v>184</v>
      </c>
      <c r="P2537" s="30">
        <f t="shared" si="239"/>
        <v>7452</v>
      </c>
      <c r="Q2537" s="1">
        <f>COUNTIFS($P:$P, "&gt;" &amp; $P2537) + 1</f>
        <v>2071</v>
      </c>
      <c r="R2537" s="63">
        <f>(COUNTIFS($P:$P, "&gt;" &amp; $P2537) + 1) / (COUNTA($I:$I) - 1)</f>
        <v>0.41420000000000001</v>
      </c>
      <c r="S2537" s="23">
        <f>SUMIFS($P:$P, $Q:$Q, "&lt;" &amp; $Q2537)</f>
        <v>180544439</v>
      </c>
    </row>
    <row r="2538" spans="1:19" x14ac:dyDescent="0.25">
      <c r="A2538" s="1">
        <v>2533</v>
      </c>
      <c r="B2538" s="1" t="s">
        <v>2</v>
      </c>
      <c r="C2538" s="1" t="str">
        <f>IF($B2538 = "Production Item", _xlfn.XLOOKUP($A2538, 'Instrument Table'!$J:$J, 'Instrument Table'!$B:$B, $C2537), IF($B2538 = "Service Item", _xlfn.XLOOKUP($A2538, 'Instrument Table'!$I:$I, 'Instrument Table'!$B:$B, $C2537), _xlfn.XLOOKUP($A2538, 'Instrument Table'!$H:$H, 'Instrument Table'!$B:$B, $C2537)))</f>
        <v>French Horn</v>
      </c>
      <c r="D2538" s="1" t="str">
        <f>VLOOKUP($C2538, 'Instrument Table'!$B:$C, 2, FALSE)</f>
        <v>Brass</v>
      </c>
      <c r="E2538" s="1">
        <f t="shared" si="234"/>
        <v>1</v>
      </c>
      <c r="F2538" s="1">
        <f>_xlfn.XLOOKUP($C2538, 'Instrument Table'!$B:$B, 'Instrument Table'!$A:$A, "")</f>
        <v>40</v>
      </c>
      <c r="G2538" s="1" t="str">
        <f>TEXT(IF($B2538 = "Retail Item", IF((ROW($A2538) - 4504 - _xlfn.XMATCH($C2538, $C$4506:$C$5005, 0, 1)) &lt;= VLOOKUP($C2538, 'Instrument Table'!$B:$D, 3, FALSE), ROW($A2538) - 4504 - _xlfn.XMATCH($C2538, $C$4506:$C$5005, 0, 1), 0), 0), "00")</f>
        <v>00</v>
      </c>
      <c r="H2538" s="1" t="str">
        <f t="shared" si="235"/>
        <v>082</v>
      </c>
      <c r="I2538" s="1" t="str">
        <f t="shared" si="236"/>
        <v>14000-082</v>
      </c>
      <c r="J2538" s="1" t="str">
        <f t="shared" si="237"/>
        <v>French horn production item #082</v>
      </c>
      <c r="K2538" s="1" t="str">
        <f>IF(SUM(COUNTIFS(I:I, I2538)) &gt; 1, "DUPLICATE", "UNIQUE")</f>
        <v>UNIQUE</v>
      </c>
      <c r="L2538" s="18">
        <v>8</v>
      </c>
      <c r="M2538" s="28">
        <v>89</v>
      </c>
      <c r="N2538" s="6">
        <v>36</v>
      </c>
      <c r="O2538" s="30">
        <f t="shared" si="238"/>
        <v>712</v>
      </c>
      <c r="P2538" s="30">
        <f t="shared" si="239"/>
        <v>3204</v>
      </c>
      <c r="Q2538" s="1">
        <f>COUNTIFS($P:$P, "&gt;" &amp; $P2538) + 1</f>
        <v>2853</v>
      </c>
      <c r="R2538" s="63">
        <f>(COUNTIFS($P:$P, "&gt;" &amp; $P2538) + 1) / (COUNTA($I:$I) - 1)</f>
        <v>0.5706</v>
      </c>
      <c r="S2538" s="23">
        <f>SUMIFS($P:$P, $Q:$Q, "&lt;" &amp; $Q2538)</f>
        <v>184501440</v>
      </c>
    </row>
    <row r="2539" spans="1:19" x14ac:dyDescent="0.25">
      <c r="A2539" s="1">
        <v>2534</v>
      </c>
      <c r="B2539" s="1" t="s">
        <v>2</v>
      </c>
      <c r="C2539" s="1" t="str">
        <f>IF($B2539 = "Production Item", _xlfn.XLOOKUP($A2539, 'Instrument Table'!$J:$J, 'Instrument Table'!$B:$B, $C2538), IF($B2539 = "Service Item", _xlfn.XLOOKUP($A2539, 'Instrument Table'!$I:$I, 'Instrument Table'!$B:$B, $C2538), _xlfn.XLOOKUP($A2539, 'Instrument Table'!$H:$H, 'Instrument Table'!$B:$B, $C2538)))</f>
        <v>French Horn</v>
      </c>
      <c r="D2539" s="1" t="str">
        <f>VLOOKUP($C2539, 'Instrument Table'!$B:$C, 2, FALSE)</f>
        <v>Brass</v>
      </c>
      <c r="E2539" s="1">
        <f t="shared" si="234"/>
        <v>1</v>
      </c>
      <c r="F2539" s="1">
        <f>_xlfn.XLOOKUP($C2539, 'Instrument Table'!$B:$B, 'Instrument Table'!$A:$A, "")</f>
        <v>40</v>
      </c>
      <c r="G2539" s="1" t="str">
        <f>TEXT(IF($B2539 = "Retail Item", IF((ROW($A2539) - 4504 - _xlfn.XMATCH($C2539, $C$4506:$C$5005, 0, 1)) &lt;= VLOOKUP($C2539, 'Instrument Table'!$B:$D, 3, FALSE), ROW($A2539) - 4504 - _xlfn.XMATCH($C2539, $C$4506:$C$5005, 0, 1), 0), 0), "00")</f>
        <v>00</v>
      </c>
      <c r="H2539" s="1" t="str">
        <f t="shared" si="235"/>
        <v>083</v>
      </c>
      <c r="I2539" s="1" t="str">
        <f t="shared" si="236"/>
        <v>14000-083</v>
      </c>
      <c r="J2539" s="1" t="str">
        <f t="shared" si="237"/>
        <v>French horn production item #083</v>
      </c>
      <c r="K2539" s="1" t="str">
        <f>IF(SUM(COUNTIFS(I:I, I2539)) &gt; 1, "DUPLICATE", "UNIQUE")</f>
        <v>UNIQUE</v>
      </c>
      <c r="L2539" s="18">
        <v>0</v>
      </c>
      <c r="M2539" s="28">
        <v>75</v>
      </c>
      <c r="N2539" s="6">
        <v>289</v>
      </c>
      <c r="O2539" s="30">
        <f t="shared" si="238"/>
        <v>0</v>
      </c>
      <c r="P2539" s="30">
        <f t="shared" si="239"/>
        <v>21675</v>
      </c>
      <c r="Q2539" s="1">
        <f>COUNTIFS($P:$P, "&gt;" &amp; $P2539) + 1</f>
        <v>970</v>
      </c>
      <c r="R2539" s="63">
        <f>(COUNTIFS($P:$P, "&gt;" &amp; $P2539) + 1) / (COUNTA($I:$I) - 1)</f>
        <v>0.19400000000000001</v>
      </c>
      <c r="S2539" s="23">
        <f>SUMIFS($P:$P, $Q:$Q, "&lt;" &amp; $Q2539)</f>
        <v>165847850</v>
      </c>
    </row>
    <row r="2540" spans="1:19" x14ac:dyDescent="0.25">
      <c r="A2540" s="1">
        <v>2535</v>
      </c>
      <c r="B2540" s="1" t="s">
        <v>2</v>
      </c>
      <c r="C2540" s="1" t="str">
        <f>IF($B2540 = "Production Item", _xlfn.XLOOKUP($A2540, 'Instrument Table'!$J:$J, 'Instrument Table'!$B:$B, $C2539), IF($B2540 = "Service Item", _xlfn.XLOOKUP($A2540, 'Instrument Table'!$I:$I, 'Instrument Table'!$B:$B, $C2539), _xlfn.XLOOKUP($A2540, 'Instrument Table'!$H:$H, 'Instrument Table'!$B:$B, $C2539)))</f>
        <v>French Horn</v>
      </c>
      <c r="D2540" s="1" t="str">
        <f>VLOOKUP($C2540, 'Instrument Table'!$B:$C, 2, FALSE)</f>
        <v>Brass</v>
      </c>
      <c r="E2540" s="1">
        <f t="shared" si="234"/>
        <v>1</v>
      </c>
      <c r="F2540" s="1">
        <f>_xlfn.XLOOKUP($C2540, 'Instrument Table'!$B:$B, 'Instrument Table'!$A:$A, "")</f>
        <v>40</v>
      </c>
      <c r="G2540" s="1" t="str">
        <f>TEXT(IF($B2540 = "Retail Item", IF((ROW($A2540) - 4504 - _xlfn.XMATCH($C2540, $C$4506:$C$5005, 0, 1)) &lt;= VLOOKUP($C2540, 'Instrument Table'!$B:$D, 3, FALSE), ROW($A2540) - 4504 - _xlfn.XMATCH($C2540, $C$4506:$C$5005, 0, 1), 0), 0), "00")</f>
        <v>00</v>
      </c>
      <c r="H2540" s="1" t="str">
        <f t="shared" si="235"/>
        <v>084</v>
      </c>
      <c r="I2540" s="1" t="str">
        <f t="shared" si="236"/>
        <v>14000-084</v>
      </c>
      <c r="J2540" s="1" t="str">
        <f t="shared" si="237"/>
        <v>French horn production item #084</v>
      </c>
      <c r="K2540" s="1" t="str">
        <f>IF(SUM(COUNTIFS(I:I, I2540)) &gt; 1, "DUPLICATE", "UNIQUE")</f>
        <v>UNIQUE</v>
      </c>
      <c r="L2540" s="18">
        <v>4</v>
      </c>
      <c r="M2540" s="28">
        <v>24</v>
      </c>
      <c r="N2540" s="6">
        <v>361</v>
      </c>
      <c r="O2540" s="30">
        <f t="shared" si="238"/>
        <v>96</v>
      </c>
      <c r="P2540" s="30">
        <f t="shared" si="239"/>
        <v>8664</v>
      </c>
      <c r="Q2540" s="1">
        <f>COUNTIFS($P:$P, "&gt;" &amp; $P2540) + 1</f>
        <v>1911</v>
      </c>
      <c r="R2540" s="63">
        <f>(COUNTIFS($P:$P, "&gt;" &amp; $P2540) + 1) / (COUNTA($I:$I) - 1)</f>
        <v>0.38219999999999998</v>
      </c>
      <c r="S2540" s="23">
        <f>SUMIFS($P:$P, $Q:$Q, "&lt;" &amp; $Q2540)</f>
        <v>179259825</v>
      </c>
    </row>
    <row r="2541" spans="1:19" x14ac:dyDescent="0.25">
      <c r="A2541" s="1">
        <v>2536</v>
      </c>
      <c r="B2541" s="1" t="s">
        <v>2</v>
      </c>
      <c r="C2541" s="1" t="str">
        <f>IF($B2541 = "Production Item", _xlfn.XLOOKUP($A2541, 'Instrument Table'!$J:$J, 'Instrument Table'!$B:$B, $C2540), IF($B2541 = "Service Item", _xlfn.XLOOKUP($A2541, 'Instrument Table'!$I:$I, 'Instrument Table'!$B:$B, $C2540), _xlfn.XLOOKUP($A2541, 'Instrument Table'!$H:$H, 'Instrument Table'!$B:$B, $C2540)))</f>
        <v>French Horn</v>
      </c>
      <c r="D2541" s="1" t="str">
        <f>VLOOKUP($C2541, 'Instrument Table'!$B:$C, 2, FALSE)</f>
        <v>Brass</v>
      </c>
      <c r="E2541" s="1">
        <f t="shared" si="234"/>
        <v>1</v>
      </c>
      <c r="F2541" s="1">
        <f>_xlfn.XLOOKUP($C2541, 'Instrument Table'!$B:$B, 'Instrument Table'!$A:$A, "")</f>
        <v>40</v>
      </c>
      <c r="G2541" s="1" t="str">
        <f>TEXT(IF($B2541 = "Retail Item", IF((ROW($A2541) - 4504 - _xlfn.XMATCH($C2541, $C$4506:$C$5005, 0, 1)) &lt;= VLOOKUP($C2541, 'Instrument Table'!$B:$D, 3, FALSE), ROW($A2541) - 4504 - _xlfn.XMATCH($C2541, $C$4506:$C$5005, 0, 1), 0), 0), "00")</f>
        <v>00</v>
      </c>
      <c r="H2541" s="1" t="str">
        <f t="shared" si="235"/>
        <v>085</v>
      </c>
      <c r="I2541" s="1" t="str">
        <f t="shared" si="236"/>
        <v>14000-085</v>
      </c>
      <c r="J2541" s="1" t="str">
        <f t="shared" si="237"/>
        <v>French horn production item #085</v>
      </c>
      <c r="K2541" s="1" t="str">
        <f>IF(SUM(COUNTIFS(I:I, I2541)) &gt; 1, "DUPLICATE", "UNIQUE")</f>
        <v>UNIQUE</v>
      </c>
      <c r="L2541" s="18">
        <v>8</v>
      </c>
      <c r="M2541" s="28">
        <v>55</v>
      </c>
      <c r="N2541" s="6">
        <v>144</v>
      </c>
      <c r="O2541" s="30">
        <f t="shared" si="238"/>
        <v>440</v>
      </c>
      <c r="P2541" s="30">
        <f t="shared" si="239"/>
        <v>7920</v>
      </c>
      <c r="Q2541" s="1">
        <f>COUNTIFS($P:$P, "&gt;" &amp; $P2541) + 1</f>
        <v>1999</v>
      </c>
      <c r="R2541" s="63">
        <f>(COUNTIFS($P:$P, "&gt;" &amp; $P2541) + 1) / (COUNTA($I:$I) - 1)</f>
        <v>0.39979999999999999</v>
      </c>
      <c r="S2541" s="23">
        <f>SUMIFS($P:$P, $Q:$Q, "&lt;" &amp; $Q2541)</f>
        <v>179988535</v>
      </c>
    </row>
    <row r="2542" spans="1:19" x14ac:dyDescent="0.25">
      <c r="A2542" s="1">
        <v>2537</v>
      </c>
      <c r="B2542" s="1" t="s">
        <v>2</v>
      </c>
      <c r="C2542" s="1" t="str">
        <f>IF($B2542 = "Production Item", _xlfn.XLOOKUP($A2542, 'Instrument Table'!$J:$J, 'Instrument Table'!$B:$B, $C2541), IF($B2542 = "Service Item", _xlfn.XLOOKUP($A2542, 'Instrument Table'!$I:$I, 'Instrument Table'!$B:$B, $C2541), _xlfn.XLOOKUP($A2542, 'Instrument Table'!$H:$H, 'Instrument Table'!$B:$B, $C2541)))</f>
        <v>French Horn</v>
      </c>
      <c r="D2542" s="1" t="str">
        <f>VLOOKUP($C2542, 'Instrument Table'!$B:$C, 2, FALSE)</f>
        <v>Brass</v>
      </c>
      <c r="E2542" s="1">
        <f t="shared" si="234"/>
        <v>1</v>
      </c>
      <c r="F2542" s="1">
        <f>_xlfn.XLOOKUP($C2542, 'Instrument Table'!$B:$B, 'Instrument Table'!$A:$A, "")</f>
        <v>40</v>
      </c>
      <c r="G2542" s="1" t="str">
        <f>TEXT(IF($B2542 = "Retail Item", IF((ROW($A2542) - 4504 - _xlfn.XMATCH($C2542, $C$4506:$C$5005, 0, 1)) &lt;= VLOOKUP($C2542, 'Instrument Table'!$B:$D, 3, FALSE), ROW($A2542) - 4504 - _xlfn.XMATCH($C2542, $C$4506:$C$5005, 0, 1), 0), 0), "00")</f>
        <v>00</v>
      </c>
      <c r="H2542" s="1" t="str">
        <f t="shared" si="235"/>
        <v>086</v>
      </c>
      <c r="I2542" s="1" t="str">
        <f t="shared" si="236"/>
        <v>14000-086</v>
      </c>
      <c r="J2542" s="1" t="str">
        <f t="shared" si="237"/>
        <v>French horn production item #086</v>
      </c>
      <c r="K2542" s="1" t="str">
        <f>IF(SUM(COUNTIFS(I:I, I2542)) &gt; 1, "DUPLICATE", "UNIQUE")</f>
        <v>UNIQUE</v>
      </c>
      <c r="L2542" s="18">
        <v>8</v>
      </c>
      <c r="M2542" s="28">
        <v>57</v>
      </c>
      <c r="N2542" s="6">
        <v>100</v>
      </c>
      <c r="O2542" s="30">
        <f t="shared" si="238"/>
        <v>456</v>
      </c>
      <c r="P2542" s="30">
        <f t="shared" si="239"/>
        <v>5700</v>
      </c>
      <c r="Q2542" s="1">
        <f>COUNTIFS($P:$P, "&gt;" &amp; $P2542) + 1</f>
        <v>2315</v>
      </c>
      <c r="R2542" s="63">
        <f>(COUNTIFS($P:$P, "&gt;" &amp; $P2542) + 1) / (COUNTA($I:$I) - 1)</f>
        <v>0.46300000000000002</v>
      </c>
      <c r="S2542" s="23">
        <f>SUMIFS($P:$P, $Q:$Q, "&lt;" &amp; $Q2542)</f>
        <v>182150773</v>
      </c>
    </row>
    <row r="2543" spans="1:19" x14ac:dyDescent="0.25">
      <c r="A2543" s="1">
        <v>2538</v>
      </c>
      <c r="B2543" s="1" t="s">
        <v>2</v>
      </c>
      <c r="C2543" s="1" t="str">
        <f>IF($B2543 = "Production Item", _xlfn.XLOOKUP($A2543, 'Instrument Table'!$J:$J, 'Instrument Table'!$B:$B, $C2542), IF($B2543 = "Service Item", _xlfn.XLOOKUP($A2543, 'Instrument Table'!$I:$I, 'Instrument Table'!$B:$B, $C2542), _xlfn.XLOOKUP($A2543, 'Instrument Table'!$H:$H, 'Instrument Table'!$B:$B, $C2542)))</f>
        <v>French Horn</v>
      </c>
      <c r="D2543" s="1" t="str">
        <f>VLOOKUP($C2543, 'Instrument Table'!$B:$C, 2, FALSE)</f>
        <v>Brass</v>
      </c>
      <c r="E2543" s="1">
        <f t="shared" si="234"/>
        <v>1</v>
      </c>
      <c r="F2543" s="1">
        <f>_xlfn.XLOOKUP($C2543, 'Instrument Table'!$B:$B, 'Instrument Table'!$A:$A, "")</f>
        <v>40</v>
      </c>
      <c r="G2543" s="1" t="str">
        <f>TEXT(IF($B2543 = "Retail Item", IF((ROW($A2543) - 4504 - _xlfn.XMATCH($C2543, $C$4506:$C$5005, 0, 1)) &lt;= VLOOKUP($C2543, 'Instrument Table'!$B:$D, 3, FALSE), ROW($A2543) - 4504 - _xlfn.XMATCH($C2543, $C$4506:$C$5005, 0, 1), 0), 0), "00")</f>
        <v>00</v>
      </c>
      <c r="H2543" s="1" t="str">
        <f t="shared" si="235"/>
        <v>087</v>
      </c>
      <c r="I2543" s="1" t="str">
        <f t="shared" si="236"/>
        <v>14000-087</v>
      </c>
      <c r="J2543" s="1" t="str">
        <f t="shared" si="237"/>
        <v>French horn production item #087</v>
      </c>
      <c r="K2543" s="1" t="str">
        <f>IF(SUM(COUNTIFS(I:I, I2543)) &gt; 1, "DUPLICATE", "UNIQUE")</f>
        <v>UNIQUE</v>
      </c>
      <c r="L2543" s="18">
        <v>0</v>
      </c>
      <c r="M2543" s="28">
        <v>67</v>
      </c>
      <c r="N2543" s="6">
        <v>361</v>
      </c>
      <c r="O2543" s="30">
        <f t="shared" si="238"/>
        <v>0</v>
      </c>
      <c r="P2543" s="30">
        <f t="shared" si="239"/>
        <v>24187</v>
      </c>
      <c r="Q2543" s="1">
        <f>COUNTIFS($P:$P, "&gt;" &amp; $P2543) + 1</f>
        <v>867</v>
      </c>
      <c r="R2543" s="63">
        <f>(COUNTIFS($P:$P, "&gt;" &amp; $P2543) + 1) / (COUNTA($I:$I) - 1)</f>
        <v>0.1734</v>
      </c>
      <c r="S2543" s="23">
        <f>SUMIFS($P:$P, $Q:$Q, "&lt;" &amp; $Q2543)</f>
        <v>163498834</v>
      </c>
    </row>
    <row r="2544" spans="1:19" x14ac:dyDescent="0.25">
      <c r="A2544" s="1">
        <v>2539</v>
      </c>
      <c r="B2544" s="1" t="s">
        <v>2</v>
      </c>
      <c r="C2544" s="1" t="str">
        <f>IF($B2544 = "Production Item", _xlfn.XLOOKUP($A2544, 'Instrument Table'!$J:$J, 'Instrument Table'!$B:$B, $C2543), IF($B2544 = "Service Item", _xlfn.XLOOKUP($A2544, 'Instrument Table'!$I:$I, 'Instrument Table'!$B:$B, $C2543), _xlfn.XLOOKUP($A2544, 'Instrument Table'!$H:$H, 'Instrument Table'!$B:$B, $C2543)))</f>
        <v>French Horn</v>
      </c>
      <c r="D2544" s="1" t="str">
        <f>VLOOKUP($C2544, 'Instrument Table'!$B:$C, 2, FALSE)</f>
        <v>Brass</v>
      </c>
      <c r="E2544" s="1">
        <f t="shared" si="234"/>
        <v>1</v>
      </c>
      <c r="F2544" s="1">
        <f>_xlfn.XLOOKUP($C2544, 'Instrument Table'!$B:$B, 'Instrument Table'!$A:$A, "")</f>
        <v>40</v>
      </c>
      <c r="G2544" s="1" t="str">
        <f>TEXT(IF($B2544 = "Retail Item", IF((ROW($A2544) - 4504 - _xlfn.XMATCH($C2544, $C$4506:$C$5005, 0, 1)) &lt;= VLOOKUP($C2544, 'Instrument Table'!$B:$D, 3, FALSE), ROW($A2544) - 4504 - _xlfn.XMATCH($C2544, $C$4506:$C$5005, 0, 1), 0), 0), "00")</f>
        <v>00</v>
      </c>
      <c r="H2544" s="1" t="str">
        <f t="shared" si="235"/>
        <v>088</v>
      </c>
      <c r="I2544" s="1" t="str">
        <f t="shared" si="236"/>
        <v>14000-088</v>
      </c>
      <c r="J2544" s="1" t="str">
        <f t="shared" si="237"/>
        <v>French horn production item #088</v>
      </c>
      <c r="K2544" s="1" t="str">
        <f>IF(SUM(COUNTIFS(I:I, I2544)) &gt; 1, "DUPLICATE", "UNIQUE")</f>
        <v>UNIQUE</v>
      </c>
      <c r="L2544" s="18">
        <v>0</v>
      </c>
      <c r="M2544" s="28">
        <v>82</v>
      </c>
      <c r="N2544" s="6">
        <v>1</v>
      </c>
      <c r="O2544" s="30">
        <f t="shared" si="238"/>
        <v>0</v>
      </c>
      <c r="P2544" s="30">
        <f t="shared" si="239"/>
        <v>82</v>
      </c>
      <c r="Q2544" s="1">
        <f>COUNTIFS($P:$P, "&gt;" &amp; $P2544) + 1</f>
        <v>4503</v>
      </c>
      <c r="R2544" s="63">
        <f>(COUNTIFS($P:$P, "&gt;" &amp; $P2544) + 1) / (COUNTA($I:$I) - 1)</f>
        <v>0.90059999999999996</v>
      </c>
      <c r="S2544" s="23">
        <f>SUMIFS($P:$P, $Q:$Q, "&lt;" &amp; $Q2544)</f>
        <v>186537109</v>
      </c>
    </row>
    <row r="2545" spans="1:19" x14ac:dyDescent="0.25">
      <c r="A2545" s="1">
        <v>2540</v>
      </c>
      <c r="B2545" s="1" t="s">
        <v>2</v>
      </c>
      <c r="C2545" s="1" t="str">
        <f>IF($B2545 = "Production Item", _xlfn.XLOOKUP($A2545, 'Instrument Table'!$J:$J, 'Instrument Table'!$B:$B, $C2544), IF($B2545 = "Service Item", _xlfn.XLOOKUP($A2545, 'Instrument Table'!$I:$I, 'Instrument Table'!$B:$B, $C2544), _xlfn.XLOOKUP($A2545, 'Instrument Table'!$H:$H, 'Instrument Table'!$B:$B, $C2544)))</f>
        <v>French Horn</v>
      </c>
      <c r="D2545" s="1" t="str">
        <f>VLOOKUP($C2545, 'Instrument Table'!$B:$C, 2, FALSE)</f>
        <v>Brass</v>
      </c>
      <c r="E2545" s="1">
        <f t="shared" si="234"/>
        <v>1</v>
      </c>
      <c r="F2545" s="1">
        <f>_xlfn.XLOOKUP($C2545, 'Instrument Table'!$B:$B, 'Instrument Table'!$A:$A, "")</f>
        <v>40</v>
      </c>
      <c r="G2545" s="1" t="str">
        <f>TEXT(IF($B2545 = "Retail Item", IF((ROW($A2545) - 4504 - _xlfn.XMATCH($C2545, $C$4506:$C$5005, 0, 1)) &lt;= VLOOKUP($C2545, 'Instrument Table'!$B:$D, 3, FALSE), ROW($A2545) - 4504 - _xlfn.XMATCH($C2545, $C$4506:$C$5005, 0, 1), 0), 0), "00")</f>
        <v>00</v>
      </c>
      <c r="H2545" s="1" t="str">
        <f t="shared" si="235"/>
        <v>089</v>
      </c>
      <c r="I2545" s="1" t="str">
        <f t="shared" si="236"/>
        <v>14000-089</v>
      </c>
      <c r="J2545" s="1" t="str">
        <f t="shared" si="237"/>
        <v>French horn production item #089</v>
      </c>
      <c r="K2545" s="1" t="str">
        <f>IF(SUM(COUNTIFS(I:I, I2545)) &gt; 1, "DUPLICATE", "UNIQUE")</f>
        <v>UNIQUE</v>
      </c>
      <c r="L2545" s="18">
        <v>4</v>
      </c>
      <c r="M2545" s="28">
        <v>74</v>
      </c>
      <c r="N2545" s="6">
        <v>324</v>
      </c>
      <c r="O2545" s="30">
        <f t="shared" si="238"/>
        <v>296</v>
      </c>
      <c r="P2545" s="30">
        <f t="shared" si="239"/>
        <v>23976</v>
      </c>
      <c r="Q2545" s="1">
        <f>COUNTIFS($P:$P, "&gt;" &amp; $P2545) + 1</f>
        <v>879</v>
      </c>
      <c r="R2545" s="63">
        <f>(COUNTIFS($P:$P, "&gt;" &amp; $P2545) + 1) / (COUNTA($I:$I) - 1)</f>
        <v>0.17580000000000001</v>
      </c>
      <c r="S2545" s="23">
        <f>SUMIFS($P:$P, $Q:$Q, "&lt;" &amp; $Q2545)</f>
        <v>163787020</v>
      </c>
    </row>
    <row r="2546" spans="1:19" x14ac:dyDescent="0.25">
      <c r="A2546" s="1">
        <v>2541</v>
      </c>
      <c r="B2546" s="1" t="s">
        <v>2</v>
      </c>
      <c r="C2546" s="1" t="str">
        <f>IF($B2546 = "Production Item", _xlfn.XLOOKUP($A2546, 'Instrument Table'!$J:$J, 'Instrument Table'!$B:$B, $C2545), IF($B2546 = "Service Item", _xlfn.XLOOKUP($A2546, 'Instrument Table'!$I:$I, 'Instrument Table'!$B:$B, $C2545), _xlfn.XLOOKUP($A2546, 'Instrument Table'!$H:$H, 'Instrument Table'!$B:$B, $C2545)))</f>
        <v>French Horn</v>
      </c>
      <c r="D2546" s="1" t="str">
        <f>VLOOKUP($C2546, 'Instrument Table'!$B:$C, 2, FALSE)</f>
        <v>Brass</v>
      </c>
      <c r="E2546" s="1">
        <f t="shared" si="234"/>
        <v>1</v>
      </c>
      <c r="F2546" s="1">
        <f>_xlfn.XLOOKUP($C2546, 'Instrument Table'!$B:$B, 'Instrument Table'!$A:$A, "")</f>
        <v>40</v>
      </c>
      <c r="G2546" s="1" t="str">
        <f>TEXT(IF($B2546 = "Retail Item", IF((ROW($A2546) - 4504 - _xlfn.XMATCH($C2546, $C$4506:$C$5005, 0, 1)) &lt;= VLOOKUP($C2546, 'Instrument Table'!$B:$D, 3, FALSE), ROW($A2546) - 4504 - _xlfn.XMATCH($C2546, $C$4506:$C$5005, 0, 1), 0), 0), "00")</f>
        <v>00</v>
      </c>
      <c r="H2546" s="1" t="str">
        <f t="shared" si="235"/>
        <v>090</v>
      </c>
      <c r="I2546" s="1" t="str">
        <f t="shared" si="236"/>
        <v>14000-090</v>
      </c>
      <c r="J2546" s="1" t="str">
        <f t="shared" si="237"/>
        <v>French horn production item #090</v>
      </c>
      <c r="K2546" s="1" t="str">
        <f>IF(SUM(COUNTIFS(I:I, I2546)) &gt; 1, "DUPLICATE", "UNIQUE")</f>
        <v>UNIQUE</v>
      </c>
      <c r="L2546" s="18">
        <v>1</v>
      </c>
      <c r="M2546" s="28">
        <v>17</v>
      </c>
      <c r="N2546" s="6">
        <v>121</v>
      </c>
      <c r="O2546" s="30">
        <f t="shared" si="238"/>
        <v>17</v>
      </c>
      <c r="P2546" s="30">
        <f t="shared" si="239"/>
        <v>2057</v>
      </c>
      <c r="Q2546" s="1">
        <f>COUNTIFS($P:$P, "&gt;" &amp; $P2546) + 1</f>
        <v>3229</v>
      </c>
      <c r="R2546" s="63">
        <f>(COUNTIFS($P:$P, "&gt;" &amp; $P2546) + 1) / (COUNTA($I:$I) - 1)</f>
        <v>0.64580000000000004</v>
      </c>
      <c r="S2546" s="23">
        <f>SUMIFS($P:$P, $Q:$Q, "&lt;" &amp; $Q2546)</f>
        <v>185468282</v>
      </c>
    </row>
    <row r="2547" spans="1:19" x14ac:dyDescent="0.25">
      <c r="A2547" s="1">
        <v>2542</v>
      </c>
      <c r="B2547" s="1" t="s">
        <v>2</v>
      </c>
      <c r="C2547" s="1" t="str">
        <f>IF($B2547 = "Production Item", _xlfn.XLOOKUP($A2547, 'Instrument Table'!$J:$J, 'Instrument Table'!$B:$B, $C2546), IF($B2547 = "Service Item", _xlfn.XLOOKUP($A2547, 'Instrument Table'!$I:$I, 'Instrument Table'!$B:$B, $C2546), _xlfn.XLOOKUP($A2547, 'Instrument Table'!$H:$H, 'Instrument Table'!$B:$B, $C2546)))</f>
        <v>French Horn</v>
      </c>
      <c r="D2547" s="1" t="str">
        <f>VLOOKUP($C2547, 'Instrument Table'!$B:$C, 2, FALSE)</f>
        <v>Brass</v>
      </c>
      <c r="E2547" s="1">
        <f t="shared" si="234"/>
        <v>1</v>
      </c>
      <c r="F2547" s="1">
        <f>_xlfn.XLOOKUP($C2547, 'Instrument Table'!$B:$B, 'Instrument Table'!$A:$A, "")</f>
        <v>40</v>
      </c>
      <c r="G2547" s="1" t="str">
        <f>TEXT(IF($B2547 = "Retail Item", IF((ROW($A2547) - 4504 - _xlfn.XMATCH($C2547, $C$4506:$C$5005, 0, 1)) &lt;= VLOOKUP($C2547, 'Instrument Table'!$B:$D, 3, FALSE), ROW($A2547) - 4504 - _xlfn.XMATCH($C2547, $C$4506:$C$5005, 0, 1), 0), 0), "00")</f>
        <v>00</v>
      </c>
      <c r="H2547" s="1" t="str">
        <f t="shared" si="235"/>
        <v>091</v>
      </c>
      <c r="I2547" s="1" t="str">
        <f t="shared" si="236"/>
        <v>14000-091</v>
      </c>
      <c r="J2547" s="1" t="str">
        <f t="shared" si="237"/>
        <v>French horn production item #091</v>
      </c>
      <c r="K2547" s="1" t="str">
        <f>IF(SUM(COUNTIFS(I:I, I2547)) &gt; 1, "DUPLICATE", "UNIQUE")</f>
        <v>UNIQUE</v>
      </c>
      <c r="L2547" s="18">
        <v>0</v>
      </c>
      <c r="M2547" s="28">
        <v>35</v>
      </c>
      <c r="N2547" s="6">
        <v>196</v>
      </c>
      <c r="O2547" s="30">
        <f t="shared" si="238"/>
        <v>0</v>
      </c>
      <c r="P2547" s="30">
        <f t="shared" si="239"/>
        <v>6860</v>
      </c>
      <c r="Q2547" s="1">
        <f>COUNTIFS($P:$P, "&gt;" &amp; $P2547) + 1</f>
        <v>2157</v>
      </c>
      <c r="R2547" s="63">
        <f>(COUNTIFS($P:$P, "&gt;" &amp; $P2547) + 1) / (COUNTA($I:$I) - 1)</f>
        <v>0.43140000000000001</v>
      </c>
      <c r="S2547" s="23">
        <f>SUMIFS($P:$P, $Q:$Q, "&lt;" &amp; $Q2547)</f>
        <v>181161868</v>
      </c>
    </row>
    <row r="2548" spans="1:19" x14ac:dyDescent="0.25">
      <c r="A2548" s="1">
        <v>2543</v>
      </c>
      <c r="B2548" s="1" t="s">
        <v>2</v>
      </c>
      <c r="C2548" s="1" t="str">
        <f>IF($B2548 = "Production Item", _xlfn.XLOOKUP($A2548, 'Instrument Table'!$J:$J, 'Instrument Table'!$B:$B, $C2547), IF($B2548 = "Service Item", _xlfn.XLOOKUP($A2548, 'Instrument Table'!$I:$I, 'Instrument Table'!$B:$B, $C2547), _xlfn.XLOOKUP($A2548, 'Instrument Table'!$H:$H, 'Instrument Table'!$B:$B, $C2547)))</f>
        <v>French Horn</v>
      </c>
      <c r="D2548" s="1" t="str">
        <f>VLOOKUP($C2548, 'Instrument Table'!$B:$C, 2, FALSE)</f>
        <v>Brass</v>
      </c>
      <c r="E2548" s="1">
        <f t="shared" si="234"/>
        <v>1</v>
      </c>
      <c r="F2548" s="1">
        <f>_xlfn.XLOOKUP($C2548, 'Instrument Table'!$B:$B, 'Instrument Table'!$A:$A, "")</f>
        <v>40</v>
      </c>
      <c r="G2548" s="1" t="str">
        <f>TEXT(IF($B2548 = "Retail Item", IF((ROW($A2548) - 4504 - _xlfn.XMATCH($C2548, $C$4506:$C$5005, 0, 1)) &lt;= VLOOKUP($C2548, 'Instrument Table'!$B:$D, 3, FALSE), ROW($A2548) - 4504 - _xlfn.XMATCH($C2548, $C$4506:$C$5005, 0, 1), 0), 0), "00")</f>
        <v>00</v>
      </c>
      <c r="H2548" s="1" t="str">
        <f t="shared" si="235"/>
        <v>092</v>
      </c>
      <c r="I2548" s="1" t="str">
        <f t="shared" si="236"/>
        <v>14000-092</v>
      </c>
      <c r="J2548" s="1" t="str">
        <f t="shared" si="237"/>
        <v>French horn production item #092</v>
      </c>
      <c r="K2548" s="1" t="str">
        <f>IF(SUM(COUNTIFS(I:I, I2548)) &gt; 1, "DUPLICATE", "UNIQUE")</f>
        <v>UNIQUE</v>
      </c>
      <c r="L2548" s="18">
        <v>1</v>
      </c>
      <c r="M2548" s="28">
        <v>22</v>
      </c>
      <c r="N2548" s="6">
        <v>64</v>
      </c>
      <c r="O2548" s="30">
        <f t="shared" si="238"/>
        <v>22</v>
      </c>
      <c r="P2548" s="30">
        <f t="shared" si="239"/>
        <v>1408</v>
      </c>
      <c r="Q2548" s="1">
        <f>COUNTIFS($P:$P, "&gt;" &amp; $P2548) + 1</f>
        <v>3501</v>
      </c>
      <c r="R2548" s="63">
        <f>(COUNTIFS($P:$P, "&gt;" &amp; $P2548) + 1) / (COUNTA($I:$I) - 1)</f>
        <v>0.70020000000000004</v>
      </c>
      <c r="S2548" s="23">
        <f>SUMIFS($P:$P, $Q:$Q, "&lt;" &amp; $Q2548)</f>
        <v>185938879</v>
      </c>
    </row>
    <row r="2549" spans="1:19" x14ac:dyDescent="0.25">
      <c r="A2549" s="1">
        <v>2544</v>
      </c>
      <c r="B2549" s="1" t="s">
        <v>2</v>
      </c>
      <c r="C2549" s="1" t="str">
        <f>IF($B2549 = "Production Item", _xlfn.XLOOKUP($A2549, 'Instrument Table'!$J:$J, 'Instrument Table'!$B:$B, $C2548), IF($B2549 = "Service Item", _xlfn.XLOOKUP($A2549, 'Instrument Table'!$I:$I, 'Instrument Table'!$B:$B, $C2548), _xlfn.XLOOKUP($A2549, 'Instrument Table'!$H:$H, 'Instrument Table'!$B:$B, $C2548)))</f>
        <v>French Horn</v>
      </c>
      <c r="D2549" s="1" t="str">
        <f>VLOOKUP($C2549, 'Instrument Table'!$B:$C, 2, FALSE)</f>
        <v>Brass</v>
      </c>
      <c r="E2549" s="1">
        <f t="shared" si="234"/>
        <v>1</v>
      </c>
      <c r="F2549" s="1">
        <f>_xlfn.XLOOKUP($C2549, 'Instrument Table'!$B:$B, 'Instrument Table'!$A:$A, "")</f>
        <v>40</v>
      </c>
      <c r="G2549" s="1" t="str">
        <f>TEXT(IF($B2549 = "Retail Item", IF((ROW($A2549) - 4504 - _xlfn.XMATCH($C2549, $C$4506:$C$5005, 0, 1)) &lt;= VLOOKUP($C2549, 'Instrument Table'!$B:$D, 3, FALSE), ROW($A2549) - 4504 - _xlfn.XMATCH($C2549, $C$4506:$C$5005, 0, 1), 0), 0), "00")</f>
        <v>00</v>
      </c>
      <c r="H2549" s="1" t="str">
        <f t="shared" si="235"/>
        <v>093</v>
      </c>
      <c r="I2549" s="1" t="str">
        <f t="shared" si="236"/>
        <v>14000-093</v>
      </c>
      <c r="J2549" s="1" t="str">
        <f t="shared" si="237"/>
        <v>French horn production item #093</v>
      </c>
      <c r="K2549" s="1" t="str">
        <f>IF(SUM(COUNTIFS(I:I, I2549)) &gt; 1, "DUPLICATE", "UNIQUE")</f>
        <v>UNIQUE</v>
      </c>
      <c r="L2549" s="18">
        <v>4</v>
      </c>
      <c r="M2549" s="28">
        <v>78</v>
      </c>
      <c r="N2549" s="6">
        <v>100</v>
      </c>
      <c r="O2549" s="30">
        <f t="shared" si="238"/>
        <v>312</v>
      </c>
      <c r="P2549" s="30">
        <f t="shared" si="239"/>
        <v>7800</v>
      </c>
      <c r="Q2549" s="1">
        <f>COUNTIFS($P:$P, "&gt;" &amp; $P2549) + 1</f>
        <v>2016</v>
      </c>
      <c r="R2549" s="63">
        <f>(COUNTIFS($P:$P, "&gt;" &amp; $P2549) + 1) / (COUNTA($I:$I) - 1)</f>
        <v>0.4032</v>
      </c>
      <c r="S2549" s="23">
        <f>SUMIFS($P:$P, $Q:$Q, "&lt;" &amp; $Q2549)</f>
        <v>180122229</v>
      </c>
    </row>
    <row r="2550" spans="1:19" x14ac:dyDescent="0.25">
      <c r="A2550" s="1">
        <v>2545</v>
      </c>
      <c r="B2550" s="1" t="s">
        <v>2</v>
      </c>
      <c r="C2550" s="1" t="str">
        <f>IF($B2550 = "Production Item", _xlfn.XLOOKUP($A2550, 'Instrument Table'!$J:$J, 'Instrument Table'!$B:$B, $C2549), IF($B2550 = "Service Item", _xlfn.XLOOKUP($A2550, 'Instrument Table'!$I:$I, 'Instrument Table'!$B:$B, $C2549), _xlfn.XLOOKUP($A2550, 'Instrument Table'!$H:$H, 'Instrument Table'!$B:$B, $C2549)))</f>
        <v>French Horn</v>
      </c>
      <c r="D2550" s="1" t="str">
        <f>VLOOKUP($C2550, 'Instrument Table'!$B:$C, 2, FALSE)</f>
        <v>Brass</v>
      </c>
      <c r="E2550" s="1">
        <f t="shared" si="234"/>
        <v>1</v>
      </c>
      <c r="F2550" s="1">
        <f>_xlfn.XLOOKUP($C2550, 'Instrument Table'!$B:$B, 'Instrument Table'!$A:$A, "")</f>
        <v>40</v>
      </c>
      <c r="G2550" s="1" t="str">
        <f>TEXT(IF($B2550 = "Retail Item", IF((ROW($A2550) - 4504 - _xlfn.XMATCH($C2550, $C$4506:$C$5005, 0, 1)) &lt;= VLOOKUP($C2550, 'Instrument Table'!$B:$D, 3, FALSE), ROW($A2550) - 4504 - _xlfn.XMATCH($C2550, $C$4506:$C$5005, 0, 1), 0), 0), "00")</f>
        <v>00</v>
      </c>
      <c r="H2550" s="1" t="str">
        <f t="shared" si="235"/>
        <v>094</v>
      </c>
      <c r="I2550" s="1" t="str">
        <f t="shared" si="236"/>
        <v>14000-094</v>
      </c>
      <c r="J2550" s="1" t="str">
        <f t="shared" si="237"/>
        <v>French horn production item #094</v>
      </c>
      <c r="K2550" s="1" t="str">
        <f>IF(SUM(COUNTIFS(I:I, I2550)) &gt; 1, "DUPLICATE", "UNIQUE")</f>
        <v>UNIQUE</v>
      </c>
      <c r="L2550" s="18">
        <v>0</v>
      </c>
      <c r="M2550" s="28">
        <v>88</v>
      </c>
      <c r="N2550" s="6">
        <v>361</v>
      </c>
      <c r="O2550" s="30">
        <f t="shared" si="238"/>
        <v>0</v>
      </c>
      <c r="P2550" s="30">
        <f t="shared" si="239"/>
        <v>31768</v>
      </c>
      <c r="Q2550" s="1">
        <f>COUNTIFS($P:$P, "&gt;" &amp; $P2550) + 1</f>
        <v>652</v>
      </c>
      <c r="R2550" s="63">
        <f>(COUNTIFS($P:$P, "&gt;" &amp; $P2550) + 1) / (COUNTA($I:$I) - 1)</f>
        <v>0.13039999999999999</v>
      </c>
      <c r="S2550" s="23">
        <f>SUMIFS($P:$P, $Q:$Q, "&lt;" &amp; $Q2550)</f>
        <v>157609685</v>
      </c>
    </row>
    <row r="2551" spans="1:19" x14ac:dyDescent="0.25">
      <c r="A2551" s="1">
        <v>2546</v>
      </c>
      <c r="B2551" s="1" t="s">
        <v>2</v>
      </c>
      <c r="C2551" s="1" t="str">
        <f>IF($B2551 = "Production Item", _xlfn.XLOOKUP($A2551, 'Instrument Table'!$J:$J, 'Instrument Table'!$B:$B, $C2550), IF($B2551 = "Service Item", _xlfn.XLOOKUP($A2551, 'Instrument Table'!$I:$I, 'Instrument Table'!$B:$B, $C2550), _xlfn.XLOOKUP($A2551, 'Instrument Table'!$H:$H, 'Instrument Table'!$B:$B, $C2550)))</f>
        <v>French Horn</v>
      </c>
      <c r="D2551" s="1" t="str">
        <f>VLOOKUP($C2551, 'Instrument Table'!$B:$C, 2, FALSE)</f>
        <v>Brass</v>
      </c>
      <c r="E2551" s="1">
        <f t="shared" si="234"/>
        <v>1</v>
      </c>
      <c r="F2551" s="1">
        <f>_xlfn.XLOOKUP($C2551, 'Instrument Table'!$B:$B, 'Instrument Table'!$A:$A, "")</f>
        <v>40</v>
      </c>
      <c r="G2551" s="1" t="str">
        <f>TEXT(IF($B2551 = "Retail Item", IF((ROW($A2551) - 4504 - _xlfn.XMATCH($C2551, $C$4506:$C$5005, 0, 1)) &lt;= VLOOKUP($C2551, 'Instrument Table'!$B:$D, 3, FALSE), ROW($A2551) - 4504 - _xlfn.XMATCH($C2551, $C$4506:$C$5005, 0, 1), 0), 0), "00")</f>
        <v>00</v>
      </c>
      <c r="H2551" s="1" t="str">
        <f t="shared" si="235"/>
        <v>095</v>
      </c>
      <c r="I2551" s="1" t="str">
        <f t="shared" si="236"/>
        <v>14000-095</v>
      </c>
      <c r="J2551" s="1" t="str">
        <f t="shared" si="237"/>
        <v>French horn production item #095</v>
      </c>
      <c r="K2551" s="1" t="str">
        <f>IF(SUM(COUNTIFS(I:I, I2551)) &gt; 1, "DUPLICATE", "UNIQUE")</f>
        <v>UNIQUE</v>
      </c>
      <c r="L2551" s="18">
        <v>1</v>
      </c>
      <c r="M2551" s="28">
        <v>54</v>
      </c>
      <c r="N2551" s="6">
        <v>25</v>
      </c>
      <c r="O2551" s="30">
        <f t="shared" si="238"/>
        <v>54</v>
      </c>
      <c r="P2551" s="30">
        <f t="shared" si="239"/>
        <v>1350</v>
      </c>
      <c r="Q2551" s="1">
        <f>COUNTIFS($P:$P, "&gt;" &amp; $P2551) + 1</f>
        <v>3536</v>
      </c>
      <c r="R2551" s="63">
        <f>(COUNTIFS($P:$P, "&gt;" &amp; $P2551) + 1) / (COUNTA($I:$I) - 1)</f>
        <v>0.70720000000000005</v>
      </c>
      <c r="S2551" s="23">
        <f>SUMIFS($P:$P, $Q:$Q, "&lt;" &amp; $Q2551)</f>
        <v>185987313</v>
      </c>
    </row>
    <row r="2552" spans="1:19" x14ac:dyDescent="0.25">
      <c r="A2552" s="1">
        <v>2547</v>
      </c>
      <c r="B2552" s="1" t="s">
        <v>2</v>
      </c>
      <c r="C2552" s="1" t="str">
        <f>IF($B2552 = "Production Item", _xlfn.XLOOKUP($A2552, 'Instrument Table'!$J:$J, 'Instrument Table'!$B:$B, $C2551), IF($B2552 = "Service Item", _xlfn.XLOOKUP($A2552, 'Instrument Table'!$I:$I, 'Instrument Table'!$B:$B, $C2551), _xlfn.XLOOKUP($A2552, 'Instrument Table'!$H:$H, 'Instrument Table'!$B:$B, $C2551)))</f>
        <v>French Horn</v>
      </c>
      <c r="D2552" s="1" t="str">
        <f>VLOOKUP($C2552, 'Instrument Table'!$B:$C, 2, FALSE)</f>
        <v>Brass</v>
      </c>
      <c r="E2552" s="1">
        <f t="shared" si="234"/>
        <v>1</v>
      </c>
      <c r="F2552" s="1">
        <f>_xlfn.XLOOKUP($C2552, 'Instrument Table'!$B:$B, 'Instrument Table'!$A:$A, "")</f>
        <v>40</v>
      </c>
      <c r="G2552" s="1" t="str">
        <f>TEXT(IF($B2552 = "Retail Item", IF((ROW($A2552) - 4504 - _xlfn.XMATCH($C2552, $C$4506:$C$5005, 0, 1)) &lt;= VLOOKUP($C2552, 'Instrument Table'!$B:$D, 3, FALSE), ROW($A2552) - 4504 - _xlfn.XMATCH($C2552, $C$4506:$C$5005, 0, 1), 0), 0), "00")</f>
        <v>00</v>
      </c>
      <c r="H2552" s="1" t="str">
        <f t="shared" si="235"/>
        <v>096</v>
      </c>
      <c r="I2552" s="1" t="str">
        <f t="shared" si="236"/>
        <v>14000-096</v>
      </c>
      <c r="J2552" s="1" t="str">
        <f t="shared" si="237"/>
        <v>French horn production item #096</v>
      </c>
      <c r="K2552" s="1" t="str">
        <f>IF(SUM(COUNTIFS(I:I, I2552)) &gt; 1, "DUPLICATE", "UNIQUE")</f>
        <v>UNIQUE</v>
      </c>
      <c r="L2552" s="18">
        <v>4</v>
      </c>
      <c r="M2552" s="28">
        <v>36</v>
      </c>
      <c r="N2552" s="6">
        <v>400</v>
      </c>
      <c r="O2552" s="30">
        <f t="shared" si="238"/>
        <v>144</v>
      </c>
      <c r="P2552" s="30">
        <f t="shared" si="239"/>
        <v>14400</v>
      </c>
      <c r="Q2552" s="1">
        <f>COUNTIFS($P:$P, "&gt;" &amp; $P2552) + 1</f>
        <v>1389</v>
      </c>
      <c r="R2552" s="63">
        <f>(COUNTIFS($P:$P, "&gt;" &amp; $P2552) + 1) / (COUNTA($I:$I) - 1)</f>
        <v>0.27779999999999999</v>
      </c>
      <c r="S2552" s="23">
        <f>SUMIFS($P:$P, $Q:$Q, "&lt;" &amp; $Q2552)</f>
        <v>173317558</v>
      </c>
    </row>
    <row r="2553" spans="1:19" x14ac:dyDescent="0.25">
      <c r="A2553" s="1">
        <v>2548</v>
      </c>
      <c r="B2553" s="1" t="s">
        <v>2</v>
      </c>
      <c r="C2553" s="1" t="str">
        <f>IF($B2553 = "Production Item", _xlfn.XLOOKUP($A2553, 'Instrument Table'!$J:$J, 'Instrument Table'!$B:$B, $C2552), IF($B2553 = "Service Item", _xlfn.XLOOKUP($A2553, 'Instrument Table'!$I:$I, 'Instrument Table'!$B:$B, $C2552), _xlfn.XLOOKUP($A2553, 'Instrument Table'!$H:$H, 'Instrument Table'!$B:$B, $C2552)))</f>
        <v>French Horn</v>
      </c>
      <c r="D2553" s="1" t="str">
        <f>VLOOKUP($C2553, 'Instrument Table'!$B:$C, 2, FALSE)</f>
        <v>Brass</v>
      </c>
      <c r="E2553" s="1">
        <f t="shared" si="234"/>
        <v>1</v>
      </c>
      <c r="F2553" s="1">
        <f>_xlfn.XLOOKUP($C2553, 'Instrument Table'!$B:$B, 'Instrument Table'!$A:$A, "")</f>
        <v>40</v>
      </c>
      <c r="G2553" s="1" t="str">
        <f>TEXT(IF($B2553 = "Retail Item", IF((ROW($A2553) - 4504 - _xlfn.XMATCH($C2553, $C$4506:$C$5005, 0, 1)) &lt;= VLOOKUP($C2553, 'Instrument Table'!$B:$D, 3, FALSE), ROW($A2553) - 4504 - _xlfn.XMATCH($C2553, $C$4506:$C$5005, 0, 1), 0), 0), "00")</f>
        <v>00</v>
      </c>
      <c r="H2553" s="1" t="str">
        <f t="shared" si="235"/>
        <v>097</v>
      </c>
      <c r="I2553" s="1" t="str">
        <f t="shared" si="236"/>
        <v>14000-097</v>
      </c>
      <c r="J2553" s="1" t="str">
        <f t="shared" si="237"/>
        <v>French horn production item #097</v>
      </c>
      <c r="K2553" s="1" t="str">
        <f>IF(SUM(COUNTIFS(I:I, I2553)) &gt; 1, "DUPLICATE", "UNIQUE")</f>
        <v>UNIQUE</v>
      </c>
      <c r="L2553" s="18">
        <v>4</v>
      </c>
      <c r="M2553" s="28">
        <v>57</v>
      </c>
      <c r="N2553" s="6">
        <v>144</v>
      </c>
      <c r="O2553" s="30">
        <f t="shared" si="238"/>
        <v>228</v>
      </c>
      <c r="P2553" s="30">
        <f t="shared" si="239"/>
        <v>8208</v>
      </c>
      <c r="Q2553" s="1">
        <f>COUNTIFS($P:$P, "&gt;" &amp; $P2553) + 1</f>
        <v>1959</v>
      </c>
      <c r="R2553" s="63">
        <f>(COUNTIFS($P:$P, "&gt;" &amp; $P2553) + 1) / (COUNTA($I:$I) - 1)</f>
        <v>0.39179999999999998</v>
      </c>
      <c r="S2553" s="23">
        <f>SUMIFS($P:$P, $Q:$Q, "&lt;" &amp; $Q2553)</f>
        <v>179665725</v>
      </c>
    </row>
    <row r="2554" spans="1:19" x14ac:dyDescent="0.25">
      <c r="A2554" s="1">
        <v>2549</v>
      </c>
      <c r="B2554" s="1" t="s">
        <v>2</v>
      </c>
      <c r="C2554" s="1" t="str">
        <f>IF($B2554 = "Production Item", _xlfn.XLOOKUP($A2554, 'Instrument Table'!$J:$J, 'Instrument Table'!$B:$B, $C2553), IF($B2554 = "Service Item", _xlfn.XLOOKUP($A2554, 'Instrument Table'!$I:$I, 'Instrument Table'!$B:$B, $C2553), _xlfn.XLOOKUP($A2554, 'Instrument Table'!$H:$H, 'Instrument Table'!$B:$B, $C2553)))</f>
        <v>French Horn</v>
      </c>
      <c r="D2554" s="1" t="str">
        <f>VLOOKUP($C2554, 'Instrument Table'!$B:$C, 2, FALSE)</f>
        <v>Brass</v>
      </c>
      <c r="E2554" s="1">
        <f t="shared" si="234"/>
        <v>1</v>
      </c>
      <c r="F2554" s="1">
        <f>_xlfn.XLOOKUP($C2554, 'Instrument Table'!$B:$B, 'Instrument Table'!$A:$A, "")</f>
        <v>40</v>
      </c>
      <c r="G2554" s="1" t="str">
        <f>TEXT(IF($B2554 = "Retail Item", IF((ROW($A2554) - 4504 - _xlfn.XMATCH($C2554, $C$4506:$C$5005, 0, 1)) &lt;= VLOOKUP($C2554, 'Instrument Table'!$B:$D, 3, FALSE), ROW($A2554) - 4504 - _xlfn.XMATCH($C2554, $C$4506:$C$5005, 0, 1), 0), 0), "00")</f>
        <v>00</v>
      </c>
      <c r="H2554" s="1" t="str">
        <f t="shared" si="235"/>
        <v>098</v>
      </c>
      <c r="I2554" s="1" t="str">
        <f t="shared" si="236"/>
        <v>14000-098</v>
      </c>
      <c r="J2554" s="1" t="str">
        <f t="shared" si="237"/>
        <v>French horn production item #098</v>
      </c>
      <c r="K2554" s="1" t="str">
        <f>IF(SUM(COUNTIFS(I:I, I2554)) &gt; 1, "DUPLICATE", "UNIQUE")</f>
        <v>UNIQUE</v>
      </c>
      <c r="L2554" s="18">
        <v>8</v>
      </c>
      <c r="M2554" s="28">
        <v>67</v>
      </c>
      <c r="N2554" s="6">
        <v>9</v>
      </c>
      <c r="O2554" s="30">
        <f t="shared" si="238"/>
        <v>536</v>
      </c>
      <c r="P2554" s="30">
        <f t="shared" si="239"/>
        <v>603</v>
      </c>
      <c r="Q2554" s="1">
        <f>COUNTIFS($P:$P, "&gt;" &amp; $P2554) + 1</f>
        <v>3934</v>
      </c>
      <c r="R2554" s="63">
        <f>(COUNTIFS($P:$P, "&gt;" &amp; $P2554) + 1) / (COUNTA($I:$I) - 1)</f>
        <v>0.78680000000000005</v>
      </c>
      <c r="S2554" s="23">
        <f>SUMIFS($P:$P, $Q:$Q, "&lt;" &amp; $Q2554)</f>
        <v>186360696</v>
      </c>
    </row>
    <row r="2555" spans="1:19" x14ac:dyDescent="0.25">
      <c r="A2555" s="1">
        <v>2550</v>
      </c>
      <c r="B2555" s="1" t="s">
        <v>2</v>
      </c>
      <c r="C2555" s="1" t="str">
        <f>IF($B2555 = "Production Item", _xlfn.XLOOKUP($A2555, 'Instrument Table'!$J:$J, 'Instrument Table'!$B:$B, $C2554), IF($B2555 = "Service Item", _xlfn.XLOOKUP($A2555, 'Instrument Table'!$I:$I, 'Instrument Table'!$B:$B, $C2554), _xlfn.XLOOKUP($A2555, 'Instrument Table'!$H:$H, 'Instrument Table'!$B:$B, $C2554)))</f>
        <v>French Horn</v>
      </c>
      <c r="D2555" s="1" t="str">
        <f>VLOOKUP($C2555, 'Instrument Table'!$B:$C, 2, FALSE)</f>
        <v>Brass</v>
      </c>
      <c r="E2555" s="1">
        <f t="shared" si="234"/>
        <v>1</v>
      </c>
      <c r="F2555" s="1">
        <f>_xlfn.XLOOKUP($C2555, 'Instrument Table'!$B:$B, 'Instrument Table'!$A:$A, "")</f>
        <v>40</v>
      </c>
      <c r="G2555" s="1" t="str">
        <f>TEXT(IF($B2555 = "Retail Item", IF((ROW($A2555) - 4504 - _xlfn.XMATCH($C2555, $C$4506:$C$5005, 0, 1)) &lt;= VLOOKUP($C2555, 'Instrument Table'!$B:$D, 3, FALSE), ROW($A2555) - 4504 - _xlfn.XMATCH($C2555, $C$4506:$C$5005, 0, 1), 0), 0), "00")</f>
        <v>00</v>
      </c>
      <c r="H2555" s="1" t="str">
        <f t="shared" si="235"/>
        <v>099</v>
      </c>
      <c r="I2555" s="1" t="str">
        <f t="shared" si="236"/>
        <v>14000-099</v>
      </c>
      <c r="J2555" s="1" t="str">
        <f t="shared" si="237"/>
        <v>French horn production item #099</v>
      </c>
      <c r="K2555" s="1" t="str">
        <f>IF(SUM(COUNTIFS(I:I, I2555)) &gt; 1, "DUPLICATE", "UNIQUE")</f>
        <v>UNIQUE</v>
      </c>
      <c r="L2555" s="18">
        <v>0</v>
      </c>
      <c r="M2555" s="28">
        <v>20</v>
      </c>
      <c r="N2555" s="6">
        <v>64</v>
      </c>
      <c r="O2555" s="30">
        <f t="shared" si="238"/>
        <v>0</v>
      </c>
      <c r="P2555" s="30">
        <f t="shared" si="239"/>
        <v>1280</v>
      </c>
      <c r="Q2555" s="1">
        <f>COUNTIFS($P:$P, "&gt;" &amp; $P2555) + 1</f>
        <v>3569</v>
      </c>
      <c r="R2555" s="63">
        <f>(COUNTIFS($P:$P, "&gt;" &amp; $P2555) + 1) / (COUNTA($I:$I) - 1)</f>
        <v>0.71379999999999999</v>
      </c>
      <c r="S2555" s="23">
        <f>SUMIFS($P:$P, $Q:$Q, "&lt;" &amp; $Q2555)</f>
        <v>186031008</v>
      </c>
    </row>
    <row r="2556" spans="1:19" x14ac:dyDescent="0.25">
      <c r="A2556" s="1">
        <v>2551</v>
      </c>
      <c r="B2556" s="1" t="s">
        <v>2</v>
      </c>
      <c r="C2556" s="1" t="str">
        <f>IF($B2556 = "Production Item", _xlfn.XLOOKUP($A2556, 'Instrument Table'!$J:$J, 'Instrument Table'!$B:$B, $C2555), IF($B2556 = "Service Item", _xlfn.XLOOKUP($A2556, 'Instrument Table'!$I:$I, 'Instrument Table'!$B:$B, $C2555), _xlfn.XLOOKUP($A2556, 'Instrument Table'!$H:$H, 'Instrument Table'!$B:$B, $C2555)))</f>
        <v>French Horn</v>
      </c>
      <c r="D2556" s="1" t="str">
        <f>VLOOKUP($C2556, 'Instrument Table'!$B:$C, 2, FALSE)</f>
        <v>Brass</v>
      </c>
      <c r="E2556" s="1">
        <f t="shared" si="234"/>
        <v>1</v>
      </c>
      <c r="F2556" s="1">
        <f>_xlfn.XLOOKUP($C2556, 'Instrument Table'!$B:$B, 'Instrument Table'!$A:$A, "")</f>
        <v>40</v>
      </c>
      <c r="G2556" s="1" t="str">
        <f>TEXT(IF($B2556 = "Retail Item", IF((ROW($A2556) - 4504 - _xlfn.XMATCH($C2556, $C$4506:$C$5005, 0, 1)) &lt;= VLOOKUP($C2556, 'Instrument Table'!$B:$D, 3, FALSE), ROW($A2556) - 4504 - _xlfn.XMATCH($C2556, $C$4506:$C$5005, 0, 1), 0), 0), "00")</f>
        <v>00</v>
      </c>
      <c r="H2556" s="1" t="str">
        <f t="shared" si="235"/>
        <v>100</v>
      </c>
      <c r="I2556" s="1" t="str">
        <f t="shared" si="236"/>
        <v>14000-100</v>
      </c>
      <c r="J2556" s="1" t="str">
        <f t="shared" si="237"/>
        <v>French horn production item #100</v>
      </c>
      <c r="K2556" s="1" t="str">
        <f>IF(SUM(COUNTIFS(I:I, I2556)) &gt; 1, "DUPLICATE", "UNIQUE")</f>
        <v>UNIQUE</v>
      </c>
      <c r="L2556" s="18">
        <v>1</v>
      </c>
      <c r="M2556" s="28">
        <v>5</v>
      </c>
      <c r="N2556" s="6">
        <v>400</v>
      </c>
      <c r="O2556" s="30">
        <f t="shared" si="238"/>
        <v>5</v>
      </c>
      <c r="P2556" s="30">
        <f t="shared" si="239"/>
        <v>2000</v>
      </c>
      <c r="Q2556" s="1">
        <f>COUNTIFS($P:$P, "&gt;" &amp; $P2556) + 1</f>
        <v>3257</v>
      </c>
      <c r="R2556" s="63">
        <f>(COUNTIFS($P:$P, "&gt;" &amp; $P2556) + 1) / (COUNTA($I:$I) - 1)</f>
        <v>0.65139999999999998</v>
      </c>
      <c r="S2556" s="23">
        <f>SUMIFS($P:$P, $Q:$Q, "&lt;" &amp; $Q2556)</f>
        <v>185525191</v>
      </c>
    </row>
    <row r="2557" spans="1:19" x14ac:dyDescent="0.25">
      <c r="A2557" s="1">
        <v>2552</v>
      </c>
      <c r="B2557" s="1" t="s">
        <v>2</v>
      </c>
      <c r="C2557" s="1" t="str">
        <f>IF($B2557 = "Production Item", _xlfn.XLOOKUP($A2557, 'Instrument Table'!$J:$J, 'Instrument Table'!$B:$B, $C2556), IF($B2557 = "Service Item", _xlfn.XLOOKUP($A2557, 'Instrument Table'!$I:$I, 'Instrument Table'!$B:$B, $C2556), _xlfn.XLOOKUP($A2557, 'Instrument Table'!$H:$H, 'Instrument Table'!$B:$B, $C2556)))</f>
        <v>French Horn</v>
      </c>
      <c r="D2557" s="1" t="str">
        <f>VLOOKUP($C2557, 'Instrument Table'!$B:$C, 2, FALSE)</f>
        <v>Brass</v>
      </c>
      <c r="E2557" s="1">
        <f t="shared" si="234"/>
        <v>1</v>
      </c>
      <c r="F2557" s="1">
        <f>_xlfn.XLOOKUP($C2557, 'Instrument Table'!$B:$B, 'Instrument Table'!$A:$A, "")</f>
        <v>40</v>
      </c>
      <c r="G2557" s="1" t="str">
        <f>TEXT(IF($B2557 = "Retail Item", IF((ROW($A2557) - 4504 - _xlfn.XMATCH($C2557, $C$4506:$C$5005, 0, 1)) &lt;= VLOOKUP($C2557, 'Instrument Table'!$B:$D, 3, FALSE), ROW($A2557) - 4504 - _xlfn.XMATCH($C2557, $C$4506:$C$5005, 0, 1), 0), 0), "00")</f>
        <v>00</v>
      </c>
      <c r="H2557" s="1" t="str">
        <f t="shared" si="235"/>
        <v>101</v>
      </c>
      <c r="I2557" s="1" t="str">
        <f t="shared" si="236"/>
        <v>14000-101</v>
      </c>
      <c r="J2557" s="1" t="str">
        <f t="shared" si="237"/>
        <v>French horn production item #101</v>
      </c>
      <c r="K2557" s="1" t="str">
        <f>IF(SUM(COUNTIFS(I:I, I2557)) &gt; 1, "DUPLICATE", "UNIQUE")</f>
        <v>UNIQUE</v>
      </c>
      <c r="L2557" s="18">
        <v>0</v>
      </c>
      <c r="M2557" s="28">
        <v>54</v>
      </c>
      <c r="N2557" s="6">
        <v>225</v>
      </c>
      <c r="O2557" s="30">
        <f t="shared" si="238"/>
        <v>0</v>
      </c>
      <c r="P2557" s="30">
        <f t="shared" si="239"/>
        <v>12150</v>
      </c>
      <c r="Q2557" s="1">
        <f>COUNTIFS($P:$P, "&gt;" &amp; $P2557) + 1</f>
        <v>1566</v>
      </c>
      <c r="R2557" s="63">
        <f>(COUNTIFS($P:$P, "&gt;" &amp; $P2557) + 1) / (COUNTA($I:$I) - 1)</f>
        <v>0.31319999999999998</v>
      </c>
      <c r="S2557" s="23">
        <f>SUMIFS($P:$P, $Q:$Q, "&lt;" &amp; $Q2557)</f>
        <v>175670874</v>
      </c>
    </row>
    <row r="2558" spans="1:19" x14ac:dyDescent="0.25">
      <c r="A2558" s="1">
        <v>2553</v>
      </c>
      <c r="B2558" s="1" t="s">
        <v>2</v>
      </c>
      <c r="C2558" s="1" t="str">
        <f>IF($B2558 = "Production Item", _xlfn.XLOOKUP($A2558, 'Instrument Table'!$J:$J, 'Instrument Table'!$B:$B, $C2557), IF($B2558 = "Service Item", _xlfn.XLOOKUP($A2558, 'Instrument Table'!$I:$I, 'Instrument Table'!$B:$B, $C2557), _xlfn.XLOOKUP($A2558, 'Instrument Table'!$H:$H, 'Instrument Table'!$B:$B, $C2557)))</f>
        <v>French Horn</v>
      </c>
      <c r="D2558" s="1" t="str">
        <f>VLOOKUP($C2558, 'Instrument Table'!$B:$C, 2, FALSE)</f>
        <v>Brass</v>
      </c>
      <c r="E2558" s="1">
        <f t="shared" si="234"/>
        <v>1</v>
      </c>
      <c r="F2558" s="1">
        <f>_xlfn.XLOOKUP($C2558, 'Instrument Table'!$B:$B, 'Instrument Table'!$A:$A, "")</f>
        <v>40</v>
      </c>
      <c r="G2558" s="1" t="str">
        <f>TEXT(IF($B2558 = "Retail Item", IF((ROW($A2558) - 4504 - _xlfn.XMATCH($C2558, $C$4506:$C$5005, 0, 1)) &lt;= VLOOKUP($C2558, 'Instrument Table'!$B:$D, 3, FALSE), ROW($A2558) - 4504 - _xlfn.XMATCH($C2558, $C$4506:$C$5005, 0, 1), 0), 0), "00")</f>
        <v>00</v>
      </c>
      <c r="H2558" s="1" t="str">
        <f t="shared" si="235"/>
        <v>102</v>
      </c>
      <c r="I2558" s="1" t="str">
        <f t="shared" si="236"/>
        <v>14000-102</v>
      </c>
      <c r="J2558" s="1" t="str">
        <f t="shared" si="237"/>
        <v>French horn production item #102</v>
      </c>
      <c r="K2558" s="1" t="str">
        <f>IF(SUM(COUNTIFS(I:I, I2558)) &gt; 1, "DUPLICATE", "UNIQUE")</f>
        <v>UNIQUE</v>
      </c>
      <c r="L2558" s="18">
        <v>1</v>
      </c>
      <c r="M2558" s="28">
        <v>55</v>
      </c>
      <c r="N2558" s="6">
        <v>0</v>
      </c>
      <c r="O2558" s="30">
        <f t="shared" si="238"/>
        <v>55</v>
      </c>
      <c r="P2558" s="30">
        <f t="shared" si="239"/>
        <v>0</v>
      </c>
      <c r="Q2558" s="1">
        <f>COUNTIFS($P:$P, "&gt;" &amp; $P2558) + 1</f>
        <v>4746</v>
      </c>
      <c r="R2558" s="63">
        <f>(COUNTIFS($P:$P, "&gt;" &amp; $P2558) + 1) / (COUNTA($I:$I) - 1)</f>
        <v>0.94920000000000004</v>
      </c>
      <c r="S2558" s="23">
        <f>SUMIFS($P:$P, $Q:$Q, "&lt;" &amp; $Q2558)</f>
        <v>186547861</v>
      </c>
    </row>
    <row r="2559" spans="1:19" x14ac:dyDescent="0.25">
      <c r="A2559" s="1">
        <v>2554</v>
      </c>
      <c r="B2559" s="1" t="s">
        <v>2</v>
      </c>
      <c r="C2559" s="1" t="str">
        <f>IF($B2559 = "Production Item", _xlfn.XLOOKUP($A2559, 'Instrument Table'!$J:$J, 'Instrument Table'!$B:$B, $C2558), IF($B2559 = "Service Item", _xlfn.XLOOKUP($A2559, 'Instrument Table'!$I:$I, 'Instrument Table'!$B:$B, $C2558), _xlfn.XLOOKUP($A2559, 'Instrument Table'!$H:$H, 'Instrument Table'!$B:$B, $C2558)))</f>
        <v>French Horn</v>
      </c>
      <c r="D2559" s="1" t="str">
        <f>VLOOKUP($C2559, 'Instrument Table'!$B:$C, 2, FALSE)</f>
        <v>Brass</v>
      </c>
      <c r="E2559" s="1">
        <f t="shared" si="234"/>
        <v>1</v>
      </c>
      <c r="F2559" s="1">
        <f>_xlfn.XLOOKUP($C2559, 'Instrument Table'!$B:$B, 'Instrument Table'!$A:$A, "")</f>
        <v>40</v>
      </c>
      <c r="G2559" s="1" t="str">
        <f>TEXT(IF($B2559 = "Retail Item", IF((ROW($A2559) - 4504 - _xlfn.XMATCH($C2559, $C$4506:$C$5005, 0, 1)) &lt;= VLOOKUP($C2559, 'Instrument Table'!$B:$D, 3, FALSE), ROW($A2559) - 4504 - _xlfn.XMATCH($C2559, $C$4506:$C$5005, 0, 1), 0), 0), "00")</f>
        <v>00</v>
      </c>
      <c r="H2559" s="1" t="str">
        <f t="shared" si="235"/>
        <v>103</v>
      </c>
      <c r="I2559" s="1" t="str">
        <f t="shared" si="236"/>
        <v>14000-103</v>
      </c>
      <c r="J2559" s="1" t="str">
        <f t="shared" si="237"/>
        <v>French horn production item #103</v>
      </c>
      <c r="K2559" s="1" t="str">
        <f>IF(SUM(COUNTIFS(I:I, I2559)) &gt; 1, "DUPLICATE", "UNIQUE")</f>
        <v>UNIQUE</v>
      </c>
      <c r="L2559" s="18">
        <v>0</v>
      </c>
      <c r="M2559" s="28">
        <v>23</v>
      </c>
      <c r="N2559" s="6">
        <v>0</v>
      </c>
      <c r="O2559" s="30">
        <f t="shared" si="238"/>
        <v>0</v>
      </c>
      <c r="P2559" s="30">
        <f t="shared" si="239"/>
        <v>0</v>
      </c>
      <c r="Q2559" s="1">
        <f>COUNTIFS($P:$P, "&gt;" &amp; $P2559) + 1</f>
        <v>4746</v>
      </c>
      <c r="R2559" s="63">
        <f>(COUNTIFS($P:$P, "&gt;" &amp; $P2559) + 1) / (COUNTA($I:$I) - 1)</f>
        <v>0.94920000000000004</v>
      </c>
      <c r="S2559" s="23">
        <f>SUMIFS($P:$P, $Q:$Q, "&lt;" &amp; $Q2559)</f>
        <v>186547861</v>
      </c>
    </row>
    <row r="2560" spans="1:19" x14ac:dyDescent="0.25">
      <c r="A2560" s="1">
        <v>2555</v>
      </c>
      <c r="B2560" s="1" t="s">
        <v>2</v>
      </c>
      <c r="C2560" s="1" t="str">
        <f>IF($B2560 = "Production Item", _xlfn.XLOOKUP($A2560, 'Instrument Table'!$J:$J, 'Instrument Table'!$B:$B, $C2559), IF($B2560 = "Service Item", _xlfn.XLOOKUP($A2560, 'Instrument Table'!$I:$I, 'Instrument Table'!$B:$B, $C2559), _xlfn.XLOOKUP($A2560, 'Instrument Table'!$H:$H, 'Instrument Table'!$B:$B, $C2559)))</f>
        <v>French Horn</v>
      </c>
      <c r="D2560" s="1" t="str">
        <f>VLOOKUP($C2560, 'Instrument Table'!$B:$C, 2, FALSE)</f>
        <v>Brass</v>
      </c>
      <c r="E2560" s="1">
        <f t="shared" si="234"/>
        <v>1</v>
      </c>
      <c r="F2560" s="1">
        <f>_xlfn.XLOOKUP($C2560, 'Instrument Table'!$B:$B, 'Instrument Table'!$A:$A, "")</f>
        <v>40</v>
      </c>
      <c r="G2560" s="1" t="str">
        <f>TEXT(IF($B2560 = "Retail Item", IF((ROW($A2560) - 4504 - _xlfn.XMATCH($C2560, $C$4506:$C$5005, 0, 1)) &lt;= VLOOKUP($C2560, 'Instrument Table'!$B:$D, 3, FALSE), ROW($A2560) - 4504 - _xlfn.XMATCH($C2560, $C$4506:$C$5005, 0, 1), 0), 0), "00")</f>
        <v>00</v>
      </c>
      <c r="H2560" s="1" t="str">
        <f t="shared" si="235"/>
        <v>104</v>
      </c>
      <c r="I2560" s="1" t="str">
        <f t="shared" si="236"/>
        <v>14000-104</v>
      </c>
      <c r="J2560" s="1" t="str">
        <f t="shared" si="237"/>
        <v>French horn production item #104</v>
      </c>
      <c r="K2560" s="1" t="str">
        <f>IF(SUM(COUNTIFS(I:I, I2560)) &gt; 1, "DUPLICATE", "UNIQUE")</f>
        <v>UNIQUE</v>
      </c>
      <c r="L2560" s="18">
        <v>8</v>
      </c>
      <c r="M2560" s="28">
        <v>78</v>
      </c>
      <c r="N2560" s="6">
        <v>225</v>
      </c>
      <c r="O2560" s="30">
        <f t="shared" si="238"/>
        <v>624</v>
      </c>
      <c r="P2560" s="30">
        <f t="shared" si="239"/>
        <v>17550</v>
      </c>
      <c r="Q2560" s="1">
        <f>COUNTIFS($P:$P, "&gt;" &amp; $P2560) + 1</f>
        <v>1187</v>
      </c>
      <c r="R2560" s="63">
        <f>(COUNTIFS($P:$P, "&gt;" &amp; $P2560) + 1) / (COUNTA($I:$I) - 1)</f>
        <v>0.2374</v>
      </c>
      <c r="S2560" s="23">
        <f>SUMIFS($P:$P, $Q:$Q, "&lt;" &amp; $Q2560)</f>
        <v>170099245</v>
      </c>
    </row>
    <row r="2561" spans="1:19" x14ac:dyDescent="0.25">
      <c r="A2561" s="1">
        <v>2556</v>
      </c>
      <c r="B2561" s="1" t="s">
        <v>2</v>
      </c>
      <c r="C2561" s="1" t="str">
        <f>IF($B2561 = "Production Item", _xlfn.XLOOKUP($A2561, 'Instrument Table'!$J:$J, 'Instrument Table'!$B:$B, $C2560), IF($B2561 = "Service Item", _xlfn.XLOOKUP($A2561, 'Instrument Table'!$I:$I, 'Instrument Table'!$B:$B, $C2560), _xlfn.XLOOKUP($A2561, 'Instrument Table'!$H:$H, 'Instrument Table'!$B:$B, $C2560)))</f>
        <v>French Horn</v>
      </c>
      <c r="D2561" s="1" t="str">
        <f>VLOOKUP($C2561, 'Instrument Table'!$B:$C, 2, FALSE)</f>
        <v>Brass</v>
      </c>
      <c r="E2561" s="1">
        <f t="shared" si="234"/>
        <v>1</v>
      </c>
      <c r="F2561" s="1">
        <f>_xlfn.XLOOKUP($C2561, 'Instrument Table'!$B:$B, 'Instrument Table'!$A:$A, "")</f>
        <v>40</v>
      </c>
      <c r="G2561" s="1" t="str">
        <f>TEXT(IF($B2561 = "Retail Item", IF((ROW($A2561) - 4504 - _xlfn.XMATCH($C2561, $C$4506:$C$5005, 0, 1)) &lt;= VLOOKUP($C2561, 'Instrument Table'!$B:$D, 3, FALSE), ROW($A2561) - 4504 - _xlfn.XMATCH($C2561, $C$4506:$C$5005, 0, 1), 0), 0), "00")</f>
        <v>00</v>
      </c>
      <c r="H2561" s="1" t="str">
        <f t="shared" si="235"/>
        <v>105</v>
      </c>
      <c r="I2561" s="1" t="str">
        <f t="shared" si="236"/>
        <v>14000-105</v>
      </c>
      <c r="J2561" s="1" t="str">
        <f t="shared" si="237"/>
        <v>French horn production item #105</v>
      </c>
      <c r="K2561" s="1" t="str">
        <f>IF(SUM(COUNTIFS(I:I, I2561)) &gt; 1, "DUPLICATE", "UNIQUE")</f>
        <v>UNIQUE</v>
      </c>
      <c r="L2561" s="18">
        <v>0</v>
      </c>
      <c r="M2561" s="28">
        <v>83</v>
      </c>
      <c r="N2561" s="6">
        <v>144</v>
      </c>
      <c r="O2561" s="30">
        <f t="shared" si="238"/>
        <v>0</v>
      </c>
      <c r="P2561" s="30">
        <f t="shared" si="239"/>
        <v>11952</v>
      </c>
      <c r="Q2561" s="1">
        <f>COUNTIFS($P:$P, "&gt;" &amp; $P2561) + 1</f>
        <v>1588</v>
      </c>
      <c r="R2561" s="63">
        <f>(COUNTIFS($P:$P, "&gt;" &amp; $P2561) + 1) / (COUNTA($I:$I) - 1)</f>
        <v>0.31759999999999999</v>
      </c>
      <c r="S2561" s="23">
        <f>SUMIFS($P:$P, $Q:$Q, "&lt;" &amp; $Q2561)</f>
        <v>175936250</v>
      </c>
    </row>
    <row r="2562" spans="1:19" x14ac:dyDescent="0.25">
      <c r="A2562" s="1">
        <v>2557</v>
      </c>
      <c r="B2562" s="1" t="s">
        <v>2</v>
      </c>
      <c r="C2562" s="1" t="str">
        <f>IF($B2562 = "Production Item", _xlfn.XLOOKUP($A2562, 'Instrument Table'!$J:$J, 'Instrument Table'!$B:$B, $C2561), IF($B2562 = "Service Item", _xlfn.XLOOKUP($A2562, 'Instrument Table'!$I:$I, 'Instrument Table'!$B:$B, $C2561), _xlfn.XLOOKUP($A2562, 'Instrument Table'!$H:$H, 'Instrument Table'!$B:$B, $C2561)))</f>
        <v>French Horn</v>
      </c>
      <c r="D2562" s="1" t="str">
        <f>VLOOKUP($C2562, 'Instrument Table'!$B:$C, 2, FALSE)</f>
        <v>Brass</v>
      </c>
      <c r="E2562" s="1">
        <f t="shared" si="234"/>
        <v>1</v>
      </c>
      <c r="F2562" s="1">
        <f>_xlfn.XLOOKUP($C2562, 'Instrument Table'!$B:$B, 'Instrument Table'!$A:$A, "")</f>
        <v>40</v>
      </c>
      <c r="G2562" s="1" t="str">
        <f>TEXT(IF($B2562 = "Retail Item", IF((ROW($A2562) - 4504 - _xlfn.XMATCH($C2562, $C$4506:$C$5005, 0, 1)) &lt;= VLOOKUP($C2562, 'Instrument Table'!$B:$D, 3, FALSE), ROW($A2562) - 4504 - _xlfn.XMATCH($C2562, $C$4506:$C$5005, 0, 1), 0), 0), "00")</f>
        <v>00</v>
      </c>
      <c r="H2562" s="1" t="str">
        <f t="shared" si="235"/>
        <v>106</v>
      </c>
      <c r="I2562" s="1" t="str">
        <f t="shared" si="236"/>
        <v>14000-106</v>
      </c>
      <c r="J2562" s="1" t="str">
        <f t="shared" si="237"/>
        <v>French horn production item #106</v>
      </c>
      <c r="K2562" s="1" t="str">
        <f>IF(SUM(COUNTIFS(I:I, I2562)) &gt; 1, "DUPLICATE", "UNIQUE")</f>
        <v>UNIQUE</v>
      </c>
      <c r="L2562" s="18">
        <v>0</v>
      </c>
      <c r="M2562" s="28">
        <v>63</v>
      </c>
      <c r="N2562" s="6">
        <v>121</v>
      </c>
      <c r="O2562" s="30">
        <f t="shared" si="238"/>
        <v>0</v>
      </c>
      <c r="P2562" s="30">
        <f t="shared" si="239"/>
        <v>7623</v>
      </c>
      <c r="Q2562" s="1">
        <f>COUNTIFS($P:$P, "&gt;" &amp; $P2562) + 1</f>
        <v>2053</v>
      </c>
      <c r="R2562" s="63">
        <f>(COUNTIFS($P:$P, "&gt;" &amp; $P2562) + 1) / (COUNTA($I:$I) - 1)</f>
        <v>0.41060000000000002</v>
      </c>
      <c r="S2562" s="23">
        <f>SUMIFS($P:$P, $Q:$Q, "&lt;" &amp; $Q2562)</f>
        <v>180407949</v>
      </c>
    </row>
    <row r="2563" spans="1:19" x14ac:dyDescent="0.25">
      <c r="A2563" s="1">
        <v>2558</v>
      </c>
      <c r="B2563" s="1" t="s">
        <v>2</v>
      </c>
      <c r="C2563" s="1" t="str">
        <f>IF($B2563 = "Production Item", _xlfn.XLOOKUP($A2563, 'Instrument Table'!$J:$J, 'Instrument Table'!$B:$B, $C2562), IF($B2563 = "Service Item", _xlfn.XLOOKUP($A2563, 'Instrument Table'!$I:$I, 'Instrument Table'!$B:$B, $C2562), _xlfn.XLOOKUP($A2563, 'Instrument Table'!$H:$H, 'Instrument Table'!$B:$B, $C2562)))</f>
        <v>French Horn</v>
      </c>
      <c r="D2563" s="1" t="str">
        <f>VLOOKUP($C2563, 'Instrument Table'!$B:$C, 2, FALSE)</f>
        <v>Brass</v>
      </c>
      <c r="E2563" s="1">
        <f t="shared" si="234"/>
        <v>1</v>
      </c>
      <c r="F2563" s="1">
        <f>_xlfn.XLOOKUP($C2563, 'Instrument Table'!$B:$B, 'Instrument Table'!$A:$A, "")</f>
        <v>40</v>
      </c>
      <c r="G2563" s="1" t="str">
        <f>TEXT(IF($B2563 = "Retail Item", IF((ROW($A2563) - 4504 - _xlfn.XMATCH($C2563, $C$4506:$C$5005, 0, 1)) &lt;= VLOOKUP($C2563, 'Instrument Table'!$B:$D, 3, FALSE), ROW($A2563) - 4504 - _xlfn.XMATCH($C2563, $C$4506:$C$5005, 0, 1), 0), 0), "00")</f>
        <v>00</v>
      </c>
      <c r="H2563" s="1" t="str">
        <f t="shared" si="235"/>
        <v>107</v>
      </c>
      <c r="I2563" s="1" t="str">
        <f t="shared" si="236"/>
        <v>14000-107</v>
      </c>
      <c r="J2563" s="1" t="str">
        <f t="shared" si="237"/>
        <v>French horn production item #107</v>
      </c>
      <c r="K2563" s="1" t="str">
        <f>IF(SUM(COUNTIFS(I:I, I2563)) &gt; 1, "DUPLICATE", "UNIQUE")</f>
        <v>UNIQUE</v>
      </c>
      <c r="L2563" s="18">
        <v>4</v>
      </c>
      <c r="M2563" s="28">
        <v>59</v>
      </c>
      <c r="N2563" s="6">
        <v>324</v>
      </c>
      <c r="O2563" s="30">
        <f t="shared" si="238"/>
        <v>236</v>
      </c>
      <c r="P2563" s="30">
        <f t="shared" si="239"/>
        <v>19116</v>
      </c>
      <c r="Q2563" s="1">
        <f>COUNTIFS($P:$P, "&gt;" &amp; $P2563) + 1</f>
        <v>1099</v>
      </c>
      <c r="R2563" s="63">
        <f>(COUNTIFS($P:$P, "&gt;" &amp; $P2563) + 1) / (COUNTA($I:$I) - 1)</f>
        <v>0.2198</v>
      </c>
      <c r="S2563" s="23">
        <f>SUMIFS($P:$P, $Q:$Q, "&lt;" &amp; $Q2563)</f>
        <v>168484790</v>
      </c>
    </row>
    <row r="2564" spans="1:19" x14ac:dyDescent="0.25">
      <c r="A2564" s="1">
        <v>2559</v>
      </c>
      <c r="B2564" s="1" t="s">
        <v>2</v>
      </c>
      <c r="C2564" s="1" t="str">
        <f>IF($B2564 = "Production Item", _xlfn.XLOOKUP($A2564, 'Instrument Table'!$J:$J, 'Instrument Table'!$B:$B, $C2563), IF($B2564 = "Service Item", _xlfn.XLOOKUP($A2564, 'Instrument Table'!$I:$I, 'Instrument Table'!$B:$B, $C2563), _xlfn.XLOOKUP($A2564, 'Instrument Table'!$H:$H, 'Instrument Table'!$B:$B, $C2563)))</f>
        <v>French Horn</v>
      </c>
      <c r="D2564" s="1" t="str">
        <f>VLOOKUP($C2564, 'Instrument Table'!$B:$C, 2, FALSE)</f>
        <v>Brass</v>
      </c>
      <c r="E2564" s="1">
        <f t="shared" si="234"/>
        <v>1</v>
      </c>
      <c r="F2564" s="1">
        <f>_xlfn.XLOOKUP($C2564, 'Instrument Table'!$B:$B, 'Instrument Table'!$A:$A, "")</f>
        <v>40</v>
      </c>
      <c r="G2564" s="1" t="str">
        <f>TEXT(IF($B2564 = "Retail Item", IF((ROW($A2564) - 4504 - _xlfn.XMATCH($C2564, $C$4506:$C$5005, 0, 1)) &lt;= VLOOKUP($C2564, 'Instrument Table'!$B:$D, 3, FALSE), ROW($A2564) - 4504 - _xlfn.XMATCH($C2564, $C$4506:$C$5005, 0, 1), 0), 0), "00")</f>
        <v>00</v>
      </c>
      <c r="H2564" s="1" t="str">
        <f t="shared" si="235"/>
        <v>108</v>
      </c>
      <c r="I2564" s="1" t="str">
        <f t="shared" si="236"/>
        <v>14000-108</v>
      </c>
      <c r="J2564" s="1" t="str">
        <f t="shared" si="237"/>
        <v>French horn production item #108</v>
      </c>
      <c r="K2564" s="1" t="str">
        <f>IF(SUM(COUNTIFS(I:I, I2564)) &gt; 1, "DUPLICATE", "UNIQUE")</f>
        <v>UNIQUE</v>
      </c>
      <c r="L2564" s="18">
        <v>2</v>
      </c>
      <c r="M2564" s="28">
        <v>77</v>
      </c>
      <c r="N2564" s="6">
        <v>121</v>
      </c>
      <c r="O2564" s="30">
        <f t="shared" si="238"/>
        <v>154</v>
      </c>
      <c r="P2564" s="30">
        <f t="shared" si="239"/>
        <v>9317</v>
      </c>
      <c r="Q2564" s="1">
        <f>COUNTIFS($P:$P, "&gt;" &amp; $P2564) + 1</f>
        <v>1839</v>
      </c>
      <c r="R2564" s="63">
        <f>(COUNTIFS($P:$P, "&gt;" &amp; $P2564) + 1) / (COUNTA($I:$I) - 1)</f>
        <v>0.36780000000000002</v>
      </c>
      <c r="S2564" s="23">
        <f>SUMIFS($P:$P, $Q:$Q, "&lt;" &amp; $Q2564)</f>
        <v>178611885</v>
      </c>
    </row>
    <row r="2565" spans="1:19" x14ac:dyDescent="0.25">
      <c r="A2565" s="1">
        <v>2560</v>
      </c>
      <c r="B2565" s="1" t="s">
        <v>2</v>
      </c>
      <c r="C2565" s="1" t="str">
        <f>IF($B2565 = "Production Item", _xlfn.XLOOKUP($A2565, 'Instrument Table'!$J:$J, 'Instrument Table'!$B:$B, $C2564), IF($B2565 = "Service Item", _xlfn.XLOOKUP($A2565, 'Instrument Table'!$I:$I, 'Instrument Table'!$B:$B, $C2564), _xlfn.XLOOKUP($A2565, 'Instrument Table'!$H:$H, 'Instrument Table'!$B:$B, $C2564)))</f>
        <v>French Horn</v>
      </c>
      <c r="D2565" s="1" t="str">
        <f>VLOOKUP($C2565, 'Instrument Table'!$B:$C, 2, FALSE)</f>
        <v>Brass</v>
      </c>
      <c r="E2565" s="1">
        <f t="shared" si="234"/>
        <v>1</v>
      </c>
      <c r="F2565" s="1">
        <f>_xlfn.XLOOKUP($C2565, 'Instrument Table'!$B:$B, 'Instrument Table'!$A:$A, "")</f>
        <v>40</v>
      </c>
      <c r="G2565" s="1" t="str">
        <f>TEXT(IF($B2565 = "Retail Item", IF((ROW($A2565) - 4504 - _xlfn.XMATCH($C2565, $C$4506:$C$5005, 0, 1)) &lt;= VLOOKUP($C2565, 'Instrument Table'!$B:$D, 3, FALSE), ROW($A2565) - 4504 - _xlfn.XMATCH($C2565, $C$4506:$C$5005, 0, 1), 0), 0), "00")</f>
        <v>00</v>
      </c>
      <c r="H2565" s="1" t="str">
        <f t="shared" si="235"/>
        <v>109</v>
      </c>
      <c r="I2565" s="1" t="str">
        <f t="shared" si="236"/>
        <v>14000-109</v>
      </c>
      <c r="J2565" s="1" t="str">
        <f t="shared" si="237"/>
        <v>French horn production item #109</v>
      </c>
      <c r="K2565" s="1" t="str">
        <f>IF(SUM(COUNTIFS(I:I, I2565)) &gt; 1, "DUPLICATE", "UNIQUE")</f>
        <v>UNIQUE</v>
      </c>
      <c r="L2565" s="18">
        <v>0</v>
      </c>
      <c r="M2565" s="28">
        <v>35</v>
      </c>
      <c r="N2565" s="6">
        <v>121</v>
      </c>
      <c r="O2565" s="30">
        <f t="shared" si="238"/>
        <v>0</v>
      </c>
      <c r="P2565" s="30">
        <f t="shared" si="239"/>
        <v>4235</v>
      </c>
      <c r="Q2565" s="1">
        <f>COUNTIFS($P:$P, "&gt;" &amp; $P2565) + 1</f>
        <v>2599</v>
      </c>
      <c r="R2565" s="63">
        <f>(COUNTIFS($P:$P, "&gt;" &amp; $P2565) + 1) / (COUNTA($I:$I) - 1)</f>
        <v>0.51980000000000004</v>
      </c>
      <c r="S2565" s="23">
        <f>SUMIFS($P:$P, $Q:$Q, "&lt;" &amp; $Q2565)</f>
        <v>183559163</v>
      </c>
    </row>
    <row r="2566" spans="1:19" x14ac:dyDescent="0.25">
      <c r="A2566" s="1">
        <v>2561</v>
      </c>
      <c r="B2566" s="1" t="s">
        <v>2</v>
      </c>
      <c r="C2566" s="1" t="str">
        <f>IF($B2566 = "Production Item", _xlfn.XLOOKUP($A2566, 'Instrument Table'!$J:$J, 'Instrument Table'!$B:$B, $C2565), IF($B2566 = "Service Item", _xlfn.XLOOKUP($A2566, 'Instrument Table'!$I:$I, 'Instrument Table'!$B:$B, $C2565), _xlfn.XLOOKUP($A2566, 'Instrument Table'!$H:$H, 'Instrument Table'!$B:$B, $C2565)))</f>
        <v>French Horn</v>
      </c>
      <c r="D2566" s="1" t="str">
        <f>VLOOKUP($C2566, 'Instrument Table'!$B:$C, 2, FALSE)</f>
        <v>Brass</v>
      </c>
      <c r="E2566" s="1">
        <f t="shared" si="234"/>
        <v>1</v>
      </c>
      <c r="F2566" s="1">
        <f>_xlfn.XLOOKUP($C2566, 'Instrument Table'!$B:$B, 'Instrument Table'!$A:$A, "")</f>
        <v>40</v>
      </c>
      <c r="G2566" s="1" t="str">
        <f>TEXT(IF($B2566 = "Retail Item", IF((ROW($A2566) - 4504 - _xlfn.XMATCH($C2566, $C$4506:$C$5005, 0, 1)) &lt;= VLOOKUP($C2566, 'Instrument Table'!$B:$D, 3, FALSE), ROW($A2566) - 4504 - _xlfn.XMATCH($C2566, $C$4506:$C$5005, 0, 1), 0), 0), "00")</f>
        <v>00</v>
      </c>
      <c r="H2566" s="1" t="str">
        <f t="shared" si="235"/>
        <v>110</v>
      </c>
      <c r="I2566" s="1" t="str">
        <f t="shared" si="236"/>
        <v>14000-110</v>
      </c>
      <c r="J2566" s="1" t="str">
        <f t="shared" si="237"/>
        <v>French horn production item #110</v>
      </c>
      <c r="K2566" s="1" t="str">
        <f>IF(SUM(COUNTIFS(I:I, I2566)) &gt; 1, "DUPLICATE", "UNIQUE")</f>
        <v>UNIQUE</v>
      </c>
      <c r="L2566" s="18">
        <v>1</v>
      </c>
      <c r="M2566" s="28">
        <v>29</v>
      </c>
      <c r="N2566" s="6">
        <v>4</v>
      </c>
      <c r="O2566" s="30">
        <f t="shared" si="238"/>
        <v>29</v>
      </c>
      <c r="P2566" s="30">
        <f t="shared" si="239"/>
        <v>116</v>
      </c>
      <c r="Q2566" s="1">
        <f>COUNTIFS($P:$P, "&gt;" &amp; $P2566) + 1</f>
        <v>4434</v>
      </c>
      <c r="R2566" s="63">
        <f>(COUNTIFS($P:$P, "&gt;" &amp; $P2566) + 1) / (COUNTA($I:$I) - 1)</f>
        <v>0.88680000000000003</v>
      </c>
      <c r="S2566" s="23">
        <f>SUMIFS($P:$P, $Q:$Q, "&lt;" &amp; $Q2566)</f>
        <v>186530464</v>
      </c>
    </row>
    <row r="2567" spans="1:19" x14ac:dyDescent="0.25">
      <c r="A2567" s="1">
        <v>2562</v>
      </c>
      <c r="B2567" s="1" t="s">
        <v>2</v>
      </c>
      <c r="C2567" s="1" t="str">
        <f>IF($B2567 = "Production Item", _xlfn.XLOOKUP($A2567, 'Instrument Table'!$J:$J, 'Instrument Table'!$B:$B, $C2566), IF($B2567 = "Service Item", _xlfn.XLOOKUP($A2567, 'Instrument Table'!$I:$I, 'Instrument Table'!$B:$B, $C2566), _xlfn.XLOOKUP($A2567, 'Instrument Table'!$H:$H, 'Instrument Table'!$B:$B, $C2566)))</f>
        <v>French Horn</v>
      </c>
      <c r="D2567" s="1" t="str">
        <f>VLOOKUP($C2567, 'Instrument Table'!$B:$C, 2, FALSE)</f>
        <v>Brass</v>
      </c>
      <c r="E2567" s="1">
        <f t="shared" ref="E2567:E2630" si="240">IF($B2567 = "Production Item", 1, IF($B2567 = "Service Item", 2, IF($B2567 = "Retail Item", 3, "")))</f>
        <v>1</v>
      </c>
      <c r="F2567" s="1">
        <f>_xlfn.XLOOKUP($C2567, 'Instrument Table'!$B:$B, 'Instrument Table'!$A:$A, "")</f>
        <v>40</v>
      </c>
      <c r="G2567" s="1" t="str">
        <f>TEXT(IF($B2567 = "Retail Item", IF((ROW($A2567) - 4504 - _xlfn.XMATCH($C2567, $C$4506:$C$5005, 0, 1)) &lt;= VLOOKUP($C2567, 'Instrument Table'!$B:$D, 3, FALSE), ROW($A2567) - 4504 - _xlfn.XMATCH($C2567, $C$4506:$C$5005, 0, 1), 0), 0), "00")</f>
        <v>00</v>
      </c>
      <c r="H2567" s="1" t="str">
        <f t="shared" ref="H2567:H2630" si="241">TEXT(IF($E2567 &amp; $F2567 &amp; $G2567 = $E2566 &amp; $F2566 &amp; $G2566, 1 + H2566, 0), "000")</f>
        <v>111</v>
      </c>
      <c r="I2567" s="1" t="str">
        <f t="shared" ref="I2567:I2630" si="242" xml:space="preserve"> _xlfn.CONCAT($E2567, $F2567, $G2567, "-", H2567)</f>
        <v>14000-111</v>
      </c>
      <c r="J2567" s="1" t="str">
        <f t="shared" ref="J2567:J2630" si="243">LEFT($C2567, 1) &amp; LOWER(RIGHT($C2567, LEN($C2567) - 1)) &amp; IF(AND($G2567 &lt;&gt; "00", $B2567 = "Retail Item"), " model #" &amp; $G2567, " " &amp; LOWER($B2567) &amp; " #" &amp; $H2567)</f>
        <v>French horn production item #111</v>
      </c>
      <c r="K2567" s="1" t="str">
        <f>IF(SUM(COUNTIFS(I:I, I2567)) &gt; 1, "DUPLICATE", "UNIQUE")</f>
        <v>UNIQUE</v>
      </c>
      <c r="L2567" s="18">
        <v>1</v>
      </c>
      <c r="M2567" s="28">
        <v>66</v>
      </c>
      <c r="N2567" s="6">
        <v>9</v>
      </c>
      <c r="O2567" s="30">
        <f t="shared" ref="O2567:O2630" si="244">$L2567 * $M2567</f>
        <v>66</v>
      </c>
      <c r="P2567" s="30">
        <f t="shared" ref="P2567:P2630" si="245">$N2567 * $M2567</f>
        <v>594</v>
      </c>
      <c r="Q2567" s="1">
        <f>COUNTIFS($P:$P, "&gt;" &amp; $P2567) + 1</f>
        <v>3943</v>
      </c>
      <c r="R2567" s="63">
        <f>(COUNTIFS($P:$P, "&gt;" &amp; $P2567) + 1) / (COUNTA($I:$I) - 1)</f>
        <v>0.78859999999999997</v>
      </c>
      <c r="S2567" s="23">
        <f>SUMIFS($P:$P, $Q:$Q, "&lt;" &amp; $Q2567)</f>
        <v>186366101</v>
      </c>
    </row>
    <row r="2568" spans="1:19" x14ac:dyDescent="0.25">
      <c r="A2568" s="1">
        <v>2563</v>
      </c>
      <c r="B2568" s="1" t="s">
        <v>2</v>
      </c>
      <c r="C2568" s="1" t="str">
        <f>IF($B2568 = "Production Item", _xlfn.XLOOKUP($A2568, 'Instrument Table'!$J:$J, 'Instrument Table'!$B:$B, $C2567), IF($B2568 = "Service Item", _xlfn.XLOOKUP($A2568, 'Instrument Table'!$I:$I, 'Instrument Table'!$B:$B, $C2567), _xlfn.XLOOKUP($A2568, 'Instrument Table'!$H:$H, 'Instrument Table'!$B:$B, $C2567)))</f>
        <v>French Horn</v>
      </c>
      <c r="D2568" s="1" t="str">
        <f>VLOOKUP($C2568, 'Instrument Table'!$B:$C, 2, FALSE)</f>
        <v>Brass</v>
      </c>
      <c r="E2568" s="1">
        <f t="shared" si="240"/>
        <v>1</v>
      </c>
      <c r="F2568" s="1">
        <f>_xlfn.XLOOKUP($C2568, 'Instrument Table'!$B:$B, 'Instrument Table'!$A:$A, "")</f>
        <v>40</v>
      </c>
      <c r="G2568" s="1" t="str">
        <f>TEXT(IF($B2568 = "Retail Item", IF((ROW($A2568) - 4504 - _xlfn.XMATCH($C2568, $C$4506:$C$5005, 0, 1)) &lt;= VLOOKUP($C2568, 'Instrument Table'!$B:$D, 3, FALSE), ROW($A2568) - 4504 - _xlfn.XMATCH($C2568, $C$4506:$C$5005, 0, 1), 0), 0), "00")</f>
        <v>00</v>
      </c>
      <c r="H2568" s="1" t="str">
        <f t="shared" si="241"/>
        <v>112</v>
      </c>
      <c r="I2568" s="1" t="str">
        <f t="shared" si="242"/>
        <v>14000-112</v>
      </c>
      <c r="J2568" s="1" t="str">
        <f t="shared" si="243"/>
        <v>French horn production item #112</v>
      </c>
      <c r="K2568" s="1" t="str">
        <f>IF(SUM(COUNTIFS(I:I, I2568)) &gt; 1, "DUPLICATE", "UNIQUE")</f>
        <v>UNIQUE</v>
      </c>
      <c r="L2568" s="18">
        <v>1</v>
      </c>
      <c r="M2568" s="28">
        <v>3</v>
      </c>
      <c r="N2568" s="6">
        <v>81</v>
      </c>
      <c r="O2568" s="30">
        <f t="shared" si="244"/>
        <v>3</v>
      </c>
      <c r="P2568" s="30">
        <f t="shared" si="245"/>
        <v>243</v>
      </c>
      <c r="Q2568" s="1">
        <f>COUNTIFS($P:$P, "&gt;" &amp; $P2568) + 1</f>
        <v>4281</v>
      </c>
      <c r="R2568" s="63">
        <f>(COUNTIFS($P:$P, "&gt;" &amp; $P2568) + 1) / (COUNTA($I:$I) - 1)</f>
        <v>0.85619999999999996</v>
      </c>
      <c r="S2568" s="23">
        <f>SUMIFS($P:$P, $Q:$Q, "&lt;" &amp; $Q2568)</f>
        <v>186503016</v>
      </c>
    </row>
    <row r="2569" spans="1:19" x14ac:dyDescent="0.25">
      <c r="A2569" s="1">
        <v>2564</v>
      </c>
      <c r="B2569" s="1" t="s">
        <v>2</v>
      </c>
      <c r="C2569" s="1" t="str">
        <f>IF($B2569 = "Production Item", _xlfn.XLOOKUP($A2569, 'Instrument Table'!$J:$J, 'Instrument Table'!$B:$B, $C2568), IF($B2569 = "Service Item", _xlfn.XLOOKUP($A2569, 'Instrument Table'!$I:$I, 'Instrument Table'!$B:$B, $C2568), _xlfn.XLOOKUP($A2569, 'Instrument Table'!$H:$H, 'Instrument Table'!$B:$B, $C2568)))</f>
        <v>French Horn</v>
      </c>
      <c r="D2569" s="1" t="str">
        <f>VLOOKUP($C2569, 'Instrument Table'!$B:$C, 2, FALSE)</f>
        <v>Brass</v>
      </c>
      <c r="E2569" s="1">
        <f t="shared" si="240"/>
        <v>1</v>
      </c>
      <c r="F2569" s="1">
        <f>_xlfn.XLOOKUP($C2569, 'Instrument Table'!$B:$B, 'Instrument Table'!$A:$A, "")</f>
        <v>40</v>
      </c>
      <c r="G2569" s="1" t="str">
        <f>TEXT(IF($B2569 = "Retail Item", IF((ROW($A2569) - 4504 - _xlfn.XMATCH($C2569, $C$4506:$C$5005, 0, 1)) &lt;= VLOOKUP($C2569, 'Instrument Table'!$B:$D, 3, FALSE), ROW($A2569) - 4504 - _xlfn.XMATCH($C2569, $C$4506:$C$5005, 0, 1), 0), 0), "00")</f>
        <v>00</v>
      </c>
      <c r="H2569" s="1" t="str">
        <f t="shared" si="241"/>
        <v>113</v>
      </c>
      <c r="I2569" s="1" t="str">
        <f t="shared" si="242"/>
        <v>14000-113</v>
      </c>
      <c r="J2569" s="1" t="str">
        <f t="shared" si="243"/>
        <v>French horn production item #113</v>
      </c>
      <c r="K2569" s="1" t="str">
        <f>IF(SUM(COUNTIFS(I:I, I2569)) &gt; 1, "DUPLICATE", "UNIQUE")</f>
        <v>UNIQUE</v>
      </c>
      <c r="L2569" s="18">
        <v>1</v>
      </c>
      <c r="M2569" s="28">
        <v>61</v>
      </c>
      <c r="N2569" s="6">
        <v>0</v>
      </c>
      <c r="O2569" s="30">
        <f t="shared" si="244"/>
        <v>61</v>
      </c>
      <c r="P2569" s="30">
        <f t="shared" si="245"/>
        <v>0</v>
      </c>
      <c r="Q2569" s="1">
        <f>COUNTIFS($P:$P, "&gt;" &amp; $P2569) + 1</f>
        <v>4746</v>
      </c>
      <c r="R2569" s="63">
        <f>(COUNTIFS($P:$P, "&gt;" &amp; $P2569) + 1) / (COUNTA($I:$I) - 1)</f>
        <v>0.94920000000000004</v>
      </c>
      <c r="S2569" s="23">
        <f>SUMIFS($P:$P, $Q:$Q, "&lt;" &amp; $Q2569)</f>
        <v>186547861</v>
      </c>
    </row>
    <row r="2570" spans="1:19" x14ac:dyDescent="0.25">
      <c r="A2570" s="1">
        <v>2565</v>
      </c>
      <c r="B2570" s="1" t="s">
        <v>2</v>
      </c>
      <c r="C2570" s="1" t="str">
        <f>IF($B2570 = "Production Item", _xlfn.XLOOKUP($A2570, 'Instrument Table'!$J:$J, 'Instrument Table'!$B:$B, $C2569), IF($B2570 = "Service Item", _xlfn.XLOOKUP($A2570, 'Instrument Table'!$I:$I, 'Instrument Table'!$B:$B, $C2569), _xlfn.XLOOKUP($A2570, 'Instrument Table'!$H:$H, 'Instrument Table'!$B:$B, $C2569)))</f>
        <v>French Horn</v>
      </c>
      <c r="D2570" s="1" t="str">
        <f>VLOOKUP($C2570, 'Instrument Table'!$B:$C, 2, FALSE)</f>
        <v>Brass</v>
      </c>
      <c r="E2570" s="1">
        <f t="shared" si="240"/>
        <v>1</v>
      </c>
      <c r="F2570" s="1">
        <f>_xlfn.XLOOKUP($C2570, 'Instrument Table'!$B:$B, 'Instrument Table'!$A:$A, "")</f>
        <v>40</v>
      </c>
      <c r="G2570" s="1" t="str">
        <f>TEXT(IF($B2570 = "Retail Item", IF((ROW($A2570) - 4504 - _xlfn.XMATCH($C2570, $C$4506:$C$5005, 0, 1)) &lt;= VLOOKUP($C2570, 'Instrument Table'!$B:$D, 3, FALSE), ROW($A2570) - 4504 - _xlfn.XMATCH($C2570, $C$4506:$C$5005, 0, 1), 0), 0), "00")</f>
        <v>00</v>
      </c>
      <c r="H2570" s="1" t="str">
        <f t="shared" si="241"/>
        <v>114</v>
      </c>
      <c r="I2570" s="1" t="str">
        <f t="shared" si="242"/>
        <v>14000-114</v>
      </c>
      <c r="J2570" s="1" t="str">
        <f t="shared" si="243"/>
        <v>French horn production item #114</v>
      </c>
      <c r="K2570" s="1" t="str">
        <f>IF(SUM(COUNTIFS(I:I, I2570)) &gt; 1, "DUPLICATE", "UNIQUE")</f>
        <v>UNIQUE</v>
      </c>
      <c r="L2570" s="18">
        <v>0</v>
      </c>
      <c r="M2570" s="28">
        <v>50</v>
      </c>
      <c r="N2570" s="6">
        <v>81</v>
      </c>
      <c r="O2570" s="30">
        <f t="shared" si="244"/>
        <v>0</v>
      </c>
      <c r="P2570" s="30">
        <f t="shared" si="245"/>
        <v>4050</v>
      </c>
      <c r="Q2570" s="1">
        <f>COUNTIFS($P:$P, "&gt;" &amp; $P2570) + 1</f>
        <v>2644</v>
      </c>
      <c r="R2570" s="63">
        <f>(COUNTIFS($P:$P, "&gt;" &amp; $P2570) + 1) / (COUNTA($I:$I) - 1)</f>
        <v>0.52880000000000005</v>
      </c>
      <c r="S2570" s="23">
        <f>SUMIFS($P:$P, $Q:$Q, "&lt;" &amp; $Q2570)</f>
        <v>183746738</v>
      </c>
    </row>
    <row r="2571" spans="1:19" x14ac:dyDescent="0.25">
      <c r="A2571" s="1">
        <v>2566</v>
      </c>
      <c r="B2571" s="1" t="s">
        <v>2</v>
      </c>
      <c r="C2571" s="1" t="str">
        <f>IF($B2571 = "Production Item", _xlfn.XLOOKUP($A2571, 'Instrument Table'!$J:$J, 'Instrument Table'!$B:$B, $C2570), IF($B2571 = "Service Item", _xlfn.XLOOKUP($A2571, 'Instrument Table'!$I:$I, 'Instrument Table'!$B:$B, $C2570), _xlfn.XLOOKUP($A2571, 'Instrument Table'!$H:$H, 'Instrument Table'!$B:$B, $C2570)))</f>
        <v>French Horn</v>
      </c>
      <c r="D2571" s="1" t="str">
        <f>VLOOKUP($C2571, 'Instrument Table'!$B:$C, 2, FALSE)</f>
        <v>Brass</v>
      </c>
      <c r="E2571" s="1">
        <f t="shared" si="240"/>
        <v>1</v>
      </c>
      <c r="F2571" s="1">
        <f>_xlfn.XLOOKUP($C2571, 'Instrument Table'!$B:$B, 'Instrument Table'!$A:$A, "")</f>
        <v>40</v>
      </c>
      <c r="G2571" s="1" t="str">
        <f>TEXT(IF($B2571 = "Retail Item", IF((ROW($A2571) - 4504 - _xlfn.XMATCH($C2571, $C$4506:$C$5005, 0, 1)) &lt;= VLOOKUP($C2571, 'Instrument Table'!$B:$D, 3, FALSE), ROW($A2571) - 4504 - _xlfn.XMATCH($C2571, $C$4506:$C$5005, 0, 1), 0), 0), "00")</f>
        <v>00</v>
      </c>
      <c r="H2571" s="1" t="str">
        <f t="shared" si="241"/>
        <v>115</v>
      </c>
      <c r="I2571" s="1" t="str">
        <f t="shared" si="242"/>
        <v>14000-115</v>
      </c>
      <c r="J2571" s="1" t="str">
        <f t="shared" si="243"/>
        <v>French horn production item #115</v>
      </c>
      <c r="K2571" s="1" t="str">
        <f>IF(SUM(COUNTIFS(I:I, I2571)) &gt; 1, "DUPLICATE", "UNIQUE")</f>
        <v>UNIQUE</v>
      </c>
      <c r="L2571" s="18">
        <v>0</v>
      </c>
      <c r="M2571" s="28">
        <v>86</v>
      </c>
      <c r="N2571" s="6">
        <v>225</v>
      </c>
      <c r="O2571" s="30">
        <f t="shared" si="244"/>
        <v>0</v>
      </c>
      <c r="P2571" s="30">
        <f t="shared" si="245"/>
        <v>19350</v>
      </c>
      <c r="Q2571" s="1">
        <f>COUNTIFS($P:$P, "&gt;" &amp; $P2571) + 1</f>
        <v>1088</v>
      </c>
      <c r="R2571" s="63">
        <f>(COUNTIFS($P:$P, "&gt;" &amp; $P2571) + 1) / (COUNTA($I:$I) - 1)</f>
        <v>0.21759999999999999</v>
      </c>
      <c r="S2571" s="23">
        <f>SUMIFS($P:$P, $Q:$Q, "&lt;" &amp; $Q2571)</f>
        <v>168273783</v>
      </c>
    </row>
    <row r="2572" spans="1:19" x14ac:dyDescent="0.25">
      <c r="A2572" s="1">
        <v>2567</v>
      </c>
      <c r="B2572" s="1" t="s">
        <v>2</v>
      </c>
      <c r="C2572" s="1" t="str">
        <f>IF($B2572 = "Production Item", _xlfn.XLOOKUP($A2572, 'Instrument Table'!$J:$J, 'Instrument Table'!$B:$B, $C2571), IF($B2572 = "Service Item", _xlfn.XLOOKUP($A2572, 'Instrument Table'!$I:$I, 'Instrument Table'!$B:$B, $C2571), _xlfn.XLOOKUP($A2572, 'Instrument Table'!$H:$H, 'Instrument Table'!$B:$B, $C2571)))</f>
        <v>French Horn</v>
      </c>
      <c r="D2572" s="1" t="str">
        <f>VLOOKUP($C2572, 'Instrument Table'!$B:$C, 2, FALSE)</f>
        <v>Brass</v>
      </c>
      <c r="E2572" s="1">
        <f t="shared" si="240"/>
        <v>1</v>
      </c>
      <c r="F2572" s="1">
        <f>_xlfn.XLOOKUP($C2572, 'Instrument Table'!$B:$B, 'Instrument Table'!$A:$A, "")</f>
        <v>40</v>
      </c>
      <c r="G2572" s="1" t="str">
        <f>TEXT(IF($B2572 = "Retail Item", IF((ROW($A2572) - 4504 - _xlfn.XMATCH($C2572, $C$4506:$C$5005, 0, 1)) &lt;= VLOOKUP($C2572, 'Instrument Table'!$B:$D, 3, FALSE), ROW($A2572) - 4504 - _xlfn.XMATCH($C2572, $C$4506:$C$5005, 0, 1), 0), 0), "00")</f>
        <v>00</v>
      </c>
      <c r="H2572" s="1" t="str">
        <f t="shared" si="241"/>
        <v>116</v>
      </c>
      <c r="I2572" s="1" t="str">
        <f t="shared" si="242"/>
        <v>14000-116</v>
      </c>
      <c r="J2572" s="1" t="str">
        <f t="shared" si="243"/>
        <v>French horn production item #116</v>
      </c>
      <c r="K2572" s="1" t="str">
        <f>IF(SUM(COUNTIFS(I:I, I2572)) &gt; 1, "DUPLICATE", "UNIQUE")</f>
        <v>UNIQUE</v>
      </c>
      <c r="L2572" s="18">
        <v>1</v>
      </c>
      <c r="M2572" s="28">
        <v>4</v>
      </c>
      <c r="N2572" s="6">
        <v>0</v>
      </c>
      <c r="O2572" s="30">
        <f t="shared" si="244"/>
        <v>4</v>
      </c>
      <c r="P2572" s="30">
        <f t="shared" si="245"/>
        <v>0</v>
      </c>
      <c r="Q2572" s="1">
        <f>COUNTIFS($P:$P, "&gt;" &amp; $P2572) + 1</f>
        <v>4746</v>
      </c>
      <c r="R2572" s="63">
        <f>(COUNTIFS($P:$P, "&gt;" &amp; $P2572) + 1) / (COUNTA($I:$I) - 1)</f>
        <v>0.94920000000000004</v>
      </c>
      <c r="S2572" s="23">
        <f>SUMIFS($P:$P, $Q:$Q, "&lt;" &amp; $Q2572)</f>
        <v>186547861</v>
      </c>
    </row>
    <row r="2573" spans="1:19" x14ac:dyDescent="0.25">
      <c r="A2573" s="1">
        <v>2568</v>
      </c>
      <c r="B2573" s="1" t="s">
        <v>2</v>
      </c>
      <c r="C2573" s="1" t="str">
        <f>IF($B2573 = "Production Item", _xlfn.XLOOKUP($A2573, 'Instrument Table'!$J:$J, 'Instrument Table'!$B:$B, $C2572), IF($B2573 = "Service Item", _xlfn.XLOOKUP($A2573, 'Instrument Table'!$I:$I, 'Instrument Table'!$B:$B, $C2572), _xlfn.XLOOKUP($A2573, 'Instrument Table'!$H:$H, 'Instrument Table'!$B:$B, $C2572)))</f>
        <v>French Horn</v>
      </c>
      <c r="D2573" s="1" t="str">
        <f>VLOOKUP($C2573, 'Instrument Table'!$B:$C, 2, FALSE)</f>
        <v>Brass</v>
      </c>
      <c r="E2573" s="1">
        <f t="shared" si="240"/>
        <v>1</v>
      </c>
      <c r="F2573" s="1">
        <f>_xlfn.XLOOKUP($C2573, 'Instrument Table'!$B:$B, 'Instrument Table'!$A:$A, "")</f>
        <v>40</v>
      </c>
      <c r="G2573" s="1" t="str">
        <f>TEXT(IF($B2573 = "Retail Item", IF((ROW($A2573) - 4504 - _xlfn.XMATCH($C2573, $C$4506:$C$5005, 0, 1)) &lt;= VLOOKUP($C2573, 'Instrument Table'!$B:$D, 3, FALSE), ROW($A2573) - 4504 - _xlfn.XMATCH($C2573, $C$4506:$C$5005, 0, 1), 0), 0), "00")</f>
        <v>00</v>
      </c>
      <c r="H2573" s="1" t="str">
        <f t="shared" si="241"/>
        <v>117</v>
      </c>
      <c r="I2573" s="1" t="str">
        <f t="shared" si="242"/>
        <v>14000-117</v>
      </c>
      <c r="J2573" s="1" t="str">
        <f t="shared" si="243"/>
        <v>French horn production item #117</v>
      </c>
      <c r="K2573" s="1" t="str">
        <f>IF(SUM(COUNTIFS(I:I, I2573)) &gt; 1, "DUPLICATE", "UNIQUE")</f>
        <v>UNIQUE</v>
      </c>
      <c r="L2573" s="18">
        <v>1</v>
      </c>
      <c r="M2573" s="28">
        <v>83</v>
      </c>
      <c r="N2573" s="6">
        <v>169</v>
      </c>
      <c r="O2573" s="30">
        <f t="shared" si="244"/>
        <v>83</v>
      </c>
      <c r="P2573" s="30">
        <f t="shared" si="245"/>
        <v>14027</v>
      </c>
      <c r="Q2573" s="1">
        <f>COUNTIFS($P:$P, "&gt;" &amp; $P2573) + 1</f>
        <v>1416</v>
      </c>
      <c r="R2573" s="63">
        <f>(COUNTIFS($P:$P, "&gt;" &amp; $P2573) + 1) / (COUNTA($I:$I) - 1)</f>
        <v>0.28320000000000001</v>
      </c>
      <c r="S2573" s="23">
        <f>SUMIFS($P:$P, $Q:$Q, "&lt;" &amp; $Q2573)</f>
        <v>173702632</v>
      </c>
    </row>
    <row r="2574" spans="1:19" x14ac:dyDescent="0.25">
      <c r="A2574" s="1">
        <v>2569</v>
      </c>
      <c r="B2574" s="1" t="s">
        <v>2</v>
      </c>
      <c r="C2574" s="1" t="str">
        <f>IF($B2574 = "Production Item", _xlfn.XLOOKUP($A2574, 'Instrument Table'!$J:$J, 'Instrument Table'!$B:$B, $C2573), IF($B2574 = "Service Item", _xlfn.XLOOKUP($A2574, 'Instrument Table'!$I:$I, 'Instrument Table'!$B:$B, $C2573), _xlfn.XLOOKUP($A2574, 'Instrument Table'!$H:$H, 'Instrument Table'!$B:$B, $C2573)))</f>
        <v>French Horn</v>
      </c>
      <c r="D2574" s="1" t="str">
        <f>VLOOKUP($C2574, 'Instrument Table'!$B:$C, 2, FALSE)</f>
        <v>Brass</v>
      </c>
      <c r="E2574" s="1">
        <f t="shared" si="240"/>
        <v>1</v>
      </c>
      <c r="F2574" s="1">
        <f>_xlfn.XLOOKUP($C2574, 'Instrument Table'!$B:$B, 'Instrument Table'!$A:$A, "")</f>
        <v>40</v>
      </c>
      <c r="G2574" s="1" t="str">
        <f>TEXT(IF($B2574 = "Retail Item", IF((ROW($A2574) - 4504 - _xlfn.XMATCH($C2574, $C$4506:$C$5005, 0, 1)) &lt;= VLOOKUP($C2574, 'Instrument Table'!$B:$D, 3, FALSE), ROW($A2574) - 4504 - _xlfn.XMATCH($C2574, $C$4506:$C$5005, 0, 1), 0), 0), "00")</f>
        <v>00</v>
      </c>
      <c r="H2574" s="1" t="str">
        <f t="shared" si="241"/>
        <v>118</v>
      </c>
      <c r="I2574" s="1" t="str">
        <f t="shared" si="242"/>
        <v>14000-118</v>
      </c>
      <c r="J2574" s="1" t="str">
        <f t="shared" si="243"/>
        <v>French horn production item #118</v>
      </c>
      <c r="K2574" s="1" t="str">
        <f>IF(SUM(COUNTIFS(I:I, I2574)) &gt; 1, "DUPLICATE", "UNIQUE")</f>
        <v>UNIQUE</v>
      </c>
      <c r="L2574" s="18">
        <v>0</v>
      </c>
      <c r="M2574" s="28">
        <v>14</v>
      </c>
      <c r="N2574" s="6">
        <v>324</v>
      </c>
      <c r="O2574" s="30">
        <f t="shared" si="244"/>
        <v>0</v>
      </c>
      <c r="P2574" s="30">
        <f t="shared" si="245"/>
        <v>4536</v>
      </c>
      <c r="Q2574" s="1">
        <f>COUNTIFS($P:$P, "&gt;" &amp; $P2574) + 1</f>
        <v>2534</v>
      </c>
      <c r="R2574" s="63">
        <f>(COUNTIFS($P:$P, "&gt;" &amp; $P2574) + 1) / (COUNTA($I:$I) - 1)</f>
        <v>0.50680000000000003</v>
      </c>
      <c r="S2574" s="23">
        <f>SUMIFS($P:$P, $Q:$Q, "&lt;" &amp; $Q2574)</f>
        <v>183272703</v>
      </c>
    </row>
    <row r="2575" spans="1:19" x14ac:dyDescent="0.25">
      <c r="A2575" s="1">
        <v>2570</v>
      </c>
      <c r="B2575" s="1" t="s">
        <v>2</v>
      </c>
      <c r="C2575" s="1" t="str">
        <f>IF($B2575 = "Production Item", _xlfn.XLOOKUP($A2575, 'Instrument Table'!$J:$J, 'Instrument Table'!$B:$B, $C2574), IF($B2575 = "Service Item", _xlfn.XLOOKUP($A2575, 'Instrument Table'!$I:$I, 'Instrument Table'!$B:$B, $C2574), _xlfn.XLOOKUP($A2575, 'Instrument Table'!$H:$H, 'Instrument Table'!$B:$B, $C2574)))</f>
        <v>French Horn</v>
      </c>
      <c r="D2575" s="1" t="str">
        <f>VLOOKUP($C2575, 'Instrument Table'!$B:$C, 2, FALSE)</f>
        <v>Brass</v>
      </c>
      <c r="E2575" s="1">
        <f t="shared" si="240"/>
        <v>1</v>
      </c>
      <c r="F2575" s="1">
        <f>_xlfn.XLOOKUP($C2575, 'Instrument Table'!$B:$B, 'Instrument Table'!$A:$A, "")</f>
        <v>40</v>
      </c>
      <c r="G2575" s="1" t="str">
        <f>TEXT(IF($B2575 = "Retail Item", IF((ROW($A2575) - 4504 - _xlfn.XMATCH($C2575, $C$4506:$C$5005, 0, 1)) &lt;= VLOOKUP($C2575, 'Instrument Table'!$B:$D, 3, FALSE), ROW($A2575) - 4504 - _xlfn.XMATCH($C2575, $C$4506:$C$5005, 0, 1), 0), 0), "00")</f>
        <v>00</v>
      </c>
      <c r="H2575" s="1" t="str">
        <f t="shared" si="241"/>
        <v>119</v>
      </c>
      <c r="I2575" s="1" t="str">
        <f t="shared" si="242"/>
        <v>14000-119</v>
      </c>
      <c r="J2575" s="1" t="str">
        <f t="shared" si="243"/>
        <v>French horn production item #119</v>
      </c>
      <c r="K2575" s="1" t="str">
        <f>IF(SUM(COUNTIFS(I:I, I2575)) &gt; 1, "DUPLICATE", "UNIQUE")</f>
        <v>UNIQUE</v>
      </c>
      <c r="L2575" s="18">
        <v>4</v>
      </c>
      <c r="M2575" s="28">
        <v>91</v>
      </c>
      <c r="N2575" s="6">
        <v>169</v>
      </c>
      <c r="O2575" s="30">
        <f t="shared" si="244"/>
        <v>364</v>
      </c>
      <c r="P2575" s="30">
        <f t="shared" si="245"/>
        <v>15379</v>
      </c>
      <c r="Q2575" s="1">
        <f>COUNTIFS($P:$P, "&gt;" &amp; $P2575) + 1</f>
        <v>1325</v>
      </c>
      <c r="R2575" s="63">
        <f>(COUNTIFS($P:$P, "&gt;" &amp; $P2575) + 1) / (COUNTA($I:$I) - 1)</f>
        <v>0.26500000000000001</v>
      </c>
      <c r="S2575" s="23">
        <f>SUMIFS($P:$P, $Q:$Q, "&lt;" &amp; $Q2575)</f>
        <v>172363050</v>
      </c>
    </row>
    <row r="2576" spans="1:19" x14ac:dyDescent="0.25">
      <c r="A2576" s="1">
        <v>2571</v>
      </c>
      <c r="B2576" s="1" t="s">
        <v>2</v>
      </c>
      <c r="C2576" s="1" t="str">
        <f>IF($B2576 = "Production Item", _xlfn.XLOOKUP($A2576, 'Instrument Table'!$J:$J, 'Instrument Table'!$B:$B, $C2575), IF($B2576 = "Service Item", _xlfn.XLOOKUP($A2576, 'Instrument Table'!$I:$I, 'Instrument Table'!$B:$B, $C2575), _xlfn.XLOOKUP($A2576, 'Instrument Table'!$H:$H, 'Instrument Table'!$B:$B, $C2575)))</f>
        <v>French Horn</v>
      </c>
      <c r="D2576" s="1" t="str">
        <f>VLOOKUP($C2576, 'Instrument Table'!$B:$C, 2, FALSE)</f>
        <v>Brass</v>
      </c>
      <c r="E2576" s="1">
        <f t="shared" si="240"/>
        <v>1</v>
      </c>
      <c r="F2576" s="1">
        <f>_xlfn.XLOOKUP($C2576, 'Instrument Table'!$B:$B, 'Instrument Table'!$A:$A, "")</f>
        <v>40</v>
      </c>
      <c r="G2576" s="1" t="str">
        <f>TEXT(IF($B2576 = "Retail Item", IF((ROW($A2576) - 4504 - _xlfn.XMATCH($C2576, $C$4506:$C$5005, 0, 1)) &lt;= VLOOKUP($C2576, 'Instrument Table'!$B:$D, 3, FALSE), ROW($A2576) - 4504 - _xlfn.XMATCH($C2576, $C$4506:$C$5005, 0, 1), 0), 0), "00")</f>
        <v>00</v>
      </c>
      <c r="H2576" s="1" t="str">
        <f t="shared" si="241"/>
        <v>120</v>
      </c>
      <c r="I2576" s="1" t="str">
        <f t="shared" si="242"/>
        <v>14000-120</v>
      </c>
      <c r="J2576" s="1" t="str">
        <f t="shared" si="243"/>
        <v>French horn production item #120</v>
      </c>
      <c r="K2576" s="1" t="str">
        <f>IF(SUM(COUNTIFS(I:I, I2576)) &gt; 1, "DUPLICATE", "UNIQUE")</f>
        <v>UNIQUE</v>
      </c>
      <c r="L2576" s="18">
        <v>0</v>
      </c>
      <c r="M2576" s="28">
        <v>6</v>
      </c>
      <c r="N2576" s="6">
        <v>16</v>
      </c>
      <c r="O2576" s="30">
        <f t="shared" si="244"/>
        <v>0</v>
      </c>
      <c r="P2576" s="30">
        <f t="shared" si="245"/>
        <v>96</v>
      </c>
      <c r="Q2576" s="1">
        <f>COUNTIFS($P:$P, "&gt;" &amp; $P2576) + 1</f>
        <v>4466</v>
      </c>
      <c r="R2576" s="63">
        <f>(COUNTIFS($P:$P, "&gt;" &amp; $P2576) + 1) / (COUNTA($I:$I) - 1)</f>
        <v>0.89319999999999999</v>
      </c>
      <c r="S2576" s="23">
        <f>SUMIFS($P:$P, $Q:$Q, "&lt;" &amp; $Q2576)</f>
        <v>186533802</v>
      </c>
    </row>
    <row r="2577" spans="1:19" x14ac:dyDescent="0.25">
      <c r="A2577" s="1">
        <v>2572</v>
      </c>
      <c r="B2577" s="1" t="s">
        <v>2</v>
      </c>
      <c r="C2577" s="1" t="str">
        <f>IF($B2577 = "Production Item", _xlfn.XLOOKUP($A2577, 'Instrument Table'!$J:$J, 'Instrument Table'!$B:$B, $C2576), IF($B2577 = "Service Item", _xlfn.XLOOKUP($A2577, 'Instrument Table'!$I:$I, 'Instrument Table'!$B:$B, $C2576), _xlfn.XLOOKUP($A2577, 'Instrument Table'!$H:$H, 'Instrument Table'!$B:$B, $C2576)))</f>
        <v>French Horn</v>
      </c>
      <c r="D2577" s="1" t="str">
        <f>VLOOKUP($C2577, 'Instrument Table'!$B:$C, 2, FALSE)</f>
        <v>Brass</v>
      </c>
      <c r="E2577" s="1">
        <f t="shared" si="240"/>
        <v>1</v>
      </c>
      <c r="F2577" s="1">
        <f>_xlfn.XLOOKUP($C2577, 'Instrument Table'!$B:$B, 'Instrument Table'!$A:$A, "")</f>
        <v>40</v>
      </c>
      <c r="G2577" s="1" t="str">
        <f>TEXT(IF($B2577 = "Retail Item", IF((ROW($A2577) - 4504 - _xlfn.XMATCH($C2577, $C$4506:$C$5005, 0, 1)) &lt;= VLOOKUP($C2577, 'Instrument Table'!$B:$D, 3, FALSE), ROW($A2577) - 4504 - _xlfn.XMATCH($C2577, $C$4506:$C$5005, 0, 1), 0), 0), "00")</f>
        <v>00</v>
      </c>
      <c r="H2577" s="1" t="str">
        <f t="shared" si="241"/>
        <v>121</v>
      </c>
      <c r="I2577" s="1" t="str">
        <f t="shared" si="242"/>
        <v>14000-121</v>
      </c>
      <c r="J2577" s="1" t="str">
        <f t="shared" si="243"/>
        <v>French horn production item #121</v>
      </c>
      <c r="K2577" s="1" t="str">
        <f>IF(SUM(COUNTIFS(I:I, I2577)) &gt; 1, "DUPLICATE", "UNIQUE")</f>
        <v>UNIQUE</v>
      </c>
      <c r="L2577" s="18">
        <v>0</v>
      </c>
      <c r="M2577" s="28">
        <v>52</v>
      </c>
      <c r="N2577" s="6">
        <v>4</v>
      </c>
      <c r="O2577" s="30">
        <f t="shared" si="244"/>
        <v>0</v>
      </c>
      <c r="P2577" s="30">
        <f t="shared" si="245"/>
        <v>208</v>
      </c>
      <c r="Q2577" s="1">
        <f>COUNTIFS($P:$P, "&gt;" &amp; $P2577) + 1</f>
        <v>4309</v>
      </c>
      <c r="R2577" s="63">
        <f>(COUNTIFS($P:$P, "&gt;" &amp; $P2577) + 1) / (COUNTA($I:$I) - 1)</f>
        <v>0.86180000000000001</v>
      </c>
      <c r="S2577" s="23">
        <f>SUMIFS($P:$P, $Q:$Q, "&lt;" &amp; $Q2577)</f>
        <v>186509406</v>
      </c>
    </row>
    <row r="2578" spans="1:19" x14ac:dyDescent="0.25">
      <c r="A2578" s="1">
        <v>2573</v>
      </c>
      <c r="B2578" s="1" t="s">
        <v>2</v>
      </c>
      <c r="C2578" s="1" t="str">
        <f>IF($B2578 = "Production Item", _xlfn.XLOOKUP($A2578, 'Instrument Table'!$J:$J, 'Instrument Table'!$B:$B, $C2577), IF($B2578 = "Service Item", _xlfn.XLOOKUP($A2578, 'Instrument Table'!$I:$I, 'Instrument Table'!$B:$B, $C2577), _xlfn.XLOOKUP($A2578, 'Instrument Table'!$H:$H, 'Instrument Table'!$B:$B, $C2577)))</f>
        <v>French Horn</v>
      </c>
      <c r="D2578" s="1" t="str">
        <f>VLOOKUP($C2578, 'Instrument Table'!$B:$C, 2, FALSE)</f>
        <v>Brass</v>
      </c>
      <c r="E2578" s="1">
        <f t="shared" si="240"/>
        <v>1</v>
      </c>
      <c r="F2578" s="1">
        <f>_xlfn.XLOOKUP($C2578, 'Instrument Table'!$B:$B, 'Instrument Table'!$A:$A, "")</f>
        <v>40</v>
      </c>
      <c r="G2578" s="1" t="str">
        <f>TEXT(IF($B2578 = "Retail Item", IF((ROW($A2578) - 4504 - _xlfn.XMATCH($C2578, $C$4506:$C$5005, 0, 1)) &lt;= VLOOKUP($C2578, 'Instrument Table'!$B:$D, 3, FALSE), ROW($A2578) - 4504 - _xlfn.XMATCH($C2578, $C$4506:$C$5005, 0, 1), 0), 0), "00")</f>
        <v>00</v>
      </c>
      <c r="H2578" s="1" t="str">
        <f t="shared" si="241"/>
        <v>122</v>
      </c>
      <c r="I2578" s="1" t="str">
        <f t="shared" si="242"/>
        <v>14000-122</v>
      </c>
      <c r="J2578" s="1" t="str">
        <f t="shared" si="243"/>
        <v>French horn production item #122</v>
      </c>
      <c r="K2578" s="1" t="str">
        <f>IF(SUM(COUNTIFS(I:I, I2578)) &gt; 1, "DUPLICATE", "UNIQUE")</f>
        <v>UNIQUE</v>
      </c>
      <c r="L2578" s="18">
        <v>1</v>
      </c>
      <c r="M2578" s="28">
        <v>13</v>
      </c>
      <c r="N2578" s="6">
        <v>324</v>
      </c>
      <c r="O2578" s="30">
        <f t="shared" si="244"/>
        <v>13</v>
      </c>
      <c r="P2578" s="30">
        <f t="shared" si="245"/>
        <v>4212</v>
      </c>
      <c r="Q2578" s="1">
        <f>COUNTIFS($P:$P, "&gt;" &amp; $P2578) + 1</f>
        <v>2613</v>
      </c>
      <c r="R2578" s="63">
        <f>(COUNTIFS($P:$P, "&gt;" &amp; $P2578) + 1) / (COUNTA($I:$I) - 1)</f>
        <v>0.52259999999999995</v>
      </c>
      <c r="S2578" s="23">
        <f>SUMIFS($P:$P, $Q:$Q, "&lt;" &amp; $Q2578)</f>
        <v>183618325</v>
      </c>
    </row>
    <row r="2579" spans="1:19" x14ac:dyDescent="0.25">
      <c r="A2579" s="1">
        <v>2574</v>
      </c>
      <c r="B2579" s="1" t="s">
        <v>2</v>
      </c>
      <c r="C2579" s="1" t="str">
        <f>IF($B2579 = "Production Item", _xlfn.XLOOKUP($A2579, 'Instrument Table'!$J:$J, 'Instrument Table'!$B:$B, $C2578), IF($B2579 = "Service Item", _xlfn.XLOOKUP($A2579, 'Instrument Table'!$I:$I, 'Instrument Table'!$B:$B, $C2578), _xlfn.XLOOKUP($A2579, 'Instrument Table'!$H:$H, 'Instrument Table'!$B:$B, $C2578)))</f>
        <v>French Horn</v>
      </c>
      <c r="D2579" s="1" t="str">
        <f>VLOOKUP($C2579, 'Instrument Table'!$B:$C, 2, FALSE)</f>
        <v>Brass</v>
      </c>
      <c r="E2579" s="1">
        <f t="shared" si="240"/>
        <v>1</v>
      </c>
      <c r="F2579" s="1">
        <f>_xlfn.XLOOKUP($C2579, 'Instrument Table'!$B:$B, 'Instrument Table'!$A:$A, "")</f>
        <v>40</v>
      </c>
      <c r="G2579" s="1" t="str">
        <f>TEXT(IF($B2579 = "Retail Item", IF((ROW($A2579) - 4504 - _xlfn.XMATCH($C2579, $C$4506:$C$5005, 0, 1)) &lt;= VLOOKUP($C2579, 'Instrument Table'!$B:$D, 3, FALSE), ROW($A2579) - 4504 - _xlfn.XMATCH($C2579, $C$4506:$C$5005, 0, 1), 0), 0), "00")</f>
        <v>00</v>
      </c>
      <c r="H2579" s="1" t="str">
        <f t="shared" si="241"/>
        <v>123</v>
      </c>
      <c r="I2579" s="1" t="str">
        <f t="shared" si="242"/>
        <v>14000-123</v>
      </c>
      <c r="J2579" s="1" t="str">
        <f t="shared" si="243"/>
        <v>French horn production item #123</v>
      </c>
      <c r="K2579" s="1" t="str">
        <f>IF(SUM(COUNTIFS(I:I, I2579)) &gt; 1, "DUPLICATE", "UNIQUE")</f>
        <v>UNIQUE</v>
      </c>
      <c r="L2579" s="18">
        <v>32</v>
      </c>
      <c r="M2579" s="28">
        <v>94</v>
      </c>
      <c r="N2579" s="6">
        <v>100</v>
      </c>
      <c r="O2579" s="30">
        <f t="shared" si="244"/>
        <v>3008</v>
      </c>
      <c r="P2579" s="30">
        <f t="shared" si="245"/>
        <v>9400</v>
      </c>
      <c r="Q2579" s="1">
        <f>COUNTIFS($P:$P, "&gt;" &amp; $P2579) + 1</f>
        <v>1831</v>
      </c>
      <c r="R2579" s="63">
        <f>(COUNTIFS($P:$P, "&gt;" &amp; $P2579) + 1) / (COUNTA($I:$I) - 1)</f>
        <v>0.36620000000000003</v>
      </c>
      <c r="S2579" s="23">
        <f>SUMIFS($P:$P, $Q:$Q, "&lt;" &amp; $Q2579)</f>
        <v>178536801</v>
      </c>
    </row>
    <row r="2580" spans="1:19" x14ac:dyDescent="0.25">
      <c r="A2580" s="1">
        <v>2575</v>
      </c>
      <c r="B2580" s="1" t="s">
        <v>2</v>
      </c>
      <c r="C2580" s="1" t="str">
        <f>IF($B2580 = "Production Item", _xlfn.XLOOKUP($A2580, 'Instrument Table'!$J:$J, 'Instrument Table'!$B:$B, $C2579), IF($B2580 = "Service Item", _xlfn.XLOOKUP($A2580, 'Instrument Table'!$I:$I, 'Instrument Table'!$B:$B, $C2579), _xlfn.XLOOKUP($A2580, 'Instrument Table'!$H:$H, 'Instrument Table'!$B:$B, $C2579)))</f>
        <v>French Horn</v>
      </c>
      <c r="D2580" s="1" t="str">
        <f>VLOOKUP($C2580, 'Instrument Table'!$B:$C, 2, FALSE)</f>
        <v>Brass</v>
      </c>
      <c r="E2580" s="1">
        <f t="shared" si="240"/>
        <v>1</v>
      </c>
      <c r="F2580" s="1">
        <f>_xlfn.XLOOKUP($C2580, 'Instrument Table'!$B:$B, 'Instrument Table'!$A:$A, "")</f>
        <v>40</v>
      </c>
      <c r="G2580" s="1" t="str">
        <f>TEXT(IF($B2580 = "Retail Item", IF((ROW($A2580) - 4504 - _xlfn.XMATCH($C2580, $C$4506:$C$5005, 0, 1)) &lt;= VLOOKUP($C2580, 'Instrument Table'!$B:$D, 3, FALSE), ROW($A2580) - 4504 - _xlfn.XMATCH($C2580, $C$4506:$C$5005, 0, 1), 0), 0), "00")</f>
        <v>00</v>
      </c>
      <c r="H2580" s="1" t="str">
        <f t="shared" si="241"/>
        <v>124</v>
      </c>
      <c r="I2580" s="1" t="str">
        <f t="shared" si="242"/>
        <v>14000-124</v>
      </c>
      <c r="J2580" s="1" t="str">
        <f t="shared" si="243"/>
        <v>French horn production item #124</v>
      </c>
      <c r="K2580" s="1" t="str">
        <f>IF(SUM(COUNTIFS(I:I, I2580)) &gt; 1, "DUPLICATE", "UNIQUE")</f>
        <v>UNIQUE</v>
      </c>
      <c r="L2580" s="18">
        <v>1</v>
      </c>
      <c r="M2580" s="28">
        <v>30</v>
      </c>
      <c r="N2580" s="6">
        <v>361</v>
      </c>
      <c r="O2580" s="30">
        <f t="shared" si="244"/>
        <v>30</v>
      </c>
      <c r="P2580" s="30">
        <f t="shared" si="245"/>
        <v>10830</v>
      </c>
      <c r="Q2580" s="1">
        <f>COUNTIFS($P:$P, "&gt;" &amp; $P2580) + 1</f>
        <v>1698</v>
      </c>
      <c r="R2580" s="63">
        <f>(COUNTIFS($P:$P, "&gt;" &amp; $P2580) + 1) / (COUNTA($I:$I) - 1)</f>
        <v>0.33960000000000001</v>
      </c>
      <c r="S2580" s="23">
        <f>SUMIFS($P:$P, $Q:$Q, "&lt;" &amp; $Q2580)</f>
        <v>177191776</v>
      </c>
    </row>
    <row r="2581" spans="1:19" x14ac:dyDescent="0.25">
      <c r="A2581" s="1">
        <v>2576</v>
      </c>
      <c r="B2581" s="1" t="s">
        <v>2</v>
      </c>
      <c r="C2581" s="1" t="str">
        <f>IF($B2581 = "Production Item", _xlfn.XLOOKUP($A2581, 'Instrument Table'!$J:$J, 'Instrument Table'!$B:$B, $C2580), IF($B2581 = "Service Item", _xlfn.XLOOKUP($A2581, 'Instrument Table'!$I:$I, 'Instrument Table'!$B:$B, $C2580), _xlfn.XLOOKUP($A2581, 'Instrument Table'!$H:$H, 'Instrument Table'!$B:$B, $C2580)))</f>
        <v>French Horn</v>
      </c>
      <c r="D2581" s="1" t="str">
        <f>VLOOKUP($C2581, 'Instrument Table'!$B:$C, 2, FALSE)</f>
        <v>Brass</v>
      </c>
      <c r="E2581" s="1">
        <f t="shared" si="240"/>
        <v>1</v>
      </c>
      <c r="F2581" s="1">
        <f>_xlfn.XLOOKUP($C2581, 'Instrument Table'!$B:$B, 'Instrument Table'!$A:$A, "")</f>
        <v>40</v>
      </c>
      <c r="G2581" s="1" t="str">
        <f>TEXT(IF($B2581 = "Retail Item", IF((ROW($A2581) - 4504 - _xlfn.XMATCH($C2581, $C$4506:$C$5005, 0, 1)) &lt;= VLOOKUP($C2581, 'Instrument Table'!$B:$D, 3, FALSE), ROW($A2581) - 4504 - _xlfn.XMATCH($C2581, $C$4506:$C$5005, 0, 1), 0), 0), "00")</f>
        <v>00</v>
      </c>
      <c r="H2581" s="1" t="str">
        <f t="shared" si="241"/>
        <v>125</v>
      </c>
      <c r="I2581" s="1" t="str">
        <f t="shared" si="242"/>
        <v>14000-125</v>
      </c>
      <c r="J2581" s="1" t="str">
        <f t="shared" si="243"/>
        <v>French horn production item #125</v>
      </c>
      <c r="K2581" s="1" t="str">
        <f>IF(SUM(COUNTIFS(I:I, I2581)) &gt; 1, "DUPLICATE", "UNIQUE")</f>
        <v>UNIQUE</v>
      </c>
      <c r="L2581" s="18">
        <v>8</v>
      </c>
      <c r="M2581" s="28">
        <v>68</v>
      </c>
      <c r="N2581" s="6">
        <v>324</v>
      </c>
      <c r="O2581" s="30">
        <f t="shared" si="244"/>
        <v>544</v>
      </c>
      <c r="P2581" s="30">
        <f t="shared" si="245"/>
        <v>22032</v>
      </c>
      <c r="Q2581" s="1">
        <f>COUNTIFS($P:$P, "&gt;" &amp; $P2581) + 1</f>
        <v>952</v>
      </c>
      <c r="R2581" s="63">
        <f>(COUNTIFS($P:$P, "&gt;" &amp; $P2581) + 1) / (COUNTA($I:$I) - 1)</f>
        <v>0.19040000000000001</v>
      </c>
      <c r="S2581" s="23">
        <f>SUMIFS($P:$P, $Q:$Q, "&lt;" &amp; $Q2581)</f>
        <v>165453532</v>
      </c>
    </row>
    <row r="2582" spans="1:19" x14ac:dyDescent="0.25">
      <c r="A2582" s="1">
        <v>2577</v>
      </c>
      <c r="B2582" s="1" t="s">
        <v>2</v>
      </c>
      <c r="C2582" s="1" t="str">
        <f>IF($B2582 = "Production Item", _xlfn.XLOOKUP($A2582, 'Instrument Table'!$J:$J, 'Instrument Table'!$B:$B, $C2581), IF($B2582 = "Service Item", _xlfn.XLOOKUP($A2582, 'Instrument Table'!$I:$I, 'Instrument Table'!$B:$B, $C2581), _xlfn.XLOOKUP($A2582, 'Instrument Table'!$H:$H, 'Instrument Table'!$B:$B, $C2581)))</f>
        <v>French Horn</v>
      </c>
      <c r="D2582" s="1" t="str">
        <f>VLOOKUP($C2582, 'Instrument Table'!$B:$C, 2, FALSE)</f>
        <v>Brass</v>
      </c>
      <c r="E2582" s="1">
        <f t="shared" si="240"/>
        <v>1</v>
      </c>
      <c r="F2582" s="1">
        <f>_xlfn.XLOOKUP($C2582, 'Instrument Table'!$B:$B, 'Instrument Table'!$A:$A, "")</f>
        <v>40</v>
      </c>
      <c r="G2582" s="1" t="str">
        <f>TEXT(IF($B2582 = "Retail Item", IF((ROW($A2582) - 4504 - _xlfn.XMATCH($C2582, $C$4506:$C$5005, 0, 1)) &lt;= VLOOKUP($C2582, 'Instrument Table'!$B:$D, 3, FALSE), ROW($A2582) - 4504 - _xlfn.XMATCH($C2582, $C$4506:$C$5005, 0, 1), 0), 0), "00")</f>
        <v>00</v>
      </c>
      <c r="H2582" s="1" t="str">
        <f t="shared" si="241"/>
        <v>126</v>
      </c>
      <c r="I2582" s="1" t="str">
        <f t="shared" si="242"/>
        <v>14000-126</v>
      </c>
      <c r="J2582" s="1" t="str">
        <f t="shared" si="243"/>
        <v>French horn production item #126</v>
      </c>
      <c r="K2582" s="1" t="str">
        <f>IF(SUM(COUNTIFS(I:I, I2582)) &gt; 1, "DUPLICATE", "UNIQUE")</f>
        <v>UNIQUE</v>
      </c>
      <c r="L2582" s="18">
        <v>0</v>
      </c>
      <c r="M2582" s="28">
        <v>10</v>
      </c>
      <c r="N2582" s="6">
        <v>16</v>
      </c>
      <c r="O2582" s="30">
        <f t="shared" si="244"/>
        <v>0</v>
      </c>
      <c r="P2582" s="30">
        <f t="shared" si="245"/>
        <v>160</v>
      </c>
      <c r="Q2582" s="1">
        <f>COUNTIFS($P:$P, "&gt;" &amp; $P2582) + 1</f>
        <v>4390</v>
      </c>
      <c r="R2582" s="63">
        <f>(COUNTIFS($P:$P, "&gt;" &amp; $P2582) + 1) / (COUNTA($I:$I) - 1)</f>
        <v>0.878</v>
      </c>
      <c r="S2582" s="23">
        <f>SUMIFS($P:$P, $Q:$Q, "&lt;" &amp; $Q2582)</f>
        <v>186524488</v>
      </c>
    </row>
    <row r="2583" spans="1:19" x14ac:dyDescent="0.25">
      <c r="A2583" s="1">
        <v>2578</v>
      </c>
      <c r="B2583" s="1" t="s">
        <v>2</v>
      </c>
      <c r="C2583" s="1" t="str">
        <f>IF($B2583 = "Production Item", _xlfn.XLOOKUP($A2583, 'Instrument Table'!$J:$J, 'Instrument Table'!$B:$B, $C2582), IF($B2583 = "Service Item", _xlfn.XLOOKUP($A2583, 'Instrument Table'!$I:$I, 'Instrument Table'!$B:$B, $C2582), _xlfn.XLOOKUP($A2583, 'Instrument Table'!$H:$H, 'Instrument Table'!$B:$B, $C2582)))</f>
        <v>French Horn</v>
      </c>
      <c r="D2583" s="1" t="str">
        <f>VLOOKUP($C2583, 'Instrument Table'!$B:$C, 2, FALSE)</f>
        <v>Brass</v>
      </c>
      <c r="E2583" s="1">
        <f t="shared" si="240"/>
        <v>1</v>
      </c>
      <c r="F2583" s="1">
        <f>_xlfn.XLOOKUP($C2583, 'Instrument Table'!$B:$B, 'Instrument Table'!$A:$A, "")</f>
        <v>40</v>
      </c>
      <c r="G2583" s="1" t="str">
        <f>TEXT(IF($B2583 = "Retail Item", IF((ROW($A2583) - 4504 - _xlfn.XMATCH($C2583, $C$4506:$C$5005, 0, 1)) &lt;= VLOOKUP($C2583, 'Instrument Table'!$B:$D, 3, FALSE), ROW($A2583) - 4504 - _xlfn.XMATCH($C2583, $C$4506:$C$5005, 0, 1), 0), 0), "00")</f>
        <v>00</v>
      </c>
      <c r="H2583" s="1" t="str">
        <f t="shared" si="241"/>
        <v>127</v>
      </c>
      <c r="I2583" s="1" t="str">
        <f t="shared" si="242"/>
        <v>14000-127</v>
      </c>
      <c r="J2583" s="1" t="str">
        <f t="shared" si="243"/>
        <v>French horn production item #127</v>
      </c>
      <c r="K2583" s="1" t="str">
        <f>IF(SUM(COUNTIFS(I:I, I2583)) &gt; 1, "DUPLICATE", "UNIQUE")</f>
        <v>UNIQUE</v>
      </c>
      <c r="L2583" s="18">
        <v>0</v>
      </c>
      <c r="M2583" s="28">
        <v>25</v>
      </c>
      <c r="N2583" s="6">
        <v>4</v>
      </c>
      <c r="O2583" s="30">
        <f t="shared" si="244"/>
        <v>0</v>
      </c>
      <c r="P2583" s="30">
        <f t="shared" si="245"/>
        <v>100</v>
      </c>
      <c r="Q2583" s="1">
        <f>COUNTIFS($P:$P, "&gt;" &amp; $P2583) + 1</f>
        <v>4452</v>
      </c>
      <c r="R2583" s="63">
        <f>(COUNTIFS($P:$P, "&gt;" &amp; $P2583) + 1) / (COUNTA($I:$I) - 1)</f>
        <v>0.89039999999999997</v>
      </c>
      <c r="S2583" s="23">
        <f>SUMIFS($P:$P, $Q:$Q, "&lt;" &amp; $Q2583)</f>
        <v>186532418</v>
      </c>
    </row>
    <row r="2584" spans="1:19" x14ac:dyDescent="0.25">
      <c r="A2584" s="1">
        <v>2579</v>
      </c>
      <c r="B2584" s="1" t="s">
        <v>2</v>
      </c>
      <c r="C2584" s="1" t="str">
        <f>IF($B2584 = "Production Item", _xlfn.XLOOKUP($A2584, 'Instrument Table'!$J:$J, 'Instrument Table'!$B:$B, $C2583), IF($B2584 = "Service Item", _xlfn.XLOOKUP($A2584, 'Instrument Table'!$I:$I, 'Instrument Table'!$B:$B, $C2583), _xlfn.XLOOKUP($A2584, 'Instrument Table'!$H:$H, 'Instrument Table'!$B:$B, $C2583)))</f>
        <v>French Horn</v>
      </c>
      <c r="D2584" s="1" t="str">
        <f>VLOOKUP($C2584, 'Instrument Table'!$B:$C, 2, FALSE)</f>
        <v>Brass</v>
      </c>
      <c r="E2584" s="1">
        <f t="shared" si="240"/>
        <v>1</v>
      </c>
      <c r="F2584" s="1">
        <f>_xlfn.XLOOKUP($C2584, 'Instrument Table'!$B:$B, 'Instrument Table'!$A:$A, "")</f>
        <v>40</v>
      </c>
      <c r="G2584" s="1" t="str">
        <f>TEXT(IF($B2584 = "Retail Item", IF((ROW($A2584) - 4504 - _xlfn.XMATCH($C2584, $C$4506:$C$5005, 0, 1)) &lt;= VLOOKUP($C2584, 'Instrument Table'!$B:$D, 3, FALSE), ROW($A2584) - 4504 - _xlfn.XMATCH($C2584, $C$4506:$C$5005, 0, 1), 0), 0), "00")</f>
        <v>00</v>
      </c>
      <c r="H2584" s="1" t="str">
        <f t="shared" si="241"/>
        <v>128</v>
      </c>
      <c r="I2584" s="1" t="str">
        <f t="shared" si="242"/>
        <v>14000-128</v>
      </c>
      <c r="J2584" s="1" t="str">
        <f t="shared" si="243"/>
        <v>French horn production item #128</v>
      </c>
      <c r="K2584" s="1" t="str">
        <f>IF(SUM(COUNTIFS(I:I, I2584)) &gt; 1, "DUPLICATE", "UNIQUE")</f>
        <v>UNIQUE</v>
      </c>
      <c r="L2584" s="18">
        <v>1</v>
      </c>
      <c r="M2584" s="28">
        <v>75</v>
      </c>
      <c r="N2584" s="6">
        <v>144</v>
      </c>
      <c r="O2584" s="30">
        <f t="shared" si="244"/>
        <v>75</v>
      </c>
      <c r="P2584" s="30">
        <f t="shared" si="245"/>
        <v>10800</v>
      </c>
      <c r="Q2584" s="1">
        <f>COUNTIFS($P:$P, "&gt;" &amp; $P2584) + 1</f>
        <v>1703</v>
      </c>
      <c r="R2584" s="63">
        <f>(COUNTIFS($P:$P, "&gt;" &amp; $P2584) + 1) / (COUNTA($I:$I) - 1)</f>
        <v>0.34060000000000001</v>
      </c>
      <c r="S2584" s="23">
        <f>SUMIFS($P:$P, $Q:$Q, "&lt;" &amp; $Q2584)</f>
        <v>177245912</v>
      </c>
    </row>
    <row r="2585" spans="1:19" x14ac:dyDescent="0.25">
      <c r="A2585" s="1">
        <v>2580</v>
      </c>
      <c r="B2585" s="1" t="s">
        <v>2</v>
      </c>
      <c r="C2585" s="1" t="str">
        <f>IF($B2585 = "Production Item", _xlfn.XLOOKUP($A2585, 'Instrument Table'!$J:$J, 'Instrument Table'!$B:$B, $C2584), IF($B2585 = "Service Item", _xlfn.XLOOKUP($A2585, 'Instrument Table'!$I:$I, 'Instrument Table'!$B:$B, $C2584), _xlfn.XLOOKUP($A2585, 'Instrument Table'!$H:$H, 'Instrument Table'!$B:$B, $C2584)))</f>
        <v>French Horn</v>
      </c>
      <c r="D2585" s="1" t="str">
        <f>VLOOKUP($C2585, 'Instrument Table'!$B:$C, 2, FALSE)</f>
        <v>Brass</v>
      </c>
      <c r="E2585" s="1">
        <f t="shared" si="240"/>
        <v>1</v>
      </c>
      <c r="F2585" s="1">
        <f>_xlfn.XLOOKUP($C2585, 'Instrument Table'!$B:$B, 'Instrument Table'!$A:$A, "")</f>
        <v>40</v>
      </c>
      <c r="G2585" s="1" t="str">
        <f>TEXT(IF($B2585 = "Retail Item", IF((ROW($A2585) - 4504 - _xlfn.XMATCH($C2585, $C$4506:$C$5005, 0, 1)) &lt;= VLOOKUP($C2585, 'Instrument Table'!$B:$D, 3, FALSE), ROW($A2585) - 4504 - _xlfn.XMATCH($C2585, $C$4506:$C$5005, 0, 1), 0), 0), "00")</f>
        <v>00</v>
      </c>
      <c r="H2585" s="1" t="str">
        <f t="shared" si="241"/>
        <v>129</v>
      </c>
      <c r="I2585" s="1" t="str">
        <f t="shared" si="242"/>
        <v>14000-129</v>
      </c>
      <c r="J2585" s="1" t="str">
        <f t="shared" si="243"/>
        <v>French horn production item #129</v>
      </c>
      <c r="K2585" s="1" t="str">
        <f>IF(SUM(COUNTIFS(I:I, I2585)) &gt; 1, "DUPLICATE", "UNIQUE")</f>
        <v>UNIQUE</v>
      </c>
      <c r="L2585" s="18">
        <v>4</v>
      </c>
      <c r="M2585" s="28">
        <v>48</v>
      </c>
      <c r="N2585" s="6">
        <v>144</v>
      </c>
      <c r="O2585" s="30">
        <f t="shared" si="244"/>
        <v>192</v>
      </c>
      <c r="P2585" s="30">
        <f t="shared" si="245"/>
        <v>6912</v>
      </c>
      <c r="Q2585" s="1">
        <f>COUNTIFS($P:$P, "&gt;" &amp; $P2585) + 1</f>
        <v>2145</v>
      </c>
      <c r="R2585" s="63">
        <f>(COUNTIFS($P:$P, "&gt;" &amp; $P2585) + 1) / (COUNTA($I:$I) - 1)</f>
        <v>0.42899999999999999</v>
      </c>
      <c r="S2585" s="23">
        <f>SUMIFS($P:$P, $Q:$Q, "&lt;" &amp; $Q2585)</f>
        <v>181079109</v>
      </c>
    </row>
    <row r="2586" spans="1:19" x14ac:dyDescent="0.25">
      <c r="A2586" s="1">
        <v>2581</v>
      </c>
      <c r="B2586" s="1" t="s">
        <v>2</v>
      </c>
      <c r="C2586" s="1" t="str">
        <f>IF($B2586 = "Production Item", _xlfn.XLOOKUP($A2586, 'Instrument Table'!$J:$J, 'Instrument Table'!$B:$B, $C2585), IF($B2586 = "Service Item", _xlfn.XLOOKUP($A2586, 'Instrument Table'!$I:$I, 'Instrument Table'!$B:$B, $C2585), _xlfn.XLOOKUP($A2586, 'Instrument Table'!$H:$H, 'Instrument Table'!$B:$B, $C2585)))</f>
        <v>French Horn</v>
      </c>
      <c r="D2586" s="1" t="str">
        <f>VLOOKUP($C2586, 'Instrument Table'!$B:$C, 2, FALSE)</f>
        <v>Brass</v>
      </c>
      <c r="E2586" s="1">
        <f t="shared" si="240"/>
        <v>1</v>
      </c>
      <c r="F2586" s="1">
        <f>_xlfn.XLOOKUP($C2586, 'Instrument Table'!$B:$B, 'Instrument Table'!$A:$A, "")</f>
        <v>40</v>
      </c>
      <c r="G2586" s="1" t="str">
        <f>TEXT(IF($B2586 = "Retail Item", IF((ROW($A2586) - 4504 - _xlfn.XMATCH($C2586, $C$4506:$C$5005, 0, 1)) &lt;= VLOOKUP($C2586, 'Instrument Table'!$B:$D, 3, FALSE), ROW($A2586) - 4504 - _xlfn.XMATCH($C2586, $C$4506:$C$5005, 0, 1), 0), 0), "00")</f>
        <v>00</v>
      </c>
      <c r="H2586" s="1" t="str">
        <f t="shared" si="241"/>
        <v>130</v>
      </c>
      <c r="I2586" s="1" t="str">
        <f t="shared" si="242"/>
        <v>14000-130</v>
      </c>
      <c r="J2586" s="1" t="str">
        <f t="shared" si="243"/>
        <v>French horn production item #130</v>
      </c>
      <c r="K2586" s="1" t="str">
        <f>IF(SUM(COUNTIFS(I:I, I2586)) &gt; 1, "DUPLICATE", "UNIQUE")</f>
        <v>UNIQUE</v>
      </c>
      <c r="L2586" s="18">
        <v>32</v>
      </c>
      <c r="M2586" s="28">
        <v>80</v>
      </c>
      <c r="N2586" s="6">
        <v>169</v>
      </c>
      <c r="O2586" s="30">
        <f t="shared" si="244"/>
        <v>2560</v>
      </c>
      <c r="P2586" s="30">
        <f t="shared" si="245"/>
        <v>13520</v>
      </c>
      <c r="Q2586" s="1">
        <f>COUNTIFS($P:$P, "&gt;" &amp; $P2586) + 1</f>
        <v>1461</v>
      </c>
      <c r="R2586" s="63">
        <f>(COUNTIFS($P:$P, "&gt;" &amp; $P2586) + 1) / (COUNTA($I:$I) - 1)</f>
        <v>0.29220000000000002</v>
      </c>
      <c r="S2586" s="23">
        <f>SUMIFS($P:$P, $Q:$Q, "&lt;" &amp; $Q2586)</f>
        <v>174322361</v>
      </c>
    </row>
    <row r="2587" spans="1:19" x14ac:dyDescent="0.25">
      <c r="A2587" s="1">
        <v>2582</v>
      </c>
      <c r="B2587" s="1" t="s">
        <v>2</v>
      </c>
      <c r="C2587" s="1" t="str">
        <f>IF($B2587 = "Production Item", _xlfn.XLOOKUP($A2587, 'Instrument Table'!$J:$J, 'Instrument Table'!$B:$B, $C2586), IF($B2587 = "Service Item", _xlfn.XLOOKUP($A2587, 'Instrument Table'!$I:$I, 'Instrument Table'!$B:$B, $C2586), _xlfn.XLOOKUP($A2587, 'Instrument Table'!$H:$H, 'Instrument Table'!$B:$B, $C2586)))</f>
        <v>French Horn</v>
      </c>
      <c r="D2587" s="1" t="str">
        <f>VLOOKUP($C2587, 'Instrument Table'!$B:$C, 2, FALSE)</f>
        <v>Brass</v>
      </c>
      <c r="E2587" s="1">
        <f t="shared" si="240"/>
        <v>1</v>
      </c>
      <c r="F2587" s="1">
        <f>_xlfn.XLOOKUP($C2587, 'Instrument Table'!$B:$B, 'Instrument Table'!$A:$A, "")</f>
        <v>40</v>
      </c>
      <c r="G2587" s="1" t="str">
        <f>TEXT(IF($B2587 = "Retail Item", IF((ROW($A2587) - 4504 - _xlfn.XMATCH($C2587, $C$4506:$C$5005, 0, 1)) &lt;= VLOOKUP($C2587, 'Instrument Table'!$B:$D, 3, FALSE), ROW($A2587) - 4504 - _xlfn.XMATCH($C2587, $C$4506:$C$5005, 0, 1), 0), 0), "00")</f>
        <v>00</v>
      </c>
      <c r="H2587" s="1" t="str">
        <f t="shared" si="241"/>
        <v>131</v>
      </c>
      <c r="I2587" s="1" t="str">
        <f t="shared" si="242"/>
        <v>14000-131</v>
      </c>
      <c r="J2587" s="1" t="str">
        <f t="shared" si="243"/>
        <v>French horn production item #131</v>
      </c>
      <c r="K2587" s="1" t="str">
        <f>IF(SUM(COUNTIFS(I:I, I2587)) &gt; 1, "DUPLICATE", "UNIQUE")</f>
        <v>UNIQUE</v>
      </c>
      <c r="L2587" s="18">
        <v>8</v>
      </c>
      <c r="M2587" s="28">
        <v>19</v>
      </c>
      <c r="N2587" s="6">
        <v>0</v>
      </c>
      <c r="O2587" s="30">
        <f t="shared" si="244"/>
        <v>152</v>
      </c>
      <c r="P2587" s="30">
        <f t="shared" si="245"/>
        <v>0</v>
      </c>
      <c r="Q2587" s="1">
        <f>COUNTIFS($P:$P, "&gt;" &amp; $P2587) + 1</f>
        <v>4746</v>
      </c>
      <c r="R2587" s="63">
        <f>(COUNTIFS($P:$P, "&gt;" &amp; $P2587) + 1) / (COUNTA($I:$I) - 1)</f>
        <v>0.94920000000000004</v>
      </c>
      <c r="S2587" s="23">
        <f>SUMIFS($P:$P, $Q:$Q, "&lt;" &amp; $Q2587)</f>
        <v>186547861</v>
      </c>
    </row>
    <row r="2588" spans="1:19" x14ac:dyDescent="0.25">
      <c r="A2588" s="1">
        <v>2583</v>
      </c>
      <c r="B2588" s="1" t="s">
        <v>2</v>
      </c>
      <c r="C2588" s="1" t="str">
        <f>IF($B2588 = "Production Item", _xlfn.XLOOKUP($A2588, 'Instrument Table'!$J:$J, 'Instrument Table'!$B:$B, $C2587), IF($B2588 = "Service Item", _xlfn.XLOOKUP($A2588, 'Instrument Table'!$I:$I, 'Instrument Table'!$B:$B, $C2587), _xlfn.XLOOKUP($A2588, 'Instrument Table'!$H:$H, 'Instrument Table'!$B:$B, $C2587)))</f>
        <v>French Horn</v>
      </c>
      <c r="D2588" s="1" t="str">
        <f>VLOOKUP($C2588, 'Instrument Table'!$B:$C, 2, FALSE)</f>
        <v>Brass</v>
      </c>
      <c r="E2588" s="1">
        <f t="shared" si="240"/>
        <v>1</v>
      </c>
      <c r="F2588" s="1">
        <f>_xlfn.XLOOKUP($C2588, 'Instrument Table'!$B:$B, 'Instrument Table'!$A:$A, "")</f>
        <v>40</v>
      </c>
      <c r="G2588" s="1" t="str">
        <f>TEXT(IF($B2588 = "Retail Item", IF((ROW($A2588) - 4504 - _xlfn.XMATCH($C2588, $C$4506:$C$5005, 0, 1)) &lt;= VLOOKUP($C2588, 'Instrument Table'!$B:$D, 3, FALSE), ROW($A2588) - 4504 - _xlfn.XMATCH($C2588, $C$4506:$C$5005, 0, 1), 0), 0), "00")</f>
        <v>00</v>
      </c>
      <c r="H2588" s="1" t="str">
        <f t="shared" si="241"/>
        <v>132</v>
      </c>
      <c r="I2588" s="1" t="str">
        <f t="shared" si="242"/>
        <v>14000-132</v>
      </c>
      <c r="J2588" s="1" t="str">
        <f t="shared" si="243"/>
        <v>French horn production item #132</v>
      </c>
      <c r="K2588" s="1" t="str">
        <f>IF(SUM(COUNTIFS(I:I, I2588)) &gt; 1, "DUPLICATE", "UNIQUE")</f>
        <v>UNIQUE</v>
      </c>
      <c r="L2588" s="18">
        <v>1</v>
      </c>
      <c r="M2588" s="28">
        <v>46</v>
      </c>
      <c r="N2588" s="6">
        <v>0</v>
      </c>
      <c r="O2588" s="30">
        <f t="shared" si="244"/>
        <v>46</v>
      </c>
      <c r="P2588" s="30">
        <f t="shared" si="245"/>
        <v>0</v>
      </c>
      <c r="Q2588" s="1">
        <f>COUNTIFS($P:$P, "&gt;" &amp; $P2588) + 1</f>
        <v>4746</v>
      </c>
      <c r="R2588" s="63">
        <f>(COUNTIFS($P:$P, "&gt;" &amp; $P2588) + 1) / (COUNTA($I:$I) - 1)</f>
        <v>0.94920000000000004</v>
      </c>
      <c r="S2588" s="23">
        <f>SUMIFS($P:$P, $Q:$Q, "&lt;" &amp; $Q2588)</f>
        <v>186547861</v>
      </c>
    </row>
    <row r="2589" spans="1:19" x14ac:dyDescent="0.25">
      <c r="A2589" s="1">
        <v>2584</v>
      </c>
      <c r="B2589" s="1" t="s">
        <v>2</v>
      </c>
      <c r="C2589" s="1" t="str">
        <f>IF($B2589 = "Production Item", _xlfn.XLOOKUP($A2589, 'Instrument Table'!$J:$J, 'Instrument Table'!$B:$B, $C2588), IF($B2589 = "Service Item", _xlfn.XLOOKUP($A2589, 'Instrument Table'!$I:$I, 'Instrument Table'!$B:$B, $C2588), _xlfn.XLOOKUP($A2589, 'Instrument Table'!$H:$H, 'Instrument Table'!$B:$B, $C2588)))</f>
        <v>French Horn</v>
      </c>
      <c r="D2589" s="1" t="str">
        <f>VLOOKUP($C2589, 'Instrument Table'!$B:$C, 2, FALSE)</f>
        <v>Brass</v>
      </c>
      <c r="E2589" s="1">
        <f t="shared" si="240"/>
        <v>1</v>
      </c>
      <c r="F2589" s="1">
        <f>_xlfn.XLOOKUP($C2589, 'Instrument Table'!$B:$B, 'Instrument Table'!$A:$A, "")</f>
        <v>40</v>
      </c>
      <c r="G2589" s="1" t="str">
        <f>TEXT(IF($B2589 = "Retail Item", IF((ROW($A2589) - 4504 - _xlfn.XMATCH($C2589, $C$4506:$C$5005, 0, 1)) &lt;= VLOOKUP($C2589, 'Instrument Table'!$B:$D, 3, FALSE), ROW($A2589) - 4504 - _xlfn.XMATCH($C2589, $C$4506:$C$5005, 0, 1), 0), 0), "00")</f>
        <v>00</v>
      </c>
      <c r="H2589" s="1" t="str">
        <f t="shared" si="241"/>
        <v>133</v>
      </c>
      <c r="I2589" s="1" t="str">
        <f t="shared" si="242"/>
        <v>14000-133</v>
      </c>
      <c r="J2589" s="1" t="str">
        <f t="shared" si="243"/>
        <v>French horn production item #133</v>
      </c>
      <c r="K2589" s="1" t="str">
        <f>IF(SUM(COUNTIFS(I:I, I2589)) &gt; 1, "DUPLICATE", "UNIQUE")</f>
        <v>UNIQUE</v>
      </c>
      <c r="L2589" s="18">
        <v>1</v>
      </c>
      <c r="M2589" s="28">
        <v>26</v>
      </c>
      <c r="N2589" s="6">
        <v>361</v>
      </c>
      <c r="O2589" s="30">
        <f t="shared" si="244"/>
        <v>26</v>
      </c>
      <c r="P2589" s="30">
        <f t="shared" si="245"/>
        <v>9386</v>
      </c>
      <c r="Q2589" s="1">
        <f>COUNTIFS($P:$P, "&gt;" &amp; $P2589) + 1</f>
        <v>1835</v>
      </c>
      <c r="R2589" s="63">
        <f>(COUNTIFS($P:$P, "&gt;" &amp; $P2589) + 1) / (COUNTA($I:$I) - 1)</f>
        <v>0.36699999999999999</v>
      </c>
      <c r="S2589" s="23">
        <f>SUMIFS($P:$P, $Q:$Q, "&lt;" &amp; $Q2589)</f>
        <v>178574393</v>
      </c>
    </row>
    <row r="2590" spans="1:19" x14ac:dyDescent="0.25">
      <c r="A2590" s="1">
        <v>2585</v>
      </c>
      <c r="B2590" s="1" t="s">
        <v>2</v>
      </c>
      <c r="C2590" s="1" t="str">
        <f>IF($B2590 = "Production Item", _xlfn.XLOOKUP($A2590, 'Instrument Table'!$J:$J, 'Instrument Table'!$B:$B, $C2589), IF($B2590 = "Service Item", _xlfn.XLOOKUP($A2590, 'Instrument Table'!$I:$I, 'Instrument Table'!$B:$B, $C2589), _xlfn.XLOOKUP($A2590, 'Instrument Table'!$H:$H, 'Instrument Table'!$B:$B, $C2589)))</f>
        <v>French Horn</v>
      </c>
      <c r="D2590" s="1" t="str">
        <f>VLOOKUP($C2590, 'Instrument Table'!$B:$C, 2, FALSE)</f>
        <v>Brass</v>
      </c>
      <c r="E2590" s="1">
        <f t="shared" si="240"/>
        <v>1</v>
      </c>
      <c r="F2590" s="1">
        <f>_xlfn.XLOOKUP($C2590, 'Instrument Table'!$B:$B, 'Instrument Table'!$A:$A, "")</f>
        <v>40</v>
      </c>
      <c r="G2590" s="1" t="str">
        <f>TEXT(IF($B2590 = "Retail Item", IF((ROW($A2590) - 4504 - _xlfn.XMATCH($C2590, $C$4506:$C$5005, 0, 1)) &lt;= VLOOKUP($C2590, 'Instrument Table'!$B:$D, 3, FALSE), ROW($A2590) - 4504 - _xlfn.XMATCH($C2590, $C$4506:$C$5005, 0, 1), 0), 0), "00")</f>
        <v>00</v>
      </c>
      <c r="H2590" s="1" t="str">
        <f t="shared" si="241"/>
        <v>134</v>
      </c>
      <c r="I2590" s="1" t="str">
        <f t="shared" si="242"/>
        <v>14000-134</v>
      </c>
      <c r="J2590" s="1" t="str">
        <f t="shared" si="243"/>
        <v>French horn production item #134</v>
      </c>
      <c r="K2590" s="1" t="str">
        <f>IF(SUM(COUNTIFS(I:I, I2590)) &gt; 1, "DUPLICATE", "UNIQUE")</f>
        <v>UNIQUE</v>
      </c>
      <c r="L2590" s="18">
        <v>8</v>
      </c>
      <c r="M2590" s="28">
        <v>63</v>
      </c>
      <c r="N2590" s="6">
        <v>400</v>
      </c>
      <c r="O2590" s="30">
        <f t="shared" si="244"/>
        <v>504</v>
      </c>
      <c r="P2590" s="30">
        <f t="shared" si="245"/>
        <v>25200</v>
      </c>
      <c r="Q2590" s="1">
        <f>COUNTIFS($P:$P, "&gt;" &amp; $P2590) + 1</f>
        <v>819</v>
      </c>
      <c r="R2590" s="63">
        <f>(COUNTIFS($P:$P, "&gt;" &amp; $P2590) + 1) / (COUNTA($I:$I) - 1)</f>
        <v>0.1638</v>
      </c>
      <c r="S2590" s="23">
        <f>SUMIFS($P:$P, $Q:$Q, "&lt;" &amp; $Q2590)</f>
        <v>162312989</v>
      </c>
    </row>
    <row r="2591" spans="1:19" x14ac:dyDescent="0.25">
      <c r="A2591" s="1">
        <v>2586</v>
      </c>
      <c r="B2591" s="1" t="s">
        <v>2</v>
      </c>
      <c r="C2591" s="1" t="str">
        <f>IF($B2591 = "Production Item", _xlfn.XLOOKUP($A2591, 'Instrument Table'!$J:$J, 'Instrument Table'!$B:$B, $C2590), IF($B2591 = "Service Item", _xlfn.XLOOKUP($A2591, 'Instrument Table'!$I:$I, 'Instrument Table'!$B:$B, $C2590), _xlfn.XLOOKUP($A2591, 'Instrument Table'!$H:$H, 'Instrument Table'!$B:$B, $C2590)))</f>
        <v>French Horn</v>
      </c>
      <c r="D2591" s="1" t="str">
        <f>VLOOKUP($C2591, 'Instrument Table'!$B:$C, 2, FALSE)</f>
        <v>Brass</v>
      </c>
      <c r="E2591" s="1">
        <f t="shared" si="240"/>
        <v>1</v>
      </c>
      <c r="F2591" s="1">
        <f>_xlfn.XLOOKUP($C2591, 'Instrument Table'!$B:$B, 'Instrument Table'!$A:$A, "")</f>
        <v>40</v>
      </c>
      <c r="G2591" s="1" t="str">
        <f>TEXT(IF($B2591 = "Retail Item", IF((ROW($A2591) - 4504 - _xlfn.XMATCH($C2591, $C$4506:$C$5005, 0, 1)) &lt;= VLOOKUP($C2591, 'Instrument Table'!$B:$D, 3, FALSE), ROW($A2591) - 4504 - _xlfn.XMATCH($C2591, $C$4506:$C$5005, 0, 1), 0), 0), "00")</f>
        <v>00</v>
      </c>
      <c r="H2591" s="1" t="str">
        <f t="shared" si="241"/>
        <v>135</v>
      </c>
      <c r="I2591" s="1" t="str">
        <f t="shared" si="242"/>
        <v>14000-135</v>
      </c>
      <c r="J2591" s="1" t="str">
        <f t="shared" si="243"/>
        <v>French horn production item #135</v>
      </c>
      <c r="K2591" s="1" t="str">
        <f>IF(SUM(COUNTIFS(I:I, I2591)) &gt; 1, "DUPLICATE", "UNIQUE")</f>
        <v>UNIQUE</v>
      </c>
      <c r="L2591" s="18">
        <v>1</v>
      </c>
      <c r="M2591" s="28">
        <v>95</v>
      </c>
      <c r="N2591" s="6">
        <v>324</v>
      </c>
      <c r="O2591" s="30">
        <f t="shared" si="244"/>
        <v>95</v>
      </c>
      <c r="P2591" s="30">
        <f t="shared" si="245"/>
        <v>30780</v>
      </c>
      <c r="Q2591" s="1">
        <f>COUNTIFS($P:$P, "&gt;" &amp; $P2591) + 1</f>
        <v>677</v>
      </c>
      <c r="R2591" s="63">
        <f>(COUNTIFS($P:$P, "&gt;" &amp; $P2591) + 1) / (COUNTA($I:$I) - 1)</f>
        <v>0.13539999999999999</v>
      </c>
      <c r="S2591" s="23">
        <f>SUMIFS($P:$P, $Q:$Q, "&lt;" &amp; $Q2591)</f>
        <v>158393074</v>
      </c>
    </row>
    <row r="2592" spans="1:19" x14ac:dyDescent="0.25">
      <c r="A2592" s="1">
        <v>2587</v>
      </c>
      <c r="B2592" s="1" t="s">
        <v>2</v>
      </c>
      <c r="C2592" s="1" t="str">
        <f>IF($B2592 = "Production Item", _xlfn.XLOOKUP($A2592, 'Instrument Table'!$J:$J, 'Instrument Table'!$B:$B, $C2591), IF($B2592 = "Service Item", _xlfn.XLOOKUP($A2592, 'Instrument Table'!$I:$I, 'Instrument Table'!$B:$B, $C2591), _xlfn.XLOOKUP($A2592, 'Instrument Table'!$H:$H, 'Instrument Table'!$B:$B, $C2591)))</f>
        <v>French Horn</v>
      </c>
      <c r="D2592" s="1" t="str">
        <f>VLOOKUP($C2592, 'Instrument Table'!$B:$C, 2, FALSE)</f>
        <v>Brass</v>
      </c>
      <c r="E2592" s="1">
        <f t="shared" si="240"/>
        <v>1</v>
      </c>
      <c r="F2592" s="1">
        <f>_xlfn.XLOOKUP($C2592, 'Instrument Table'!$B:$B, 'Instrument Table'!$A:$A, "")</f>
        <v>40</v>
      </c>
      <c r="G2592" s="1" t="str">
        <f>TEXT(IF($B2592 = "Retail Item", IF((ROW($A2592) - 4504 - _xlfn.XMATCH($C2592, $C$4506:$C$5005, 0, 1)) &lt;= VLOOKUP($C2592, 'Instrument Table'!$B:$D, 3, FALSE), ROW($A2592) - 4504 - _xlfn.XMATCH($C2592, $C$4506:$C$5005, 0, 1), 0), 0), "00")</f>
        <v>00</v>
      </c>
      <c r="H2592" s="1" t="str">
        <f t="shared" si="241"/>
        <v>136</v>
      </c>
      <c r="I2592" s="1" t="str">
        <f t="shared" si="242"/>
        <v>14000-136</v>
      </c>
      <c r="J2592" s="1" t="str">
        <f t="shared" si="243"/>
        <v>French horn production item #136</v>
      </c>
      <c r="K2592" s="1" t="str">
        <f>IF(SUM(COUNTIFS(I:I, I2592)) &gt; 1, "DUPLICATE", "UNIQUE")</f>
        <v>UNIQUE</v>
      </c>
      <c r="L2592" s="18">
        <v>0</v>
      </c>
      <c r="M2592" s="28">
        <v>5</v>
      </c>
      <c r="N2592" s="6">
        <v>36</v>
      </c>
      <c r="O2592" s="30">
        <f t="shared" si="244"/>
        <v>0</v>
      </c>
      <c r="P2592" s="30">
        <f t="shared" si="245"/>
        <v>180</v>
      </c>
      <c r="Q2592" s="1">
        <f>COUNTIFS($P:$P, "&gt;" &amp; $P2592) + 1</f>
        <v>4352</v>
      </c>
      <c r="R2592" s="63">
        <f>(COUNTIFS($P:$P, "&gt;" &amp; $P2592) + 1) / (COUNTA($I:$I) - 1)</f>
        <v>0.87039999999999995</v>
      </c>
      <c r="S2592" s="23">
        <f>SUMIFS($P:$P, $Q:$Q, "&lt;" &amp; $Q2592)</f>
        <v>186517952</v>
      </c>
    </row>
    <row r="2593" spans="1:19" x14ac:dyDescent="0.25">
      <c r="A2593" s="1">
        <v>2588</v>
      </c>
      <c r="B2593" s="1" t="s">
        <v>2</v>
      </c>
      <c r="C2593" s="1" t="str">
        <f>IF($B2593 = "Production Item", _xlfn.XLOOKUP($A2593, 'Instrument Table'!$J:$J, 'Instrument Table'!$B:$B, $C2592), IF($B2593 = "Service Item", _xlfn.XLOOKUP($A2593, 'Instrument Table'!$I:$I, 'Instrument Table'!$B:$B, $C2592), _xlfn.XLOOKUP($A2593, 'Instrument Table'!$H:$H, 'Instrument Table'!$B:$B, $C2592)))</f>
        <v>French Horn</v>
      </c>
      <c r="D2593" s="1" t="str">
        <f>VLOOKUP($C2593, 'Instrument Table'!$B:$C, 2, FALSE)</f>
        <v>Brass</v>
      </c>
      <c r="E2593" s="1">
        <f t="shared" si="240"/>
        <v>1</v>
      </c>
      <c r="F2593" s="1">
        <f>_xlfn.XLOOKUP($C2593, 'Instrument Table'!$B:$B, 'Instrument Table'!$A:$A, "")</f>
        <v>40</v>
      </c>
      <c r="G2593" s="1" t="str">
        <f>TEXT(IF($B2593 = "Retail Item", IF((ROW($A2593) - 4504 - _xlfn.XMATCH($C2593, $C$4506:$C$5005, 0, 1)) &lt;= VLOOKUP($C2593, 'Instrument Table'!$B:$D, 3, FALSE), ROW($A2593) - 4504 - _xlfn.XMATCH($C2593, $C$4506:$C$5005, 0, 1), 0), 0), "00")</f>
        <v>00</v>
      </c>
      <c r="H2593" s="1" t="str">
        <f t="shared" si="241"/>
        <v>137</v>
      </c>
      <c r="I2593" s="1" t="str">
        <f t="shared" si="242"/>
        <v>14000-137</v>
      </c>
      <c r="J2593" s="1" t="str">
        <f t="shared" si="243"/>
        <v>French horn production item #137</v>
      </c>
      <c r="K2593" s="1" t="str">
        <f>IF(SUM(COUNTIFS(I:I, I2593)) &gt; 1, "DUPLICATE", "UNIQUE")</f>
        <v>UNIQUE</v>
      </c>
      <c r="L2593" s="18">
        <v>32</v>
      </c>
      <c r="M2593" s="28">
        <v>23</v>
      </c>
      <c r="N2593" s="6">
        <v>196</v>
      </c>
      <c r="O2593" s="30">
        <f t="shared" si="244"/>
        <v>736</v>
      </c>
      <c r="P2593" s="30">
        <f t="shared" si="245"/>
        <v>4508</v>
      </c>
      <c r="Q2593" s="1">
        <f>COUNTIFS($P:$P, "&gt;" &amp; $P2593) + 1</f>
        <v>2542</v>
      </c>
      <c r="R2593" s="63">
        <f>(COUNTIFS($P:$P, "&gt;" &amp; $P2593) + 1) / (COUNTA($I:$I) - 1)</f>
        <v>0.50839999999999996</v>
      </c>
      <c r="S2593" s="23">
        <f>SUMIFS($P:$P, $Q:$Q, "&lt;" &amp; $Q2593)</f>
        <v>183308991</v>
      </c>
    </row>
    <row r="2594" spans="1:19" x14ac:dyDescent="0.25">
      <c r="A2594" s="1">
        <v>2589</v>
      </c>
      <c r="B2594" s="1" t="s">
        <v>2</v>
      </c>
      <c r="C2594" s="1" t="str">
        <f>IF($B2594 = "Production Item", _xlfn.XLOOKUP($A2594, 'Instrument Table'!$J:$J, 'Instrument Table'!$B:$B, $C2593), IF($B2594 = "Service Item", _xlfn.XLOOKUP($A2594, 'Instrument Table'!$I:$I, 'Instrument Table'!$B:$B, $C2593), _xlfn.XLOOKUP($A2594, 'Instrument Table'!$H:$H, 'Instrument Table'!$B:$B, $C2593)))</f>
        <v>French Horn</v>
      </c>
      <c r="D2594" s="1" t="str">
        <f>VLOOKUP($C2594, 'Instrument Table'!$B:$C, 2, FALSE)</f>
        <v>Brass</v>
      </c>
      <c r="E2594" s="1">
        <f t="shared" si="240"/>
        <v>1</v>
      </c>
      <c r="F2594" s="1">
        <f>_xlfn.XLOOKUP($C2594, 'Instrument Table'!$B:$B, 'Instrument Table'!$A:$A, "")</f>
        <v>40</v>
      </c>
      <c r="G2594" s="1" t="str">
        <f>TEXT(IF($B2594 = "Retail Item", IF((ROW($A2594) - 4504 - _xlfn.XMATCH($C2594, $C$4506:$C$5005, 0, 1)) &lt;= VLOOKUP($C2594, 'Instrument Table'!$B:$D, 3, FALSE), ROW($A2594) - 4504 - _xlfn.XMATCH($C2594, $C$4506:$C$5005, 0, 1), 0), 0), "00")</f>
        <v>00</v>
      </c>
      <c r="H2594" s="1" t="str">
        <f t="shared" si="241"/>
        <v>138</v>
      </c>
      <c r="I2594" s="1" t="str">
        <f t="shared" si="242"/>
        <v>14000-138</v>
      </c>
      <c r="J2594" s="1" t="str">
        <f t="shared" si="243"/>
        <v>French horn production item #138</v>
      </c>
      <c r="K2594" s="1" t="str">
        <f>IF(SUM(COUNTIFS(I:I, I2594)) &gt; 1, "DUPLICATE", "UNIQUE")</f>
        <v>UNIQUE</v>
      </c>
      <c r="L2594" s="18">
        <v>1</v>
      </c>
      <c r="M2594" s="28">
        <v>18</v>
      </c>
      <c r="N2594" s="6">
        <v>225</v>
      </c>
      <c r="O2594" s="30">
        <f t="shared" si="244"/>
        <v>18</v>
      </c>
      <c r="P2594" s="30">
        <f t="shared" si="245"/>
        <v>4050</v>
      </c>
      <c r="Q2594" s="1">
        <f>COUNTIFS($P:$P, "&gt;" &amp; $P2594) + 1</f>
        <v>2644</v>
      </c>
      <c r="R2594" s="63">
        <f>(COUNTIFS($P:$P, "&gt;" &amp; $P2594) + 1) / (COUNTA($I:$I) - 1)</f>
        <v>0.52880000000000005</v>
      </c>
      <c r="S2594" s="23">
        <f>SUMIFS($P:$P, $Q:$Q, "&lt;" &amp; $Q2594)</f>
        <v>183746738</v>
      </c>
    </row>
    <row r="2595" spans="1:19" x14ac:dyDescent="0.25">
      <c r="A2595" s="1">
        <v>2590</v>
      </c>
      <c r="B2595" s="1" t="s">
        <v>2</v>
      </c>
      <c r="C2595" s="1" t="str">
        <f>IF($B2595 = "Production Item", _xlfn.XLOOKUP($A2595, 'Instrument Table'!$J:$J, 'Instrument Table'!$B:$B, $C2594), IF($B2595 = "Service Item", _xlfn.XLOOKUP($A2595, 'Instrument Table'!$I:$I, 'Instrument Table'!$B:$B, $C2594), _xlfn.XLOOKUP($A2595, 'Instrument Table'!$H:$H, 'Instrument Table'!$B:$B, $C2594)))</f>
        <v>French Horn</v>
      </c>
      <c r="D2595" s="1" t="str">
        <f>VLOOKUP($C2595, 'Instrument Table'!$B:$C, 2, FALSE)</f>
        <v>Brass</v>
      </c>
      <c r="E2595" s="1">
        <f t="shared" si="240"/>
        <v>1</v>
      </c>
      <c r="F2595" s="1">
        <f>_xlfn.XLOOKUP($C2595, 'Instrument Table'!$B:$B, 'Instrument Table'!$A:$A, "")</f>
        <v>40</v>
      </c>
      <c r="G2595" s="1" t="str">
        <f>TEXT(IF($B2595 = "Retail Item", IF((ROW($A2595) - 4504 - _xlfn.XMATCH($C2595, $C$4506:$C$5005, 0, 1)) &lt;= VLOOKUP($C2595, 'Instrument Table'!$B:$D, 3, FALSE), ROW($A2595) - 4504 - _xlfn.XMATCH($C2595, $C$4506:$C$5005, 0, 1), 0), 0), "00")</f>
        <v>00</v>
      </c>
      <c r="H2595" s="1" t="str">
        <f t="shared" si="241"/>
        <v>139</v>
      </c>
      <c r="I2595" s="1" t="str">
        <f t="shared" si="242"/>
        <v>14000-139</v>
      </c>
      <c r="J2595" s="1" t="str">
        <f t="shared" si="243"/>
        <v>French horn production item #139</v>
      </c>
      <c r="K2595" s="1" t="str">
        <f>IF(SUM(COUNTIFS(I:I, I2595)) &gt; 1, "DUPLICATE", "UNIQUE")</f>
        <v>UNIQUE</v>
      </c>
      <c r="L2595" s="18">
        <v>1</v>
      </c>
      <c r="M2595" s="28">
        <v>51</v>
      </c>
      <c r="N2595" s="6">
        <v>4</v>
      </c>
      <c r="O2595" s="30">
        <f t="shared" si="244"/>
        <v>51</v>
      </c>
      <c r="P2595" s="30">
        <f t="shared" si="245"/>
        <v>204</v>
      </c>
      <c r="Q2595" s="1">
        <f>COUNTIFS($P:$P, "&gt;" &amp; $P2595) + 1</f>
        <v>4320</v>
      </c>
      <c r="R2595" s="63">
        <f>(COUNTIFS($P:$P, "&gt;" &amp; $P2595) + 1) / (COUNTA($I:$I) - 1)</f>
        <v>0.86399999999999999</v>
      </c>
      <c r="S2595" s="23">
        <f>SUMIFS($P:$P, $Q:$Q, "&lt;" &amp; $Q2595)</f>
        <v>186511689</v>
      </c>
    </row>
    <row r="2596" spans="1:19" x14ac:dyDescent="0.25">
      <c r="A2596" s="1">
        <v>2591</v>
      </c>
      <c r="B2596" s="1" t="s">
        <v>2</v>
      </c>
      <c r="C2596" s="1" t="str">
        <f>IF($B2596 = "Production Item", _xlfn.XLOOKUP($A2596, 'Instrument Table'!$J:$J, 'Instrument Table'!$B:$B, $C2595), IF($B2596 = "Service Item", _xlfn.XLOOKUP($A2596, 'Instrument Table'!$I:$I, 'Instrument Table'!$B:$B, $C2595), _xlfn.XLOOKUP($A2596, 'Instrument Table'!$H:$H, 'Instrument Table'!$B:$B, $C2595)))</f>
        <v>French Horn</v>
      </c>
      <c r="D2596" s="1" t="str">
        <f>VLOOKUP($C2596, 'Instrument Table'!$B:$C, 2, FALSE)</f>
        <v>Brass</v>
      </c>
      <c r="E2596" s="1">
        <f t="shared" si="240"/>
        <v>1</v>
      </c>
      <c r="F2596" s="1">
        <f>_xlfn.XLOOKUP($C2596, 'Instrument Table'!$B:$B, 'Instrument Table'!$A:$A, "")</f>
        <v>40</v>
      </c>
      <c r="G2596" s="1" t="str">
        <f>TEXT(IF($B2596 = "Retail Item", IF((ROW($A2596) - 4504 - _xlfn.XMATCH($C2596, $C$4506:$C$5005, 0, 1)) &lt;= VLOOKUP($C2596, 'Instrument Table'!$B:$D, 3, FALSE), ROW($A2596) - 4504 - _xlfn.XMATCH($C2596, $C$4506:$C$5005, 0, 1), 0), 0), "00")</f>
        <v>00</v>
      </c>
      <c r="H2596" s="1" t="str">
        <f t="shared" si="241"/>
        <v>140</v>
      </c>
      <c r="I2596" s="1" t="str">
        <f t="shared" si="242"/>
        <v>14000-140</v>
      </c>
      <c r="J2596" s="1" t="str">
        <f t="shared" si="243"/>
        <v>French horn production item #140</v>
      </c>
      <c r="K2596" s="1" t="str">
        <f>IF(SUM(COUNTIFS(I:I, I2596)) &gt; 1, "DUPLICATE", "UNIQUE")</f>
        <v>UNIQUE</v>
      </c>
      <c r="L2596" s="18">
        <v>1</v>
      </c>
      <c r="M2596" s="28">
        <v>44</v>
      </c>
      <c r="N2596" s="6">
        <v>16</v>
      </c>
      <c r="O2596" s="30">
        <f t="shared" si="244"/>
        <v>44</v>
      </c>
      <c r="P2596" s="30">
        <f t="shared" si="245"/>
        <v>704</v>
      </c>
      <c r="Q2596" s="1">
        <f>COUNTIFS($P:$P, "&gt;" &amp; $P2596) + 1</f>
        <v>3876</v>
      </c>
      <c r="R2596" s="63">
        <f>(COUNTIFS($P:$P, "&gt;" &amp; $P2596) + 1) / (COUNTA($I:$I) - 1)</f>
        <v>0.7752</v>
      </c>
      <c r="S2596" s="23">
        <f>SUMIFS($P:$P, $Q:$Q, "&lt;" &amp; $Q2596)</f>
        <v>186322273</v>
      </c>
    </row>
    <row r="2597" spans="1:19" x14ac:dyDescent="0.25">
      <c r="A2597" s="1">
        <v>2592</v>
      </c>
      <c r="B2597" s="1" t="s">
        <v>2</v>
      </c>
      <c r="C2597" s="1" t="str">
        <f>IF($B2597 = "Production Item", _xlfn.XLOOKUP($A2597, 'Instrument Table'!$J:$J, 'Instrument Table'!$B:$B, $C2596), IF($B2597 = "Service Item", _xlfn.XLOOKUP($A2597, 'Instrument Table'!$I:$I, 'Instrument Table'!$B:$B, $C2596), _xlfn.XLOOKUP($A2597, 'Instrument Table'!$H:$H, 'Instrument Table'!$B:$B, $C2596)))</f>
        <v>French Horn</v>
      </c>
      <c r="D2597" s="1" t="str">
        <f>VLOOKUP($C2597, 'Instrument Table'!$B:$C, 2, FALSE)</f>
        <v>Brass</v>
      </c>
      <c r="E2597" s="1">
        <f t="shared" si="240"/>
        <v>1</v>
      </c>
      <c r="F2597" s="1">
        <f>_xlfn.XLOOKUP($C2597, 'Instrument Table'!$B:$B, 'Instrument Table'!$A:$A, "")</f>
        <v>40</v>
      </c>
      <c r="G2597" s="1" t="str">
        <f>TEXT(IF($B2597 = "Retail Item", IF((ROW($A2597) - 4504 - _xlfn.XMATCH($C2597, $C$4506:$C$5005, 0, 1)) &lt;= VLOOKUP($C2597, 'Instrument Table'!$B:$D, 3, FALSE), ROW($A2597) - 4504 - _xlfn.XMATCH($C2597, $C$4506:$C$5005, 0, 1), 0), 0), "00")</f>
        <v>00</v>
      </c>
      <c r="H2597" s="1" t="str">
        <f t="shared" si="241"/>
        <v>141</v>
      </c>
      <c r="I2597" s="1" t="str">
        <f t="shared" si="242"/>
        <v>14000-141</v>
      </c>
      <c r="J2597" s="1" t="str">
        <f t="shared" si="243"/>
        <v>French horn production item #141</v>
      </c>
      <c r="K2597" s="1" t="str">
        <f>IF(SUM(COUNTIFS(I:I, I2597)) &gt; 1, "DUPLICATE", "UNIQUE")</f>
        <v>UNIQUE</v>
      </c>
      <c r="L2597" s="18">
        <v>0</v>
      </c>
      <c r="M2597" s="28">
        <v>38</v>
      </c>
      <c r="N2597" s="6">
        <v>361</v>
      </c>
      <c r="O2597" s="30">
        <f t="shared" si="244"/>
        <v>0</v>
      </c>
      <c r="P2597" s="30">
        <f t="shared" si="245"/>
        <v>13718</v>
      </c>
      <c r="Q2597" s="1">
        <f>COUNTIFS($P:$P, "&gt;" &amp; $P2597) + 1</f>
        <v>1440</v>
      </c>
      <c r="R2597" s="63">
        <f>(COUNTIFS($P:$P, "&gt;" &amp; $P2597) + 1) / (COUNTA($I:$I) - 1)</f>
        <v>0.28799999999999998</v>
      </c>
      <c r="S2597" s="23">
        <f>SUMIFS($P:$P, $Q:$Q, "&lt;" &amp; $Q2597)</f>
        <v>174036329</v>
      </c>
    </row>
    <row r="2598" spans="1:19" x14ac:dyDescent="0.25">
      <c r="A2598" s="1">
        <v>2593</v>
      </c>
      <c r="B2598" s="1" t="s">
        <v>2</v>
      </c>
      <c r="C2598" s="1" t="str">
        <f>IF($B2598 = "Production Item", _xlfn.XLOOKUP($A2598, 'Instrument Table'!$J:$J, 'Instrument Table'!$B:$B, $C2597), IF($B2598 = "Service Item", _xlfn.XLOOKUP($A2598, 'Instrument Table'!$I:$I, 'Instrument Table'!$B:$B, $C2597), _xlfn.XLOOKUP($A2598, 'Instrument Table'!$H:$H, 'Instrument Table'!$B:$B, $C2597)))</f>
        <v>French Horn</v>
      </c>
      <c r="D2598" s="1" t="str">
        <f>VLOOKUP($C2598, 'Instrument Table'!$B:$C, 2, FALSE)</f>
        <v>Brass</v>
      </c>
      <c r="E2598" s="1">
        <f t="shared" si="240"/>
        <v>1</v>
      </c>
      <c r="F2598" s="1">
        <f>_xlfn.XLOOKUP($C2598, 'Instrument Table'!$B:$B, 'Instrument Table'!$A:$A, "")</f>
        <v>40</v>
      </c>
      <c r="G2598" s="1" t="str">
        <f>TEXT(IF($B2598 = "Retail Item", IF((ROW($A2598) - 4504 - _xlfn.XMATCH($C2598, $C$4506:$C$5005, 0, 1)) &lt;= VLOOKUP($C2598, 'Instrument Table'!$B:$D, 3, FALSE), ROW($A2598) - 4504 - _xlfn.XMATCH($C2598, $C$4506:$C$5005, 0, 1), 0), 0), "00")</f>
        <v>00</v>
      </c>
      <c r="H2598" s="1" t="str">
        <f t="shared" si="241"/>
        <v>142</v>
      </c>
      <c r="I2598" s="1" t="str">
        <f t="shared" si="242"/>
        <v>14000-142</v>
      </c>
      <c r="J2598" s="1" t="str">
        <f t="shared" si="243"/>
        <v>French horn production item #142</v>
      </c>
      <c r="K2598" s="1" t="str">
        <f>IF(SUM(COUNTIFS(I:I, I2598)) &gt; 1, "DUPLICATE", "UNIQUE")</f>
        <v>UNIQUE</v>
      </c>
      <c r="L2598" s="18">
        <v>8</v>
      </c>
      <c r="M2598" s="28">
        <v>34</v>
      </c>
      <c r="N2598" s="6">
        <v>36</v>
      </c>
      <c r="O2598" s="30">
        <f t="shared" si="244"/>
        <v>272</v>
      </c>
      <c r="P2598" s="30">
        <f t="shared" si="245"/>
        <v>1224</v>
      </c>
      <c r="Q2598" s="1">
        <f>COUNTIFS($P:$P, "&gt;" &amp; $P2598) + 1</f>
        <v>3591</v>
      </c>
      <c r="R2598" s="63">
        <f>(COUNTIFS($P:$P, "&gt;" &amp; $P2598) + 1) / (COUNTA($I:$I) - 1)</f>
        <v>0.71819999999999995</v>
      </c>
      <c r="S2598" s="23">
        <f>SUMIFS($P:$P, $Q:$Q, "&lt;" &amp; $Q2598)</f>
        <v>186058783</v>
      </c>
    </row>
    <row r="2599" spans="1:19" x14ac:dyDescent="0.25">
      <c r="A2599" s="1">
        <v>2594</v>
      </c>
      <c r="B2599" s="1" t="s">
        <v>2</v>
      </c>
      <c r="C2599" s="1" t="str">
        <f>IF($B2599 = "Production Item", _xlfn.XLOOKUP($A2599, 'Instrument Table'!$J:$J, 'Instrument Table'!$B:$B, $C2598), IF($B2599 = "Service Item", _xlfn.XLOOKUP($A2599, 'Instrument Table'!$I:$I, 'Instrument Table'!$B:$B, $C2598), _xlfn.XLOOKUP($A2599, 'Instrument Table'!$H:$H, 'Instrument Table'!$B:$B, $C2598)))</f>
        <v>French Horn</v>
      </c>
      <c r="D2599" s="1" t="str">
        <f>VLOOKUP($C2599, 'Instrument Table'!$B:$C, 2, FALSE)</f>
        <v>Brass</v>
      </c>
      <c r="E2599" s="1">
        <f t="shared" si="240"/>
        <v>1</v>
      </c>
      <c r="F2599" s="1">
        <f>_xlfn.XLOOKUP($C2599, 'Instrument Table'!$B:$B, 'Instrument Table'!$A:$A, "")</f>
        <v>40</v>
      </c>
      <c r="G2599" s="1" t="str">
        <f>TEXT(IF($B2599 = "Retail Item", IF((ROW($A2599) - 4504 - _xlfn.XMATCH($C2599, $C$4506:$C$5005, 0, 1)) &lt;= VLOOKUP($C2599, 'Instrument Table'!$B:$D, 3, FALSE), ROW($A2599) - 4504 - _xlfn.XMATCH($C2599, $C$4506:$C$5005, 0, 1), 0), 0), "00")</f>
        <v>00</v>
      </c>
      <c r="H2599" s="1" t="str">
        <f t="shared" si="241"/>
        <v>143</v>
      </c>
      <c r="I2599" s="1" t="str">
        <f t="shared" si="242"/>
        <v>14000-143</v>
      </c>
      <c r="J2599" s="1" t="str">
        <f t="shared" si="243"/>
        <v>French horn production item #143</v>
      </c>
      <c r="K2599" s="1" t="str">
        <f>IF(SUM(COUNTIFS(I:I, I2599)) &gt; 1, "DUPLICATE", "UNIQUE")</f>
        <v>UNIQUE</v>
      </c>
      <c r="L2599" s="18">
        <v>1</v>
      </c>
      <c r="M2599" s="28">
        <v>64</v>
      </c>
      <c r="N2599" s="6">
        <v>196</v>
      </c>
      <c r="O2599" s="30">
        <f t="shared" si="244"/>
        <v>64</v>
      </c>
      <c r="P2599" s="30">
        <f t="shared" si="245"/>
        <v>12544</v>
      </c>
      <c r="Q2599" s="1">
        <f>COUNTIFS($P:$P, "&gt;" &amp; $P2599) + 1</f>
        <v>1537</v>
      </c>
      <c r="R2599" s="63">
        <f>(COUNTIFS($P:$P, "&gt;" &amp; $P2599) + 1) / (COUNTA($I:$I) - 1)</f>
        <v>0.30740000000000001</v>
      </c>
      <c r="S2599" s="23">
        <f>SUMIFS($P:$P, $Q:$Q, "&lt;" &amp; $Q2599)</f>
        <v>175313085</v>
      </c>
    </row>
    <row r="2600" spans="1:19" x14ac:dyDescent="0.25">
      <c r="A2600" s="1">
        <v>2595</v>
      </c>
      <c r="B2600" s="1" t="s">
        <v>2</v>
      </c>
      <c r="C2600" s="1" t="str">
        <f>IF($B2600 = "Production Item", _xlfn.XLOOKUP($A2600, 'Instrument Table'!$J:$J, 'Instrument Table'!$B:$B, $C2599), IF($B2600 = "Service Item", _xlfn.XLOOKUP($A2600, 'Instrument Table'!$I:$I, 'Instrument Table'!$B:$B, $C2599), _xlfn.XLOOKUP($A2600, 'Instrument Table'!$H:$H, 'Instrument Table'!$B:$B, $C2599)))</f>
        <v>French Horn</v>
      </c>
      <c r="D2600" s="1" t="str">
        <f>VLOOKUP($C2600, 'Instrument Table'!$B:$C, 2, FALSE)</f>
        <v>Brass</v>
      </c>
      <c r="E2600" s="1">
        <f t="shared" si="240"/>
        <v>1</v>
      </c>
      <c r="F2600" s="1">
        <f>_xlfn.XLOOKUP($C2600, 'Instrument Table'!$B:$B, 'Instrument Table'!$A:$A, "")</f>
        <v>40</v>
      </c>
      <c r="G2600" s="1" t="str">
        <f>TEXT(IF($B2600 = "Retail Item", IF((ROW($A2600) - 4504 - _xlfn.XMATCH($C2600, $C$4506:$C$5005, 0, 1)) &lt;= VLOOKUP($C2600, 'Instrument Table'!$B:$D, 3, FALSE), ROW($A2600) - 4504 - _xlfn.XMATCH($C2600, $C$4506:$C$5005, 0, 1), 0), 0), "00")</f>
        <v>00</v>
      </c>
      <c r="H2600" s="1" t="str">
        <f t="shared" si="241"/>
        <v>144</v>
      </c>
      <c r="I2600" s="1" t="str">
        <f t="shared" si="242"/>
        <v>14000-144</v>
      </c>
      <c r="J2600" s="1" t="str">
        <f t="shared" si="243"/>
        <v>French horn production item #144</v>
      </c>
      <c r="K2600" s="1" t="str">
        <f>IF(SUM(COUNTIFS(I:I, I2600)) &gt; 1, "DUPLICATE", "UNIQUE")</f>
        <v>UNIQUE</v>
      </c>
      <c r="L2600" s="18">
        <v>1</v>
      </c>
      <c r="M2600" s="28">
        <v>93</v>
      </c>
      <c r="N2600" s="6">
        <v>144</v>
      </c>
      <c r="O2600" s="30">
        <f t="shared" si="244"/>
        <v>93</v>
      </c>
      <c r="P2600" s="30">
        <f t="shared" si="245"/>
        <v>13392</v>
      </c>
      <c r="Q2600" s="1">
        <f>COUNTIFS($P:$P, "&gt;" &amp; $P2600) + 1</f>
        <v>1465</v>
      </c>
      <c r="R2600" s="63">
        <f>(COUNTIFS($P:$P, "&gt;" &amp; $P2600) + 1) / (COUNTA($I:$I) - 1)</f>
        <v>0.29299999999999998</v>
      </c>
      <c r="S2600" s="23">
        <f>SUMIFS($P:$P, $Q:$Q, "&lt;" &amp; $Q2600)</f>
        <v>174376381</v>
      </c>
    </row>
    <row r="2601" spans="1:19" x14ac:dyDescent="0.25">
      <c r="A2601" s="1">
        <v>2596</v>
      </c>
      <c r="B2601" s="1" t="s">
        <v>2</v>
      </c>
      <c r="C2601" s="1" t="str">
        <f>IF($B2601 = "Production Item", _xlfn.XLOOKUP($A2601, 'Instrument Table'!$J:$J, 'Instrument Table'!$B:$B, $C2600), IF($B2601 = "Service Item", _xlfn.XLOOKUP($A2601, 'Instrument Table'!$I:$I, 'Instrument Table'!$B:$B, $C2600), _xlfn.XLOOKUP($A2601, 'Instrument Table'!$H:$H, 'Instrument Table'!$B:$B, $C2600)))</f>
        <v>French Horn</v>
      </c>
      <c r="D2601" s="1" t="str">
        <f>VLOOKUP($C2601, 'Instrument Table'!$B:$C, 2, FALSE)</f>
        <v>Brass</v>
      </c>
      <c r="E2601" s="1">
        <f t="shared" si="240"/>
        <v>1</v>
      </c>
      <c r="F2601" s="1">
        <f>_xlfn.XLOOKUP($C2601, 'Instrument Table'!$B:$B, 'Instrument Table'!$A:$A, "")</f>
        <v>40</v>
      </c>
      <c r="G2601" s="1" t="str">
        <f>TEXT(IF($B2601 = "Retail Item", IF((ROW($A2601) - 4504 - _xlfn.XMATCH($C2601, $C$4506:$C$5005, 0, 1)) &lt;= VLOOKUP($C2601, 'Instrument Table'!$B:$D, 3, FALSE), ROW($A2601) - 4504 - _xlfn.XMATCH($C2601, $C$4506:$C$5005, 0, 1), 0), 0), "00")</f>
        <v>00</v>
      </c>
      <c r="H2601" s="1" t="str">
        <f t="shared" si="241"/>
        <v>145</v>
      </c>
      <c r="I2601" s="1" t="str">
        <f t="shared" si="242"/>
        <v>14000-145</v>
      </c>
      <c r="J2601" s="1" t="str">
        <f t="shared" si="243"/>
        <v>French horn production item #145</v>
      </c>
      <c r="K2601" s="1" t="str">
        <f>IF(SUM(COUNTIFS(I:I, I2601)) &gt; 1, "DUPLICATE", "UNIQUE")</f>
        <v>UNIQUE</v>
      </c>
      <c r="L2601" s="18">
        <v>4</v>
      </c>
      <c r="M2601" s="28">
        <v>37</v>
      </c>
      <c r="N2601" s="6">
        <v>196</v>
      </c>
      <c r="O2601" s="30">
        <f t="shared" si="244"/>
        <v>148</v>
      </c>
      <c r="P2601" s="30">
        <f t="shared" si="245"/>
        <v>7252</v>
      </c>
      <c r="Q2601" s="1">
        <f>COUNTIFS($P:$P, "&gt;" &amp; $P2601) + 1</f>
        <v>2104</v>
      </c>
      <c r="R2601" s="63">
        <f>(COUNTIFS($P:$P, "&gt;" &amp; $P2601) + 1) / (COUNTA($I:$I) - 1)</f>
        <v>0.42080000000000001</v>
      </c>
      <c r="S2601" s="23">
        <f>SUMIFS($P:$P, $Q:$Q, "&lt;" &amp; $Q2601)</f>
        <v>180787751</v>
      </c>
    </row>
    <row r="2602" spans="1:19" x14ac:dyDescent="0.25">
      <c r="A2602" s="1">
        <v>2597</v>
      </c>
      <c r="B2602" s="1" t="s">
        <v>2</v>
      </c>
      <c r="C2602" s="1" t="str">
        <f>IF($B2602 = "Production Item", _xlfn.XLOOKUP($A2602, 'Instrument Table'!$J:$J, 'Instrument Table'!$B:$B, $C2601), IF($B2602 = "Service Item", _xlfn.XLOOKUP($A2602, 'Instrument Table'!$I:$I, 'Instrument Table'!$B:$B, $C2601), _xlfn.XLOOKUP($A2602, 'Instrument Table'!$H:$H, 'Instrument Table'!$B:$B, $C2601)))</f>
        <v>French Horn</v>
      </c>
      <c r="D2602" s="1" t="str">
        <f>VLOOKUP($C2602, 'Instrument Table'!$B:$C, 2, FALSE)</f>
        <v>Brass</v>
      </c>
      <c r="E2602" s="1">
        <f t="shared" si="240"/>
        <v>1</v>
      </c>
      <c r="F2602" s="1">
        <f>_xlfn.XLOOKUP($C2602, 'Instrument Table'!$B:$B, 'Instrument Table'!$A:$A, "")</f>
        <v>40</v>
      </c>
      <c r="G2602" s="1" t="str">
        <f>TEXT(IF($B2602 = "Retail Item", IF((ROW($A2602) - 4504 - _xlfn.XMATCH($C2602, $C$4506:$C$5005, 0, 1)) &lt;= VLOOKUP($C2602, 'Instrument Table'!$B:$D, 3, FALSE), ROW($A2602) - 4504 - _xlfn.XMATCH($C2602, $C$4506:$C$5005, 0, 1), 0), 0), "00")</f>
        <v>00</v>
      </c>
      <c r="H2602" s="1" t="str">
        <f t="shared" si="241"/>
        <v>146</v>
      </c>
      <c r="I2602" s="1" t="str">
        <f t="shared" si="242"/>
        <v>14000-146</v>
      </c>
      <c r="J2602" s="1" t="str">
        <f t="shared" si="243"/>
        <v>French horn production item #146</v>
      </c>
      <c r="K2602" s="1" t="str">
        <f>IF(SUM(COUNTIFS(I:I, I2602)) &gt; 1, "DUPLICATE", "UNIQUE")</f>
        <v>UNIQUE</v>
      </c>
      <c r="L2602" s="18">
        <v>1</v>
      </c>
      <c r="M2602" s="28">
        <v>96</v>
      </c>
      <c r="N2602" s="6">
        <v>121</v>
      </c>
      <c r="O2602" s="30">
        <f t="shared" si="244"/>
        <v>96</v>
      </c>
      <c r="P2602" s="30">
        <f t="shared" si="245"/>
        <v>11616</v>
      </c>
      <c r="Q2602" s="1">
        <f>COUNTIFS($P:$P, "&gt;" &amp; $P2602) + 1</f>
        <v>1620</v>
      </c>
      <c r="R2602" s="63">
        <f>(COUNTIFS($P:$P, "&gt;" &amp; $P2602) + 1) / (COUNTA($I:$I) - 1)</f>
        <v>0.32400000000000001</v>
      </c>
      <c r="S2602" s="23">
        <f>SUMIFS($P:$P, $Q:$Q, "&lt;" &amp; $Q2602)</f>
        <v>176312335</v>
      </c>
    </row>
    <row r="2603" spans="1:19" x14ac:dyDescent="0.25">
      <c r="A2603" s="1">
        <v>2598</v>
      </c>
      <c r="B2603" s="1" t="s">
        <v>2</v>
      </c>
      <c r="C2603" s="1" t="str">
        <f>IF($B2603 = "Production Item", _xlfn.XLOOKUP($A2603, 'Instrument Table'!$J:$J, 'Instrument Table'!$B:$B, $C2602), IF($B2603 = "Service Item", _xlfn.XLOOKUP($A2603, 'Instrument Table'!$I:$I, 'Instrument Table'!$B:$B, $C2602), _xlfn.XLOOKUP($A2603, 'Instrument Table'!$H:$H, 'Instrument Table'!$B:$B, $C2602)))</f>
        <v>French Horn</v>
      </c>
      <c r="D2603" s="1" t="str">
        <f>VLOOKUP($C2603, 'Instrument Table'!$B:$C, 2, FALSE)</f>
        <v>Brass</v>
      </c>
      <c r="E2603" s="1">
        <f t="shared" si="240"/>
        <v>1</v>
      </c>
      <c r="F2603" s="1">
        <f>_xlfn.XLOOKUP($C2603, 'Instrument Table'!$B:$B, 'Instrument Table'!$A:$A, "")</f>
        <v>40</v>
      </c>
      <c r="G2603" s="1" t="str">
        <f>TEXT(IF($B2603 = "Retail Item", IF((ROW($A2603) - 4504 - _xlfn.XMATCH($C2603, $C$4506:$C$5005, 0, 1)) &lt;= VLOOKUP($C2603, 'Instrument Table'!$B:$D, 3, FALSE), ROW($A2603) - 4504 - _xlfn.XMATCH($C2603, $C$4506:$C$5005, 0, 1), 0), 0), "00")</f>
        <v>00</v>
      </c>
      <c r="H2603" s="1" t="str">
        <f t="shared" si="241"/>
        <v>147</v>
      </c>
      <c r="I2603" s="1" t="str">
        <f t="shared" si="242"/>
        <v>14000-147</v>
      </c>
      <c r="J2603" s="1" t="str">
        <f t="shared" si="243"/>
        <v>French horn production item #147</v>
      </c>
      <c r="K2603" s="1" t="str">
        <f>IF(SUM(COUNTIFS(I:I, I2603)) &gt; 1, "DUPLICATE", "UNIQUE")</f>
        <v>UNIQUE</v>
      </c>
      <c r="L2603" s="18">
        <v>1</v>
      </c>
      <c r="M2603" s="28">
        <v>27</v>
      </c>
      <c r="N2603" s="6">
        <v>324</v>
      </c>
      <c r="O2603" s="30">
        <f t="shared" si="244"/>
        <v>27</v>
      </c>
      <c r="P2603" s="30">
        <f t="shared" si="245"/>
        <v>8748</v>
      </c>
      <c r="Q2603" s="1">
        <f>COUNTIFS($P:$P, "&gt;" &amp; $P2603) + 1</f>
        <v>1906</v>
      </c>
      <c r="R2603" s="63">
        <f>(COUNTIFS($P:$P, "&gt;" &amp; $P2603) + 1) / (COUNTA($I:$I) - 1)</f>
        <v>0.38119999999999998</v>
      </c>
      <c r="S2603" s="23">
        <f>SUMIFS($P:$P, $Q:$Q, "&lt;" &amp; $Q2603)</f>
        <v>179216213</v>
      </c>
    </row>
    <row r="2604" spans="1:19" x14ac:dyDescent="0.25">
      <c r="A2604" s="1">
        <v>2599</v>
      </c>
      <c r="B2604" s="1" t="s">
        <v>2</v>
      </c>
      <c r="C2604" s="1" t="str">
        <f>IF($B2604 = "Production Item", _xlfn.XLOOKUP($A2604, 'Instrument Table'!$J:$J, 'Instrument Table'!$B:$B, $C2603), IF($B2604 = "Service Item", _xlfn.XLOOKUP($A2604, 'Instrument Table'!$I:$I, 'Instrument Table'!$B:$B, $C2603), _xlfn.XLOOKUP($A2604, 'Instrument Table'!$H:$H, 'Instrument Table'!$B:$B, $C2603)))</f>
        <v>French Horn</v>
      </c>
      <c r="D2604" s="1" t="str">
        <f>VLOOKUP($C2604, 'Instrument Table'!$B:$C, 2, FALSE)</f>
        <v>Brass</v>
      </c>
      <c r="E2604" s="1">
        <f t="shared" si="240"/>
        <v>1</v>
      </c>
      <c r="F2604" s="1">
        <f>_xlfn.XLOOKUP($C2604, 'Instrument Table'!$B:$B, 'Instrument Table'!$A:$A, "")</f>
        <v>40</v>
      </c>
      <c r="G2604" s="1" t="str">
        <f>TEXT(IF($B2604 = "Retail Item", IF((ROW($A2604) - 4504 - _xlfn.XMATCH($C2604, $C$4506:$C$5005, 0, 1)) &lt;= VLOOKUP($C2604, 'Instrument Table'!$B:$D, 3, FALSE), ROW($A2604) - 4504 - _xlfn.XMATCH($C2604, $C$4506:$C$5005, 0, 1), 0), 0), "00")</f>
        <v>00</v>
      </c>
      <c r="H2604" s="1" t="str">
        <f t="shared" si="241"/>
        <v>148</v>
      </c>
      <c r="I2604" s="1" t="str">
        <f t="shared" si="242"/>
        <v>14000-148</v>
      </c>
      <c r="J2604" s="1" t="str">
        <f t="shared" si="243"/>
        <v>French horn production item #148</v>
      </c>
      <c r="K2604" s="1" t="str">
        <f>IF(SUM(COUNTIFS(I:I, I2604)) &gt; 1, "DUPLICATE", "UNIQUE")</f>
        <v>UNIQUE</v>
      </c>
      <c r="L2604" s="18">
        <v>1</v>
      </c>
      <c r="M2604" s="28">
        <v>91</v>
      </c>
      <c r="N2604" s="6">
        <v>324</v>
      </c>
      <c r="O2604" s="30">
        <f t="shared" si="244"/>
        <v>91</v>
      </c>
      <c r="P2604" s="30">
        <f t="shared" si="245"/>
        <v>29484</v>
      </c>
      <c r="Q2604" s="1">
        <f>COUNTIFS($P:$P, "&gt;" &amp; $P2604) + 1</f>
        <v>706</v>
      </c>
      <c r="R2604" s="63">
        <f>(COUNTIFS($P:$P, "&gt;" &amp; $P2604) + 1) / (COUNTA($I:$I) - 1)</f>
        <v>0.14119999999999999</v>
      </c>
      <c r="S2604" s="23">
        <f>SUMIFS($P:$P, $Q:$Q, "&lt;" &amp; $Q2604)</f>
        <v>159264355</v>
      </c>
    </row>
    <row r="2605" spans="1:19" x14ac:dyDescent="0.25">
      <c r="A2605" s="1">
        <v>2600</v>
      </c>
      <c r="B2605" s="1" t="s">
        <v>2</v>
      </c>
      <c r="C2605" s="1" t="str">
        <f>IF($B2605 = "Production Item", _xlfn.XLOOKUP($A2605, 'Instrument Table'!$J:$J, 'Instrument Table'!$B:$B, $C2604), IF($B2605 = "Service Item", _xlfn.XLOOKUP($A2605, 'Instrument Table'!$I:$I, 'Instrument Table'!$B:$B, $C2604), _xlfn.XLOOKUP($A2605, 'Instrument Table'!$H:$H, 'Instrument Table'!$B:$B, $C2604)))</f>
        <v>French Horn</v>
      </c>
      <c r="D2605" s="1" t="str">
        <f>VLOOKUP($C2605, 'Instrument Table'!$B:$C, 2, FALSE)</f>
        <v>Brass</v>
      </c>
      <c r="E2605" s="1">
        <f t="shared" si="240"/>
        <v>1</v>
      </c>
      <c r="F2605" s="1">
        <f>_xlfn.XLOOKUP($C2605, 'Instrument Table'!$B:$B, 'Instrument Table'!$A:$A, "")</f>
        <v>40</v>
      </c>
      <c r="G2605" s="1" t="str">
        <f>TEXT(IF($B2605 = "Retail Item", IF((ROW($A2605) - 4504 - _xlfn.XMATCH($C2605, $C$4506:$C$5005, 0, 1)) &lt;= VLOOKUP($C2605, 'Instrument Table'!$B:$D, 3, FALSE), ROW($A2605) - 4504 - _xlfn.XMATCH($C2605, $C$4506:$C$5005, 0, 1), 0), 0), "00")</f>
        <v>00</v>
      </c>
      <c r="H2605" s="1" t="str">
        <f t="shared" si="241"/>
        <v>149</v>
      </c>
      <c r="I2605" s="1" t="str">
        <f t="shared" si="242"/>
        <v>14000-149</v>
      </c>
      <c r="J2605" s="1" t="str">
        <f t="shared" si="243"/>
        <v>French horn production item #149</v>
      </c>
      <c r="K2605" s="1" t="str">
        <f>IF(SUM(COUNTIFS(I:I, I2605)) &gt; 1, "DUPLICATE", "UNIQUE")</f>
        <v>UNIQUE</v>
      </c>
      <c r="L2605" s="18">
        <v>0</v>
      </c>
      <c r="M2605" s="28">
        <v>1</v>
      </c>
      <c r="N2605" s="6">
        <v>324</v>
      </c>
      <c r="O2605" s="30">
        <f t="shared" si="244"/>
        <v>0</v>
      </c>
      <c r="P2605" s="30">
        <f t="shared" si="245"/>
        <v>324</v>
      </c>
      <c r="Q2605" s="1">
        <f>COUNTIFS($P:$P, "&gt;" &amp; $P2605) + 1</f>
        <v>4180</v>
      </c>
      <c r="R2605" s="63">
        <f>(COUNTIFS($P:$P, "&gt;" &amp; $P2605) + 1) / (COUNTA($I:$I) - 1)</f>
        <v>0.83599999999999997</v>
      </c>
      <c r="S2605" s="23">
        <f>SUMIFS($P:$P, $Q:$Q, "&lt;" &amp; $Q2605)</f>
        <v>186473950</v>
      </c>
    </row>
    <row r="2606" spans="1:19" x14ac:dyDescent="0.25">
      <c r="A2606" s="1">
        <v>2601</v>
      </c>
      <c r="B2606" s="1" t="s">
        <v>2</v>
      </c>
      <c r="C2606" s="1" t="str">
        <f>IF($B2606 = "Production Item", _xlfn.XLOOKUP($A2606, 'Instrument Table'!$J:$J, 'Instrument Table'!$B:$B, $C2605), IF($B2606 = "Service Item", _xlfn.XLOOKUP($A2606, 'Instrument Table'!$I:$I, 'Instrument Table'!$B:$B, $C2605), _xlfn.XLOOKUP($A2606, 'Instrument Table'!$H:$H, 'Instrument Table'!$B:$B, $C2605)))</f>
        <v>French Horn</v>
      </c>
      <c r="D2606" s="1" t="str">
        <f>VLOOKUP($C2606, 'Instrument Table'!$B:$C, 2, FALSE)</f>
        <v>Brass</v>
      </c>
      <c r="E2606" s="1">
        <f t="shared" si="240"/>
        <v>1</v>
      </c>
      <c r="F2606" s="1">
        <f>_xlfn.XLOOKUP($C2606, 'Instrument Table'!$B:$B, 'Instrument Table'!$A:$A, "")</f>
        <v>40</v>
      </c>
      <c r="G2606" s="1" t="str">
        <f>TEXT(IF($B2606 = "Retail Item", IF((ROW($A2606) - 4504 - _xlfn.XMATCH($C2606, $C$4506:$C$5005, 0, 1)) &lt;= VLOOKUP($C2606, 'Instrument Table'!$B:$D, 3, FALSE), ROW($A2606) - 4504 - _xlfn.XMATCH($C2606, $C$4506:$C$5005, 0, 1), 0), 0), "00")</f>
        <v>00</v>
      </c>
      <c r="H2606" s="1" t="str">
        <f t="shared" si="241"/>
        <v>150</v>
      </c>
      <c r="I2606" s="1" t="str">
        <f t="shared" si="242"/>
        <v>14000-150</v>
      </c>
      <c r="J2606" s="1" t="str">
        <f t="shared" si="243"/>
        <v>French horn production item #150</v>
      </c>
      <c r="K2606" s="1" t="str">
        <f>IF(SUM(COUNTIFS(I:I, I2606)) &gt; 1, "DUPLICATE", "UNIQUE")</f>
        <v>UNIQUE</v>
      </c>
      <c r="L2606" s="18">
        <v>0</v>
      </c>
      <c r="M2606" s="28">
        <v>69</v>
      </c>
      <c r="N2606" s="6">
        <v>400</v>
      </c>
      <c r="O2606" s="30">
        <f t="shared" si="244"/>
        <v>0</v>
      </c>
      <c r="P2606" s="30">
        <f t="shared" si="245"/>
        <v>27600</v>
      </c>
      <c r="Q2606" s="1">
        <f>COUNTIFS($P:$P, "&gt;" &amp; $P2606) + 1</f>
        <v>736</v>
      </c>
      <c r="R2606" s="63">
        <f>(COUNTIFS($P:$P, "&gt;" &amp; $P2606) + 1) / (COUNTA($I:$I) - 1)</f>
        <v>0.1472</v>
      </c>
      <c r="S2606" s="23">
        <f>SUMIFS($P:$P, $Q:$Q, "&lt;" &amp; $Q2606)</f>
        <v>160122999</v>
      </c>
    </row>
    <row r="2607" spans="1:19" x14ac:dyDescent="0.25">
      <c r="A2607" s="1">
        <v>2602</v>
      </c>
      <c r="B2607" s="1" t="s">
        <v>2</v>
      </c>
      <c r="C2607" s="1" t="str">
        <f>IF($B2607 = "Production Item", _xlfn.XLOOKUP($A2607, 'Instrument Table'!$J:$J, 'Instrument Table'!$B:$B, $C2606), IF($B2607 = "Service Item", _xlfn.XLOOKUP($A2607, 'Instrument Table'!$I:$I, 'Instrument Table'!$B:$B, $C2606), _xlfn.XLOOKUP($A2607, 'Instrument Table'!$H:$H, 'Instrument Table'!$B:$B, $C2606)))</f>
        <v>French Horn</v>
      </c>
      <c r="D2607" s="1" t="str">
        <f>VLOOKUP($C2607, 'Instrument Table'!$B:$C, 2, FALSE)</f>
        <v>Brass</v>
      </c>
      <c r="E2607" s="1">
        <f t="shared" si="240"/>
        <v>1</v>
      </c>
      <c r="F2607" s="1">
        <f>_xlfn.XLOOKUP($C2607, 'Instrument Table'!$B:$B, 'Instrument Table'!$A:$A, "")</f>
        <v>40</v>
      </c>
      <c r="G2607" s="1" t="str">
        <f>TEXT(IF($B2607 = "Retail Item", IF((ROW($A2607) - 4504 - _xlfn.XMATCH($C2607, $C$4506:$C$5005, 0, 1)) &lt;= VLOOKUP($C2607, 'Instrument Table'!$B:$D, 3, FALSE), ROW($A2607) - 4504 - _xlfn.XMATCH($C2607, $C$4506:$C$5005, 0, 1), 0), 0), "00")</f>
        <v>00</v>
      </c>
      <c r="H2607" s="1" t="str">
        <f t="shared" si="241"/>
        <v>151</v>
      </c>
      <c r="I2607" s="1" t="str">
        <f t="shared" si="242"/>
        <v>14000-151</v>
      </c>
      <c r="J2607" s="1" t="str">
        <f t="shared" si="243"/>
        <v>French horn production item #151</v>
      </c>
      <c r="K2607" s="1" t="str">
        <f>IF(SUM(COUNTIFS(I:I, I2607)) &gt; 1, "DUPLICATE", "UNIQUE")</f>
        <v>UNIQUE</v>
      </c>
      <c r="L2607" s="18">
        <v>0</v>
      </c>
      <c r="M2607" s="28">
        <v>23</v>
      </c>
      <c r="N2607" s="6">
        <v>169</v>
      </c>
      <c r="O2607" s="30">
        <f t="shared" si="244"/>
        <v>0</v>
      </c>
      <c r="P2607" s="30">
        <f t="shared" si="245"/>
        <v>3887</v>
      </c>
      <c r="Q2607" s="1">
        <f>COUNTIFS($P:$P, "&gt;" &amp; $P2607) + 1</f>
        <v>2684</v>
      </c>
      <c r="R2607" s="63">
        <f>(COUNTIFS($P:$P, "&gt;" &amp; $P2607) + 1) / (COUNTA($I:$I) - 1)</f>
        <v>0.53680000000000005</v>
      </c>
      <c r="S2607" s="23">
        <f>SUMIFS($P:$P, $Q:$Q, "&lt;" &amp; $Q2607)</f>
        <v>183905232</v>
      </c>
    </row>
    <row r="2608" spans="1:19" x14ac:dyDescent="0.25">
      <c r="A2608" s="1">
        <v>2603</v>
      </c>
      <c r="B2608" s="1" t="s">
        <v>2</v>
      </c>
      <c r="C2608" s="1" t="str">
        <f>IF($B2608 = "Production Item", _xlfn.XLOOKUP($A2608, 'Instrument Table'!$J:$J, 'Instrument Table'!$B:$B, $C2607), IF($B2608 = "Service Item", _xlfn.XLOOKUP($A2608, 'Instrument Table'!$I:$I, 'Instrument Table'!$B:$B, $C2607), _xlfn.XLOOKUP($A2608, 'Instrument Table'!$H:$H, 'Instrument Table'!$B:$B, $C2607)))</f>
        <v>French Horn</v>
      </c>
      <c r="D2608" s="1" t="str">
        <f>VLOOKUP($C2608, 'Instrument Table'!$B:$C, 2, FALSE)</f>
        <v>Brass</v>
      </c>
      <c r="E2608" s="1">
        <f t="shared" si="240"/>
        <v>1</v>
      </c>
      <c r="F2608" s="1">
        <f>_xlfn.XLOOKUP($C2608, 'Instrument Table'!$B:$B, 'Instrument Table'!$A:$A, "")</f>
        <v>40</v>
      </c>
      <c r="G2608" s="1" t="str">
        <f>TEXT(IF($B2608 = "Retail Item", IF((ROW($A2608) - 4504 - _xlfn.XMATCH($C2608, $C$4506:$C$5005, 0, 1)) &lt;= VLOOKUP($C2608, 'Instrument Table'!$B:$D, 3, FALSE), ROW($A2608) - 4504 - _xlfn.XMATCH($C2608, $C$4506:$C$5005, 0, 1), 0), 0), "00")</f>
        <v>00</v>
      </c>
      <c r="H2608" s="1" t="str">
        <f t="shared" si="241"/>
        <v>152</v>
      </c>
      <c r="I2608" s="1" t="str">
        <f t="shared" si="242"/>
        <v>14000-152</v>
      </c>
      <c r="J2608" s="1" t="str">
        <f t="shared" si="243"/>
        <v>French horn production item #152</v>
      </c>
      <c r="K2608" s="1" t="str">
        <f>IF(SUM(COUNTIFS(I:I, I2608)) &gt; 1, "DUPLICATE", "UNIQUE")</f>
        <v>UNIQUE</v>
      </c>
      <c r="L2608" s="18">
        <v>2</v>
      </c>
      <c r="M2608" s="28">
        <v>6</v>
      </c>
      <c r="N2608" s="6">
        <v>0</v>
      </c>
      <c r="O2608" s="30">
        <f t="shared" si="244"/>
        <v>12</v>
      </c>
      <c r="P2608" s="30">
        <f t="shared" si="245"/>
        <v>0</v>
      </c>
      <c r="Q2608" s="1">
        <f>COUNTIFS($P:$P, "&gt;" &amp; $P2608) + 1</f>
        <v>4746</v>
      </c>
      <c r="R2608" s="63">
        <f>(COUNTIFS($P:$P, "&gt;" &amp; $P2608) + 1) / (COUNTA($I:$I) - 1)</f>
        <v>0.94920000000000004</v>
      </c>
      <c r="S2608" s="23">
        <f>SUMIFS($P:$P, $Q:$Q, "&lt;" &amp; $Q2608)</f>
        <v>186547861</v>
      </c>
    </row>
    <row r="2609" spans="1:19" x14ac:dyDescent="0.25">
      <c r="A2609" s="1">
        <v>2604</v>
      </c>
      <c r="B2609" s="1" t="s">
        <v>2</v>
      </c>
      <c r="C2609" s="1" t="str">
        <f>IF($B2609 = "Production Item", _xlfn.XLOOKUP($A2609, 'Instrument Table'!$J:$J, 'Instrument Table'!$B:$B, $C2608), IF($B2609 = "Service Item", _xlfn.XLOOKUP($A2609, 'Instrument Table'!$I:$I, 'Instrument Table'!$B:$B, $C2608), _xlfn.XLOOKUP($A2609, 'Instrument Table'!$H:$H, 'Instrument Table'!$B:$B, $C2608)))</f>
        <v>French Horn</v>
      </c>
      <c r="D2609" s="1" t="str">
        <f>VLOOKUP($C2609, 'Instrument Table'!$B:$C, 2, FALSE)</f>
        <v>Brass</v>
      </c>
      <c r="E2609" s="1">
        <f t="shared" si="240"/>
        <v>1</v>
      </c>
      <c r="F2609" s="1">
        <f>_xlfn.XLOOKUP($C2609, 'Instrument Table'!$B:$B, 'Instrument Table'!$A:$A, "")</f>
        <v>40</v>
      </c>
      <c r="G2609" s="1" t="str">
        <f>TEXT(IF($B2609 = "Retail Item", IF((ROW($A2609) - 4504 - _xlfn.XMATCH($C2609, $C$4506:$C$5005, 0, 1)) &lt;= VLOOKUP($C2609, 'Instrument Table'!$B:$D, 3, FALSE), ROW($A2609) - 4504 - _xlfn.XMATCH($C2609, $C$4506:$C$5005, 0, 1), 0), 0), "00")</f>
        <v>00</v>
      </c>
      <c r="H2609" s="1" t="str">
        <f t="shared" si="241"/>
        <v>153</v>
      </c>
      <c r="I2609" s="1" t="str">
        <f t="shared" si="242"/>
        <v>14000-153</v>
      </c>
      <c r="J2609" s="1" t="str">
        <f t="shared" si="243"/>
        <v>French horn production item #153</v>
      </c>
      <c r="K2609" s="1" t="str">
        <f>IF(SUM(COUNTIFS(I:I, I2609)) &gt; 1, "DUPLICATE", "UNIQUE")</f>
        <v>UNIQUE</v>
      </c>
      <c r="L2609" s="18">
        <v>0</v>
      </c>
      <c r="M2609" s="28">
        <v>52</v>
      </c>
      <c r="N2609" s="6">
        <v>256</v>
      </c>
      <c r="O2609" s="30">
        <f t="shared" si="244"/>
        <v>0</v>
      </c>
      <c r="P2609" s="30">
        <f t="shared" si="245"/>
        <v>13312</v>
      </c>
      <c r="Q2609" s="1">
        <f>COUNTIFS($P:$P, "&gt;" &amp; $P2609) + 1</f>
        <v>1474</v>
      </c>
      <c r="R2609" s="63">
        <f>(COUNTIFS($P:$P, "&gt;" &amp; $P2609) + 1) / (COUNTA($I:$I) - 1)</f>
        <v>0.29480000000000001</v>
      </c>
      <c r="S2609" s="23">
        <f>SUMIFS($P:$P, $Q:$Q, "&lt;" &amp; $Q2609)</f>
        <v>174496670</v>
      </c>
    </row>
    <row r="2610" spans="1:19" x14ac:dyDescent="0.25">
      <c r="A2610" s="1">
        <v>2605</v>
      </c>
      <c r="B2610" s="1" t="s">
        <v>2</v>
      </c>
      <c r="C2610" s="1" t="str">
        <f>IF($B2610 = "Production Item", _xlfn.XLOOKUP($A2610, 'Instrument Table'!$J:$J, 'Instrument Table'!$B:$B, $C2609), IF($B2610 = "Service Item", _xlfn.XLOOKUP($A2610, 'Instrument Table'!$I:$I, 'Instrument Table'!$B:$B, $C2609), _xlfn.XLOOKUP($A2610, 'Instrument Table'!$H:$H, 'Instrument Table'!$B:$B, $C2609)))</f>
        <v>French Horn</v>
      </c>
      <c r="D2610" s="1" t="str">
        <f>VLOOKUP($C2610, 'Instrument Table'!$B:$C, 2, FALSE)</f>
        <v>Brass</v>
      </c>
      <c r="E2610" s="1">
        <f t="shared" si="240"/>
        <v>1</v>
      </c>
      <c r="F2610" s="1">
        <f>_xlfn.XLOOKUP($C2610, 'Instrument Table'!$B:$B, 'Instrument Table'!$A:$A, "")</f>
        <v>40</v>
      </c>
      <c r="G2610" s="1" t="str">
        <f>TEXT(IF($B2610 = "Retail Item", IF((ROW($A2610) - 4504 - _xlfn.XMATCH($C2610, $C$4506:$C$5005, 0, 1)) &lt;= VLOOKUP($C2610, 'Instrument Table'!$B:$D, 3, FALSE), ROW($A2610) - 4504 - _xlfn.XMATCH($C2610, $C$4506:$C$5005, 0, 1), 0), 0), "00")</f>
        <v>00</v>
      </c>
      <c r="H2610" s="1" t="str">
        <f t="shared" si="241"/>
        <v>154</v>
      </c>
      <c r="I2610" s="1" t="str">
        <f t="shared" si="242"/>
        <v>14000-154</v>
      </c>
      <c r="J2610" s="1" t="str">
        <f t="shared" si="243"/>
        <v>French horn production item #154</v>
      </c>
      <c r="K2610" s="1" t="str">
        <f>IF(SUM(COUNTIFS(I:I, I2610)) &gt; 1, "DUPLICATE", "UNIQUE")</f>
        <v>UNIQUE</v>
      </c>
      <c r="L2610" s="18">
        <v>16</v>
      </c>
      <c r="M2610" s="28">
        <v>51</v>
      </c>
      <c r="N2610" s="6">
        <v>0</v>
      </c>
      <c r="O2610" s="30">
        <f t="shared" si="244"/>
        <v>816</v>
      </c>
      <c r="P2610" s="30">
        <f t="shared" si="245"/>
        <v>0</v>
      </c>
      <c r="Q2610" s="1">
        <f>COUNTIFS($P:$P, "&gt;" &amp; $P2610) + 1</f>
        <v>4746</v>
      </c>
      <c r="R2610" s="63">
        <f>(COUNTIFS($P:$P, "&gt;" &amp; $P2610) + 1) / (COUNTA($I:$I) - 1)</f>
        <v>0.94920000000000004</v>
      </c>
      <c r="S2610" s="23">
        <f>SUMIFS($P:$P, $Q:$Q, "&lt;" &amp; $Q2610)</f>
        <v>186547861</v>
      </c>
    </row>
    <row r="2611" spans="1:19" x14ac:dyDescent="0.25">
      <c r="A2611" s="1">
        <v>2606</v>
      </c>
      <c r="B2611" s="1" t="s">
        <v>2</v>
      </c>
      <c r="C2611" s="1" t="str">
        <f>IF($B2611 = "Production Item", _xlfn.XLOOKUP($A2611, 'Instrument Table'!$J:$J, 'Instrument Table'!$B:$B, $C2610), IF($B2611 = "Service Item", _xlfn.XLOOKUP($A2611, 'Instrument Table'!$I:$I, 'Instrument Table'!$B:$B, $C2610), _xlfn.XLOOKUP($A2611, 'Instrument Table'!$H:$H, 'Instrument Table'!$B:$B, $C2610)))</f>
        <v>French Horn</v>
      </c>
      <c r="D2611" s="1" t="str">
        <f>VLOOKUP($C2611, 'Instrument Table'!$B:$C, 2, FALSE)</f>
        <v>Brass</v>
      </c>
      <c r="E2611" s="1">
        <f t="shared" si="240"/>
        <v>1</v>
      </c>
      <c r="F2611" s="1">
        <f>_xlfn.XLOOKUP($C2611, 'Instrument Table'!$B:$B, 'Instrument Table'!$A:$A, "")</f>
        <v>40</v>
      </c>
      <c r="G2611" s="1" t="str">
        <f>TEXT(IF($B2611 = "Retail Item", IF((ROW($A2611) - 4504 - _xlfn.XMATCH($C2611, $C$4506:$C$5005, 0, 1)) &lt;= VLOOKUP($C2611, 'Instrument Table'!$B:$D, 3, FALSE), ROW($A2611) - 4504 - _xlfn.XMATCH($C2611, $C$4506:$C$5005, 0, 1), 0), 0), "00")</f>
        <v>00</v>
      </c>
      <c r="H2611" s="1" t="str">
        <f t="shared" si="241"/>
        <v>155</v>
      </c>
      <c r="I2611" s="1" t="str">
        <f t="shared" si="242"/>
        <v>14000-155</v>
      </c>
      <c r="J2611" s="1" t="str">
        <f t="shared" si="243"/>
        <v>French horn production item #155</v>
      </c>
      <c r="K2611" s="1" t="str">
        <f>IF(SUM(COUNTIFS(I:I, I2611)) &gt; 1, "DUPLICATE", "UNIQUE")</f>
        <v>UNIQUE</v>
      </c>
      <c r="L2611" s="18">
        <v>1</v>
      </c>
      <c r="M2611" s="28">
        <v>56</v>
      </c>
      <c r="N2611" s="6">
        <v>64</v>
      </c>
      <c r="O2611" s="30">
        <f t="shared" si="244"/>
        <v>56</v>
      </c>
      <c r="P2611" s="30">
        <f t="shared" si="245"/>
        <v>3584</v>
      </c>
      <c r="Q2611" s="1">
        <f>COUNTIFS($P:$P, "&gt;" &amp; $P2611) + 1</f>
        <v>2747</v>
      </c>
      <c r="R2611" s="63">
        <f>(COUNTIFS($P:$P, "&gt;" &amp; $P2611) + 1) / (COUNTA($I:$I) - 1)</f>
        <v>0.5494</v>
      </c>
      <c r="S2611" s="23">
        <f>SUMIFS($P:$P, $Q:$Q, "&lt;" &amp; $Q2611)</f>
        <v>184140041</v>
      </c>
    </row>
    <row r="2612" spans="1:19" x14ac:dyDescent="0.25">
      <c r="A2612" s="1">
        <v>2607</v>
      </c>
      <c r="B2612" s="1" t="s">
        <v>2</v>
      </c>
      <c r="C2612" s="1" t="str">
        <f>IF($B2612 = "Production Item", _xlfn.XLOOKUP($A2612, 'Instrument Table'!$J:$J, 'Instrument Table'!$B:$B, $C2611), IF($B2612 = "Service Item", _xlfn.XLOOKUP($A2612, 'Instrument Table'!$I:$I, 'Instrument Table'!$B:$B, $C2611), _xlfn.XLOOKUP($A2612, 'Instrument Table'!$H:$H, 'Instrument Table'!$B:$B, $C2611)))</f>
        <v>French Horn</v>
      </c>
      <c r="D2612" s="1" t="str">
        <f>VLOOKUP($C2612, 'Instrument Table'!$B:$C, 2, FALSE)</f>
        <v>Brass</v>
      </c>
      <c r="E2612" s="1">
        <f t="shared" si="240"/>
        <v>1</v>
      </c>
      <c r="F2612" s="1">
        <f>_xlfn.XLOOKUP($C2612, 'Instrument Table'!$B:$B, 'Instrument Table'!$A:$A, "")</f>
        <v>40</v>
      </c>
      <c r="G2612" s="1" t="str">
        <f>TEXT(IF($B2612 = "Retail Item", IF((ROW($A2612) - 4504 - _xlfn.XMATCH($C2612, $C$4506:$C$5005, 0, 1)) &lt;= VLOOKUP($C2612, 'Instrument Table'!$B:$D, 3, FALSE), ROW($A2612) - 4504 - _xlfn.XMATCH($C2612, $C$4506:$C$5005, 0, 1), 0), 0), "00")</f>
        <v>00</v>
      </c>
      <c r="H2612" s="1" t="str">
        <f t="shared" si="241"/>
        <v>156</v>
      </c>
      <c r="I2612" s="1" t="str">
        <f t="shared" si="242"/>
        <v>14000-156</v>
      </c>
      <c r="J2612" s="1" t="str">
        <f t="shared" si="243"/>
        <v>French horn production item #156</v>
      </c>
      <c r="K2612" s="1" t="str">
        <f>IF(SUM(COUNTIFS(I:I, I2612)) &gt; 1, "DUPLICATE", "UNIQUE")</f>
        <v>UNIQUE</v>
      </c>
      <c r="L2612" s="18">
        <v>1</v>
      </c>
      <c r="M2612" s="28">
        <v>8</v>
      </c>
      <c r="N2612" s="6">
        <v>9</v>
      </c>
      <c r="O2612" s="30">
        <f t="shared" si="244"/>
        <v>8</v>
      </c>
      <c r="P2612" s="30">
        <f t="shared" si="245"/>
        <v>72</v>
      </c>
      <c r="Q2612" s="1">
        <f>COUNTIFS($P:$P, "&gt;" &amp; $P2612) + 1</f>
        <v>4534</v>
      </c>
      <c r="R2612" s="63">
        <f>(COUNTIFS($P:$P, "&gt;" &amp; $P2612) + 1) / (COUNTA($I:$I) - 1)</f>
        <v>0.90680000000000005</v>
      </c>
      <c r="S2612" s="23">
        <f>SUMIFS($P:$P, $Q:$Q, "&lt;" &amp; $Q2612)</f>
        <v>186539538</v>
      </c>
    </row>
    <row r="2613" spans="1:19" x14ac:dyDescent="0.25">
      <c r="A2613" s="1">
        <v>2608</v>
      </c>
      <c r="B2613" s="1" t="s">
        <v>2</v>
      </c>
      <c r="C2613" s="1" t="str">
        <f>IF($B2613 = "Production Item", _xlfn.XLOOKUP($A2613, 'Instrument Table'!$J:$J, 'Instrument Table'!$B:$B, $C2612), IF($B2613 = "Service Item", _xlfn.XLOOKUP($A2613, 'Instrument Table'!$I:$I, 'Instrument Table'!$B:$B, $C2612), _xlfn.XLOOKUP($A2613, 'Instrument Table'!$H:$H, 'Instrument Table'!$B:$B, $C2612)))</f>
        <v>French Horn</v>
      </c>
      <c r="D2613" s="1" t="str">
        <f>VLOOKUP($C2613, 'Instrument Table'!$B:$C, 2, FALSE)</f>
        <v>Brass</v>
      </c>
      <c r="E2613" s="1">
        <f t="shared" si="240"/>
        <v>1</v>
      </c>
      <c r="F2613" s="1">
        <f>_xlfn.XLOOKUP($C2613, 'Instrument Table'!$B:$B, 'Instrument Table'!$A:$A, "")</f>
        <v>40</v>
      </c>
      <c r="G2613" s="1" t="str">
        <f>TEXT(IF($B2613 = "Retail Item", IF((ROW($A2613) - 4504 - _xlfn.XMATCH($C2613, $C$4506:$C$5005, 0, 1)) &lt;= VLOOKUP($C2613, 'Instrument Table'!$B:$D, 3, FALSE), ROW($A2613) - 4504 - _xlfn.XMATCH($C2613, $C$4506:$C$5005, 0, 1), 0), 0), "00")</f>
        <v>00</v>
      </c>
      <c r="H2613" s="1" t="str">
        <f t="shared" si="241"/>
        <v>157</v>
      </c>
      <c r="I2613" s="1" t="str">
        <f t="shared" si="242"/>
        <v>14000-157</v>
      </c>
      <c r="J2613" s="1" t="str">
        <f t="shared" si="243"/>
        <v>French horn production item #157</v>
      </c>
      <c r="K2613" s="1" t="str">
        <f>IF(SUM(COUNTIFS(I:I, I2613)) &gt; 1, "DUPLICATE", "UNIQUE")</f>
        <v>UNIQUE</v>
      </c>
      <c r="L2613" s="18">
        <v>0</v>
      </c>
      <c r="M2613" s="28">
        <v>12</v>
      </c>
      <c r="N2613" s="6">
        <v>36</v>
      </c>
      <c r="O2613" s="30">
        <f t="shared" si="244"/>
        <v>0</v>
      </c>
      <c r="P2613" s="30">
        <f t="shared" si="245"/>
        <v>432</v>
      </c>
      <c r="Q2613" s="1">
        <f>COUNTIFS($P:$P, "&gt;" &amp; $P2613) + 1</f>
        <v>4071</v>
      </c>
      <c r="R2613" s="63">
        <f>(COUNTIFS($P:$P, "&gt;" &amp; $P2613) + 1) / (COUNTA($I:$I) - 1)</f>
        <v>0.81420000000000003</v>
      </c>
      <c r="S2613" s="23">
        <f>SUMIFS($P:$P, $Q:$Q, "&lt;" &amp; $Q2613)</f>
        <v>186432845</v>
      </c>
    </row>
    <row r="2614" spans="1:19" x14ac:dyDescent="0.25">
      <c r="A2614" s="1">
        <v>2609</v>
      </c>
      <c r="B2614" s="1" t="s">
        <v>2</v>
      </c>
      <c r="C2614" s="1" t="str">
        <f>IF($B2614 = "Production Item", _xlfn.XLOOKUP($A2614, 'Instrument Table'!$J:$J, 'Instrument Table'!$B:$B, $C2613), IF($B2614 = "Service Item", _xlfn.XLOOKUP($A2614, 'Instrument Table'!$I:$I, 'Instrument Table'!$B:$B, $C2613), _xlfn.XLOOKUP($A2614, 'Instrument Table'!$H:$H, 'Instrument Table'!$B:$B, $C2613)))</f>
        <v>French Horn</v>
      </c>
      <c r="D2614" s="1" t="str">
        <f>VLOOKUP($C2614, 'Instrument Table'!$B:$C, 2, FALSE)</f>
        <v>Brass</v>
      </c>
      <c r="E2614" s="1">
        <f t="shared" si="240"/>
        <v>1</v>
      </c>
      <c r="F2614" s="1">
        <f>_xlfn.XLOOKUP($C2614, 'Instrument Table'!$B:$B, 'Instrument Table'!$A:$A, "")</f>
        <v>40</v>
      </c>
      <c r="G2614" s="1" t="str">
        <f>TEXT(IF($B2614 = "Retail Item", IF((ROW($A2614) - 4504 - _xlfn.XMATCH($C2614, $C$4506:$C$5005, 0, 1)) &lt;= VLOOKUP($C2614, 'Instrument Table'!$B:$D, 3, FALSE), ROW($A2614) - 4504 - _xlfn.XMATCH($C2614, $C$4506:$C$5005, 0, 1), 0), 0), "00")</f>
        <v>00</v>
      </c>
      <c r="H2614" s="1" t="str">
        <f t="shared" si="241"/>
        <v>158</v>
      </c>
      <c r="I2614" s="1" t="str">
        <f t="shared" si="242"/>
        <v>14000-158</v>
      </c>
      <c r="J2614" s="1" t="str">
        <f t="shared" si="243"/>
        <v>French horn production item #158</v>
      </c>
      <c r="K2614" s="1" t="str">
        <f>IF(SUM(COUNTIFS(I:I, I2614)) &gt; 1, "DUPLICATE", "UNIQUE")</f>
        <v>UNIQUE</v>
      </c>
      <c r="L2614" s="18">
        <v>2</v>
      </c>
      <c r="M2614" s="28">
        <v>69</v>
      </c>
      <c r="N2614" s="6">
        <v>100</v>
      </c>
      <c r="O2614" s="30">
        <f t="shared" si="244"/>
        <v>138</v>
      </c>
      <c r="P2614" s="30">
        <f t="shared" si="245"/>
        <v>6900</v>
      </c>
      <c r="Q2614" s="1">
        <f>COUNTIFS($P:$P, "&gt;" &amp; $P2614) + 1</f>
        <v>2150</v>
      </c>
      <c r="R2614" s="63">
        <f>(COUNTIFS($P:$P, "&gt;" &amp; $P2614) + 1) / (COUNTA($I:$I) - 1)</f>
        <v>0.43</v>
      </c>
      <c r="S2614" s="23">
        <f>SUMIFS($P:$P, $Q:$Q, "&lt;" &amp; $Q2614)</f>
        <v>181113669</v>
      </c>
    </row>
    <row r="2615" spans="1:19" x14ac:dyDescent="0.25">
      <c r="A2615" s="1">
        <v>2610</v>
      </c>
      <c r="B2615" s="1" t="s">
        <v>2</v>
      </c>
      <c r="C2615" s="1" t="str">
        <f>IF($B2615 = "Production Item", _xlfn.XLOOKUP($A2615, 'Instrument Table'!$J:$J, 'Instrument Table'!$B:$B, $C2614), IF($B2615 = "Service Item", _xlfn.XLOOKUP($A2615, 'Instrument Table'!$I:$I, 'Instrument Table'!$B:$B, $C2614), _xlfn.XLOOKUP($A2615, 'Instrument Table'!$H:$H, 'Instrument Table'!$B:$B, $C2614)))</f>
        <v>French Horn</v>
      </c>
      <c r="D2615" s="1" t="str">
        <f>VLOOKUP($C2615, 'Instrument Table'!$B:$C, 2, FALSE)</f>
        <v>Brass</v>
      </c>
      <c r="E2615" s="1">
        <f t="shared" si="240"/>
        <v>1</v>
      </c>
      <c r="F2615" s="1">
        <f>_xlfn.XLOOKUP($C2615, 'Instrument Table'!$B:$B, 'Instrument Table'!$A:$A, "")</f>
        <v>40</v>
      </c>
      <c r="G2615" s="1" t="str">
        <f>TEXT(IF($B2615 = "Retail Item", IF((ROW($A2615) - 4504 - _xlfn.XMATCH($C2615, $C$4506:$C$5005, 0, 1)) &lt;= VLOOKUP($C2615, 'Instrument Table'!$B:$D, 3, FALSE), ROW($A2615) - 4504 - _xlfn.XMATCH($C2615, $C$4506:$C$5005, 0, 1), 0), 0), "00")</f>
        <v>00</v>
      </c>
      <c r="H2615" s="1" t="str">
        <f t="shared" si="241"/>
        <v>159</v>
      </c>
      <c r="I2615" s="1" t="str">
        <f t="shared" si="242"/>
        <v>14000-159</v>
      </c>
      <c r="J2615" s="1" t="str">
        <f t="shared" si="243"/>
        <v>French horn production item #159</v>
      </c>
      <c r="K2615" s="1" t="str">
        <f>IF(SUM(COUNTIFS(I:I, I2615)) &gt; 1, "DUPLICATE", "UNIQUE")</f>
        <v>UNIQUE</v>
      </c>
      <c r="L2615" s="18">
        <v>0</v>
      </c>
      <c r="M2615" s="28">
        <v>95</v>
      </c>
      <c r="N2615" s="6">
        <v>81</v>
      </c>
      <c r="O2615" s="30">
        <f t="shared" si="244"/>
        <v>0</v>
      </c>
      <c r="P2615" s="30">
        <f t="shared" si="245"/>
        <v>7695</v>
      </c>
      <c r="Q2615" s="1">
        <f>COUNTIFS($P:$P, "&gt;" &amp; $P2615) + 1</f>
        <v>2037</v>
      </c>
      <c r="R2615" s="63">
        <f>(COUNTIFS($P:$P, "&gt;" &amp; $P2615) + 1) / (COUNTA($I:$I) - 1)</f>
        <v>0.40739999999999998</v>
      </c>
      <c r="S2615" s="23">
        <f>SUMIFS($P:$P, $Q:$Q, "&lt;" &amp; $Q2615)</f>
        <v>180285279</v>
      </c>
    </row>
    <row r="2616" spans="1:19" x14ac:dyDescent="0.25">
      <c r="A2616" s="1">
        <v>2611</v>
      </c>
      <c r="B2616" s="1" t="s">
        <v>2</v>
      </c>
      <c r="C2616" s="1" t="str">
        <f>IF($B2616 = "Production Item", _xlfn.XLOOKUP($A2616, 'Instrument Table'!$J:$J, 'Instrument Table'!$B:$B, $C2615), IF($B2616 = "Service Item", _xlfn.XLOOKUP($A2616, 'Instrument Table'!$I:$I, 'Instrument Table'!$B:$B, $C2615), _xlfn.XLOOKUP($A2616, 'Instrument Table'!$H:$H, 'Instrument Table'!$B:$B, $C2615)))</f>
        <v>French Horn</v>
      </c>
      <c r="D2616" s="1" t="str">
        <f>VLOOKUP($C2616, 'Instrument Table'!$B:$C, 2, FALSE)</f>
        <v>Brass</v>
      </c>
      <c r="E2616" s="1">
        <f t="shared" si="240"/>
        <v>1</v>
      </c>
      <c r="F2616" s="1">
        <f>_xlfn.XLOOKUP($C2616, 'Instrument Table'!$B:$B, 'Instrument Table'!$A:$A, "")</f>
        <v>40</v>
      </c>
      <c r="G2616" s="1" t="str">
        <f>TEXT(IF($B2616 = "Retail Item", IF((ROW($A2616) - 4504 - _xlfn.XMATCH($C2616, $C$4506:$C$5005, 0, 1)) &lt;= VLOOKUP($C2616, 'Instrument Table'!$B:$D, 3, FALSE), ROW($A2616) - 4504 - _xlfn.XMATCH($C2616, $C$4506:$C$5005, 0, 1), 0), 0), "00")</f>
        <v>00</v>
      </c>
      <c r="H2616" s="1" t="str">
        <f t="shared" si="241"/>
        <v>160</v>
      </c>
      <c r="I2616" s="1" t="str">
        <f t="shared" si="242"/>
        <v>14000-160</v>
      </c>
      <c r="J2616" s="1" t="str">
        <f t="shared" si="243"/>
        <v>French horn production item #160</v>
      </c>
      <c r="K2616" s="1" t="str">
        <f>IF(SUM(COUNTIFS(I:I, I2616)) &gt; 1, "DUPLICATE", "UNIQUE")</f>
        <v>UNIQUE</v>
      </c>
      <c r="L2616" s="18">
        <v>0</v>
      </c>
      <c r="M2616" s="28">
        <v>75</v>
      </c>
      <c r="N2616" s="6">
        <v>196</v>
      </c>
      <c r="O2616" s="30">
        <f t="shared" si="244"/>
        <v>0</v>
      </c>
      <c r="P2616" s="30">
        <f t="shared" si="245"/>
        <v>14700</v>
      </c>
      <c r="Q2616" s="1">
        <f>COUNTIFS($P:$P, "&gt;" &amp; $P2616) + 1</f>
        <v>1372</v>
      </c>
      <c r="R2616" s="63">
        <f>(COUNTIFS($P:$P, "&gt;" &amp; $P2616) + 1) / (COUNTA($I:$I) - 1)</f>
        <v>0.27439999999999998</v>
      </c>
      <c r="S2616" s="23">
        <f>SUMIFS($P:$P, $Q:$Q, "&lt;" &amp; $Q2616)</f>
        <v>173069656</v>
      </c>
    </row>
    <row r="2617" spans="1:19" x14ac:dyDescent="0.25">
      <c r="A2617" s="1">
        <v>2612</v>
      </c>
      <c r="B2617" s="1" t="s">
        <v>2</v>
      </c>
      <c r="C2617" s="1" t="str">
        <f>IF($B2617 = "Production Item", _xlfn.XLOOKUP($A2617, 'Instrument Table'!$J:$J, 'Instrument Table'!$B:$B, $C2616), IF($B2617 = "Service Item", _xlfn.XLOOKUP($A2617, 'Instrument Table'!$I:$I, 'Instrument Table'!$B:$B, $C2616), _xlfn.XLOOKUP($A2617, 'Instrument Table'!$H:$H, 'Instrument Table'!$B:$B, $C2616)))</f>
        <v>French Horn</v>
      </c>
      <c r="D2617" s="1" t="str">
        <f>VLOOKUP($C2617, 'Instrument Table'!$B:$C, 2, FALSE)</f>
        <v>Brass</v>
      </c>
      <c r="E2617" s="1">
        <f t="shared" si="240"/>
        <v>1</v>
      </c>
      <c r="F2617" s="1">
        <f>_xlfn.XLOOKUP($C2617, 'Instrument Table'!$B:$B, 'Instrument Table'!$A:$A, "")</f>
        <v>40</v>
      </c>
      <c r="G2617" s="1" t="str">
        <f>TEXT(IF($B2617 = "Retail Item", IF((ROW($A2617) - 4504 - _xlfn.XMATCH($C2617, $C$4506:$C$5005, 0, 1)) &lt;= VLOOKUP($C2617, 'Instrument Table'!$B:$D, 3, FALSE), ROW($A2617) - 4504 - _xlfn.XMATCH($C2617, $C$4506:$C$5005, 0, 1), 0), 0), "00")</f>
        <v>00</v>
      </c>
      <c r="H2617" s="1" t="str">
        <f t="shared" si="241"/>
        <v>161</v>
      </c>
      <c r="I2617" s="1" t="str">
        <f t="shared" si="242"/>
        <v>14000-161</v>
      </c>
      <c r="J2617" s="1" t="str">
        <f t="shared" si="243"/>
        <v>French horn production item #161</v>
      </c>
      <c r="K2617" s="1" t="str">
        <f>IF(SUM(COUNTIFS(I:I, I2617)) &gt; 1, "DUPLICATE", "UNIQUE")</f>
        <v>UNIQUE</v>
      </c>
      <c r="L2617" s="18">
        <v>2</v>
      </c>
      <c r="M2617" s="28">
        <v>6</v>
      </c>
      <c r="N2617" s="6">
        <v>225</v>
      </c>
      <c r="O2617" s="30">
        <f t="shared" si="244"/>
        <v>12</v>
      </c>
      <c r="P2617" s="30">
        <f t="shared" si="245"/>
        <v>1350</v>
      </c>
      <c r="Q2617" s="1">
        <f>COUNTIFS($P:$P, "&gt;" &amp; $P2617) + 1</f>
        <v>3536</v>
      </c>
      <c r="R2617" s="63">
        <f>(COUNTIFS($P:$P, "&gt;" &amp; $P2617) + 1) / (COUNTA($I:$I) - 1)</f>
        <v>0.70720000000000005</v>
      </c>
      <c r="S2617" s="23">
        <f>SUMIFS($P:$P, $Q:$Q, "&lt;" &amp; $Q2617)</f>
        <v>185987313</v>
      </c>
    </row>
    <row r="2618" spans="1:19" x14ac:dyDescent="0.25">
      <c r="A2618" s="1">
        <v>2613</v>
      </c>
      <c r="B2618" s="1" t="s">
        <v>2</v>
      </c>
      <c r="C2618" s="1" t="str">
        <f>IF($B2618 = "Production Item", _xlfn.XLOOKUP($A2618, 'Instrument Table'!$J:$J, 'Instrument Table'!$B:$B, $C2617), IF($B2618 = "Service Item", _xlfn.XLOOKUP($A2618, 'Instrument Table'!$I:$I, 'Instrument Table'!$B:$B, $C2617), _xlfn.XLOOKUP($A2618, 'Instrument Table'!$H:$H, 'Instrument Table'!$B:$B, $C2617)))</f>
        <v>French Horn</v>
      </c>
      <c r="D2618" s="1" t="str">
        <f>VLOOKUP($C2618, 'Instrument Table'!$B:$C, 2, FALSE)</f>
        <v>Brass</v>
      </c>
      <c r="E2618" s="1">
        <f t="shared" si="240"/>
        <v>1</v>
      </c>
      <c r="F2618" s="1">
        <f>_xlfn.XLOOKUP($C2618, 'Instrument Table'!$B:$B, 'Instrument Table'!$A:$A, "")</f>
        <v>40</v>
      </c>
      <c r="G2618" s="1" t="str">
        <f>TEXT(IF($B2618 = "Retail Item", IF((ROW($A2618) - 4504 - _xlfn.XMATCH($C2618, $C$4506:$C$5005, 0, 1)) &lt;= VLOOKUP($C2618, 'Instrument Table'!$B:$D, 3, FALSE), ROW($A2618) - 4504 - _xlfn.XMATCH($C2618, $C$4506:$C$5005, 0, 1), 0), 0), "00")</f>
        <v>00</v>
      </c>
      <c r="H2618" s="1" t="str">
        <f t="shared" si="241"/>
        <v>162</v>
      </c>
      <c r="I2618" s="1" t="str">
        <f t="shared" si="242"/>
        <v>14000-162</v>
      </c>
      <c r="J2618" s="1" t="str">
        <f t="shared" si="243"/>
        <v>French horn production item #162</v>
      </c>
      <c r="K2618" s="1" t="str">
        <f>IF(SUM(COUNTIFS(I:I, I2618)) &gt; 1, "DUPLICATE", "UNIQUE")</f>
        <v>UNIQUE</v>
      </c>
      <c r="L2618" s="18">
        <v>0</v>
      </c>
      <c r="M2618" s="28">
        <v>45</v>
      </c>
      <c r="N2618" s="6">
        <v>324</v>
      </c>
      <c r="O2618" s="30">
        <f t="shared" si="244"/>
        <v>0</v>
      </c>
      <c r="P2618" s="30">
        <f t="shared" si="245"/>
        <v>14580</v>
      </c>
      <c r="Q2618" s="1">
        <f>COUNTIFS($P:$P, "&gt;" &amp; $P2618) + 1</f>
        <v>1381</v>
      </c>
      <c r="R2618" s="63">
        <f>(COUNTIFS($P:$P, "&gt;" &amp; $P2618) + 1) / (COUNTA($I:$I) - 1)</f>
        <v>0.2762</v>
      </c>
      <c r="S2618" s="23">
        <f>SUMIFS($P:$P, $Q:$Q, "&lt;" &amp; $Q2618)</f>
        <v>173201440</v>
      </c>
    </row>
    <row r="2619" spans="1:19" x14ac:dyDescent="0.25">
      <c r="A2619" s="1">
        <v>2614</v>
      </c>
      <c r="B2619" s="1" t="s">
        <v>2</v>
      </c>
      <c r="C2619" s="1" t="str">
        <f>IF($B2619 = "Production Item", _xlfn.XLOOKUP($A2619, 'Instrument Table'!$J:$J, 'Instrument Table'!$B:$B, $C2618), IF($B2619 = "Service Item", _xlfn.XLOOKUP($A2619, 'Instrument Table'!$I:$I, 'Instrument Table'!$B:$B, $C2618), _xlfn.XLOOKUP($A2619, 'Instrument Table'!$H:$H, 'Instrument Table'!$B:$B, $C2618)))</f>
        <v>French Horn</v>
      </c>
      <c r="D2619" s="1" t="str">
        <f>VLOOKUP($C2619, 'Instrument Table'!$B:$C, 2, FALSE)</f>
        <v>Brass</v>
      </c>
      <c r="E2619" s="1">
        <f t="shared" si="240"/>
        <v>1</v>
      </c>
      <c r="F2619" s="1">
        <f>_xlfn.XLOOKUP($C2619, 'Instrument Table'!$B:$B, 'Instrument Table'!$A:$A, "")</f>
        <v>40</v>
      </c>
      <c r="G2619" s="1" t="str">
        <f>TEXT(IF($B2619 = "Retail Item", IF((ROW($A2619) - 4504 - _xlfn.XMATCH($C2619, $C$4506:$C$5005, 0, 1)) &lt;= VLOOKUP($C2619, 'Instrument Table'!$B:$D, 3, FALSE), ROW($A2619) - 4504 - _xlfn.XMATCH($C2619, $C$4506:$C$5005, 0, 1), 0), 0), "00")</f>
        <v>00</v>
      </c>
      <c r="H2619" s="1" t="str">
        <f t="shared" si="241"/>
        <v>163</v>
      </c>
      <c r="I2619" s="1" t="str">
        <f t="shared" si="242"/>
        <v>14000-163</v>
      </c>
      <c r="J2619" s="1" t="str">
        <f t="shared" si="243"/>
        <v>French horn production item #163</v>
      </c>
      <c r="K2619" s="1" t="str">
        <f>IF(SUM(COUNTIFS(I:I, I2619)) &gt; 1, "DUPLICATE", "UNIQUE")</f>
        <v>UNIQUE</v>
      </c>
      <c r="L2619" s="18">
        <v>16</v>
      </c>
      <c r="M2619" s="28">
        <v>85</v>
      </c>
      <c r="N2619" s="6">
        <v>25</v>
      </c>
      <c r="O2619" s="30">
        <f t="shared" si="244"/>
        <v>1360</v>
      </c>
      <c r="P2619" s="30">
        <f t="shared" si="245"/>
        <v>2125</v>
      </c>
      <c r="Q2619" s="1">
        <f>COUNTIFS($P:$P, "&gt;" &amp; $P2619) + 1</f>
        <v>3189</v>
      </c>
      <c r="R2619" s="63">
        <f>(COUNTIFS($P:$P, "&gt;" &amp; $P2619) + 1) / (COUNTA($I:$I) - 1)</f>
        <v>0.63780000000000003</v>
      </c>
      <c r="S2619" s="23">
        <f>SUMIFS($P:$P, $Q:$Q, "&lt;" &amp; $Q2619)</f>
        <v>185384306</v>
      </c>
    </row>
    <row r="2620" spans="1:19" x14ac:dyDescent="0.25">
      <c r="A2620" s="1">
        <v>2615</v>
      </c>
      <c r="B2620" s="1" t="s">
        <v>2</v>
      </c>
      <c r="C2620" s="1" t="str">
        <f>IF($B2620 = "Production Item", _xlfn.XLOOKUP($A2620, 'Instrument Table'!$J:$J, 'Instrument Table'!$B:$B, $C2619), IF($B2620 = "Service Item", _xlfn.XLOOKUP($A2620, 'Instrument Table'!$I:$I, 'Instrument Table'!$B:$B, $C2619), _xlfn.XLOOKUP($A2620, 'Instrument Table'!$H:$H, 'Instrument Table'!$B:$B, $C2619)))</f>
        <v>French Horn</v>
      </c>
      <c r="D2620" s="1" t="str">
        <f>VLOOKUP($C2620, 'Instrument Table'!$B:$C, 2, FALSE)</f>
        <v>Brass</v>
      </c>
      <c r="E2620" s="1">
        <f t="shared" si="240"/>
        <v>1</v>
      </c>
      <c r="F2620" s="1">
        <f>_xlfn.XLOOKUP($C2620, 'Instrument Table'!$B:$B, 'Instrument Table'!$A:$A, "")</f>
        <v>40</v>
      </c>
      <c r="G2620" s="1" t="str">
        <f>TEXT(IF($B2620 = "Retail Item", IF((ROW($A2620) - 4504 - _xlfn.XMATCH($C2620, $C$4506:$C$5005, 0, 1)) &lt;= VLOOKUP($C2620, 'Instrument Table'!$B:$D, 3, FALSE), ROW($A2620) - 4504 - _xlfn.XMATCH($C2620, $C$4506:$C$5005, 0, 1), 0), 0), "00")</f>
        <v>00</v>
      </c>
      <c r="H2620" s="1" t="str">
        <f t="shared" si="241"/>
        <v>164</v>
      </c>
      <c r="I2620" s="1" t="str">
        <f t="shared" si="242"/>
        <v>14000-164</v>
      </c>
      <c r="J2620" s="1" t="str">
        <f t="shared" si="243"/>
        <v>French horn production item #164</v>
      </c>
      <c r="K2620" s="1" t="str">
        <f>IF(SUM(COUNTIFS(I:I, I2620)) &gt; 1, "DUPLICATE", "UNIQUE")</f>
        <v>UNIQUE</v>
      </c>
      <c r="L2620" s="18">
        <v>0</v>
      </c>
      <c r="M2620" s="28">
        <v>95</v>
      </c>
      <c r="N2620" s="6">
        <v>289</v>
      </c>
      <c r="O2620" s="30">
        <f t="shared" si="244"/>
        <v>0</v>
      </c>
      <c r="P2620" s="30">
        <f t="shared" si="245"/>
        <v>27455</v>
      </c>
      <c r="Q2620" s="1">
        <f>COUNTIFS($P:$P, "&gt;" &amp; $P2620) + 1</f>
        <v>740</v>
      </c>
      <c r="R2620" s="63">
        <f>(COUNTIFS($P:$P, "&gt;" &amp; $P2620) + 1) / (COUNTA($I:$I) - 1)</f>
        <v>0.14799999999999999</v>
      </c>
      <c r="S2620" s="23">
        <f>SUMIFS($P:$P, $Q:$Q, "&lt;" &amp; $Q2620)</f>
        <v>160233279</v>
      </c>
    </row>
    <row r="2621" spans="1:19" x14ac:dyDescent="0.25">
      <c r="A2621" s="1">
        <v>2616</v>
      </c>
      <c r="B2621" s="1" t="s">
        <v>2</v>
      </c>
      <c r="C2621" s="1" t="str">
        <f>IF($B2621 = "Production Item", _xlfn.XLOOKUP($A2621, 'Instrument Table'!$J:$J, 'Instrument Table'!$B:$B, $C2620), IF($B2621 = "Service Item", _xlfn.XLOOKUP($A2621, 'Instrument Table'!$I:$I, 'Instrument Table'!$B:$B, $C2620), _xlfn.XLOOKUP($A2621, 'Instrument Table'!$H:$H, 'Instrument Table'!$B:$B, $C2620)))</f>
        <v>French Horn</v>
      </c>
      <c r="D2621" s="1" t="str">
        <f>VLOOKUP($C2621, 'Instrument Table'!$B:$C, 2, FALSE)</f>
        <v>Brass</v>
      </c>
      <c r="E2621" s="1">
        <f t="shared" si="240"/>
        <v>1</v>
      </c>
      <c r="F2621" s="1">
        <f>_xlfn.XLOOKUP($C2621, 'Instrument Table'!$B:$B, 'Instrument Table'!$A:$A, "")</f>
        <v>40</v>
      </c>
      <c r="G2621" s="1" t="str">
        <f>TEXT(IF($B2621 = "Retail Item", IF((ROW($A2621) - 4504 - _xlfn.XMATCH($C2621, $C$4506:$C$5005, 0, 1)) &lt;= VLOOKUP($C2621, 'Instrument Table'!$B:$D, 3, FALSE), ROW($A2621) - 4504 - _xlfn.XMATCH($C2621, $C$4506:$C$5005, 0, 1), 0), 0), "00")</f>
        <v>00</v>
      </c>
      <c r="H2621" s="1" t="str">
        <f t="shared" si="241"/>
        <v>165</v>
      </c>
      <c r="I2621" s="1" t="str">
        <f t="shared" si="242"/>
        <v>14000-165</v>
      </c>
      <c r="J2621" s="1" t="str">
        <f t="shared" si="243"/>
        <v>French horn production item #165</v>
      </c>
      <c r="K2621" s="1" t="str">
        <f>IF(SUM(COUNTIFS(I:I, I2621)) &gt; 1, "DUPLICATE", "UNIQUE")</f>
        <v>UNIQUE</v>
      </c>
      <c r="L2621" s="18">
        <v>1</v>
      </c>
      <c r="M2621" s="28">
        <v>81</v>
      </c>
      <c r="N2621" s="6">
        <v>49</v>
      </c>
      <c r="O2621" s="30">
        <f t="shared" si="244"/>
        <v>81</v>
      </c>
      <c r="P2621" s="30">
        <f t="shared" si="245"/>
        <v>3969</v>
      </c>
      <c r="Q2621" s="1">
        <f>COUNTIFS($P:$P, "&gt;" &amp; $P2621) + 1</f>
        <v>2661</v>
      </c>
      <c r="R2621" s="63">
        <f>(COUNTIFS($P:$P, "&gt;" &amp; $P2621) + 1) / (COUNTA($I:$I) - 1)</f>
        <v>0.53220000000000001</v>
      </c>
      <c r="S2621" s="23">
        <f>SUMIFS($P:$P, $Q:$Q, "&lt;" &amp; $Q2621)</f>
        <v>183815040</v>
      </c>
    </row>
    <row r="2622" spans="1:19" x14ac:dyDescent="0.25">
      <c r="A2622" s="1">
        <v>2617</v>
      </c>
      <c r="B2622" s="1" t="s">
        <v>2</v>
      </c>
      <c r="C2622" s="1" t="str">
        <f>IF($B2622 = "Production Item", _xlfn.XLOOKUP($A2622, 'Instrument Table'!$J:$J, 'Instrument Table'!$B:$B, $C2621), IF($B2622 = "Service Item", _xlfn.XLOOKUP($A2622, 'Instrument Table'!$I:$I, 'Instrument Table'!$B:$B, $C2621), _xlfn.XLOOKUP($A2622, 'Instrument Table'!$H:$H, 'Instrument Table'!$B:$B, $C2621)))</f>
        <v>French Horn</v>
      </c>
      <c r="D2622" s="1" t="str">
        <f>VLOOKUP($C2622, 'Instrument Table'!$B:$C, 2, FALSE)</f>
        <v>Brass</v>
      </c>
      <c r="E2622" s="1">
        <f t="shared" si="240"/>
        <v>1</v>
      </c>
      <c r="F2622" s="1">
        <f>_xlfn.XLOOKUP($C2622, 'Instrument Table'!$B:$B, 'Instrument Table'!$A:$A, "")</f>
        <v>40</v>
      </c>
      <c r="G2622" s="1" t="str">
        <f>TEXT(IF($B2622 = "Retail Item", IF((ROW($A2622) - 4504 - _xlfn.XMATCH($C2622, $C$4506:$C$5005, 0, 1)) &lt;= VLOOKUP($C2622, 'Instrument Table'!$B:$D, 3, FALSE), ROW($A2622) - 4504 - _xlfn.XMATCH($C2622, $C$4506:$C$5005, 0, 1), 0), 0), "00")</f>
        <v>00</v>
      </c>
      <c r="H2622" s="1" t="str">
        <f t="shared" si="241"/>
        <v>166</v>
      </c>
      <c r="I2622" s="1" t="str">
        <f t="shared" si="242"/>
        <v>14000-166</v>
      </c>
      <c r="J2622" s="1" t="str">
        <f t="shared" si="243"/>
        <v>French horn production item #166</v>
      </c>
      <c r="K2622" s="1" t="str">
        <f>IF(SUM(COUNTIFS(I:I, I2622)) &gt; 1, "DUPLICATE", "UNIQUE")</f>
        <v>UNIQUE</v>
      </c>
      <c r="L2622" s="18">
        <v>1</v>
      </c>
      <c r="M2622" s="28">
        <v>58</v>
      </c>
      <c r="N2622" s="6">
        <v>1</v>
      </c>
      <c r="O2622" s="30">
        <f t="shared" si="244"/>
        <v>58</v>
      </c>
      <c r="P2622" s="30">
        <f t="shared" si="245"/>
        <v>58</v>
      </c>
      <c r="Q2622" s="1">
        <f>COUNTIFS($P:$P, "&gt;" &amp; $P2622) + 1</f>
        <v>4587</v>
      </c>
      <c r="R2622" s="63">
        <f>(COUNTIFS($P:$P, "&gt;" &amp; $P2622) + 1) / (COUNTA($I:$I) - 1)</f>
        <v>0.91739999999999999</v>
      </c>
      <c r="S2622" s="23">
        <f>SUMIFS($P:$P, $Q:$Q, "&lt;" &amp; $Q2622)</f>
        <v>186542972</v>
      </c>
    </row>
    <row r="2623" spans="1:19" x14ac:dyDescent="0.25">
      <c r="A2623" s="1">
        <v>2618</v>
      </c>
      <c r="B2623" s="1" t="s">
        <v>2</v>
      </c>
      <c r="C2623" s="1" t="str">
        <f>IF($B2623 = "Production Item", _xlfn.XLOOKUP($A2623, 'Instrument Table'!$J:$J, 'Instrument Table'!$B:$B, $C2622), IF($B2623 = "Service Item", _xlfn.XLOOKUP($A2623, 'Instrument Table'!$I:$I, 'Instrument Table'!$B:$B, $C2622), _xlfn.XLOOKUP($A2623, 'Instrument Table'!$H:$H, 'Instrument Table'!$B:$B, $C2622)))</f>
        <v>French Horn</v>
      </c>
      <c r="D2623" s="1" t="str">
        <f>VLOOKUP($C2623, 'Instrument Table'!$B:$C, 2, FALSE)</f>
        <v>Brass</v>
      </c>
      <c r="E2623" s="1">
        <f t="shared" si="240"/>
        <v>1</v>
      </c>
      <c r="F2623" s="1">
        <f>_xlfn.XLOOKUP($C2623, 'Instrument Table'!$B:$B, 'Instrument Table'!$A:$A, "")</f>
        <v>40</v>
      </c>
      <c r="G2623" s="1" t="str">
        <f>TEXT(IF($B2623 = "Retail Item", IF((ROW($A2623) - 4504 - _xlfn.XMATCH($C2623, $C$4506:$C$5005, 0, 1)) &lt;= VLOOKUP($C2623, 'Instrument Table'!$B:$D, 3, FALSE), ROW($A2623) - 4504 - _xlfn.XMATCH($C2623, $C$4506:$C$5005, 0, 1), 0), 0), "00")</f>
        <v>00</v>
      </c>
      <c r="H2623" s="1" t="str">
        <f t="shared" si="241"/>
        <v>167</v>
      </c>
      <c r="I2623" s="1" t="str">
        <f t="shared" si="242"/>
        <v>14000-167</v>
      </c>
      <c r="J2623" s="1" t="str">
        <f t="shared" si="243"/>
        <v>French horn production item #167</v>
      </c>
      <c r="K2623" s="1" t="str">
        <f>IF(SUM(COUNTIFS(I:I, I2623)) &gt; 1, "DUPLICATE", "UNIQUE")</f>
        <v>UNIQUE</v>
      </c>
      <c r="L2623" s="18">
        <v>0</v>
      </c>
      <c r="M2623" s="28">
        <v>50</v>
      </c>
      <c r="N2623" s="6">
        <v>144</v>
      </c>
      <c r="O2623" s="30">
        <f t="shared" si="244"/>
        <v>0</v>
      </c>
      <c r="P2623" s="30">
        <f t="shared" si="245"/>
        <v>7200</v>
      </c>
      <c r="Q2623" s="1">
        <f>COUNTIFS($P:$P, "&gt;" &amp; $P2623) + 1</f>
        <v>2115</v>
      </c>
      <c r="R2623" s="63">
        <f>(COUNTIFS($P:$P, "&gt;" &amp; $P2623) + 1) / (COUNTA($I:$I) - 1)</f>
        <v>0.42299999999999999</v>
      </c>
      <c r="S2623" s="23">
        <f>SUMIFS($P:$P, $Q:$Q, "&lt;" &amp; $Q2623)</f>
        <v>180867271</v>
      </c>
    </row>
    <row r="2624" spans="1:19" x14ac:dyDescent="0.25">
      <c r="A2624" s="1">
        <v>2619</v>
      </c>
      <c r="B2624" s="1" t="s">
        <v>2</v>
      </c>
      <c r="C2624" s="1" t="str">
        <f>IF($B2624 = "Production Item", _xlfn.XLOOKUP($A2624, 'Instrument Table'!$J:$J, 'Instrument Table'!$B:$B, $C2623), IF($B2624 = "Service Item", _xlfn.XLOOKUP($A2624, 'Instrument Table'!$I:$I, 'Instrument Table'!$B:$B, $C2623), _xlfn.XLOOKUP($A2624, 'Instrument Table'!$H:$H, 'Instrument Table'!$B:$B, $C2623)))</f>
        <v>French Horn</v>
      </c>
      <c r="D2624" s="1" t="str">
        <f>VLOOKUP($C2624, 'Instrument Table'!$B:$C, 2, FALSE)</f>
        <v>Brass</v>
      </c>
      <c r="E2624" s="1">
        <f t="shared" si="240"/>
        <v>1</v>
      </c>
      <c r="F2624" s="1">
        <f>_xlfn.XLOOKUP($C2624, 'Instrument Table'!$B:$B, 'Instrument Table'!$A:$A, "")</f>
        <v>40</v>
      </c>
      <c r="G2624" s="1" t="str">
        <f>TEXT(IF($B2624 = "Retail Item", IF((ROW($A2624) - 4504 - _xlfn.XMATCH($C2624, $C$4506:$C$5005, 0, 1)) &lt;= VLOOKUP($C2624, 'Instrument Table'!$B:$D, 3, FALSE), ROW($A2624) - 4504 - _xlfn.XMATCH($C2624, $C$4506:$C$5005, 0, 1), 0), 0), "00")</f>
        <v>00</v>
      </c>
      <c r="H2624" s="1" t="str">
        <f t="shared" si="241"/>
        <v>168</v>
      </c>
      <c r="I2624" s="1" t="str">
        <f t="shared" si="242"/>
        <v>14000-168</v>
      </c>
      <c r="J2624" s="1" t="str">
        <f t="shared" si="243"/>
        <v>French horn production item #168</v>
      </c>
      <c r="K2624" s="1" t="str">
        <f>IF(SUM(COUNTIFS(I:I, I2624)) &gt; 1, "DUPLICATE", "UNIQUE")</f>
        <v>UNIQUE</v>
      </c>
      <c r="L2624" s="18">
        <v>1</v>
      </c>
      <c r="M2624" s="28">
        <v>27</v>
      </c>
      <c r="N2624" s="6">
        <v>225</v>
      </c>
      <c r="O2624" s="30">
        <f t="shared" si="244"/>
        <v>27</v>
      </c>
      <c r="P2624" s="30">
        <f t="shared" si="245"/>
        <v>6075</v>
      </c>
      <c r="Q2624" s="1">
        <f>COUNTIFS($P:$P, "&gt;" &amp; $P2624) + 1</f>
        <v>2248</v>
      </c>
      <c r="R2624" s="63">
        <f>(COUNTIFS($P:$P, "&gt;" &amp; $P2624) + 1) / (COUNTA($I:$I) - 1)</f>
        <v>0.4496</v>
      </c>
      <c r="S2624" s="23">
        <f>SUMIFS($P:$P, $Q:$Q, "&lt;" &amp; $Q2624)</f>
        <v>181754966</v>
      </c>
    </row>
    <row r="2625" spans="1:19" x14ac:dyDescent="0.25">
      <c r="A2625" s="1">
        <v>2620</v>
      </c>
      <c r="B2625" s="1" t="s">
        <v>2</v>
      </c>
      <c r="C2625" s="1" t="str">
        <f>IF($B2625 = "Production Item", _xlfn.XLOOKUP($A2625, 'Instrument Table'!$J:$J, 'Instrument Table'!$B:$B, $C2624), IF($B2625 = "Service Item", _xlfn.XLOOKUP($A2625, 'Instrument Table'!$I:$I, 'Instrument Table'!$B:$B, $C2624), _xlfn.XLOOKUP($A2625, 'Instrument Table'!$H:$H, 'Instrument Table'!$B:$B, $C2624)))</f>
        <v>French Horn</v>
      </c>
      <c r="D2625" s="1" t="str">
        <f>VLOOKUP($C2625, 'Instrument Table'!$B:$C, 2, FALSE)</f>
        <v>Brass</v>
      </c>
      <c r="E2625" s="1">
        <f t="shared" si="240"/>
        <v>1</v>
      </c>
      <c r="F2625" s="1">
        <f>_xlfn.XLOOKUP($C2625, 'Instrument Table'!$B:$B, 'Instrument Table'!$A:$A, "")</f>
        <v>40</v>
      </c>
      <c r="G2625" s="1" t="str">
        <f>TEXT(IF($B2625 = "Retail Item", IF((ROW($A2625) - 4504 - _xlfn.XMATCH($C2625, $C$4506:$C$5005, 0, 1)) &lt;= VLOOKUP($C2625, 'Instrument Table'!$B:$D, 3, FALSE), ROW($A2625) - 4504 - _xlfn.XMATCH($C2625, $C$4506:$C$5005, 0, 1), 0), 0), "00")</f>
        <v>00</v>
      </c>
      <c r="H2625" s="1" t="str">
        <f t="shared" si="241"/>
        <v>169</v>
      </c>
      <c r="I2625" s="1" t="str">
        <f t="shared" si="242"/>
        <v>14000-169</v>
      </c>
      <c r="J2625" s="1" t="str">
        <f t="shared" si="243"/>
        <v>French horn production item #169</v>
      </c>
      <c r="K2625" s="1" t="str">
        <f>IF(SUM(COUNTIFS(I:I, I2625)) &gt; 1, "DUPLICATE", "UNIQUE")</f>
        <v>UNIQUE</v>
      </c>
      <c r="L2625" s="18">
        <v>8</v>
      </c>
      <c r="M2625" s="28">
        <v>20</v>
      </c>
      <c r="N2625" s="6">
        <v>16</v>
      </c>
      <c r="O2625" s="30">
        <f t="shared" si="244"/>
        <v>160</v>
      </c>
      <c r="P2625" s="30">
        <f t="shared" si="245"/>
        <v>320</v>
      </c>
      <c r="Q2625" s="1">
        <f>COUNTIFS($P:$P, "&gt;" &amp; $P2625) + 1</f>
        <v>4192</v>
      </c>
      <c r="R2625" s="63">
        <f>(COUNTIFS($P:$P, "&gt;" &amp; $P2625) + 1) / (COUNTA($I:$I) - 1)</f>
        <v>0.83840000000000003</v>
      </c>
      <c r="S2625" s="23">
        <f>SUMIFS($P:$P, $Q:$Q, "&lt;" &amp; $Q2625)</f>
        <v>186477838</v>
      </c>
    </row>
    <row r="2626" spans="1:19" x14ac:dyDescent="0.25">
      <c r="A2626" s="1">
        <v>2621</v>
      </c>
      <c r="B2626" s="1" t="s">
        <v>2</v>
      </c>
      <c r="C2626" s="1" t="str">
        <f>IF($B2626 = "Production Item", _xlfn.XLOOKUP($A2626, 'Instrument Table'!$J:$J, 'Instrument Table'!$B:$B, $C2625), IF($B2626 = "Service Item", _xlfn.XLOOKUP($A2626, 'Instrument Table'!$I:$I, 'Instrument Table'!$B:$B, $C2625), _xlfn.XLOOKUP($A2626, 'Instrument Table'!$H:$H, 'Instrument Table'!$B:$B, $C2625)))</f>
        <v>French Horn</v>
      </c>
      <c r="D2626" s="1" t="str">
        <f>VLOOKUP($C2626, 'Instrument Table'!$B:$C, 2, FALSE)</f>
        <v>Brass</v>
      </c>
      <c r="E2626" s="1">
        <f t="shared" si="240"/>
        <v>1</v>
      </c>
      <c r="F2626" s="1">
        <f>_xlfn.XLOOKUP($C2626, 'Instrument Table'!$B:$B, 'Instrument Table'!$A:$A, "")</f>
        <v>40</v>
      </c>
      <c r="G2626" s="1" t="str">
        <f>TEXT(IF($B2626 = "Retail Item", IF((ROW($A2626) - 4504 - _xlfn.XMATCH($C2626, $C$4506:$C$5005, 0, 1)) &lt;= VLOOKUP($C2626, 'Instrument Table'!$B:$D, 3, FALSE), ROW($A2626) - 4504 - _xlfn.XMATCH($C2626, $C$4506:$C$5005, 0, 1), 0), 0), "00")</f>
        <v>00</v>
      </c>
      <c r="H2626" s="1" t="str">
        <f t="shared" si="241"/>
        <v>170</v>
      </c>
      <c r="I2626" s="1" t="str">
        <f t="shared" si="242"/>
        <v>14000-170</v>
      </c>
      <c r="J2626" s="1" t="str">
        <f t="shared" si="243"/>
        <v>French horn production item #170</v>
      </c>
      <c r="K2626" s="1" t="str">
        <f>IF(SUM(COUNTIFS(I:I, I2626)) &gt; 1, "DUPLICATE", "UNIQUE")</f>
        <v>UNIQUE</v>
      </c>
      <c r="L2626" s="18">
        <v>1</v>
      </c>
      <c r="M2626" s="28">
        <v>66</v>
      </c>
      <c r="N2626" s="6">
        <v>49</v>
      </c>
      <c r="O2626" s="30">
        <f t="shared" si="244"/>
        <v>66</v>
      </c>
      <c r="P2626" s="30">
        <f t="shared" si="245"/>
        <v>3234</v>
      </c>
      <c r="Q2626" s="1">
        <f>COUNTIFS($P:$P, "&gt;" &amp; $P2626) + 1</f>
        <v>2847</v>
      </c>
      <c r="R2626" s="63">
        <f>(COUNTIFS($P:$P, "&gt;" &amp; $P2626) + 1) / (COUNTA($I:$I) - 1)</f>
        <v>0.56940000000000002</v>
      </c>
      <c r="S2626" s="23">
        <f>SUMIFS($P:$P, $Q:$Q, "&lt;" &amp; $Q2626)</f>
        <v>184482110</v>
      </c>
    </row>
    <row r="2627" spans="1:19" x14ac:dyDescent="0.25">
      <c r="A2627" s="1">
        <v>2622</v>
      </c>
      <c r="B2627" s="1" t="s">
        <v>2</v>
      </c>
      <c r="C2627" s="1" t="str">
        <f>IF($B2627 = "Production Item", _xlfn.XLOOKUP($A2627, 'Instrument Table'!$J:$J, 'Instrument Table'!$B:$B, $C2626), IF($B2627 = "Service Item", _xlfn.XLOOKUP($A2627, 'Instrument Table'!$I:$I, 'Instrument Table'!$B:$B, $C2626), _xlfn.XLOOKUP($A2627, 'Instrument Table'!$H:$H, 'Instrument Table'!$B:$B, $C2626)))</f>
        <v>French Horn</v>
      </c>
      <c r="D2627" s="1" t="str">
        <f>VLOOKUP($C2627, 'Instrument Table'!$B:$C, 2, FALSE)</f>
        <v>Brass</v>
      </c>
      <c r="E2627" s="1">
        <f t="shared" si="240"/>
        <v>1</v>
      </c>
      <c r="F2627" s="1">
        <f>_xlfn.XLOOKUP($C2627, 'Instrument Table'!$B:$B, 'Instrument Table'!$A:$A, "")</f>
        <v>40</v>
      </c>
      <c r="G2627" s="1" t="str">
        <f>TEXT(IF($B2627 = "Retail Item", IF((ROW($A2627) - 4504 - _xlfn.XMATCH($C2627, $C$4506:$C$5005, 0, 1)) &lt;= VLOOKUP($C2627, 'Instrument Table'!$B:$D, 3, FALSE), ROW($A2627) - 4504 - _xlfn.XMATCH($C2627, $C$4506:$C$5005, 0, 1), 0), 0), "00")</f>
        <v>00</v>
      </c>
      <c r="H2627" s="1" t="str">
        <f t="shared" si="241"/>
        <v>171</v>
      </c>
      <c r="I2627" s="1" t="str">
        <f t="shared" si="242"/>
        <v>14000-171</v>
      </c>
      <c r="J2627" s="1" t="str">
        <f t="shared" si="243"/>
        <v>French horn production item #171</v>
      </c>
      <c r="K2627" s="1" t="str">
        <f>IF(SUM(COUNTIFS(I:I, I2627)) &gt; 1, "DUPLICATE", "UNIQUE")</f>
        <v>UNIQUE</v>
      </c>
      <c r="L2627" s="18">
        <v>1</v>
      </c>
      <c r="M2627" s="28">
        <v>35</v>
      </c>
      <c r="N2627" s="6">
        <v>196</v>
      </c>
      <c r="O2627" s="30">
        <f t="shared" si="244"/>
        <v>35</v>
      </c>
      <c r="P2627" s="30">
        <f t="shared" si="245"/>
        <v>6860</v>
      </c>
      <c r="Q2627" s="1">
        <f>COUNTIFS($P:$P, "&gt;" &amp; $P2627) + 1</f>
        <v>2157</v>
      </c>
      <c r="R2627" s="63">
        <f>(COUNTIFS($P:$P, "&gt;" &amp; $P2627) + 1) / (COUNTA($I:$I) - 1)</f>
        <v>0.43140000000000001</v>
      </c>
      <c r="S2627" s="23">
        <f>SUMIFS($P:$P, $Q:$Q, "&lt;" &amp; $Q2627)</f>
        <v>181161868</v>
      </c>
    </row>
    <row r="2628" spans="1:19" x14ac:dyDescent="0.25">
      <c r="A2628" s="1">
        <v>2623</v>
      </c>
      <c r="B2628" s="1" t="s">
        <v>2</v>
      </c>
      <c r="C2628" s="1" t="str">
        <f>IF($B2628 = "Production Item", _xlfn.XLOOKUP($A2628, 'Instrument Table'!$J:$J, 'Instrument Table'!$B:$B, $C2627), IF($B2628 = "Service Item", _xlfn.XLOOKUP($A2628, 'Instrument Table'!$I:$I, 'Instrument Table'!$B:$B, $C2627), _xlfn.XLOOKUP($A2628, 'Instrument Table'!$H:$H, 'Instrument Table'!$B:$B, $C2627)))</f>
        <v>French Horn</v>
      </c>
      <c r="D2628" s="1" t="str">
        <f>VLOOKUP($C2628, 'Instrument Table'!$B:$C, 2, FALSE)</f>
        <v>Brass</v>
      </c>
      <c r="E2628" s="1">
        <f t="shared" si="240"/>
        <v>1</v>
      </c>
      <c r="F2628" s="1">
        <f>_xlfn.XLOOKUP($C2628, 'Instrument Table'!$B:$B, 'Instrument Table'!$A:$A, "")</f>
        <v>40</v>
      </c>
      <c r="G2628" s="1" t="str">
        <f>TEXT(IF($B2628 = "Retail Item", IF((ROW($A2628) - 4504 - _xlfn.XMATCH($C2628, $C$4506:$C$5005, 0, 1)) &lt;= VLOOKUP($C2628, 'Instrument Table'!$B:$D, 3, FALSE), ROW($A2628) - 4504 - _xlfn.XMATCH($C2628, $C$4506:$C$5005, 0, 1), 0), 0), "00")</f>
        <v>00</v>
      </c>
      <c r="H2628" s="1" t="str">
        <f t="shared" si="241"/>
        <v>172</v>
      </c>
      <c r="I2628" s="1" t="str">
        <f t="shared" si="242"/>
        <v>14000-172</v>
      </c>
      <c r="J2628" s="1" t="str">
        <f t="shared" si="243"/>
        <v>French horn production item #172</v>
      </c>
      <c r="K2628" s="1" t="str">
        <f>IF(SUM(COUNTIFS(I:I, I2628)) &gt; 1, "DUPLICATE", "UNIQUE")</f>
        <v>UNIQUE</v>
      </c>
      <c r="L2628" s="18">
        <v>8</v>
      </c>
      <c r="M2628" s="28">
        <v>70</v>
      </c>
      <c r="N2628" s="6">
        <v>0</v>
      </c>
      <c r="O2628" s="30">
        <f t="shared" si="244"/>
        <v>560</v>
      </c>
      <c r="P2628" s="30">
        <f t="shared" si="245"/>
        <v>0</v>
      </c>
      <c r="Q2628" s="1">
        <f>COUNTIFS($P:$P, "&gt;" &amp; $P2628) + 1</f>
        <v>4746</v>
      </c>
      <c r="R2628" s="63">
        <f>(COUNTIFS($P:$P, "&gt;" &amp; $P2628) + 1) / (COUNTA($I:$I) - 1)</f>
        <v>0.94920000000000004</v>
      </c>
      <c r="S2628" s="23">
        <f>SUMIFS($P:$P, $Q:$Q, "&lt;" &amp; $Q2628)</f>
        <v>186547861</v>
      </c>
    </row>
    <row r="2629" spans="1:19" x14ac:dyDescent="0.25">
      <c r="A2629" s="1">
        <v>2624</v>
      </c>
      <c r="B2629" s="1" t="s">
        <v>2</v>
      </c>
      <c r="C2629" s="1" t="str">
        <f>IF($B2629 = "Production Item", _xlfn.XLOOKUP($A2629, 'Instrument Table'!$J:$J, 'Instrument Table'!$B:$B, $C2628), IF($B2629 = "Service Item", _xlfn.XLOOKUP($A2629, 'Instrument Table'!$I:$I, 'Instrument Table'!$B:$B, $C2628), _xlfn.XLOOKUP($A2629, 'Instrument Table'!$H:$H, 'Instrument Table'!$B:$B, $C2628)))</f>
        <v>French Horn</v>
      </c>
      <c r="D2629" s="1" t="str">
        <f>VLOOKUP($C2629, 'Instrument Table'!$B:$C, 2, FALSE)</f>
        <v>Brass</v>
      </c>
      <c r="E2629" s="1">
        <f t="shared" si="240"/>
        <v>1</v>
      </c>
      <c r="F2629" s="1">
        <f>_xlfn.XLOOKUP($C2629, 'Instrument Table'!$B:$B, 'Instrument Table'!$A:$A, "")</f>
        <v>40</v>
      </c>
      <c r="G2629" s="1" t="str">
        <f>TEXT(IF($B2629 = "Retail Item", IF((ROW($A2629) - 4504 - _xlfn.XMATCH($C2629, $C$4506:$C$5005, 0, 1)) &lt;= VLOOKUP($C2629, 'Instrument Table'!$B:$D, 3, FALSE), ROW($A2629) - 4504 - _xlfn.XMATCH($C2629, $C$4506:$C$5005, 0, 1), 0), 0), "00")</f>
        <v>00</v>
      </c>
      <c r="H2629" s="1" t="str">
        <f t="shared" si="241"/>
        <v>173</v>
      </c>
      <c r="I2629" s="1" t="str">
        <f t="shared" si="242"/>
        <v>14000-173</v>
      </c>
      <c r="J2629" s="1" t="str">
        <f t="shared" si="243"/>
        <v>French horn production item #173</v>
      </c>
      <c r="K2629" s="1" t="str">
        <f>IF(SUM(COUNTIFS(I:I, I2629)) &gt; 1, "DUPLICATE", "UNIQUE")</f>
        <v>UNIQUE</v>
      </c>
      <c r="L2629" s="18">
        <v>1</v>
      </c>
      <c r="M2629" s="28">
        <v>82</v>
      </c>
      <c r="N2629" s="6">
        <v>1</v>
      </c>
      <c r="O2629" s="30">
        <f t="shared" si="244"/>
        <v>82</v>
      </c>
      <c r="P2629" s="30">
        <f t="shared" si="245"/>
        <v>82</v>
      </c>
      <c r="Q2629" s="1">
        <f>COUNTIFS($P:$P, "&gt;" &amp; $P2629) + 1</f>
        <v>4503</v>
      </c>
      <c r="R2629" s="63">
        <f>(COUNTIFS($P:$P, "&gt;" &amp; $P2629) + 1) / (COUNTA($I:$I) - 1)</f>
        <v>0.90059999999999996</v>
      </c>
      <c r="S2629" s="23">
        <f>SUMIFS($P:$P, $Q:$Q, "&lt;" &amp; $Q2629)</f>
        <v>186537109</v>
      </c>
    </row>
    <row r="2630" spans="1:19" x14ac:dyDescent="0.25">
      <c r="A2630" s="1">
        <v>2625</v>
      </c>
      <c r="B2630" s="1" t="s">
        <v>2</v>
      </c>
      <c r="C2630" s="1" t="str">
        <f>IF($B2630 = "Production Item", _xlfn.XLOOKUP($A2630, 'Instrument Table'!$J:$J, 'Instrument Table'!$B:$B, $C2629), IF($B2630 = "Service Item", _xlfn.XLOOKUP($A2630, 'Instrument Table'!$I:$I, 'Instrument Table'!$B:$B, $C2629), _xlfn.XLOOKUP($A2630, 'Instrument Table'!$H:$H, 'Instrument Table'!$B:$B, $C2629)))</f>
        <v>French Horn</v>
      </c>
      <c r="D2630" s="1" t="str">
        <f>VLOOKUP($C2630, 'Instrument Table'!$B:$C, 2, FALSE)</f>
        <v>Brass</v>
      </c>
      <c r="E2630" s="1">
        <f t="shared" si="240"/>
        <v>1</v>
      </c>
      <c r="F2630" s="1">
        <f>_xlfn.XLOOKUP($C2630, 'Instrument Table'!$B:$B, 'Instrument Table'!$A:$A, "")</f>
        <v>40</v>
      </c>
      <c r="G2630" s="1" t="str">
        <f>TEXT(IF($B2630 = "Retail Item", IF((ROW($A2630) - 4504 - _xlfn.XMATCH($C2630, $C$4506:$C$5005, 0, 1)) &lt;= VLOOKUP($C2630, 'Instrument Table'!$B:$D, 3, FALSE), ROW($A2630) - 4504 - _xlfn.XMATCH($C2630, $C$4506:$C$5005, 0, 1), 0), 0), "00")</f>
        <v>00</v>
      </c>
      <c r="H2630" s="1" t="str">
        <f t="shared" si="241"/>
        <v>174</v>
      </c>
      <c r="I2630" s="1" t="str">
        <f t="shared" si="242"/>
        <v>14000-174</v>
      </c>
      <c r="J2630" s="1" t="str">
        <f t="shared" si="243"/>
        <v>French horn production item #174</v>
      </c>
      <c r="K2630" s="1" t="str">
        <f>IF(SUM(COUNTIFS(I:I, I2630)) &gt; 1, "DUPLICATE", "UNIQUE")</f>
        <v>UNIQUE</v>
      </c>
      <c r="L2630" s="18">
        <v>0</v>
      </c>
      <c r="M2630" s="28">
        <v>71</v>
      </c>
      <c r="N2630" s="6">
        <v>25</v>
      </c>
      <c r="O2630" s="30">
        <f t="shared" si="244"/>
        <v>0</v>
      </c>
      <c r="P2630" s="30">
        <f t="shared" si="245"/>
        <v>1775</v>
      </c>
      <c r="Q2630" s="1">
        <f>COUNTIFS($P:$P, "&gt;" &amp; $P2630) + 1</f>
        <v>3349</v>
      </c>
      <c r="R2630" s="63">
        <f>(COUNTIFS($P:$P, "&gt;" &amp; $P2630) + 1) / (COUNTA($I:$I) - 1)</f>
        <v>0.66979999999999995</v>
      </c>
      <c r="S2630" s="23">
        <f>SUMIFS($P:$P, $Q:$Q, "&lt;" &amp; $Q2630)</f>
        <v>185698665</v>
      </c>
    </row>
    <row r="2631" spans="1:19" x14ac:dyDescent="0.25">
      <c r="A2631" s="1">
        <v>2626</v>
      </c>
      <c r="B2631" s="1" t="s">
        <v>2</v>
      </c>
      <c r="C2631" s="1" t="str">
        <f>IF($B2631 = "Production Item", _xlfn.XLOOKUP($A2631, 'Instrument Table'!$J:$J, 'Instrument Table'!$B:$B, $C2630), IF($B2631 = "Service Item", _xlfn.XLOOKUP($A2631, 'Instrument Table'!$I:$I, 'Instrument Table'!$B:$B, $C2630), _xlfn.XLOOKUP($A2631, 'Instrument Table'!$H:$H, 'Instrument Table'!$B:$B, $C2630)))</f>
        <v>French Horn</v>
      </c>
      <c r="D2631" s="1" t="str">
        <f>VLOOKUP($C2631, 'Instrument Table'!$B:$C, 2, FALSE)</f>
        <v>Brass</v>
      </c>
      <c r="E2631" s="1">
        <f t="shared" ref="E2631:E2694" si="246">IF($B2631 = "Production Item", 1, IF($B2631 = "Service Item", 2, IF($B2631 = "Retail Item", 3, "")))</f>
        <v>1</v>
      </c>
      <c r="F2631" s="1">
        <f>_xlfn.XLOOKUP($C2631, 'Instrument Table'!$B:$B, 'Instrument Table'!$A:$A, "")</f>
        <v>40</v>
      </c>
      <c r="G2631" s="1" t="str">
        <f>TEXT(IF($B2631 = "Retail Item", IF((ROW($A2631) - 4504 - _xlfn.XMATCH($C2631, $C$4506:$C$5005, 0, 1)) &lt;= VLOOKUP($C2631, 'Instrument Table'!$B:$D, 3, FALSE), ROW($A2631) - 4504 - _xlfn.XMATCH($C2631, $C$4506:$C$5005, 0, 1), 0), 0), "00")</f>
        <v>00</v>
      </c>
      <c r="H2631" s="1" t="str">
        <f t="shared" ref="H2631:H2694" si="247">TEXT(IF($E2631 &amp; $F2631 &amp; $G2631 = $E2630 &amp; $F2630 &amp; $G2630, 1 + H2630, 0), "000")</f>
        <v>175</v>
      </c>
      <c r="I2631" s="1" t="str">
        <f t="shared" ref="I2631:I2694" si="248" xml:space="preserve"> _xlfn.CONCAT($E2631, $F2631, $G2631, "-", H2631)</f>
        <v>14000-175</v>
      </c>
      <c r="J2631" s="1" t="str">
        <f t="shared" ref="J2631:J2694" si="249">LEFT($C2631, 1) &amp; LOWER(RIGHT($C2631, LEN($C2631) - 1)) &amp; IF(AND($G2631 &lt;&gt; "00", $B2631 = "Retail Item"), " model #" &amp; $G2631, " " &amp; LOWER($B2631) &amp; " #" &amp; $H2631)</f>
        <v>French horn production item #175</v>
      </c>
      <c r="K2631" s="1" t="str">
        <f>IF(SUM(COUNTIFS(I:I, I2631)) &gt; 1, "DUPLICATE", "UNIQUE")</f>
        <v>UNIQUE</v>
      </c>
      <c r="L2631" s="18">
        <v>1</v>
      </c>
      <c r="M2631" s="28">
        <v>72</v>
      </c>
      <c r="N2631" s="6">
        <v>324</v>
      </c>
      <c r="O2631" s="30">
        <f t="shared" ref="O2631:O2694" si="250">$L2631 * $M2631</f>
        <v>72</v>
      </c>
      <c r="P2631" s="30">
        <f t="shared" ref="P2631:P2694" si="251">$N2631 * $M2631</f>
        <v>23328</v>
      </c>
      <c r="Q2631" s="1">
        <f>COUNTIFS($P:$P, "&gt;" &amp; $P2631) + 1</f>
        <v>892</v>
      </c>
      <c r="R2631" s="63">
        <f>(COUNTIFS($P:$P, "&gt;" &amp; $P2631) + 1) / (COUNTA($I:$I) - 1)</f>
        <v>0.1784</v>
      </c>
      <c r="S2631" s="23">
        <f>SUMIFS($P:$P, $Q:$Q, "&lt;" &amp; $Q2631)</f>
        <v>164094803</v>
      </c>
    </row>
    <row r="2632" spans="1:19" x14ac:dyDescent="0.25">
      <c r="A2632" s="1">
        <v>2627</v>
      </c>
      <c r="B2632" s="1" t="s">
        <v>2</v>
      </c>
      <c r="C2632" s="1" t="str">
        <f>IF($B2632 = "Production Item", _xlfn.XLOOKUP($A2632, 'Instrument Table'!$J:$J, 'Instrument Table'!$B:$B, $C2631), IF($B2632 = "Service Item", _xlfn.XLOOKUP($A2632, 'Instrument Table'!$I:$I, 'Instrument Table'!$B:$B, $C2631), _xlfn.XLOOKUP($A2632, 'Instrument Table'!$H:$H, 'Instrument Table'!$B:$B, $C2631)))</f>
        <v>French Horn</v>
      </c>
      <c r="D2632" s="1" t="str">
        <f>VLOOKUP($C2632, 'Instrument Table'!$B:$C, 2, FALSE)</f>
        <v>Brass</v>
      </c>
      <c r="E2632" s="1">
        <f t="shared" si="246"/>
        <v>1</v>
      </c>
      <c r="F2632" s="1">
        <f>_xlfn.XLOOKUP($C2632, 'Instrument Table'!$B:$B, 'Instrument Table'!$A:$A, "")</f>
        <v>40</v>
      </c>
      <c r="G2632" s="1" t="str">
        <f>TEXT(IF($B2632 = "Retail Item", IF((ROW($A2632) - 4504 - _xlfn.XMATCH($C2632, $C$4506:$C$5005, 0, 1)) &lt;= VLOOKUP($C2632, 'Instrument Table'!$B:$D, 3, FALSE), ROW($A2632) - 4504 - _xlfn.XMATCH($C2632, $C$4506:$C$5005, 0, 1), 0), 0), "00")</f>
        <v>00</v>
      </c>
      <c r="H2632" s="1" t="str">
        <f t="shared" si="247"/>
        <v>176</v>
      </c>
      <c r="I2632" s="1" t="str">
        <f t="shared" si="248"/>
        <v>14000-176</v>
      </c>
      <c r="J2632" s="1" t="str">
        <f t="shared" si="249"/>
        <v>French horn production item #176</v>
      </c>
      <c r="K2632" s="1" t="str">
        <f>IF(SUM(COUNTIFS(I:I, I2632)) &gt; 1, "DUPLICATE", "UNIQUE")</f>
        <v>UNIQUE</v>
      </c>
      <c r="L2632" s="18">
        <v>1</v>
      </c>
      <c r="M2632" s="28">
        <v>29</v>
      </c>
      <c r="N2632" s="6">
        <v>1</v>
      </c>
      <c r="O2632" s="30">
        <f t="shared" si="250"/>
        <v>29</v>
      </c>
      <c r="P2632" s="30">
        <f t="shared" si="251"/>
        <v>29</v>
      </c>
      <c r="Q2632" s="1">
        <f>COUNTIFS($P:$P, "&gt;" &amp; $P2632) + 1</f>
        <v>4671</v>
      </c>
      <c r="R2632" s="63">
        <f>(COUNTIFS($P:$P, "&gt;" &amp; $P2632) + 1) / (COUNTA($I:$I) - 1)</f>
        <v>0.93420000000000003</v>
      </c>
      <c r="S2632" s="23">
        <f>SUMIFS($P:$P, $Q:$Q, "&lt;" &amp; $Q2632)</f>
        <v>186546718</v>
      </c>
    </row>
    <row r="2633" spans="1:19" x14ac:dyDescent="0.25">
      <c r="A2633" s="1">
        <v>2628</v>
      </c>
      <c r="B2633" s="1" t="s">
        <v>2</v>
      </c>
      <c r="C2633" s="1" t="str">
        <f>IF($B2633 = "Production Item", _xlfn.XLOOKUP($A2633, 'Instrument Table'!$J:$J, 'Instrument Table'!$B:$B, $C2632), IF($B2633 = "Service Item", _xlfn.XLOOKUP($A2633, 'Instrument Table'!$I:$I, 'Instrument Table'!$B:$B, $C2632), _xlfn.XLOOKUP($A2633, 'Instrument Table'!$H:$H, 'Instrument Table'!$B:$B, $C2632)))</f>
        <v>French Horn</v>
      </c>
      <c r="D2633" s="1" t="str">
        <f>VLOOKUP($C2633, 'Instrument Table'!$B:$C, 2, FALSE)</f>
        <v>Brass</v>
      </c>
      <c r="E2633" s="1">
        <f t="shared" si="246"/>
        <v>1</v>
      </c>
      <c r="F2633" s="1">
        <f>_xlfn.XLOOKUP($C2633, 'Instrument Table'!$B:$B, 'Instrument Table'!$A:$A, "")</f>
        <v>40</v>
      </c>
      <c r="G2633" s="1" t="str">
        <f>TEXT(IF($B2633 = "Retail Item", IF((ROW($A2633) - 4504 - _xlfn.XMATCH($C2633, $C$4506:$C$5005, 0, 1)) &lt;= VLOOKUP($C2633, 'Instrument Table'!$B:$D, 3, FALSE), ROW($A2633) - 4504 - _xlfn.XMATCH($C2633, $C$4506:$C$5005, 0, 1), 0), 0), "00")</f>
        <v>00</v>
      </c>
      <c r="H2633" s="1" t="str">
        <f t="shared" si="247"/>
        <v>177</v>
      </c>
      <c r="I2633" s="1" t="str">
        <f t="shared" si="248"/>
        <v>14000-177</v>
      </c>
      <c r="J2633" s="1" t="str">
        <f t="shared" si="249"/>
        <v>French horn production item #177</v>
      </c>
      <c r="K2633" s="1" t="str">
        <f>IF(SUM(COUNTIFS(I:I, I2633)) &gt; 1, "DUPLICATE", "UNIQUE")</f>
        <v>UNIQUE</v>
      </c>
      <c r="L2633" s="18">
        <v>0</v>
      </c>
      <c r="M2633" s="28">
        <v>72</v>
      </c>
      <c r="N2633" s="6">
        <v>196</v>
      </c>
      <c r="O2633" s="30">
        <f t="shared" si="250"/>
        <v>0</v>
      </c>
      <c r="P2633" s="30">
        <f t="shared" si="251"/>
        <v>14112</v>
      </c>
      <c r="Q2633" s="1">
        <f>COUNTIFS($P:$P, "&gt;" &amp; $P2633) + 1</f>
        <v>1411</v>
      </c>
      <c r="R2633" s="63">
        <f>(COUNTIFS($P:$P, "&gt;" &amp; $P2633) + 1) / (COUNTA($I:$I) - 1)</f>
        <v>0.28220000000000001</v>
      </c>
      <c r="S2633" s="23">
        <f>SUMIFS($P:$P, $Q:$Q, "&lt;" &amp; $Q2633)</f>
        <v>173632138</v>
      </c>
    </row>
    <row r="2634" spans="1:19" x14ac:dyDescent="0.25">
      <c r="A2634" s="1">
        <v>2629</v>
      </c>
      <c r="B2634" s="1" t="s">
        <v>2</v>
      </c>
      <c r="C2634" s="1" t="str">
        <f>IF($B2634 = "Production Item", _xlfn.XLOOKUP($A2634, 'Instrument Table'!$J:$J, 'Instrument Table'!$B:$B, $C2633), IF($B2634 = "Service Item", _xlfn.XLOOKUP($A2634, 'Instrument Table'!$I:$I, 'Instrument Table'!$B:$B, $C2633), _xlfn.XLOOKUP($A2634, 'Instrument Table'!$H:$H, 'Instrument Table'!$B:$B, $C2633)))</f>
        <v>French Horn</v>
      </c>
      <c r="D2634" s="1" t="str">
        <f>VLOOKUP($C2634, 'Instrument Table'!$B:$C, 2, FALSE)</f>
        <v>Brass</v>
      </c>
      <c r="E2634" s="1">
        <f t="shared" si="246"/>
        <v>1</v>
      </c>
      <c r="F2634" s="1">
        <f>_xlfn.XLOOKUP($C2634, 'Instrument Table'!$B:$B, 'Instrument Table'!$A:$A, "")</f>
        <v>40</v>
      </c>
      <c r="G2634" s="1" t="str">
        <f>TEXT(IF($B2634 = "Retail Item", IF((ROW($A2634) - 4504 - _xlfn.XMATCH($C2634, $C$4506:$C$5005, 0, 1)) &lt;= VLOOKUP($C2634, 'Instrument Table'!$B:$D, 3, FALSE), ROW($A2634) - 4504 - _xlfn.XMATCH($C2634, $C$4506:$C$5005, 0, 1), 0), 0), "00")</f>
        <v>00</v>
      </c>
      <c r="H2634" s="1" t="str">
        <f t="shared" si="247"/>
        <v>178</v>
      </c>
      <c r="I2634" s="1" t="str">
        <f t="shared" si="248"/>
        <v>14000-178</v>
      </c>
      <c r="J2634" s="1" t="str">
        <f t="shared" si="249"/>
        <v>French horn production item #178</v>
      </c>
      <c r="K2634" s="1" t="str">
        <f>IF(SUM(COUNTIFS(I:I, I2634)) &gt; 1, "DUPLICATE", "UNIQUE")</f>
        <v>UNIQUE</v>
      </c>
      <c r="L2634" s="18">
        <v>0</v>
      </c>
      <c r="M2634" s="28">
        <v>75</v>
      </c>
      <c r="N2634" s="6">
        <v>256</v>
      </c>
      <c r="O2634" s="30">
        <f t="shared" si="250"/>
        <v>0</v>
      </c>
      <c r="P2634" s="30">
        <f t="shared" si="251"/>
        <v>19200</v>
      </c>
      <c r="Q2634" s="1">
        <f>COUNTIFS($P:$P, "&gt;" &amp; $P2634) + 1</f>
        <v>1090</v>
      </c>
      <c r="R2634" s="63">
        <f>(COUNTIFS($P:$P, "&gt;" &amp; $P2634) + 1) / (COUNTA($I:$I) - 1)</f>
        <v>0.218</v>
      </c>
      <c r="S2634" s="23">
        <f>SUMIFS($P:$P, $Q:$Q, "&lt;" &amp; $Q2634)</f>
        <v>168312341</v>
      </c>
    </row>
    <row r="2635" spans="1:19" x14ac:dyDescent="0.25">
      <c r="A2635" s="1">
        <v>2630</v>
      </c>
      <c r="B2635" s="1" t="s">
        <v>2</v>
      </c>
      <c r="C2635" s="1" t="str">
        <f>IF($B2635 = "Production Item", _xlfn.XLOOKUP($A2635, 'Instrument Table'!$J:$J, 'Instrument Table'!$B:$B, $C2634), IF($B2635 = "Service Item", _xlfn.XLOOKUP($A2635, 'Instrument Table'!$I:$I, 'Instrument Table'!$B:$B, $C2634), _xlfn.XLOOKUP($A2635, 'Instrument Table'!$H:$H, 'Instrument Table'!$B:$B, $C2634)))</f>
        <v>French Horn</v>
      </c>
      <c r="D2635" s="1" t="str">
        <f>VLOOKUP($C2635, 'Instrument Table'!$B:$C, 2, FALSE)</f>
        <v>Brass</v>
      </c>
      <c r="E2635" s="1">
        <f t="shared" si="246"/>
        <v>1</v>
      </c>
      <c r="F2635" s="1">
        <f>_xlfn.XLOOKUP($C2635, 'Instrument Table'!$B:$B, 'Instrument Table'!$A:$A, "")</f>
        <v>40</v>
      </c>
      <c r="G2635" s="1" t="str">
        <f>TEXT(IF($B2635 = "Retail Item", IF((ROW($A2635) - 4504 - _xlfn.XMATCH($C2635, $C$4506:$C$5005, 0, 1)) &lt;= VLOOKUP($C2635, 'Instrument Table'!$B:$D, 3, FALSE), ROW($A2635) - 4504 - _xlfn.XMATCH($C2635, $C$4506:$C$5005, 0, 1), 0), 0), "00")</f>
        <v>00</v>
      </c>
      <c r="H2635" s="1" t="str">
        <f t="shared" si="247"/>
        <v>179</v>
      </c>
      <c r="I2635" s="1" t="str">
        <f t="shared" si="248"/>
        <v>14000-179</v>
      </c>
      <c r="J2635" s="1" t="str">
        <f t="shared" si="249"/>
        <v>French horn production item #179</v>
      </c>
      <c r="K2635" s="1" t="str">
        <f>IF(SUM(COUNTIFS(I:I, I2635)) &gt; 1, "DUPLICATE", "UNIQUE")</f>
        <v>UNIQUE</v>
      </c>
      <c r="L2635" s="18">
        <v>1</v>
      </c>
      <c r="M2635" s="28">
        <v>8</v>
      </c>
      <c r="N2635" s="6">
        <v>144</v>
      </c>
      <c r="O2635" s="30">
        <f t="shared" si="250"/>
        <v>8</v>
      </c>
      <c r="P2635" s="30">
        <f t="shared" si="251"/>
        <v>1152</v>
      </c>
      <c r="Q2635" s="1">
        <f>COUNTIFS($P:$P, "&gt;" &amp; $P2635) + 1</f>
        <v>3621</v>
      </c>
      <c r="R2635" s="63">
        <f>(COUNTIFS($P:$P, "&gt;" &amp; $P2635) + 1) / (COUNTA($I:$I) - 1)</f>
        <v>0.72419999999999995</v>
      </c>
      <c r="S2635" s="23">
        <f>SUMIFS($P:$P, $Q:$Q, "&lt;" &amp; $Q2635)</f>
        <v>186094880</v>
      </c>
    </row>
    <row r="2636" spans="1:19" x14ac:dyDescent="0.25">
      <c r="A2636" s="1">
        <v>2631</v>
      </c>
      <c r="B2636" s="1" t="s">
        <v>2</v>
      </c>
      <c r="C2636" s="1" t="str">
        <f>IF($B2636 = "Production Item", _xlfn.XLOOKUP($A2636, 'Instrument Table'!$J:$J, 'Instrument Table'!$B:$B, $C2635), IF($B2636 = "Service Item", _xlfn.XLOOKUP($A2636, 'Instrument Table'!$I:$I, 'Instrument Table'!$B:$B, $C2635), _xlfn.XLOOKUP($A2636, 'Instrument Table'!$H:$H, 'Instrument Table'!$B:$B, $C2635)))</f>
        <v>French Horn</v>
      </c>
      <c r="D2636" s="1" t="str">
        <f>VLOOKUP($C2636, 'Instrument Table'!$B:$C, 2, FALSE)</f>
        <v>Brass</v>
      </c>
      <c r="E2636" s="1">
        <f t="shared" si="246"/>
        <v>1</v>
      </c>
      <c r="F2636" s="1">
        <f>_xlfn.XLOOKUP($C2636, 'Instrument Table'!$B:$B, 'Instrument Table'!$A:$A, "")</f>
        <v>40</v>
      </c>
      <c r="G2636" s="1" t="str">
        <f>TEXT(IF($B2636 = "Retail Item", IF((ROW($A2636) - 4504 - _xlfn.XMATCH($C2636, $C$4506:$C$5005, 0, 1)) &lt;= VLOOKUP($C2636, 'Instrument Table'!$B:$D, 3, FALSE), ROW($A2636) - 4504 - _xlfn.XMATCH($C2636, $C$4506:$C$5005, 0, 1), 0), 0), "00")</f>
        <v>00</v>
      </c>
      <c r="H2636" s="1" t="str">
        <f t="shared" si="247"/>
        <v>180</v>
      </c>
      <c r="I2636" s="1" t="str">
        <f t="shared" si="248"/>
        <v>14000-180</v>
      </c>
      <c r="J2636" s="1" t="str">
        <f t="shared" si="249"/>
        <v>French horn production item #180</v>
      </c>
      <c r="K2636" s="1" t="str">
        <f>IF(SUM(COUNTIFS(I:I, I2636)) &gt; 1, "DUPLICATE", "UNIQUE")</f>
        <v>UNIQUE</v>
      </c>
      <c r="L2636" s="18">
        <v>1</v>
      </c>
      <c r="M2636" s="28">
        <v>15</v>
      </c>
      <c r="N2636" s="6">
        <v>49</v>
      </c>
      <c r="O2636" s="30">
        <f t="shared" si="250"/>
        <v>15</v>
      </c>
      <c r="P2636" s="30">
        <f t="shared" si="251"/>
        <v>735</v>
      </c>
      <c r="Q2636" s="1">
        <f>COUNTIFS($P:$P, "&gt;" &amp; $P2636) + 1</f>
        <v>3842</v>
      </c>
      <c r="R2636" s="63">
        <f>(COUNTIFS($P:$P, "&gt;" &amp; $P2636) + 1) / (COUNTA($I:$I) - 1)</f>
        <v>0.76839999999999997</v>
      </c>
      <c r="S2636" s="23">
        <f>SUMIFS($P:$P, $Q:$Q, "&lt;" &amp; $Q2636)</f>
        <v>186297691</v>
      </c>
    </row>
    <row r="2637" spans="1:19" x14ac:dyDescent="0.25">
      <c r="A2637" s="1">
        <v>2632</v>
      </c>
      <c r="B2637" s="1" t="s">
        <v>2</v>
      </c>
      <c r="C2637" s="1" t="str">
        <f>IF($B2637 = "Production Item", _xlfn.XLOOKUP($A2637, 'Instrument Table'!$J:$J, 'Instrument Table'!$B:$B, $C2636), IF($B2637 = "Service Item", _xlfn.XLOOKUP($A2637, 'Instrument Table'!$I:$I, 'Instrument Table'!$B:$B, $C2636), _xlfn.XLOOKUP($A2637, 'Instrument Table'!$H:$H, 'Instrument Table'!$B:$B, $C2636)))</f>
        <v>French Horn</v>
      </c>
      <c r="D2637" s="1" t="str">
        <f>VLOOKUP($C2637, 'Instrument Table'!$B:$C, 2, FALSE)</f>
        <v>Brass</v>
      </c>
      <c r="E2637" s="1">
        <f t="shared" si="246"/>
        <v>1</v>
      </c>
      <c r="F2637" s="1">
        <f>_xlfn.XLOOKUP($C2637, 'Instrument Table'!$B:$B, 'Instrument Table'!$A:$A, "")</f>
        <v>40</v>
      </c>
      <c r="G2637" s="1" t="str">
        <f>TEXT(IF($B2637 = "Retail Item", IF((ROW($A2637) - 4504 - _xlfn.XMATCH($C2637, $C$4506:$C$5005, 0, 1)) &lt;= VLOOKUP($C2637, 'Instrument Table'!$B:$D, 3, FALSE), ROW($A2637) - 4504 - _xlfn.XMATCH($C2637, $C$4506:$C$5005, 0, 1), 0), 0), "00")</f>
        <v>00</v>
      </c>
      <c r="H2637" s="1" t="str">
        <f t="shared" si="247"/>
        <v>181</v>
      </c>
      <c r="I2637" s="1" t="str">
        <f t="shared" si="248"/>
        <v>14000-181</v>
      </c>
      <c r="J2637" s="1" t="str">
        <f t="shared" si="249"/>
        <v>French horn production item #181</v>
      </c>
      <c r="K2637" s="1" t="str">
        <f>IF(SUM(COUNTIFS(I:I, I2637)) &gt; 1, "DUPLICATE", "UNIQUE")</f>
        <v>UNIQUE</v>
      </c>
      <c r="L2637" s="18">
        <v>1</v>
      </c>
      <c r="M2637" s="28">
        <v>15</v>
      </c>
      <c r="N2637" s="6">
        <v>0</v>
      </c>
      <c r="O2637" s="30">
        <f t="shared" si="250"/>
        <v>15</v>
      </c>
      <c r="P2637" s="30">
        <f t="shared" si="251"/>
        <v>0</v>
      </c>
      <c r="Q2637" s="1">
        <f>COUNTIFS($P:$P, "&gt;" &amp; $P2637) + 1</f>
        <v>4746</v>
      </c>
      <c r="R2637" s="63">
        <f>(COUNTIFS($P:$P, "&gt;" &amp; $P2637) + 1) / (COUNTA($I:$I) - 1)</f>
        <v>0.94920000000000004</v>
      </c>
      <c r="S2637" s="23">
        <f>SUMIFS($P:$P, $Q:$Q, "&lt;" &amp; $Q2637)</f>
        <v>186547861</v>
      </c>
    </row>
    <row r="2638" spans="1:19" x14ac:dyDescent="0.25">
      <c r="A2638" s="1">
        <v>2633</v>
      </c>
      <c r="B2638" s="1" t="s">
        <v>2</v>
      </c>
      <c r="C2638" s="1" t="str">
        <f>IF($B2638 = "Production Item", _xlfn.XLOOKUP($A2638, 'Instrument Table'!$J:$J, 'Instrument Table'!$B:$B, $C2637), IF($B2638 = "Service Item", _xlfn.XLOOKUP($A2638, 'Instrument Table'!$I:$I, 'Instrument Table'!$B:$B, $C2637), _xlfn.XLOOKUP($A2638, 'Instrument Table'!$H:$H, 'Instrument Table'!$B:$B, $C2637)))</f>
        <v>French Horn</v>
      </c>
      <c r="D2638" s="1" t="str">
        <f>VLOOKUP($C2638, 'Instrument Table'!$B:$C, 2, FALSE)</f>
        <v>Brass</v>
      </c>
      <c r="E2638" s="1">
        <f t="shared" si="246"/>
        <v>1</v>
      </c>
      <c r="F2638" s="1">
        <f>_xlfn.XLOOKUP($C2638, 'Instrument Table'!$B:$B, 'Instrument Table'!$A:$A, "")</f>
        <v>40</v>
      </c>
      <c r="G2638" s="1" t="str">
        <f>TEXT(IF($B2638 = "Retail Item", IF((ROW($A2638) - 4504 - _xlfn.XMATCH($C2638, $C$4506:$C$5005, 0, 1)) &lt;= VLOOKUP($C2638, 'Instrument Table'!$B:$D, 3, FALSE), ROW($A2638) - 4504 - _xlfn.XMATCH($C2638, $C$4506:$C$5005, 0, 1), 0), 0), "00")</f>
        <v>00</v>
      </c>
      <c r="H2638" s="1" t="str">
        <f t="shared" si="247"/>
        <v>182</v>
      </c>
      <c r="I2638" s="1" t="str">
        <f t="shared" si="248"/>
        <v>14000-182</v>
      </c>
      <c r="J2638" s="1" t="str">
        <f t="shared" si="249"/>
        <v>French horn production item #182</v>
      </c>
      <c r="K2638" s="1" t="str">
        <f>IF(SUM(COUNTIFS(I:I, I2638)) &gt; 1, "DUPLICATE", "UNIQUE")</f>
        <v>UNIQUE</v>
      </c>
      <c r="L2638" s="18">
        <v>8</v>
      </c>
      <c r="M2638" s="28">
        <v>47</v>
      </c>
      <c r="N2638" s="6">
        <v>324</v>
      </c>
      <c r="O2638" s="30">
        <f t="shared" si="250"/>
        <v>376</v>
      </c>
      <c r="P2638" s="30">
        <f t="shared" si="251"/>
        <v>15228</v>
      </c>
      <c r="Q2638" s="1">
        <f>COUNTIFS($P:$P, "&gt;" &amp; $P2638) + 1</f>
        <v>1333</v>
      </c>
      <c r="R2638" s="63">
        <f>(COUNTIFS($P:$P, "&gt;" &amp; $P2638) + 1) / (COUNTA($I:$I) - 1)</f>
        <v>0.2666</v>
      </c>
      <c r="S2638" s="23">
        <f>SUMIFS($P:$P, $Q:$Q, "&lt;" &amp; $Q2638)</f>
        <v>172485652</v>
      </c>
    </row>
    <row r="2639" spans="1:19" x14ac:dyDescent="0.25">
      <c r="A2639" s="1">
        <v>2634</v>
      </c>
      <c r="B2639" s="1" t="s">
        <v>2</v>
      </c>
      <c r="C2639" s="1" t="str">
        <f>IF($B2639 = "Production Item", _xlfn.XLOOKUP($A2639, 'Instrument Table'!$J:$J, 'Instrument Table'!$B:$B, $C2638), IF($B2639 = "Service Item", _xlfn.XLOOKUP($A2639, 'Instrument Table'!$I:$I, 'Instrument Table'!$B:$B, $C2638), _xlfn.XLOOKUP($A2639, 'Instrument Table'!$H:$H, 'Instrument Table'!$B:$B, $C2638)))</f>
        <v>French Horn</v>
      </c>
      <c r="D2639" s="1" t="str">
        <f>VLOOKUP($C2639, 'Instrument Table'!$B:$C, 2, FALSE)</f>
        <v>Brass</v>
      </c>
      <c r="E2639" s="1">
        <f t="shared" si="246"/>
        <v>1</v>
      </c>
      <c r="F2639" s="1">
        <f>_xlfn.XLOOKUP($C2639, 'Instrument Table'!$B:$B, 'Instrument Table'!$A:$A, "")</f>
        <v>40</v>
      </c>
      <c r="G2639" s="1" t="str">
        <f>TEXT(IF($B2639 = "Retail Item", IF((ROW($A2639) - 4504 - _xlfn.XMATCH($C2639, $C$4506:$C$5005, 0, 1)) &lt;= VLOOKUP($C2639, 'Instrument Table'!$B:$D, 3, FALSE), ROW($A2639) - 4504 - _xlfn.XMATCH($C2639, $C$4506:$C$5005, 0, 1), 0), 0), "00")</f>
        <v>00</v>
      </c>
      <c r="H2639" s="1" t="str">
        <f t="shared" si="247"/>
        <v>183</v>
      </c>
      <c r="I2639" s="1" t="str">
        <f t="shared" si="248"/>
        <v>14000-183</v>
      </c>
      <c r="J2639" s="1" t="str">
        <f t="shared" si="249"/>
        <v>French horn production item #183</v>
      </c>
      <c r="K2639" s="1" t="str">
        <f>IF(SUM(COUNTIFS(I:I, I2639)) &gt; 1, "DUPLICATE", "UNIQUE")</f>
        <v>UNIQUE</v>
      </c>
      <c r="L2639" s="18">
        <v>8</v>
      </c>
      <c r="M2639" s="28">
        <v>30</v>
      </c>
      <c r="N2639" s="6">
        <v>256</v>
      </c>
      <c r="O2639" s="30">
        <f t="shared" si="250"/>
        <v>240</v>
      </c>
      <c r="P2639" s="30">
        <f t="shared" si="251"/>
        <v>7680</v>
      </c>
      <c r="Q2639" s="1">
        <f>COUNTIFS($P:$P, "&gt;" &amp; $P2639) + 1</f>
        <v>2042</v>
      </c>
      <c r="R2639" s="63">
        <f>(COUNTIFS($P:$P, "&gt;" &amp; $P2639) + 1) / (COUNTA($I:$I) - 1)</f>
        <v>0.40839999999999999</v>
      </c>
      <c r="S2639" s="23">
        <f>SUMIFS($P:$P, $Q:$Q, "&lt;" &amp; $Q2639)</f>
        <v>180323754</v>
      </c>
    </row>
    <row r="2640" spans="1:19" x14ac:dyDescent="0.25">
      <c r="A2640" s="1">
        <v>2635</v>
      </c>
      <c r="B2640" s="1" t="s">
        <v>2</v>
      </c>
      <c r="C2640" s="1" t="str">
        <f>IF($B2640 = "Production Item", _xlfn.XLOOKUP($A2640, 'Instrument Table'!$J:$J, 'Instrument Table'!$B:$B, $C2639), IF($B2640 = "Service Item", _xlfn.XLOOKUP($A2640, 'Instrument Table'!$I:$I, 'Instrument Table'!$B:$B, $C2639), _xlfn.XLOOKUP($A2640, 'Instrument Table'!$H:$H, 'Instrument Table'!$B:$B, $C2639)))</f>
        <v>French Horn</v>
      </c>
      <c r="D2640" s="1" t="str">
        <f>VLOOKUP($C2640, 'Instrument Table'!$B:$C, 2, FALSE)</f>
        <v>Brass</v>
      </c>
      <c r="E2640" s="1">
        <f t="shared" si="246"/>
        <v>1</v>
      </c>
      <c r="F2640" s="1">
        <f>_xlfn.XLOOKUP($C2640, 'Instrument Table'!$B:$B, 'Instrument Table'!$A:$A, "")</f>
        <v>40</v>
      </c>
      <c r="G2640" s="1" t="str">
        <f>TEXT(IF($B2640 = "Retail Item", IF((ROW($A2640) - 4504 - _xlfn.XMATCH($C2640, $C$4506:$C$5005, 0, 1)) &lt;= VLOOKUP($C2640, 'Instrument Table'!$B:$D, 3, FALSE), ROW($A2640) - 4504 - _xlfn.XMATCH($C2640, $C$4506:$C$5005, 0, 1), 0), 0), "00")</f>
        <v>00</v>
      </c>
      <c r="H2640" s="1" t="str">
        <f t="shared" si="247"/>
        <v>184</v>
      </c>
      <c r="I2640" s="1" t="str">
        <f t="shared" si="248"/>
        <v>14000-184</v>
      </c>
      <c r="J2640" s="1" t="str">
        <f t="shared" si="249"/>
        <v>French horn production item #184</v>
      </c>
      <c r="K2640" s="1" t="str">
        <f>IF(SUM(COUNTIFS(I:I, I2640)) &gt; 1, "DUPLICATE", "UNIQUE")</f>
        <v>UNIQUE</v>
      </c>
      <c r="L2640" s="18">
        <v>0</v>
      </c>
      <c r="M2640" s="28">
        <v>63</v>
      </c>
      <c r="N2640" s="6">
        <v>1</v>
      </c>
      <c r="O2640" s="30">
        <f t="shared" si="250"/>
        <v>0</v>
      </c>
      <c r="P2640" s="30">
        <f t="shared" si="251"/>
        <v>63</v>
      </c>
      <c r="Q2640" s="1">
        <f>COUNTIFS($P:$P, "&gt;" &amp; $P2640) + 1</f>
        <v>4568</v>
      </c>
      <c r="R2640" s="63">
        <f>(COUNTIFS($P:$P, "&gt;" &amp; $P2640) + 1) / (COUNTA($I:$I) - 1)</f>
        <v>0.91359999999999997</v>
      </c>
      <c r="S2640" s="23">
        <f>SUMIFS($P:$P, $Q:$Q, "&lt;" &amp; $Q2640)</f>
        <v>186541810</v>
      </c>
    </row>
    <row r="2641" spans="1:19" x14ac:dyDescent="0.25">
      <c r="A2641" s="1">
        <v>2636</v>
      </c>
      <c r="B2641" s="1" t="s">
        <v>2</v>
      </c>
      <c r="C2641" s="1" t="str">
        <f>IF($B2641 = "Production Item", _xlfn.XLOOKUP($A2641, 'Instrument Table'!$J:$J, 'Instrument Table'!$B:$B, $C2640), IF($B2641 = "Service Item", _xlfn.XLOOKUP($A2641, 'Instrument Table'!$I:$I, 'Instrument Table'!$B:$B, $C2640), _xlfn.XLOOKUP($A2641, 'Instrument Table'!$H:$H, 'Instrument Table'!$B:$B, $C2640)))</f>
        <v>French Horn</v>
      </c>
      <c r="D2641" s="1" t="str">
        <f>VLOOKUP($C2641, 'Instrument Table'!$B:$C, 2, FALSE)</f>
        <v>Brass</v>
      </c>
      <c r="E2641" s="1">
        <f t="shared" si="246"/>
        <v>1</v>
      </c>
      <c r="F2641" s="1">
        <f>_xlfn.XLOOKUP($C2641, 'Instrument Table'!$B:$B, 'Instrument Table'!$A:$A, "")</f>
        <v>40</v>
      </c>
      <c r="G2641" s="1" t="str">
        <f>TEXT(IF($B2641 = "Retail Item", IF((ROW($A2641) - 4504 - _xlfn.XMATCH($C2641, $C$4506:$C$5005, 0, 1)) &lt;= VLOOKUP($C2641, 'Instrument Table'!$B:$D, 3, FALSE), ROW($A2641) - 4504 - _xlfn.XMATCH($C2641, $C$4506:$C$5005, 0, 1), 0), 0), "00")</f>
        <v>00</v>
      </c>
      <c r="H2641" s="1" t="str">
        <f t="shared" si="247"/>
        <v>185</v>
      </c>
      <c r="I2641" s="1" t="str">
        <f t="shared" si="248"/>
        <v>14000-185</v>
      </c>
      <c r="J2641" s="1" t="str">
        <f t="shared" si="249"/>
        <v>French horn production item #185</v>
      </c>
      <c r="K2641" s="1" t="str">
        <f>IF(SUM(COUNTIFS(I:I, I2641)) &gt; 1, "DUPLICATE", "UNIQUE")</f>
        <v>UNIQUE</v>
      </c>
      <c r="L2641" s="18">
        <v>1</v>
      </c>
      <c r="M2641" s="28">
        <v>83</v>
      </c>
      <c r="N2641" s="6">
        <v>16</v>
      </c>
      <c r="O2641" s="30">
        <f t="shared" si="250"/>
        <v>83</v>
      </c>
      <c r="P2641" s="30">
        <f t="shared" si="251"/>
        <v>1328</v>
      </c>
      <c r="Q2641" s="1">
        <f>COUNTIFS($P:$P, "&gt;" &amp; $P2641) + 1</f>
        <v>3552</v>
      </c>
      <c r="R2641" s="63">
        <f>(COUNTIFS($P:$P, "&gt;" &amp; $P2641) + 1) / (COUNTA($I:$I) - 1)</f>
        <v>0.71040000000000003</v>
      </c>
      <c r="S2641" s="23">
        <f>SUMIFS($P:$P, $Q:$Q, "&lt;" &amp; $Q2641)</f>
        <v>186008741</v>
      </c>
    </row>
    <row r="2642" spans="1:19" x14ac:dyDescent="0.25">
      <c r="A2642" s="1">
        <v>2637</v>
      </c>
      <c r="B2642" s="1" t="s">
        <v>2</v>
      </c>
      <c r="C2642" s="1" t="str">
        <f>IF($B2642 = "Production Item", _xlfn.XLOOKUP($A2642, 'Instrument Table'!$J:$J, 'Instrument Table'!$B:$B, $C2641), IF($B2642 = "Service Item", _xlfn.XLOOKUP($A2642, 'Instrument Table'!$I:$I, 'Instrument Table'!$B:$B, $C2641), _xlfn.XLOOKUP($A2642, 'Instrument Table'!$H:$H, 'Instrument Table'!$B:$B, $C2641)))</f>
        <v>French Horn</v>
      </c>
      <c r="D2642" s="1" t="str">
        <f>VLOOKUP($C2642, 'Instrument Table'!$B:$C, 2, FALSE)</f>
        <v>Brass</v>
      </c>
      <c r="E2642" s="1">
        <f t="shared" si="246"/>
        <v>1</v>
      </c>
      <c r="F2642" s="1">
        <f>_xlfn.XLOOKUP($C2642, 'Instrument Table'!$B:$B, 'Instrument Table'!$A:$A, "")</f>
        <v>40</v>
      </c>
      <c r="G2642" s="1" t="str">
        <f>TEXT(IF($B2642 = "Retail Item", IF((ROW($A2642) - 4504 - _xlfn.XMATCH($C2642, $C$4506:$C$5005, 0, 1)) &lt;= VLOOKUP($C2642, 'Instrument Table'!$B:$D, 3, FALSE), ROW($A2642) - 4504 - _xlfn.XMATCH($C2642, $C$4506:$C$5005, 0, 1), 0), 0), "00")</f>
        <v>00</v>
      </c>
      <c r="H2642" s="1" t="str">
        <f t="shared" si="247"/>
        <v>186</v>
      </c>
      <c r="I2642" s="1" t="str">
        <f t="shared" si="248"/>
        <v>14000-186</v>
      </c>
      <c r="J2642" s="1" t="str">
        <f t="shared" si="249"/>
        <v>French horn production item #186</v>
      </c>
      <c r="K2642" s="1" t="str">
        <f>IF(SUM(COUNTIFS(I:I, I2642)) &gt; 1, "DUPLICATE", "UNIQUE")</f>
        <v>UNIQUE</v>
      </c>
      <c r="L2642" s="18">
        <v>0</v>
      </c>
      <c r="M2642" s="28">
        <v>57</v>
      </c>
      <c r="N2642" s="6">
        <v>196</v>
      </c>
      <c r="O2642" s="30">
        <f t="shared" si="250"/>
        <v>0</v>
      </c>
      <c r="P2642" s="30">
        <f t="shared" si="251"/>
        <v>11172</v>
      </c>
      <c r="Q2642" s="1">
        <f>COUNTIFS($P:$P, "&gt;" &amp; $P2642) + 1</f>
        <v>1671</v>
      </c>
      <c r="R2642" s="63">
        <f>(COUNTIFS($P:$P, "&gt;" &amp; $P2642) + 1) / (COUNTA($I:$I) - 1)</f>
        <v>0.3342</v>
      </c>
      <c r="S2642" s="23">
        <f>SUMIFS($P:$P, $Q:$Q, "&lt;" &amp; $Q2642)</f>
        <v>176894728</v>
      </c>
    </row>
    <row r="2643" spans="1:19" x14ac:dyDescent="0.25">
      <c r="A2643" s="1">
        <v>2638</v>
      </c>
      <c r="B2643" s="1" t="s">
        <v>2</v>
      </c>
      <c r="C2643" s="1" t="str">
        <f>IF($B2643 = "Production Item", _xlfn.XLOOKUP($A2643, 'Instrument Table'!$J:$J, 'Instrument Table'!$B:$B, $C2642), IF($B2643 = "Service Item", _xlfn.XLOOKUP($A2643, 'Instrument Table'!$I:$I, 'Instrument Table'!$B:$B, $C2642), _xlfn.XLOOKUP($A2643, 'Instrument Table'!$H:$H, 'Instrument Table'!$B:$B, $C2642)))</f>
        <v>French Horn</v>
      </c>
      <c r="D2643" s="1" t="str">
        <f>VLOOKUP($C2643, 'Instrument Table'!$B:$C, 2, FALSE)</f>
        <v>Brass</v>
      </c>
      <c r="E2643" s="1">
        <f t="shared" si="246"/>
        <v>1</v>
      </c>
      <c r="F2643" s="1">
        <f>_xlfn.XLOOKUP($C2643, 'Instrument Table'!$B:$B, 'Instrument Table'!$A:$A, "")</f>
        <v>40</v>
      </c>
      <c r="G2643" s="1" t="str">
        <f>TEXT(IF($B2643 = "Retail Item", IF((ROW($A2643) - 4504 - _xlfn.XMATCH($C2643, $C$4506:$C$5005, 0, 1)) &lt;= VLOOKUP($C2643, 'Instrument Table'!$B:$D, 3, FALSE), ROW($A2643) - 4504 - _xlfn.XMATCH($C2643, $C$4506:$C$5005, 0, 1), 0), 0), "00")</f>
        <v>00</v>
      </c>
      <c r="H2643" s="1" t="str">
        <f t="shared" si="247"/>
        <v>187</v>
      </c>
      <c r="I2643" s="1" t="str">
        <f t="shared" si="248"/>
        <v>14000-187</v>
      </c>
      <c r="J2643" s="1" t="str">
        <f t="shared" si="249"/>
        <v>French horn production item #187</v>
      </c>
      <c r="K2643" s="1" t="str">
        <f>IF(SUM(COUNTIFS(I:I, I2643)) &gt; 1, "DUPLICATE", "UNIQUE")</f>
        <v>UNIQUE</v>
      </c>
      <c r="L2643" s="18">
        <v>0</v>
      </c>
      <c r="M2643" s="28">
        <v>34</v>
      </c>
      <c r="N2643" s="6">
        <v>1</v>
      </c>
      <c r="O2643" s="30">
        <f t="shared" si="250"/>
        <v>0</v>
      </c>
      <c r="P2643" s="30">
        <f t="shared" si="251"/>
        <v>34</v>
      </c>
      <c r="Q2643" s="1">
        <f>COUNTIFS($P:$P, "&gt;" &amp; $P2643) + 1</f>
        <v>4656</v>
      </c>
      <c r="R2643" s="63">
        <f>(COUNTIFS($P:$P, "&gt;" &amp; $P2643) + 1) / (COUNTA($I:$I) - 1)</f>
        <v>0.93120000000000003</v>
      </c>
      <c r="S2643" s="23">
        <f>SUMIFS($P:$P, $Q:$Q, "&lt;" &amp; $Q2643)</f>
        <v>186546240</v>
      </c>
    </row>
    <row r="2644" spans="1:19" x14ac:dyDescent="0.25">
      <c r="A2644" s="1">
        <v>2639</v>
      </c>
      <c r="B2644" s="1" t="s">
        <v>2</v>
      </c>
      <c r="C2644" s="1" t="str">
        <f>IF($B2644 = "Production Item", _xlfn.XLOOKUP($A2644, 'Instrument Table'!$J:$J, 'Instrument Table'!$B:$B, $C2643), IF($B2644 = "Service Item", _xlfn.XLOOKUP($A2644, 'Instrument Table'!$I:$I, 'Instrument Table'!$B:$B, $C2643), _xlfn.XLOOKUP($A2644, 'Instrument Table'!$H:$H, 'Instrument Table'!$B:$B, $C2643)))</f>
        <v>French Horn</v>
      </c>
      <c r="D2644" s="1" t="str">
        <f>VLOOKUP($C2644, 'Instrument Table'!$B:$C, 2, FALSE)</f>
        <v>Brass</v>
      </c>
      <c r="E2644" s="1">
        <f t="shared" si="246"/>
        <v>1</v>
      </c>
      <c r="F2644" s="1">
        <f>_xlfn.XLOOKUP($C2644, 'Instrument Table'!$B:$B, 'Instrument Table'!$A:$A, "")</f>
        <v>40</v>
      </c>
      <c r="G2644" s="1" t="str">
        <f>TEXT(IF($B2644 = "Retail Item", IF((ROW($A2644) - 4504 - _xlfn.XMATCH($C2644, $C$4506:$C$5005, 0, 1)) &lt;= VLOOKUP($C2644, 'Instrument Table'!$B:$D, 3, FALSE), ROW($A2644) - 4504 - _xlfn.XMATCH($C2644, $C$4506:$C$5005, 0, 1), 0), 0), "00")</f>
        <v>00</v>
      </c>
      <c r="H2644" s="1" t="str">
        <f t="shared" si="247"/>
        <v>188</v>
      </c>
      <c r="I2644" s="1" t="str">
        <f t="shared" si="248"/>
        <v>14000-188</v>
      </c>
      <c r="J2644" s="1" t="str">
        <f t="shared" si="249"/>
        <v>French horn production item #188</v>
      </c>
      <c r="K2644" s="1" t="str">
        <f>IF(SUM(COUNTIFS(I:I, I2644)) &gt; 1, "DUPLICATE", "UNIQUE")</f>
        <v>UNIQUE</v>
      </c>
      <c r="L2644" s="18">
        <v>1</v>
      </c>
      <c r="M2644" s="28">
        <v>43</v>
      </c>
      <c r="N2644" s="6">
        <v>196</v>
      </c>
      <c r="O2644" s="30">
        <f t="shared" si="250"/>
        <v>43</v>
      </c>
      <c r="P2644" s="30">
        <f t="shared" si="251"/>
        <v>8428</v>
      </c>
      <c r="Q2644" s="1">
        <f>COUNTIFS($P:$P, "&gt;" &amp; $P2644) + 1</f>
        <v>1933</v>
      </c>
      <c r="R2644" s="63">
        <f>(COUNTIFS($P:$P, "&gt;" &amp; $P2644) + 1) / (COUNTA($I:$I) - 1)</f>
        <v>0.3866</v>
      </c>
      <c r="S2644" s="23">
        <f>SUMIFS($P:$P, $Q:$Q, "&lt;" &amp; $Q2644)</f>
        <v>179448605</v>
      </c>
    </row>
    <row r="2645" spans="1:19" x14ac:dyDescent="0.25">
      <c r="A2645" s="1">
        <v>2640</v>
      </c>
      <c r="B2645" s="1" t="s">
        <v>2</v>
      </c>
      <c r="C2645" s="1" t="str">
        <f>IF($B2645 = "Production Item", _xlfn.XLOOKUP($A2645, 'Instrument Table'!$J:$J, 'Instrument Table'!$B:$B, $C2644), IF($B2645 = "Service Item", _xlfn.XLOOKUP($A2645, 'Instrument Table'!$I:$I, 'Instrument Table'!$B:$B, $C2644), _xlfn.XLOOKUP($A2645, 'Instrument Table'!$H:$H, 'Instrument Table'!$B:$B, $C2644)))</f>
        <v>French Horn</v>
      </c>
      <c r="D2645" s="1" t="str">
        <f>VLOOKUP($C2645, 'Instrument Table'!$B:$C, 2, FALSE)</f>
        <v>Brass</v>
      </c>
      <c r="E2645" s="1">
        <f t="shared" si="246"/>
        <v>1</v>
      </c>
      <c r="F2645" s="1">
        <f>_xlfn.XLOOKUP($C2645, 'Instrument Table'!$B:$B, 'Instrument Table'!$A:$A, "")</f>
        <v>40</v>
      </c>
      <c r="G2645" s="1" t="str">
        <f>TEXT(IF($B2645 = "Retail Item", IF((ROW($A2645) - 4504 - _xlfn.XMATCH($C2645, $C$4506:$C$5005, 0, 1)) &lt;= VLOOKUP($C2645, 'Instrument Table'!$B:$D, 3, FALSE), ROW($A2645) - 4504 - _xlfn.XMATCH($C2645, $C$4506:$C$5005, 0, 1), 0), 0), "00")</f>
        <v>00</v>
      </c>
      <c r="H2645" s="1" t="str">
        <f t="shared" si="247"/>
        <v>189</v>
      </c>
      <c r="I2645" s="1" t="str">
        <f t="shared" si="248"/>
        <v>14000-189</v>
      </c>
      <c r="J2645" s="1" t="str">
        <f t="shared" si="249"/>
        <v>French horn production item #189</v>
      </c>
      <c r="K2645" s="1" t="str">
        <f>IF(SUM(COUNTIFS(I:I, I2645)) &gt; 1, "DUPLICATE", "UNIQUE")</f>
        <v>UNIQUE</v>
      </c>
      <c r="L2645" s="18">
        <v>1</v>
      </c>
      <c r="M2645" s="28">
        <v>8</v>
      </c>
      <c r="N2645" s="6">
        <v>0</v>
      </c>
      <c r="O2645" s="30">
        <f t="shared" si="250"/>
        <v>8</v>
      </c>
      <c r="P2645" s="30">
        <f t="shared" si="251"/>
        <v>0</v>
      </c>
      <c r="Q2645" s="1">
        <f>COUNTIFS($P:$P, "&gt;" &amp; $P2645) + 1</f>
        <v>4746</v>
      </c>
      <c r="R2645" s="63">
        <f>(COUNTIFS($P:$P, "&gt;" &amp; $P2645) + 1) / (COUNTA($I:$I) - 1)</f>
        <v>0.94920000000000004</v>
      </c>
      <c r="S2645" s="23">
        <f>SUMIFS($P:$P, $Q:$Q, "&lt;" &amp; $Q2645)</f>
        <v>186547861</v>
      </c>
    </row>
    <row r="2646" spans="1:19" x14ac:dyDescent="0.25">
      <c r="A2646" s="1">
        <v>2641</v>
      </c>
      <c r="B2646" s="1" t="s">
        <v>2</v>
      </c>
      <c r="C2646" s="1" t="str">
        <f>IF($B2646 = "Production Item", _xlfn.XLOOKUP($A2646, 'Instrument Table'!$J:$J, 'Instrument Table'!$B:$B, $C2645), IF($B2646 = "Service Item", _xlfn.XLOOKUP($A2646, 'Instrument Table'!$I:$I, 'Instrument Table'!$B:$B, $C2645), _xlfn.XLOOKUP($A2646, 'Instrument Table'!$H:$H, 'Instrument Table'!$B:$B, $C2645)))</f>
        <v>French Horn</v>
      </c>
      <c r="D2646" s="1" t="str">
        <f>VLOOKUP($C2646, 'Instrument Table'!$B:$C, 2, FALSE)</f>
        <v>Brass</v>
      </c>
      <c r="E2646" s="1">
        <f t="shared" si="246"/>
        <v>1</v>
      </c>
      <c r="F2646" s="1">
        <f>_xlfn.XLOOKUP($C2646, 'Instrument Table'!$B:$B, 'Instrument Table'!$A:$A, "")</f>
        <v>40</v>
      </c>
      <c r="G2646" s="1" t="str">
        <f>TEXT(IF($B2646 = "Retail Item", IF((ROW($A2646) - 4504 - _xlfn.XMATCH($C2646, $C$4506:$C$5005, 0, 1)) &lt;= VLOOKUP($C2646, 'Instrument Table'!$B:$D, 3, FALSE), ROW($A2646) - 4504 - _xlfn.XMATCH($C2646, $C$4506:$C$5005, 0, 1), 0), 0), "00")</f>
        <v>00</v>
      </c>
      <c r="H2646" s="1" t="str">
        <f t="shared" si="247"/>
        <v>190</v>
      </c>
      <c r="I2646" s="1" t="str">
        <f t="shared" si="248"/>
        <v>14000-190</v>
      </c>
      <c r="J2646" s="1" t="str">
        <f t="shared" si="249"/>
        <v>French horn production item #190</v>
      </c>
      <c r="K2646" s="1" t="str">
        <f>IF(SUM(COUNTIFS(I:I, I2646)) &gt; 1, "DUPLICATE", "UNIQUE")</f>
        <v>UNIQUE</v>
      </c>
      <c r="L2646" s="18">
        <v>1</v>
      </c>
      <c r="M2646" s="28">
        <v>72</v>
      </c>
      <c r="N2646" s="6">
        <v>1</v>
      </c>
      <c r="O2646" s="30">
        <f t="shared" si="250"/>
        <v>72</v>
      </c>
      <c r="P2646" s="30">
        <f t="shared" si="251"/>
        <v>72</v>
      </c>
      <c r="Q2646" s="1">
        <f>COUNTIFS($P:$P, "&gt;" &amp; $P2646) + 1</f>
        <v>4534</v>
      </c>
      <c r="R2646" s="63">
        <f>(COUNTIFS($P:$P, "&gt;" &amp; $P2646) + 1) / (COUNTA($I:$I) - 1)</f>
        <v>0.90680000000000005</v>
      </c>
      <c r="S2646" s="23">
        <f>SUMIFS($P:$P, $Q:$Q, "&lt;" &amp; $Q2646)</f>
        <v>186539538</v>
      </c>
    </row>
    <row r="2647" spans="1:19" x14ac:dyDescent="0.25">
      <c r="A2647" s="1">
        <v>2642</v>
      </c>
      <c r="B2647" s="1" t="s">
        <v>2</v>
      </c>
      <c r="C2647" s="1" t="str">
        <f>IF($B2647 = "Production Item", _xlfn.XLOOKUP($A2647, 'Instrument Table'!$J:$J, 'Instrument Table'!$B:$B, $C2646), IF($B2647 = "Service Item", _xlfn.XLOOKUP($A2647, 'Instrument Table'!$I:$I, 'Instrument Table'!$B:$B, $C2646), _xlfn.XLOOKUP($A2647, 'Instrument Table'!$H:$H, 'Instrument Table'!$B:$B, $C2646)))</f>
        <v>French Horn</v>
      </c>
      <c r="D2647" s="1" t="str">
        <f>VLOOKUP($C2647, 'Instrument Table'!$B:$C, 2, FALSE)</f>
        <v>Brass</v>
      </c>
      <c r="E2647" s="1">
        <f t="shared" si="246"/>
        <v>1</v>
      </c>
      <c r="F2647" s="1">
        <f>_xlfn.XLOOKUP($C2647, 'Instrument Table'!$B:$B, 'Instrument Table'!$A:$A, "")</f>
        <v>40</v>
      </c>
      <c r="G2647" s="1" t="str">
        <f>TEXT(IF($B2647 = "Retail Item", IF((ROW($A2647) - 4504 - _xlfn.XMATCH($C2647, $C$4506:$C$5005, 0, 1)) &lt;= VLOOKUP($C2647, 'Instrument Table'!$B:$D, 3, FALSE), ROW($A2647) - 4504 - _xlfn.XMATCH($C2647, $C$4506:$C$5005, 0, 1), 0), 0), "00")</f>
        <v>00</v>
      </c>
      <c r="H2647" s="1" t="str">
        <f t="shared" si="247"/>
        <v>191</v>
      </c>
      <c r="I2647" s="1" t="str">
        <f t="shared" si="248"/>
        <v>14000-191</v>
      </c>
      <c r="J2647" s="1" t="str">
        <f t="shared" si="249"/>
        <v>French horn production item #191</v>
      </c>
      <c r="K2647" s="1" t="str">
        <f>IF(SUM(COUNTIFS(I:I, I2647)) &gt; 1, "DUPLICATE", "UNIQUE")</f>
        <v>UNIQUE</v>
      </c>
      <c r="L2647" s="18">
        <v>1</v>
      </c>
      <c r="M2647" s="28">
        <v>100</v>
      </c>
      <c r="N2647" s="6">
        <v>256</v>
      </c>
      <c r="O2647" s="30">
        <f t="shared" si="250"/>
        <v>100</v>
      </c>
      <c r="P2647" s="30">
        <f t="shared" si="251"/>
        <v>25600</v>
      </c>
      <c r="Q2647" s="1">
        <f>COUNTIFS($P:$P, "&gt;" &amp; $P2647) + 1</f>
        <v>807</v>
      </c>
      <c r="R2647" s="63">
        <f>(COUNTIFS($P:$P, "&gt;" &amp; $P2647) + 1) / (COUNTA($I:$I) - 1)</f>
        <v>0.16139999999999999</v>
      </c>
      <c r="S2647" s="23">
        <f>SUMIFS($P:$P, $Q:$Q, "&lt;" &amp; $Q2647)</f>
        <v>162007541</v>
      </c>
    </row>
    <row r="2648" spans="1:19" x14ac:dyDescent="0.25">
      <c r="A2648" s="1">
        <v>2643</v>
      </c>
      <c r="B2648" s="1" t="s">
        <v>2</v>
      </c>
      <c r="C2648" s="1" t="str">
        <f>IF($B2648 = "Production Item", _xlfn.XLOOKUP($A2648, 'Instrument Table'!$J:$J, 'Instrument Table'!$B:$B, $C2647), IF($B2648 = "Service Item", _xlfn.XLOOKUP($A2648, 'Instrument Table'!$I:$I, 'Instrument Table'!$B:$B, $C2647), _xlfn.XLOOKUP($A2648, 'Instrument Table'!$H:$H, 'Instrument Table'!$B:$B, $C2647)))</f>
        <v>French Horn</v>
      </c>
      <c r="D2648" s="1" t="str">
        <f>VLOOKUP($C2648, 'Instrument Table'!$B:$C, 2, FALSE)</f>
        <v>Brass</v>
      </c>
      <c r="E2648" s="1">
        <f t="shared" si="246"/>
        <v>1</v>
      </c>
      <c r="F2648" s="1">
        <f>_xlfn.XLOOKUP($C2648, 'Instrument Table'!$B:$B, 'Instrument Table'!$A:$A, "")</f>
        <v>40</v>
      </c>
      <c r="G2648" s="1" t="str">
        <f>TEXT(IF($B2648 = "Retail Item", IF((ROW($A2648) - 4504 - _xlfn.XMATCH($C2648, $C$4506:$C$5005, 0, 1)) &lt;= VLOOKUP($C2648, 'Instrument Table'!$B:$D, 3, FALSE), ROW($A2648) - 4504 - _xlfn.XMATCH($C2648, $C$4506:$C$5005, 0, 1), 0), 0), "00")</f>
        <v>00</v>
      </c>
      <c r="H2648" s="1" t="str">
        <f t="shared" si="247"/>
        <v>192</v>
      </c>
      <c r="I2648" s="1" t="str">
        <f t="shared" si="248"/>
        <v>14000-192</v>
      </c>
      <c r="J2648" s="1" t="str">
        <f t="shared" si="249"/>
        <v>French horn production item #192</v>
      </c>
      <c r="K2648" s="1" t="str">
        <f>IF(SUM(COUNTIFS(I:I, I2648)) &gt; 1, "DUPLICATE", "UNIQUE")</f>
        <v>UNIQUE</v>
      </c>
      <c r="L2648" s="18">
        <v>4</v>
      </c>
      <c r="M2648" s="28">
        <v>56</v>
      </c>
      <c r="N2648" s="6">
        <v>81</v>
      </c>
      <c r="O2648" s="30">
        <f t="shared" si="250"/>
        <v>224</v>
      </c>
      <c r="P2648" s="30">
        <f t="shared" si="251"/>
        <v>4536</v>
      </c>
      <c r="Q2648" s="1">
        <f>COUNTIFS($P:$P, "&gt;" &amp; $P2648) + 1</f>
        <v>2534</v>
      </c>
      <c r="R2648" s="63">
        <f>(COUNTIFS($P:$P, "&gt;" &amp; $P2648) + 1) / (COUNTA($I:$I) - 1)</f>
        <v>0.50680000000000003</v>
      </c>
      <c r="S2648" s="23">
        <f>SUMIFS($P:$P, $Q:$Q, "&lt;" &amp; $Q2648)</f>
        <v>183272703</v>
      </c>
    </row>
    <row r="2649" spans="1:19" x14ac:dyDescent="0.25">
      <c r="A2649" s="1">
        <v>2644</v>
      </c>
      <c r="B2649" s="1" t="s">
        <v>2</v>
      </c>
      <c r="C2649" s="1" t="str">
        <f>IF($B2649 = "Production Item", _xlfn.XLOOKUP($A2649, 'Instrument Table'!$J:$J, 'Instrument Table'!$B:$B, $C2648), IF($B2649 = "Service Item", _xlfn.XLOOKUP($A2649, 'Instrument Table'!$I:$I, 'Instrument Table'!$B:$B, $C2648), _xlfn.XLOOKUP($A2649, 'Instrument Table'!$H:$H, 'Instrument Table'!$B:$B, $C2648)))</f>
        <v>French Horn</v>
      </c>
      <c r="D2649" s="1" t="str">
        <f>VLOOKUP($C2649, 'Instrument Table'!$B:$C, 2, FALSE)</f>
        <v>Brass</v>
      </c>
      <c r="E2649" s="1">
        <f t="shared" si="246"/>
        <v>1</v>
      </c>
      <c r="F2649" s="1">
        <f>_xlfn.XLOOKUP($C2649, 'Instrument Table'!$B:$B, 'Instrument Table'!$A:$A, "")</f>
        <v>40</v>
      </c>
      <c r="G2649" s="1" t="str">
        <f>TEXT(IF($B2649 = "Retail Item", IF((ROW($A2649) - 4504 - _xlfn.XMATCH($C2649, $C$4506:$C$5005, 0, 1)) &lt;= VLOOKUP($C2649, 'Instrument Table'!$B:$D, 3, FALSE), ROW($A2649) - 4504 - _xlfn.XMATCH($C2649, $C$4506:$C$5005, 0, 1), 0), 0), "00")</f>
        <v>00</v>
      </c>
      <c r="H2649" s="1" t="str">
        <f t="shared" si="247"/>
        <v>193</v>
      </c>
      <c r="I2649" s="1" t="str">
        <f t="shared" si="248"/>
        <v>14000-193</v>
      </c>
      <c r="J2649" s="1" t="str">
        <f t="shared" si="249"/>
        <v>French horn production item #193</v>
      </c>
      <c r="K2649" s="1" t="str">
        <f>IF(SUM(COUNTIFS(I:I, I2649)) &gt; 1, "DUPLICATE", "UNIQUE")</f>
        <v>UNIQUE</v>
      </c>
      <c r="L2649" s="18">
        <v>32</v>
      </c>
      <c r="M2649" s="28">
        <v>14</v>
      </c>
      <c r="N2649" s="6">
        <v>121</v>
      </c>
      <c r="O2649" s="30">
        <f t="shared" si="250"/>
        <v>448</v>
      </c>
      <c r="P2649" s="30">
        <f t="shared" si="251"/>
        <v>1694</v>
      </c>
      <c r="Q2649" s="1">
        <f>COUNTIFS($P:$P, "&gt;" &amp; $P2649) + 1</f>
        <v>3372</v>
      </c>
      <c r="R2649" s="63">
        <f>(COUNTIFS($P:$P, "&gt;" &amp; $P2649) + 1) / (COUNTA($I:$I) - 1)</f>
        <v>0.6744</v>
      </c>
      <c r="S2649" s="23">
        <f>SUMIFS($P:$P, $Q:$Q, "&lt;" &amp; $Q2649)</f>
        <v>185738674</v>
      </c>
    </row>
    <row r="2650" spans="1:19" x14ac:dyDescent="0.25">
      <c r="A2650" s="1">
        <v>2645</v>
      </c>
      <c r="B2650" s="1" t="s">
        <v>2</v>
      </c>
      <c r="C2650" s="1" t="str">
        <f>IF($B2650 = "Production Item", _xlfn.XLOOKUP($A2650, 'Instrument Table'!$J:$J, 'Instrument Table'!$B:$B, $C2649), IF($B2650 = "Service Item", _xlfn.XLOOKUP($A2650, 'Instrument Table'!$I:$I, 'Instrument Table'!$B:$B, $C2649), _xlfn.XLOOKUP($A2650, 'Instrument Table'!$H:$H, 'Instrument Table'!$B:$B, $C2649)))</f>
        <v>French Horn</v>
      </c>
      <c r="D2650" s="1" t="str">
        <f>VLOOKUP($C2650, 'Instrument Table'!$B:$C, 2, FALSE)</f>
        <v>Brass</v>
      </c>
      <c r="E2650" s="1">
        <f t="shared" si="246"/>
        <v>1</v>
      </c>
      <c r="F2650" s="1">
        <f>_xlfn.XLOOKUP($C2650, 'Instrument Table'!$B:$B, 'Instrument Table'!$A:$A, "")</f>
        <v>40</v>
      </c>
      <c r="G2650" s="1" t="str">
        <f>TEXT(IF($B2650 = "Retail Item", IF((ROW($A2650) - 4504 - _xlfn.XMATCH($C2650, $C$4506:$C$5005, 0, 1)) &lt;= VLOOKUP($C2650, 'Instrument Table'!$B:$D, 3, FALSE), ROW($A2650) - 4504 - _xlfn.XMATCH($C2650, $C$4506:$C$5005, 0, 1), 0), 0), "00")</f>
        <v>00</v>
      </c>
      <c r="H2650" s="1" t="str">
        <f t="shared" si="247"/>
        <v>194</v>
      </c>
      <c r="I2650" s="1" t="str">
        <f t="shared" si="248"/>
        <v>14000-194</v>
      </c>
      <c r="J2650" s="1" t="str">
        <f t="shared" si="249"/>
        <v>French horn production item #194</v>
      </c>
      <c r="K2650" s="1" t="str">
        <f>IF(SUM(COUNTIFS(I:I, I2650)) &gt; 1, "DUPLICATE", "UNIQUE")</f>
        <v>UNIQUE</v>
      </c>
      <c r="L2650" s="18">
        <v>0</v>
      </c>
      <c r="M2650" s="28">
        <v>20</v>
      </c>
      <c r="N2650" s="6">
        <v>1</v>
      </c>
      <c r="O2650" s="30">
        <f t="shared" si="250"/>
        <v>0</v>
      </c>
      <c r="P2650" s="30">
        <f t="shared" si="251"/>
        <v>20</v>
      </c>
      <c r="Q2650" s="1">
        <f>COUNTIFS($P:$P, "&gt;" &amp; $P2650) + 1</f>
        <v>4692</v>
      </c>
      <c r="R2650" s="63">
        <f>(COUNTIFS($P:$P, "&gt;" &amp; $P2650) + 1) / (COUNTA($I:$I) - 1)</f>
        <v>0.93840000000000001</v>
      </c>
      <c r="S2650" s="23">
        <f>SUMIFS($P:$P, $Q:$Q, "&lt;" &amp; $Q2650)</f>
        <v>186547241</v>
      </c>
    </row>
    <row r="2651" spans="1:19" x14ac:dyDescent="0.25">
      <c r="A2651" s="1">
        <v>2646</v>
      </c>
      <c r="B2651" s="1" t="s">
        <v>2</v>
      </c>
      <c r="C2651" s="1" t="str">
        <f>IF($B2651 = "Production Item", _xlfn.XLOOKUP($A2651, 'Instrument Table'!$J:$J, 'Instrument Table'!$B:$B, $C2650), IF($B2651 = "Service Item", _xlfn.XLOOKUP($A2651, 'Instrument Table'!$I:$I, 'Instrument Table'!$B:$B, $C2650), _xlfn.XLOOKUP($A2651, 'Instrument Table'!$H:$H, 'Instrument Table'!$B:$B, $C2650)))</f>
        <v>French Horn</v>
      </c>
      <c r="D2651" s="1" t="str">
        <f>VLOOKUP($C2651, 'Instrument Table'!$B:$C, 2, FALSE)</f>
        <v>Brass</v>
      </c>
      <c r="E2651" s="1">
        <f t="shared" si="246"/>
        <v>1</v>
      </c>
      <c r="F2651" s="1">
        <f>_xlfn.XLOOKUP($C2651, 'Instrument Table'!$B:$B, 'Instrument Table'!$A:$A, "")</f>
        <v>40</v>
      </c>
      <c r="G2651" s="1" t="str">
        <f>TEXT(IF($B2651 = "Retail Item", IF((ROW($A2651) - 4504 - _xlfn.XMATCH($C2651, $C$4506:$C$5005, 0, 1)) &lt;= VLOOKUP($C2651, 'Instrument Table'!$B:$D, 3, FALSE), ROW($A2651) - 4504 - _xlfn.XMATCH($C2651, $C$4506:$C$5005, 0, 1), 0), 0), "00")</f>
        <v>00</v>
      </c>
      <c r="H2651" s="1" t="str">
        <f t="shared" si="247"/>
        <v>195</v>
      </c>
      <c r="I2651" s="1" t="str">
        <f t="shared" si="248"/>
        <v>14000-195</v>
      </c>
      <c r="J2651" s="1" t="str">
        <f t="shared" si="249"/>
        <v>French horn production item #195</v>
      </c>
      <c r="K2651" s="1" t="str">
        <f>IF(SUM(COUNTIFS(I:I, I2651)) &gt; 1, "DUPLICATE", "UNIQUE")</f>
        <v>UNIQUE</v>
      </c>
      <c r="L2651" s="18">
        <v>16</v>
      </c>
      <c r="M2651" s="28">
        <v>9</v>
      </c>
      <c r="N2651" s="6">
        <v>256</v>
      </c>
      <c r="O2651" s="30">
        <f t="shared" si="250"/>
        <v>144</v>
      </c>
      <c r="P2651" s="30">
        <f t="shared" si="251"/>
        <v>2304</v>
      </c>
      <c r="Q2651" s="1">
        <f>COUNTIFS($P:$P, "&gt;" &amp; $P2651) + 1</f>
        <v>3118</v>
      </c>
      <c r="R2651" s="63">
        <f>(COUNTIFS($P:$P, "&gt;" &amp; $P2651) + 1) / (COUNTA($I:$I) - 1)</f>
        <v>0.62360000000000004</v>
      </c>
      <c r="S2651" s="23">
        <f>SUMIFS($P:$P, $Q:$Q, "&lt;" &amp; $Q2651)</f>
        <v>185224654</v>
      </c>
    </row>
    <row r="2652" spans="1:19" x14ac:dyDescent="0.25">
      <c r="A2652" s="1">
        <v>2647</v>
      </c>
      <c r="B2652" s="1" t="s">
        <v>2</v>
      </c>
      <c r="C2652" s="1" t="str">
        <f>IF($B2652 = "Production Item", _xlfn.XLOOKUP($A2652, 'Instrument Table'!$J:$J, 'Instrument Table'!$B:$B, $C2651), IF($B2652 = "Service Item", _xlfn.XLOOKUP($A2652, 'Instrument Table'!$I:$I, 'Instrument Table'!$B:$B, $C2651), _xlfn.XLOOKUP($A2652, 'Instrument Table'!$H:$H, 'Instrument Table'!$B:$B, $C2651)))</f>
        <v>French Horn</v>
      </c>
      <c r="D2652" s="1" t="str">
        <f>VLOOKUP($C2652, 'Instrument Table'!$B:$C, 2, FALSE)</f>
        <v>Brass</v>
      </c>
      <c r="E2652" s="1">
        <f t="shared" si="246"/>
        <v>1</v>
      </c>
      <c r="F2652" s="1">
        <f>_xlfn.XLOOKUP($C2652, 'Instrument Table'!$B:$B, 'Instrument Table'!$A:$A, "")</f>
        <v>40</v>
      </c>
      <c r="G2652" s="1" t="str">
        <f>TEXT(IF($B2652 = "Retail Item", IF((ROW($A2652) - 4504 - _xlfn.XMATCH($C2652, $C$4506:$C$5005, 0, 1)) &lt;= VLOOKUP($C2652, 'Instrument Table'!$B:$D, 3, FALSE), ROW($A2652) - 4504 - _xlfn.XMATCH($C2652, $C$4506:$C$5005, 0, 1), 0), 0), "00")</f>
        <v>00</v>
      </c>
      <c r="H2652" s="1" t="str">
        <f t="shared" si="247"/>
        <v>196</v>
      </c>
      <c r="I2652" s="1" t="str">
        <f t="shared" si="248"/>
        <v>14000-196</v>
      </c>
      <c r="J2652" s="1" t="str">
        <f t="shared" si="249"/>
        <v>French horn production item #196</v>
      </c>
      <c r="K2652" s="1" t="str">
        <f>IF(SUM(COUNTIFS(I:I, I2652)) &gt; 1, "DUPLICATE", "UNIQUE")</f>
        <v>UNIQUE</v>
      </c>
      <c r="L2652" s="18">
        <v>0</v>
      </c>
      <c r="M2652" s="28">
        <v>44</v>
      </c>
      <c r="N2652" s="6">
        <v>196</v>
      </c>
      <c r="O2652" s="30">
        <f t="shared" si="250"/>
        <v>0</v>
      </c>
      <c r="P2652" s="30">
        <f t="shared" si="251"/>
        <v>8624</v>
      </c>
      <c r="Q2652" s="1">
        <f>COUNTIFS($P:$P, "&gt;" &amp; $P2652) + 1</f>
        <v>1916</v>
      </c>
      <c r="R2652" s="63">
        <f>(COUNTIFS($P:$P, "&gt;" &amp; $P2652) + 1) / (COUNTA($I:$I) - 1)</f>
        <v>0.38319999999999999</v>
      </c>
      <c r="S2652" s="23">
        <f>SUMIFS($P:$P, $Q:$Q, "&lt;" &amp; $Q2652)</f>
        <v>179303097</v>
      </c>
    </row>
    <row r="2653" spans="1:19" x14ac:dyDescent="0.25">
      <c r="A2653" s="1">
        <v>2648</v>
      </c>
      <c r="B2653" s="1" t="s">
        <v>2</v>
      </c>
      <c r="C2653" s="1" t="str">
        <f>IF($B2653 = "Production Item", _xlfn.XLOOKUP($A2653, 'Instrument Table'!$J:$J, 'Instrument Table'!$B:$B, $C2652), IF($B2653 = "Service Item", _xlfn.XLOOKUP($A2653, 'Instrument Table'!$I:$I, 'Instrument Table'!$B:$B, $C2652), _xlfn.XLOOKUP($A2653, 'Instrument Table'!$H:$H, 'Instrument Table'!$B:$B, $C2652)))</f>
        <v>French Horn</v>
      </c>
      <c r="D2653" s="1" t="str">
        <f>VLOOKUP($C2653, 'Instrument Table'!$B:$C, 2, FALSE)</f>
        <v>Brass</v>
      </c>
      <c r="E2653" s="1">
        <f t="shared" si="246"/>
        <v>1</v>
      </c>
      <c r="F2653" s="1">
        <f>_xlfn.XLOOKUP($C2653, 'Instrument Table'!$B:$B, 'Instrument Table'!$A:$A, "")</f>
        <v>40</v>
      </c>
      <c r="G2653" s="1" t="str">
        <f>TEXT(IF($B2653 = "Retail Item", IF((ROW($A2653) - 4504 - _xlfn.XMATCH($C2653, $C$4506:$C$5005, 0, 1)) &lt;= VLOOKUP($C2653, 'Instrument Table'!$B:$D, 3, FALSE), ROW($A2653) - 4504 - _xlfn.XMATCH($C2653, $C$4506:$C$5005, 0, 1), 0), 0), "00")</f>
        <v>00</v>
      </c>
      <c r="H2653" s="1" t="str">
        <f t="shared" si="247"/>
        <v>197</v>
      </c>
      <c r="I2653" s="1" t="str">
        <f t="shared" si="248"/>
        <v>14000-197</v>
      </c>
      <c r="J2653" s="1" t="str">
        <f t="shared" si="249"/>
        <v>French horn production item #197</v>
      </c>
      <c r="K2653" s="1" t="str">
        <f>IF(SUM(COUNTIFS(I:I, I2653)) &gt; 1, "DUPLICATE", "UNIQUE")</f>
        <v>UNIQUE</v>
      </c>
      <c r="L2653" s="18">
        <v>0</v>
      </c>
      <c r="M2653" s="28">
        <v>63</v>
      </c>
      <c r="N2653" s="6">
        <v>169</v>
      </c>
      <c r="O2653" s="30">
        <f t="shared" si="250"/>
        <v>0</v>
      </c>
      <c r="P2653" s="30">
        <f t="shared" si="251"/>
        <v>10647</v>
      </c>
      <c r="Q2653" s="1">
        <f>COUNTIFS($P:$P, "&gt;" &amp; $P2653) + 1</f>
        <v>1718</v>
      </c>
      <c r="R2653" s="63">
        <f>(COUNTIFS($P:$P, "&gt;" &amp; $P2653) + 1) / (COUNTA($I:$I) - 1)</f>
        <v>0.34360000000000002</v>
      </c>
      <c r="S2653" s="23">
        <f>SUMIFS($P:$P, $Q:$Q, "&lt;" &amp; $Q2653)</f>
        <v>177407092</v>
      </c>
    </row>
    <row r="2654" spans="1:19" x14ac:dyDescent="0.25">
      <c r="A2654" s="1">
        <v>2649</v>
      </c>
      <c r="B2654" s="1" t="s">
        <v>2</v>
      </c>
      <c r="C2654" s="1" t="str">
        <f>IF($B2654 = "Production Item", _xlfn.XLOOKUP($A2654, 'Instrument Table'!$J:$J, 'Instrument Table'!$B:$B, $C2653), IF($B2654 = "Service Item", _xlfn.XLOOKUP($A2654, 'Instrument Table'!$I:$I, 'Instrument Table'!$B:$B, $C2653), _xlfn.XLOOKUP($A2654, 'Instrument Table'!$H:$H, 'Instrument Table'!$B:$B, $C2653)))</f>
        <v>French Horn</v>
      </c>
      <c r="D2654" s="1" t="str">
        <f>VLOOKUP($C2654, 'Instrument Table'!$B:$C, 2, FALSE)</f>
        <v>Brass</v>
      </c>
      <c r="E2654" s="1">
        <f t="shared" si="246"/>
        <v>1</v>
      </c>
      <c r="F2654" s="1">
        <f>_xlfn.XLOOKUP($C2654, 'Instrument Table'!$B:$B, 'Instrument Table'!$A:$A, "")</f>
        <v>40</v>
      </c>
      <c r="G2654" s="1" t="str">
        <f>TEXT(IF($B2654 = "Retail Item", IF((ROW($A2654) - 4504 - _xlfn.XMATCH($C2654, $C$4506:$C$5005, 0, 1)) &lt;= VLOOKUP($C2654, 'Instrument Table'!$B:$D, 3, FALSE), ROW($A2654) - 4504 - _xlfn.XMATCH($C2654, $C$4506:$C$5005, 0, 1), 0), 0), "00")</f>
        <v>00</v>
      </c>
      <c r="H2654" s="1" t="str">
        <f t="shared" si="247"/>
        <v>198</v>
      </c>
      <c r="I2654" s="1" t="str">
        <f t="shared" si="248"/>
        <v>14000-198</v>
      </c>
      <c r="J2654" s="1" t="str">
        <f t="shared" si="249"/>
        <v>French horn production item #198</v>
      </c>
      <c r="K2654" s="1" t="str">
        <f>IF(SUM(COUNTIFS(I:I, I2654)) &gt; 1, "DUPLICATE", "UNIQUE")</f>
        <v>UNIQUE</v>
      </c>
      <c r="L2654" s="18">
        <v>0</v>
      </c>
      <c r="M2654" s="28">
        <v>66</v>
      </c>
      <c r="N2654" s="6">
        <v>324</v>
      </c>
      <c r="O2654" s="30">
        <f t="shared" si="250"/>
        <v>0</v>
      </c>
      <c r="P2654" s="30">
        <f t="shared" si="251"/>
        <v>21384</v>
      </c>
      <c r="Q2654" s="1">
        <f>COUNTIFS($P:$P, "&gt;" &amp; $P2654) + 1</f>
        <v>984</v>
      </c>
      <c r="R2654" s="63">
        <f>(COUNTIFS($P:$P, "&gt;" &amp; $P2654) + 1) / (COUNTA($I:$I) - 1)</f>
        <v>0.1968</v>
      </c>
      <c r="S2654" s="23">
        <f>SUMIFS($P:$P, $Q:$Q, "&lt;" &amp; $Q2654)</f>
        <v>166150372</v>
      </c>
    </row>
    <row r="2655" spans="1:19" x14ac:dyDescent="0.25">
      <c r="A2655" s="1">
        <v>2650</v>
      </c>
      <c r="B2655" s="1" t="s">
        <v>2</v>
      </c>
      <c r="C2655" s="1" t="str">
        <f>IF($B2655 = "Production Item", _xlfn.XLOOKUP($A2655, 'Instrument Table'!$J:$J, 'Instrument Table'!$B:$B, $C2654), IF($B2655 = "Service Item", _xlfn.XLOOKUP($A2655, 'Instrument Table'!$I:$I, 'Instrument Table'!$B:$B, $C2654), _xlfn.XLOOKUP($A2655, 'Instrument Table'!$H:$H, 'Instrument Table'!$B:$B, $C2654)))</f>
        <v>French Horn</v>
      </c>
      <c r="D2655" s="1" t="str">
        <f>VLOOKUP($C2655, 'Instrument Table'!$B:$C, 2, FALSE)</f>
        <v>Brass</v>
      </c>
      <c r="E2655" s="1">
        <f t="shared" si="246"/>
        <v>1</v>
      </c>
      <c r="F2655" s="1">
        <f>_xlfn.XLOOKUP($C2655, 'Instrument Table'!$B:$B, 'Instrument Table'!$A:$A, "")</f>
        <v>40</v>
      </c>
      <c r="G2655" s="1" t="str">
        <f>TEXT(IF($B2655 = "Retail Item", IF((ROW($A2655) - 4504 - _xlfn.XMATCH($C2655, $C$4506:$C$5005, 0, 1)) &lt;= VLOOKUP($C2655, 'Instrument Table'!$B:$D, 3, FALSE), ROW($A2655) - 4504 - _xlfn.XMATCH($C2655, $C$4506:$C$5005, 0, 1), 0), 0), "00")</f>
        <v>00</v>
      </c>
      <c r="H2655" s="1" t="str">
        <f t="shared" si="247"/>
        <v>199</v>
      </c>
      <c r="I2655" s="1" t="str">
        <f t="shared" si="248"/>
        <v>14000-199</v>
      </c>
      <c r="J2655" s="1" t="str">
        <f t="shared" si="249"/>
        <v>French horn production item #199</v>
      </c>
      <c r="K2655" s="1" t="str">
        <f>IF(SUM(COUNTIFS(I:I, I2655)) &gt; 1, "DUPLICATE", "UNIQUE")</f>
        <v>UNIQUE</v>
      </c>
      <c r="L2655" s="18">
        <v>1</v>
      </c>
      <c r="M2655" s="28">
        <v>2</v>
      </c>
      <c r="N2655" s="6">
        <v>361</v>
      </c>
      <c r="O2655" s="30">
        <f t="shared" si="250"/>
        <v>2</v>
      </c>
      <c r="P2655" s="30">
        <f t="shared" si="251"/>
        <v>722</v>
      </c>
      <c r="Q2655" s="1">
        <f>COUNTIFS($P:$P, "&gt;" &amp; $P2655) + 1</f>
        <v>3861</v>
      </c>
      <c r="R2655" s="63">
        <f>(COUNTIFS($P:$P, "&gt;" &amp; $P2655) + 1) / (COUNTA($I:$I) - 1)</f>
        <v>0.7722</v>
      </c>
      <c r="S2655" s="23">
        <f>SUMIFS($P:$P, $Q:$Q, "&lt;" &amp; $Q2655)</f>
        <v>186311532</v>
      </c>
    </row>
    <row r="2656" spans="1:19" x14ac:dyDescent="0.25">
      <c r="A2656" s="1">
        <v>2651</v>
      </c>
      <c r="B2656" s="1" t="s">
        <v>2</v>
      </c>
      <c r="C2656" s="1" t="str">
        <f>IF($B2656 = "Production Item", _xlfn.XLOOKUP($A2656, 'Instrument Table'!$J:$J, 'Instrument Table'!$B:$B, $C2655), IF($B2656 = "Service Item", _xlfn.XLOOKUP($A2656, 'Instrument Table'!$I:$I, 'Instrument Table'!$B:$B, $C2655), _xlfn.XLOOKUP($A2656, 'Instrument Table'!$H:$H, 'Instrument Table'!$B:$B, $C2655)))</f>
        <v>Trumpet</v>
      </c>
      <c r="D2656" s="1" t="str">
        <f>VLOOKUP($C2656, 'Instrument Table'!$B:$C, 2, FALSE)</f>
        <v>Brass</v>
      </c>
      <c r="E2656" s="1">
        <f t="shared" si="246"/>
        <v>1</v>
      </c>
      <c r="F2656" s="1">
        <f>_xlfn.XLOOKUP($C2656, 'Instrument Table'!$B:$B, 'Instrument Table'!$A:$A, "")</f>
        <v>41</v>
      </c>
      <c r="G2656" s="1" t="str">
        <f>TEXT(IF($B2656 = "Retail Item", IF((ROW($A2656) - 4504 - _xlfn.XMATCH($C2656, $C$4506:$C$5005, 0, 1)) &lt;= VLOOKUP($C2656, 'Instrument Table'!$B:$D, 3, FALSE), ROW($A2656) - 4504 - _xlfn.XMATCH($C2656, $C$4506:$C$5005, 0, 1), 0), 0), "00")</f>
        <v>00</v>
      </c>
      <c r="H2656" s="1" t="str">
        <f t="shared" si="247"/>
        <v>000</v>
      </c>
      <c r="I2656" s="1" t="str">
        <f t="shared" si="248"/>
        <v>14100-000</v>
      </c>
      <c r="J2656" s="1" t="str">
        <f t="shared" si="249"/>
        <v>Trumpet production item #000</v>
      </c>
      <c r="K2656" s="1" t="str">
        <f>IF(SUM(COUNTIFS(I:I, I2656)) &gt; 1, "DUPLICATE", "UNIQUE")</f>
        <v>UNIQUE</v>
      </c>
      <c r="L2656" s="18">
        <v>1</v>
      </c>
      <c r="M2656" s="28">
        <v>2</v>
      </c>
      <c r="N2656" s="6">
        <v>169</v>
      </c>
      <c r="O2656" s="30">
        <f t="shared" si="250"/>
        <v>2</v>
      </c>
      <c r="P2656" s="30">
        <f t="shared" si="251"/>
        <v>338</v>
      </c>
      <c r="Q2656" s="1">
        <f>COUNTIFS($P:$P, "&gt;" &amp; $P2656) + 1</f>
        <v>4168</v>
      </c>
      <c r="R2656" s="63">
        <f>(COUNTIFS($P:$P, "&gt;" &amp; $P2656) + 1) / (COUNTA($I:$I) - 1)</f>
        <v>0.83360000000000001</v>
      </c>
      <c r="S2656" s="23">
        <f>SUMIFS($P:$P, $Q:$Q, "&lt;" &amp; $Q2656)</f>
        <v>186469963</v>
      </c>
    </row>
    <row r="2657" spans="1:19" x14ac:dyDescent="0.25">
      <c r="A2657" s="1">
        <v>2652</v>
      </c>
      <c r="B2657" s="1" t="s">
        <v>2</v>
      </c>
      <c r="C2657" s="1" t="str">
        <f>IF($B2657 = "Production Item", _xlfn.XLOOKUP($A2657, 'Instrument Table'!$J:$J, 'Instrument Table'!$B:$B, $C2656), IF($B2657 = "Service Item", _xlfn.XLOOKUP($A2657, 'Instrument Table'!$I:$I, 'Instrument Table'!$B:$B, $C2656), _xlfn.XLOOKUP($A2657, 'Instrument Table'!$H:$H, 'Instrument Table'!$B:$B, $C2656)))</f>
        <v>Trumpet</v>
      </c>
      <c r="D2657" s="1" t="str">
        <f>VLOOKUP($C2657, 'Instrument Table'!$B:$C, 2, FALSE)</f>
        <v>Brass</v>
      </c>
      <c r="E2657" s="1">
        <f t="shared" si="246"/>
        <v>1</v>
      </c>
      <c r="F2657" s="1">
        <f>_xlfn.XLOOKUP($C2657, 'Instrument Table'!$B:$B, 'Instrument Table'!$A:$A, "")</f>
        <v>41</v>
      </c>
      <c r="G2657" s="1" t="str">
        <f>TEXT(IF($B2657 = "Retail Item", IF((ROW($A2657) - 4504 - _xlfn.XMATCH($C2657, $C$4506:$C$5005, 0, 1)) &lt;= VLOOKUP($C2657, 'Instrument Table'!$B:$D, 3, FALSE), ROW($A2657) - 4504 - _xlfn.XMATCH($C2657, $C$4506:$C$5005, 0, 1), 0), 0), "00")</f>
        <v>00</v>
      </c>
      <c r="H2657" s="1" t="str">
        <f t="shared" si="247"/>
        <v>001</v>
      </c>
      <c r="I2657" s="1" t="str">
        <f t="shared" si="248"/>
        <v>14100-001</v>
      </c>
      <c r="J2657" s="1" t="str">
        <f t="shared" si="249"/>
        <v>Trumpet production item #001</v>
      </c>
      <c r="K2657" s="1" t="str">
        <f>IF(SUM(COUNTIFS(I:I, I2657)) &gt; 1, "DUPLICATE", "UNIQUE")</f>
        <v>UNIQUE</v>
      </c>
      <c r="L2657" s="18">
        <v>0</v>
      </c>
      <c r="M2657" s="28">
        <v>100</v>
      </c>
      <c r="N2657" s="6">
        <v>144</v>
      </c>
      <c r="O2657" s="30">
        <f t="shared" si="250"/>
        <v>0</v>
      </c>
      <c r="P2657" s="30">
        <f t="shared" si="251"/>
        <v>14400</v>
      </c>
      <c r="Q2657" s="1">
        <f>COUNTIFS($P:$P, "&gt;" &amp; $P2657) + 1</f>
        <v>1389</v>
      </c>
      <c r="R2657" s="63">
        <f>(COUNTIFS($P:$P, "&gt;" &amp; $P2657) + 1) / (COUNTA($I:$I) - 1)</f>
        <v>0.27779999999999999</v>
      </c>
      <c r="S2657" s="23">
        <f>SUMIFS($P:$P, $Q:$Q, "&lt;" &amp; $Q2657)</f>
        <v>173317558</v>
      </c>
    </row>
    <row r="2658" spans="1:19" x14ac:dyDescent="0.25">
      <c r="A2658" s="1">
        <v>2653</v>
      </c>
      <c r="B2658" s="1" t="s">
        <v>2</v>
      </c>
      <c r="C2658" s="1" t="str">
        <f>IF($B2658 = "Production Item", _xlfn.XLOOKUP($A2658, 'Instrument Table'!$J:$J, 'Instrument Table'!$B:$B, $C2657), IF($B2658 = "Service Item", _xlfn.XLOOKUP($A2658, 'Instrument Table'!$I:$I, 'Instrument Table'!$B:$B, $C2657), _xlfn.XLOOKUP($A2658, 'Instrument Table'!$H:$H, 'Instrument Table'!$B:$B, $C2657)))</f>
        <v>Trumpet</v>
      </c>
      <c r="D2658" s="1" t="str">
        <f>VLOOKUP($C2658, 'Instrument Table'!$B:$C, 2, FALSE)</f>
        <v>Brass</v>
      </c>
      <c r="E2658" s="1">
        <f t="shared" si="246"/>
        <v>1</v>
      </c>
      <c r="F2658" s="1">
        <f>_xlfn.XLOOKUP($C2658, 'Instrument Table'!$B:$B, 'Instrument Table'!$A:$A, "")</f>
        <v>41</v>
      </c>
      <c r="G2658" s="1" t="str">
        <f>TEXT(IF($B2658 = "Retail Item", IF((ROW($A2658) - 4504 - _xlfn.XMATCH($C2658, $C$4506:$C$5005, 0, 1)) &lt;= VLOOKUP($C2658, 'Instrument Table'!$B:$D, 3, FALSE), ROW($A2658) - 4504 - _xlfn.XMATCH($C2658, $C$4506:$C$5005, 0, 1), 0), 0), "00")</f>
        <v>00</v>
      </c>
      <c r="H2658" s="1" t="str">
        <f t="shared" si="247"/>
        <v>002</v>
      </c>
      <c r="I2658" s="1" t="str">
        <f t="shared" si="248"/>
        <v>14100-002</v>
      </c>
      <c r="J2658" s="1" t="str">
        <f t="shared" si="249"/>
        <v>Trumpet production item #002</v>
      </c>
      <c r="K2658" s="1" t="str">
        <f>IF(SUM(COUNTIFS(I:I, I2658)) &gt; 1, "DUPLICATE", "UNIQUE")</f>
        <v>UNIQUE</v>
      </c>
      <c r="L2658" s="18">
        <v>0</v>
      </c>
      <c r="M2658" s="28">
        <v>55</v>
      </c>
      <c r="N2658" s="6">
        <v>4</v>
      </c>
      <c r="O2658" s="30">
        <f t="shared" si="250"/>
        <v>0</v>
      </c>
      <c r="P2658" s="30">
        <f t="shared" si="251"/>
        <v>220</v>
      </c>
      <c r="Q2658" s="1">
        <f>COUNTIFS($P:$P, "&gt;" &amp; $P2658) + 1</f>
        <v>4302</v>
      </c>
      <c r="R2658" s="63">
        <f>(COUNTIFS($P:$P, "&gt;" &amp; $P2658) + 1) / (COUNTA($I:$I) - 1)</f>
        <v>0.86040000000000005</v>
      </c>
      <c r="S2658" s="23">
        <f>SUMIFS($P:$P, $Q:$Q, "&lt;" &amp; $Q2658)</f>
        <v>186507886</v>
      </c>
    </row>
    <row r="2659" spans="1:19" x14ac:dyDescent="0.25">
      <c r="A2659" s="1">
        <v>2654</v>
      </c>
      <c r="B2659" s="1" t="s">
        <v>2</v>
      </c>
      <c r="C2659" s="1" t="str">
        <f>IF($B2659 = "Production Item", _xlfn.XLOOKUP($A2659, 'Instrument Table'!$J:$J, 'Instrument Table'!$B:$B, $C2658), IF($B2659 = "Service Item", _xlfn.XLOOKUP($A2659, 'Instrument Table'!$I:$I, 'Instrument Table'!$B:$B, $C2658), _xlfn.XLOOKUP($A2659, 'Instrument Table'!$H:$H, 'Instrument Table'!$B:$B, $C2658)))</f>
        <v>Trumpet</v>
      </c>
      <c r="D2659" s="1" t="str">
        <f>VLOOKUP($C2659, 'Instrument Table'!$B:$C, 2, FALSE)</f>
        <v>Brass</v>
      </c>
      <c r="E2659" s="1">
        <f t="shared" si="246"/>
        <v>1</v>
      </c>
      <c r="F2659" s="1">
        <f>_xlfn.XLOOKUP($C2659, 'Instrument Table'!$B:$B, 'Instrument Table'!$A:$A, "")</f>
        <v>41</v>
      </c>
      <c r="G2659" s="1" t="str">
        <f>TEXT(IF($B2659 = "Retail Item", IF((ROW($A2659) - 4504 - _xlfn.XMATCH($C2659, $C$4506:$C$5005, 0, 1)) &lt;= VLOOKUP($C2659, 'Instrument Table'!$B:$D, 3, FALSE), ROW($A2659) - 4504 - _xlfn.XMATCH($C2659, $C$4506:$C$5005, 0, 1), 0), 0), "00")</f>
        <v>00</v>
      </c>
      <c r="H2659" s="1" t="str">
        <f t="shared" si="247"/>
        <v>003</v>
      </c>
      <c r="I2659" s="1" t="str">
        <f t="shared" si="248"/>
        <v>14100-003</v>
      </c>
      <c r="J2659" s="1" t="str">
        <f t="shared" si="249"/>
        <v>Trumpet production item #003</v>
      </c>
      <c r="K2659" s="1" t="str">
        <f>IF(SUM(COUNTIFS(I:I, I2659)) &gt; 1, "DUPLICATE", "UNIQUE")</f>
        <v>UNIQUE</v>
      </c>
      <c r="L2659" s="18">
        <v>1</v>
      </c>
      <c r="M2659" s="28">
        <v>36</v>
      </c>
      <c r="N2659" s="6">
        <v>196</v>
      </c>
      <c r="O2659" s="30">
        <f t="shared" si="250"/>
        <v>36</v>
      </c>
      <c r="P2659" s="30">
        <f t="shared" si="251"/>
        <v>7056</v>
      </c>
      <c r="Q2659" s="1">
        <f>COUNTIFS($P:$P, "&gt;" &amp; $P2659) + 1</f>
        <v>2125</v>
      </c>
      <c r="R2659" s="63">
        <f>(COUNTIFS($P:$P, "&gt;" &amp; $P2659) + 1) / (COUNTA($I:$I) - 1)</f>
        <v>0.42499999999999999</v>
      </c>
      <c r="S2659" s="23">
        <f>SUMIFS($P:$P, $Q:$Q, "&lt;" &amp; $Q2659)</f>
        <v>180938988</v>
      </c>
    </row>
    <row r="2660" spans="1:19" x14ac:dyDescent="0.25">
      <c r="A2660" s="1">
        <v>2655</v>
      </c>
      <c r="B2660" s="1" t="s">
        <v>2</v>
      </c>
      <c r="C2660" s="1" t="str">
        <f>IF($B2660 = "Production Item", _xlfn.XLOOKUP($A2660, 'Instrument Table'!$J:$J, 'Instrument Table'!$B:$B, $C2659), IF($B2660 = "Service Item", _xlfn.XLOOKUP($A2660, 'Instrument Table'!$I:$I, 'Instrument Table'!$B:$B, $C2659), _xlfn.XLOOKUP($A2660, 'Instrument Table'!$H:$H, 'Instrument Table'!$B:$B, $C2659)))</f>
        <v>Trumpet</v>
      </c>
      <c r="D2660" s="1" t="str">
        <f>VLOOKUP($C2660, 'Instrument Table'!$B:$C, 2, FALSE)</f>
        <v>Brass</v>
      </c>
      <c r="E2660" s="1">
        <f t="shared" si="246"/>
        <v>1</v>
      </c>
      <c r="F2660" s="1">
        <f>_xlfn.XLOOKUP($C2660, 'Instrument Table'!$B:$B, 'Instrument Table'!$A:$A, "")</f>
        <v>41</v>
      </c>
      <c r="G2660" s="1" t="str">
        <f>TEXT(IF($B2660 = "Retail Item", IF((ROW($A2660) - 4504 - _xlfn.XMATCH($C2660, $C$4506:$C$5005, 0, 1)) &lt;= VLOOKUP($C2660, 'Instrument Table'!$B:$D, 3, FALSE), ROW($A2660) - 4504 - _xlfn.XMATCH($C2660, $C$4506:$C$5005, 0, 1), 0), 0), "00")</f>
        <v>00</v>
      </c>
      <c r="H2660" s="1" t="str">
        <f t="shared" si="247"/>
        <v>004</v>
      </c>
      <c r="I2660" s="1" t="str">
        <f t="shared" si="248"/>
        <v>14100-004</v>
      </c>
      <c r="J2660" s="1" t="str">
        <f t="shared" si="249"/>
        <v>Trumpet production item #004</v>
      </c>
      <c r="K2660" s="1" t="str">
        <f>IF(SUM(COUNTIFS(I:I, I2660)) &gt; 1, "DUPLICATE", "UNIQUE")</f>
        <v>UNIQUE</v>
      </c>
      <c r="L2660" s="18">
        <v>0</v>
      </c>
      <c r="M2660" s="28">
        <v>87</v>
      </c>
      <c r="N2660" s="6">
        <v>289</v>
      </c>
      <c r="O2660" s="30">
        <f t="shared" si="250"/>
        <v>0</v>
      </c>
      <c r="P2660" s="30">
        <f t="shared" si="251"/>
        <v>25143</v>
      </c>
      <c r="Q2660" s="1">
        <f>COUNTIFS($P:$P, "&gt;" &amp; $P2660) + 1</f>
        <v>822</v>
      </c>
      <c r="R2660" s="63">
        <f>(COUNTIFS($P:$P, "&gt;" &amp; $P2660) + 1) / (COUNTA($I:$I) - 1)</f>
        <v>0.16439999999999999</v>
      </c>
      <c r="S2660" s="23">
        <f>SUMIFS($P:$P, $Q:$Q, "&lt;" &amp; $Q2660)</f>
        <v>162388580</v>
      </c>
    </row>
    <row r="2661" spans="1:19" x14ac:dyDescent="0.25">
      <c r="A2661" s="1">
        <v>2656</v>
      </c>
      <c r="B2661" s="1" t="s">
        <v>2</v>
      </c>
      <c r="C2661" s="1" t="str">
        <f>IF($B2661 = "Production Item", _xlfn.XLOOKUP($A2661, 'Instrument Table'!$J:$J, 'Instrument Table'!$B:$B, $C2660), IF($B2661 = "Service Item", _xlfn.XLOOKUP($A2661, 'Instrument Table'!$I:$I, 'Instrument Table'!$B:$B, $C2660), _xlfn.XLOOKUP($A2661, 'Instrument Table'!$H:$H, 'Instrument Table'!$B:$B, $C2660)))</f>
        <v>Trumpet</v>
      </c>
      <c r="D2661" s="1" t="str">
        <f>VLOOKUP($C2661, 'Instrument Table'!$B:$C, 2, FALSE)</f>
        <v>Brass</v>
      </c>
      <c r="E2661" s="1">
        <f t="shared" si="246"/>
        <v>1</v>
      </c>
      <c r="F2661" s="1">
        <f>_xlfn.XLOOKUP($C2661, 'Instrument Table'!$B:$B, 'Instrument Table'!$A:$A, "")</f>
        <v>41</v>
      </c>
      <c r="G2661" s="1" t="str">
        <f>TEXT(IF($B2661 = "Retail Item", IF((ROW($A2661) - 4504 - _xlfn.XMATCH($C2661, $C$4506:$C$5005, 0, 1)) &lt;= VLOOKUP($C2661, 'Instrument Table'!$B:$D, 3, FALSE), ROW($A2661) - 4504 - _xlfn.XMATCH($C2661, $C$4506:$C$5005, 0, 1), 0), 0), "00")</f>
        <v>00</v>
      </c>
      <c r="H2661" s="1" t="str">
        <f t="shared" si="247"/>
        <v>005</v>
      </c>
      <c r="I2661" s="1" t="str">
        <f t="shared" si="248"/>
        <v>14100-005</v>
      </c>
      <c r="J2661" s="1" t="str">
        <f t="shared" si="249"/>
        <v>Trumpet production item #005</v>
      </c>
      <c r="K2661" s="1" t="str">
        <f>IF(SUM(COUNTIFS(I:I, I2661)) &gt; 1, "DUPLICATE", "UNIQUE")</f>
        <v>UNIQUE</v>
      </c>
      <c r="L2661" s="18">
        <v>1</v>
      </c>
      <c r="M2661" s="28">
        <v>94</v>
      </c>
      <c r="N2661" s="6">
        <v>400</v>
      </c>
      <c r="O2661" s="30">
        <f t="shared" si="250"/>
        <v>94</v>
      </c>
      <c r="P2661" s="30">
        <f t="shared" si="251"/>
        <v>37600</v>
      </c>
      <c r="Q2661" s="1">
        <f>COUNTIFS($P:$P, "&gt;" &amp; $P2661) + 1</f>
        <v>576</v>
      </c>
      <c r="R2661" s="63">
        <f>(COUNTIFS($P:$P, "&gt;" &amp; $P2661) + 1) / (COUNTA($I:$I) - 1)</f>
        <v>0.1152</v>
      </c>
      <c r="S2661" s="23">
        <f>SUMIFS($P:$P, $Q:$Q, "&lt;" &amp; $Q2661)</f>
        <v>154996325</v>
      </c>
    </row>
    <row r="2662" spans="1:19" x14ac:dyDescent="0.25">
      <c r="A2662" s="1">
        <v>2657</v>
      </c>
      <c r="B2662" s="1" t="s">
        <v>2</v>
      </c>
      <c r="C2662" s="1" t="str">
        <f>IF($B2662 = "Production Item", _xlfn.XLOOKUP($A2662, 'Instrument Table'!$J:$J, 'Instrument Table'!$B:$B, $C2661), IF($B2662 = "Service Item", _xlfn.XLOOKUP($A2662, 'Instrument Table'!$I:$I, 'Instrument Table'!$B:$B, $C2661), _xlfn.XLOOKUP($A2662, 'Instrument Table'!$H:$H, 'Instrument Table'!$B:$B, $C2661)))</f>
        <v>Trumpet</v>
      </c>
      <c r="D2662" s="1" t="str">
        <f>VLOOKUP($C2662, 'Instrument Table'!$B:$C, 2, FALSE)</f>
        <v>Brass</v>
      </c>
      <c r="E2662" s="1">
        <f t="shared" si="246"/>
        <v>1</v>
      </c>
      <c r="F2662" s="1">
        <f>_xlfn.XLOOKUP($C2662, 'Instrument Table'!$B:$B, 'Instrument Table'!$A:$A, "")</f>
        <v>41</v>
      </c>
      <c r="G2662" s="1" t="str">
        <f>TEXT(IF($B2662 = "Retail Item", IF((ROW($A2662) - 4504 - _xlfn.XMATCH($C2662, $C$4506:$C$5005, 0, 1)) &lt;= VLOOKUP($C2662, 'Instrument Table'!$B:$D, 3, FALSE), ROW($A2662) - 4504 - _xlfn.XMATCH($C2662, $C$4506:$C$5005, 0, 1), 0), 0), "00")</f>
        <v>00</v>
      </c>
      <c r="H2662" s="1" t="str">
        <f t="shared" si="247"/>
        <v>006</v>
      </c>
      <c r="I2662" s="1" t="str">
        <f t="shared" si="248"/>
        <v>14100-006</v>
      </c>
      <c r="J2662" s="1" t="str">
        <f t="shared" si="249"/>
        <v>Trumpet production item #006</v>
      </c>
      <c r="K2662" s="1" t="str">
        <f>IF(SUM(COUNTIFS(I:I, I2662)) &gt; 1, "DUPLICATE", "UNIQUE")</f>
        <v>UNIQUE</v>
      </c>
      <c r="L2662" s="18">
        <v>0</v>
      </c>
      <c r="M2662" s="28">
        <v>100</v>
      </c>
      <c r="N2662" s="6">
        <v>144</v>
      </c>
      <c r="O2662" s="30">
        <f t="shared" si="250"/>
        <v>0</v>
      </c>
      <c r="P2662" s="30">
        <f t="shared" si="251"/>
        <v>14400</v>
      </c>
      <c r="Q2662" s="1">
        <f>COUNTIFS($P:$P, "&gt;" &amp; $P2662) + 1</f>
        <v>1389</v>
      </c>
      <c r="R2662" s="63">
        <f>(COUNTIFS($P:$P, "&gt;" &amp; $P2662) + 1) / (COUNTA($I:$I) - 1)</f>
        <v>0.27779999999999999</v>
      </c>
      <c r="S2662" s="23">
        <f>SUMIFS($P:$P, $Q:$Q, "&lt;" &amp; $Q2662)</f>
        <v>173317558</v>
      </c>
    </row>
    <row r="2663" spans="1:19" x14ac:dyDescent="0.25">
      <c r="A2663" s="1">
        <v>2658</v>
      </c>
      <c r="B2663" s="1" t="s">
        <v>2</v>
      </c>
      <c r="C2663" s="1" t="str">
        <f>IF($B2663 = "Production Item", _xlfn.XLOOKUP($A2663, 'Instrument Table'!$J:$J, 'Instrument Table'!$B:$B, $C2662), IF($B2663 = "Service Item", _xlfn.XLOOKUP($A2663, 'Instrument Table'!$I:$I, 'Instrument Table'!$B:$B, $C2662), _xlfn.XLOOKUP($A2663, 'Instrument Table'!$H:$H, 'Instrument Table'!$B:$B, $C2662)))</f>
        <v>Trumpet</v>
      </c>
      <c r="D2663" s="1" t="str">
        <f>VLOOKUP($C2663, 'Instrument Table'!$B:$C, 2, FALSE)</f>
        <v>Brass</v>
      </c>
      <c r="E2663" s="1">
        <f t="shared" si="246"/>
        <v>1</v>
      </c>
      <c r="F2663" s="1">
        <f>_xlfn.XLOOKUP($C2663, 'Instrument Table'!$B:$B, 'Instrument Table'!$A:$A, "")</f>
        <v>41</v>
      </c>
      <c r="G2663" s="1" t="str">
        <f>TEXT(IF($B2663 = "Retail Item", IF((ROW($A2663) - 4504 - _xlfn.XMATCH($C2663, $C$4506:$C$5005, 0, 1)) &lt;= VLOOKUP($C2663, 'Instrument Table'!$B:$D, 3, FALSE), ROW($A2663) - 4504 - _xlfn.XMATCH($C2663, $C$4506:$C$5005, 0, 1), 0), 0), "00")</f>
        <v>00</v>
      </c>
      <c r="H2663" s="1" t="str">
        <f t="shared" si="247"/>
        <v>007</v>
      </c>
      <c r="I2663" s="1" t="str">
        <f t="shared" si="248"/>
        <v>14100-007</v>
      </c>
      <c r="J2663" s="1" t="str">
        <f t="shared" si="249"/>
        <v>Trumpet production item #007</v>
      </c>
      <c r="K2663" s="1" t="str">
        <f>IF(SUM(COUNTIFS(I:I, I2663)) &gt; 1, "DUPLICATE", "UNIQUE")</f>
        <v>UNIQUE</v>
      </c>
      <c r="L2663" s="18">
        <v>0</v>
      </c>
      <c r="M2663" s="28">
        <v>18</v>
      </c>
      <c r="N2663" s="6">
        <v>49</v>
      </c>
      <c r="O2663" s="30">
        <f t="shared" si="250"/>
        <v>0</v>
      </c>
      <c r="P2663" s="30">
        <f t="shared" si="251"/>
        <v>882</v>
      </c>
      <c r="Q2663" s="1">
        <f>COUNTIFS($P:$P, "&gt;" &amp; $P2663) + 1</f>
        <v>3736</v>
      </c>
      <c r="R2663" s="63">
        <f>(COUNTIFS($P:$P, "&gt;" &amp; $P2663) + 1) / (COUNTA($I:$I) - 1)</f>
        <v>0.74719999999999998</v>
      </c>
      <c r="S2663" s="23">
        <f>SUMIFS($P:$P, $Q:$Q, "&lt;" &amp; $Q2663)</f>
        <v>186211915</v>
      </c>
    </row>
    <row r="2664" spans="1:19" x14ac:dyDescent="0.25">
      <c r="A2664" s="1">
        <v>2659</v>
      </c>
      <c r="B2664" s="1" t="s">
        <v>2</v>
      </c>
      <c r="C2664" s="1" t="str">
        <f>IF($B2664 = "Production Item", _xlfn.XLOOKUP($A2664, 'Instrument Table'!$J:$J, 'Instrument Table'!$B:$B, $C2663), IF($B2664 = "Service Item", _xlfn.XLOOKUP($A2664, 'Instrument Table'!$I:$I, 'Instrument Table'!$B:$B, $C2663), _xlfn.XLOOKUP($A2664, 'Instrument Table'!$H:$H, 'Instrument Table'!$B:$B, $C2663)))</f>
        <v>Trumpet</v>
      </c>
      <c r="D2664" s="1" t="str">
        <f>VLOOKUP($C2664, 'Instrument Table'!$B:$C, 2, FALSE)</f>
        <v>Brass</v>
      </c>
      <c r="E2664" s="1">
        <f t="shared" si="246"/>
        <v>1</v>
      </c>
      <c r="F2664" s="1">
        <f>_xlfn.XLOOKUP($C2664, 'Instrument Table'!$B:$B, 'Instrument Table'!$A:$A, "")</f>
        <v>41</v>
      </c>
      <c r="G2664" s="1" t="str">
        <f>TEXT(IF($B2664 = "Retail Item", IF((ROW($A2664) - 4504 - _xlfn.XMATCH($C2664, $C$4506:$C$5005, 0, 1)) &lt;= VLOOKUP($C2664, 'Instrument Table'!$B:$D, 3, FALSE), ROW($A2664) - 4504 - _xlfn.XMATCH($C2664, $C$4506:$C$5005, 0, 1), 0), 0), "00")</f>
        <v>00</v>
      </c>
      <c r="H2664" s="1" t="str">
        <f t="shared" si="247"/>
        <v>008</v>
      </c>
      <c r="I2664" s="1" t="str">
        <f t="shared" si="248"/>
        <v>14100-008</v>
      </c>
      <c r="J2664" s="1" t="str">
        <f t="shared" si="249"/>
        <v>Trumpet production item #008</v>
      </c>
      <c r="K2664" s="1" t="str">
        <f>IF(SUM(COUNTIFS(I:I, I2664)) &gt; 1, "DUPLICATE", "UNIQUE")</f>
        <v>UNIQUE</v>
      </c>
      <c r="L2664" s="18">
        <v>0</v>
      </c>
      <c r="M2664" s="28">
        <v>91</v>
      </c>
      <c r="N2664" s="6">
        <v>49</v>
      </c>
      <c r="O2664" s="30">
        <f t="shared" si="250"/>
        <v>0</v>
      </c>
      <c r="P2664" s="30">
        <f t="shared" si="251"/>
        <v>4459</v>
      </c>
      <c r="Q2664" s="1">
        <f>COUNTIFS($P:$P, "&gt;" &amp; $P2664) + 1</f>
        <v>2559</v>
      </c>
      <c r="R2664" s="63">
        <f>(COUNTIFS($P:$P, "&gt;" &amp; $P2664) + 1) / (COUNTA($I:$I) - 1)</f>
        <v>0.51180000000000003</v>
      </c>
      <c r="S2664" s="23">
        <f>SUMIFS($P:$P, $Q:$Q, "&lt;" &amp; $Q2664)</f>
        <v>183385204</v>
      </c>
    </row>
    <row r="2665" spans="1:19" x14ac:dyDescent="0.25">
      <c r="A2665" s="1">
        <v>2660</v>
      </c>
      <c r="B2665" s="1" t="s">
        <v>2</v>
      </c>
      <c r="C2665" s="1" t="str">
        <f>IF($B2665 = "Production Item", _xlfn.XLOOKUP($A2665, 'Instrument Table'!$J:$J, 'Instrument Table'!$B:$B, $C2664), IF($B2665 = "Service Item", _xlfn.XLOOKUP($A2665, 'Instrument Table'!$I:$I, 'Instrument Table'!$B:$B, $C2664), _xlfn.XLOOKUP($A2665, 'Instrument Table'!$H:$H, 'Instrument Table'!$B:$B, $C2664)))</f>
        <v>Trumpet</v>
      </c>
      <c r="D2665" s="1" t="str">
        <f>VLOOKUP($C2665, 'Instrument Table'!$B:$C, 2, FALSE)</f>
        <v>Brass</v>
      </c>
      <c r="E2665" s="1">
        <f t="shared" si="246"/>
        <v>1</v>
      </c>
      <c r="F2665" s="1">
        <f>_xlfn.XLOOKUP($C2665, 'Instrument Table'!$B:$B, 'Instrument Table'!$A:$A, "")</f>
        <v>41</v>
      </c>
      <c r="G2665" s="1" t="str">
        <f>TEXT(IF($B2665 = "Retail Item", IF((ROW($A2665) - 4504 - _xlfn.XMATCH($C2665, $C$4506:$C$5005, 0, 1)) &lt;= VLOOKUP($C2665, 'Instrument Table'!$B:$D, 3, FALSE), ROW($A2665) - 4504 - _xlfn.XMATCH($C2665, $C$4506:$C$5005, 0, 1), 0), 0), "00")</f>
        <v>00</v>
      </c>
      <c r="H2665" s="1" t="str">
        <f t="shared" si="247"/>
        <v>009</v>
      </c>
      <c r="I2665" s="1" t="str">
        <f t="shared" si="248"/>
        <v>14100-009</v>
      </c>
      <c r="J2665" s="1" t="str">
        <f t="shared" si="249"/>
        <v>Trumpet production item #009</v>
      </c>
      <c r="K2665" s="1" t="str">
        <f>IF(SUM(COUNTIFS(I:I, I2665)) &gt; 1, "DUPLICATE", "UNIQUE")</f>
        <v>UNIQUE</v>
      </c>
      <c r="L2665" s="18">
        <v>1</v>
      </c>
      <c r="M2665" s="28">
        <v>36</v>
      </c>
      <c r="N2665" s="6">
        <v>1</v>
      </c>
      <c r="O2665" s="30">
        <f t="shared" si="250"/>
        <v>36</v>
      </c>
      <c r="P2665" s="30">
        <f t="shared" si="251"/>
        <v>36</v>
      </c>
      <c r="Q2665" s="1">
        <f>COUNTIFS($P:$P, "&gt;" &amp; $P2665) + 1</f>
        <v>4650</v>
      </c>
      <c r="R2665" s="63">
        <f>(COUNTIFS($P:$P, "&gt;" &amp; $P2665) + 1) / (COUNTA($I:$I) - 1)</f>
        <v>0.93</v>
      </c>
      <c r="S2665" s="23">
        <f>SUMIFS($P:$P, $Q:$Q, "&lt;" &amp; $Q2665)</f>
        <v>186546024</v>
      </c>
    </row>
    <row r="2666" spans="1:19" x14ac:dyDescent="0.25">
      <c r="A2666" s="1">
        <v>2661</v>
      </c>
      <c r="B2666" s="1" t="s">
        <v>2</v>
      </c>
      <c r="C2666" s="1" t="str">
        <f>IF($B2666 = "Production Item", _xlfn.XLOOKUP($A2666, 'Instrument Table'!$J:$J, 'Instrument Table'!$B:$B, $C2665), IF($B2666 = "Service Item", _xlfn.XLOOKUP($A2666, 'Instrument Table'!$I:$I, 'Instrument Table'!$B:$B, $C2665), _xlfn.XLOOKUP($A2666, 'Instrument Table'!$H:$H, 'Instrument Table'!$B:$B, $C2665)))</f>
        <v>Trumpet</v>
      </c>
      <c r="D2666" s="1" t="str">
        <f>VLOOKUP($C2666, 'Instrument Table'!$B:$C, 2, FALSE)</f>
        <v>Brass</v>
      </c>
      <c r="E2666" s="1">
        <f t="shared" si="246"/>
        <v>1</v>
      </c>
      <c r="F2666" s="1">
        <f>_xlfn.XLOOKUP($C2666, 'Instrument Table'!$B:$B, 'Instrument Table'!$A:$A, "")</f>
        <v>41</v>
      </c>
      <c r="G2666" s="1" t="str">
        <f>TEXT(IF($B2666 = "Retail Item", IF((ROW($A2666) - 4504 - _xlfn.XMATCH($C2666, $C$4506:$C$5005, 0, 1)) &lt;= VLOOKUP($C2666, 'Instrument Table'!$B:$D, 3, FALSE), ROW($A2666) - 4504 - _xlfn.XMATCH($C2666, $C$4506:$C$5005, 0, 1), 0), 0), "00")</f>
        <v>00</v>
      </c>
      <c r="H2666" s="1" t="str">
        <f t="shared" si="247"/>
        <v>010</v>
      </c>
      <c r="I2666" s="1" t="str">
        <f t="shared" si="248"/>
        <v>14100-010</v>
      </c>
      <c r="J2666" s="1" t="str">
        <f t="shared" si="249"/>
        <v>Trumpet production item #010</v>
      </c>
      <c r="K2666" s="1" t="str">
        <f>IF(SUM(COUNTIFS(I:I, I2666)) &gt; 1, "DUPLICATE", "UNIQUE")</f>
        <v>UNIQUE</v>
      </c>
      <c r="L2666" s="18">
        <v>8</v>
      </c>
      <c r="M2666" s="28">
        <v>49</v>
      </c>
      <c r="N2666" s="6">
        <v>289</v>
      </c>
      <c r="O2666" s="30">
        <f t="shared" si="250"/>
        <v>392</v>
      </c>
      <c r="P2666" s="30">
        <f t="shared" si="251"/>
        <v>14161</v>
      </c>
      <c r="Q2666" s="1">
        <f>COUNTIFS($P:$P, "&gt;" &amp; $P2666) + 1</f>
        <v>1408</v>
      </c>
      <c r="R2666" s="63">
        <f>(COUNTIFS($P:$P, "&gt;" &amp; $P2666) + 1) / (COUNTA($I:$I) - 1)</f>
        <v>0.28160000000000002</v>
      </c>
      <c r="S2666" s="23">
        <f>SUMIFS($P:$P, $Q:$Q, "&lt;" &amp; $Q2666)</f>
        <v>173589655</v>
      </c>
    </row>
    <row r="2667" spans="1:19" x14ac:dyDescent="0.25">
      <c r="A2667" s="1">
        <v>2662</v>
      </c>
      <c r="B2667" s="1" t="s">
        <v>2</v>
      </c>
      <c r="C2667" s="1" t="str">
        <f>IF($B2667 = "Production Item", _xlfn.XLOOKUP($A2667, 'Instrument Table'!$J:$J, 'Instrument Table'!$B:$B, $C2666), IF($B2667 = "Service Item", _xlfn.XLOOKUP($A2667, 'Instrument Table'!$I:$I, 'Instrument Table'!$B:$B, $C2666), _xlfn.XLOOKUP($A2667, 'Instrument Table'!$H:$H, 'Instrument Table'!$B:$B, $C2666)))</f>
        <v>Trumpet</v>
      </c>
      <c r="D2667" s="1" t="str">
        <f>VLOOKUP($C2667, 'Instrument Table'!$B:$C, 2, FALSE)</f>
        <v>Brass</v>
      </c>
      <c r="E2667" s="1">
        <f t="shared" si="246"/>
        <v>1</v>
      </c>
      <c r="F2667" s="1">
        <f>_xlfn.XLOOKUP($C2667, 'Instrument Table'!$B:$B, 'Instrument Table'!$A:$A, "")</f>
        <v>41</v>
      </c>
      <c r="G2667" s="1" t="str">
        <f>TEXT(IF($B2667 = "Retail Item", IF((ROW($A2667) - 4504 - _xlfn.XMATCH($C2667, $C$4506:$C$5005, 0, 1)) &lt;= VLOOKUP($C2667, 'Instrument Table'!$B:$D, 3, FALSE), ROW($A2667) - 4504 - _xlfn.XMATCH($C2667, $C$4506:$C$5005, 0, 1), 0), 0), "00")</f>
        <v>00</v>
      </c>
      <c r="H2667" s="1" t="str">
        <f t="shared" si="247"/>
        <v>011</v>
      </c>
      <c r="I2667" s="1" t="str">
        <f t="shared" si="248"/>
        <v>14100-011</v>
      </c>
      <c r="J2667" s="1" t="str">
        <f t="shared" si="249"/>
        <v>Trumpet production item #011</v>
      </c>
      <c r="K2667" s="1" t="str">
        <f>IF(SUM(COUNTIFS(I:I, I2667)) &gt; 1, "DUPLICATE", "UNIQUE")</f>
        <v>UNIQUE</v>
      </c>
      <c r="L2667" s="18">
        <v>2</v>
      </c>
      <c r="M2667" s="28">
        <v>43</v>
      </c>
      <c r="N2667" s="6">
        <v>256</v>
      </c>
      <c r="O2667" s="30">
        <f t="shared" si="250"/>
        <v>86</v>
      </c>
      <c r="P2667" s="30">
        <f t="shared" si="251"/>
        <v>11008</v>
      </c>
      <c r="Q2667" s="1">
        <f>COUNTIFS($P:$P, "&gt;" &amp; $P2667) + 1</f>
        <v>1682</v>
      </c>
      <c r="R2667" s="63">
        <f>(COUNTIFS($P:$P, "&gt;" &amp; $P2667) + 1) / (COUNTA($I:$I) - 1)</f>
        <v>0.33639999999999998</v>
      </c>
      <c r="S2667" s="23">
        <f>SUMIFS($P:$P, $Q:$Q, "&lt;" &amp; $Q2667)</f>
        <v>177016604</v>
      </c>
    </row>
    <row r="2668" spans="1:19" x14ac:dyDescent="0.25">
      <c r="A2668" s="1">
        <v>2663</v>
      </c>
      <c r="B2668" s="1" t="s">
        <v>2</v>
      </c>
      <c r="C2668" s="1" t="str">
        <f>IF($B2668 = "Production Item", _xlfn.XLOOKUP($A2668, 'Instrument Table'!$J:$J, 'Instrument Table'!$B:$B, $C2667), IF($B2668 = "Service Item", _xlfn.XLOOKUP($A2668, 'Instrument Table'!$I:$I, 'Instrument Table'!$B:$B, $C2667), _xlfn.XLOOKUP($A2668, 'Instrument Table'!$H:$H, 'Instrument Table'!$B:$B, $C2667)))</f>
        <v>Trumpet</v>
      </c>
      <c r="D2668" s="1" t="str">
        <f>VLOOKUP($C2668, 'Instrument Table'!$B:$C, 2, FALSE)</f>
        <v>Brass</v>
      </c>
      <c r="E2668" s="1">
        <f t="shared" si="246"/>
        <v>1</v>
      </c>
      <c r="F2668" s="1">
        <f>_xlfn.XLOOKUP($C2668, 'Instrument Table'!$B:$B, 'Instrument Table'!$A:$A, "")</f>
        <v>41</v>
      </c>
      <c r="G2668" s="1" t="str">
        <f>TEXT(IF($B2668 = "Retail Item", IF((ROW($A2668) - 4504 - _xlfn.XMATCH($C2668, $C$4506:$C$5005, 0, 1)) &lt;= VLOOKUP($C2668, 'Instrument Table'!$B:$D, 3, FALSE), ROW($A2668) - 4504 - _xlfn.XMATCH($C2668, $C$4506:$C$5005, 0, 1), 0), 0), "00")</f>
        <v>00</v>
      </c>
      <c r="H2668" s="1" t="str">
        <f t="shared" si="247"/>
        <v>012</v>
      </c>
      <c r="I2668" s="1" t="str">
        <f t="shared" si="248"/>
        <v>14100-012</v>
      </c>
      <c r="J2668" s="1" t="str">
        <f t="shared" si="249"/>
        <v>Trumpet production item #012</v>
      </c>
      <c r="K2668" s="1" t="str">
        <f>IF(SUM(COUNTIFS(I:I, I2668)) &gt; 1, "DUPLICATE", "UNIQUE")</f>
        <v>UNIQUE</v>
      </c>
      <c r="L2668" s="18">
        <v>1</v>
      </c>
      <c r="M2668" s="28">
        <v>35</v>
      </c>
      <c r="N2668" s="6">
        <v>144</v>
      </c>
      <c r="O2668" s="30">
        <f t="shared" si="250"/>
        <v>35</v>
      </c>
      <c r="P2668" s="30">
        <f t="shared" si="251"/>
        <v>5040</v>
      </c>
      <c r="Q2668" s="1">
        <f>COUNTIFS($P:$P, "&gt;" &amp; $P2668) + 1</f>
        <v>2440</v>
      </c>
      <c r="R2668" s="63">
        <f>(COUNTIFS($P:$P, "&gt;" &amp; $P2668) + 1) / (COUNTA($I:$I) - 1)</f>
        <v>0.48799999999999999</v>
      </c>
      <c r="S2668" s="23">
        <f>SUMIFS($P:$P, $Q:$Q, "&lt;" &amp; $Q2668)</f>
        <v>182822281</v>
      </c>
    </row>
    <row r="2669" spans="1:19" x14ac:dyDescent="0.25">
      <c r="A2669" s="1">
        <v>2664</v>
      </c>
      <c r="B2669" s="1" t="s">
        <v>2</v>
      </c>
      <c r="C2669" s="1" t="str">
        <f>IF($B2669 = "Production Item", _xlfn.XLOOKUP($A2669, 'Instrument Table'!$J:$J, 'Instrument Table'!$B:$B, $C2668), IF($B2669 = "Service Item", _xlfn.XLOOKUP($A2669, 'Instrument Table'!$I:$I, 'Instrument Table'!$B:$B, $C2668), _xlfn.XLOOKUP($A2669, 'Instrument Table'!$H:$H, 'Instrument Table'!$B:$B, $C2668)))</f>
        <v>Trumpet</v>
      </c>
      <c r="D2669" s="1" t="str">
        <f>VLOOKUP($C2669, 'Instrument Table'!$B:$C, 2, FALSE)</f>
        <v>Brass</v>
      </c>
      <c r="E2669" s="1">
        <f t="shared" si="246"/>
        <v>1</v>
      </c>
      <c r="F2669" s="1">
        <f>_xlfn.XLOOKUP($C2669, 'Instrument Table'!$B:$B, 'Instrument Table'!$A:$A, "")</f>
        <v>41</v>
      </c>
      <c r="G2669" s="1" t="str">
        <f>TEXT(IF($B2669 = "Retail Item", IF((ROW($A2669) - 4504 - _xlfn.XMATCH($C2669, $C$4506:$C$5005, 0, 1)) &lt;= VLOOKUP($C2669, 'Instrument Table'!$B:$D, 3, FALSE), ROW($A2669) - 4504 - _xlfn.XMATCH($C2669, $C$4506:$C$5005, 0, 1), 0), 0), "00")</f>
        <v>00</v>
      </c>
      <c r="H2669" s="1" t="str">
        <f t="shared" si="247"/>
        <v>013</v>
      </c>
      <c r="I2669" s="1" t="str">
        <f t="shared" si="248"/>
        <v>14100-013</v>
      </c>
      <c r="J2669" s="1" t="str">
        <f t="shared" si="249"/>
        <v>Trumpet production item #013</v>
      </c>
      <c r="K2669" s="1" t="str">
        <f>IF(SUM(COUNTIFS(I:I, I2669)) &gt; 1, "DUPLICATE", "UNIQUE")</f>
        <v>UNIQUE</v>
      </c>
      <c r="L2669" s="18">
        <v>0</v>
      </c>
      <c r="M2669" s="28">
        <v>39</v>
      </c>
      <c r="N2669" s="6">
        <v>64</v>
      </c>
      <c r="O2669" s="30">
        <f t="shared" si="250"/>
        <v>0</v>
      </c>
      <c r="P2669" s="30">
        <f t="shared" si="251"/>
        <v>2496</v>
      </c>
      <c r="Q2669" s="1">
        <f>COUNTIFS($P:$P, "&gt;" &amp; $P2669) + 1</f>
        <v>3053</v>
      </c>
      <c r="R2669" s="63">
        <f>(COUNTIFS($P:$P, "&gt;" &amp; $P2669) + 1) / (COUNTA($I:$I) - 1)</f>
        <v>0.61060000000000003</v>
      </c>
      <c r="S2669" s="23">
        <f>SUMIFS($P:$P, $Q:$Q, "&lt;" &amp; $Q2669)</f>
        <v>185068046</v>
      </c>
    </row>
    <row r="2670" spans="1:19" x14ac:dyDescent="0.25">
      <c r="A2670" s="1">
        <v>2665</v>
      </c>
      <c r="B2670" s="1" t="s">
        <v>2</v>
      </c>
      <c r="C2670" s="1" t="str">
        <f>IF($B2670 = "Production Item", _xlfn.XLOOKUP($A2670, 'Instrument Table'!$J:$J, 'Instrument Table'!$B:$B, $C2669), IF($B2670 = "Service Item", _xlfn.XLOOKUP($A2670, 'Instrument Table'!$I:$I, 'Instrument Table'!$B:$B, $C2669), _xlfn.XLOOKUP($A2670, 'Instrument Table'!$H:$H, 'Instrument Table'!$B:$B, $C2669)))</f>
        <v>Trumpet</v>
      </c>
      <c r="D2670" s="1" t="str">
        <f>VLOOKUP($C2670, 'Instrument Table'!$B:$C, 2, FALSE)</f>
        <v>Brass</v>
      </c>
      <c r="E2670" s="1">
        <f t="shared" si="246"/>
        <v>1</v>
      </c>
      <c r="F2670" s="1">
        <f>_xlfn.XLOOKUP($C2670, 'Instrument Table'!$B:$B, 'Instrument Table'!$A:$A, "")</f>
        <v>41</v>
      </c>
      <c r="G2670" s="1" t="str">
        <f>TEXT(IF($B2670 = "Retail Item", IF((ROW($A2670) - 4504 - _xlfn.XMATCH($C2670, $C$4506:$C$5005, 0, 1)) &lt;= VLOOKUP($C2670, 'Instrument Table'!$B:$D, 3, FALSE), ROW($A2670) - 4504 - _xlfn.XMATCH($C2670, $C$4506:$C$5005, 0, 1), 0), 0), "00")</f>
        <v>00</v>
      </c>
      <c r="H2670" s="1" t="str">
        <f t="shared" si="247"/>
        <v>014</v>
      </c>
      <c r="I2670" s="1" t="str">
        <f t="shared" si="248"/>
        <v>14100-014</v>
      </c>
      <c r="J2670" s="1" t="str">
        <f t="shared" si="249"/>
        <v>Trumpet production item #014</v>
      </c>
      <c r="K2670" s="1" t="str">
        <f>IF(SUM(COUNTIFS(I:I, I2670)) &gt; 1, "DUPLICATE", "UNIQUE")</f>
        <v>UNIQUE</v>
      </c>
      <c r="L2670" s="18">
        <v>4</v>
      </c>
      <c r="M2670" s="28">
        <v>71</v>
      </c>
      <c r="N2670" s="6">
        <v>400</v>
      </c>
      <c r="O2670" s="30">
        <f t="shared" si="250"/>
        <v>284</v>
      </c>
      <c r="P2670" s="30">
        <f t="shared" si="251"/>
        <v>28400</v>
      </c>
      <c r="Q2670" s="1">
        <f>COUNTIFS($P:$P, "&gt;" &amp; $P2670) + 1</f>
        <v>726</v>
      </c>
      <c r="R2670" s="63">
        <f>(COUNTIFS($P:$P, "&gt;" &amp; $P2670) + 1) / (COUNTA($I:$I) - 1)</f>
        <v>0.1452</v>
      </c>
      <c r="S2670" s="23">
        <f>SUMIFS($P:$P, $Q:$Q, "&lt;" &amp; $Q2670)</f>
        <v>159842754</v>
      </c>
    </row>
    <row r="2671" spans="1:19" x14ac:dyDescent="0.25">
      <c r="A2671" s="1">
        <v>2666</v>
      </c>
      <c r="B2671" s="1" t="s">
        <v>2</v>
      </c>
      <c r="C2671" s="1" t="str">
        <f>IF($B2671 = "Production Item", _xlfn.XLOOKUP($A2671, 'Instrument Table'!$J:$J, 'Instrument Table'!$B:$B, $C2670), IF($B2671 = "Service Item", _xlfn.XLOOKUP($A2671, 'Instrument Table'!$I:$I, 'Instrument Table'!$B:$B, $C2670), _xlfn.XLOOKUP($A2671, 'Instrument Table'!$H:$H, 'Instrument Table'!$B:$B, $C2670)))</f>
        <v>Trumpet</v>
      </c>
      <c r="D2671" s="1" t="str">
        <f>VLOOKUP($C2671, 'Instrument Table'!$B:$C, 2, FALSE)</f>
        <v>Brass</v>
      </c>
      <c r="E2671" s="1">
        <f t="shared" si="246"/>
        <v>1</v>
      </c>
      <c r="F2671" s="1">
        <f>_xlfn.XLOOKUP($C2671, 'Instrument Table'!$B:$B, 'Instrument Table'!$A:$A, "")</f>
        <v>41</v>
      </c>
      <c r="G2671" s="1" t="str">
        <f>TEXT(IF($B2671 = "Retail Item", IF((ROW($A2671) - 4504 - _xlfn.XMATCH($C2671, $C$4506:$C$5005, 0, 1)) &lt;= VLOOKUP($C2671, 'Instrument Table'!$B:$D, 3, FALSE), ROW($A2671) - 4504 - _xlfn.XMATCH($C2671, $C$4506:$C$5005, 0, 1), 0), 0), "00")</f>
        <v>00</v>
      </c>
      <c r="H2671" s="1" t="str">
        <f t="shared" si="247"/>
        <v>015</v>
      </c>
      <c r="I2671" s="1" t="str">
        <f t="shared" si="248"/>
        <v>14100-015</v>
      </c>
      <c r="J2671" s="1" t="str">
        <f t="shared" si="249"/>
        <v>Trumpet production item #015</v>
      </c>
      <c r="K2671" s="1" t="str">
        <f>IF(SUM(COUNTIFS(I:I, I2671)) &gt; 1, "DUPLICATE", "UNIQUE")</f>
        <v>UNIQUE</v>
      </c>
      <c r="L2671" s="18">
        <v>32</v>
      </c>
      <c r="M2671" s="28">
        <v>69</v>
      </c>
      <c r="N2671" s="6">
        <v>121</v>
      </c>
      <c r="O2671" s="30">
        <f t="shared" si="250"/>
        <v>2208</v>
      </c>
      <c r="P2671" s="30">
        <f t="shared" si="251"/>
        <v>8349</v>
      </c>
      <c r="Q2671" s="1">
        <f>COUNTIFS($P:$P, "&gt;" &amp; $P2671) + 1</f>
        <v>1949</v>
      </c>
      <c r="R2671" s="63">
        <f>(COUNTIFS($P:$P, "&gt;" &amp; $P2671) + 1) / (COUNTA($I:$I) - 1)</f>
        <v>0.38979999999999998</v>
      </c>
      <c r="S2671" s="23">
        <f>SUMIFS($P:$P, $Q:$Q, "&lt;" &amp; $Q2671)</f>
        <v>179582968</v>
      </c>
    </row>
    <row r="2672" spans="1:19" x14ac:dyDescent="0.25">
      <c r="A2672" s="1">
        <v>2667</v>
      </c>
      <c r="B2672" s="1" t="s">
        <v>2</v>
      </c>
      <c r="C2672" s="1" t="str">
        <f>IF($B2672 = "Production Item", _xlfn.XLOOKUP($A2672, 'Instrument Table'!$J:$J, 'Instrument Table'!$B:$B, $C2671), IF($B2672 = "Service Item", _xlfn.XLOOKUP($A2672, 'Instrument Table'!$I:$I, 'Instrument Table'!$B:$B, $C2671), _xlfn.XLOOKUP($A2672, 'Instrument Table'!$H:$H, 'Instrument Table'!$B:$B, $C2671)))</f>
        <v>Trumpet</v>
      </c>
      <c r="D2672" s="1" t="str">
        <f>VLOOKUP($C2672, 'Instrument Table'!$B:$C, 2, FALSE)</f>
        <v>Brass</v>
      </c>
      <c r="E2672" s="1">
        <f t="shared" si="246"/>
        <v>1</v>
      </c>
      <c r="F2672" s="1">
        <f>_xlfn.XLOOKUP($C2672, 'Instrument Table'!$B:$B, 'Instrument Table'!$A:$A, "")</f>
        <v>41</v>
      </c>
      <c r="G2672" s="1" t="str">
        <f>TEXT(IF($B2672 = "Retail Item", IF((ROW($A2672) - 4504 - _xlfn.XMATCH($C2672, $C$4506:$C$5005, 0, 1)) &lt;= VLOOKUP($C2672, 'Instrument Table'!$B:$D, 3, FALSE), ROW($A2672) - 4504 - _xlfn.XMATCH($C2672, $C$4506:$C$5005, 0, 1), 0), 0), "00")</f>
        <v>00</v>
      </c>
      <c r="H2672" s="1" t="str">
        <f t="shared" si="247"/>
        <v>016</v>
      </c>
      <c r="I2672" s="1" t="str">
        <f t="shared" si="248"/>
        <v>14100-016</v>
      </c>
      <c r="J2672" s="1" t="str">
        <f t="shared" si="249"/>
        <v>Trumpet production item #016</v>
      </c>
      <c r="K2672" s="1" t="str">
        <f>IF(SUM(COUNTIFS(I:I, I2672)) &gt; 1, "DUPLICATE", "UNIQUE")</f>
        <v>UNIQUE</v>
      </c>
      <c r="L2672" s="18">
        <v>0</v>
      </c>
      <c r="M2672" s="28">
        <v>35</v>
      </c>
      <c r="N2672" s="6">
        <v>9</v>
      </c>
      <c r="O2672" s="30">
        <f t="shared" si="250"/>
        <v>0</v>
      </c>
      <c r="P2672" s="30">
        <f t="shared" si="251"/>
        <v>315</v>
      </c>
      <c r="Q2672" s="1">
        <f>COUNTIFS($P:$P, "&gt;" &amp; $P2672) + 1</f>
        <v>4202</v>
      </c>
      <c r="R2672" s="63">
        <f>(COUNTIFS($P:$P, "&gt;" &amp; $P2672) + 1) / (COUNTA($I:$I) - 1)</f>
        <v>0.84040000000000004</v>
      </c>
      <c r="S2672" s="23">
        <f>SUMIFS($P:$P, $Q:$Q, "&lt;" &amp; $Q2672)</f>
        <v>186481026</v>
      </c>
    </row>
    <row r="2673" spans="1:19" x14ac:dyDescent="0.25">
      <c r="A2673" s="1">
        <v>2668</v>
      </c>
      <c r="B2673" s="1" t="s">
        <v>2</v>
      </c>
      <c r="C2673" s="1" t="str">
        <f>IF($B2673 = "Production Item", _xlfn.XLOOKUP($A2673, 'Instrument Table'!$J:$J, 'Instrument Table'!$B:$B, $C2672), IF($B2673 = "Service Item", _xlfn.XLOOKUP($A2673, 'Instrument Table'!$I:$I, 'Instrument Table'!$B:$B, $C2672), _xlfn.XLOOKUP($A2673, 'Instrument Table'!$H:$H, 'Instrument Table'!$B:$B, $C2672)))</f>
        <v>Trumpet</v>
      </c>
      <c r="D2673" s="1" t="str">
        <f>VLOOKUP($C2673, 'Instrument Table'!$B:$C, 2, FALSE)</f>
        <v>Brass</v>
      </c>
      <c r="E2673" s="1">
        <f t="shared" si="246"/>
        <v>1</v>
      </c>
      <c r="F2673" s="1">
        <f>_xlfn.XLOOKUP($C2673, 'Instrument Table'!$B:$B, 'Instrument Table'!$A:$A, "")</f>
        <v>41</v>
      </c>
      <c r="G2673" s="1" t="str">
        <f>TEXT(IF($B2673 = "Retail Item", IF((ROW($A2673) - 4504 - _xlfn.XMATCH($C2673, $C$4506:$C$5005, 0, 1)) &lt;= VLOOKUP($C2673, 'Instrument Table'!$B:$D, 3, FALSE), ROW($A2673) - 4504 - _xlfn.XMATCH($C2673, $C$4506:$C$5005, 0, 1), 0), 0), "00")</f>
        <v>00</v>
      </c>
      <c r="H2673" s="1" t="str">
        <f t="shared" si="247"/>
        <v>017</v>
      </c>
      <c r="I2673" s="1" t="str">
        <f t="shared" si="248"/>
        <v>14100-017</v>
      </c>
      <c r="J2673" s="1" t="str">
        <f t="shared" si="249"/>
        <v>Trumpet production item #017</v>
      </c>
      <c r="K2673" s="1" t="str">
        <f>IF(SUM(COUNTIFS(I:I, I2673)) &gt; 1, "DUPLICATE", "UNIQUE")</f>
        <v>UNIQUE</v>
      </c>
      <c r="L2673" s="18">
        <v>0</v>
      </c>
      <c r="M2673" s="28">
        <v>11</v>
      </c>
      <c r="N2673" s="6">
        <v>16</v>
      </c>
      <c r="O2673" s="30">
        <f t="shared" si="250"/>
        <v>0</v>
      </c>
      <c r="P2673" s="30">
        <f t="shared" si="251"/>
        <v>176</v>
      </c>
      <c r="Q2673" s="1">
        <f>COUNTIFS($P:$P, "&gt;" &amp; $P2673) + 1</f>
        <v>4365</v>
      </c>
      <c r="R2673" s="63">
        <f>(COUNTIFS($P:$P, "&gt;" &amp; $P2673) + 1) / (COUNTA($I:$I) - 1)</f>
        <v>0.873</v>
      </c>
      <c r="S2673" s="23">
        <f>SUMIFS($P:$P, $Q:$Q, "&lt;" &amp; $Q2673)</f>
        <v>186520292</v>
      </c>
    </row>
    <row r="2674" spans="1:19" x14ac:dyDescent="0.25">
      <c r="A2674" s="1">
        <v>2669</v>
      </c>
      <c r="B2674" s="1" t="s">
        <v>2</v>
      </c>
      <c r="C2674" s="1" t="str">
        <f>IF($B2674 = "Production Item", _xlfn.XLOOKUP($A2674, 'Instrument Table'!$J:$J, 'Instrument Table'!$B:$B, $C2673), IF($B2674 = "Service Item", _xlfn.XLOOKUP($A2674, 'Instrument Table'!$I:$I, 'Instrument Table'!$B:$B, $C2673), _xlfn.XLOOKUP($A2674, 'Instrument Table'!$H:$H, 'Instrument Table'!$B:$B, $C2673)))</f>
        <v>Trumpet</v>
      </c>
      <c r="D2674" s="1" t="str">
        <f>VLOOKUP($C2674, 'Instrument Table'!$B:$C, 2, FALSE)</f>
        <v>Brass</v>
      </c>
      <c r="E2674" s="1">
        <f t="shared" si="246"/>
        <v>1</v>
      </c>
      <c r="F2674" s="1">
        <f>_xlfn.XLOOKUP($C2674, 'Instrument Table'!$B:$B, 'Instrument Table'!$A:$A, "")</f>
        <v>41</v>
      </c>
      <c r="G2674" s="1" t="str">
        <f>TEXT(IF($B2674 = "Retail Item", IF((ROW($A2674) - 4504 - _xlfn.XMATCH($C2674, $C$4506:$C$5005, 0, 1)) &lt;= VLOOKUP($C2674, 'Instrument Table'!$B:$D, 3, FALSE), ROW($A2674) - 4504 - _xlfn.XMATCH($C2674, $C$4506:$C$5005, 0, 1), 0), 0), "00")</f>
        <v>00</v>
      </c>
      <c r="H2674" s="1" t="str">
        <f t="shared" si="247"/>
        <v>018</v>
      </c>
      <c r="I2674" s="1" t="str">
        <f t="shared" si="248"/>
        <v>14100-018</v>
      </c>
      <c r="J2674" s="1" t="str">
        <f t="shared" si="249"/>
        <v>Trumpet production item #018</v>
      </c>
      <c r="K2674" s="1" t="str">
        <f>IF(SUM(COUNTIFS(I:I, I2674)) &gt; 1, "DUPLICATE", "UNIQUE")</f>
        <v>UNIQUE</v>
      </c>
      <c r="L2674" s="18">
        <v>0</v>
      </c>
      <c r="M2674" s="28">
        <v>99</v>
      </c>
      <c r="N2674" s="6">
        <v>81</v>
      </c>
      <c r="O2674" s="30">
        <f t="shared" si="250"/>
        <v>0</v>
      </c>
      <c r="P2674" s="30">
        <f t="shared" si="251"/>
        <v>8019</v>
      </c>
      <c r="Q2674" s="1">
        <f>COUNTIFS($P:$P, "&gt;" &amp; $P2674) + 1</f>
        <v>1984</v>
      </c>
      <c r="R2674" s="63">
        <f>(COUNTIFS($P:$P, "&gt;" &amp; $P2674) + 1) / (COUNTA($I:$I) - 1)</f>
        <v>0.39679999999999999</v>
      </c>
      <c r="S2674" s="23">
        <f>SUMIFS($P:$P, $Q:$Q, "&lt;" &amp; $Q2674)</f>
        <v>179868902</v>
      </c>
    </row>
    <row r="2675" spans="1:19" x14ac:dyDescent="0.25">
      <c r="A2675" s="1">
        <v>2670</v>
      </c>
      <c r="B2675" s="1" t="s">
        <v>2</v>
      </c>
      <c r="C2675" s="1" t="str">
        <f>IF($B2675 = "Production Item", _xlfn.XLOOKUP($A2675, 'Instrument Table'!$J:$J, 'Instrument Table'!$B:$B, $C2674), IF($B2675 = "Service Item", _xlfn.XLOOKUP($A2675, 'Instrument Table'!$I:$I, 'Instrument Table'!$B:$B, $C2674), _xlfn.XLOOKUP($A2675, 'Instrument Table'!$H:$H, 'Instrument Table'!$B:$B, $C2674)))</f>
        <v>Trumpet</v>
      </c>
      <c r="D2675" s="1" t="str">
        <f>VLOOKUP($C2675, 'Instrument Table'!$B:$C, 2, FALSE)</f>
        <v>Brass</v>
      </c>
      <c r="E2675" s="1">
        <f t="shared" si="246"/>
        <v>1</v>
      </c>
      <c r="F2675" s="1">
        <f>_xlfn.XLOOKUP($C2675, 'Instrument Table'!$B:$B, 'Instrument Table'!$A:$A, "")</f>
        <v>41</v>
      </c>
      <c r="G2675" s="1" t="str">
        <f>TEXT(IF($B2675 = "Retail Item", IF((ROW($A2675) - 4504 - _xlfn.XMATCH($C2675, $C$4506:$C$5005, 0, 1)) &lt;= VLOOKUP($C2675, 'Instrument Table'!$B:$D, 3, FALSE), ROW($A2675) - 4504 - _xlfn.XMATCH($C2675, $C$4506:$C$5005, 0, 1), 0), 0), "00")</f>
        <v>00</v>
      </c>
      <c r="H2675" s="1" t="str">
        <f t="shared" si="247"/>
        <v>019</v>
      </c>
      <c r="I2675" s="1" t="str">
        <f t="shared" si="248"/>
        <v>14100-019</v>
      </c>
      <c r="J2675" s="1" t="str">
        <f t="shared" si="249"/>
        <v>Trumpet production item #019</v>
      </c>
      <c r="K2675" s="1" t="str">
        <f>IF(SUM(COUNTIFS(I:I, I2675)) &gt; 1, "DUPLICATE", "UNIQUE")</f>
        <v>UNIQUE</v>
      </c>
      <c r="L2675" s="18">
        <v>32</v>
      </c>
      <c r="M2675" s="28">
        <v>9</v>
      </c>
      <c r="N2675" s="6">
        <v>81</v>
      </c>
      <c r="O2675" s="30">
        <f t="shared" si="250"/>
        <v>288</v>
      </c>
      <c r="P2675" s="30">
        <f t="shared" si="251"/>
        <v>729</v>
      </c>
      <c r="Q2675" s="1">
        <f>COUNTIFS($P:$P, "&gt;" &amp; $P2675) + 1</f>
        <v>3847</v>
      </c>
      <c r="R2675" s="63">
        <f>(COUNTIFS($P:$P, "&gt;" &amp; $P2675) + 1) / (COUNTA($I:$I) - 1)</f>
        <v>0.76939999999999997</v>
      </c>
      <c r="S2675" s="23">
        <f>SUMIFS($P:$P, $Q:$Q, "&lt;" &amp; $Q2675)</f>
        <v>186301356</v>
      </c>
    </row>
    <row r="2676" spans="1:19" x14ac:dyDescent="0.25">
      <c r="A2676" s="1">
        <v>2671</v>
      </c>
      <c r="B2676" s="1" t="s">
        <v>2</v>
      </c>
      <c r="C2676" s="1" t="str">
        <f>IF($B2676 = "Production Item", _xlfn.XLOOKUP($A2676, 'Instrument Table'!$J:$J, 'Instrument Table'!$B:$B, $C2675), IF($B2676 = "Service Item", _xlfn.XLOOKUP($A2676, 'Instrument Table'!$I:$I, 'Instrument Table'!$B:$B, $C2675), _xlfn.XLOOKUP($A2676, 'Instrument Table'!$H:$H, 'Instrument Table'!$B:$B, $C2675)))</f>
        <v>Trumpet</v>
      </c>
      <c r="D2676" s="1" t="str">
        <f>VLOOKUP($C2676, 'Instrument Table'!$B:$C, 2, FALSE)</f>
        <v>Brass</v>
      </c>
      <c r="E2676" s="1">
        <f t="shared" si="246"/>
        <v>1</v>
      </c>
      <c r="F2676" s="1">
        <f>_xlfn.XLOOKUP($C2676, 'Instrument Table'!$B:$B, 'Instrument Table'!$A:$A, "")</f>
        <v>41</v>
      </c>
      <c r="G2676" s="1" t="str">
        <f>TEXT(IF($B2676 = "Retail Item", IF((ROW($A2676) - 4504 - _xlfn.XMATCH($C2676, $C$4506:$C$5005, 0, 1)) &lt;= VLOOKUP($C2676, 'Instrument Table'!$B:$D, 3, FALSE), ROW($A2676) - 4504 - _xlfn.XMATCH($C2676, $C$4506:$C$5005, 0, 1), 0), 0), "00")</f>
        <v>00</v>
      </c>
      <c r="H2676" s="1" t="str">
        <f t="shared" si="247"/>
        <v>020</v>
      </c>
      <c r="I2676" s="1" t="str">
        <f t="shared" si="248"/>
        <v>14100-020</v>
      </c>
      <c r="J2676" s="1" t="str">
        <f t="shared" si="249"/>
        <v>Trumpet production item #020</v>
      </c>
      <c r="K2676" s="1" t="str">
        <f>IF(SUM(COUNTIFS(I:I, I2676)) &gt; 1, "DUPLICATE", "UNIQUE")</f>
        <v>UNIQUE</v>
      </c>
      <c r="L2676" s="18">
        <v>0</v>
      </c>
      <c r="M2676" s="28">
        <v>54</v>
      </c>
      <c r="N2676" s="6">
        <v>256</v>
      </c>
      <c r="O2676" s="30">
        <f t="shared" si="250"/>
        <v>0</v>
      </c>
      <c r="P2676" s="30">
        <f t="shared" si="251"/>
        <v>13824</v>
      </c>
      <c r="Q2676" s="1">
        <f>COUNTIFS($P:$P, "&gt;" &amp; $P2676) + 1</f>
        <v>1432</v>
      </c>
      <c r="R2676" s="63">
        <f>(COUNTIFS($P:$P, "&gt;" &amp; $P2676) + 1) / (COUNTA($I:$I) - 1)</f>
        <v>0.28639999999999999</v>
      </c>
      <c r="S2676" s="23">
        <f>SUMIFS($P:$P, $Q:$Q, "&lt;" &amp; $Q2676)</f>
        <v>173925940</v>
      </c>
    </row>
    <row r="2677" spans="1:19" x14ac:dyDescent="0.25">
      <c r="A2677" s="1">
        <v>2672</v>
      </c>
      <c r="B2677" s="1" t="s">
        <v>2</v>
      </c>
      <c r="C2677" s="1" t="str">
        <f>IF($B2677 = "Production Item", _xlfn.XLOOKUP($A2677, 'Instrument Table'!$J:$J, 'Instrument Table'!$B:$B, $C2676), IF($B2677 = "Service Item", _xlfn.XLOOKUP($A2677, 'Instrument Table'!$I:$I, 'Instrument Table'!$B:$B, $C2676), _xlfn.XLOOKUP($A2677, 'Instrument Table'!$H:$H, 'Instrument Table'!$B:$B, $C2676)))</f>
        <v>Trumpet</v>
      </c>
      <c r="D2677" s="1" t="str">
        <f>VLOOKUP($C2677, 'Instrument Table'!$B:$C, 2, FALSE)</f>
        <v>Brass</v>
      </c>
      <c r="E2677" s="1">
        <f t="shared" si="246"/>
        <v>1</v>
      </c>
      <c r="F2677" s="1">
        <f>_xlfn.XLOOKUP($C2677, 'Instrument Table'!$B:$B, 'Instrument Table'!$A:$A, "")</f>
        <v>41</v>
      </c>
      <c r="G2677" s="1" t="str">
        <f>TEXT(IF($B2677 = "Retail Item", IF((ROW($A2677) - 4504 - _xlfn.XMATCH($C2677, $C$4506:$C$5005, 0, 1)) &lt;= VLOOKUP($C2677, 'Instrument Table'!$B:$D, 3, FALSE), ROW($A2677) - 4504 - _xlfn.XMATCH($C2677, $C$4506:$C$5005, 0, 1), 0), 0), "00")</f>
        <v>00</v>
      </c>
      <c r="H2677" s="1" t="str">
        <f t="shared" si="247"/>
        <v>021</v>
      </c>
      <c r="I2677" s="1" t="str">
        <f t="shared" si="248"/>
        <v>14100-021</v>
      </c>
      <c r="J2677" s="1" t="str">
        <f t="shared" si="249"/>
        <v>Trumpet production item #021</v>
      </c>
      <c r="K2677" s="1" t="str">
        <f>IF(SUM(COUNTIFS(I:I, I2677)) &gt; 1, "DUPLICATE", "UNIQUE")</f>
        <v>UNIQUE</v>
      </c>
      <c r="L2677" s="18">
        <v>2</v>
      </c>
      <c r="M2677" s="28">
        <v>21</v>
      </c>
      <c r="N2677" s="6">
        <v>4</v>
      </c>
      <c r="O2677" s="30">
        <f t="shared" si="250"/>
        <v>42</v>
      </c>
      <c r="P2677" s="30">
        <f t="shared" si="251"/>
        <v>84</v>
      </c>
      <c r="Q2677" s="1">
        <f>COUNTIFS($P:$P, "&gt;" &amp; $P2677) + 1</f>
        <v>4496</v>
      </c>
      <c r="R2677" s="63">
        <f>(COUNTIFS($P:$P, "&gt;" &amp; $P2677) + 1) / (COUNTA($I:$I) - 1)</f>
        <v>0.8992</v>
      </c>
      <c r="S2677" s="23">
        <f>SUMIFS($P:$P, $Q:$Q, "&lt;" &amp; $Q2677)</f>
        <v>186536523</v>
      </c>
    </row>
    <row r="2678" spans="1:19" x14ac:dyDescent="0.25">
      <c r="A2678" s="1">
        <v>2673</v>
      </c>
      <c r="B2678" s="1" t="s">
        <v>2</v>
      </c>
      <c r="C2678" s="1" t="str">
        <f>IF($B2678 = "Production Item", _xlfn.XLOOKUP($A2678, 'Instrument Table'!$J:$J, 'Instrument Table'!$B:$B, $C2677), IF($B2678 = "Service Item", _xlfn.XLOOKUP($A2678, 'Instrument Table'!$I:$I, 'Instrument Table'!$B:$B, $C2677), _xlfn.XLOOKUP($A2678, 'Instrument Table'!$H:$H, 'Instrument Table'!$B:$B, $C2677)))</f>
        <v>Trumpet</v>
      </c>
      <c r="D2678" s="1" t="str">
        <f>VLOOKUP($C2678, 'Instrument Table'!$B:$C, 2, FALSE)</f>
        <v>Brass</v>
      </c>
      <c r="E2678" s="1">
        <f t="shared" si="246"/>
        <v>1</v>
      </c>
      <c r="F2678" s="1">
        <f>_xlfn.XLOOKUP($C2678, 'Instrument Table'!$B:$B, 'Instrument Table'!$A:$A, "")</f>
        <v>41</v>
      </c>
      <c r="G2678" s="1" t="str">
        <f>TEXT(IF($B2678 = "Retail Item", IF((ROW($A2678) - 4504 - _xlfn.XMATCH($C2678, $C$4506:$C$5005, 0, 1)) &lt;= VLOOKUP($C2678, 'Instrument Table'!$B:$D, 3, FALSE), ROW($A2678) - 4504 - _xlfn.XMATCH($C2678, $C$4506:$C$5005, 0, 1), 0), 0), "00")</f>
        <v>00</v>
      </c>
      <c r="H2678" s="1" t="str">
        <f t="shared" si="247"/>
        <v>022</v>
      </c>
      <c r="I2678" s="1" t="str">
        <f t="shared" si="248"/>
        <v>14100-022</v>
      </c>
      <c r="J2678" s="1" t="str">
        <f t="shared" si="249"/>
        <v>Trumpet production item #022</v>
      </c>
      <c r="K2678" s="1" t="str">
        <f>IF(SUM(COUNTIFS(I:I, I2678)) &gt; 1, "DUPLICATE", "UNIQUE")</f>
        <v>UNIQUE</v>
      </c>
      <c r="L2678" s="18">
        <v>1</v>
      </c>
      <c r="M2678" s="28">
        <v>58</v>
      </c>
      <c r="N2678" s="6">
        <v>400</v>
      </c>
      <c r="O2678" s="30">
        <f t="shared" si="250"/>
        <v>58</v>
      </c>
      <c r="P2678" s="30">
        <f t="shared" si="251"/>
        <v>23200</v>
      </c>
      <c r="Q2678" s="1">
        <f>COUNTIFS($P:$P, "&gt;" &amp; $P2678) + 1</f>
        <v>896</v>
      </c>
      <c r="R2678" s="63">
        <f>(COUNTIFS($P:$P, "&gt;" &amp; $P2678) + 1) / (COUNTA($I:$I) - 1)</f>
        <v>0.1792</v>
      </c>
      <c r="S2678" s="23">
        <f>SUMIFS($P:$P, $Q:$Q, "&lt;" &amp; $Q2678)</f>
        <v>164187987</v>
      </c>
    </row>
    <row r="2679" spans="1:19" x14ac:dyDescent="0.25">
      <c r="A2679" s="1">
        <v>2674</v>
      </c>
      <c r="B2679" s="1" t="s">
        <v>2</v>
      </c>
      <c r="C2679" s="1" t="str">
        <f>IF($B2679 = "Production Item", _xlfn.XLOOKUP($A2679, 'Instrument Table'!$J:$J, 'Instrument Table'!$B:$B, $C2678), IF($B2679 = "Service Item", _xlfn.XLOOKUP($A2679, 'Instrument Table'!$I:$I, 'Instrument Table'!$B:$B, $C2678), _xlfn.XLOOKUP($A2679, 'Instrument Table'!$H:$H, 'Instrument Table'!$B:$B, $C2678)))</f>
        <v>Trumpet</v>
      </c>
      <c r="D2679" s="1" t="str">
        <f>VLOOKUP($C2679, 'Instrument Table'!$B:$C, 2, FALSE)</f>
        <v>Brass</v>
      </c>
      <c r="E2679" s="1">
        <f t="shared" si="246"/>
        <v>1</v>
      </c>
      <c r="F2679" s="1">
        <f>_xlfn.XLOOKUP($C2679, 'Instrument Table'!$B:$B, 'Instrument Table'!$A:$A, "")</f>
        <v>41</v>
      </c>
      <c r="G2679" s="1" t="str">
        <f>TEXT(IF($B2679 = "Retail Item", IF((ROW($A2679) - 4504 - _xlfn.XMATCH($C2679, $C$4506:$C$5005, 0, 1)) &lt;= VLOOKUP($C2679, 'Instrument Table'!$B:$D, 3, FALSE), ROW($A2679) - 4504 - _xlfn.XMATCH($C2679, $C$4506:$C$5005, 0, 1), 0), 0), "00")</f>
        <v>00</v>
      </c>
      <c r="H2679" s="1" t="str">
        <f t="shared" si="247"/>
        <v>023</v>
      </c>
      <c r="I2679" s="1" t="str">
        <f t="shared" si="248"/>
        <v>14100-023</v>
      </c>
      <c r="J2679" s="1" t="str">
        <f t="shared" si="249"/>
        <v>Trumpet production item #023</v>
      </c>
      <c r="K2679" s="1" t="str">
        <f>IF(SUM(COUNTIFS(I:I, I2679)) &gt; 1, "DUPLICATE", "UNIQUE")</f>
        <v>UNIQUE</v>
      </c>
      <c r="L2679" s="18">
        <v>0</v>
      </c>
      <c r="M2679" s="28">
        <v>54</v>
      </c>
      <c r="N2679" s="6">
        <v>64</v>
      </c>
      <c r="O2679" s="30">
        <f t="shared" si="250"/>
        <v>0</v>
      </c>
      <c r="P2679" s="30">
        <f t="shared" si="251"/>
        <v>3456</v>
      </c>
      <c r="Q2679" s="1">
        <f>COUNTIFS($P:$P, "&gt;" &amp; $P2679) + 1</f>
        <v>2787</v>
      </c>
      <c r="R2679" s="63">
        <f>(COUNTIFS($P:$P, "&gt;" &amp; $P2679) + 1) / (COUNTA($I:$I) - 1)</f>
        <v>0.55740000000000001</v>
      </c>
      <c r="S2679" s="23">
        <f>SUMIFS($P:$P, $Q:$Q, "&lt;" &amp; $Q2679)</f>
        <v>184281179</v>
      </c>
    </row>
    <row r="2680" spans="1:19" x14ac:dyDescent="0.25">
      <c r="A2680" s="1">
        <v>2675</v>
      </c>
      <c r="B2680" s="1" t="s">
        <v>2</v>
      </c>
      <c r="C2680" s="1" t="str">
        <f>IF($B2680 = "Production Item", _xlfn.XLOOKUP($A2680, 'Instrument Table'!$J:$J, 'Instrument Table'!$B:$B, $C2679), IF($B2680 = "Service Item", _xlfn.XLOOKUP($A2680, 'Instrument Table'!$I:$I, 'Instrument Table'!$B:$B, $C2679), _xlfn.XLOOKUP($A2680, 'Instrument Table'!$H:$H, 'Instrument Table'!$B:$B, $C2679)))</f>
        <v>Trumpet</v>
      </c>
      <c r="D2680" s="1" t="str">
        <f>VLOOKUP($C2680, 'Instrument Table'!$B:$C, 2, FALSE)</f>
        <v>Brass</v>
      </c>
      <c r="E2680" s="1">
        <f t="shared" si="246"/>
        <v>1</v>
      </c>
      <c r="F2680" s="1">
        <f>_xlfn.XLOOKUP($C2680, 'Instrument Table'!$B:$B, 'Instrument Table'!$A:$A, "")</f>
        <v>41</v>
      </c>
      <c r="G2680" s="1" t="str">
        <f>TEXT(IF($B2680 = "Retail Item", IF((ROW($A2680) - 4504 - _xlfn.XMATCH($C2680, $C$4506:$C$5005, 0, 1)) &lt;= VLOOKUP($C2680, 'Instrument Table'!$B:$D, 3, FALSE), ROW($A2680) - 4504 - _xlfn.XMATCH($C2680, $C$4506:$C$5005, 0, 1), 0), 0), "00")</f>
        <v>00</v>
      </c>
      <c r="H2680" s="1" t="str">
        <f t="shared" si="247"/>
        <v>024</v>
      </c>
      <c r="I2680" s="1" t="str">
        <f t="shared" si="248"/>
        <v>14100-024</v>
      </c>
      <c r="J2680" s="1" t="str">
        <f t="shared" si="249"/>
        <v>Trumpet production item #024</v>
      </c>
      <c r="K2680" s="1" t="str">
        <f>IF(SUM(COUNTIFS(I:I, I2680)) &gt; 1, "DUPLICATE", "UNIQUE")</f>
        <v>UNIQUE</v>
      </c>
      <c r="L2680" s="18">
        <v>1</v>
      </c>
      <c r="M2680" s="28">
        <v>57</v>
      </c>
      <c r="N2680" s="6">
        <v>400</v>
      </c>
      <c r="O2680" s="30">
        <f t="shared" si="250"/>
        <v>57</v>
      </c>
      <c r="P2680" s="30">
        <f t="shared" si="251"/>
        <v>22800</v>
      </c>
      <c r="Q2680" s="1">
        <f>COUNTIFS($P:$P, "&gt;" &amp; $P2680) + 1</f>
        <v>914</v>
      </c>
      <c r="R2680" s="63">
        <f>(COUNTIFS($P:$P, "&gt;" &amp; $P2680) + 1) / (COUNTA($I:$I) - 1)</f>
        <v>0.18279999999999999</v>
      </c>
      <c r="S2680" s="23">
        <f>SUMIFS($P:$P, $Q:$Q, "&lt;" &amp; $Q2680)</f>
        <v>164602298</v>
      </c>
    </row>
    <row r="2681" spans="1:19" x14ac:dyDescent="0.25">
      <c r="A2681" s="1">
        <v>2676</v>
      </c>
      <c r="B2681" s="1" t="s">
        <v>2</v>
      </c>
      <c r="C2681" s="1" t="str">
        <f>IF($B2681 = "Production Item", _xlfn.XLOOKUP($A2681, 'Instrument Table'!$J:$J, 'Instrument Table'!$B:$B, $C2680), IF($B2681 = "Service Item", _xlfn.XLOOKUP($A2681, 'Instrument Table'!$I:$I, 'Instrument Table'!$B:$B, $C2680), _xlfn.XLOOKUP($A2681, 'Instrument Table'!$H:$H, 'Instrument Table'!$B:$B, $C2680)))</f>
        <v>Trumpet</v>
      </c>
      <c r="D2681" s="1" t="str">
        <f>VLOOKUP($C2681, 'Instrument Table'!$B:$C, 2, FALSE)</f>
        <v>Brass</v>
      </c>
      <c r="E2681" s="1">
        <f t="shared" si="246"/>
        <v>1</v>
      </c>
      <c r="F2681" s="1">
        <f>_xlfn.XLOOKUP($C2681, 'Instrument Table'!$B:$B, 'Instrument Table'!$A:$A, "")</f>
        <v>41</v>
      </c>
      <c r="G2681" s="1" t="str">
        <f>TEXT(IF($B2681 = "Retail Item", IF((ROW($A2681) - 4504 - _xlfn.XMATCH($C2681, $C$4506:$C$5005, 0, 1)) &lt;= VLOOKUP($C2681, 'Instrument Table'!$B:$D, 3, FALSE), ROW($A2681) - 4504 - _xlfn.XMATCH($C2681, $C$4506:$C$5005, 0, 1), 0), 0), "00")</f>
        <v>00</v>
      </c>
      <c r="H2681" s="1" t="str">
        <f t="shared" si="247"/>
        <v>025</v>
      </c>
      <c r="I2681" s="1" t="str">
        <f t="shared" si="248"/>
        <v>14100-025</v>
      </c>
      <c r="J2681" s="1" t="str">
        <f t="shared" si="249"/>
        <v>Trumpet production item #025</v>
      </c>
      <c r="K2681" s="1" t="str">
        <f>IF(SUM(COUNTIFS(I:I, I2681)) &gt; 1, "DUPLICATE", "UNIQUE")</f>
        <v>UNIQUE</v>
      </c>
      <c r="L2681" s="18">
        <v>1</v>
      </c>
      <c r="M2681" s="28">
        <v>95</v>
      </c>
      <c r="N2681" s="6">
        <v>36</v>
      </c>
      <c r="O2681" s="30">
        <f t="shared" si="250"/>
        <v>95</v>
      </c>
      <c r="P2681" s="30">
        <f t="shared" si="251"/>
        <v>3420</v>
      </c>
      <c r="Q2681" s="1">
        <f>COUNTIFS($P:$P, "&gt;" &amp; $P2681) + 1</f>
        <v>2798</v>
      </c>
      <c r="R2681" s="63">
        <f>(COUNTIFS($P:$P, "&gt;" &amp; $P2681) + 1) / (COUNTA($I:$I) - 1)</f>
        <v>0.55959999999999999</v>
      </c>
      <c r="S2681" s="23">
        <f>SUMIFS($P:$P, $Q:$Q, "&lt;" &amp; $Q2681)</f>
        <v>184319091</v>
      </c>
    </row>
    <row r="2682" spans="1:19" x14ac:dyDescent="0.25">
      <c r="A2682" s="1">
        <v>2677</v>
      </c>
      <c r="B2682" s="1" t="s">
        <v>2</v>
      </c>
      <c r="C2682" s="1" t="str">
        <f>IF($B2682 = "Production Item", _xlfn.XLOOKUP($A2682, 'Instrument Table'!$J:$J, 'Instrument Table'!$B:$B, $C2681), IF($B2682 = "Service Item", _xlfn.XLOOKUP($A2682, 'Instrument Table'!$I:$I, 'Instrument Table'!$B:$B, $C2681), _xlfn.XLOOKUP($A2682, 'Instrument Table'!$H:$H, 'Instrument Table'!$B:$B, $C2681)))</f>
        <v>Trumpet</v>
      </c>
      <c r="D2682" s="1" t="str">
        <f>VLOOKUP($C2682, 'Instrument Table'!$B:$C, 2, FALSE)</f>
        <v>Brass</v>
      </c>
      <c r="E2682" s="1">
        <f t="shared" si="246"/>
        <v>1</v>
      </c>
      <c r="F2682" s="1">
        <f>_xlfn.XLOOKUP($C2682, 'Instrument Table'!$B:$B, 'Instrument Table'!$A:$A, "")</f>
        <v>41</v>
      </c>
      <c r="G2682" s="1" t="str">
        <f>TEXT(IF($B2682 = "Retail Item", IF((ROW($A2682) - 4504 - _xlfn.XMATCH($C2682, $C$4506:$C$5005, 0, 1)) &lt;= VLOOKUP($C2682, 'Instrument Table'!$B:$D, 3, FALSE), ROW($A2682) - 4504 - _xlfn.XMATCH($C2682, $C$4506:$C$5005, 0, 1), 0), 0), "00")</f>
        <v>00</v>
      </c>
      <c r="H2682" s="1" t="str">
        <f t="shared" si="247"/>
        <v>026</v>
      </c>
      <c r="I2682" s="1" t="str">
        <f t="shared" si="248"/>
        <v>14100-026</v>
      </c>
      <c r="J2682" s="1" t="str">
        <f t="shared" si="249"/>
        <v>Trumpet production item #026</v>
      </c>
      <c r="K2682" s="1" t="str">
        <f>IF(SUM(COUNTIFS(I:I, I2682)) &gt; 1, "DUPLICATE", "UNIQUE")</f>
        <v>UNIQUE</v>
      </c>
      <c r="L2682" s="18">
        <v>1</v>
      </c>
      <c r="M2682" s="28">
        <v>86</v>
      </c>
      <c r="N2682" s="6">
        <v>16</v>
      </c>
      <c r="O2682" s="30">
        <f t="shared" si="250"/>
        <v>86</v>
      </c>
      <c r="P2682" s="30">
        <f t="shared" si="251"/>
        <v>1376</v>
      </c>
      <c r="Q2682" s="1">
        <f>COUNTIFS($P:$P, "&gt;" &amp; $P2682) + 1</f>
        <v>3517</v>
      </c>
      <c r="R2682" s="63">
        <f>(COUNTIFS($P:$P, "&gt;" &amp; $P2682) + 1) / (COUNTA($I:$I) - 1)</f>
        <v>0.70340000000000003</v>
      </c>
      <c r="S2682" s="23">
        <f>SUMIFS($P:$P, $Q:$Q, "&lt;" &amp; $Q2682)</f>
        <v>185961339</v>
      </c>
    </row>
    <row r="2683" spans="1:19" x14ac:dyDescent="0.25">
      <c r="A2683" s="1">
        <v>2678</v>
      </c>
      <c r="B2683" s="1" t="s">
        <v>2</v>
      </c>
      <c r="C2683" s="1" t="str">
        <f>IF($B2683 = "Production Item", _xlfn.XLOOKUP($A2683, 'Instrument Table'!$J:$J, 'Instrument Table'!$B:$B, $C2682), IF($B2683 = "Service Item", _xlfn.XLOOKUP($A2683, 'Instrument Table'!$I:$I, 'Instrument Table'!$B:$B, $C2682), _xlfn.XLOOKUP($A2683, 'Instrument Table'!$H:$H, 'Instrument Table'!$B:$B, $C2682)))</f>
        <v>Trumpet</v>
      </c>
      <c r="D2683" s="1" t="str">
        <f>VLOOKUP($C2683, 'Instrument Table'!$B:$C, 2, FALSE)</f>
        <v>Brass</v>
      </c>
      <c r="E2683" s="1">
        <f t="shared" si="246"/>
        <v>1</v>
      </c>
      <c r="F2683" s="1">
        <f>_xlfn.XLOOKUP($C2683, 'Instrument Table'!$B:$B, 'Instrument Table'!$A:$A, "")</f>
        <v>41</v>
      </c>
      <c r="G2683" s="1" t="str">
        <f>TEXT(IF($B2683 = "Retail Item", IF((ROW($A2683) - 4504 - _xlfn.XMATCH($C2683, $C$4506:$C$5005, 0, 1)) &lt;= VLOOKUP($C2683, 'Instrument Table'!$B:$D, 3, FALSE), ROW($A2683) - 4504 - _xlfn.XMATCH($C2683, $C$4506:$C$5005, 0, 1), 0), 0), "00")</f>
        <v>00</v>
      </c>
      <c r="H2683" s="1" t="str">
        <f t="shared" si="247"/>
        <v>027</v>
      </c>
      <c r="I2683" s="1" t="str">
        <f t="shared" si="248"/>
        <v>14100-027</v>
      </c>
      <c r="J2683" s="1" t="str">
        <f t="shared" si="249"/>
        <v>Trumpet production item #027</v>
      </c>
      <c r="K2683" s="1" t="str">
        <f>IF(SUM(COUNTIFS(I:I, I2683)) &gt; 1, "DUPLICATE", "UNIQUE")</f>
        <v>UNIQUE</v>
      </c>
      <c r="L2683" s="18">
        <v>0</v>
      </c>
      <c r="M2683" s="28">
        <v>88</v>
      </c>
      <c r="N2683" s="6">
        <v>400</v>
      </c>
      <c r="O2683" s="30">
        <f t="shared" si="250"/>
        <v>0</v>
      </c>
      <c r="P2683" s="30">
        <f t="shared" si="251"/>
        <v>35200</v>
      </c>
      <c r="Q2683" s="1">
        <f>COUNTIFS($P:$P, "&gt;" &amp; $P2683) + 1</f>
        <v>600</v>
      </c>
      <c r="R2683" s="63">
        <f>(COUNTIFS($P:$P, "&gt;" &amp; $P2683) + 1) / (COUNTA($I:$I) - 1)</f>
        <v>0.12</v>
      </c>
      <c r="S2683" s="23">
        <f>SUMIFS($P:$P, $Q:$Q, "&lt;" &amp; $Q2683)</f>
        <v>155870441</v>
      </c>
    </row>
    <row r="2684" spans="1:19" x14ac:dyDescent="0.25">
      <c r="A2684" s="1">
        <v>2679</v>
      </c>
      <c r="B2684" s="1" t="s">
        <v>2</v>
      </c>
      <c r="C2684" s="1" t="str">
        <f>IF($B2684 = "Production Item", _xlfn.XLOOKUP($A2684, 'Instrument Table'!$J:$J, 'Instrument Table'!$B:$B, $C2683), IF($B2684 = "Service Item", _xlfn.XLOOKUP($A2684, 'Instrument Table'!$I:$I, 'Instrument Table'!$B:$B, $C2683), _xlfn.XLOOKUP($A2684, 'Instrument Table'!$H:$H, 'Instrument Table'!$B:$B, $C2683)))</f>
        <v>Trumpet</v>
      </c>
      <c r="D2684" s="1" t="str">
        <f>VLOOKUP($C2684, 'Instrument Table'!$B:$C, 2, FALSE)</f>
        <v>Brass</v>
      </c>
      <c r="E2684" s="1">
        <f t="shared" si="246"/>
        <v>1</v>
      </c>
      <c r="F2684" s="1">
        <f>_xlfn.XLOOKUP($C2684, 'Instrument Table'!$B:$B, 'Instrument Table'!$A:$A, "")</f>
        <v>41</v>
      </c>
      <c r="G2684" s="1" t="str">
        <f>TEXT(IF($B2684 = "Retail Item", IF((ROW($A2684) - 4504 - _xlfn.XMATCH($C2684, $C$4506:$C$5005, 0, 1)) &lt;= VLOOKUP($C2684, 'Instrument Table'!$B:$D, 3, FALSE), ROW($A2684) - 4504 - _xlfn.XMATCH($C2684, $C$4506:$C$5005, 0, 1), 0), 0), "00")</f>
        <v>00</v>
      </c>
      <c r="H2684" s="1" t="str">
        <f t="shared" si="247"/>
        <v>028</v>
      </c>
      <c r="I2684" s="1" t="str">
        <f t="shared" si="248"/>
        <v>14100-028</v>
      </c>
      <c r="J2684" s="1" t="str">
        <f t="shared" si="249"/>
        <v>Trumpet production item #028</v>
      </c>
      <c r="K2684" s="1" t="str">
        <f>IF(SUM(COUNTIFS(I:I, I2684)) &gt; 1, "DUPLICATE", "UNIQUE")</f>
        <v>UNIQUE</v>
      </c>
      <c r="L2684" s="18">
        <v>1</v>
      </c>
      <c r="M2684" s="28">
        <v>52</v>
      </c>
      <c r="N2684" s="6">
        <v>100</v>
      </c>
      <c r="O2684" s="30">
        <f t="shared" si="250"/>
        <v>52</v>
      </c>
      <c r="P2684" s="30">
        <f t="shared" si="251"/>
        <v>5200</v>
      </c>
      <c r="Q2684" s="1">
        <f>COUNTIFS($P:$P, "&gt;" &amp; $P2684) + 1</f>
        <v>2403</v>
      </c>
      <c r="R2684" s="63">
        <f>(COUNTIFS($P:$P, "&gt;" &amp; $P2684) + 1) / (COUNTA($I:$I) - 1)</f>
        <v>0.48060000000000003</v>
      </c>
      <c r="S2684" s="23">
        <f>SUMIFS($P:$P, $Q:$Q, "&lt;" &amp; $Q2684)</f>
        <v>182632128</v>
      </c>
    </row>
    <row r="2685" spans="1:19" x14ac:dyDescent="0.25">
      <c r="A2685" s="1">
        <v>2680</v>
      </c>
      <c r="B2685" s="1" t="s">
        <v>2</v>
      </c>
      <c r="C2685" s="1" t="str">
        <f>IF($B2685 = "Production Item", _xlfn.XLOOKUP($A2685, 'Instrument Table'!$J:$J, 'Instrument Table'!$B:$B, $C2684), IF($B2685 = "Service Item", _xlfn.XLOOKUP($A2685, 'Instrument Table'!$I:$I, 'Instrument Table'!$B:$B, $C2684), _xlfn.XLOOKUP($A2685, 'Instrument Table'!$H:$H, 'Instrument Table'!$B:$B, $C2684)))</f>
        <v>Trumpet</v>
      </c>
      <c r="D2685" s="1" t="str">
        <f>VLOOKUP($C2685, 'Instrument Table'!$B:$C, 2, FALSE)</f>
        <v>Brass</v>
      </c>
      <c r="E2685" s="1">
        <f t="shared" si="246"/>
        <v>1</v>
      </c>
      <c r="F2685" s="1">
        <f>_xlfn.XLOOKUP($C2685, 'Instrument Table'!$B:$B, 'Instrument Table'!$A:$A, "")</f>
        <v>41</v>
      </c>
      <c r="G2685" s="1" t="str">
        <f>TEXT(IF($B2685 = "Retail Item", IF((ROW($A2685) - 4504 - _xlfn.XMATCH($C2685, $C$4506:$C$5005, 0, 1)) &lt;= VLOOKUP($C2685, 'Instrument Table'!$B:$D, 3, FALSE), ROW($A2685) - 4504 - _xlfn.XMATCH($C2685, $C$4506:$C$5005, 0, 1), 0), 0), "00")</f>
        <v>00</v>
      </c>
      <c r="H2685" s="1" t="str">
        <f t="shared" si="247"/>
        <v>029</v>
      </c>
      <c r="I2685" s="1" t="str">
        <f t="shared" si="248"/>
        <v>14100-029</v>
      </c>
      <c r="J2685" s="1" t="str">
        <f t="shared" si="249"/>
        <v>Trumpet production item #029</v>
      </c>
      <c r="K2685" s="1" t="str">
        <f>IF(SUM(COUNTIFS(I:I, I2685)) &gt; 1, "DUPLICATE", "UNIQUE")</f>
        <v>UNIQUE</v>
      </c>
      <c r="L2685" s="18">
        <v>0</v>
      </c>
      <c r="M2685" s="28">
        <v>12</v>
      </c>
      <c r="N2685" s="6">
        <v>1</v>
      </c>
      <c r="O2685" s="30">
        <f t="shared" si="250"/>
        <v>0</v>
      </c>
      <c r="P2685" s="30">
        <f t="shared" si="251"/>
        <v>12</v>
      </c>
      <c r="Q2685" s="1">
        <f>COUNTIFS($P:$P, "&gt;" &amp; $P2685) + 1</f>
        <v>4716</v>
      </c>
      <c r="R2685" s="63">
        <f>(COUNTIFS($P:$P, "&gt;" &amp; $P2685) + 1) / (COUNTA($I:$I) - 1)</f>
        <v>0.94320000000000004</v>
      </c>
      <c r="S2685" s="23">
        <f>SUMIFS($P:$P, $Q:$Q, "&lt;" &amp; $Q2685)</f>
        <v>186547648</v>
      </c>
    </row>
    <row r="2686" spans="1:19" x14ac:dyDescent="0.25">
      <c r="A2686" s="1">
        <v>2681</v>
      </c>
      <c r="B2686" s="1" t="s">
        <v>2</v>
      </c>
      <c r="C2686" s="1" t="str">
        <f>IF($B2686 = "Production Item", _xlfn.XLOOKUP($A2686, 'Instrument Table'!$J:$J, 'Instrument Table'!$B:$B, $C2685), IF($B2686 = "Service Item", _xlfn.XLOOKUP($A2686, 'Instrument Table'!$I:$I, 'Instrument Table'!$B:$B, $C2685), _xlfn.XLOOKUP($A2686, 'Instrument Table'!$H:$H, 'Instrument Table'!$B:$B, $C2685)))</f>
        <v>Trumpet</v>
      </c>
      <c r="D2686" s="1" t="str">
        <f>VLOOKUP($C2686, 'Instrument Table'!$B:$C, 2, FALSE)</f>
        <v>Brass</v>
      </c>
      <c r="E2686" s="1">
        <f t="shared" si="246"/>
        <v>1</v>
      </c>
      <c r="F2686" s="1">
        <f>_xlfn.XLOOKUP($C2686, 'Instrument Table'!$B:$B, 'Instrument Table'!$A:$A, "")</f>
        <v>41</v>
      </c>
      <c r="G2686" s="1" t="str">
        <f>TEXT(IF($B2686 = "Retail Item", IF((ROW($A2686) - 4504 - _xlfn.XMATCH($C2686, $C$4506:$C$5005, 0, 1)) &lt;= VLOOKUP($C2686, 'Instrument Table'!$B:$D, 3, FALSE), ROW($A2686) - 4504 - _xlfn.XMATCH($C2686, $C$4506:$C$5005, 0, 1), 0), 0), "00")</f>
        <v>00</v>
      </c>
      <c r="H2686" s="1" t="str">
        <f t="shared" si="247"/>
        <v>030</v>
      </c>
      <c r="I2686" s="1" t="str">
        <f t="shared" si="248"/>
        <v>14100-030</v>
      </c>
      <c r="J2686" s="1" t="str">
        <f t="shared" si="249"/>
        <v>Trumpet production item #030</v>
      </c>
      <c r="K2686" s="1" t="str">
        <f>IF(SUM(COUNTIFS(I:I, I2686)) &gt; 1, "DUPLICATE", "UNIQUE")</f>
        <v>UNIQUE</v>
      </c>
      <c r="L2686" s="18">
        <v>8</v>
      </c>
      <c r="M2686" s="28">
        <v>12</v>
      </c>
      <c r="N2686" s="6">
        <v>16</v>
      </c>
      <c r="O2686" s="30">
        <f t="shared" si="250"/>
        <v>96</v>
      </c>
      <c r="P2686" s="30">
        <f t="shared" si="251"/>
        <v>192</v>
      </c>
      <c r="Q2686" s="1">
        <f>COUNTIFS($P:$P, "&gt;" &amp; $P2686) + 1</f>
        <v>4340</v>
      </c>
      <c r="R2686" s="63">
        <f>(COUNTIFS($P:$P, "&gt;" &amp; $P2686) + 1) / (COUNTA($I:$I) - 1)</f>
        <v>0.86799999999999999</v>
      </c>
      <c r="S2686" s="23">
        <f>SUMIFS($P:$P, $Q:$Q, "&lt;" &amp; $Q2686)</f>
        <v>186515669</v>
      </c>
    </row>
    <row r="2687" spans="1:19" x14ac:dyDescent="0.25">
      <c r="A2687" s="1">
        <v>2682</v>
      </c>
      <c r="B2687" s="1" t="s">
        <v>2</v>
      </c>
      <c r="C2687" s="1" t="str">
        <f>IF($B2687 = "Production Item", _xlfn.XLOOKUP($A2687, 'Instrument Table'!$J:$J, 'Instrument Table'!$B:$B, $C2686), IF($B2687 = "Service Item", _xlfn.XLOOKUP($A2687, 'Instrument Table'!$I:$I, 'Instrument Table'!$B:$B, $C2686), _xlfn.XLOOKUP($A2687, 'Instrument Table'!$H:$H, 'Instrument Table'!$B:$B, $C2686)))</f>
        <v>Trumpet</v>
      </c>
      <c r="D2687" s="1" t="str">
        <f>VLOOKUP($C2687, 'Instrument Table'!$B:$C, 2, FALSE)</f>
        <v>Brass</v>
      </c>
      <c r="E2687" s="1">
        <f t="shared" si="246"/>
        <v>1</v>
      </c>
      <c r="F2687" s="1">
        <f>_xlfn.XLOOKUP($C2687, 'Instrument Table'!$B:$B, 'Instrument Table'!$A:$A, "")</f>
        <v>41</v>
      </c>
      <c r="G2687" s="1" t="str">
        <f>TEXT(IF($B2687 = "Retail Item", IF((ROW($A2687) - 4504 - _xlfn.XMATCH($C2687, $C$4506:$C$5005, 0, 1)) &lt;= VLOOKUP($C2687, 'Instrument Table'!$B:$D, 3, FALSE), ROW($A2687) - 4504 - _xlfn.XMATCH($C2687, $C$4506:$C$5005, 0, 1), 0), 0), "00")</f>
        <v>00</v>
      </c>
      <c r="H2687" s="1" t="str">
        <f t="shared" si="247"/>
        <v>031</v>
      </c>
      <c r="I2687" s="1" t="str">
        <f t="shared" si="248"/>
        <v>14100-031</v>
      </c>
      <c r="J2687" s="1" t="str">
        <f t="shared" si="249"/>
        <v>Trumpet production item #031</v>
      </c>
      <c r="K2687" s="1" t="str">
        <f>IF(SUM(COUNTIFS(I:I, I2687)) &gt; 1, "DUPLICATE", "UNIQUE")</f>
        <v>UNIQUE</v>
      </c>
      <c r="L2687" s="18">
        <v>2</v>
      </c>
      <c r="M2687" s="28">
        <v>75</v>
      </c>
      <c r="N2687" s="6">
        <v>400</v>
      </c>
      <c r="O2687" s="30">
        <f t="shared" si="250"/>
        <v>150</v>
      </c>
      <c r="P2687" s="30">
        <f t="shared" si="251"/>
        <v>30000</v>
      </c>
      <c r="Q2687" s="1">
        <f>COUNTIFS($P:$P, "&gt;" &amp; $P2687) + 1</f>
        <v>688</v>
      </c>
      <c r="R2687" s="63">
        <f>(COUNTIFS($P:$P, "&gt;" &amp; $P2687) + 1) / (COUNTA($I:$I) - 1)</f>
        <v>0.1376</v>
      </c>
      <c r="S2687" s="23">
        <f>SUMIFS($P:$P, $Q:$Q, "&lt;" &amp; $Q2687)</f>
        <v>158728505</v>
      </c>
    </row>
    <row r="2688" spans="1:19" x14ac:dyDescent="0.25">
      <c r="A2688" s="1">
        <v>2683</v>
      </c>
      <c r="B2688" s="1" t="s">
        <v>2</v>
      </c>
      <c r="C2688" s="1" t="str">
        <f>IF($B2688 = "Production Item", _xlfn.XLOOKUP($A2688, 'Instrument Table'!$J:$J, 'Instrument Table'!$B:$B, $C2687), IF($B2688 = "Service Item", _xlfn.XLOOKUP($A2688, 'Instrument Table'!$I:$I, 'Instrument Table'!$B:$B, $C2687), _xlfn.XLOOKUP($A2688, 'Instrument Table'!$H:$H, 'Instrument Table'!$B:$B, $C2687)))</f>
        <v>Trumpet</v>
      </c>
      <c r="D2688" s="1" t="str">
        <f>VLOOKUP($C2688, 'Instrument Table'!$B:$C, 2, FALSE)</f>
        <v>Brass</v>
      </c>
      <c r="E2688" s="1">
        <f t="shared" si="246"/>
        <v>1</v>
      </c>
      <c r="F2688" s="1">
        <f>_xlfn.XLOOKUP($C2688, 'Instrument Table'!$B:$B, 'Instrument Table'!$A:$A, "")</f>
        <v>41</v>
      </c>
      <c r="G2688" s="1" t="str">
        <f>TEXT(IF($B2688 = "Retail Item", IF((ROW($A2688) - 4504 - _xlfn.XMATCH($C2688, $C$4506:$C$5005, 0, 1)) &lt;= VLOOKUP($C2688, 'Instrument Table'!$B:$D, 3, FALSE), ROW($A2688) - 4504 - _xlfn.XMATCH($C2688, $C$4506:$C$5005, 0, 1), 0), 0), "00")</f>
        <v>00</v>
      </c>
      <c r="H2688" s="1" t="str">
        <f t="shared" si="247"/>
        <v>032</v>
      </c>
      <c r="I2688" s="1" t="str">
        <f t="shared" si="248"/>
        <v>14100-032</v>
      </c>
      <c r="J2688" s="1" t="str">
        <f t="shared" si="249"/>
        <v>Trumpet production item #032</v>
      </c>
      <c r="K2688" s="1" t="str">
        <f>IF(SUM(COUNTIFS(I:I, I2688)) &gt; 1, "DUPLICATE", "UNIQUE")</f>
        <v>UNIQUE</v>
      </c>
      <c r="L2688" s="18">
        <v>4</v>
      </c>
      <c r="M2688" s="28">
        <v>16</v>
      </c>
      <c r="N2688" s="6">
        <v>36</v>
      </c>
      <c r="O2688" s="30">
        <f t="shared" si="250"/>
        <v>64</v>
      </c>
      <c r="P2688" s="30">
        <f t="shared" si="251"/>
        <v>576</v>
      </c>
      <c r="Q2688" s="1">
        <f>COUNTIFS($P:$P, "&gt;" &amp; $P2688) + 1</f>
        <v>3957</v>
      </c>
      <c r="R2688" s="63">
        <f>(COUNTIFS($P:$P, "&gt;" &amp; $P2688) + 1) / (COUNTA($I:$I) - 1)</f>
        <v>0.79139999999999999</v>
      </c>
      <c r="S2688" s="23">
        <f>SUMIFS($P:$P, $Q:$Q, "&lt;" &amp; $Q2688)</f>
        <v>186374368</v>
      </c>
    </row>
    <row r="2689" spans="1:19" x14ac:dyDescent="0.25">
      <c r="A2689" s="1">
        <v>2684</v>
      </c>
      <c r="B2689" s="1" t="s">
        <v>2</v>
      </c>
      <c r="C2689" s="1" t="str">
        <f>IF($B2689 = "Production Item", _xlfn.XLOOKUP($A2689, 'Instrument Table'!$J:$J, 'Instrument Table'!$B:$B, $C2688), IF($B2689 = "Service Item", _xlfn.XLOOKUP($A2689, 'Instrument Table'!$I:$I, 'Instrument Table'!$B:$B, $C2688), _xlfn.XLOOKUP($A2689, 'Instrument Table'!$H:$H, 'Instrument Table'!$B:$B, $C2688)))</f>
        <v>Trumpet</v>
      </c>
      <c r="D2689" s="1" t="str">
        <f>VLOOKUP($C2689, 'Instrument Table'!$B:$C, 2, FALSE)</f>
        <v>Brass</v>
      </c>
      <c r="E2689" s="1">
        <f t="shared" si="246"/>
        <v>1</v>
      </c>
      <c r="F2689" s="1">
        <f>_xlfn.XLOOKUP($C2689, 'Instrument Table'!$B:$B, 'Instrument Table'!$A:$A, "")</f>
        <v>41</v>
      </c>
      <c r="G2689" s="1" t="str">
        <f>TEXT(IF($B2689 = "Retail Item", IF((ROW($A2689) - 4504 - _xlfn.XMATCH($C2689, $C$4506:$C$5005, 0, 1)) &lt;= VLOOKUP($C2689, 'Instrument Table'!$B:$D, 3, FALSE), ROW($A2689) - 4504 - _xlfn.XMATCH($C2689, $C$4506:$C$5005, 0, 1), 0), 0), "00")</f>
        <v>00</v>
      </c>
      <c r="H2689" s="1" t="str">
        <f t="shared" si="247"/>
        <v>033</v>
      </c>
      <c r="I2689" s="1" t="str">
        <f t="shared" si="248"/>
        <v>14100-033</v>
      </c>
      <c r="J2689" s="1" t="str">
        <f t="shared" si="249"/>
        <v>Trumpet production item #033</v>
      </c>
      <c r="K2689" s="1" t="str">
        <f>IF(SUM(COUNTIFS(I:I, I2689)) &gt; 1, "DUPLICATE", "UNIQUE")</f>
        <v>UNIQUE</v>
      </c>
      <c r="L2689" s="18">
        <v>16</v>
      </c>
      <c r="M2689" s="28">
        <v>27</v>
      </c>
      <c r="N2689" s="6">
        <v>289</v>
      </c>
      <c r="O2689" s="30">
        <f t="shared" si="250"/>
        <v>432</v>
      </c>
      <c r="P2689" s="30">
        <f t="shared" si="251"/>
        <v>7803</v>
      </c>
      <c r="Q2689" s="1">
        <f>COUNTIFS($P:$P, "&gt;" &amp; $P2689) + 1</f>
        <v>2014</v>
      </c>
      <c r="R2689" s="63">
        <f>(COUNTIFS($P:$P, "&gt;" &amp; $P2689) + 1) / (COUNTA($I:$I) - 1)</f>
        <v>0.40279999999999999</v>
      </c>
      <c r="S2689" s="23">
        <f>SUMIFS($P:$P, $Q:$Q, "&lt;" &amp; $Q2689)</f>
        <v>180106623</v>
      </c>
    </row>
    <row r="2690" spans="1:19" x14ac:dyDescent="0.25">
      <c r="A2690" s="1">
        <v>2685</v>
      </c>
      <c r="B2690" s="1" t="s">
        <v>2</v>
      </c>
      <c r="C2690" s="1" t="str">
        <f>IF($B2690 = "Production Item", _xlfn.XLOOKUP($A2690, 'Instrument Table'!$J:$J, 'Instrument Table'!$B:$B, $C2689), IF($B2690 = "Service Item", _xlfn.XLOOKUP($A2690, 'Instrument Table'!$I:$I, 'Instrument Table'!$B:$B, $C2689), _xlfn.XLOOKUP($A2690, 'Instrument Table'!$H:$H, 'Instrument Table'!$B:$B, $C2689)))</f>
        <v>Trumpet</v>
      </c>
      <c r="D2690" s="1" t="str">
        <f>VLOOKUP($C2690, 'Instrument Table'!$B:$C, 2, FALSE)</f>
        <v>Brass</v>
      </c>
      <c r="E2690" s="1">
        <f t="shared" si="246"/>
        <v>1</v>
      </c>
      <c r="F2690" s="1">
        <f>_xlfn.XLOOKUP($C2690, 'Instrument Table'!$B:$B, 'Instrument Table'!$A:$A, "")</f>
        <v>41</v>
      </c>
      <c r="G2690" s="1" t="str">
        <f>TEXT(IF($B2690 = "Retail Item", IF((ROW($A2690) - 4504 - _xlfn.XMATCH($C2690, $C$4506:$C$5005, 0, 1)) &lt;= VLOOKUP($C2690, 'Instrument Table'!$B:$D, 3, FALSE), ROW($A2690) - 4504 - _xlfn.XMATCH($C2690, $C$4506:$C$5005, 0, 1), 0), 0), "00")</f>
        <v>00</v>
      </c>
      <c r="H2690" s="1" t="str">
        <f t="shared" si="247"/>
        <v>034</v>
      </c>
      <c r="I2690" s="1" t="str">
        <f t="shared" si="248"/>
        <v>14100-034</v>
      </c>
      <c r="J2690" s="1" t="str">
        <f t="shared" si="249"/>
        <v>Trumpet production item #034</v>
      </c>
      <c r="K2690" s="1" t="str">
        <f>IF(SUM(COUNTIFS(I:I, I2690)) &gt; 1, "DUPLICATE", "UNIQUE")</f>
        <v>UNIQUE</v>
      </c>
      <c r="L2690" s="18">
        <v>4</v>
      </c>
      <c r="M2690" s="28">
        <v>91</v>
      </c>
      <c r="N2690" s="6">
        <v>225</v>
      </c>
      <c r="O2690" s="30">
        <f t="shared" si="250"/>
        <v>364</v>
      </c>
      <c r="P2690" s="30">
        <f t="shared" si="251"/>
        <v>20475</v>
      </c>
      <c r="Q2690" s="1">
        <f>COUNTIFS($P:$P, "&gt;" &amp; $P2690) + 1</f>
        <v>1034</v>
      </c>
      <c r="R2690" s="63">
        <f>(COUNTIFS($P:$P, "&gt;" &amp; $P2690) + 1) / (COUNTA($I:$I) - 1)</f>
        <v>0.20680000000000001</v>
      </c>
      <c r="S2690" s="23">
        <f>SUMIFS($P:$P, $Q:$Q, "&lt;" &amp; $Q2690)</f>
        <v>167197006</v>
      </c>
    </row>
    <row r="2691" spans="1:19" x14ac:dyDescent="0.25">
      <c r="A2691" s="1">
        <v>2686</v>
      </c>
      <c r="B2691" s="1" t="s">
        <v>2</v>
      </c>
      <c r="C2691" s="1" t="str">
        <f>IF($B2691 = "Production Item", _xlfn.XLOOKUP($A2691, 'Instrument Table'!$J:$J, 'Instrument Table'!$B:$B, $C2690), IF($B2691 = "Service Item", _xlfn.XLOOKUP($A2691, 'Instrument Table'!$I:$I, 'Instrument Table'!$B:$B, $C2690), _xlfn.XLOOKUP($A2691, 'Instrument Table'!$H:$H, 'Instrument Table'!$B:$B, $C2690)))</f>
        <v>Trumpet</v>
      </c>
      <c r="D2691" s="1" t="str">
        <f>VLOOKUP($C2691, 'Instrument Table'!$B:$C, 2, FALSE)</f>
        <v>Brass</v>
      </c>
      <c r="E2691" s="1">
        <f t="shared" si="246"/>
        <v>1</v>
      </c>
      <c r="F2691" s="1">
        <f>_xlfn.XLOOKUP($C2691, 'Instrument Table'!$B:$B, 'Instrument Table'!$A:$A, "")</f>
        <v>41</v>
      </c>
      <c r="G2691" s="1" t="str">
        <f>TEXT(IF($B2691 = "Retail Item", IF((ROW($A2691) - 4504 - _xlfn.XMATCH($C2691, $C$4506:$C$5005, 0, 1)) &lt;= VLOOKUP($C2691, 'Instrument Table'!$B:$D, 3, FALSE), ROW($A2691) - 4504 - _xlfn.XMATCH($C2691, $C$4506:$C$5005, 0, 1), 0), 0), "00")</f>
        <v>00</v>
      </c>
      <c r="H2691" s="1" t="str">
        <f t="shared" si="247"/>
        <v>035</v>
      </c>
      <c r="I2691" s="1" t="str">
        <f t="shared" si="248"/>
        <v>14100-035</v>
      </c>
      <c r="J2691" s="1" t="str">
        <f t="shared" si="249"/>
        <v>Trumpet production item #035</v>
      </c>
      <c r="K2691" s="1" t="str">
        <f>IF(SUM(COUNTIFS(I:I, I2691)) &gt; 1, "DUPLICATE", "UNIQUE")</f>
        <v>UNIQUE</v>
      </c>
      <c r="L2691" s="18">
        <v>0</v>
      </c>
      <c r="M2691" s="28">
        <v>41</v>
      </c>
      <c r="N2691" s="6">
        <v>4</v>
      </c>
      <c r="O2691" s="30">
        <f t="shared" si="250"/>
        <v>0</v>
      </c>
      <c r="P2691" s="30">
        <f t="shared" si="251"/>
        <v>164</v>
      </c>
      <c r="Q2691" s="1">
        <f>COUNTIFS($P:$P, "&gt;" &amp; $P2691) + 1</f>
        <v>4380</v>
      </c>
      <c r="R2691" s="63">
        <f>(COUNTIFS($P:$P, "&gt;" &amp; $P2691) + 1) / (COUNTA($I:$I) - 1)</f>
        <v>0.876</v>
      </c>
      <c r="S2691" s="23">
        <f>SUMIFS($P:$P, $Q:$Q, "&lt;" &amp; $Q2691)</f>
        <v>186522862</v>
      </c>
    </row>
    <row r="2692" spans="1:19" x14ac:dyDescent="0.25">
      <c r="A2692" s="1">
        <v>2687</v>
      </c>
      <c r="B2692" s="1" t="s">
        <v>2</v>
      </c>
      <c r="C2692" s="1" t="str">
        <f>IF($B2692 = "Production Item", _xlfn.XLOOKUP($A2692, 'Instrument Table'!$J:$J, 'Instrument Table'!$B:$B, $C2691), IF($B2692 = "Service Item", _xlfn.XLOOKUP($A2692, 'Instrument Table'!$I:$I, 'Instrument Table'!$B:$B, $C2691), _xlfn.XLOOKUP($A2692, 'Instrument Table'!$H:$H, 'Instrument Table'!$B:$B, $C2691)))</f>
        <v>Trumpet</v>
      </c>
      <c r="D2692" s="1" t="str">
        <f>VLOOKUP($C2692, 'Instrument Table'!$B:$C, 2, FALSE)</f>
        <v>Brass</v>
      </c>
      <c r="E2692" s="1">
        <f t="shared" si="246"/>
        <v>1</v>
      </c>
      <c r="F2692" s="1">
        <f>_xlfn.XLOOKUP($C2692, 'Instrument Table'!$B:$B, 'Instrument Table'!$A:$A, "")</f>
        <v>41</v>
      </c>
      <c r="G2692" s="1" t="str">
        <f>TEXT(IF($B2692 = "Retail Item", IF((ROW($A2692) - 4504 - _xlfn.XMATCH($C2692, $C$4506:$C$5005, 0, 1)) &lt;= VLOOKUP($C2692, 'Instrument Table'!$B:$D, 3, FALSE), ROW($A2692) - 4504 - _xlfn.XMATCH($C2692, $C$4506:$C$5005, 0, 1), 0), 0), "00")</f>
        <v>00</v>
      </c>
      <c r="H2692" s="1" t="str">
        <f t="shared" si="247"/>
        <v>036</v>
      </c>
      <c r="I2692" s="1" t="str">
        <f t="shared" si="248"/>
        <v>14100-036</v>
      </c>
      <c r="J2692" s="1" t="str">
        <f t="shared" si="249"/>
        <v>Trumpet production item #036</v>
      </c>
      <c r="K2692" s="1" t="str">
        <f>IF(SUM(COUNTIFS(I:I, I2692)) &gt; 1, "DUPLICATE", "UNIQUE")</f>
        <v>UNIQUE</v>
      </c>
      <c r="L2692" s="18">
        <v>2</v>
      </c>
      <c r="M2692" s="28">
        <v>10</v>
      </c>
      <c r="N2692" s="6">
        <v>64</v>
      </c>
      <c r="O2692" s="30">
        <f t="shared" si="250"/>
        <v>20</v>
      </c>
      <c r="P2692" s="30">
        <f t="shared" si="251"/>
        <v>640</v>
      </c>
      <c r="Q2692" s="1">
        <f>COUNTIFS($P:$P, "&gt;" &amp; $P2692) + 1</f>
        <v>3919</v>
      </c>
      <c r="R2692" s="63">
        <f>(COUNTIFS($P:$P, "&gt;" &amp; $P2692) + 1) / (COUNTA($I:$I) - 1)</f>
        <v>0.78380000000000005</v>
      </c>
      <c r="S2692" s="23">
        <f>SUMIFS($P:$P, $Q:$Q, "&lt;" &amp; $Q2692)</f>
        <v>186351283</v>
      </c>
    </row>
    <row r="2693" spans="1:19" x14ac:dyDescent="0.25">
      <c r="A2693" s="1">
        <v>2688</v>
      </c>
      <c r="B2693" s="1" t="s">
        <v>2</v>
      </c>
      <c r="C2693" s="1" t="str">
        <f>IF($B2693 = "Production Item", _xlfn.XLOOKUP($A2693, 'Instrument Table'!$J:$J, 'Instrument Table'!$B:$B, $C2692), IF($B2693 = "Service Item", _xlfn.XLOOKUP($A2693, 'Instrument Table'!$I:$I, 'Instrument Table'!$B:$B, $C2692), _xlfn.XLOOKUP($A2693, 'Instrument Table'!$H:$H, 'Instrument Table'!$B:$B, $C2692)))</f>
        <v>Trumpet</v>
      </c>
      <c r="D2693" s="1" t="str">
        <f>VLOOKUP($C2693, 'Instrument Table'!$B:$C, 2, FALSE)</f>
        <v>Brass</v>
      </c>
      <c r="E2693" s="1">
        <f t="shared" si="246"/>
        <v>1</v>
      </c>
      <c r="F2693" s="1">
        <f>_xlfn.XLOOKUP($C2693, 'Instrument Table'!$B:$B, 'Instrument Table'!$A:$A, "")</f>
        <v>41</v>
      </c>
      <c r="G2693" s="1" t="str">
        <f>TEXT(IF($B2693 = "Retail Item", IF((ROW($A2693) - 4504 - _xlfn.XMATCH($C2693, $C$4506:$C$5005, 0, 1)) &lt;= VLOOKUP($C2693, 'Instrument Table'!$B:$D, 3, FALSE), ROW($A2693) - 4504 - _xlfn.XMATCH($C2693, $C$4506:$C$5005, 0, 1), 0), 0), "00")</f>
        <v>00</v>
      </c>
      <c r="H2693" s="1" t="str">
        <f t="shared" si="247"/>
        <v>037</v>
      </c>
      <c r="I2693" s="1" t="str">
        <f t="shared" si="248"/>
        <v>14100-037</v>
      </c>
      <c r="J2693" s="1" t="str">
        <f t="shared" si="249"/>
        <v>Trumpet production item #037</v>
      </c>
      <c r="K2693" s="1" t="str">
        <f>IF(SUM(COUNTIFS(I:I, I2693)) &gt; 1, "DUPLICATE", "UNIQUE")</f>
        <v>UNIQUE</v>
      </c>
      <c r="L2693" s="18">
        <v>2</v>
      </c>
      <c r="M2693" s="28">
        <v>18</v>
      </c>
      <c r="N2693" s="6">
        <v>9</v>
      </c>
      <c r="O2693" s="30">
        <f t="shared" si="250"/>
        <v>36</v>
      </c>
      <c r="P2693" s="30">
        <f t="shared" si="251"/>
        <v>162</v>
      </c>
      <c r="Q2693" s="1">
        <f>COUNTIFS($P:$P, "&gt;" &amp; $P2693) + 1</f>
        <v>4383</v>
      </c>
      <c r="R2693" s="63">
        <f>(COUNTIFS($P:$P, "&gt;" &amp; $P2693) + 1) / (COUNTA($I:$I) - 1)</f>
        <v>0.87660000000000005</v>
      </c>
      <c r="S2693" s="23">
        <f>SUMIFS($P:$P, $Q:$Q, "&lt;" &amp; $Q2693)</f>
        <v>186523354</v>
      </c>
    </row>
    <row r="2694" spans="1:19" x14ac:dyDescent="0.25">
      <c r="A2694" s="1">
        <v>2689</v>
      </c>
      <c r="B2694" s="1" t="s">
        <v>2</v>
      </c>
      <c r="C2694" s="1" t="str">
        <f>IF($B2694 = "Production Item", _xlfn.XLOOKUP($A2694, 'Instrument Table'!$J:$J, 'Instrument Table'!$B:$B, $C2693), IF($B2694 = "Service Item", _xlfn.XLOOKUP($A2694, 'Instrument Table'!$I:$I, 'Instrument Table'!$B:$B, $C2693), _xlfn.XLOOKUP($A2694, 'Instrument Table'!$H:$H, 'Instrument Table'!$B:$B, $C2693)))</f>
        <v>Trumpet</v>
      </c>
      <c r="D2694" s="1" t="str">
        <f>VLOOKUP($C2694, 'Instrument Table'!$B:$C, 2, FALSE)</f>
        <v>Brass</v>
      </c>
      <c r="E2694" s="1">
        <f t="shared" si="246"/>
        <v>1</v>
      </c>
      <c r="F2694" s="1">
        <f>_xlfn.XLOOKUP($C2694, 'Instrument Table'!$B:$B, 'Instrument Table'!$A:$A, "")</f>
        <v>41</v>
      </c>
      <c r="G2694" s="1" t="str">
        <f>TEXT(IF($B2694 = "Retail Item", IF((ROW($A2694) - 4504 - _xlfn.XMATCH($C2694, $C$4506:$C$5005, 0, 1)) &lt;= VLOOKUP($C2694, 'Instrument Table'!$B:$D, 3, FALSE), ROW($A2694) - 4504 - _xlfn.XMATCH($C2694, $C$4506:$C$5005, 0, 1), 0), 0), "00")</f>
        <v>00</v>
      </c>
      <c r="H2694" s="1" t="str">
        <f t="shared" si="247"/>
        <v>038</v>
      </c>
      <c r="I2694" s="1" t="str">
        <f t="shared" si="248"/>
        <v>14100-038</v>
      </c>
      <c r="J2694" s="1" t="str">
        <f t="shared" si="249"/>
        <v>Trumpet production item #038</v>
      </c>
      <c r="K2694" s="1" t="str">
        <f>IF(SUM(COUNTIFS(I:I, I2694)) &gt; 1, "DUPLICATE", "UNIQUE")</f>
        <v>UNIQUE</v>
      </c>
      <c r="L2694" s="18">
        <v>32</v>
      </c>
      <c r="M2694" s="28">
        <v>13</v>
      </c>
      <c r="N2694" s="6">
        <v>225</v>
      </c>
      <c r="O2694" s="30">
        <f t="shared" si="250"/>
        <v>416</v>
      </c>
      <c r="P2694" s="30">
        <f t="shared" si="251"/>
        <v>2925</v>
      </c>
      <c r="Q2694" s="1">
        <f>COUNTIFS($P:$P, "&gt;" &amp; $P2694) + 1</f>
        <v>2923</v>
      </c>
      <c r="R2694" s="63">
        <f>(COUNTIFS($P:$P, "&gt;" &amp; $P2694) + 1) / (COUNTA($I:$I) - 1)</f>
        <v>0.58460000000000001</v>
      </c>
      <c r="S2694" s="23">
        <f>SUMIFS($P:$P, $Q:$Q, "&lt;" &amp; $Q2694)</f>
        <v>184716887</v>
      </c>
    </row>
    <row r="2695" spans="1:19" x14ac:dyDescent="0.25">
      <c r="A2695" s="1">
        <v>2690</v>
      </c>
      <c r="B2695" s="1" t="s">
        <v>2</v>
      </c>
      <c r="C2695" s="1" t="str">
        <f>IF($B2695 = "Production Item", _xlfn.XLOOKUP($A2695, 'Instrument Table'!$J:$J, 'Instrument Table'!$B:$B, $C2694), IF($B2695 = "Service Item", _xlfn.XLOOKUP($A2695, 'Instrument Table'!$I:$I, 'Instrument Table'!$B:$B, $C2694), _xlfn.XLOOKUP($A2695, 'Instrument Table'!$H:$H, 'Instrument Table'!$B:$B, $C2694)))</f>
        <v>Trumpet</v>
      </c>
      <c r="D2695" s="1" t="str">
        <f>VLOOKUP($C2695, 'Instrument Table'!$B:$C, 2, FALSE)</f>
        <v>Brass</v>
      </c>
      <c r="E2695" s="1">
        <f t="shared" ref="E2695:E2758" si="252">IF($B2695 = "Production Item", 1, IF($B2695 = "Service Item", 2, IF($B2695 = "Retail Item", 3, "")))</f>
        <v>1</v>
      </c>
      <c r="F2695" s="1">
        <f>_xlfn.XLOOKUP($C2695, 'Instrument Table'!$B:$B, 'Instrument Table'!$A:$A, "")</f>
        <v>41</v>
      </c>
      <c r="G2695" s="1" t="str">
        <f>TEXT(IF($B2695 = "Retail Item", IF((ROW($A2695) - 4504 - _xlfn.XMATCH($C2695, $C$4506:$C$5005, 0, 1)) &lt;= VLOOKUP($C2695, 'Instrument Table'!$B:$D, 3, FALSE), ROW($A2695) - 4504 - _xlfn.XMATCH($C2695, $C$4506:$C$5005, 0, 1), 0), 0), "00")</f>
        <v>00</v>
      </c>
      <c r="H2695" s="1" t="str">
        <f t="shared" ref="H2695:H2758" si="253">TEXT(IF($E2695 &amp; $F2695 &amp; $G2695 = $E2694 &amp; $F2694 &amp; $G2694, 1 + H2694, 0), "000")</f>
        <v>039</v>
      </c>
      <c r="I2695" s="1" t="str">
        <f t="shared" ref="I2695:I2758" si="254" xml:space="preserve"> _xlfn.CONCAT($E2695, $F2695, $G2695, "-", H2695)</f>
        <v>14100-039</v>
      </c>
      <c r="J2695" s="1" t="str">
        <f t="shared" ref="J2695:J2758" si="255">LEFT($C2695, 1) &amp; LOWER(RIGHT($C2695, LEN($C2695) - 1)) &amp; IF(AND($G2695 &lt;&gt; "00", $B2695 = "Retail Item"), " model #" &amp; $G2695, " " &amp; LOWER($B2695) &amp; " #" &amp; $H2695)</f>
        <v>Trumpet production item #039</v>
      </c>
      <c r="K2695" s="1" t="str">
        <f>IF(SUM(COUNTIFS(I:I, I2695)) &gt; 1, "DUPLICATE", "UNIQUE")</f>
        <v>UNIQUE</v>
      </c>
      <c r="L2695" s="18">
        <v>0</v>
      </c>
      <c r="M2695" s="28">
        <v>48</v>
      </c>
      <c r="N2695" s="6">
        <v>4</v>
      </c>
      <c r="O2695" s="30">
        <f t="shared" ref="O2695:O2758" si="256">$L2695 * $M2695</f>
        <v>0</v>
      </c>
      <c r="P2695" s="30">
        <f t="shared" ref="P2695:P2758" si="257">$N2695 * $M2695</f>
        <v>192</v>
      </c>
      <c r="Q2695" s="1">
        <f>COUNTIFS($P:$P, "&gt;" &amp; $P2695) + 1</f>
        <v>4340</v>
      </c>
      <c r="R2695" s="63">
        <f>(COUNTIFS($P:$P, "&gt;" &amp; $P2695) + 1) / (COUNTA($I:$I) - 1)</f>
        <v>0.86799999999999999</v>
      </c>
      <c r="S2695" s="23">
        <f>SUMIFS($P:$P, $Q:$Q, "&lt;" &amp; $Q2695)</f>
        <v>186515669</v>
      </c>
    </row>
    <row r="2696" spans="1:19" x14ac:dyDescent="0.25">
      <c r="A2696" s="1">
        <v>2691</v>
      </c>
      <c r="B2696" s="1" t="s">
        <v>2</v>
      </c>
      <c r="C2696" s="1" t="str">
        <f>IF($B2696 = "Production Item", _xlfn.XLOOKUP($A2696, 'Instrument Table'!$J:$J, 'Instrument Table'!$B:$B, $C2695), IF($B2696 = "Service Item", _xlfn.XLOOKUP($A2696, 'Instrument Table'!$I:$I, 'Instrument Table'!$B:$B, $C2695), _xlfn.XLOOKUP($A2696, 'Instrument Table'!$H:$H, 'Instrument Table'!$B:$B, $C2695)))</f>
        <v>Trumpet</v>
      </c>
      <c r="D2696" s="1" t="str">
        <f>VLOOKUP($C2696, 'Instrument Table'!$B:$C, 2, FALSE)</f>
        <v>Brass</v>
      </c>
      <c r="E2696" s="1">
        <f t="shared" si="252"/>
        <v>1</v>
      </c>
      <c r="F2696" s="1">
        <f>_xlfn.XLOOKUP($C2696, 'Instrument Table'!$B:$B, 'Instrument Table'!$A:$A, "")</f>
        <v>41</v>
      </c>
      <c r="G2696" s="1" t="str">
        <f>TEXT(IF($B2696 = "Retail Item", IF((ROW($A2696) - 4504 - _xlfn.XMATCH($C2696, $C$4506:$C$5005, 0, 1)) &lt;= VLOOKUP($C2696, 'Instrument Table'!$B:$D, 3, FALSE), ROW($A2696) - 4504 - _xlfn.XMATCH($C2696, $C$4506:$C$5005, 0, 1), 0), 0), "00")</f>
        <v>00</v>
      </c>
      <c r="H2696" s="1" t="str">
        <f t="shared" si="253"/>
        <v>040</v>
      </c>
      <c r="I2696" s="1" t="str">
        <f t="shared" si="254"/>
        <v>14100-040</v>
      </c>
      <c r="J2696" s="1" t="str">
        <f t="shared" si="255"/>
        <v>Trumpet production item #040</v>
      </c>
      <c r="K2696" s="1" t="str">
        <f>IF(SUM(COUNTIFS(I:I, I2696)) &gt; 1, "DUPLICATE", "UNIQUE")</f>
        <v>UNIQUE</v>
      </c>
      <c r="L2696" s="18">
        <v>0</v>
      </c>
      <c r="M2696" s="28">
        <v>50</v>
      </c>
      <c r="N2696" s="6">
        <v>361</v>
      </c>
      <c r="O2696" s="30">
        <f t="shared" si="256"/>
        <v>0</v>
      </c>
      <c r="P2696" s="30">
        <f t="shared" si="257"/>
        <v>18050</v>
      </c>
      <c r="Q2696" s="1">
        <f>COUNTIFS($P:$P, "&gt;" &amp; $P2696) + 1</f>
        <v>1161</v>
      </c>
      <c r="R2696" s="63">
        <f>(COUNTIFS($P:$P, "&gt;" &amp; $P2696) + 1) / (COUNTA($I:$I) - 1)</f>
        <v>0.23219999999999999</v>
      </c>
      <c r="S2696" s="23">
        <f>SUMIFS($P:$P, $Q:$Q, "&lt;" &amp; $Q2696)</f>
        <v>169636628</v>
      </c>
    </row>
    <row r="2697" spans="1:19" x14ac:dyDescent="0.25">
      <c r="A2697" s="1">
        <v>2692</v>
      </c>
      <c r="B2697" s="1" t="s">
        <v>2</v>
      </c>
      <c r="C2697" s="1" t="str">
        <f>IF($B2697 = "Production Item", _xlfn.XLOOKUP($A2697, 'Instrument Table'!$J:$J, 'Instrument Table'!$B:$B, $C2696), IF($B2697 = "Service Item", _xlfn.XLOOKUP($A2697, 'Instrument Table'!$I:$I, 'Instrument Table'!$B:$B, $C2696), _xlfn.XLOOKUP($A2697, 'Instrument Table'!$H:$H, 'Instrument Table'!$B:$B, $C2696)))</f>
        <v>Trumpet</v>
      </c>
      <c r="D2697" s="1" t="str">
        <f>VLOOKUP($C2697, 'Instrument Table'!$B:$C, 2, FALSE)</f>
        <v>Brass</v>
      </c>
      <c r="E2697" s="1">
        <f t="shared" si="252"/>
        <v>1</v>
      </c>
      <c r="F2697" s="1">
        <f>_xlfn.XLOOKUP($C2697, 'Instrument Table'!$B:$B, 'Instrument Table'!$A:$A, "")</f>
        <v>41</v>
      </c>
      <c r="G2697" s="1" t="str">
        <f>TEXT(IF($B2697 = "Retail Item", IF((ROW($A2697) - 4504 - _xlfn.XMATCH($C2697, $C$4506:$C$5005, 0, 1)) &lt;= VLOOKUP($C2697, 'Instrument Table'!$B:$D, 3, FALSE), ROW($A2697) - 4504 - _xlfn.XMATCH($C2697, $C$4506:$C$5005, 0, 1), 0), 0), "00")</f>
        <v>00</v>
      </c>
      <c r="H2697" s="1" t="str">
        <f t="shared" si="253"/>
        <v>041</v>
      </c>
      <c r="I2697" s="1" t="str">
        <f t="shared" si="254"/>
        <v>14100-041</v>
      </c>
      <c r="J2697" s="1" t="str">
        <f t="shared" si="255"/>
        <v>Trumpet production item #041</v>
      </c>
      <c r="K2697" s="1" t="str">
        <f>IF(SUM(COUNTIFS(I:I, I2697)) &gt; 1, "DUPLICATE", "UNIQUE")</f>
        <v>UNIQUE</v>
      </c>
      <c r="L2697" s="18">
        <v>1</v>
      </c>
      <c r="M2697" s="28">
        <v>22</v>
      </c>
      <c r="N2697" s="6">
        <v>25</v>
      </c>
      <c r="O2697" s="30">
        <f t="shared" si="256"/>
        <v>22</v>
      </c>
      <c r="P2697" s="30">
        <f t="shared" si="257"/>
        <v>550</v>
      </c>
      <c r="Q2697" s="1">
        <f>COUNTIFS($P:$P, "&gt;" &amp; $P2697) + 1</f>
        <v>3978</v>
      </c>
      <c r="R2697" s="63">
        <f>(COUNTIFS($P:$P, "&gt;" &amp; $P2697) + 1) / (COUNTA($I:$I) - 1)</f>
        <v>0.79559999999999997</v>
      </c>
      <c r="S2697" s="23">
        <f>SUMIFS($P:$P, $Q:$Q, "&lt;" &amp; $Q2697)</f>
        <v>186386371</v>
      </c>
    </row>
    <row r="2698" spans="1:19" x14ac:dyDescent="0.25">
      <c r="A2698" s="1">
        <v>2693</v>
      </c>
      <c r="B2698" s="1" t="s">
        <v>2</v>
      </c>
      <c r="C2698" s="1" t="str">
        <f>IF($B2698 = "Production Item", _xlfn.XLOOKUP($A2698, 'Instrument Table'!$J:$J, 'Instrument Table'!$B:$B, $C2697), IF($B2698 = "Service Item", _xlfn.XLOOKUP($A2698, 'Instrument Table'!$I:$I, 'Instrument Table'!$B:$B, $C2697), _xlfn.XLOOKUP($A2698, 'Instrument Table'!$H:$H, 'Instrument Table'!$B:$B, $C2697)))</f>
        <v>Trumpet</v>
      </c>
      <c r="D2698" s="1" t="str">
        <f>VLOOKUP($C2698, 'Instrument Table'!$B:$C, 2, FALSE)</f>
        <v>Brass</v>
      </c>
      <c r="E2698" s="1">
        <f t="shared" si="252"/>
        <v>1</v>
      </c>
      <c r="F2698" s="1">
        <f>_xlfn.XLOOKUP($C2698, 'Instrument Table'!$B:$B, 'Instrument Table'!$A:$A, "")</f>
        <v>41</v>
      </c>
      <c r="G2698" s="1" t="str">
        <f>TEXT(IF($B2698 = "Retail Item", IF((ROW($A2698) - 4504 - _xlfn.XMATCH($C2698, $C$4506:$C$5005, 0, 1)) &lt;= VLOOKUP($C2698, 'Instrument Table'!$B:$D, 3, FALSE), ROW($A2698) - 4504 - _xlfn.XMATCH($C2698, $C$4506:$C$5005, 0, 1), 0), 0), "00")</f>
        <v>00</v>
      </c>
      <c r="H2698" s="1" t="str">
        <f t="shared" si="253"/>
        <v>042</v>
      </c>
      <c r="I2698" s="1" t="str">
        <f t="shared" si="254"/>
        <v>14100-042</v>
      </c>
      <c r="J2698" s="1" t="str">
        <f t="shared" si="255"/>
        <v>Trumpet production item #042</v>
      </c>
      <c r="K2698" s="1" t="str">
        <f>IF(SUM(COUNTIFS(I:I, I2698)) &gt; 1, "DUPLICATE", "UNIQUE")</f>
        <v>UNIQUE</v>
      </c>
      <c r="L2698" s="18">
        <v>32</v>
      </c>
      <c r="M2698" s="28">
        <v>95</v>
      </c>
      <c r="N2698" s="6">
        <v>25</v>
      </c>
      <c r="O2698" s="30">
        <f t="shared" si="256"/>
        <v>3040</v>
      </c>
      <c r="P2698" s="30">
        <f t="shared" si="257"/>
        <v>2375</v>
      </c>
      <c r="Q2698" s="1">
        <f>COUNTIFS($P:$P, "&gt;" &amp; $P2698) + 1</f>
        <v>3098</v>
      </c>
      <c r="R2698" s="63">
        <f>(COUNTIFS($P:$P, "&gt;" &amp; $P2698) + 1) / (COUNTA($I:$I) - 1)</f>
        <v>0.61960000000000004</v>
      </c>
      <c r="S2698" s="23">
        <f>SUMIFS($P:$P, $Q:$Q, "&lt;" &amp; $Q2698)</f>
        <v>185177726</v>
      </c>
    </row>
    <row r="2699" spans="1:19" x14ac:dyDescent="0.25">
      <c r="A2699" s="1">
        <v>2694</v>
      </c>
      <c r="B2699" s="1" t="s">
        <v>2</v>
      </c>
      <c r="C2699" s="1" t="str">
        <f>IF($B2699 = "Production Item", _xlfn.XLOOKUP($A2699, 'Instrument Table'!$J:$J, 'Instrument Table'!$B:$B, $C2698), IF($B2699 = "Service Item", _xlfn.XLOOKUP($A2699, 'Instrument Table'!$I:$I, 'Instrument Table'!$B:$B, $C2698), _xlfn.XLOOKUP($A2699, 'Instrument Table'!$H:$H, 'Instrument Table'!$B:$B, $C2698)))</f>
        <v>Trumpet</v>
      </c>
      <c r="D2699" s="1" t="str">
        <f>VLOOKUP($C2699, 'Instrument Table'!$B:$C, 2, FALSE)</f>
        <v>Brass</v>
      </c>
      <c r="E2699" s="1">
        <f t="shared" si="252"/>
        <v>1</v>
      </c>
      <c r="F2699" s="1">
        <f>_xlfn.XLOOKUP($C2699, 'Instrument Table'!$B:$B, 'Instrument Table'!$A:$A, "")</f>
        <v>41</v>
      </c>
      <c r="G2699" s="1" t="str">
        <f>TEXT(IF($B2699 = "Retail Item", IF((ROW($A2699) - 4504 - _xlfn.XMATCH($C2699, $C$4506:$C$5005, 0, 1)) &lt;= VLOOKUP($C2699, 'Instrument Table'!$B:$D, 3, FALSE), ROW($A2699) - 4504 - _xlfn.XMATCH($C2699, $C$4506:$C$5005, 0, 1), 0), 0), "00")</f>
        <v>00</v>
      </c>
      <c r="H2699" s="1" t="str">
        <f t="shared" si="253"/>
        <v>043</v>
      </c>
      <c r="I2699" s="1" t="str">
        <f t="shared" si="254"/>
        <v>14100-043</v>
      </c>
      <c r="J2699" s="1" t="str">
        <f t="shared" si="255"/>
        <v>Trumpet production item #043</v>
      </c>
      <c r="K2699" s="1" t="str">
        <f>IF(SUM(COUNTIFS(I:I, I2699)) &gt; 1, "DUPLICATE", "UNIQUE")</f>
        <v>UNIQUE</v>
      </c>
      <c r="L2699" s="18">
        <v>1</v>
      </c>
      <c r="M2699" s="28">
        <v>27</v>
      </c>
      <c r="N2699" s="6">
        <v>16</v>
      </c>
      <c r="O2699" s="30">
        <f t="shared" si="256"/>
        <v>27</v>
      </c>
      <c r="P2699" s="30">
        <f t="shared" si="257"/>
        <v>432</v>
      </c>
      <c r="Q2699" s="1">
        <f>COUNTIFS($P:$P, "&gt;" &amp; $P2699) + 1</f>
        <v>4071</v>
      </c>
      <c r="R2699" s="63">
        <f>(COUNTIFS($P:$P, "&gt;" &amp; $P2699) + 1) / (COUNTA($I:$I) - 1)</f>
        <v>0.81420000000000003</v>
      </c>
      <c r="S2699" s="23">
        <f>SUMIFS($P:$P, $Q:$Q, "&lt;" &amp; $Q2699)</f>
        <v>186432845</v>
      </c>
    </row>
    <row r="2700" spans="1:19" x14ac:dyDescent="0.25">
      <c r="A2700" s="1">
        <v>2695</v>
      </c>
      <c r="B2700" s="1" t="s">
        <v>2</v>
      </c>
      <c r="C2700" s="1" t="str">
        <f>IF($B2700 = "Production Item", _xlfn.XLOOKUP($A2700, 'Instrument Table'!$J:$J, 'Instrument Table'!$B:$B, $C2699), IF($B2700 = "Service Item", _xlfn.XLOOKUP($A2700, 'Instrument Table'!$I:$I, 'Instrument Table'!$B:$B, $C2699), _xlfn.XLOOKUP($A2700, 'Instrument Table'!$H:$H, 'Instrument Table'!$B:$B, $C2699)))</f>
        <v>Trumpet</v>
      </c>
      <c r="D2700" s="1" t="str">
        <f>VLOOKUP($C2700, 'Instrument Table'!$B:$C, 2, FALSE)</f>
        <v>Brass</v>
      </c>
      <c r="E2700" s="1">
        <f t="shared" si="252"/>
        <v>1</v>
      </c>
      <c r="F2700" s="1">
        <f>_xlfn.XLOOKUP($C2700, 'Instrument Table'!$B:$B, 'Instrument Table'!$A:$A, "")</f>
        <v>41</v>
      </c>
      <c r="G2700" s="1" t="str">
        <f>TEXT(IF($B2700 = "Retail Item", IF((ROW($A2700) - 4504 - _xlfn.XMATCH($C2700, $C$4506:$C$5005, 0, 1)) &lt;= VLOOKUP($C2700, 'Instrument Table'!$B:$D, 3, FALSE), ROW($A2700) - 4504 - _xlfn.XMATCH($C2700, $C$4506:$C$5005, 0, 1), 0), 0), "00")</f>
        <v>00</v>
      </c>
      <c r="H2700" s="1" t="str">
        <f t="shared" si="253"/>
        <v>044</v>
      </c>
      <c r="I2700" s="1" t="str">
        <f t="shared" si="254"/>
        <v>14100-044</v>
      </c>
      <c r="J2700" s="1" t="str">
        <f t="shared" si="255"/>
        <v>Trumpet production item #044</v>
      </c>
      <c r="K2700" s="1" t="str">
        <f>IF(SUM(COUNTIFS(I:I, I2700)) &gt; 1, "DUPLICATE", "UNIQUE")</f>
        <v>UNIQUE</v>
      </c>
      <c r="L2700" s="18">
        <v>0</v>
      </c>
      <c r="M2700" s="28">
        <v>99</v>
      </c>
      <c r="N2700" s="6">
        <v>225</v>
      </c>
      <c r="O2700" s="30">
        <f t="shared" si="256"/>
        <v>0</v>
      </c>
      <c r="P2700" s="30">
        <f t="shared" si="257"/>
        <v>22275</v>
      </c>
      <c r="Q2700" s="1">
        <f>COUNTIFS($P:$P, "&gt;" &amp; $P2700) + 1</f>
        <v>937</v>
      </c>
      <c r="R2700" s="63">
        <f>(COUNTIFS($P:$P, "&gt;" &amp; $P2700) + 1) / (COUNTA($I:$I) - 1)</f>
        <v>0.18740000000000001</v>
      </c>
      <c r="S2700" s="23">
        <f>SUMIFS($P:$P, $Q:$Q, "&lt;" &amp; $Q2700)</f>
        <v>165120949</v>
      </c>
    </row>
    <row r="2701" spans="1:19" x14ac:dyDescent="0.25">
      <c r="A2701" s="1">
        <v>2696</v>
      </c>
      <c r="B2701" s="1" t="s">
        <v>2</v>
      </c>
      <c r="C2701" s="1" t="str">
        <f>IF($B2701 = "Production Item", _xlfn.XLOOKUP($A2701, 'Instrument Table'!$J:$J, 'Instrument Table'!$B:$B, $C2700), IF($B2701 = "Service Item", _xlfn.XLOOKUP($A2701, 'Instrument Table'!$I:$I, 'Instrument Table'!$B:$B, $C2700), _xlfn.XLOOKUP($A2701, 'Instrument Table'!$H:$H, 'Instrument Table'!$B:$B, $C2700)))</f>
        <v>Trumpet</v>
      </c>
      <c r="D2701" s="1" t="str">
        <f>VLOOKUP($C2701, 'Instrument Table'!$B:$C, 2, FALSE)</f>
        <v>Brass</v>
      </c>
      <c r="E2701" s="1">
        <f t="shared" si="252"/>
        <v>1</v>
      </c>
      <c r="F2701" s="1">
        <f>_xlfn.XLOOKUP($C2701, 'Instrument Table'!$B:$B, 'Instrument Table'!$A:$A, "")</f>
        <v>41</v>
      </c>
      <c r="G2701" s="1" t="str">
        <f>TEXT(IF($B2701 = "Retail Item", IF((ROW($A2701) - 4504 - _xlfn.XMATCH($C2701, $C$4506:$C$5005, 0, 1)) &lt;= VLOOKUP($C2701, 'Instrument Table'!$B:$D, 3, FALSE), ROW($A2701) - 4504 - _xlfn.XMATCH($C2701, $C$4506:$C$5005, 0, 1), 0), 0), "00")</f>
        <v>00</v>
      </c>
      <c r="H2701" s="1" t="str">
        <f t="shared" si="253"/>
        <v>045</v>
      </c>
      <c r="I2701" s="1" t="str">
        <f t="shared" si="254"/>
        <v>14100-045</v>
      </c>
      <c r="J2701" s="1" t="str">
        <f t="shared" si="255"/>
        <v>Trumpet production item #045</v>
      </c>
      <c r="K2701" s="1" t="str">
        <f>IF(SUM(COUNTIFS(I:I, I2701)) &gt; 1, "DUPLICATE", "UNIQUE")</f>
        <v>UNIQUE</v>
      </c>
      <c r="L2701" s="18">
        <v>8</v>
      </c>
      <c r="M2701" s="28">
        <v>55</v>
      </c>
      <c r="N2701" s="6">
        <v>100</v>
      </c>
      <c r="O2701" s="30">
        <f t="shared" si="256"/>
        <v>440</v>
      </c>
      <c r="P2701" s="30">
        <f t="shared" si="257"/>
        <v>5500</v>
      </c>
      <c r="Q2701" s="1">
        <f>COUNTIFS($P:$P, "&gt;" &amp; $P2701) + 1</f>
        <v>2351</v>
      </c>
      <c r="R2701" s="63">
        <f>(COUNTIFS($P:$P, "&gt;" &amp; $P2701) + 1) / (COUNTA($I:$I) - 1)</f>
        <v>0.47020000000000001</v>
      </c>
      <c r="S2701" s="23">
        <f>SUMIFS($P:$P, $Q:$Q, "&lt;" &amp; $Q2701)</f>
        <v>182353049</v>
      </c>
    </row>
    <row r="2702" spans="1:19" x14ac:dyDescent="0.25">
      <c r="A2702" s="1">
        <v>2697</v>
      </c>
      <c r="B2702" s="1" t="s">
        <v>2</v>
      </c>
      <c r="C2702" s="1" t="str">
        <f>IF($B2702 = "Production Item", _xlfn.XLOOKUP($A2702, 'Instrument Table'!$J:$J, 'Instrument Table'!$B:$B, $C2701), IF($B2702 = "Service Item", _xlfn.XLOOKUP($A2702, 'Instrument Table'!$I:$I, 'Instrument Table'!$B:$B, $C2701), _xlfn.XLOOKUP($A2702, 'Instrument Table'!$H:$H, 'Instrument Table'!$B:$B, $C2701)))</f>
        <v>Trumpet</v>
      </c>
      <c r="D2702" s="1" t="str">
        <f>VLOOKUP($C2702, 'Instrument Table'!$B:$C, 2, FALSE)</f>
        <v>Brass</v>
      </c>
      <c r="E2702" s="1">
        <f t="shared" si="252"/>
        <v>1</v>
      </c>
      <c r="F2702" s="1">
        <f>_xlfn.XLOOKUP($C2702, 'Instrument Table'!$B:$B, 'Instrument Table'!$A:$A, "")</f>
        <v>41</v>
      </c>
      <c r="G2702" s="1" t="str">
        <f>TEXT(IF($B2702 = "Retail Item", IF((ROW($A2702) - 4504 - _xlfn.XMATCH($C2702, $C$4506:$C$5005, 0, 1)) &lt;= VLOOKUP($C2702, 'Instrument Table'!$B:$D, 3, FALSE), ROW($A2702) - 4504 - _xlfn.XMATCH($C2702, $C$4506:$C$5005, 0, 1), 0), 0), "00")</f>
        <v>00</v>
      </c>
      <c r="H2702" s="1" t="str">
        <f t="shared" si="253"/>
        <v>046</v>
      </c>
      <c r="I2702" s="1" t="str">
        <f t="shared" si="254"/>
        <v>14100-046</v>
      </c>
      <c r="J2702" s="1" t="str">
        <f t="shared" si="255"/>
        <v>Trumpet production item #046</v>
      </c>
      <c r="K2702" s="1" t="str">
        <f>IF(SUM(COUNTIFS(I:I, I2702)) &gt; 1, "DUPLICATE", "UNIQUE")</f>
        <v>UNIQUE</v>
      </c>
      <c r="L2702" s="18">
        <v>0</v>
      </c>
      <c r="M2702" s="28">
        <v>2</v>
      </c>
      <c r="N2702" s="6">
        <v>324</v>
      </c>
      <c r="O2702" s="30">
        <f t="shared" si="256"/>
        <v>0</v>
      </c>
      <c r="P2702" s="30">
        <f t="shared" si="257"/>
        <v>648</v>
      </c>
      <c r="Q2702" s="1">
        <f>COUNTIFS($P:$P, "&gt;" &amp; $P2702) + 1</f>
        <v>3911</v>
      </c>
      <c r="R2702" s="63">
        <f>(COUNTIFS($P:$P, "&gt;" &amp; $P2702) + 1) / (COUNTA($I:$I) - 1)</f>
        <v>0.78220000000000001</v>
      </c>
      <c r="S2702" s="23">
        <f>SUMIFS($P:$P, $Q:$Q, "&lt;" &amp; $Q2702)</f>
        <v>186346099</v>
      </c>
    </row>
    <row r="2703" spans="1:19" x14ac:dyDescent="0.25">
      <c r="A2703" s="1">
        <v>2698</v>
      </c>
      <c r="B2703" s="1" t="s">
        <v>2</v>
      </c>
      <c r="C2703" s="1" t="str">
        <f>IF($B2703 = "Production Item", _xlfn.XLOOKUP($A2703, 'Instrument Table'!$J:$J, 'Instrument Table'!$B:$B, $C2702), IF($B2703 = "Service Item", _xlfn.XLOOKUP($A2703, 'Instrument Table'!$I:$I, 'Instrument Table'!$B:$B, $C2702), _xlfn.XLOOKUP($A2703, 'Instrument Table'!$H:$H, 'Instrument Table'!$B:$B, $C2702)))</f>
        <v>Trumpet</v>
      </c>
      <c r="D2703" s="1" t="str">
        <f>VLOOKUP($C2703, 'Instrument Table'!$B:$C, 2, FALSE)</f>
        <v>Brass</v>
      </c>
      <c r="E2703" s="1">
        <f t="shared" si="252"/>
        <v>1</v>
      </c>
      <c r="F2703" s="1">
        <f>_xlfn.XLOOKUP($C2703, 'Instrument Table'!$B:$B, 'Instrument Table'!$A:$A, "")</f>
        <v>41</v>
      </c>
      <c r="G2703" s="1" t="str">
        <f>TEXT(IF($B2703 = "Retail Item", IF((ROW($A2703) - 4504 - _xlfn.XMATCH($C2703, $C$4506:$C$5005, 0, 1)) &lt;= VLOOKUP($C2703, 'Instrument Table'!$B:$D, 3, FALSE), ROW($A2703) - 4504 - _xlfn.XMATCH($C2703, $C$4506:$C$5005, 0, 1), 0), 0), "00")</f>
        <v>00</v>
      </c>
      <c r="H2703" s="1" t="str">
        <f t="shared" si="253"/>
        <v>047</v>
      </c>
      <c r="I2703" s="1" t="str">
        <f t="shared" si="254"/>
        <v>14100-047</v>
      </c>
      <c r="J2703" s="1" t="str">
        <f t="shared" si="255"/>
        <v>Trumpet production item #047</v>
      </c>
      <c r="K2703" s="1" t="str">
        <f>IF(SUM(COUNTIFS(I:I, I2703)) &gt; 1, "DUPLICATE", "UNIQUE")</f>
        <v>UNIQUE</v>
      </c>
      <c r="L2703" s="18">
        <v>1</v>
      </c>
      <c r="M2703" s="28">
        <v>68</v>
      </c>
      <c r="N2703" s="6">
        <v>49</v>
      </c>
      <c r="O2703" s="30">
        <f t="shared" si="256"/>
        <v>68</v>
      </c>
      <c r="P2703" s="30">
        <f t="shared" si="257"/>
        <v>3332</v>
      </c>
      <c r="Q2703" s="1">
        <f>COUNTIFS($P:$P, "&gt;" &amp; $P2703) + 1</f>
        <v>2815</v>
      </c>
      <c r="R2703" s="63">
        <f>(COUNTIFS($P:$P, "&gt;" &amp; $P2703) + 1) / (COUNTA($I:$I) - 1)</f>
        <v>0.56299999999999994</v>
      </c>
      <c r="S2703" s="23">
        <f>SUMIFS($P:$P, $Q:$Q, "&lt;" &amp; $Q2703)</f>
        <v>184376723</v>
      </c>
    </row>
    <row r="2704" spans="1:19" x14ac:dyDescent="0.25">
      <c r="A2704" s="1">
        <v>2699</v>
      </c>
      <c r="B2704" s="1" t="s">
        <v>2</v>
      </c>
      <c r="C2704" s="1" t="str">
        <f>IF($B2704 = "Production Item", _xlfn.XLOOKUP($A2704, 'Instrument Table'!$J:$J, 'Instrument Table'!$B:$B, $C2703), IF($B2704 = "Service Item", _xlfn.XLOOKUP($A2704, 'Instrument Table'!$I:$I, 'Instrument Table'!$B:$B, $C2703), _xlfn.XLOOKUP($A2704, 'Instrument Table'!$H:$H, 'Instrument Table'!$B:$B, $C2703)))</f>
        <v>Trumpet</v>
      </c>
      <c r="D2704" s="1" t="str">
        <f>VLOOKUP($C2704, 'Instrument Table'!$B:$C, 2, FALSE)</f>
        <v>Brass</v>
      </c>
      <c r="E2704" s="1">
        <f t="shared" si="252"/>
        <v>1</v>
      </c>
      <c r="F2704" s="1">
        <f>_xlfn.XLOOKUP($C2704, 'Instrument Table'!$B:$B, 'Instrument Table'!$A:$A, "")</f>
        <v>41</v>
      </c>
      <c r="G2704" s="1" t="str">
        <f>TEXT(IF($B2704 = "Retail Item", IF((ROW($A2704) - 4504 - _xlfn.XMATCH($C2704, $C$4506:$C$5005, 0, 1)) &lt;= VLOOKUP($C2704, 'Instrument Table'!$B:$D, 3, FALSE), ROW($A2704) - 4504 - _xlfn.XMATCH($C2704, $C$4506:$C$5005, 0, 1), 0), 0), "00")</f>
        <v>00</v>
      </c>
      <c r="H2704" s="1" t="str">
        <f t="shared" si="253"/>
        <v>048</v>
      </c>
      <c r="I2704" s="1" t="str">
        <f t="shared" si="254"/>
        <v>14100-048</v>
      </c>
      <c r="J2704" s="1" t="str">
        <f t="shared" si="255"/>
        <v>Trumpet production item #048</v>
      </c>
      <c r="K2704" s="1" t="str">
        <f>IF(SUM(COUNTIFS(I:I, I2704)) &gt; 1, "DUPLICATE", "UNIQUE")</f>
        <v>UNIQUE</v>
      </c>
      <c r="L2704" s="18">
        <v>32</v>
      </c>
      <c r="M2704" s="28">
        <v>23</v>
      </c>
      <c r="N2704" s="6">
        <v>100</v>
      </c>
      <c r="O2704" s="30">
        <f t="shared" si="256"/>
        <v>736</v>
      </c>
      <c r="P2704" s="30">
        <f t="shared" si="257"/>
        <v>2300</v>
      </c>
      <c r="Q2704" s="1">
        <f>COUNTIFS($P:$P, "&gt;" &amp; $P2704) + 1</f>
        <v>3131</v>
      </c>
      <c r="R2704" s="63">
        <f>(COUNTIFS($P:$P, "&gt;" &amp; $P2704) + 1) / (COUNTA($I:$I) - 1)</f>
        <v>0.62619999999999998</v>
      </c>
      <c r="S2704" s="23">
        <f>SUMIFS($P:$P, $Q:$Q, "&lt;" &amp; $Q2704)</f>
        <v>185254605</v>
      </c>
    </row>
    <row r="2705" spans="1:19" x14ac:dyDescent="0.25">
      <c r="A2705" s="1">
        <v>2700</v>
      </c>
      <c r="B2705" s="1" t="s">
        <v>2</v>
      </c>
      <c r="C2705" s="1" t="str">
        <f>IF($B2705 = "Production Item", _xlfn.XLOOKUP($A2705, 'Instrument Table'!$J:$J, 'Instrument Table'!$B:$B, $C2704), IF($B2705 = "Service Item", _xlfn.XLOOKUP($A2705, 'Instrument Table'!$I:$I, 'Instrument Table'!$B:$B, $C2704), _xlfn.XLOOKUP($A2705, 'Instrument Table'!$H:$H, 'Instrument Table'!$B:$B, $C2704)))</f>
        <v>Trumpet</v>
      </c>
      <c r="D2705" s="1" t="str">
        <f>VLOOKUP($C2705, 'Instrument Table'!$B:$C, 2, FALSE)</f>
        <v>Brass</v>
      </c>
      <c r="E2705" s="1">
        <f t="shared" si="252"/>
        <v>1</v>
      </c>
      <c r="F2705" s="1">
        <f>_xlfn.XLOOKUP($C2705, 'Instrument Table'!$B:$B, 'Instrument Table'!$A:$A, "")</f>
        <v>41</v>
      </c>
      <c r="G2705" s="1" t="str">
        <f>TEXT(IF($B2705 = "Retail Item", IF((ROW($A2705) - 4504 - _xlfn.XMATCH($C2705, $C$4506:$C$5005, 0, 1)) &lt;= VLOOKUP($C2705, 'Instrument Table'!$B:$D, 3, FALSE), ROW($A2705) - 4504 - _xlfn.XMATCH($C2705, $C$4506:$C$5005, 0, 1), 0), 0), "00")</f>
        <v>00</v>
      </c>
      <c r="H2705" s="1" t="str">
        <f t="shared" si="253"/>
        <v>049</v>
      </c>
      <c r="I2705" s="1" t="str">
        <f t="shared" si="254"/>
        <v>14100-049</v>
      </c>
      <c r="J2705" s="1" t="str">
        <f t="shared" si="255"/>
        <v>Trumpet production item #049</v>
      </c>
      <c r="K2705" s="1" t="str">
        <f>IF(SUM(COUNTIFS(I:I, I2705)) &gt; 1, "DUPLICATE", "UNIQUE")</f>
        <v>UNIQUE</v>
      </c>
      <c r="L2705" s="18">
        <v>4</v>
      </c>
      <c r="M2705" s="28">
        <v>87</v>
      </c>
      <c r="N2705" s="6">
        <v>64</v>
      </c>
      <c r="O2705" s="30">
        <f t="shared" si="256"/>
        <v>348</v>
      </c>
      <c r="P2705" s="30">
        <f t="shared" si="257"/>
        <v>5568</v>
      </c>
      <c r="Q2705" s="1">
        <f>COUNTIFS($P:$P, "&gt;" &amp; $P2705) + 1</f>
        <v>2343</v>
      </c>
      <c r="R2705" s="63">
        <f>(COUNTIFS($P:$P, "&gt;" &amp; $P2705) + 1) / (COUNTA($I:$I) - 1)</f>
        <v>0.46860000000000002</v>
      </c>
      <c r="S2705" s="23">
        <f>SUMIFS($P:$P, $Q:$Q, "&lt;" &amp; $Q2705)</f>
        <v>182308817</v>
      </c>
    </row>
    <row r="2706" spans="1:19" x14ac:dyDescent="0.25">
      <c r="A2706" s="1">
        <v>2701</v>
      </c>
      <c r="B2706" s="1" t="s">
        <v>2</v>
      </c>
      <c r="C2706" s="1" t="str">
        <f>IF($B2706 = "Production Item", _xlfn.XLOOKUP($A2706, 'Instrument Table'!$J:$J, 'Instrument Table'!$B:$B, $C2705), IF($B2706 = "Service Item", _xlfn.XLOOKUP($A2706, 'Instrument Table'!$I:$I, 'Instrument Table'!$B:$B, $C2705), _xlfn.XLOOKUP($A2706, 'Instrument Table'!$H:$H, 'Instrument Table'!$B:$B, $C2705)))</f>
        <v>Trombone</v>
      </c>
      <c r="D2706" s="1" t="str">
        <f>VLOOKUP($C2706, 'Instrument Table'!$B:$C, 2, FALSE)</f>
        <v>Brass</v>
      </c>
      <c r="E2706" s="1">
        <f t="shared" si="252"/>
        <v>1</v>
      </c>
      <c r="F2706" s="1">
        <f>_xlfn.XLOOKUP($C2706, 'Instrument Table'!$B:$B, 'Instrument Table'!$A:$A, "")</f>
        <v>42</v>
      </c>
      <c r="G2706" s="1" t="str">
        <f>TEXT(IF($B2706 = "Retail Item", IF((ROW($A2706) - 4504 - _xlfn.XMATCH($C2706, $C$4506:$C$5005, 0, 1)) &lt;= VLOOKUP($C2706, 'Instrument Table'!$B:$D, 3, FALSE), ROW($A2706) - 4504 - _xlfn.XMATCH($C2706, $C$4506:$C$5005, 0, 1), 0), 0), "00")</f>
        <v>00</v>
      </c>
      <c r="H2706" s="1" t="str">
        <f t="shared" si="253"/>
        <v>000</v>
      </c>
      <c r="I2706" s="1" t="str">
        <f t="shared" si="254"/>
        <v>14200-000</v>
      </c>
      <c r="J2706" s="1" t="str">
        <f t="shared" si="255"/>
        <v>Trombone production item #000</v>
      </c>
      <c r="K2706" s="1" t="str">
        <f>IF(SUM(COUNTIFS(I:I, I2706)) &gt; 1, "DUPLICATE", "UNIQUE")</f>
        <v>UNIQUE</v>
      </c>
      <c r="L2706" s="18">
        <v>0</v>
      </c>
      <c r="M2706" s="28">
        <v>32</v>
      </c>
      <c r="N2706" s="6">
        <v>256</v>
      </c>
      <c r="O2706" s="30">
        <f t="shared" si="256"/>
        <v>0</v>
      </c>
      <c r="P2706" s="30">
        <f t="shared" si="257"/>
        <v>8192</v>
      </c>
      <c r="Q2706" s="1">
        <f>COUNTIFS($P:$P, "&gt;" &amp; $P2706) + 1</f>
        <v>1964</v>
      </c>
      <c r="R2706" s="63">
        <f>(COUNTIFS($P:$P, "&gt;" &amp; $P2706) + 1) / (COUNTA($I:$I) - 1)</f>
        <v>0.39279999999999998</v>
      </c>
      <c r="S2706" s="23">
        <f>SUMIFS($P:$P, $Q:$Q, "&lt;" &amp; $Q2706)</f>
        <v>179706741</v>
      </c>
    </row>
    <row r="2707" spans="1:19" x14ac:dyDescent="0.25">
      <c r="A2707" s="1">
        <v>2702</v>
      </c>
      <c r="B2707" s="1" t="s">
        <v>2</v>
      </c>
      <c r="C2707" s="1" t="str">
        <f>IF($B2707 = "Production Item", _xlfn.XLOOKUP($A2707, 'Instrument Table'!$J:$J, 'Instrument Table'!$B:$B, $C2706), IF($B2707 = "Service Item", _xlfn.XLOOKUP($A2707, 'Instrument Table'!$I:$I, 'Instrument Table'!$B:$B, $C2706), _xlfn.XLOOKUP($A2707, 'Instrument Table'!$H:$H, 'Instrument Table'!$B:$B, $C2706)))</f>
        <v>Trombone</v>
      </c>
      <c r="D2707" s="1" t="str">
        <f>VLOOKUP($C2707, 'Instrument Table'!$B:$C, 2, FALSE)</f>
        <v>Brass</v>
      </c>
      <c r="E2707" s="1">
        <f t="shared" si="252"/>
        <v>1</v>
      </c>
      <c r="F2707" s="1">
        <f>_xlfn.XLOOKUP($C2707, 'Instrument Table'!$B:$B, 'Instrument Table'!$A:$A, "")</f>
        <v>42</v>
      </c>
      <c r="G2707" s="1" t="str">
        <f>TEXT(IF($B2707 = "Retail Item", IF((ROW($A2707) - 4504 - _xlfn.XMATCH($C2707, $C$4506:$C$5005, 0, 1)) &lt;= VLOOKUP($C2707, 'Instrument Table'!$B:$D, 3, FALSE), ROW($A2707) - 4504 - _xlfn.XMATCH($C2707, $C$4506:$C$5005, 0, 1), 0), 0), "00")</f>
        <v>00</v>
      </c>
      <c r="H2707" s="1" t="str">
        <f t="shared" si="253"/>
        <v>001</v>
      </c>
      <c r="I2707" s="1" t="str">
        <f t="shared" si="254"/>
        <v>14200-001</v>
      </c>
      <c r="J2707" s="1" t="str">
        <f t="shared" si="255"/>
        <v>Trombone production item #001</v>
      </c>
      <c r="K2707" s="1" t="str">
        <f>IF(SUM(COUNTIFS(I:I, I2707)) &gt; 1, "DUPLICATE", "UNIQUE")</f>
        <v>UNIQUE</v>
      </c>
      <c r="L2707" s="18">
        <v>32</v>
      </c>
      <c r="M2707" s="28">
        <v>12</v>
      </c>
      <c r="N2707" s="6">
        <v>256</v>
      </c>
      <c r="O2707" s="30">
        <f t="shared" si="256"/>
        <v>384</v>
      </c>
      <c r="P2707" s="30">
        <f t="shared" si="257"/>
        <v>3072</v>
      </c>
      <c r="Q2707" s="1">
        <f>COUNTIFS($P:$P, "&gt;" &amp; $P2707) + 1</f>
        <v>2885</v>
      </c>
      <c r="R2707" s="63">
        <f>(COUNTIFS($P:$P, "&gt;" &amp; $P2707) + 1) / (COUNTA($I:$I) - 1)</f>
        <v>0.57699999999999996</v>
      </c>
      <c r="S2707" s="23">
        <f>SUMIFS($P:$P, $Q:$Q, "&lt;" &amp; $Q2707)</f>
        <v>184602433</v>
      </c>
    </row>
    <row r="2708" spans="1:19" x14ac:dyDescent="0.25">
      <c r="A2708" s="1">
        <v>2703</v>
      </c>
      <c r="B2708" s="1" t="s">
        <v>2</v>
      </c>
      <c r="C2708" s="1" t="str">
        <f>IF($B2708 = "Production Item", _xlfn.XLOOKUP($A2708, 'Instrument Table'!$J:$J, 'Instrument Table'!$B:$B, $C2707), IF($B2708 = "Service Item", _xlfn.XLOOKUP($A2708, 'Instrument Table'!$I:$I, 'Instrument Table'!$B:$B, $C2707), _xlfn.XLOOKUP($A2708, 'Instrument Table'!$H:$H, 'Instrument Table'!$B:$B, $C2707)))</f>
        <v>Trombone</v>
      </c>
      <c r="D2708" s="1" t="str">
        <f>VLOOKUP($C2708, 'Instrument Table'!$B:$C, 2, FALSE)</f>
        <v>Brass</v>
      </c>
      <c r="E2708" s="1">
        <f t="shared" si="252"/>
        <v>1</v>
      </c>
      <c r="F2708" s="1">
        <f>_xlfn.XLOOKUP($C2708, 'Instrument Table'!$B:$B, 'Instrument Table'!$A:$A, "")</f>
        <v>42</v>
      </c>
      <c r="G2708" s="1" t="str">
        <f>TEXT(IF($B2708 = "Retail Item", IF((ROW($A2708) - 4504 - _xlfn.XMATCH($C2708, $C$4506:$C$5005, 0, 1)) &lt;= VLOOKUP($C2708, 'Instrument Table'!$B:$D, 3, FALSE), ROW($A2708) - 4504 - _xlfn.XMATCH($C2708, $C$4506:$C$5005, 0, 1), 0), 0), "00")</f>
        <v>00</v>
      </c>
      <c r="H2708" s="1" t="str">
        <f t="shared" si="253"/>
        <v>002</v>
      </c>
      <c r="I2708" s="1" t="str">
        <f t="shared" si="254"/>
        <v>14200-002</v>
      </c>
      <c r="J2708" s="1" t="str">
        <f t="shared" si="255"/>
        <v>Trombone production item #002</v>
      </c>
      <c r="K2708" s="1" t="str">
        <f>IF(SUM(COUNTIFS(I:I, I2708)) &gt; 1, "DUPLICATE", "UNIQUE")</f>
        <v>UNIQUE</v>
      </c>
      <c r="L2708" s="18">
        <v>1</v>
      </c>
      <c r="M2708" s="28">
        <v>99</v>
      </c>
      <c r="N2708" s="6">
        <v>196</v>
      </c>
      <c r="O2708" s="30">
        <f t="shared" si="256"/>
        <v>99</v>
      </c>
      <c r="P2708" s="30">
        <f t="shared" si="257"/>
        <v>19404</v>
      </c>
      <c r="Q2708" s="1">
        <f>COUNTIFS($P:$P, "&gt;" &amp; $P2708) + 1</f>
        <v>1083</v>
      </c>
      <c r="R2708" s="63">
        <f>(COUNTIFS($P:$P, "&gt;" &amp; $P2708) + 1) / (COUNTA($I:$I) - 1)</f>
        <v>0.21659999999999999</v>
      </c>
      <c r="S2708" s="23">
        <f>SUMIFS($P:$P, $Q:$Q, "&lt;" &amp; $Q2708)</f>
        <v>168176845</v>
      </c>
    </row>
    <row r="2709" spans="1:19" x14ac:dyDescent="0.25">
      <c r="A2709" s="1">
        <v>2704</v>
      </c>
      <c r="B2709" s="1" t="s">
        <v>2</v>
      </c>
      <c r="C2709" s="1" t="str">
        <f>IF($B2709 = "Production Item", _xlfn.XLOOKUP($A2709, 'Instrument Table'!$J:$J, 'Instrument Table'!$B:$B, $C2708), IF($B2709 = "Service Item", _xlfn.XLOOKUP($A2709, 'Instrument Table'!$I:$I, 'Instrument Table'!$B:$B, $C2708), _xlfn.XLOOKUP($A2709, 'Instrument Table'!$H:$H, 'Instrument Table'!$B:$B, $C2708)))</f>
        <v>Trombone</v>
      </c>
      <c r="D2709" s="1" t="str">
        <f>VLOOKUP($C2709, 'Instrument Table'!$B:$C, 2, FALSE)</f>
        <v>Brass</v>
      </c>
      <c r="E2709" s="1">
        <f t="shared" si="252"/>
        <v>1</v>
      </c>
      <c r="F2709" s="1">
        <f>_xlfn.XLOOKUP($C2709, 'Instrument Table'!$B:$B, 'Instrument Table'!$A:$A, "")</f>
        <v>42</v>
      </c>
      <c r="G2709" s="1" t="str">
        <f>TEXT(IF($B2709 = "Retail Item", IF((ROW($A2709) - 4504 - _xlfn.XMATCH($C2709, $C$4506:$C$5005, 0, 1)) &lt;= VLOOKUP($C2709, 'Instrument Table'!$B:$D, 3, FALSE), ROW($A2709) - 4504 - _xlfn.XMATCH($C2709, $C$4506:$C$5005, 0, 1), 0), 0), "00")</f>
        <v>00</v>
      </c>
      <c r="H2709" s="1" t="str">
        <f t="shared" si="253"/>
        <v>003</v>
      </c>
      <c r="I2709" s="1" t="str">
        <f t="shared" si="254"/>
        <v>14200-003</v>
      </c>
      <c r="J2709" s="1" t="str">
        <f t="shared" si="255"/>
        <v>Trombone production item #003</v>
      </c>
      <c r="K2709" s="1" t="str">
        <f>IF(SUM(COUNTIFS(I:I, I2709)) &gt; 1, "DUPLICATE", "UNIQUE")</f>
        <v>UNIQUE</v>
      </c>
      <c r="L2709" s="18">
        <v>8</v>
      </c>
      <c r="M2709" s="28">
        <v>27</v>
      </c>
      <c r="N2709" s="6">
        <v>4</v>
      </c>
      <c r="O2709" s="30">
        <f t="shared" si="256"/>
        <v>216</v>
      </c>
      <c r="P2709" s="30">
        <f t="shared" si="257"/>
        <v>108</v>
      </c>
      <c r="Q2709" s="1">
        <f>COUNTIFS($P:$P, "&gt;" &amp; $P2709) + 1</f>
        <v>4438</v>
      </c>
      <c r="R2709" s="63">
        <f>(COUNTIFS($P:$P, "&gt;" &amp; $P2709) + 1) / (COUNTA($I:$I) - 1)</f>
        <v>0.88759999999999994</v>
      </c>
      <c r="S2709" s="23">
        <f>SUMIFS($P:$P, $Q:$Q, "&lt;" &amp; $Q2709)</f>
        <v>186530920</v>
      </c>
    </row>
    <row r="2710" spans="1:19" x14ac:dyDescent="0.25">
      <c r="A2710" s="1">
        <v>2705</v>
      </c>
      <c r="B2710" s="1" t="s">
        <v>2</v>
      </c>
      <c r="C2710" s="1" t="str">
        <f>IF($B2710 = "Production Item", _xlfn.XLOOKUP($A2710, 'Instrument Table'!$J:$J, 'Instrument Table'!$B:$B, $C2709), IF($B2710 = "Service Item", _xlfn.XLOOKUP($A2710, 'Instrument Table'!$I:$I, 'Instrument Table'!$B:$B, $C2709), _xlfn.XLOOKUP($A2710, 'Instrument Table'!$H:$H, 'Instrument Table'!$B:$B, $C2709)))</f>
        <v>Trombone</v>
      </c>
      <c r="D2710" s="1" t="str">
        <f>VLOOKUP($C2710, 'Instrument Table'!$B:$C, 2, FALSE)</f>
        <v>Brass</v>
      </c>
      <c r="E2710" s="1">
        <f t="shared" si="252"/>
        <v>1</v>
      </c>
      <c r="F2710" s="1">
        <f>_xlfn.XLOOKUP($C2710, 'Instrument Table'!$B:$B, 'Instrument Table'!$A:$A, "")</f>
        <v>42</v>
      </c>
      <c r="G2710" s="1" t="str">
        <f>TEXT(IF($B2710 = "Retail Item", IF((ROW($A2710) - 4504 - _xlfn.XMATCH($C2710, $C$4506:$C$5005, 0, 1)) &lt;= VLOOKUP($C2710, 'Instrument Table'!$B:$D, 3, FALSE), ROW($A2710) - 4504 - _xlfn.XMATCH($C2710, $C$4506:$C$5005, 0, 1), 0), 0), "00")</f>
        <v>00</v>
      </c>
      <c r="H2710" s="1" t="str">
        <f t="shared" si="253"/>
        <v>004</v>
      </c>
      <c r="I2710" s="1" t="str">
        <f t="shared" si="254"/>
        <v>14200-004</v>
      </c>
      <c r="J2710" s="1" t="str">
        <f t="shared" si="255"/>
        <v>Trombone production item #004</v>
      </c>
      <c r="K2710" s="1" t="str">
        <f>IF(SUM(COUNTIFS(I:I, I2710)) &gt; 1, "DUPLICATE", "UNIQUE")</f>
        <v>UNIQUE</v>
      </c>
      <c r="L2710" s="18">
        <v>1</v>
      </c>
      <c r="M2710" s="28">
        <v>84</v>
      </c>
      <c r="N2710" s="6">
        <v>100</v>
      </c>
      <c r="O2710" s="30">
        <f t="shared" si="256"/>
        <v>84</v>
      </c>
      <c r="P2710" s="30">
        <f t="shared" si="257"/>
        <v>8400</v>
      </c>
      <c r="Q2710" s="1">
        <f>COUNTIFS($P:$P, "&gt;" &amp; $P2710) + 1</f>
        <v>1939</v>
      </c>
      <c r="R2710" s="63">
        <f>(COUNTIFS($P:$P, "&gt;" &amp; $P2710) + 1) / (COUNTA($I:$I) - 1)</f>
        <v>0.38779999999999998</v>
      </c>
      <c r="S2710" s="23">
        <f>SUMIFS($P:$P, $Q:$Q, "&lt;" &amp; $Q2710)</f>
        <v>179499165</v>
      </c>
    </row>
    <row r="2711" spans="1:19" x14ac:dyDescent="0.25">
      <c r="A2711" s="1">
        <v>2706</v>
      </c>
      <c r="B2711" s="1" t="s">
        <v>2</v>
      </c>
      <c r="C2711" s="1" t="str">
        <f>IF($B2711 = "Production Item", _xlfn.XLOOKUP($A2711, 'Instrument Table'!$J:$J, 'Instrument Table'!$B:$B, $C2710), IF($B2711 = "Service Item", _xlfn.XLOOKUP($A2711, 'Instrument Table'!$I:$I, 'Instrument Table'!$B:$B, $C2710), _xlfn.XLOOKUP($A2711, 'Instrument Table'!$H:$H, 'Instrument Table'!$B:$B, $C2710)))</f>
        <v>Trombone</v>
      </c>
      <c r="D2711" s="1" t="str">
        <f>VLOOKUP($C2711, 'Instrument Table'!$B:$C, 2, FALSE)</f>
        <v>Brass</v>
      </c>
      <c r="E2711" s="1">
        <f t="shared" si="252"/>
        <v>1</v>
      </c>
      <c r="F2711" s="1">
        <f>_xlfn.XLOOKUP($C2711, 'Instrument Table'!$B:$B, 'Instrument Table'!$A:$A, "")</f>
        <v>42</v>
      </c>
      <c r="G2711" s="1" t="str">
        <f>TEXT(IF($B2711 = "Retail Item", IF((ROW($A2711) - 4504 - _xlfn.XMATCH($C2711, $C$4506:$C$5005, 0, 1)) &lt;= VLOOKUP($C2711, 'Instrument Table'!$B:$D, 3, FALSE), ROW($A2711) - 4504 - _xlfn.XMATCH($C2711, $C$4506:$C$5005, 0, 1), 0), 0), "00")</f>
        <v>00</v>
      </c>
      <c r="H2711" s="1" t="str">
        <f t="shared" si="253"/>
        <v>005</v>
      </c>
      <c r="I2711" s="1" t="str">
        <f t="shared" si="254"/>
        <v>14200-005</v>
      </c>
      <c r="J2711" s="1" t="str">
        <f t="shared" si="255"/>
        <v>Trombone production item #005</v>
      </c>
      <c r="K2711" s="1" t="str">
        <f>IF(SUM(COUNTIFS(I:I, I2711)) &gt; 1, "DUPLICATE", "UNIQUE")</f>
        <v>UNIQUE</v>
      </c>
      <c r="L2711" s="18">
        <v>4</v>
      </c>
      <c r="M2711" s="28">
        <v>6</v>
      </c>
      <c r="N2711" s="6">
        <v>1</v>
      </c>
      <c r="O2711" s="30">
        <f t="shared" si="256"/>
        <v>24</v>
      </c>
      <c r="P2711" s="30">
        <f t="shared" si="257"/>
        <v>6</v>
      </c>
      <c r="Q2711" s="1">
        <f>COUNTIFS($P:$P, "&gt;" &amp; $P2711) + 1</f>
        <v>4736</v>
      </c>
      <c r="R2711" s="63">
        <f>(COUNTIFS($P:$P, "&gt;" &amp; $P2711) + 1) / (COUNTA($I:$I) - 1)</f>
        <v>0.94720000000000004</v>
      </c>
      <c r="S2711" s="23">
        <f>SUMIFS($P:$P, $Q:$Q, "&lt;" &amp; $Q2711)</f>
        <v>186547830</v>
      </c>
    </row>
    <row r="2712" spans="1:19" x14ac:dyDescent="0.25">
      <c r="A2712" s="1">
        <v>2707</v>
      </c>
      <c r="B2712" s="1" t="s">
        <v>2</v>
      </c>
      <c r="C2712" s="1" t="str">
        <f>IF($B2712 = "Production Item", _xlfn.XLOOKUP($A2712, 'Instrument Table'!$J:$J, 'Instrument Table'!$B:$B, $C2711), IF($B2712 = "Service Item", _xlfn.XLOOKUP($A2712, 'Instrument Table'!$I:$I, 'Instrument Table'!$B:$B, $C2711), _xlfn.XLOOKUP($A2712, 'Instrument Table'!$H:$H, 'Instrument Table'!$B:$B, $C2711)))</f>
        <v>Trombone</v>
      </c>
      <c r="D2712" s="1" t="str">
        <f>VLOOKUP($C2712, 'Instrument Table'!$B:$C, 2, FALSE)</f>
        <v>Brass</v>
      </c>
      <c r="E2712" s="1">
        <f t="shared" si="252"/>
        <v>1</v>
      </c>
      <c r="F2712" s="1">
        <f>_xlfn.XLOOKUP($C2712, 'Instrument Table'!$B:$B, 'Instrument Table'!$A:$A, "")</f>
        <v>42</v>
      </c>
      <c r="G2712" s="1" t="str">
        <f>TEXT(IF($B2712 = "Retail Item", IF((ROW($A2712) - 4504 - _xlfn.XMATCH($C2712, $C$4506:$C$5005, 0, 1)) &lt;= VLOOKUP($C2712, 'Instrument Table'!$B:$D, 3, FALSE), ROW($A2712) - 4504 - _xlfn.XMATCH($C2712, $C$4506:$C$5005, 0, 1), 0), 0), "00")</f>
        <v>00</v>
      </c>
      <c r="H2712" s="1" t="str">
        <f t="shared" si="253"/>
        <v>006</v>
      </c>
      <c r="I2712" s="1" t="str">
        <f t="shared" si="254"/>
        <v>14200-006</v>
      </c>
      <c r="J2712" s="1" t="str">
        <f t="shared" si="255"/>
        <v>Trombone production item #006</v>
      </c>
      <c r="K2712" s="1" t="str">
        <f>IF(SUM(COUNTIFS(I:I, I2712)) &gt; 1, "DUPLICATE", "UNIQUE")</f>
        <v>UNIQUE</v>
      </c>
      <c r="L2712" s="18">
        <v>2</v>
      </c>
      <c r="M2712" s="28">
        <v>82</v>
      </c>
      <c r="N2712" s="6">
        <v>100</v>
      </c>
      <c r="O2712" s="30">
        <f t="shared" si="256"/>
        <v>164</v>
      </c>
      <c r="P2712" s="30">
        <f t="shared" si="257"/>
        <v>8200</v>
      </c>
      <c r="Q2712" s="1">
        <f>COUNTIFS($P:$P, "&gt;" &amp; $P2712) + 1</f>
        <v>1961</v>
      </c>
      <c r="R2712" s="63">
        <f>(COUNTIFS($P:$P, "&gt;" &amp; $P2712) + 1) / (COUNTA($I:$I) - 1)</f>
        <v>0.39219999999999999</v>
      </c>
      <c r="S2712" s="23">
        <f>SUMIFS($P:$P, $Q:$Q, "&lt;" &amp; $Q2712)</f>
        <v>179682141</v>
      </c>
    </row>
    <row r="2713" spans="1:19" x14ac:dyDescent="0.25">
      <c r="A2713" s="1">
        <v>2708</v>
      </c>
      <c r="B2713" s="1" t="s">
        <v>2</v>
      </c>
      <c r="C2713" s="1" t="str">
        <f>IF($B2713 = "Production Item", _xlfn.XLOOKUP($A2713, 'Instrument Table'!$J:$J, 'Instrument Table'!$B:$B, $C2712), IF($B2713 = "Service Item", _xlfn.XLOOKUP($A2713, 'Instrument Table'!$I:$I, 'Instrument Table'!$B:$B, $C2712), _xlfn.XLOOKUP($A2713, 'Instrument Table'!$H:$H, 'Instrument Table'!$B:$B, $C2712)))</f>
        <v>Trombone</v>
      </c>
      <c r="D2713" s="1" t="str">
        <f>VLOOKUP($C2713, 'Instrument Table'!$B:$C, 2, FALSE)</f>
        <v>Brass</v>
      </c>
      <c r="E2713" s="1">
        <f t="shared" si="252"/>
        <v>1</v>
      </c>
      <c r="F2713" s="1">
        <f>_xlfn.XLOOKUP($C2713, 'Instrument Table'!$B:$B, 'Instrument Table'!$A:$A, "")</f>
        <v>42</v>
      </c>
      <c r="G2713" s="1" t="str">
        <f>TEXT(IF($B2713 = "Retail Item", IF((ROW($A2713) - 4504 - _xlfn.XMATCH($C2713, $C$4506:$C$5005, 0, 1)) &lt;= VLOOKUP($C2713, 'Instrument Table'!$B:$D, 3, FALSE), ROW($A2713) - 4504 - _xlfn.XMATCH($C2713, $C$4506:$C$5005, 0, 1), 0), 0), "00")</f>
        <v>00</v>
      </c>
      <c r="H2713" s="1" t="str">
        <f t="shared" si="253"/>
        <v>007</v>
      </c>
      <c r="I2713" s="1" t="str">
        <f t="shared" si="254"/>
        <v>14200-007</v>
      </c>
      <c r="J2713" s="1" t="str">
        <f t="shared" si="255"/>
        <v>Trombone production item #007</v>
      </c>
      <c r="K2713" s="1" t="str">
        <f>IF(SUM(COUNTIFS(I:I, I2713)) &gt; 1, "DUPLICATE", "UNIQUE")</f>
        <v>UNIQUE</v>
      </c>
      <c r="L2713" s="18">
        <v>1</v>
      </c>
      <c r="M2713" s="28">
        <v>94</v>
      </c>
      <c r="N2713" s="6">
        <v>4</v>
      </c>
      <c r="O2713" s="30">
        <f t="shared" si="256"/>
        <v>94</v>
      </c>
      <c r="P2713" s="30">
        <f t="shared" si="257"/>
        <v>376</v>
      </c>
      <c r="Q2713" s="1">
        <f>COUNTIFS($P:$P, "&gt;" &amp; $P2713) + 1</f>
        <v>4125</v>
      </c>
      <c r="R2713" s="63">
        <f>(COUNTIFS($P:$P, "&gt;" &amp; $P2713) + 1) / (COUNTA($I:$I) - 1)</f>
        <v>0.82499999999999996</v>
      </c>
      <c r="S2713" s="23">
        <f>SUMIFS($P:$P, $Q:$Q, "&lt;" &amp; $Q2713)</f>
        <v>186454629</v>
      </c>
    </row>
    <row r="2714" spans="1:19" x14ac:dyDescent="0.25">
      <c r="A2714" s="1">
        <v>2709</v>
      </c>
      <c r="B2714" s="1" t="s">
        <v>2</v>
      </c>
      <c r="C2714" s="1" t="str">
        <f>IF($B2714 = "Production Item", _xlfn.XLOOKUP($A2714, 'Instrument Table'!$J:$J, 'Instrument Table'!$B:$B, $C2713), IF($B2714 = "Service Item", _xlfn.XLOOKUP($A2714, 'Instrument Table'!$I:$I, 'Instrument Table'!$B:$B, $C2713), _xlfn.XLOOKUP($A2714, 'Instrument Table'!$H:$H, 'Instrument Table'!$B:$B, $C2713)))</f>
        <v>Trombone</v>
      </c>
      <c r="D2714" s="1" t="str">
        <f>VLOOKUP($C2714, 'Instrument Table'!$B:$C, 2, FALSE)</f>
        <v>Brass</v>
      </c>
      <c r="E2714" s="1">
        <f t="shared" si="252"/>
        <v>1</v>
      </c>
      <c r="F2714" s="1">
        <f>_xlfn.XLOOKUP($C2714, 'Instrument Table'!$B:$B, 'Instrument Table'!$A:$A, "")</f>
        <v>42</v>
      </c>
      <c r="G2714" s="1" t="str">
        <f>TEXT(IF($B2714 = "Retail Item", IF((ROW($A2714) - 4504 - _xlfn.XMATCH($C2714, $C$4506:$C$5005, 0, 1)) &lt;= VLOOKUP($C2714, 'Instrument Table'!$B:$D, 3, FALSE), ROW($A2714) - 4504 - _xlfn.XMATCH($C2714, $C$4506:$C$5005, 0, 1), 0), 0), "00")</f>
        <v>00</v>
      </c>
      <c r="H2714" s="1" t="str">
        <f t="shared" si="253"/>
        <v>008</v>
      </c>
      <c r="I2714" s="1" t="str">
        <f t="shared" si="254"/>
        <v>14200-008</v>
      </c>
      <c r="J2714" s="1" t="str">
        <f t="shared" si="255"/>
        <v>Trombone production item #008</v>
      </c>
      <c r="K2714" s="1" t="str">
        <f>IF(SUM(COUNTIFS(I:I, I2714)) &gt; 1, "DUPLICATE", "UNIQUE")</f>
        <v>UNIQUE</v>
      </c>
      <c r="L2714" s="18">
        <v>1</v>
      </c>
      <c r="M2714" s="28">
        <v>64</v>
      </c>
      <c r="N2714" s="6">
        <v>1</v>
      </c>
      <c r="O2714" s="30">
        <f t="shared" si="256"/>
        <v>64</v>
      </c>
      <c r="P2714" s="30">
        <f t="shared" si="257"/>
        <v>64</v>
      </c>
      <c r="Q2714" s="1">
        <f>COUNTIFS($P:$P, "&gt;" &amp; $P2714) + 1</f>
        <v>4553</v>
      </c>
      <c r="R2714" s="63">
        <f>(COUNTIFS($P:$P, "&gt;" &amp; $P2714) + 1) / (COUNTA($I:$I) - 1)</f>
        <v>0.91059999999999997</v>
      </c>
      <c r="S2714" s="23">
        <f>SUMIFS($P:$P, $Q:$Q, "&lt;" &amp; $Q2714)</f>
        <v>186540850</v>
      </c>
    </row>
    <row r="2715" spans="1:19" x14ac:dyDescent="0.25">
      <c r="A2715" s="1">
        <v>2710</v>
      </c>
      <c r="B2715" s="1" t="s">
        <v>2</v>
      </c>
      <c r="C2715" s="1" t="str">
        <f>IF($B2715 = "Production Item", _xlfn.XLOOKUP($A2715, 'Instrument Table'!$J:$J, 'Instrument Table'!$B:$B, $C2714), IF($B2715 = "Service Item", _xlfn.XLOOKUP($A2715, 'Instrument Table'!$I:$I, 'Instrument Table'!$B:$B, $C2714), _xlfn.XLOOKUP($A2715, 'Instrument Table'!$H:$H, 'Instrument Table'!$B:$B, $C2714)))</f>
        <v>Trombone</v>
      </c>
      <c r="D2715" s="1" t="str">
        <f>VLOOKUP($C2715, 'Instrument Table'!$B:$C, 2, FALSE)</f>
        <v>Brass</v>
      </c>
      <c r="E2715" s="1">
        <f t="shared" si="252"/>
        <v>1</v>
      </c>
      <c r="F2715" s="1">
        <f>_xlfn.XLOOKUP($C2715, 'Instrument Table'!$B:$B, 'Instrument Table'!$A:$A, "")</f>
        <v>42</v>
      </c>
      <c r="G2715" s="1" t="str">
        <f>TEXT(IF($B2715 = "Retail Item", IF((ROW($A2715) - 4504 - _xlfn.XMATCH($C2715, $C$4506:$C$5005, 0, 1)) &lt;= VLOOKUP($C2715, 'Instrument Table'!$B:$D, 3, FALSE), ROW($A2715) - 4504 - _xlfn.XMATCH($C2715, $C$4506:$C$5005, 0, 1), 0), 0), "00")</f>
        <v>00</v>
      </c>
      <c r="H2715" s="1" t="str">
        <f t="shared" si="253"/>
        <v>009</v>
      </c>
      <c r="I2715" s="1" t="str">
        <f t="shared" si="254"/>
        <v>14200-009</v>
      </c>
      <c r="J2715" s="1" t="str">
        <f t="shared" si="255"/>
        <v>Trombone production item #009</v>
      </c>
      <c r="K2715" s="1" t="str">
        <f>IF(SUM(COUNTIFS(I:I, I2715)) &gt; 1, "DUPLICATE", "UNIQUE")</f>
        <v>UNIQUE</v>
      </c>
      <c r="L2715" s="18">
        <v>4</v>
      </c>
      <c r="M2715" s="28">
        <v>54</v>
      </c>
      <c r="N2715" s="6">
        <v>36</v>
      </c>
      <c r="O2715" s="30">
        <f t="shared" si="256"/>
        <v>216</v>
      </c>
      <c r="P2715" s="30">
        <f t="shared" si="257"/>
        <v>1944</v>
      </c>
      <c r="Q2715" s="1">
        <f>COUNTIFS($P:$P, "&gt;" &amp; $P2715) + 1</f>
        <v>3276</v>
      </c>
      <c r="R2715" s="63">
        <f>(COUNTIFS($P:$P, "&gt;" &amp; $P2715) + 1) / (COUNTA($I:$I) - 1)</f>
        <v>0.6552</v>
      </c>
      <c r="S2715" s="23">
        <f>SUMIFS($P:$P, $Q:$Q, "&lt;" &amp; $Q2715)</f>
        <v>185562800</v>
      </c>
    </row>
    <row r="2716" spans="1:19" x14ac:dyDescent="0.25">
      <c r="A2716" s="1">
        <v>2711</v>
      </c>
      <c r="B2716" s="1" t="s">
        <v>2</v>
      </c>
      <c r="C2716" s="1" t="str">
        <f>IF($B2716 = "Production Item", _xlfn.XLOOKUP($A2716, 'Instrument Table'!$J:$J, 'Instrument Table'!$B:$B, $C2715), IF($B2716 = "Service Item", _xlfn.XLOOKUP($A2716, 'Instrument Table'!$I:$I, 'Instrument Table'!$B:$B, $C2715), _xlfn.XLOOKUP($A2716, 'Instrument Table'!$H:$H, 'Instrument Table'!$B:$B, $C2715)))</f>
        <v>Trombone</v>
      </c>
      <c r="D2716" s="1" t="str">
        <f>VLOOKUP($C2716, 'Instrument Table'!$B:$C, 2, FALSE)</f>
        <v>Brass</v>
      </c>
      <c r="E2716" s="1">
        <f t="shared" si="252"/>
        <v>1</v>
      </c>
      <c r="F2716" s="1">
        <f>_xlfn.XLOOKUP($C2716, 'Instrument Table'!$B:$B, 'Instrument Table'!$A:$A, "")</f>
        <v>42</v>
      </c>
      <c r="G2716" s="1" t="str">
        <f>TEXT(IF($B2716 = "Retail Item", IF((ROW($A2716) - 4504 - _xlfn.XMATCH($C2716, $C$4506:$C$5005, 0, 1)) &lt;= VLOOKUP($C2716, 'Instrument Table'!$B:$D, 3, FALSE), ROW($A2716) - 4504 - _xlfn.XMATCH($C2716, $C$4506:$C$5005, 0, 1), 0), 0), "00")</f>
        <v>00</v>
      </c>
      <c r="H2716" s="1" t="str">
        <f t="shared" si="253"/>
        <v>010</v>
      </c>
      <c r="I2716" s="1" t="str">
        <f t="shared" si="254"/>
        <v>14200-010</v>
      </c>
      <c r="J2716" s="1" t="str">
        <f t="shared" si="255"/>
        <v>Trombone production item #010</v>
      </c>
      <c r="K2716" s="1" t="str">
        <f>IF(SUM(COUNTIFS(I:I, I2716)) &gt; 1, "DUPLICATE", "UNIQUE")</f>
        <v>UNIQUE</v>
      </c>
      <c r="L2716" s="18">
        <v>16</v>
      </c>
      <c r="M2716" s="28">
        <v>60</v>
      </c>
      <c r="N2716" s="6">
        <v>49</v>
      </c>
      <c r="O2716" s="30">
        <f t="shared" si="256"/>
        <v>960</v>
      </c>
      <c r="P2716" s="30">
        <f t="shared" si="257"/>
        <v>2940</v>
      </c>
      <c r="Q2716" s="1">
        <f>COUNTIFS($P:$P, "&gt;" &amp; $P2716) + 1</f>
        <v>2917</v>
      </c>
      <c r="R2716" s="63">
        <f>(COUNTIFS($P:$P, "&gt;" &amp; $P2716) + 1) / (COUNTA($I:$I) - 1)</f>
        <v>0.58340000000000003</v>
      </c>
      <c r="S2716" s="23">
        <f>SUMIFS($P:$P, $Q:$Q, "&lt;" &amp; $Q2716)</f>
        <v>184699259</v>
      </c>
    </row>
    <row r="2717" spans="1:19" x14ac:dyDescent="0.25">
      <c r="A2717" s="1">
        <v>2712</v>
      </c>
      <c r="B2717" s="1" t="s">
        <v>2</v>
      </c>
      <c r="C2717" s="1" t="str">
        <f>IF($B2717 = "Production Item", _xlfn.XLOOKUP($A2717, 'Instrument Table'!$J:$J, 'Instrument Table'!$B:$B, $C2716), IF($B2717 = "Service Item", _xlfn.XLOOKUP($A2717, 'Instrument Table'!$I:$I, 'Instrument Table'!$B:$B, $C2716), _xlfn.XLOOKUP($A2717, 'Instrument Table'!$H:$H, 'Instrument Table'!$B:$B, $C2716)))</f>
        <v>Trombone</v>
      </c>
      <c r="D2717" s="1" t="str">
        <f>VLOOKUP($C2717, 'Instrument Table'!$B:$C, 2, FALSE)</f>
        <v>Brass</v>
      </c>
      <c r="E2717" s="1">
        <f t="shared" si="252"/>
        <v>1</v>
      </c>
      <c r="F2717" s="1">
        <f>_xlfn.XLOOKUP($C2717, 'Instrument Table'!$B:$B, 'Instrument Table'!$A:$A, "")</f>
        <v>42</v>
      </c>
      <c r="G2717" s="1" t="str">
        <f>TEXT(IF($B2717 = "Retail Item", IF((ROW($A2717) - 4504 - _xlfn.XMATCH($C2717, $C$4506:$C$5005, 0, 1)) &lt;= VLOOKUP($C2717, 'Instrument Table'!$B:$D, 3, FALSE), ROW($A2717) - 4504 - _xlfn.XMATCH($C2717, $C$4506:$C$5005, 0, 1), 0), 0), "00")</f>
        <v>00</v>
      </c>
      <c r="H2717" s="1" t="str">
        <f t="shared" si="253"/>
        <v>011</v>
      </c>
      <c r="I2717" s="1" t="str">
        <f t="shared" si="254"/>
        <v>14200-011</v>
      </c>
      <c r="J2717" s="1" t="str">
        <f t="shared" si="255"/>
        <v>Trombone production item #011</v>
      </c>
      <c r="K2717" s="1" t="str">
        <f>IF(SUM(COUNTIFS(I:I, I2717)) &gt; 1, "DUPLICATE", "UNIQUE")</f>
        <v>UNIQUE</v>
      </c>
      <c r="L2717" s="18">
        <v>32</v>
      </c>
      <c r="M2717" s="28">
        <v>65</v>
      </c>
      <c r="N2717" s="6">
        <v>225</v>
      </c>
      <c r="O2717" s="30">
        <f t="shared" si="256"/>
        <v>2080</v>
      </c>
      <c r="P2717" s="30">
        <f t="shared" si="257"/>
        <v>14625</v>
      </c>
      <c r="Q2717" s="1">
        <f>COUNTIFS($P:$P, "&gt;" &amp; $P2717) + 1</f>
        <v>1375</v>
      </c>
      <c r="R2717" s="63">
        <f>(COUNTIFS($P:$P, "&gt;" &amp; $P2717) + 1) / (COUNTA($I:$I) - 1)</f>
        <v>0.27500000000000002</v>
      </c>
      <c r="S2717" s="23">
        <f>SUMIFS($P:$P, $Q:$Q, "&lt;" &amp; $Q2717)</f>
        <v>173113756</v>
      </c>
    </row>
    <row r="2718" spans="1:19" x14ac:dyDescent="0.25">
      <c r="A2718" s="1">
        <v>2713</v>
      </c>
      <c r="B2718" s="1" t="s">
        <v>2</v>
      </c>
      <c r="C2718" s="1" t="str">
        <f>IF($B2718 = "Production Item", _xlfn.XLOOKUP($A2718, 'Instrument Table'!$J:$J, 'Instrument Table'!$B:$B, $C2717), IF($B2718 = "Service Item", _xlfn.XLOOKUP($A2718, 'Instrument Table'!$I:$I, 'Instrument Table'!$B:$B, $C2717), _xlfn.XLOOKUP($A2718, 'Instrument Table'!$H:$H, 'Instrument Table'!$B:$B, $C2717)))</f>
        <v>Trombone</v>
      </c>
      <c r="D2718" s="1" t="str">
        <f>VLOOKUP($C2718, 'Instrument Table'!$B:$C, 2, FALSE)</f>
        <v>Brass</v>
      </c>
      <c r="E2718" s="1">
        <f t="shared" si="252"/>
        <v>1</v>
      </c>
      <c r="F2718" s="1">
        <f>_xlfn.XLOOKUP($C2718, 'Instrument Table'!$B:$B, 'Instrument Table'!$A:$A, "")</f>
        <v>42</v>
      </c>
      <c r="G2718" s="1" t="str">
        <f>TEXT(IF($B2718 = "Retail Item", IF((ROW($A2718) - 4504 - _xlfn.XMATCH($C2718, $C$4506:$C$5005, 0, 1)) &lt;= VLOOKUP($C2718, 'Instrument Table'!$B:$D, 3, FALSE), ROW($A2718) - 4504 - _xlfn.XMATCH($C2718, $C$4506:$C$5005, 0, 1), 0), 0), "00")</f>
        <v>00</v>
      </c>
      <c r="H2718" s="1" t="str">
        <f t="shared" si="253"/>
        <v>012</v>
      </c>
      <c r="I2718" s="1" t="str">
        <f t="shared" si="254"/>
        <v>14200-012</v>
      </c>
      <c r="J2718" s="1" t="str">
        <f t="shared" si="255"/>
        <v>Trombone production item #012</v>
      </c>
      <c r="K2718" s="1" t="str">
        <f>IF(SUM(COUNTIFS(I:I, I2718)) &gt; 1, "DUPLICATE", "UNIQUE")</f>
        <v>UNIQUE</v>
      </c>
      <c r="L2718" s="18">
        <v>8</v>
      </c>
      <c r="M2718" s="28">
        <v>19</v>
      </c>
      <c r="N2718" s="6">
        <v>0</v>
      </c>
      <c r="O2718" s="30">
        <f t="shared" si="256"/>
        <v>152</v>
      </c>
      <c r="P2718" s="30">
        <f t="shared" si="257"/>
        <v>0</v>
      </c>
      <c r="Q2718" s="1">
        <f>COUNTIFS($P:$P, "&gt;" &amp; $P2718) + 1</f>
        <v>4746</v>
      </c>
      <c r="R2718" s="63">
        <f>(COUNTIFS($P:$P, "&gt;" &amp; $P2718) + 1) / (COUNTA($I:$I) - 1)</f>
        <v>0.94920000000000004</v>
      </c>
      <c r="S2718" s="23">
        <f>SUMIFS($P:$P, $Q:$Q, "&lt;" &amp; $Q2718)</f>
        <v>186547861</v>
      </c>
    </row>
    <row r="2719" spans="1:19" x14ac:dyDescent="0.25">
      <c r="A2719" s="1">
        <v>2714</v>
      </c>
      <c r="B2719" s="1" t="s">
        <v>2</v>
      </c>
      <c r="C2719" s="1" t="str">
        <f>IF($B2719 = "Production Item", _xlfn.XLOOKUP($A2719, 'Instrument Table'!$J:$J, 'Instrument Table'!$B:$B, $C2718), IF($B2719 = "Service Item", _xlfn.XLOOKUP($A2719, 'Instrument Table'!$I:$I, 'Instrument Table'!$B:$B, $C2718), _xlfn.XLOOKUP($A2719, 'Instrument Table'!$H:$H, 'Instrument Table'!$B:$B, $C2718)))</f>
        <v>Trombone</v>
      </c>
      <c r="D2719" s="1" t="str">
        <f>VLOOKUP($C2719, 'Instrument Table'!$B:$C, 2, FALSE)</f>
        <v>Brass</v>
      </c>
      <c r="E2719" s="1">
        <f t="shared" si="252"/>
        <v>1</v>
      </c>
      <c r="F2719" s="1">
        <f>_xlfn.XLOOKUP($C2719, 'Instrument Table'!$B:$B, 'Instrument Table'!$A:$A, "")</f>
        <v>42</v>
      </c>
      <c r="G2719" s="1" t="str">
        <f>TEXT(IF($B2719 = "Retail Item", IF((ROW($A2719) - 4504 - _xlfn.XMATCH($C2719, $C$4506:$C$5005, 0, 1)) &lt;= VLOOKUP($C2719, 'Instrument Table'!$B:$D, 3, FALSE), ROW($A2719) - 4504 - _xlfn.XMATCH($C2719, $C$4506:$C$5005, 0, 1), 0), 0), "00")</f>
        <v>00</v>
      </c>
      <c r="H2719" s="1" t="str">
        <f t="shared" si="253"/>
        <v>013</v>
      </c>
      <c r="I2719" s="1" t="str">
        <f t="shared" si="254"/>
        <v>14200-013</v>
      </c>
      <c r="J2719" s="1" t="str">
        <f t="shared" si="255"/>
        <v>Trombone production item #013</v>
      </c>
      <c r="K2719" s="1" t="str">
        <f>IF(SUM(COUNTIFS(I:I, I2719)) &gt; 1, "DUPLICATE", "UNIQUE")</f>
        <v>UNIQUE</v>
      </c>
      <c r="L2719" s="18">
        <v>1</v>
      </c>
      <c r="M2719" s="28">
        <v>72</v>
      </c>
      <c r="N2719" s="6">
        <v>81</v>
      </c>
      <c r="O2719" s="30">
        <f t="shared" si="256"/>
        <v>72</v>
      </c>
      <c r="P2719" s="30">
        <f t="shared" si="257"/>
        <v>5832</v>
      </c>
      <c r="Q2719" s="1">
        <f>COUNTIFS($P:$P, "&gt;" &amp; $P2719) + 1</f>
        <v>2288</v>
      </c>
      <c r="R2719" s="63">
        <f>(COUNTIFS($P:$P, "&gt;" &amp; $P2719) + 1) / (COUNTA($I:$I) - 1)</f>
        <v>0.45760000000000001</v>
      </c>
      <c r="S2719" s="23">
        <f>SUMIFS($P:$P, $Q:$Q, "&lt;" &amp; $Q2719)</f>
        <v>181994354</v>
      </c>
    </row>
    <row r="2720" spans="1:19" x14ac:dyDescent="0.25">
      <c r="A2720" s="1">
        <v>2715</v>
      </c>
      <c r="B2720" s="1" t="s">
        <v>2</v>
      </c>
      <c r="C2720" s="1" t="str">
        <f>IF($B2720 = "Production Item", _xlfn.XLOOKUP($A2720, 'Instrument Table'!$J:$J, 'Instrument Table'!$B:$B, $C2719), IF($B2720 = "Service Item", _xlfn.XLOOKUP($A2720, 'Instrument Table'!$I:$I, 'Instrument Table'!$B:$B, $C2719), _xlfn.XLOOKUP($A2720, 'Instrument Table'!$H:$H, 'Instrument Table'!$B:$B, $C2719)))</f>
        <v>Trombone</v>
      </c>
      <c r="D2720" s="1" t="str">
        <f>VLOOKUP($C2720, 'Instrument Table'!$B:$C, 2, FALSE)</f>
        <v>Brass</v>
      </c>
      <c r="E2720" s="1">
        <f t="shared" si="252"/>
        <v>1</v>
      </c>
      <c r="F2720" s="1">
        <f>_xlfn.XLOOKUP($C2720, 'Instrument Table'!$B:$B, 'Instrument Table'!$A:$A, "")</f>
        <v>42</v>
      </c>
      <c r="G2720" s="1" t="str">
        <f>TEXT(IF($B2720 = "Retail Item", IF((ROW($A2720) - 4504 - _xlfn.XMATCH($C2720, $C$4506:$C$5005, 0, 1)) &lt;= VLOOKUP($C2720, 'Instrument Table'!$B:$D, 3, FALSE), ROW($A2720) - 4504 - _xlfn.XMATCH($C2720, $C$4506:$C$5005, 0, 1), 0), 0), "00")</f>
        <v>00</v>
      </c>
      <c r="H2720" s="1" t="str">
        <f t="shared" si="253"/>
        <v>014</v>
      </c>
      <c r="I2720" s="1" t="str">
        <f t="shared" si="254"/>
        <v>14200-014</v>
      </c>
      <c r="J2720" s="1" t="str">
        <f t="shared" si="255"/>
        <v>Trombone production item #014</v>
      </c>
      <c r="K2720" s="1" t="str">
        <f>IF(SUM(COUNTIFS(I:I, I2720)) &gt; 1, "DUPLICATE", "UNIQUE")</f>
        <v>UNIQUE</v>
      </c>
      <c r="L2720" s="18">
        <v>4</v>
      </c>
      <c r="M2720" s="28">
        <v>69</v>
      </c>
      <c r="N2720" s="6">
        <v>324</v>
      </c>
      <c r="O2720" s="30">
        <f t="shared" si="256"/>
        <v>276</v>
      </c>
      <c r="P2720" s="30">
        <f t="shared" si="257"/>
        <v>22356</v>
      </c>
      <c r="Q2720" s="1">
        <f>COUNTIFS($P:$P, "&gt;" &amp; $P2720) + 1</f>
        <v>935</v>
      </c>
      <c r="R2720" s="63">
        <f>(COUNTIFS($P:$P, "&gt;" &amp; $P2720) + 1) / (COUNTA($I:$I) - 1)</f>
        <v>0.187</v>
      </c>
      <c r="S2720" s="23">
        <f>SUMIFS($P:$P, $Q:$Q, "&lt;" &amp; $Q2720)</f>
        <v>165076237</v>
      </c>
    </row>
    <row r="2721" spans="1:19" x14ac:dyDescent="0.25">
      <c r="A2721" s="1">
        <v>2716</v>
      </c>
      <c r="B2721" s="1" t="s">
        <v>2</v>
      </c>
      <c r="C2721" s="1" t="str">
        <f>IF($B2721 = "Production Item", _xlfn.XLOOKUP($A2721, 'Instrument Table'!$J:$J, 'Instrument Table'!$B:$B, $C2720), IF($B2721 = "Service Item", _xlfn.XLOOKUP($A2721, 'Instrument Table'!$I:$I, 'Instrument Table'!$B:$B, $C2720), _xlfn.XLOOKUP($A2721, 'Instrument Table'!$H:$H, 'Instrument Table'!$B:$B, $C2720)))</f>
        <v>Trombone</v>
      </c>
      <c r="D2721" s="1" t="str">
        <f>VLOOKUP($C2721, 'Instrument Table'!$B:$C, 2, FALSE)</f>
        <v>Brass</v>
      </c>
      <c r="E2721" s="1">
        <f t="shared" si="252"/>
        <v>1</v>
      </c>
      <c r="F2721" s="1">
        <f>_xlfn.XLOOKUP($C2721, 'Instrument Table'!$B:$B, 'Instrument Table'!$A:$A, "")</f>
        <v>42</v>
      </c>
      <c r="G2721" s="1" t="str">
        <f>TEXT(IF($B2721 = "Retail Item", IF((ROW($A2721) - 4504 - _xlfn.XMATCH($C2721, $C$4506:$C$5005, 0, 1)) &lt;= VLOOKUP($C2721, 'Instrument Table'!$B:$D, 3, FALSE), ROW($A2721) - 4504 - _xlfn.XMATCH($C2721, $C$4506:$C$5005, 0, 1), 0), 0), "00")</f>
        <v>00</v>
      </c>
      <c r="H2721" s="1" t="str">
        <f t="shared" si="253"/>
        <v>015</v>
      </c>
      <c r="I2721" s="1" t="str">
        <f t="shared" si="254"/>
        <v>14200-015</v>
      </c>
      <c r="J2721" s="1" t="str">
        <f t="shared" si="255"/>
        <v>Trombone production item #015</v>
      </c>
      <c r="K2721" s="1" t="str">
        <f>IF(SUM(COUNTIFS(I:I, I2721)) &gt; 1, "DUPLICATE", "UNIQUE")</f>
        <v>UNIQUE</v>
      </c>
      <c r="L2721" s="18">
        <v>0</v>
      </c>
      <c r="M2721" s="28">
        <v>10</v>
      </c>
      <c r="N2721" s="6">
        <v>36</v>
      </c>
      <c r="O2721" s="30">
        <f t="shared" si="256"/>
        <v>0</v>
      </c>
      <c r="P2721" s="30">
        <f t="shared" si="257"/>
        <v>360</v>
      </c>
      <c r="Q2721" s="1">
        <f>COUNTIFS($P:$P, "&gt;" &amp; $P2721) + 1</f>
        <v>4137</v>
      </c>
      <c r="R2721" s="63">
        <f>(COUNTIFS($P:$P, "&gt;" &amp; $P2721) + 1) / (COUNTA($I:$I) - 1)</f>
        <v>0.82740000000000002</v>
      </c>
      <c r="S2721" s="23">
        <f>SUMIFS($P:$P, $Q:$Q, "&lt;" &amp; $Q2721)</f>
        <v>186459069</v>
      </c>
    </row>
    <row r="2722" spans="1:19" x14ac:dyDescent="0.25">
      <c r="A2722" s="1">
        <v>2717</v>
      </c>
      <c r="B2722" s="1" t="s">
        <v>2</v>
      </c>
      <c r="C2722" s="1" t="str">
        <f>IF($B2722 = "Production Item", _xlfn.XLOOKUP($A2722, 'Instrument Table'!$J:$J, 'Instrument Table'!$B:$B, $C2721), IF($B2722 = "Service Item", _xlfn.XLOOKUP($A2722, 'Instrument Table'!$I:$I, 'Instrument Table'!$B:$B, $C2721), _xlfn.XLOOKUP($A2722, 'Instrument Table'!$H:$H, 'Instrument Table'!$B:$B, $C2721)))</f>
        <v>Trombone</v>
      </c>
      <c r="D2722" s="1" t="str">
        <f>VLOOKUP($C2722, 'Instrument Table'!$B:$C, 2, FALSE)</f>
        <v>Brass</v>
      </c>
      <c r="E2722" s="1">
        <f t="shared" si="252"/>
        <v>1</v>
      </c>
      <c r="F2722" s="1">
        <f>_xlfn.XLOOKUP($C2722, 'Instrument Table'!$B:$B, 'Instrument Table'!$A:$A, "")</f>
        <v>42</v>
      </c>
      <c r="G2722" s="1" t="str">
        <f>TEXT(IF($B2722 = "Retail Item", IF((ROW($A2722) - 4504 - _xlfn.XMATCH($C2722, $C$4506:$C$5005, 0, 1)) &lt;= VLOOKUP($C2722, 'Instrument Table'!$B:$D, 3, FALSE), ROW($A2722) - 4504 - _xlfn.XMATCH($C2722, $C$4506:$C$5005, 0, 1), 0), 0), "00")</f>
        <v>00</v>
      </c>
      <c r="H2722" s="1" t="str">
        <f t="shared" si="253"/>
        <v>016</v>
      </c>
      <c r="I2722" s="1" t="str">
        <f t="shared" si="254"/>
        <v>14200-016</v>
      </c>
      <c r="J2722" s="1" t="str">
        <f t="shared" si="255"/>
        <v>Trombone production item #016</v>
      </c>
      <c r="K2722" s="1" t="str">
        <f>IF(SUM(COUNTIFS(I:I, I2722)) &gt; 1, "DUPLICATE", "UNIQUE")</f>
        <v>UNIQUE</v>
      </c>
      <c r="L2722" s="18">
        <v>1</v>
      </c>
      <c r="M2722" s="28">
        <v>27</v>
      </c>
      <c r="N2722" s="6">
        <v>256</v>
      </c>
      <c r="O2722" s="30">
        <f t="shared" si="256"/>
        <v>27</v>
      </c>
      <c r="P2722" s="30">
        <f t="shared" si="257"/>
        <v>6912</v>
      </c>
      <c r="Q2722" s="1">
        <f>COUNTIFS($P:$P, "&gt;" &amp; $P2722) + 1</f>
        <v>2145</v>
      </c>
      <c r="R2722" s="63">
        <f>(COUNTIFS($P:$P, "&gt;" &amp; $P2722) + 1) / (COUNTA($I:$I) - 1)</f>
        <v>0.42899999999999999</v>
      </c>
      <c r="S2722" s="23">
        <f>SUMIFS($P:$P, $Q:$Q, "&lt;" &amp; $Q2722)</f>
        <v>181079109</v>
      </c>
    </row>
    <row r="2723" spans="1:19" x14ac:dyDescent="0.25">
      <c r="A2723" s="1">
        <v>2718</v>
      </c>
      <c r="B2723" s="1" t="s">
        <v>2</v>
      </c>
      <c r="C2723" s="1" t="str">
        <f>IF($B2723 = "Production Item", _xlfn.XLOOKUP($A2723, 'Instrument Table'!$J:$J, 'Instrument Table'!$B:$B, $C2722), IF($B2723 = "Service Item", _xlfn.XLOOKUP($A2723, 'Instrument Table'!$I:$I, 'Instrument Table'!$B:$B, $C2722), _xlfn.XLOOKUP($A2723, 'Instrument Table'!$H:$H, 'Instrument Table'!$B:$B, $C2722)))</f>
        <v>Trombone</v>
      </c>
      <c r="D2723" s="1" t="str">
        <f>VLOOKUP($C2723, 'Instrument Table'!$B:$C, 2, FALSE)</f>
        <v>Brass</v>
      </c>
      <c r="E2723" s="1">
        <f t="shared" si="252"/>
        <v>1</v>
      </c>
      <c r="F2723" s="1">
        <f>_xlfn.XLOOKUP($C2723, 'Instrument Table'!$B:$B, 'Instrument Table'!$A:$A, "")</f>
        <v>42</v>
      </c>
      <c r="G2723" s="1" t="str">
        <f>TEXT(IF($B2723 = "Retail Item", IF((ROW($A2723) - 4504 - _xlfn.XMATCH($C2723, $C$4506:$C$5005, 0, 1)) &lt;= VLOOKUP($C2723, 'Instrument Table'!$B:$D, 3, FALSE), ROW($A2723) - 4504 - _xlfn.XMATCH($C2723, $C$4506:$C$5005, 0, 1), 0), 0), "00")</f>
        <v>00</v>
      </c>
      <c r="H2723" s="1" t="str">
        <f t="shared" si="253"/>
        <v>017</v>
      </c>
      <c r="I2723" s="1" t="str">
        <f t="shared" si="254"/>
        <v>14200-017</v>
      </c>
      <c r="J2723" s="1" t="str">
        <f t="shared" si="255"/>
        <v>Trombone production item #017</v>
      </c>
      <c r="K2723" s="1" t="str">
        <f>IF(SUM(COUNTIFS(I:I, I2723)) &gt; 1, "DUPLICATE", "UNIQUE")</f>
        <v>UNIQUE</v>
      </c>
      <c r="L2723" s="18">
        <v>1</v>
      </c>
      <c r="M2723" s="28">
        <v>77</v>
      </c>
      <c r="N2723" s="6">
        <v>49</v>
      </c>
      <c r="O2723" s="30">
        <f t="shared" si="256"/>
        <v>77</v>
      </c>
      <c r="P2723" s="30">
        <f t="shared" si="257"/>
        <v>3773</v>
      </c>
      <c r="Q2723" s="1">
        <f>COUNTIFS($P:$P, "&gt;" &amp; $P2723) + 1</f>
        <v>2703</v>
      </c>
      <c r="R2723" s="63">
        <f>(COUNTIFS($P:$P, "&gt;" &amp; $P2723) + 1) / (COUNTA($I:$I) - 1)</f>
        <v>0.54059999999999997</v>
      </c>
      <c r="S2723" s="23">
        <f>SUMIFS($P:$P, $Q:$Q, "&lt;" &amp; $Q2723)</f>
        <v>183978085</v>
      </c>
    </row>
    <row r="2724" spans="1:19" x14ac:dyDescent="0.25">
      <c r="A2724" s="1">
        <v>2719</v>
      </c>
      <c r="B2724" s="1" t="s">
        <v>2</v>
      </c>
      <c r="C2724" s="1" t="str">
        <f>IF($B2724 = "Production Item", _xlfn.XLOOKUP($A2724, 'Instrument Table'!$J:$J, 'Instrument Table'!$B:$B, $C2723), IF($B2724 = "Service Item", _xlfn.XLOOKUP($A2724, 'Instrument Table'!$I:$I, 'Instrument Table'!$B:$B, $C2723), _xlfn.XLOOKUP($A2724, 'Instrument Table'!$H:$H, 'Instrument Table'!$B:$B, $C2723)))</f>
        <v>Trombone</v>
      </c>
      <c r="D2724" s="1" t="str">
        <f>VLOOKUP($C2724, 'Instrument Table'!$B:$C, 2, FALSE)</f>
        <v>Brass</v>
      </c>
      <c r="E2724" s="1">
        <f t="shared" si="252"/>
        <v>1</v>
      </c>
      <c r="F2724" s="1">
        <f>_xlfn.XLOOKUP($C2724, 'Instrument Table'!$B:$B, 'Instrument Table'!$A:$A, "")</f>
        <v>42</v>
      </c>
      <c r="G2724" s="1" t="str">
        <f>TEXT(IF($B2724 = "Retail Item", IF((ROW($A2724) - 4504 - _xlfn.XMATCH($C2724, $C$4506:$C$5005, 0, 1)) &lt;= VLOOKUP($C2724, 'Instrument Table'!$B:$D, 3, FALSE), ROW($A2724) - 4504 - _xlfn.XMATCH($C2724, $C$4506:$C$5005, 0, 1), 0), 0), "00")</f>
        <v>00</v>
      </c>
      <c r="H2724" s="1" t="str">
        <f t="shared" si="253"/>
        <v>018</v>
      </c>
      <c r="I2724" s="1" t="str">
        <f t="shared" si="254"/>
        <v>14200-018</v>
      </c>
      <c r="J2724" s="1" t="str">
        <f t="shared" si="255"/>
        <v>Trombone production item #018</v>
      </c>
      <c r="K2724" s="1" t="str">
        <f>IF(SUM(COUNTIFS(I:I, I2724)) &gt; 1, "DUPLICATE", "UNIQUE")</f>
        <v>UNIQUE</v>
      </c>
      <c r="L2724" s="18">
        <v>1</v>
      </c>
      <c r="M2724" s="28">
        <v>35</v>
      </c>
      <c r="N2724" s="6">
        <v>121</v>
      </c>
      <c r="O2724" s="30">
        <f t="shared" si="256"/>
        <v>35</v>
      </c>
      <c r="P2724" s="30">
        <f t="shared" si="257"/>
        <v>4235</v>
      </c>
      <c r="Q2724" s="1">
        <f>COUNTIFS($P:$P, "&gt;" &amp; $P2724) + 1</f>
        <v>2599</v>
      </c>
      <c r="R2724" s="63">
        <f>(COUNTIFS($P:$P, "&gt;" &amp; $P2724) + 1) / (COUNTA($I:$I) - 1)</f>
        <v>0.51980000000000004</v>
      </c>
      <c r="S2724" s="23">
        <f>SUMIFS($P:$P, $Q:$Q, "&lt;" &amp; $Q2724)</f>
        <v>183559163</v>
      </c>
    </row>
    <row r="2725" spans="1:19" x14ac:dyDescent="0.25">
      <c r="A2725" s="1">
        <v>2720</v>
      </c>
      <c r="B2725" s="1" t="s">
        <v>2</v>
      </c>
      <c r="C2725" s="1" t="str">
        <f>IF($B2725 = "Production Item", _xlfn.XLOOKUP($A2725, 'Instrument Table'!$J:$J, 'Instrument Table'!$B:$B, $C2724), IF($B2725 = "Service Item", _xlfn.XLOOKUP($A2725, 'Instrument Table'!$I:$I, 'Instrument Table'!$B:$B, $C2724), _xlfn.XLOOKUP($A2725, 'Instrument Table'!$H:$H, 'Instrument Table'!$B:$B, $C2724)))</f>
        <v>Trombone</v>
      </c>
      <c r="D2725" s="1" t="str">
        <f>VLOOKUP($C2725, 'Instrument Table'!$B:$C, 2, FALSE)</f>
        <v>Brass</v>
      </c>
      <c r="E2725" s="1">
        <f t="shared" si="252"/>
        <v>1</v>
      </c>
      <c r="F2725" s="1">
        <f>_xlfn.XLOOKUP($C2725, 'Instrument Table'!$B:$B, 'Instrument Table'!$A:$A, "")</f>
        <v>42</v>
      </c>
      <c r="G2725" s="1" t="str">
        <f>TEXT(IF($B2725 = "Retail Item", IF((ROW($A2725) - 4504 - _xlfn.XMATCH($C2725, $C$4506:$C$5005, 0, 1)) &lt;= VLOOKUP($C2725, 'Instrument Table'!$B:$D, 3, FALSE), ROW($A2725) - 4504 - _xlfn.XMATCH($C2725, $C$4506:$C$5005, 0, 1), 0), 0), "00")</f>
        <v>00</v>
      </c>
      <c r="H2725" s="1" t="str">
        <f t="shared" si="253"/>
        <v>019</v>
      </c>
      <c r="I2725" s="1" t="str">
        <f t="shared" si="254"/>
        <v>14200-019</v>
      </c>
      <c r="J2725" s="1" t="str">
        <f t="shared" si="255"/>
        <v>Trombone production item #019</v>
      </c>
      <c r="K2725" s="1" t="str">
        <f>IF(SUM(COUNTIFS(I:I, I2725)) &gt; 1, "DUPLICATE", "UNIQUE")</f>
        <v>UNIQUE</v>
      </c>
      <c r="L2725" s="18">
        <v>16</v>
      </c>
      <c r="M2725" s="28">
        <v>79</v>
      </c>
      <c r="N2725" s="6">
        <v>289</v>
      </c>
      <c r="O2725" s="30">
        <f t="shared" si="256"/>
        <v>1264</v>
      </c>
      <c r="P2725" s="30">
        <f t="shared" si="257"/>
        <v>22831</v>
      </c>
      <c r="Q2725" s="1">
        <f>COUNTIFS($P:$P, "&gt;" &amp; $P2725) + 1</f>
        <v>909</v>
      </c>
      <c r="R2725" s="63">
        <f>(COUNTIFS($P:$P, "&gt;" &amp; $P2725) + 1) / (COUNTA($I:$I) - 1)</f>
        <v>0.18179999999999999</v>
      </c>
      <c r="S2725" s="23">
        <f>SUMIFS($P:$P, $Q:$Q, "&lt;" &amp; $Q2725)</f>
        <v>164488143</v>
      </c>
    </row>
    <row r="2726" spans="1:19" x14ac:dyDescent="0.25">
      <c r="A2726" s="1">
        <v>2721</v>
      </c>
      <c r="B2726" s="1" t="s">
        <v>2</v>
      </c>
      <c r="C2726" s="1" t="str">
        <f>IF($B2726 = "Production Item", _xlfn.XLOOKUP($A2726, 'Instrument Table'!$J:$J, 'Instrument Table'!$B:$B, $C2725), IF($B2726 = "Service Item", _xlfn.XLOOKUP($A2726, 'Instrument Table'!$I:$I, 'Instrument Table'!$B:$B, $C2725), _xlfn.XLOOKUP($A2726, 'Instrument Table'!$H:$H, 'Instrument Table'!$B:$B, $C2725)))</f>
        <v>Trombone</v>
      </c>
      <c r="D2726" s="1" t="str">
        <f>VLOOKUP($C2726, 'Instrument Table'!$B:$C, 2, FALSE)</f>
        <v>Brass</v>
      </c>
      <c r="E2726" s="1">
        <f t="shared" si="252"/>
        <v>1</v>
      </c>
      <c r="F2726" s="1">
        <f>_xlfn.XLOOKUP($C2726, 'Instrument Table'!$B:$B, 'Instrument Table'!$A:$A, "")</f>
        <v>42</v>
      </c>
      <c r="G2726" s="1" t="str">
        <f>TEXT(IF($B2726 = "Retail Item", IF((ROW($A2726) - 4504 - _xlfn.XMATCH($C2726, $C$4506:$C$5005, 0, 1)) &lt;= VLOOKUP($C2726, 'Instrument Table'!$B:$D, 3, FALSE), ROW($A2726) - 4504 - _xlfn.XMATCH($C2726, $C$4506:$C$5005, 0, 1), 0), 0), "00")</f>
        <v>00</v>
      </c>
      <c r="H2726" s="1" t="str">
        <f t="shared" si="253"/>
        <v>020</v>
      </c>
      <c r="I2726" s="1" t="str">
        <f t="shared" si="254"/>
        <v>14200-020</v>
      </c>
      <c r="J2726" s="1" t="str">
        <f t="shared" si="255"/>
        <v>Trombone production item #020</v>
      </c>
      <c r="K2726" s="1" t="str">
        <f>IF(SUM(COUNTIFS(I:I, I2726)) &gt; 1, "DUPLICATE", "UNIQUE")</f>
        <v>UNIQUE</v>
      </c>
      <c r="L2726" s="18">
        <v>0</v>
      </c>
      <c r="M2726" s="28">
        <v>25</v>
      </c>
      <c r="N2726" s="6">
        <v>400</v>
      </c>
      <c r="O2726" s="30">
        <f t="shared" si="256"/>
        <v>0</v>
      </c>
      <c r="P2726" s="30">
        <f t="shared" si="257"/>
        <v>10000</v>
      </c>
      <c r="Q2726" s="1">
        <f>COUNTIFS($P:$P, "&gt;" &amp; $P2726) + 1</f>
        <v>1771</v>
      </c>
      <c r="R2726" s="63">
        <f>(COUNTIFS($P:$P, "&gt;" &amp; $P2726) + 1) / (COUNTA($I:$I) - 1)</f>
        <v>0.35420000000000001</v>
      </c>
      <c r="S2726" s="23">
        <f>SUMIFS($P:$P, $Q:$Q, "&lt;" &amp; $Q2726)</f>
        <v>177955695</v>
      </c>
    </row>
    <row r="2727" spans="1:19" x14ac:dyDescent="0.25">
      <c r="A2727" s="1">
        <v>2722</v>
      </c>
      <c r="B2727" s="1" t="s">
        <v>2</v>
      </c>
      <c r="C2727" s="1" t="str">
        <f>IF($B2727 = "Production Item", _xlfn.XLOOKUP($A2727, 'Instrument Table'!$J:$J, 'Instrument Table'!$B:$B, $C2726), IF($B2727 = "Service Item", _xlfn.XLOOKUP($A2727, 'Instrument Table'!$I:$I, 'Instrument Table'!$B:$B, $C2726), _xlfn.XLOOKUP($A2727, 'Instrument Table'!$H:$H, 'Instrument Table'!$B:$B, $C2726)))</f>
        <v>Trombone</v>
      </c>
      <c r="D2727" s="1" t="str">
        <f>VLOOKUP($C2727, 'Instrument Table'!$B:$C, 2, FALSE)</f>
        <v>Brass</v>
      </c>
      <c r="E2727" s="1">
        <f t="shared" si="252"/>
        <v>1</v>
      </c>
      <c r="F2727" s="1">
        <f>_xlfn.XLOOKUP($C2727, 'Instrument Table'!$B:$B, 'Instrument Table'!$A:$A, "")</f>
        <v>42</v>
      </c>
      <c r="G2727" s="1" t="str">
        <f>TEXT(IF($B2727 = "Retail Item", IF((ROW($A2727) - 4504 - _xlfn.XMATCH($C2727, $C$4506:$C$5005, 0, 1)) &lt;= VLOOKUP($C2727, 'Instrument Table'!$B:$D, 3, FALSE), ROW($A2727) - 4504 - _xlfn.XMATCH($C2727, $C$4506:$C$5005, 0, 1), 0), 0), "00")</f>
        <v>00</v>
      </c>
      <c r="H2727" s="1" t="str">
        <f t="shared" si="253"/>
        <v>021</v>
      </c>
      <c r="I2727" s="1" t="str">
        <f t="shared" si="254"/>
        <v>14200-021</v>
      </c>
      <c r="J2727" s="1" t="str">
        <f t="shared" si="255"/>
        <v>Trombone production item #021</v>
      </c>
      <c r="K2727" s="1" t="str">
        <f>IF(SUM(COUNTIFS(I:I, I2727)) &gt; 1, "DUPLICATE", "UNIQUE")</f>
        <v>UNIQUE</v>
      </c>
      <c r="L2727" s="18">
        <v>32</v>
      </c>
      <c r="M2727" s="28">
        <v>66</v>
      </c>
      <c r="N2727" s="6">
        <v>1</v>
      </c>
      <c r="O2727" s="30">
        <f t="shared" si="256"/>
        <v>2112</v>
      </c>
      <c r="P2727" s="30">
        <f t="shared" si="257"/>
        <v>66</v>
      </c>
      <c r="Q2727" s="1">
        <f>COUNTIFS($P:$P, "&gt;" &amp; $P2727) + 1</f>
        <v>4547</v>
      </c>
      <c r="R2727" s="63">
        <f>(COUNTIFS($P:$P, "&gt;" &amp; $P2727) + 1) / (COUNTA($I:$I) - 1)</f>
        <v>0.90939999999999999</v>
      </c>
      <c r="S2727" s="23">
        <f>SUMIFS($P:$P, $Q:$Q, "&lt;" &amp; $Q2727)</f>
        <v>186540456</v>
      </c>
    </row>
    <row r="2728" spans="1:19" x14ac:dyDescent="0.25">
      <c r="A2728" s="1">
        <v>2723</v>
      </c>
      <c r="B2728" s="1" t="s">
        <v>2</v>
      </c>
      <c r="C2728" s="1" t="str">
        <f>IF($B2728 = "Production Item", _xlfn.XLOOKUP($A2728, 'Instrument Table'!$J:$J, 'Instrument Table'!$B:$B, $C2727), IF($B2728 = "Service Item", _xlfn.XLOOKUP($A2728, 'Instrument Table'!$I:$I, 'Instrument Table'!$B:$B, $C2727), _xlfn.XLOOKUP($A2728, 'Instrument Table'!$H:$H, 'Instrument Table'!$B:$B, $C2727)))</f>
        <v>Trombone</v>
      </c>
      <c r="D2728" s="1" t="str">
        <f>VLOOKUP($C2728, 'Instrument Table'!$B:$C, 2, FALSE)</f>
        <v>Brass</v>
      </c>
      <c r="E2728" s="1">
        <f t="shared" si="252"/>
        <v>1</v>
      </c>
      <c r="F2728" s="1">
        <f>_xlfn.XLOOKUP($C2728, 'Instrument Table'!$B:$B, 'Instrument Table'!$A:$A, "")</f>
        <v>42</v>
      </c>
      <c r="G2728" s="1" t="str">
        <f>TEXT(IF($B2728 = "Retail Item", IF((ROW($A2728) - 4504 - _xlfn.XMATCH($C2728, $C$4506:$C$5005, 0, 1)) &lt;= VLOOKUP($C2728, 'Instrument Table'!$B:$D, 3, FALSE), ROW($A2728) - 4504 - _xlfn.XMATCH($C2728, $C$4506:$C$5005, 0, 1), 0), 0), "00")</f>
        <v>00</v>
      </c>
      <c r="H2728" s="1" t="str">
        <f t="shared" si="253"/>
        <v>022</v>
      </c>
      <c r="I2728" s="1" t="str">
        <f t="shared" si="254"/>
        <v>14200-022</v>
      </c>
      <c r="J2728" s="1" t="str">
        <f t="shared" si="255"/>
        <v>Trombone production item #022</v>
      </c>
      <c r="K2728" s="1" t="str">
        <f>IF(SUM(COUNTIFS(I:I, I2728)) &gt; 1, "DUPLICATE", "UNIQUE")</f>
        <v>UNIQUE</v>
      </c>
      <c r="L2728" s="18">
        <v>1</v>
      </c>
      <c r="M2728" s="28">
        <v>77</v>
      </c>
      <c r="N2728" s="6">
        <v>4</v>
      </c>
      <c r="O2728" s="30">
        <f t="shared" si="256"/>
        <v>77</v>
      </c>
      <c r="P2728" s="30">
        <f t="shared" si="257"/>
        <v>308</v>
      </c>
      <c r="Q2728" s="1">
        <f>COUNTIFS($P:$P, "&gt;" &amp; $P2728) + 1</f>
        <v>4205</v>
      </c>
      <c r="R2728" s="63">
        <f>(COUNTIFS($P:$P, "&gt;" &amp; $P2728) + 1) / (COUNTA($I:$I) - 1)</f>
        <v>0.84099999999999997</v>
      </c>
      <c r="S2728" s="23">
        <f>SUMIFS($P:$P, $Q:$Q, "&lt;" &amp; $Q2728)</f>
        <v>186481971</v>
      </c>
    </row>
    <row r="2729" spans="1:19" x14ac:dyDescent="0.25">
      <c r="A2729" s="1">
        <v>2724</v>
      </c>
      <c r="B2729" s="1" t="s">
        <v>2</v>
      </c>
      <c r="C2729" s="1" t="str">
        <f>IF($B2729 = "Production Item", _xlfn.XLOOKUP($A2729, 'Instrument Table'!$J:$J, 'Instrument Table'!$B:$B, $C2728), IF($B2729 = "Service Item", _xlfn.XLOOKUP($A2729, 'Instrument Table'!$I:$I, 'Instrument Table'!$B:$B, $C2728), _xlfn.XLOOKUP($A2729, 'Instrument Table'!$H:$H, 'Instrument Table'!$B:$B, $C2728)))</f>
        <v>Trombone</v>
      </c>
      <c r="D2729" s="1" t="str">
        <f>VLOOKUP($C2729, 'Instrument Table'!$B:$C, 2, FALSE)</f>
        <v>Brass</v>
      </c>
      <c r="E2729" s="1">
        <f t="shared" si="252"/>
        <v>1</v>
      </c>
      <c r="F2729" s="1">
        <f>_xlfn.XLOOKUP($C2729, 'Instrument Table'!$B:$B, 'Instrument Table'!$A:$A, "")</f>
        <v>42</v>
      </c>
      <c r="G2729" s="1" t="str">
        <f>TEXT(IF($B2729 = "Retail Item", IF((ROW($A2729) - 4504 - _xlfn.XMATCH($C2729, $C$4506:$C$5005, 0, 1)) &lt;= VLOOKUP($C2729, 'Instrument Table'!$B:$D, 3, FALSE), ROW($A2729) - 4504 - _xlfn.XMATCH($C2729, $C$4506:$C$5005, 0, 1), 0), 0), "00")</f>
        <v>00</v>
      </c>
      <c r="H2729" s="1" t="str">
        <f t="shared" si="253"/>
        <v>023</v>
      </c>
      <c r="I2729" s="1" t="str">
        <f t="shared" si="254"/>
        <v>14200-023</v>
      </c>
      <c r="J2729" s="1" t="str">
        <f t="shared" si="255"/>
        <v>Trombone production item #023</v>
      </c>
      <c r="K2729" s="1" t="str">
        <f>IF(SUM(COUNTIFS(I:I, I2729)) &gt; 1, "DUPLICATE", "UNIQUE")</f>
        <v>UNIQUE</v>
      </c>
      <c r="L2729" s="18">
        <v>1</v>
      </c>
      <c r="M2729" s="28">
        <v>65</v>
      </c>
      <c r="N2729" s="6">
        <v>324</v>
      </c>
      <c r="O2729" s="30">
        <f t="shared" si="256"/>
        <v>65</v>
      </c>
      <c r="P2729" s="30">
        <f t="shared" si="257"/>
        <v>21060</v>
      </c>
      <c r="Q2729" s="1">
        <f>COUNTIFS($P:$P, "&gt;" &amp; $P2729) + 1</f>
        <v>1003</v>
      </c>
      <c r="R2729" s="63">
        <f>(COUNTIFS($P:$P, "&gt;" &amp; $P2729) + 1) / (COUNTA($I:$I) - 1)</f>
        <v>0.2006</v>
      </c>
      <c r="S2729" s="23">
        <f>SUMIFS($P:$P, $Q:$Q, "&lt;" &amp; $Q2729)</f>
        <v>166554236</v>
      </c>
    </row>
    <row r="2730" spans="1:19" x14ac:dyDescent="0.25">
      <c r="A2730" s="1">
        <v>2725</v>
      </c>
      <c r="B2730" s="1" t="s">
        <v>2</v>
      </c>
      <c r="C2730" s="1" t="str">
        <f>IF($B2730 = "Production Item", _xlfn.XLOOKUP($A2730, 'Instrument Table'!$J:$J, 'Instrument Table'!$B:$B, $C2729), IF($B2730 = "Service Item", _xlfn.XLOOKUP($A2730, 'Instrument Table'!$I:$I, 'Instrument Table'!$B:$B, $C2729), _xlfn.XLOOKUP($A2730, 'Instrument Table'!$H:$H, 'Instrument Table'!$B:$B, $C2729)))</f>
        <v>Trombone</v>
      </c>
      <c r="D2730" s="1" t="str">
        <f>VLOOKUP($C2730, 'Instrument Table'!$B:$C, 2, FALSE)</f>
        <v>Brass</v>
      </c>
      <c r="E2730" s="1">
        <f t="shared" si="252"/>
        <v>1</v>
      </c>
      <c r="F2730" s="1">
        <f>_xlfn.XLOOKUP($C2730, 'Instrument Table'!$B:$B, 'Instrument Table'!$A:$A, "")</f>
        <v>42</v>
      </c>
      <c r="G2730" s="1" t="str">
        <f>TEXT(IF($B2730 = "Retail Item", IF((ROW($A2730) - 4504 - _xlfn.XMATCH($C2730, $C$4506:$C$5005, 0, 1)) &lt;= VLOOKUP($C2730, 'Instrument Table'!$B:$D, 3, FALSE), ROW($A2730) - 4504 - _xlfn.XMATCH($C2730, $C$4506:$C$5005, 0, 1), 0), 0), "00")</f>
        <v>00</v>
      </c>
      <c r="H2730" s="1" t="str">
        <f t="shared" si="253"/>
        <v>024</v>
      </c>
      <c r="I2730" s="1" t="str">
        <f t="shared" si="254"/>
        <v>14200-024</v>
      </c>
      <c r="J2730" s="1" t="str">
        <f t="shared" si="255"/>
        <v>Trombone production item #024</v>
      </c>
      <c r="K2730" s="1" t="str">
        <f>IF(SUM(COUNTIFS(I:I, I2730)) &gt; 1, "DUPLICATE", "UNIQUE")</f>
        <v>UNIQUE</v>
      </c>
      <c r="L2730" s="18">
        <v>1</v>
      </c>
      <c r="M2730" s="28">
        <v>29</v>
      </c>
      <c r="N2730" s="6">
        <v>400</v>
      </c>
      <c r="O2730" s="30">
        <f t="shared" si="256"/>
        <v>29</v>
      </c>
      <c r="P2730" s="30">
        <f t="shared" si="257"/>
        <v>11600</v>
      </c>
      <c r="Q2730" s="1">
        <f>COUNTIFS($P:$P, "&gt;" &amp; $P2730) + 1</f>
        <v>1622</v>
      </c>
      <c r="R2730" s="63">
        <f>(COUNTIFS($P:$P, "&gt;" &amp; $P2730) + 1) / (COUNTA($I:$I) - 1)</f>
        <v>0.32440000000000002</v>
      </c>
      <c r="S2730" s="23">
        <f>SUMIFS($P:$P, $Q:$Q, "&lt;" &amp; $Q2730)</f>
        <v>176335567</v>
      </c>
    </row>
    <row r="2731" spans="1:19" x14ac:dyDescent="0.25">
      <c r="A2731" s="1">
        <v>2726</v>
      </c>
      <c r="B2731" s="1" t="s">
        <v>2</v>
      </c>
      <c r="C2731" s="1" t="str">
        <f>IF($B2731 = "Production Item", _xlfn.XLOOKUP($A2731, 'Instrument Table'!$J:$J, 'Instrument Table'!$B:$B, $C2730), IF($B2731 = "Service Item", _xlfn.XLOOKUP($A2731, 'Instrument Table'!$I:$I, 'Instrument Table'!$B:$B, $C2730), _xlfn.XLOOKUP($A2731, 'Instrument Table'!$H:$H, 'Instrument Table'!$B:$B, $C2730)))</f>
        <v>Trombone</v>
      </c>
      <c r="D2731" s="1" t="str">
        <f>VLOOKUP($C2731, 'Instrument Table'!$B:$C, 2, FALSE)</f>
        <v>Brass</v>
      </c>
      <c r="E2731" s="1">
        <f t="shared" si="252"/>
        <v>1</v>
      </c>
      <c r="F2731" s="1">
        <f>_xlfn.XLOOKUP($C2731, 'Instrument Table'!$B:$B, 'Instrument Table'!$A:$A, "")</f>
        <v>42</v>
      </c>
      <c r="G2731" s="1" t="str">
        <f>TEXT(IF($B2731 = "Retail Item", IF((ROW($A2731) - 4504 - _xlfn.XMATCH($C2731, $C$4506:$C$5005, 0, 1)) &lt;= VLOOKUP($C2731, 'Instrument Table'!$B:$D, 3, FALSE), ROW($A2731) - 4504 - _xlfn.XMATCH($C2731, $C$4506:$C$5005, 0, 1), 0), 0), "00")</f>
        <v>00</v>
      </c>
      <c r="H2731" s="1" t="str">
        <f t="shared" si="253"/>
        <v>025</v>
      </c>
      <c r="I2731" s="1" t="str">
        <f t="shared" si="254"/>
        <v>14200-025</v>
      </c>
      <c r="J2731" s="1" t="str">
        <f t="shared" si="255"/>
        <v>Trombone production item #025</v>
      </c>
      <c r="K2731" s="1" t="str">
        <f>IF(SUM(COUNTIFS(I:I, I2731)) &gt; 1, "DUPLICATE", "UNIQUE")</f>
        <v>UNIQUE</v>
      </c>
      <c r="L2731" s="18">
        <v>1</v>
      </c>
      <c r="M2731" s="28">
        <v>21</v>
      </c>
      <c r="N2731" s="6">
        <v>1</v>
      </c>
      <c r="O2731" s="30">
        <f t="shared" si="256"/>
        <v>21</v>
      </c>
      <c r="P2731" s="30">
        <f t="shared" si="257"/>
        <v>21</v>
      </c>
      <c r="Q2731" s="1">
        <f>COUNTIFS($P:$P, "&gt;" &amp; $P2731) + 1</f>
        <v>4686</v>
      </c>
      <c r="R2731" s="63">
        <f>(COUNTIFS($P:$P, "&gt;" &amp; $P2731) + 1) / (COUNTA($I:$I) - 1)</f>
        <v>0.93720000000000003</v>
      </c>
      <c r="S2731" s="23">
        <f>SUMIFS($P:$P, $Q:$Q, "&lt;" &amp; $Q2731)</f>
        <v>186547115</v>
      </c>
    </row>
    <row r="2732" spans="1:19" x14ac:dyDescent="0.25">
      <c r="A2732" s="1">
        <v>2727</v>
      </c>
      <c r="B2732" s="1" t="s">
        <v>2</v>
      </c>
      <c r="C2732" s="1" t="str">
        <f>IF($B2732 = "Production Item", _xlfn.XLOOKUP($A2732, 'Instrument Table'!$J:$J, 'Instrument Table'!$B:$B, $C2731), IF($B2732 = "Service Item", _xlfn.XLOOKUP($A2732, 'Instrument Table'!$I:$I, 'Instrument Table'!$B:$B, $C2731), _xlfn.XLOOKUP($A2732, 'Instrument Table'!$H:$H, 'Instrument Table'!$B:$B, $C2731)))</f>
        <v>Trombone</v>
      </c>
      <c r="D2732" s="1" t="str">
        <f>VLOOKUP($C2732, 'Instrument Table'!$B:$C, 2, FALSE)</f>
        <v>Brass</v>
      </c>
      <c r="E2732" s="1">
        <f t="shared" si="252"/>
        <v>1</v>
      </c>
      <c r="F2732" s="1">
        <f>_xlfn.XLOOKUP($C2732, 'Instrument Table'!$B:$B, 'Instrument Table'!$A:$A, "")</f>
        <v>42</v>
      </c>
      <c r="G2732" s="1" t="str">
        <f>TEXT(IF($B2732 = "Retail Item", IF((ROW($A2732) - 4504 - _xlfn.XMATCH($C2732, $C$4506:$C$5005, 0, 1)) &lt;= VLOOKUP($C2732, 'Instrument Table'!$B:$D, 3, FALSE), ROW($A2732) - 4504 - _xlfn.XMATCH($C2732, $C$4506:$C$5005, 0, 1), 0), 0), "00")</f>
        <v>00</v>
      </c>
      <c r="H2732" s="1" t="str">
        <f t="shared" si="253"/>
        <v>026</v>
      </c>
      <c r="I2732" s="1" t="str">
        <f t="shared" si="254"/>
        <v>14200-026</v>
      </c>
      <c r="J2732" s="1" t="str">
        <f t="shared" si="255"/>
        <v>Trombone production item #026</v>
      </c>
      <c r="K2732" s="1" t="str">
        <f>IF(SUM(COUNTIFS(I:I, I2732)) &gt; 1, "DUPLICATE", "UNIQUE")</f>
        <v>UNIQUE</v>
      </c>
      <c r="L2732" s="18">
        <v>0</v>
      </c>
      <c r="M2732" s="28">
        <v>39</v>
      </c>
      <c r="N2732" s="6">
        <v>64</v>
      </c>
      <c r="O2732" s="30">
        <f t="shared" si="256"/>
        <v>0</v>
      </c>
      <c r="P2732" s="30">
        <f t="shared" si="257"/>
        <v>2496</v>
      </c>
      <c r="Q2732" s="1">
        <f>COUNTIFS($P:$P, "&gt;" &amp; $P2732) + 1</f>
        <v>3053</v>
      </c>
      <c r="R2732" s="63">
        <f>(COUNTIFS($P:$P, "&gt;" &amp; $P2732) + 1) / (COUNTA($I:$I) - 1)</f>
        <v>0.61060000000000003</v>
      </c>
      <c r="S2732" s="23">
        <f>SUMIFS($P:$P, $Q:$Q, "&lt;" &amp; $Q2732)</f>
        <v>185068046</v>
      </c>
    </row>
    <row r="2733" spans="1:19" x14ac:dyDescent="0.25">
      <c r="A2733" s="1">
        <v>2728</v>
      </c>
      <c r="B2733" s="1" t="s">
        <v>2</v>
      </c>
      <c r="C2733" s="1" t="str">
        <f>IF($B2733 = "Production Item", _xlfn.XLOOKUP($A2733, 'Instrument Table'!$J:$J, 'Instrument Table'!$B:$B, $C2732), IF($B2733 = "Service Item", _xlfn.XLOOKUP($A2733, 'Instrument Table'!$I:$I, 'Instrument Table'!$B:$B, $C2732), _xlfn.XLOOKUP($A2733, 'Instrument Table'!$H:$H, 'Instrument Table'!$B:$B, $C2732)))</f>
        <v>Trombone</v>
      </c>
      <c r="D2733" s="1" t="str">
        <f>VLOOKUP($C2733, 'Instrument Table'!$B:$C, 2, FALSE)</f>
        <v>Brass</v>
      </c>
      <c r="E2733" s="1">
        <f t="shared" si="252"/>
        <v>1</v>
      </c>
      <c r="F2733" s="1">
        <f>_xlfn.XLOOKUP($C2733, 'Instrument Table'!$B:$B, 'Instrument Table'!$A:$A, "")</f>
        <v>42</v>
      </c>
      <c r="G2733" s="1" t="str">
        <f>TEXT(IF($B2733 = "Retail Item", IF((ROW($A2733) - 4504 - _xlfn.XMATCH($C2733, $C$4506:$C$5005, 0, 1)) &lt;= VLOOKUP($C2733, 'Instrument Table'!$B:$D, 3, FALSE), ROW($A2733) - 4504 - _xlfn.XMATCH($C2733, $C$4506:$C$5005, 0, 1), 0), 0), "00")</f>
        <v>00</v>
      </c>
      <c r="H2733" s="1" t="str">
        <f t="shared" si="253"/>
        <v>027</v>
      </c>
      <c r="I2733" s="1" t="str">
        <f t="shared" si="254"/>
        <v>14200-027</v>
      </c>
      <c r="J2733" s="1" t="str">
        <f t="shared" si="255"/>
        <v>Trombone production item #027</v>
      </c>
      <c r="K2733" s="1" t="str">
        <f>IF(SUM(COUNTIFS(I:I, I2733)) &gt; 1, "DUPLICATE", "UNIQUE")</f>
        <v>UNIQUE</v>
      </c>
      <c r="L2733" s="18">
        <v>0</v>
      </c>
      <c r="M2733" s="28">
        <v>19</v>
      </c>
      <c r="N2733" s="6">
        <v>4</v>
      </c>
      <c r="O2733" s="30">
        <f t="shared" si="256"/>
        <v>0</v>
      </c>
      <c r="P2733" s="30">
        <f t="shared" si="257"/>
        <v>76</v>
      </c>
      <c r="Q2733" s="1">
        <f>COUNTIFS($P:$P, "&gt;" &amp; $P2733) + 1</f>
        <v>4523</v>
      </c>
      <c r="R2733" s="63">
        <f>(COUNTIFS($P:$P, "&gt;" &amp; $P2733) + 1) / (COUNTA($I:$I) - 1)</f>
        <v>0.90459999999999996</v>
      </c>
      <c r="S2733" s="23">
        <f>SUMIFS($P:$P, $Q:$Q, "&lt;" &amp; $Q2733)</f>
        <v>186538712</v>
      </c>
    </row>
    <row r="2734" spans="1:19" x14ac:dyDescent="0.25">
      <c r="A2734" s="1">
        <v>2729</v>
      </c>
      <c r="B2734" s="1" t="s">
        <v>2</v>
      </c>
      <c r="C2734" s="1" t="str">
        <f>IF($B2734 = "Production Item", _xlfn.XLOOKUP($A2734, 'Instrument Table'!$J:$J, 'Instrument Table'!$B:$B, $C2733), IF($B2734 = "Service Item", _xlfn.XLOOKUP($A2734, 'Instrument Table'!$I:$I, 'Instrument Table'!$B:$B, $C2733), _xlfn.XLOOKUP($A2734, 'Instrument Table'!$H:$H, 'Instrument Table'!$B:$B, $C2733)))</f>
        <v>Trombone</v>
      </c>
      <c r="D2734" s="1" t="str">
        <f>VLOOKUP($C2734, 'Instrument Table'!$B:$C, 2, FALSE)</f>
        <v>Brass</v>
      </c>
      <c r="E2734" s="1">
        <f t="shared" si="252"/>
        <v>1</v>
      </c>
      <c r="F2734" s="1">
        <f>_xlfn.XLOOKUP($C2734, 'Instrument Table'!$B:$B, 'Instrument Table'!$A:$A, "")</f>
        <v>42</v>
      </c>
      <c r="G2734" s="1" t="str">
        <f>TEXT(IF($B2734 = "Retail Item", IF((ROW($A2734) - 4504 - _xlfn.XMATCH($C2734, $C$4506:$C$5005, 0, 1)) &lt;= VLOOKUP($C2734, 'Instrument Table'!$B:$D, 3, FALSE), ROW($A2734) - 4504 - _xlfn.XMATCH($C2734, $C$4506:$C$5005, 0, 1), 0), 0), "00")</f>
        <v>00</v>
      </c>
      <c r="H2734" s="1" t="str">
        <f t="shared" si="253"/>
        <v>028</v>
      </c>
      <c r="I2734" s="1" t="str">
        <f t="shared" si="254"/>
        <v>14200-028</v>
      </c>
      <c r="J2734" s="1" t="str">
        <f t="shared" si="255"/>
        <v>Trombone production item #028</v>
      </c>
      <c r="K2734" s="1" t="str">
        <f>IF(SUM(COUNTIFS(I:I, I2734)) &gt; 1, "DUPLICATE", "UNIQUE")</f>
        <v>UNIQUE</v>
      </c>
      <c r="L2734" s="18">
        <v>1</v>
      </c>
      <c r="M2734" s="28">
        <v>92</v>
      </c>
      <c r="N2734" s="6">
        <v>324</v>
      </c>
      <c r="O2734" s="30">
        <f t="shared" si="256"/>
        <v>92</v>
      </c>
      <c r="P2734" s="30">
        <f t="shared" si="257"/>
        <v>29808</v>
      </c>
      <c r="Q2734" s="1">
        <f>COUNTIFS($P:$P, "&gt;" &amp; $P2734) + 1</f>
        <v>694</v>
      </c>
      <c r="R2734" s="63">
        <f>(COUNTIFS($P:$P, "&gt;" &amp; $P2734) + 1) / (COUNTA($I:$I) - 1)</f>
        <v>0.13880000000000001</v>
      </c>
      <c r="S2734" s="23">
        <f>SUMIFS($P:$P, $Q:$Q, "&lt;" &amp; $Q2734)</f>
        <v>158908468</v>
      </c>
    </row>
    <row r="2735" spans="1:19" x14ac:dyDescent="0.25">
      <c r="A2735" s="1">
        <v>2730</v>
      </c>
      <c r="B2735" s="1" t="s">
        <v>2</v>
      </c>
      <c r="C2735" s="1" t="str">
        <f>IF($B2735 = "Production Item", _xlfn.XLOOKUP($A2735, 'Instrument Table'!$J:$J, 'Instrument Table'!$B:$B, $C2734), IF($B2735 = "Service Item", _xlfn.XLOOKUP($A2735, 'Instrument Table'!$I:$I, 'Instrument Table'!$B:$B, $C2734), _xlfn.XLOOKUP($A2735, 'Instrument Table'!$H:$H, 'Instrument Table'!$B:$B, $C2734)))</f>
        <v>Trombone</v>
      </c>
      <c r="D2735" s="1" t="str">
        <f>VLOOKUP($C2735, 'Instrument Table'!$B:$C, 2, FALSE)</f>
        <v>Brass</v>
      </c>
      <c r="E2735" s="1">
        <f t="shared" si="252"/>
        <v>1</v>
      </c>
      <c r="F2735" s="1">
        <f>_xlfn.XLOOKUP($C2735, 'Instrument Table'!$B:$B, 'Instrument Table'!$A:$A, "")</f>
        <v>42</v>
      </c>
      <c r="G2735" s="1" t="str">
        <f>TEXT(IF($B2735 = "Retail Item", IF((ROW($A2735) - 4504 - _xlfn.XMATCH($C2735, $C$4506:$C$5005, 0, 1)) &lt;= VLOOKUP($C2735, 'Instrument Table'!$B:$D, 3, FALSE), ROW($A2735) - 4504 - _xlfn.XMATCH($C2735, $C$4506:$C$5005, 0, 1), 0), 0), "00")</f>
        <v>00</v>
      </c>
      <c r="H2735" s="1" t="str">
        <f t="shared" si="253"/>
        <v>029</v>
      </c>
      <c r="I2735" s="1" t="str">
        <f t="shared" si="254"/>
        <v>14200-029</v>
      </c>
      <c r="J2735" s="1" t="str">
        <f t="shared" si="255"/>
        <v>Trombone production item #029</v>
      </c>
      <c r="K2735" s="1" t="str">
        <f>IF(SUM(COUNTIFS(I:I, I2735)) &gt; 1, "DUPLICATE", "UNIQUE")</f>
        <v>UNIQUE</v>
      </c>
      <c r="L2735" s="18">
        <v>0</v>
      </c>
      <c r="M2735" s="28">
        <v>22</v>
      </c>
      <c r="N2735" s="6">
        <v>225</v>
      </c>
      <c r="O2735" s="30">
        <f t="shared" si="256"/>
        <v>0</v>
      </c>
      <c r="P2735" s="30">
        <f t="shared" si="257"/>
        <v>4950</v>
      </c>
      <c r="Q2735" s="1">
        <f>COUNTIFS($P:$P, "&gt;" &amp; $P2735) + 1</f>
        <v>2452</v>
      </c>
      <c r="R2735" s="63">
        <f>(COUNTIFS($P:$P, "&gt;" &amp; $P2735) + 1) / (COUNTA($I:$I) - 1)</f>
        <v>0.4904</v>
      </c>
      <c r="S2735" s="23">
        <f>SUMIFS($P:$P, $Q:$Q, "&lt;" &amp; $Q2735)</f>
        <v>182882449</v>
      </c>
    </row>
    <row r="2736" spans="1:19" x14ac:dyDescent="0.25">
      <c r="A2736" s="1">
        <v>2731</v>
      </c>
      <c r="B2736" s="1" t="s">
        <v>2</v>
      </c>
      <c r="C2736" s="1" t="str">
        <f>IF($B2736 = "Production Item", _xlfn.XLOOKUP($A2736, 'Instrument Table'!$J:$J, 'Instrument Table'!$B:$B, $C2735), IF($B2736 = "Service Item", _xlfn.XLOOKUP($A2736, 'Instrument Table'!$I:$I, 'Instrument Table'!$B:$B, $C2735), _xlfn.XLOOKUP($A2736, 'Instrument Table'!$H:$H, 'Instrument Table'!$B:$B, $C2735)))</f>
        <v>Trombone</v>
      </c>
      <c r="D2736" s="1" t="str">
        <f>VLOOKUP($C2736, 'Instrument Table'!$B:$C, 2, FALSE)</f>
        <v>Brass</v>
      </c>
      <c r="E2736" s="1">
        <f t="shared" si="252"/>
        <v>1</v>
      </c>
      <c r="F2736" s="1">
        <f>_xlfn.XLOOKUP($C2736, 'Instrument Table'!$B:$B, 'Instrument Table'!$A:$A, "")</f>
        <v>42</v>
      </c>
      <c r="G2736" s="1" t="str">
        <f>TEXT(IF($B2736 = "Retail Item", IF((ROW($A2736) - 4504 - _xlfn.XMATCH($C2736, $C$4506:$C$5005, 0, 1)) &lt;= VLOOKUP($C2736, 'Instrument Table'!$B:$D, 3, FALSE), ROW($A2736) - 4504 - _xlfn.XMATCH($C2736, $C$4506:$C$5005, 0, 1), 0), 0), "00")</f>
        <v>00</v>
      </c>
      <c r="H2736" s="1" t="str">
        <f t="shared" si="253"/>
        <v>030</v>
      </c>
      <c r="I2736" s="1" t="str">
        <f t="shared" si="254"/>
        <v>14200-030</v>
      </c>
      <c r="J2736" s="1" t="str">
        <f t="shared" si="255"/>
        <v>Trombone production item #030</v>
      </c>
      <c r="K2736" s="1" t="str">
        <f>IF(SUM(COUNTIFS(I:I, I2736)) &gt; 1, "DUPLICATE", "UNIQUE")</f>
        <v>UNIQUE</v>
      </c>
      <c r="L2736" s="18">
        <v>0</v>
      </c>
      <c r="M2736" s="28">
        <v>5</v>
      </c>
      <c r="N2736" s="6">
        <v>64</v>
      </c>
      <c r="O2736" s="30">
        <f t="shared" si="256"/>
        <v>0</v>
      </c>
      <c r="P2736" s="30">
        <f t="shared" si="257"/>
        <v>320</v>
      </c>
      <c r="Q2736" s="1">
        <f>COUNTIFS($P:$P, "&gt;" &amp; $P2736) + 1</f>
        <v>4192</v>
      </c>
      <c r="R2736" s="63">
        <f>(COUNTIFS($P:$P, "&gt;" &amp; $P2736) + 1) / (COUNTA($I:$I) - 1)</f>
        <v>0.83840000000000003</v>
      </c>
      <c r="S2736" s="23">
        <f>SUMIFS($P:$P, $Q:$Q, "&lt;" &amp; $Q2736)</f>
        <v>186477838</v>
      </c>
    </row>
    <row r="2737" spans="1:19" x14ac:dyDescent="0.25">
      <c r="A2737" s="1">
        <v>2732</v>
      </c>
      <c r="B2737" s="1" t="s">
        <v>2</v>
      </c>
      <c r="C2737" s="1" t="str">
        <f>IF($B2737 = "Production Item", _xlfn.XLOOKUP($A2737, 'Instrument Table'!$J:$J, 'Instrument Table'!$B:$B, $C2736), IF($B2737 = "Service Item", _xlfn.XLOOKUP($A2737, 'Instrument Table'!$I:$I, 'Instrument Table'!$B:$B, $C2736), _xlfn.XLOOKUP($A2737, 'Instrument Table'!$H:$H, 'Instrument Table'!$B:$B, $C2736)))</f>
        <v>Trombone</v>
      </c>
      <c r="D2737" s="1" t="str">
        <f>VLOOKUP($C2737, 'Instrument Table'!$B:$C, 2, FALSE)</f>
        <v>Brass</v>
      </c>
      <c r="E2737" s="1">
        <f t="shared" si="252"/>
        <v>1</v>
      </c>
      <c r="F2737" s="1">
        <f>_xlfn.XLOOKUP($C2737, 'Instrument Table'!$B:$B, 'Instrument Table'!$A:$A, "")</f>
        <v>42</v>
      </c>
      <c r="G2737" s="1" t="str">
        <f>TEXT(IF($B2737 = "Retail Item", IF((ROW($A2737) - 4504 - _xlfn.XMATCH($C2737, $C$4506:$C$5005, 0, 1)) &lt;= VLOOKUP($C2737, 'Instrument Table'!$B:$D, 3, FALSE), ROW($A2737) - 4504 - _xlfn.XMATCH($C2737, $C$4506:$C$5005, 0, 1), 0), 0), "00")</f>
        <v>00</v>
      </c>
      <c r="H2737" s="1" t="str">
        <f t="shared" si="253"/>
        <v>031</v>
      </c>
      <c r="I2737" s="1" t="str">
        <f t="shared" si="254"/>
        <v>14200-031</v>
      </c>
      <c r="J2737" s="1" t="str">
        <f t="shared" si="255"/>
        <v>Trombone production item #031</v>
      </c>
      <c r="K2737" s="1" t="str">
        <f>IF(SUM(COUNTIFS(I:I, I2737)) &gt; 1, "DUPLICATE", "UNIQUE")</f>
        <v>UNIQUE</v>
      </c>
      <c r="L2737" s="18">
        <v>16</v>
      </c>
      <c r="M2737" s="28">
        <v>12</v>
      </c>
      <c r="N2737" s="6">
        <v>169</v>
      </c>
      <c r="O2737" s="30">
        <f t="shared" si="256"/>
        <v>192</v>
      </c>
      <c r="P2737" s="30">
        <f t="shared" si="257"/>
        <v>2028</v>
      </c>
      <c r="Q2737" s="1">
        <f>COUNTIFS($P:$P, "&gt;" &amp; $P2737) + 1</f>
        <v>3240</v>
      </c>
      <c r="R2737" s="63">
        <f>(COUNTIFS($P:$P, "&gt;" &amp; $P2737) + 1) / (COUNTA($I:$I) - 1)</f>
        <v>0.64800000000000002</v>
      </c>
      <c r="S2737" s="23">
        <f>SUMIFS($P:$P, $Q:$Q, "&lt;" &amp; $Q2737)</f>
        <v>185490835</v>
      </c>
    </row>
    <row r="2738" spans="1:19" x14ac:dyDescent="0.25">
      <c r="A2738" s="1">
        <v>2733</v>
      </c>
      <c r="B2738" s="1" t="s">
        <v>2</v>
      </c>
      <c r="C2738" s="1" t="str">
        <f>IF($B2738 = "Production Item", _xlfn.XLOOKUP($A2738, 'Instrument Table'!$J:$J, 'Instrument Table'!$B:$B, $C2737), IF($B2738 = "Service Item", _xlfn.XLOOKUP($A2738, 'Instrument Table'!$I:$I, 'Instrument Table'!$B:$B, $C2737), _xlfn.XLOOKUP($A2738, 'Instrument Table'!$H:$H, 'Instrument Table'!$B:$B, $C2737)))</f>
        <v>Trombone</v>
      </c>
      <c r="D2738" s="1" t="str">
        <f>VLOOKUP($C2738, 'Instrument Table'!$B:$C, 2, FALSE)</f>
        <v>Brass</v>
      </c>
      <c r="E2738" s="1">
        <f t="shared" si="252"/>
        <v>1</v>
      </c>
      <c r="F2738" s="1">
        <f>_xlfn.XLOOKUP($C2738, 'Instrument Table'!$B:$B, 'Instrument Table'!$A:$A, "")</f>
        <v>42</v>
      </c>
      <c r="G2738" s="1" t="str">
        <f>TEXT(IF($B2738 = "Retail Item", IF((ROW($A2738) - 4504 - _xlfn.XMATCH($C2738, $C$4506:$C$5005, 0, 1)) &lt;= VLOOKUP($C2738, 'Instrument Table'!$B:$D, 3, FALSE), ROW($A2738) - 4504 - _xlfn.XMATCH($C2738, $C$4506:$C$5005, 0, 1), 0), 0), "00")</f>
        <v>00</v>
      </c>
      <c r="H2738" s="1" t="str">
        <f t="shared" si="253"/>
        <v>032</v>
      </c>
      <c r="I2738" s="1" t="str">
        <f t="shared" si="254"/>
        <v>14200-032</v>
      </c>
      <c r="J2738" s="1" t="str">
        <f t="shared" si="255"/>
        <v>Trombone production item #032</v>
      </c>
      <c r="K2738" s="1" t="str">
        <f>IF(SUM(COUNTIFS(I:I, I2738)) &gt; 1, "DUPLICATE", "UNIQUE")</f>
        <v>UNIQUE</v>
      </c>
      <c r="L2738" s="18">
        <v>0</v>
      </c>
      <c r="M2738" s="28">
        <v>2</v>
      </c>
      <c r="N2738" s="6">
        <v>81</v>
      </c>
      <c r="O2738" s="30">
        <f t="shared" si="256"/>
        <v>0</v>
      </c>
      <c r="P2738" s="30">
        <f t="shared" si="257"/>
        <v>162</v>
      </c>
      <c r="Q2738" s="1">
        <f>COUNTIFS($P:$P, "&gt;" &amp; $P2738) + 1</f>
        <v>4383</v>
      </c>
      <c r="R2738" s="63">
        <f>(COUNTIFS($P:$P, "&gt;" &amp; $P2738) + 1) / (COUNTA($I:$I) - 1)</f>
        <v>0.87660000000000005</v>
      </c>
      <c r="S2738" s="23">
        <f>SUMIFS($P:$P, $Q:$Q, "&lt;" &amp; $Q2738)</f>
        <v>186523354</v>
      </c>
    </row>
    <row r="2739" spans="1:19" x14ac:dyDescent="0.25">
      <c r="A2739" s="1">
        <v>2734</v>
      </c>
      <c r="B2739" s="1" t="s">
        <v>2</v>
      </c>
      <c r="C2739" s="1" t="str">
        <f>IF($B2739 = "Production Item", _xlfn.XLOOKUP($A2739, 'Instrument Table'!$J:$J, 'Instrument Table'!$B:$B, $C2738), IF($B2739 = "Service Item", _xlfn.XLOOKUP($A2739, 'Instrument Table'!$I:$I, 'Instrument Table'!$B:$B, $C2738), _xlfn.XLOOKUP($A2739, 'Instrument Table'!$H:$H, 'Instrument Table'!$B:$B, $C2738)))</f>
        <v>Trombone</v>
      </c>
      <c r="D2739" s="1" t="str">
        <f>VLOOKUP($C2739, 'Instrument Table'!$B:$C, 2, FALSE)</f>
        <v>Brass</v>
      </c>
      <c r="E2739" s="1">
        <f t="shared" si="252"/>
        <v>1</v>
      </c>
      <c r="F2739" s="1">
        <f>_xlfn.XLOOKUP($C2739, 'Instrument Table'!$B:$B, 'Instrument Table'!$A:$A, "")</f>
        <v>42</v>
      </c>
      <c r="G2739" s="1" t="str">
        <f>TEXT(IF($B2739 = "Retail Item", IF((ROW($A2739) - 4504 - _xlfn.XMATCH($C2739, $C$4506:$C$5005, 0, 1)) &lt;= VLOOKUP($C2739, 'Instrument Table'!$B:$D, 3, FALSE), ROW($A2739) - 4504 - _xlfn.XMATCH($C2739, $C$4506:$C$5005, 0, 1), 0), 0), "00")</f>
        <v>00</v>
      </c>
      <c r="H2739" s="1" t="str">
        <f t="shared" si="253"/>
        <v>033</v>
      </c>
      <c r="I2739" s="1" t="str">
        <f t="shared" si="254"/>
        <v>14200-033</v>
      </c>
      <c r="J2739" s="1" t="str">
        <f t="shared" si="255"/>
        <v>Trombone production item #033</v>
      </c>
      <c r="K2739" s="1" t="str">
        <f>IF(SUM(COUNTIFS(I:I, I2739)) &gt; 1, "DUPLICATE", "UNIQUE")</f>
        <v>UNIQUE</v>
      </c>
      <c r="L2739" s="18">
        <v>1</v>
      </c>
      <c r="M2739" s="28">
        <v>78</v>
      </c>
      <c r="N2739" s="6">
        <v>81</v>
      </c>
      <c r="O2739" s="30">
        <f t="shared" si="256"/>
        <v>78</v>
      </c>
      <c r="P2739" s="30">
        <f t="shared" si="257"/>
        <v>6318</v>
      </c>
      <c r="Q2739" s="1">
        <f>COUNTIFS($P:$P, "&gt;" &amp; $P2739) + 1</f>
        <v>2225</v>
      </c>
      <c r="R2739" s="63">
        <f>(COUNTIFS($P:$P, "&gt;" &amp; $P2739) + 1) / (COUNTA($I:$I) - 1)</f>
        <v>0.44500000000000001</v>
      </c>
      <c r="S2739" s="23">
        <f>SUMIFS($P:$P, $Q:$Q, "&lt;" &amp; $Q2739)</f>
        <v>181612756</v>
      </c>
    </row>
    <row r="2740" spans="1:19" x14ac:dyDescent="0.25">
      <c r="A2740" s="1">
        <v>2735</v>
      </c>
      <c r="B2740" s="1" t="s">
        <v>2</v>
      </c>
      <c r="C2740" s="1" t="str">
        <f>IF($B2740 = "Production Item", _xlfn.XLOOKUP($A2740, 'Instrument Table'!$J:$J, 'Instrument Table'!$B:$B, $C2739), IF($B2740 = "Service Item", _xlfn.XLOOKUP($A2740, 'Instrument Table'!$I:$I, 'Instrument Table'!$B:$B, $C2739), _xlfn.XLOOKUP($A2740, 'Instrument Table'!$H:$H, 'Instrument Table'!$B:$B, $C2739)))</f>
        <v>Trombone</v>
      </c>
      <c r="D2740" s="1" t="str">
        <f>VLOOKUP($C2740, 'Instrument Table'!$B:$C, 2, FALSE)</f>
        <v>Brass</v>
      </c>
      <c r="E2740" s="1">
        <f t="shared" si="252"/>
        <v>1</v>
      </c>
      <c r="F2740" s="1">
        <f>_xlfn.XLOOKUP($C2740, 'Instrument Table'!$B:$B, 'Instrument Table'!$A:$A, "")</f>
        <v>42</v>
      </c>
      <c r="G2740" s="1" t="str">
        <f>TEXT(IF($B2740 = "Retail Item", IF((ROW($A2740) - 4504 - _xlfn.XMATCH($C2740, $C$4506:$C$5005, 0, 1)) &lt;= VLOOKUP($C2740, 'Instrument Table'!$B:$D, 3, FALSE), ROW($A2740) - 4504 - _xlfn.XMATCH($C2740, $C$4506:$C$5005, 0, 1), 0), 0), "00")</f>
        <v>00</v>
      </c>
      <c r="H2740" s="1" t="str">
        <f t="shared" si="253"/>
        <v>034</v>
      </c>
      <c r="I2740" s="1" t="str">
        <f t="shared" si="254"/>
        <v>14200-034</v>
      </c>
      <c r="J2740" s="1" t="str">
        <f t="shared" si="255"/>
        <v>Trombone production item #034</v>
      </c>
      <c r="K2740" s="1" t="str">
        <f>IF(SUM(COUNTIFS(I:I, I2740)) &gt; 1, "DUPLICATE", "UNIQUE")</f>
        <v>UNIQUE</v>
      </c>
      <c r="L2740" s="18">
        <v>1</v>
      </c>
      <c r="M2740" s="28">
        <v>62</v>
      </c>
      <c r="N2740" s="6">
        <v>4</v>
      </c>
      <c r="O2740" s="30">
        <f t="shared" si="256"/>
        <v>62</v>
      </c>
      <c r="P2740" s="30">
        <f t="shared" si="257"/>
        <v>248</v>
      </c>
      <c r="Q2740" s="1">
        <f>COUNTIFS($P:$P, "&gt;" &amp; $P2740) + 1</f>
        <v>4277</v>
      </c>
      <c r="R2740" s="63">
        <f>(COUNTIFS($P:$P, "&gt;" &amp; $P2740) + 1) / (COUNTA($I:$I) - 1)</f>
        <v>0.85540000000000005</v>
      </c>
      <c r="S2740" s="23">
        <f>SUMIFS($P:$P, $Q:$Q, "&lt;" &amp; $Q2740)</f>
        <v>186502027</v>
      </c>
    </row>
    <row r="2741" spans="1:19" x14ac:dyDescent="0.25">
      <c r="A2741" s="1">
        <v>2736</v>
      </c>
      <c r="B2741" s="1" t="s">
        <v>2</v>
      </c>
      <c r="C2741" s="1" t="str">
        <f>IF($B2741 = "Production Item", _xlfn.XLOOKUP($A2741, 'Instrument Table'!$J:$J, 'Instrument Table'!$B:$B, $C2740), IF($B2741 = "Service Item", _xlfn.XLOOKUP($A2741, 'Instrument Table'!$I:$I, 'Instrument Table'!$B:$B, $C2740), _xlfn.XLOOKUP($A2741, 'Instrument Table'!$H:$H, 'Instrument Table'!$B:$B, $C2740)))</f>
        <v>Trombone</v>
      </c>
      <c r="D2741" s="1" t="str">
        <f>VLOOKUP($C2741, 'Instrument Table'!$B:$C, 2, FALSE)</f>
        <v>Brass</v>
      </c>
      <c r="E2741" s="1">
        <f t="shared" si="252"/>
        <v>1</v>
      </c>
      <c r="F2741" s="1">
        <f>_xlfn.XLOOKUP($C2741, 'Instrument Table'!$B:$B, 'Instrument Table'!$A:$A, "")</f>
        <v>42</v>
      </c>
      <c r="G2741" s="1" t="str">
        <f>TEXT(IF($B2741 = "Retail Item", IF((ROW($A2741) - 4504 - _xlfn.XMATCH($C2741, $C$4506:$C$5005, 0, 1)) &lt;= VLOOKUP($C2741, 'Instrument Table'!$B:$D, 3, FALSE), ROW($A2741) - 4504 - _xlfn.XMATCH($C2741, $C$4506:$C$5005, 0, 1), 0), 0), "00")</f>
        <v>00</v>
      </c>
      <c r="H2741" s="1" t="str">
        <f t="shared" si="253"/>
        <v>035</v>
      </c>
      <c r="I2741" s="1" t="str">
        <f t="shared" si="254"/>
        <v>14200-035</v>
      </c>
      <c r="J2741" s="1" t="str">
        <f t="shared" si="255"/>
        <v>Trombone production item #035</v>
      </c>
      <c r="K2741" s="1" t="str">
        <f>IF(SUM(COUNTIFS(I:I, I2741)) &gt; 1, "DUPLICATE", "UNIQUE")</f>
        <v>UNIQUE</v>
      </c>
      <c r="L2741" s="18">
        <v>1</v>
      </c>
      <c r="M2741" s="28">
        <v>3</v>
      </c>
      <c r="N2741" s="6">
        <v>256</v>
      </c>
      <c r="O2741" s="30">
        <f t="shared" si="256"/>
        <v>3</v>
      </c>
      <c r="P2741" s="30">
        <f t="shared" si="257"/>
        <v>768</v>
      </c>
      <c r="Q2741" s="1">
        <f>COUNTIFS($P:$P, "&gt;" &amp; $P2741) + 1</f>
        <v>3810</v>
      </c>
      <c r="R2741" s="63">
        <f>(COUNTIFS($P:$P, "&gt;" &amp; $P2741) + 1) / (COUNTA($I:$I) - 1)</f>
        <v>0.76200000000000001</v>
      </c>
      <c r="S2741" s="23">
        <f>SUMIFS($P:$P, $Q:$Q, "&lt;" &amp; $Q2741)</f>
        <v>186273454</v>
      </c>
    </row>
    <row r="2742" spans="1:19" x14ac:dyDescent="0.25">
      <c r="A2742" s="1">
        <v>2737</v>
      </c>
      <c r="B2742" s="1" t="s">
        <v>2</v>
      </c>
      <c r="C2742" s="1" t="str">
        <f>IF($B2742 = "Production Item", _xlfn.XLOOKUP($A2742, 'Instrument Table'!$J:$J, 'Instrument Table'!$B:$B, $C2741), IF($B2742 = "Service Item", _xlfn.XLOOKUP($A2742, 'Instrument Table'!$I:$I, 'Instrument Table'!$B:$B, $C2741), _xlfn.XLOOKUP($A2742, 'Instrument Table'!$H:$H, 'Instrument Table'!$B:$B, $C2741)))</f>
        <v>Trombone</v>
      </c>
      <c r="D2742" s="1" t="str">
        <f>VLOOKUP($C2742, 'Instrument Table'!$B:$C, 2, FALSE)</f>
        <v>Brass</v>
      </c>
      <c r="E2742" s="1">
        <f t="shared" si="252"/>
        <v>1</v>
      </c>
      <c r="F2742" s="1">
        <f>_xlfn.XLOOKUP($C2742, 'Instrument Table'!$B:$B, 'Instrument Table'!$A:$A, "")</f>
        <v>42</v>
      </c>
      <c r="G2742" s="1" t="str">
        <f>TEXT(IF($B2742 = "Retail Item", IF((ROW($A2742) - 4504 - _xlfn.XMATCH($C2742, $C$4506:$C$5005, 0, 1)) &lt;= VLOOKUP($C2742, 'Instrument Table'!$B:$D, 3, FALSE), ROW($A2742) - 4504 - _xlfn.XMATCH($C2742, $C$4506:$C$5005, 0, 1), 0), 0), "00")</f>
        <v>00</v>
      </c>
      <c r="H2742" s="1" t="str">
        <f t="shared" si="253"/>
        <v>036</v>
      </c>
      <c r="I2742" s="1" t="str">
        <f t="shared" si="254"/>
        <v>14200-036</v>
      </c>
      <c r="J2742" s="1" t="str">
        <f t="shared" si="255"/>
        <v>Trombone production item #036</v>
      </c>
      <c r="K2742" s="1" t="str">
        <f>IF(SUM(COUNTIFS(I:I, I2742)) &gt; 1, "DUPLICATE", "UNIQUE")</f>
        <v>UNIQUE</v>
      </c>
      <c r="L2742" s="18">
        <v>8</v>
      </c>
      <c r="M2742" s="28">
        <v>57</v>
      </c>
      <c r="N2742" s="6">
        <v>289</v>
      </c>
      <c r="O2742" s="30">
        <f t="shared" si="256"/>
        <v>456</v>
      </c>
      <c r="P2742" s="30">
        <f t="shared" si="257"/>
        <v>16473</v>
      </c>
      <c r="Q2742" s="1">
        <f>COUNTIFS($P:$P, "&gt;" &amp; $P2742) + 1</f>
        <v>1247</v>
      </c>
      <c r="R2742" s="63">
        <f>(COUNTIFS($P:$P, "&gt;" &amp; $P2742) + 1) / (COUNTA($I:$I) - 1)</f>
        <v>0.24940000000000001</v>
      </c>
      <c r="S2742" s="23">
        <f>SUMIFS($P:$P, $Q:$Q, "&lt;" &amp; $Q2742)</f>
        <v>171120042</v>
      </c>
    </row>
    <row r="2743" spans="1:19" x14ac:dyDescent="0.25">
      <c r="A2743" s="1">
        <v>2738</v>
      </c>
      <c r="B2743" s="1" t="s">
        <v>2</v>
      </c>
      <c r="C2743" s="1" t="str">
        <f>IF($B2743 = "Production Item", _xlfn.XLOOKUP($A2743, 'Instrument Table'!$J:$J, 'Instrument Table'!$B:$B, $C2742), IF($B2743 = "Service Item", _xlfn.XLOOKUP($A2743, 'Instrument Table'!$I:$I, 'Instrument Table'!$B:$B, $C2742), _xlfn.XLOOKUP($A2743, 'Instrument Table'!$H:$H, 'Instrument Table'!$B:$B, $C2742)))</f>
        <v>Trombone</v>
      </c>
      <c r="D2743" s="1" t="str">
        <f>VLOOKUP($C2743, 'Instrument Table'!$B:$C, 2, FALSE)</f>
        <v>Brass</v>
      </c>
      <c r="E2743" s="1">
        <f t="shared" si="252"/>
        <v>1</v>
      </c>
      <c r="F2743" s="1">
        <f>_xlfn.XLOOKUP($C2743, 'Instrument Table'!$B:$B, 'Instrument Table'!$A:$A, "")</f>
        <v>42</v>
      </c>
      <c r="G2743" s="1" t="str">
        <f>TEXT(IF($B2743 = "Retail Item", IF((ROW($A2743) - 4504 - _xlfn.XMATCH($C2743, $C$4506:$C$5005, 0, 1)) &lt;= VLOOKUP($C2743, 'Instrument Table'!$B:$D, 3, FALSE), ROW($A2743) - 4504 - _xlfn.XMATCH($C2743, $C$4506:$C$5005, 0, 1), 0), 0), "00")</f>
        <v>00</v>
      </c>
      <c r="H2743" s="1" t="str">
        <f t="shared" si="253"/>
        <v>037</v>
      </c>
      <c r="I2743" s="1" t="str">
        <f t="shared" si="254"/>
        <v>14200-037</v>
      </c>
      <c r="J2743" s="1" t="str">
        <f t="shared" si="255"/>
        <v>Trombone production item #037</v>
      </c>
      <c r="K2743" s="1" t="str">
        <f>IF(SUM(COUNTIFS(I:I, I2743)) &gt; 1, "DUPLICATE", "UNIQUE")</f>
        <v>UNIQUE</v>
      </c>
      <c r="L2743" s="18">
        <v>1</v>
      </c>
      <c r="M2743" s="28">
        <v>15</v>
      </c>
      <c r="N2743" s="6">
        <v>324</v>
      </c>
      <c r="O2743" s="30">
        <f t="shared" si="256"/>
        <v>15</v>
      </c>
      <c r="P2743" s="30">
        <f t="shared" si="257"/>
        <v>4860</v>
      </c>
      <c r="Q2743" s="1">
        <f>COUNTIFS($P:$P, "&gt;" &amp; $P2743) + 1</f>
        <v>2474</v>
      </c>
      <c r="R2743" s="63">
        <f>(COUNTIFS($P:$P, "&gt;" &amp; $P2743) + 1) / (COUNTA($I:$I) - 1)</f>
        <v>0.49480000000000002</v>
      </c>
      <c r="S2743" s="23">
        <f>SUMIFS($P:$P, $Q:$Q, "&lt;" &amp; $Q2743)</f>
        <v>182990510</v>
      </c>
    </row>
    <row r="2744" spans="1:19" x14ac:dyDescent="0.25">
      <c r="A2744" s="1">
        <v>2739</v>
      </c>
      <c r="B2744" s="1" t="s">
        <v>2</v>
      </c>
      <c r="C2744" s="1" t="str">
        <f>IF($B2744 = "Production Item", _xlfn.XLOOKUP($A2744, 'Instrument Table'!$J:$J, 'Instrument Table'!$B:$B, $C2743), IF($B2744 = "Service Item", _xlfn.XLOOKUP($A2744, 'Instrument Table'!$I:$I, 'Instrument Table'!$B:$B, $C2743), _xlfn.XLOOKUP($A2744, 'Instrument Table'!$H:$H, 'Instrument Table'!$B:$B, $C2743)))</f>
        <v>Trombone</v>
      </c>
      <c r="D2744" s="1" t="str">
        <f>VLOOKUP($C2744, 'Instrument Table'!$B:$C, 2, FALSE)</f>
        <v>Brass</v>
      </c>
      <c r="E2744" s="1">
        <f t="shared" si="252"/>
        <v>1</v>
      </c>
      <c r="F2744" s="1">
        <f>_xlfn.XLOOKUP($C2744, 'Instrument Table'!$B:$B, 'Instrument Table'!$A:$A, "")</f>
        <v>42</v>
      </c>
      <c r="G2744" s="1" t="str">
        <f>TEXT(IF($B2744 = "Retail Item", IF((ROW($A2744) - 4504 - _xlfn.XMATCH($C2744, $C$4506:$C$5005, 0, 1)) &lt;= VLOOKUP($C2744, 'Instrument Table'!$B:$D, 3, FALSE), ROW($A2744) - 4504 - _xlfn.XMATCH($C2744, $C$4506:$C$5005, 0, 1), 0), 0), "00")</f>
        <v>00</v>
      </c>
      <c r="H2744" s="1" t="str">
        <f t="shared" si="253"/>
        <v>038</v>
      </c>
      <c r="I2744" s="1" t="str">
        <f t="shared" si="254"/>
        <v>14200-038</v>
      </c>
      <c r="J2744" s="1" t="str">
        <f t="shared" si="255"/>
        <v>Trombone production item #038</v>
      </c>
      <c r="K2744" s="1" t="str">
        <f>IF(SUM(COUNTIFS(I:I, I2744)) &gt; 1, "DUPLICATE", "UNIQUE")</f>
        <v>UNIQUE</v>
      </c>
      <c r="L2744" s="18">
        <v>0</v>
      </c>
      <c r="M2744" s="28">
        <v>15</v>
      </c>
      <c r="N2744" s="6">
        <v>121</v>
      </c>
      <c r="O2744" s="30">
        <f t="shared" si="256"/>
        <v>0</v>
      </c>
      <c r="P2744" s="30">
        <f t="shared" si="257"/>
        <v>1815</v>
      </c>
      <c r="Q2744" s="1">
        <f>COUNTIFS($P:$P, "&gt;" &amp; $P2744) + 1</f>
        <v>3321</v>
      </c>
      <c r="R2744" s="63">
        <f>(COUNTIFS($P:$P, "&gt;" &amp; $P2744) + 1) / (COUNTA($I:$I) - 1)</f>
        <v>0.66420000000000001</v>
      </c>
      <c r="S2744" s="23">
        <f>SUMIFS($P:$P, $Q:$Q, "&lt;" &amp; $Q2744)</f>
        <v>185648257</v>
      </c>
    </row>
    <row r="2745" spans="1:19" x14ac:dyDescent="0.25">
      <c r="A2745" s="1">
        <v>2740</v>
      </c>
      <c r="B2745" s="1" t="s">
        <v>2</v>
      </c>
      <c r="C2745" s="1" t="str">
        <f>IF($B2745 = "Production Item", _xlfn.XLOOKUP($A2745, 'Instrument Table'!$J:$J, 'Instrument Table'!$B:$B, $C2744), IF($B2745 = "Service Item", _xlfn.XLOOKUP($A2745, 'Instrument Table'!$I:$I, 'Instrument Table'!$B:$B, $C2744), _xlfn.XLOOKUP($A2745, 'Instrument Table'!$H:$H, 'Instrument Table'!$B:$B, $C2744)))</f>
        <v>Trombone</v>
      </c>
      <c r="D2745" s="1" t="str">
        <f>VLOOKUP($C2745, 'Instrument Table'!$B:$C, 2, FALSE)</f>
        <v>Brass</v>
      </c>
      <c r="E2745" s="1">
        <f t="shared" si="252"/>
        <v>1</v>
      </c>
      <c r="F2745" s="1">
        <f>_xlfn.XLOOKUP($C2745, 'Instrument Table'!$B:$B, 'Instrument Table'!$A:$A, "")</f>
        <v>42</v>
      </c>
      <c r="G2745" s="1" t="str">
        <f>TEXT(IF($B2745 = "Retail Item", IF((ROW($A2745) - 4504 - _xlfn.XMATCH($C2745, $C$4506:$C$5005, 0, 1)) &lt;= VLOOKUP($C2745, 'Instrument Table'!$B:$D, 3, FALSE), ROW($A2745) - 4504 - _xlfn.XMATCH($C2745, $C$4506:$C$5005, 0, 1), 0), 0), "00")</f>
        <v>00</v>
      </c>
      <c r="H2745" s="1" t="str">
        <f t="shared" si="253"/>
        <v>039</v>
      </c>
      <c r="I2745" s="1" t="str">
        <f t="shared" si="254"/>
        <v>14200-039</v>
      </c>
      <c r="J2745" s="1" t="str">
        <f t="shared" si="255"/>
        <v>Trombone production item #039</v>
      </c>
      <c r="K2745" s="1" t="str">
        <f>IF(SUM(COUNTIFS(I:I, I2745)) &gt; 1, "DUPLICATE", "UNIQUE")</f>
        <v>UNIQUE</v>
      </c>
      <c r="L2745" s="18">
        <v>0</v>
      </c>
      <c r="M2745" s="28">
        <v>1</v>
      </c>
      <c r="N2745" s="6">
        <v>49</v>
      </c>
      <c r="O2745" s="30">
        <f t="shared" si="256"/>
        <v>0</v>
      </c>
      <c r="P2745" s="30">
        <f t="shared" si="257"/>
        <v>49</v>
      </c>
      <c r="Q2745" s="1">
        <f>COUNTIFS($P:$P, "&gt;" &amp; $P2745) + 1</f>
        <v>4617</v>
      </c>
      <c r="R2745" s="63">
        <f>(COUNTIFS($P:$P, "&gt;" &amp; $P2745) + 1) / (COUNTA($I:$I) - 1)</f>
        <v>0.9234</v>
      </c>
      <c r="S2745" s="23">
        <f>SUMIFS($P:$P, $Q:$Q, "&lt;" &amp; $Q2745)</f>
        <v>186544585</v>
      </c>
    </row>
    <row r="2746" spans="1:19" x14ac:dyDescent="0.25">
      <c r="A2746" s="1">
        <v>2741</v>
      </c>
      <c r="B2746" s="1" t="s">
        <v>2</v>
      </c>
      <c r="C2746" s="1" t="str">
        <f>IF($B2746 = "Production Item", _xlfn.XLOOKUP($A2746, 'Instrument Table'!$J:$J, 'Instrument Table'!$B:$B, $C2745), IF($B2746 = "Service Item", _xlfn.XLOOKUP($A2746, 'Instrument Table'!$I:$I, 'Instrument Table'!$B:$B, $C2745), _xlfn.XLOOKUP($A2746, 'Instrument Table'!$H:$H, 'Instrument Table'!$B:$B, $C2745)))</f>
        <v>Trombone</v>
      </c>
      <c r="D2746" s="1" t="str">
        <f>VLOOKUP($C2746, 'Instrument Table'!$B:$C, 2, FALSE)</f>
        <v>Brass</v>
      </c>
      <c r="E2746" s="1">
        <f t="shared" si="252"/>
        <v>1</v>
      </c>
      <c r="F2746" s="1">
        <f>_xlfn.XLOOKUP($C2746, 'Instrument Table'!$B:$B, 'Instrument Table'!$A:$A, "")</f>
        <v>42</v>
      </c>
      <c r="G2746" s="1" t="str">
        <f>TEXT(IF($B2746 = "Retail Item", IF((ROW($A2746) - 4504 - _xlfn.XMATCH($C2746, $C$4506:$C$5005, 0, 1)) &lt;= VLOOKUP($C2746, 'Instrument Table'!$B:$D, 3, FALSE), ROW($A2746) - 4504 - _xlfn.XMATCH($C2746, $C$4506:$C$5005, 0, 1), 0), 0), "00")</f>
        <v>00</v>
      </c>
      <c r="H2746" s="1" t="str">
        <f t="shared" si="253"/>
        <v>040</v>
      </c>
      <c r="I2746" s="1" t="str">
        <f t="shared" si="254"/>
        <v>14200-040</v>
      </c>
      <c r="J2746" s="1" t="str">
        <f t="shared" si="255"/>
        <v>Trombone production item #040</v>
      </c>
      <c r="K2746" s="1" t="str">
        <f>IF(SUM(COUNTIFS(I:I, I2746)) &gt; 1, "DUPLICATE", "UNIQUE")</f>
        <v>UNIQUE</v>
      </c>
      <c r="L2746" s="18">
        <v>0</v>
      </c>
      <c r="M2746" s="28">
        <v>28</v>
      </c>
      <c r="N2746" s="6">
        <v>49</v>
      </c>
      <c r="O2746" s="30">
        <f t="shared" si="256"/>
        <v>0</v>
      </c>
      <c r="P2746" s="30">
        <f t="shared" si="257"/>
        <v>1372</v>
      </c>
      <c r="Q2746" s="1">
        <f>COUNTIFS($P:$P, "&gt;" &amp; $P2746) + 1</f>
        <v>3523</v>
      </c>
      <c r="R2746" s="63">
        <f>(COUNTIFS($P:$P, "&gt;" &amp; $P2746) + 1) / (COUNTA($I:$I) - 1)</f>
        <v>0.7046</v>
      </c>
      <c r="S2746" s="23">
        <f>SUMIFS($P:$P, $Q:$Q, "&lt;" &amp; $Q2746)</f>
        <v>185969593</v>
      </c>
    </row>
    <row r="2747" spans="1:19" x14ac:dyDescent="0.25">
      <c r="A2747" s="1">
        <v>2742</v>
      </c>
      <c r="B2747" s="1" t="s">
        <v>2</v>
      </c>
      <c r="C2747" s="1" t="str">
        <f>IF($B2747 = "Production Item", _xlfn.XLOOKUP($A2747, 'Instrument Table'!$J:$J, 'Instrument Table'!$B:$B, $C2746), IF($B2747 = "Service Item", _xlfn.XLOOKUP($A2747, 'Instrument Table'!$I:$I, 'Instrument Table'!$B:$B, $C2746), _xlfn.XLOOKUP($A2747, 'Instrument Table'!$H:$H, 'Instrument Table'!$B:$B, $C2746)))</f>
        <v>Trombone</v>
      </c>
      <c r="D2747" s="1" t="str">
        <f>VLOOKUP($C2747, 'Instrument Table'!$B:$C, 2, FALSE)</f>
        <v>Brass</v>
      </c>
      <c r="E2747" s="1">
        <f t="shared" si="252"/>
        <v>1</v>
      </c>
      <c r="F2747" s="1">
        <f>_xlfn.XLOOKUP($C2747, 'Instrument Table'!$B:$B, 'Instrument Table'!$A:$A, "")</f>
        <v>42</v>
      </c>
      <c r="G2747" s="1" t="str">
        <f>TEXT(IF($B2747 = "Retail Item", IF((ROW($A2747) - 4504 - _xlfn.XMATCH($C2747, $C$4506:$C$5005, 0, 1)) &lt;= VLOOKUP($C2747, 'Instrument Table'!$B:$D, 3, FALSE), ROW($A2747) - 4504 - _xlfn.XMATCH($C2747, $C$4506:$C$5005, 0, 1), 0), 0), "00")</f>
        <v>00</v>
      </c>
      <c r="H2747" s="1" t="str">
        <f t="shared" si="253"/>
        <v>041</v>
      </c>
      <c r="I2747" s="1" t="str">
        <f t="shared" si="254"/>
        <v>14200-041</v>
      </c>
      <c r="J2747" s="1" t="str">
        <f t="shared" si="255"/>
        <v>Trombone production item #041</v>
      </c>
      <c r="K2747" s="1" t="str">
        <f>IF(SUM(COUNTIFS(I:I, I2747)) &gt; 1, "DUPLICATE", "UNIQUE")</f>
        <v>UNIQUE</v>
      </c>
      <c r="L2747" s="18">
        <v>32</v>
      </c>
      <c r="M2747" s="28">
        <v>90</v>
      </c>
      <c r="N2747" s="6">
        <v>121</v>
      </c>
      <c r="O2747" s="30">
        <f t="shared" si="256"/>
        <v>2880</v>
      </c>
      <c r="P2747" s="30">
        <f t="shared" si="257"/>
        <v>10890</v>
      </c>
      <c r="Q2747" s="1">
        <f>COUNTIFS($P:$P, "&gt;" &amp; $P2747) + 1</f>
        <v>1693</v>
      </c>
      <c r="R2747" s="63">
        <f>(COUNTIFS($P:$P, "&gt;" &amp; $P2747) + 1) / (COUNTA($I:$I) - 1)</f>
        <v>0.33860000000000001</v>
      </c>
      <c r="S2747" s="23">
        <f>SUMIFS($P:$P, $Q:$Q, "&lt;" &amp; $Q2747)</f>
        <v>177137382</v>
      </c>
    </row>
    <row r="2748" spans="1:19" x14ac:dyDescent="0.25">
      <c r="A2748" s="1">
        <v>2743</v>
      </c>
      <c r="B2748" s="1" t="s">
        <v>2</v>
      </c>
      <c r="C2748" s="1" t="str">
        <f>IF($B2748 = "Production Item", _xlfn.XLOOKUP($A2748, 'Instrument Table'!$J:$J, 'Instrument Table'!$B:$B, $C2747), IF($B2748 = "Service Item", _xlfn.XLOOKUP($A2748, 'Instrument Table'!$I:$I, 'Instrument Table'!$B:$B, $C2747), _xlfn.XLOOKUP($A2748, 'Instrument Table'!$H:$H, 'Instrument Table'!$B:$B, $C2747)))</f>
        <v>Trombone</v>
      </c>
      <c r="D2748" s="1" t="str">
        <f>VLOOKUP($C2748, 'Instrument Table'!$B:$C, 2, FALSE)</f>
        <v>Brass</v>
      </c>
      <c r="E2748" s="1">
        <f t="shared" si="252"/>
        <v>1</v>
      </c>
      <c r="F2748" s="1">
        <f>_xlfn.XLOOKUP($C2748, 'Instrument Table'!$B:$B, 'Instrument Table'!$A:$A, "")</f>
        <v>42</v>
      </c>
      <c r="G2748" s="1" t="str">
        <f>TEXT(IF($B2748 = "Retail Item", IF((ROW($A2748) - 4504 - _xlfn.XMATCH($C2748, $C$4506:$C$5005, 0, 1)) &lt;= VLOOKUP($C2748, 'Instrument Table'!$B:$D, 3, FALSE), ROW($A2748) - 4504 - _xlfn.XMATCH($C2748, $C$4506:$C$5005, 0, 1), 0), 0), "00")</f>
        <v>00</v>
      </c>
      <c r="H2748" s="1" t="str">
        <f t="shared" si="253"/>
        <v>042</v>
      </c>
      <c r="I2748" s="1" t="str">
        <f t="shared" si="254"/>
        <v>14200-042</v>
      </c>
      <c r="J2748" s="1" t="str">
        <f t="shared" si="255"/>
        <v>Trombone production item #042</v>
      </c>
      <c r="K2748" s="1" t="str">
        <f>IF(SUM(COUNTIFS(I:I, I2748)) &gt; 1, "DUPLICATE", "UNIQUE")</f>
        <v>UNIQUE</v>
      </c>
      <c r="L2748" s="18">
        <v>32</v>
      </c>
      <c r="M2748" s="28">
        <v>7</v>
      </c>
      <c r="N2748" s="6">
        <v>289</v>
      </c>
      <c r="O2748" s="30">
        <f t="shared" si="256"/>
        <v>224</v>
      </c>
      <c r="P2748" s="30">
        <f t="shared" si="257"/>
        <v>2023</v>
      </c>
      <c r="Q2748" s="1">
        <f>COUNTIFS($P:$P, "&gt;" &amp; $P2748) + 1</f>
        <v>3249</v>
      </c>
      <c r="R2748" s="63">
        <f>(COUNTIFS($P:$P, "&gt;" &amp; $P2748) + 1) / (COUNTA($I:$I) - 1)</f>
        <v>0.64980000000000004</v>
      </c>
      <c r="S2748" s="23">
        <f>SUMIFS($P:$P, $Q:$Q, "&lt;" &amp; $Q2748)</f>
        <v>185509063</v>
      </c>
    </row>
    <row r="2749" spans="1:19" x14ac:dyDescent="0.25">
      <c r="A2749" s="1">
        <v>2744</v>
      </c>
      <c r="B2749" s="1" t="s">
        <v>2</v>
      </c>
      <c r="C2749" s="1" t="str">
        <f>IF($B2749 = "Production Item", _xlfn.XLOOKUP($A2749, 'Instrument Table'!$J:$J, 'Instrument Table'!$B:$B, $C2748), IF($B2749 = "Service Item", _xlfn.XLOOKUP($A2749, 'Instrument Table'!$I:$I, 'Instrument Table'!$B:$B, $C2748), _xlfn.XLOOKUP($A2749, 'Instrument Table'!$H:$H, 'Instrument Table'!$B:$B, $C2748)))</f>
        <v>Trombone</v>
      </c>
      <c r="D2749" s="1" t="str">
        <f>VLOOKUP($C2749, 'Instrument Table'!$B:$C, 2, FALSE)</f>
        <v>Brass</v>
      </c>
      <c r="E2749" s="1">
        <f t="shared" si="252"/>
        <v>1</v>
      </c>
      <c r="F2749" s="1">
        <f>_xlfn.XLOOKUP($C2749, 'Instrument Table'!$B:$B, 'Instrument Table'!$A:$A, "")</f>
        <v>42</v>
      </c>
      <c r="G2749" s="1" t="str">
        <f>TEXT(IF($B2749 = "Retail Item", IF((ROW($A2749) - 4504 - _xlfn.XMATCH($C2749, $C$4506:$C$5005, 0, 1)) &lt;= VLOOKUP($C2749, 'Instrument Table'!$B:$D, 3, FALSE), ROW($A2749) - 4504 - _xlfn.XMATCH($C2749, $C$4506:$C$5005, 0, 1), 0), 0), "00")</f>
        <v>00</v>
      </c>
      <c r="H2749" s="1" t="str">
        <f t="shared" si="253"/>
        <v>043</v>
      </c>
      <c r="I2749" s="1" t="str">
        <f t="shared" si="254"/>
        <v>14200-043</v>
      </c>
      <c r="J2749" s="1" t="str">
        <f t="shared" si="255"/>
        <v>Trombone production item #043</v>
      </c>
      <c r="K2749" s="1" t="str">
        <f>IF(SUM(COUNTIFS(I:I, I2749)) &gt; 1, "DUPLICATE", "UNIQUE")</f>
        <v>UNIQUE</v>
      </c>
      <c r="L2749" s="18">
        <v>4</v>
      </c>
      <c r="M2749" s="28">
        <v>66</v>
      </c>
      <c r="N2749" s="6">
        <v>81</v>
      </c>
      <c r="O2749" s="30">
        <f t="shared" si="256"/>
        <v>264</v>
      </c>
      <c r="P2749" s="30">
        <f t="shared" si="257"/>
        <v>5346</v>
      </c>
      <c r="Q2749" s="1">
        <f>COUNTIFS($P:$P, "&gt;" &amp; $P2749) + 1</f>
        <v>2378</v>
      </c>
      <c r="R2749" s="63">
        <f>(COUNTIFS($P:$P, "&gt;" &amp; $P2749) + 1) / (COUNTA($I:$I) - 1)</f>
        <v>0.47560000000000002</v>
      </c>
      <c r="S2749" s="23">
        <f>SUMIFS($P:$P, $Q:$Q, "&lt;" &amp; $Q2749)</f>
        <v>182500083</v>
      </c>
    </row>
    <row r="2750" spans="1:19" x14ac:dyDescent="0.25">
      <c r="A2750" s="1">
        <v>2745</v>
      </c>
      <c r="B2750" s="1" t="s">
        <v>2</v>
      </c>
      <c r="C2750" s="1" t="str">
        <f>IF($B2750 = "Production Item", _xlfn.XLOOKUP($A2750, 'Instrument Table'!$J:$J, 'Instrument Table'!$B:$B, $C2749), IF($B2750 = "Service Item", _xlfn.XLOOKUP($A2750, 'Instrument Table'!$I:$I, 'Instrument Table'!$B:$B, $C2749), _xlfn.XLOOKUP($A2750, 'Instrument Table'!$H:$H, 'Instrument Table'!$B:$B, $C2749)))</f>
        <v>Trombone</v>
      </c>
      <c r="D2750" s="1" t="str">
        <f>VLOOKUP($C2750, 'Instrument Table'!$B:$C, 2, FALSE)</f>
        <v>Brass</v>
      </c>
      <c r="E2750" s="1">
        <f t="shared" si="252"/>
        <v>1</v>
      </c>
      <c r="F2750" s="1">
        <f>_xlfn.XLOOKUP($C2750, 'Instrument Table'!$B:$B, 'Instrument Table'!$A:$A, "")</f>
        <v>42</v>
      </c>
      <c r="G2750" s="1" t="str">
        <f>TEXT(IF($B2750 = "Retail Item", IF((ROW($A2750) - 4504 - _xlfn.XMATCH($C2750, $C$4506:$C$5005, 0, 1)) &lt;= VLOOKUP($C2750, 'Instrument Table'!$B:$D, 3, FALSE), ROW($A2750) - 4504 - _xlfn.XMATCH($C2750, $C$4506:$C$5005, 0, 1), 0), 0), "00")</f>
        <v>00</v>
      </c>
      <c r="H2750" s="1" t="str">
        <f t="shared" si="253"/>
        <v>044</v>
      </c>
      <c r="I2750" s="1" t="str">
        <f t="shared" si="254"/>
        <v>14200-044</v>
      </c>
      <c r="J2750" s="1" t="str">
        <f t="shared" si="255"/>
        <v>Trombone production item #044</v>
      </c>
      <c r="K2750" s="1" t="str">
        <f>IF(SUM(COUNTIFS(I:I, I2750)) &gt; 1, "DUPLICATE", "UNIQUE")</f>
        <v>UNIQUE</v>
      </c>
      <c r="L2750" s="18">
        <v>0</v>
      </c>
      <c r="M2750" s="28">
        <v>98</v>
      </c>
      <c r="N2750" s="6">
        <v>144</v>
      </c>
      <c r="O2750" s="30">
        <f t="shared" si="256"/>
        <v>0</v>
      </c>
      <c r="P2750" s="30">
        <f t="shared" si="257"/>
        <v>14112</v>
      </c>
      <c r="Q2750" s="1">
        <f>COUNTIFS($P:$P, "&gt;" &amp; $P2750) + 1</f>
        <v>1411</v>
      </c>
      <c r="R2750" s="63">
        <f>(COUNTIFS($P:$P, "&gt;" &amp; $P2750) + 1) / (COUNTA($I:$I) - 1)</f>
        <v>0.28220000000000001</v>
      </c>
      <c r="S2750" s="23">
        <f>SUMIFS($P:$P, $Q:$Q, "&lt;" &amp; $Q2750)</f>
        <v>173632138</v>
      </c>
    </row>
    <row r="2751" spans="1:19" x14ac:dyDescent="0.25">
      <c r="A2751" s="1">
        <v>2746</v>
      </c>
      <c r="B2751" s="1" t="s">
        <v>2</v>
      </c>
      <c r="C2751" s="1" t="str">
        <f>IF($B2751 = "Production Item", _xlfn.XLOOKUP($A2751, 'Instrument Table'!$J:$J, 'Instrument Table'!$B:$B, $C2750), IF($B2751 = "Service Item", _xlfn.XLOOKUP($A2751, 'Instrument Table'!$I:$I, 'Instrument Table'!$B:$B, $C2750), _xlfn.XLOOKUP($A2751, 'Instrument Table'!$H:$H, 'Instrument Table'!$B:$B, $C2750)))</f>
        <v>Trombone</v>
      </c>
      <c r="D2751" s="1" t="str">
        <f>VLOOKUP($C2751, 'Instrument Table'!$B:$C, 2, FALSE)</f>
        <v>Brass</v>
      </c>
      <c r="E2751" s="1">
        <f t="shared" si="252"/>
        <v>1</v>
      </c>
      <c r="F2751" s="1">
        <f>_xlfn.XLOOKUP($C2751, 'Instrument Table'!$B:$B, 'Instrument Table'!$A:$A, "")</f>
        <v>42</v>
      </c>
      <c r="G2751" s="1" t="str">
        <f>TEXT(IF($B2751 = "Retail Item", IF((ROW($A2751) - 4504 - _xlfn.XMATCH($C2751, $C$4506:$C$5005, 0, 1)) &lt;= VLOOKUP($C2751, 'Instrument Table'!$B:$D, 3, FALSE), ROW($A2751) - 4504 - _xlfn.XMATCH($C2751, $C$4506:$C$5005, 0, 1), 0), 0), "00")</f>
        <v>00</v>
      </c>
      <c r="H2751" s="1" t="str">
        <f t="shared" si="253"/>
        <v>045</v>
      </c>
      <c r="I2751" s="1" t="str">
        <f t="shared" si="254"/>
        <v>14200-045</v>
      </c>
      <c r="J2751" s="1" t="str">
        <f t="shared" si="255"/>
        <v>Trombone production item #045</v>
      </c>
      <c r="K2751" s="1" t="str">
        <f>IF(SUM(COUNTIFS(I:I, I2751)) &gt; 1, "DUPLICATE", "UNIQUE")</f>
        <v>UNIQUE</v>
      </c>
      <c r="L2751" s="18">
        <v>1</v>
      </c>
      <c r="M2751" s="28">
        <v>66</v>
      </c>
      <c r="N2751" s="6">
        <v>324</v>
      </c>
      <c r="O2751" s="30">
        <f t="shared" si="256"/>
        <v>66</v>
      </c>
      <c r="P2751" s="30">
        <f t="shared" si="257"/>
        <v>21384</v>
      </c>
      <c r="Q2751" s="1">
        <f>COUNTIFS($P:$P, "&gt;" &amp; $P2751) + 1</f>
        <v>984</v>
      </c>
      <c r="R2751" s="63">
        <f>(COUNTIFS($P:$P, "&gt;" &amp; $P2751) + 1) / (COUNTA($I:$I) - 1)</f>
        <v>0.1968</v>
      </c>
      <c r="S2751" s="23">
        <f>SUMIFS($P:$P, $Q:$Q, "&lt;" &amp; $Q2751)</f>
        <v>166150372</v>
      </c>
    </row>
    <row r="2752" spans="1:19" x14ac:dyDescent="0.25">
      <c r="A2752" s="1">
        <v>2747</v>
      </c>
      <c r="B2752" s="1" t="s">
        <v>2</v>
      </c>
      <c r="C2752" s="1" t="str">
        <f>IF($B2752 = "Production Item", _xlfn.XLOOKUP($A2752, 'Instrument Table'!$J:$J, 'Instrument Table'!$B:$B, $C2751), IF($B2752 = "Service Item", _xlfn.XLOOKUP($A2752, 'Instrument Table'!$I:$I, 'Instrument Table'!$B:$B, $C2751), _xlfn.XLOOKUP($A2752, 'Instrument Table'!$H:$H, 'Instrument Table'!$B:$B, $C2751)))</f>
        <v>Trombone</v>
      </c>
      <c r="D2752" s="1" t="str">
        <f>VLOOKUP($C2752, 'Instrument Table'!$B:$C, 2, FALSE)</f>
        <v>Brass</v>
      </c>
      <c r="E2752" s="1">
        <f t="shared" si="252"/>
        <v>1</v>
      </c>
      <c r="F2752" s="1">
        <f>_xlfn.XLOOKUP($C2752, 'Instrument Table'!$B:$B, 'Instrument Table'!$A:$A, "")</f>
        <v>42</v>
      </c>
      <c r="G2752" s="1" t="str">
        <f>TEXT(IF($B2752 = "Retail Item", IF((ROW($A2752) - 4504 - _xlfn.XMATCH($C2752, $C$4506:$C$5005, 0, 1)) &lt;= VLOOKUP($C2752, 'Instrument Table'!$B:$D, 3, FALSE), ROW($A2752) - 4504 - _xlfn.XMATCH($C2752, $C$4506:$C$5005, 0, 1), 0), 0), "00")</f>
        <v>00</v>
      </c>
      <c r="H2752" s="1" t="str">
        <f t="shared" si="253"/>
        <v>046</v>
      </c>
      <c r="I2752" s="1" t="str">
        <f t="shared" si="254"/>
        <v>14200-046</v>
      </c>
      <c r="J2752" s="1" t="str">
        <f t="shared" si="255"/>
        <v>Trombone production item #046</v>
      </c>
      <c r="K2752" s="1" t="str">
        <f>IF(SUM(COUNTIFS(I:I, I2752)) &gt; 1, "DUPLICATE", "UNIQUE")</f>
        <v>UNIQUE</v>
      </c>
      <c r="L2752" s="18">
        <v>32</v>
      </c>
      <c r="M2752" s="28">
        <v>8</v>
      </c>
      <c r="N2752" s="6">
        <v>289</v>
      </c>
      <c r="O2752" s="30">
        <f t="shared" si="256"/>
        <v>256</v>
      </c>
      <c r="P2752" s="30">
        <f t="shared" si="257"/>
        <v>2312</v>
      </c>
      <c r="Q2752" s="1">
        <f>COUNTIFS($P:$P, "&gt;" &amp; $P2752) + 1</f>
        <v>3117</v>
      </c>
      <c r="R2752" s="63">
        <f>(COUNTIFS($P:$P, "&gt;" &amp; $P2752) + 1) / (COUNTA($I:$I) - 1)</f>
        <v>0.62339999999999995</v>
      </c>
      <c r="S2752" s="23">
        <f>SUMIFS($P:$P, $Q:$Q, "&lt;" &amp; $Q2752)</f>
        <v>185222342</v>
      </c>
    </row>
    <row r="2753" spans="1:19" x14ac:dyDescent="0.25">
      <c r="A2753" s="1">
        <v>2748</v>
      </c>
      <c r="B2753" s="1" t="s">
        <v>2</v>
      </c>
      <c r="C2753" s="1" t="str">
        <f>IF($B2753 = "Production Item", _xlfn.XLOOKUP($A2753, 'Instrument Table'!$J:$J, 'Instrument Table'!$B:$B, $C2752), IF($B2753 = "Service Item", _xlfn.XLOOKUP($A2753, 'Instrument Table'!$I:$I, 'Instrument Table'!$B:$B, $C2752), _xlfn.XLOOKUP($A2753, 'Instrument Table'!$H:$H, 'Instrument Table'!$B:$B, $C2752)))</f>
        <v>Trombone</v>
      </c>
      <c r="D2753" s="1" t="str">
        <f>VLOOKUP($C2753, 'Instrument Table'!$B:$C, 2, FALSE)</f>
        <v>Brass</v>
      </c>
      <c r="E2753" s="1">
        <f t="shared" si="252"/>
        <v>1</v>
      </c>
      <c r="F2753" s="1">
        <f>_xlfn.XLOOKUP($C2753, 'Instrument Table'!$B:$B, 'Instrument Table'!$A:$A, "")</f>
        <v>42</v>
      </c>
      <c r="G2753" s="1" t="str">
        <f>TEXT(IF($B2753 = "Retail Item", IF((ROW($A2753) - 4504 - _xlfn.XMATCH($C2753, $C$4506:$C$5005, 0, 1)) &lt;= VLOOKUP($C2753, 'Instrument Table'!$B:$D, 3, FALSE), ROW($A2753) - 4504 - _xlfn.XMATCH($C2753, $C$4506:$C$5005, 0, 1), 0), 0), "00")</f>
        <v>00</v>
      </c>
      <c r="H2753" s="1" t="str">
        <f t="shared" si="253"/>
        <v>047</v>
      </c>
      <c r="I2753" s="1" t="str">
        <f t="shared" si="254"/>
        <v>14200-047</v>
      </c>
      <c r="J2753" s="1" t="str">
        <f t="shared" si="255"/>
        <v>Trombone production item #047</v>
      </c>
      <c r="K2753" s="1" t="str">
        <f>IF(SUM(COUNTIFS(I:I, I2753)) &gt; 1, "DUPLICATE", "UNIQUE")</f>
        <v>UNIQUE</v>
      </c>
      <c r="L2753" s="18">
        <v>0</v>
      </c>
      <c r="M2753" s="28">
        <v>95</v>
      </c>
      <c r="N2753" s="6">
        <v>9</v>
      </c>
      <c r="O2753" s="30">
        <f t="shared" si="256"/>
        <v>0</v>
      </c>
      <c r="P2753" s="30">
        <f t="shared" si="257"/>
        <v>855</v>
      </c>
      <c r="Q2753" s="1">
        <f>COUNTIFS($P:$P, "&gt;" &amp; $P2753) + 1</f>
        <v>3757</v>
      </c>
      <c r="R2753" s="63">
        <f>(COUNTIFS($P:$P, "&gt;" &amp; $P2753) + 1) / (COUNTA($I:$I) - 1)</f>
        <v>0.75139999999999996</v>
      </c>
      <c r="S2753" s="23">
        <f>SUMIFS($P:$P, $Q:$Q, "&lt;" &amp; $Q2753)</f>
        <v>186230229</v>
      </c>
    </row>
    <row r="2754" spans="1:19" x14ac:dyDescent="0.25">
      <c r="A2754" s="1">
        <v>2749</v>
      </c>
      <c r="B2754" s="1" t="s">
        <v>2</v>
      </c>
      <c r="C2754" s="1" t="str">
        <f>IF($B2754 = "Production Item", _xlfn.XLOOKUP($A2754, 'Instrument Table'!$J:$J, 'Instrument Table'!$B:$B, $C2753), IF($B2754 = "Service Item", _xlfn.XLOOKUP($A2754, 'Instrument Table'!$I:$I, 'Instrument Table'!$B:$B, $C2753), _xlfn.XLOOKUP($A2754, 'Instrument Table'!$H:$H, 'Instrument Table'!$B:$B, $C2753)))</f>
        <v>Trombone</v>
      </c>
      <c r="D2754" s="1" t="str">
        <f>VLOOKUP($C2754, 'Instrument Table'!$B:$C, 2, FALSE)</f>
        <v>Brass</v>
      </c>
      <c r="E2754" s="1">
        <f t="shared" si="252"/>
        <v>1</v>
      </c>
      <c r="F2754" s="1">
        <f>_xlfn.XLOOKUP($C2754, 'Instrument Table'!$B:$B, 'Instrument Table'!$A:$A, "")</f>
        <v>42</v>
      </c>
      <c r="G2754" s="1" t="str">
        <f>TEXT(IF($B2754 = "Retail Item", IF((ROW($A2754) - 4504 - _xlfn.XMATCH($C2754, $C$4506:$C$5005, 0, 1)) &lt;= VLOOKUP($C2754, 'Instrument Table'!$B:$D, 3, FALSE), ROW($A2754) - 4504 - _xlfn.XMATCH($C2754, $C$4506:$C$5005, 0, 1), 0), 0), "00")</f>
        <v>00</v>
      </c>
      <c r="H2754" s="1" t="str">
        <f t="shared" si="253"/>
        <v>048</v>
      </c>
      <c r="I2754" s="1" t="str">
        <f t="shared" si="254"/>
        <v>14200-048</v>
      </c>
      <c r="J2754" s="1" t="str">
        <f t="shared" si="255"/>
        <v>Trombone production item #048</v>
      </c>
      <c r="K2754" s="1" t="str">
        <f>IF(SUM(COUNTIFS(I:I, I2754)) &gt; 1, "DUPLICATE", "UNIQUE")</f>
        <v>UNIQUE</v>
      </c>
      <c r="L2754" s="18">
        <v>1</v>
      </c>
      <c r="M2754" s="28">
        <v>48</v>
      </c>
      <c r="N2754" s="6">
        <v>81</v>
      </c>
      <c r="O2754" s="30">
        <f t="shared" si="256"/>
        <v>48</v>
      </c>
      <c r="P2754" s="30">
        <f t="shared" si="257"/>
        <v>3888</v>
      </c>
      <c r="Q2754" s="1">
        <f>COUNTIFS($P:$P, "&gt;" &amp; $P2754) + 1</f>
        <v>2679</v>
      </c>
      <c r="R2754" s="63">
        <f>(COUNTIFS($P:$P, "&gt;" &amp; $P2754) + 1) / (COUNTA($I:$I) - 1)</f>
        <v>0.53580000000000005</v>
      </c>
      <c r="S2754" s="23">
        <f>SUMIFS($P:$P, $Q:$Q, "&lt;" &amp; $Q2754)</f>
        <v>183885792</v>
      </c>
    </row>
    <row r="2755" spans="1:19" x14ac:dyDescent="0.25">
      <c r="A2755" s="1">
        <v>2750</v>
      </c>
      <c r="B2755" s="1" t="s">
        <v>2</v>
      </c>
      <c r="C2755" s="1" t="str">
        <f>IF($B2755 = "Production Item", _xlfn.XLOOKUP($A2755, 'Instrument Table'!$J:$J, 'Instrument Table'!$B:$B, $C2754), IF($B2755 = "Service Item", _xlfn.XLOOKUP($A2755, 'Instrument Table'!$I:$I, 'Instrument Table'!$B:$B, $C2754), _xlfn.XLOOKUP($A2755, 'Instrument Table'!$H:$H, 'Instrument Table'!$B:$B, $C2754)))</f>
        <v>Trombone</v>
      </c>
      <c r="D2755" s="1" t="str">
        <f>VLOOKUP($C2755, 'Instrument Table'!$B:$C, 2, FALSE)</f>
        <v>Brass</v>
      </c>
      <c r="E2755" s="1">
        <f t="shared" si="252"/>
        <v>1</v>
      </c>
      <c r="F2755" s="1">
        <f>_xlfn.XLOOKUP($C2755, 'Instrument Table'!$B:$B, 'Instrument Table'!$A:$A, "")</f>
        <v>42</v>
      </c>
      <c r="G2755" s="1" t="str">
        <f>TEXT(IF($B2755 = "Retail Item", IF((ROW($A2755) - 4504 - _xlfn.XMATCH($C2755, $C$4506:$C$5005, 0, 1)) &lt;= VLOOKUP($C2755, 'Instrument Table'!$B:$D, 3, FALSE), ROW($A2755) - 4504 - _xlfn.XMATCH($C2755, $C$4506:$C$5005, 0, 1), 0), 0), "00")</f>
        <v>00</v>
      </c>
      <c r="H2755" s="1" t="str">
        <f t="shared" si="253"/>
        <v>049</v>
      </c>
      <c r="I2755" s="1" t="str">
        <f t="shared" si="254"/>
        <v>14200-049</v>
      </c>
      <c r="J2755" s="1" t="str">
        <f t="shared" si="255"/>
        <v>Trombone production item #049</v>
      </c>
      <c r="K2755" s="1" t="str">
        <f>IF(SUM(COUNTIFS(I:I, I2755)) &gt; 1, "DUPLICATE", "UNIQUE")</f>
        <v>UNIQUE</v>
      </c>
      <c r="L2755" s="18">
        <v>4</v>
      </c>
      <c r="M2755" s="28">
        <v>20</v>
      </c>
      <c r="N2755" s="6">
        <v>49</v>
      </c>
      <c r="O2755" s="30">
        <f t="shared" si="256"/>
        <v>80</v>
      </c>
      <c r="P2755" s="30">
        <f t="shared" si="257"/>
        <v>980</v>
      </c>
      <c r="Q2755" s="1">
        <f>COUNTIFS($P:$P, "&gt;" &amp; $P2755) + 1</f>
        <v>3689</v>
      </c>
      <c r="R2755" s="63">
        <f>(COUNTIFS($P:$P, "&gt;" &amp; $P2755) + 1) / (COUNTA($I:$I) - 1)</f>
        <v>0.73780000000000001</v>
      </c>
      <c r="S2755" s="23">
        <f>SUMIFS($P:$P, $Q:$Q, "&lt;" &amp; $Q2755)</f>
        <v>186168102</v>
      </c>
    </row>
    <row r="2756" spans="1:19" x14ac:dyDescent="0.25">
      <c r="A2756" s="1">
        <v>2751</v>
      </c>
      <c r="B2756" s="1" t="s">
        <v>2</v>
      </c>
      <c r="C2756" s="1" t="str">
        <f>IF($B2756 = "Production Item", _xlfn.XLOOKUP($A2756, 'Instrument Table'!$J:$J, 'Instrument Table'!$B:$B, $C2755), IF($B2756 = "Service Item", _xlfn.XLOOKUP($A2756, 'Instrument Table'!$I:$I, 'Instrument Table'!$B:$B, $C2755), _xlfn.XLOOKUP($A2756, 'Instrument Table'!$H:$H, 'Instrument Table'!$B:$B, $C2755)))</f>
        <v>Tuba</v>
      </c>
      <c r="D2756" s="1" t="str">
        <f>VLOOKUP($C2756, 'Instrument Table'!$B:$C, 2, FALSE)</f>
        <v>Brass</v>
      </c>
      <c r="E2756" s="1">
        <f t="shared" si="252"/>
        <v>1</v>
      </c>
      <c r="F2756" s="1">
        <f>_xlfn.XLOOKUP($C2756, 'Instrument Table'!$B:$B, 'Instrument Table'!$A:$A, "")</f>
        <v>43</v>
      </c>
      <c r="G2756" s="1" t="str">
        <f>TEXT(IF($B2756 = "Retail Item", IF((ROW($A2756) - 4504 - _xlfn.XMATCH($C2756, $C$4506:$C$5005, 0, 1)) &lt;= VLOOKUP($C2756, 'Instrument Table'!$B:$D, 3, FALSE), ROW($A2756) - 4504 - _xlfn.XMATCH($C2756, $C$4506:$C$5005, 0, 1), 0), 0), "00")</f>
        <v>00</v>
      </c>
      <c r="H2756" s="1" t="str">
        <f t="shared" si="253"/>
        <v>000</v>
      </c>
      <c r="I2756" s="1" t="str">
        <f t="shared" si="254"/>
        <v>14300-000</v>
      </c>
      <c r="J2756" s="1" t="str">
        <f t="shared" si="255"/>
        <v>Tuba production item #000</v>
      </c>
      <c r="K2756" s="1" t="str">
        <f>IF(SUM(COUNTIFS(I:I, I2756)) &gt; 1, "DUPLICATE", "UNIQUE")</f>
        <v>UNIQUE</v>
      </c>
      <c r="L2756" s="18">
        <v>0</v>
      </c>
      <c r="M2756" s="28">
        <v>50</v>
      </c>
      <c r="N2756" s="6">
        <v>289</v>
      </c>
      <c r="O2756" s="30">
        <f t="shared" si="256"/>
        <v>0</v>
      </c>
      <c r="P2756" s="30">
        <f t="shared" si="257"/>
        <v>14450</v>
      </c>
      <c r="Q2756" s="1">
        <f>COUNTIFS($P:$P, "&gt;" &amp; $P2756) + 1</f>
        <v>1386</v>
      </c>
      <c r="R2756" s="63">
        <f>(COUNTIFS($P:$P, "&gt;" &amp; $P2756) + 1) / (COUNTA($I:$I) - 1)</f>
        <v>0.2772</v>
      </c>
      <c r="S2756" s="23">
        <f>SUMIFS($P:$P, $Q:$Q, "&lt;" &amp; $Q2756)</f>
        <v>173274218</v>
      </c>
    </row>
    <row r="2757" spans="1:19" x14ac:dyDescent="0.25">
      <c r="A2757" s="1">
        <v>2752</v>
      </c>
      <c r="B2757" s="1" t="s">
        <v>2</v>
      </c>
      <c r="C2757" s="1" t="str">
        <f>IF($B2757 = "Production Item", _xlfn.XLOOKUP($A2757, 'Instrument Table'!$J:$J, 'Instrument Table'!$B:$B, $C2756), IF($B2757 = "Service Item", _xlfn.XLOOKUP($A2757, 'Instrument Table'!$I:$I, 'Instrument Table'!$B:$B, $C2756), _xlfn.XLOOKUP($A2757, 'Instrument Table'!$H:$H, 'Instrument Table'!$B:$B, $C2756)))</f>
        <v>Tuba</v>
      </c>
      <c r="D2757" s="1" t="str">
        <f>VLOOKUP($C2757, 'Instrument Table'!$B:$C, 2, FALSE)</f>
        <v>Brass</v>
      </c>
      <c r="E2757" s="1">
        <f t="shared" si="252"/>
        <v>1</v>
      </c>
      <c r="F2757" s="1">
        <f>_xlfn.XLOOKUP($C2757, 'Instrument Table'!$B:$B, 'Instrument Table'!$A:$A, "")</f>
        <v>43</v>
      </c>
      <c r="G2757" s="1" t="str">
        <f>TEXT(IF($B2757 = "Retail Item", IF((ROW($A2757) - 4504 - _xlfn.XMATCH($C2757, $C$4506:$C$5005, 0, 1)) &lt;= VLOOKUP($C2757, 'Instrument Table'!$B:$D, 3, FALSE), ROW($A2757) - 4504 - _xlfn.XMATCH($C2757, $C$4506:$C$5005, 0, 1), 0), 0), "00")</f>
        <v>00</v>
      </c>
      <c r="H2757" s="1" t="str">
        <f t="shared" si="253"/>
        <v>001</v>
      </c>
      <c r="I2757" s="1" t="str">
        <f t="shared" si="254"/>
        <v>14300-001</v>
      </c>
      <c r="J2757" s="1" t="str">
        <f t="shared" si="255"/>
        <v>Tuba production item #001</v>
      </c>
      <c r="K2757" s="1" t="str">
        <f>IF(SUM(COUNTIFS(I:I, I2757)) &gt; 1, "DUPLICATE", "UNIQUE")</f>
        <v>UNIQUE</v>
      </c>
      <c r="L2757" s="18">
        <v>0</v>
      </c>
      <c r="M2757" s="28">
        <v>53</v>
      </c>
      <c r="N2757" s="6">
        <v>361</v>
      </c>
      <c r="O2757" s="30">
        <f t="shared" si="256"/>
        <v>0</v>
      </c>
      <c r="P2757" s="30">
        <f t="shared" si="257"/>
        <v>19133</v>
      </c>
      <c r="Q2757" s="1">
        <f>COUNTIFS($P:$P, "&gt;" &amp; $P2757) + 1</f>
        <v>1094</v>
      </c>
      <c r="R2757" s="63">
        <f>(COUNTIFS($P:$P, "&gt;" &amp; $P2757) + 1) / (COUNTA($I:$I) - 1)</f>
        <v>0.21879999999999999</v>
      </c>
      <c r="S2757" s="23">
        <f>SUMIFS($P:$P, $Q:$Q, "&lt;" &amp; $Q2757)</f>
        <v>168389141</v>
      </c>
    </row>
    <row r="2758" spans="1:19" x14ac:dyDescent="0.25">
      <c r="A2758" s="1">
        <v>2753</v>
      </c>
      <c r="B2758" s="1" t="s">
        <v>2</v>
      </c>
      <c r="C2758" s="1" t="str">
        <f>IF($B2758 = "Production Item", _xlfn.XLOOKUP($A2758, 'Instrument Table'!$J:$J, 'Instrument Table'!$B:$B, $C2757), IF($B2758 = "Service Item", _xlfn.XLOOKUP($A2758, 'Instrument Table'!$I:$I, 'Instrument Table'!$B:$B, $C2757), _xlfn.XLOOKUP($A2758, 'Instrument Table'!$H:$H, 'Instrument Table'!$B:$B, $C2757)))</f>
        <v>Tuba</v>
      </c>
      <c r="D2758" s="1" t="str">
        <f>VLOOKUP($C2758, 'Instrument Table'!$B:$C, 2, FALSE)</f>
        <v>Brass</v>
      </c>
      <c r="E2758" s="1">
        <f t="shared" si="252"/>
        <v>1</v>
      </c>
      <c r="F2758" s="1">
        <f>_xlfn.XLOOKUP($C2758, 'Instrument Table'!$B:$B, 'Instrument Table'!$A:$A, "")</f>
        <v>43</v>
      </c>
      <c r="G2758" s="1" t="str">
        <f>TEXT(IF($B2758 = "Retail Item", IF((ROW($A2758) - 4504 - _xlfn.XMATCH($C2758, $C$4506:$C$5005, 0, 1)) &lt;= VLOOKUP($C2758, 'Instrument Table'!$B:$D, 3, FALSE), ROW($A2758) - 4504 - _xlfn.XMATCH($C2758, $C$4506:$C$5005, 0, 1), 0), 0), "00")</f>
        <v>00</v>
      </c>
      <c r="H2758" s="1" t="str">
        <f t="shared" si="253"/>
        <v>002</v>
      </c>
      <c r="I2758" s="1" t="str">
        <f t="shared" si="254"/>
        <v>14300-002</v>
      </c>
      <c r="J2758" s="1" t="str">
        <f t="shared" si="255"/>
        <v>Tuba production item #002</v>
      </c>
      <c r="K2758" s="1" t="str">
        <f>IF(SUM(COUNTIFS(I:I, I2758)) &gt; 1, "DUPLICATE", "UNIQUE")</f>
        <v>UNIQUE</v>
      </c>
      <c r="L2758" s="18">
        <v>16</v>
      </c>
      <c r="M2758" s="28">
        <v>5</v>
      </c>
      <c r="N2758" s="6">
        <v>1</v>
      </c>
      <c r="O2758" s="30">
        <f t="shared" si="256"/>
        <v>80</v>
      </c>
      <c r="P2758" s="30">
        <f t="shared" si="257"/>
        <v>5</v>
      </c>
      <c r="Q2758" s="1">
        <f>COUNTIFS($P:$P, "&gt;" &amp; $P2758) + 1</f>
        <v>4737</v>
      </c>
      <c r="R2758" s="63">
        <f>(COUNTIFS($P:$P, "&gt;" &amp; $P2758) + 1) / (COUNTA($I:$I) - 1)</f>
        <v>0.94740000000000002</v>
      </c>
      <c r="S2758" s="23">
        <f>SUMIFS($P:$P, $Q:$Q, "&lt;" &amp; $Q2758)</f>
        <v>186547836</v>
      </c>
    </row>
    <row r="2759" spans="1:19" x14ac:dyDescent="0.25">
      <c r="A2759" s="1">
        <v>2754</v>
      </c>
      <c r="B2759" s="1" t="s">
        <v>2</v>
      </c>
      <c r="C2759" s="1" t="str">
        <f>IF($B2759 = "Production Item", _xlfn.XLOOKUP($A2759, 'Instrument Table'!$J:$J, 'Instrument Table'!$B:$B, $C2758), IF($B2759 = "Service Item", _xlfn.XLOOKUP($A2759, 'Instrument Table'!$I:$I, 'Instrument Table'!$B:$B, $C2758), _xlfn.XLOOKUP($A2759, 'Instrument Table'!$H:$H, 'Instrument Table'!$B:$B, $C2758)))</f>
        <v>Tuba</v>
      </c>
      <c r="D2759" s="1" t="str">
        <f>VLOOKUP($C2759, 'Instrument Table'!$B:$C, 2, FALSE)</f>
        <v>Brass</v>
      </c>
      <c r="E2759" s="1">
        <f t="shared" ref="E2759:E2822" si="258">IF($B2759 = "Production Item", 1, IF($B2759 = "Service Item", 2, IF($B2759 = "Retail Item", 3, "")))</f>
        <v>1</v>
      </c>
      <c r="F2759" s="1">
        <f>_xlfn.XLOOKUP($C2759, 'Instrument Table'!$B:$B, 'Instrument Table'!$A:$A, "")</f>
        <v>43</v>
      </c>
      <c r="G2759" s="1" t="str">
        <f>TEXT(IF($B2759 = "Retail Item", IF((ROW($A2759) - 4504 - _xlfn.XMATCH($C2759, $C$4506:$C$5005, 0, 1)) &lt;= VLOOKUP($C2759, 'Instrument Table'!$B:$D, 3, FALSE), ROW($A2759) - 4504 - _xlfn.XMATCH($C2759, $C$4506:$C$5005, 0, 1), 0), 0), "00")</f>
        <v>00</v>
      </c>
      <c r="H2759" s="1" t="str">
        <f t="shared" ref="H2759:H2822" si="259">TEXT(IF($E2759 &amp; $F2759 &amp; $G2759 = $E2758 &amp; $F2758 &amp; $G2758, 1 + H2758, 0), "000")</f>
        <v>003</v>
      </c>
      <c r="I2759" s="1" t="str">
        <f t="shared" ref="I2759:I2822" si="260" xml:space="preserve"> _xlfn.CONCAT($E2759, $F2759, $G2759, "-", H2759)</f>
        <v>14300-003</v>
      </c>
      <c r="J2759" s="1" t="str">
        <f t="shared" ref="J2759:J2822" si="261">LEFT($C2759, 1) &amp; LOWER(RIGHT($C2759, LEN($C2759) - 1)) &amp; IF(AND($G2759 &lt;&gt; "00", $B2759 = "Retail Item"), " model #" &amp; $G2759, " " &amp; LOWER($B2759) &amp; " #" &amp; $H2759)</f>
        <v>Tuba production item #003</v>
      </c>
      <c r="K2759" s="1" t="str">
        <f>IF(SUM(COUNTIFS(I:I, I2759)) &gt; 1, "DUPLICATE", "UNIQUE")</f>
        <v>UNIQUE</v>
      </c>
      <c r="L2759" s="18">
        <v>1</v>
      </c>
      <c r="M2759" s="28">
        <v>70</v>
      </c>
      <c r="N2759" s="6">
        <v>4</v>
      </c>
      <c r="O2759" s="30">
        <f t="shared" ref="O2759:O2822" si="262">$L2759 * $M2759</f>
        <v>70</v>
      </c>
      <c r="P2759" s="30">
        <f t="shared" ref="P2759:P2822" si="263">$N2759 * $M2759</f>
        <v>280</v>
      </c>
      <c r="Q2759" s="1">
        <f>COUNTIFS($P:$P, "&gt;" &amp; $P2759) + 1</f>
        <v>4239</v>
      </c>
      <c r="R2759" s="63">
        <f>(COUNTIFS($P:$P, "&gt;" &amp; $P2759) + 1) / (COUNTA($I:$I) - 1)</f>
        <v>0.8478</v>
      </c>
      <c r="S2759" s="23">
        <f>SUMIFS($P:$P, $Q:$Q, "&lt;" &amp; $Q2759)</f>
        <v>186492057</v>
      </c>
    </row>
    <row r="2760" spans="1:19" x14ac:dyDescent="0.25">
      <c r="A2760" s="1">
        <v>2755</v>
      </c>
      <c r="B2760" s="1" t="s">
        <v>2</v>
      </c>
      <c r="C2760" s="1" t="str">
        <f>IF($B2760 = "Production Item", _xlfn.XLOOKUP($A2760, 'Instrument Table'!$J:$J, 'Instrument Table'!$B:$B, $C2759), IF($B2760 = "Service Item", _xlfn.XLOOKUP($A2760, 'Instrument Table'!$I:$I, 'Instrument Table'!$B:$B, $C2759), _xlfn.XLOOKUP($A2760, 'Instrument Table'!$H:$H, 'Instrument Table'!$B:$B, $C2759)))</f>
        <v>Tuba</v>
      </c>
      <c r="D2760" s="1" t="str">
        <f>VLOOKUP($C2760, 'Instrument Table'!$B:$C, 2, FALSE)</f>
        <v>Brass</v>
      </c>
      <c r="E2760" s="1">
        <f t="shared" si="258"/>
        <v>1</v>
      </c>
      <c r="F2760" s="1">
        <f>_xlfn.XLOOKUP($C2760, 'Instrument Table'!$B:$B, 'Instrument Table'!$A:$A, "")</f>
        <v>43</v>
      </c>
      <c r="G2760" s="1" t="str">
        <f>TEXT(IF($B2760 = "Retail Item", IF((ROW($A2760) - 4504 - _xlfn.XMATCH($C2760, $C$4506:$C$5005, 0, 1)) &lt;= VLOOKUP($C2760, 'Instrument Table'!$B:$D, 3, FALSE), ROW($A2760) - 4504 - _xlfn.XMATCH($C2760, $C$4506:$C$5005, 0, 1), 0), 0), "00")</f>
        <v>00</v>
      </c>
      <c r="H2760" s="1" t="str">
        <f t="shared" si="259"/>
        <v>004</v>
      </c>
      <c r="I2760" s="1" t="str">
        <f t="shared" si="260"/>
        <v>14300-004</v>
      </c>
      <c r="J2760" s="1" t="str">
        <f t="shared" si="261"/>
        <v>Tuba production item #004</v>
      </c>
      <c r="K2760" s="1" t="str">
        <f>IF(SUM(COUNTIFS(I:I, I2760)) &gt; 1, "DUPLICATE", "UNIQUE")</f>
        <v>UNIQUE</v>
      </c>
      <c r="L2760" s="18">
        <v>1</v>
      </c>
      <c r="M2760" s="28">
        <v>20</v>
      </c>
      <c r="N2760" s="6">
        <v>16</v>
      </c>
      <c r="O2760" s="30">
        <f t="shared" si="262"/>
        <v>20</v>
      </c>
      <c r="P2760" s="30">
        <f t="shared" si="263"/>
        <v>320</v>
      </c>
      <c r="Q2760" s="1">
        <f>COUNTIFS($P:$P, "&gt;" &amp; $P2760) + 1</f>
        <v>4192</v>
      </c>
      <c r="R2760" s="63">
        <f>(COUNTIFS($P:$P, "&gt;" &amp; $P2760) + 1) / (COUNTA($I:$I) - 1)</f>
        <v>0.83840000000000003</v>
      </c>
      <c r="S2760" s="23">
        <f>SUMIFS($P:$P, $Q:$Q, "&lt;" &amp; $Q2760)</f>
        <v>186477838</v>
      </c>
    </row>
    <row r="2761" spans="1:19" x14ac:dyDescent="0.25">
      <c r="A2761" s="1">
        <v>2756</v>
      </c>
      <c r="B2761" s="1" t="s">
        <v>2</v>
      </c>
      <c r="C2761" s="1" t="str">
        <f>IF($B2761 = "Production Item", _xlfn.XLOOKUP($A2761, 'Instrument Table'!$J:$J, 'Instrument Table'!$B:$B, $C2760), IF($B2761 = "Service Item", _xlfn.XLOOKUP($A2761, 'Instrument Table'!$I:$I, 'Instrument Table'!$B:$B, $C2760), _xlfn.XLOOKUP($A2761, 'Instrument Table'!$H:$H, 'Instrument Table'!$B:$B, $C2760)))</f>
        <v>Tuba</v>
      </c>
      <c r="D2761" s="1" t="str">
        <f>VLOOKUP($C2761, 'Instrument Table'!$B:$C, 2, FALSE)</f>
        <v>Brass</v>
      </c>
      <c r="E2761" s="1">
        <f t="shared" si="258"/>
        <v>1</v>
      </c>
      <c r="F2761" s="1">
        <f>_xlfn.XLOOKUP($C2761, 'Instrument Table'!$B:$B, 'Instrument Table'!$A:$A, "")</f>
        <v>43</v>
      </c>
      <c r="G2761" s="1" t="str">
        <f>TEXT(IF($B2761 = "Retail Item", IF((ROW($A2761) - 4504 - _xlfn.XMATCH($C2761, $C$4506:$C$5005, 0, 1)) &lt;= VLOOKUP($C2761, 'Instrument Table'!$B:$D, 3, FALSE), ROW($A2761) - 4504 - _xlfn.XMATCH($C2761, $C$4506:$C$5005, 0, 1), 0), 0), "00")</f>
        <v>00</v>
      </c>
      <c r="H2761" s="1" t="str">
        <f t="shared" si="259"/>
        <v>005</v>
      </c>
      <c r="I2761" s="1" t="str">
        <f t="shared" si="260"/>
        <v>14300-005</v>
      </c>
      <c r="J2761" s="1" t="str">
        <f t="shared" si="261"/>
        <v>Tuba production item #005</v>
      </c>
      <c r="K2761" s="1" t="str">
        <f>IF(SUM(COUNTIFS(I:I, I2761)) &gt; 1, "DUPLICATE", "UNIQUE")</f>
        <v>UNIQUE</v>
      </c>
      <c r="L2761" s="18">
        <v>32</v>
      </c>
      <c r="M2761" s="28">
        <v>42</v>
      </c>
      <c r="N2761" s="6">
        <v>0</v>
      </c>
      <c r="O2761" s="30">
        <f t="shared" si="262"/>
        <v>1344</v>
      </c>
      <c r="P2761" s="30">
        <f t="shared" si="263"/>
        <v>0</v>
      </c>
      <c r="Q2761" s="1">
        <f>COUNTIFS($P:$P, "&gt;" &amp; $P2761) + 1</f>
        <v>4746</v>
      </c>
      <c r="R2761" s="63">
        <f>(COUNTIFS($P:$P, "&gt;" &amp; $P2761) + 1) / (COUNTA($I:$I) - 1)</f>
        <v>0.94920000000000004</v>
      </c>
      <c r="S2761" s="23">
        <f>SUMIFS($P:$P, $Q:$Q, "&lt;" &amp; $Q2761)</f>
        <v>186547861</v>
      </c>
    </row>
    <row r="2762" spans="1:19" x14ac:dyDescent="0.25">
      <c r="A2762" s="1">
        <v>2757</v>
      </c>
      <c r="B2762" s="1" t="s">
        <v>2</v>
      </c>
      <c r="C2762" s="1" t="str">
        <f>IF($B2762 = "Production Item", _xlfn.XLOOKUP($A2762, 'Instrument Table'!$J:$J, 'Instrument Table'!$B:$B, $C2761), IF($B2762 = "Service Item", _xlfn.XLOOKUP($A2762, 'Instrument Table'!$I:$I, 'Instrument Table'!$B:$B, $C2761), _xlfn.XLOOKUP($A2762, 'Instrument Table'!$H:$H, 'Instrument Table'!$B:$B, $C2761)))</f>
        <v>Tuba</v>
      </c>
      <c r="D2762" s="1" t="str">
        <f>VLOOKUP($C2762, 'Instrument Table'!$B:$C, 2, FALSE)</f>
        <v>Brass</v>
      </c>
      <c r="E2762" s="1">
        <f t="shared" si="258"/>
        <v>1</v>
      </c>
      <c r="F2762" s="1">
        <f>_xlfn.XLOOKUP($C2762, 'Instrument Table'!$B:$B, 'Instrument Table'!$A:$A, "")</f>
        <v>43</v>
      </c>
      <c r="G2762" s="1" t="str">
        <f>TEXT(IF($B2762 = "Retail Item", IF((ROW($A2762) - 4504 - _xlfn.XMATCH($C2762, $C$4506:$C$5005, 0, 1)) &lt;= VLOOKUP($C2762, 'Instrument Table'!$B:$D, 3, FALSE), ROW($A2762) - 4504 - _xlfn.XMATCH($C2762, $C$4506:$C$5005, 0, 1), 0), 0), "00")</f>
        <v>00</v>
      </c>
      <c r="H2762" s="1" t="str">
        <f t="shared" si="259"/>
        <v>006</v>
      </c>
      <c r="I2762" s="1" t="str">
        <f t="shared" si="260"/>
        <v>14300-006</v>
      </c>
      <c r="J2762" s="1" t="str">
        <f t="shared" si="261"/>
        <v>Tuba production item #006</v>
      </c>
      <c r="K2762" s="1" t="str">
        <f>IF(SUM(COUNTIFS(I:I, I2762)) &gt; 1, "DUPLICATE", "UNIQUE")</f>
        <v>UNIQUE</v>
      </c>
      <c r="L2762" s="18">
        <v>0</v>
      </c>
      <c r="M2762" s="28">
        <v>98</v>
      </c>
      <c r="N2762" s="6">
        <v>36</v>
      </c>
      <c r="O2762" s="30">
        <f t="shared" si="262"/>
        <v>0</v>
      </c>
      <c r="P2762" s="30">
        <f t="shared" si="263"/>
        <v>3528</v>
      </c>
      <c r="Q2762" s="1">
        <f>COUNTIFS($P:$P, "&gt;" &amp; $P2762) + 1</f>
        <v>2761</v>
      </c>
      <c r="R2762" s="63">
        <f>(COUNTIFS($P:$P, "&gt;" &amp; $P2762) + 1) / (COUNTA($I:$I) - 1)</f>
        <v>0.55220000000000002</v>
      </c>
      <c r="S2762" s="23">
        <f>SUMIFS($P:$P, $Q:$Q, "&lt;" &amp; $Q2762)</f>
        <v>184189975</v>
      </c>
    </row>
    <row r="2763" spans="1:19" x14ac:dyDescent="0.25">
      <c r="A2763" s="1">
        <v>2758</v>
      </c>
      <c r="B2763" s="1" t="s">
        <v>2</v>
      </c>
      <c r="C2763" s="1" t="str">
        <f>IF($B2763 = "Production Item", _xlfn.XLOOKUP($A2763, 'Instrument Table'!$J:$J, 'Instrument Table'!$B:$B, $C2762), IF($B2763 = "Service Item", _xlfn.XLOOKUP($A2763, 'Instrument Table'!$I:$I, 'Instrument Table'!$B:$B, $C2762), _xlfn.XLOOKUP($A2763, 'Instrument Table'!$H:$H, 'Instrument Table'!$B:$B, $C2762)))</f>
        <v>Tuba</v>
      </c>
      <c r="D2763" s="1" t="str">
        <f>VLOOKUP($C2763, 'Instrument Table'!$B:$C, 2, FALSE)</f>
        <v>Brass</v>
      </c>
      <c r="E2763" s="1">
        <f t="shared" si="258"/>
        <v>1</v>
      </c>
      <c r="F2763" s="1">
        <f>_xlfn.XLOOKUP($C2763, 'Instrument Table'!$B:$B, 'Instrument Table'!$A:$A, "")</f>
        <v>43</v>
      </c>
      <c r="G2763" s="1" t="str">
        <f>TEXT(IF($B2763 = "Retail Item", IF((ROW($A2763) - 4504 - _xlfn.XMATCH($C2763, $C$4506:$C$5005, 0, 1)) &lt;= VLOOKUP($C2763, 'Instrument Table'!$B:$D, 3, FALSE), ROW($A2763) - 4504 - _xlfn.XMATCH($C2763, $C$4506:$C$5005, 0, 1), 0), 0), "00")</f>
        <v>00</v>
      </c>
      <c r="H2763" s="1" t="str">
        <f t="shared" si="259"/>
        <v>007</v>
      </c>
      <c r="I2763" s="1" t="str">
        <f t="shared" si="260"/>
        <v>14300-007</v>
      </c>
      <c r="J2763" s="1" t="str">
        <f t="shared" si="261"/>
        <v>Tuba production item #007</v>
      </c>
      <c r="K2763" s="1" t="str">
        <f>IF(SUM(COUNTIFS(I:I, I2763)) &gt; 1, "DUPLICATE", "UNIQUE")</f>
        <v>UNIQUE</v>
      </c>
      <c r="L2763" s="18">
        <v>2</v>
      </c>
      <c r="M2763" s="28">
        <v>11</v>
      </c>
      <c r="N2763" s="6">
        <v>1</v>
      </c>
      <c r="O2763" s="30">
        <f t="shared" si="262"/>
        <v>22</v>
      </c>
      <c r="P2763" s="30">
        <f t="shared" si="263"/>
        <v>11</v>
      </c>
      <c r="Q2763" s="1">
        <f>COUNTIFS($P:$P, "&gt;" &amp; $P2763) + 1</f>
        <v>4717</v>
      </c>
      <c r="R2763" s="63">
        <f>(COUNTIFS($P:$P, "&gt;" &amp; $P2763) + 1) / (COUNTA($I:$I) - 1)</f>
        <v>0.94340000000000002</v>
      </c>
      <c r="S2763" s="23">
        <f>SUMIFS($P:$P, $Q:$Q, "&lt;" &amp; $Q2763)</f>
        <v>186547660</v>
      </c>
    </row>
    <row r="2764" spans="1:19" x14ac:dyDescent="0.25">
      <c r="A2764" s="1">
        <v>2759</v>
      </c>
      <c r="B2764" s="1" t="s">
        <v>2</v>
      </c>
      <c r="C2764" s="1" t="str">
        <f>IF($B2764 = "Production Item", _xlfn.XLOOKUP($A2764, 'Instrument Table'!$J:$J, 'Instrument Table'!$B:$B, $C2763), IF($B2764 = "Service Item", _xlfn.XLOOKUP($A2764, 'Instrument Table'!$I:$I, 'Instrument Table'!$B:$B, $C2763), _xlfn.XLOOKUP($A2764, 'Instrument Table'!$H:$H, 'Instrument Table'!$B:$B, $C2763)))</f>
        <v>Tuba</v>
      </c>
      <c r="D2764" s="1" t="str">
        <f>VLOOKUP($C2764, 'Instrument Table'!$B:$C, 2, FALSE)</f>
        <v>Brass</v>
      </c>
      <c r="E2764" s="1">
        <f t="shared" si="258"/>
        <v>1</v>
      </c>
      <c r="F2764" s="1">
        <f>_xlfn.XLOOKUP($C2764, 'Instrument Table'!$B:$B, 'Instrument Table'!$A:$A, "")</f>
        <v>43</v>
      </c>
      <c r="G2764" s="1" t="str">
        <f>TEXT(IF($B2764 = "Retail Item", IF((ROW($A2764) - 4504 - _xlfn.XMATCH($C2764, $C$4506:$C$5005, 0, 1)) &lt;= VLOOKUP($C2764, 'Instrument Table'!$B:$D, 3, FALSE), ROW($A2764) - 4504 - _xlfn.XMATCH($C2764, $C$4506:$C$5005, 0, 1), 0), 0), "00")</f>
        <v>00</v>
      </c>
      <c r="H2764" s="1" t="str">
        <f t="shared" si="259"/>
        <v>008</v>
      </c>
      <c r="I2764" s="1" t="str">
        <f t="shared" si="260"/>
        <v>14300-008</v>
      </c>
      <c r="J2764" s="1" t="str">
        <f t="shared" si="261"/>
        <v>Tuba production item #008</v>
      </c>
      <c r="K2764" s="1" t="str">
        <f>IF(SUM(COUNTIFS(I:I, I2764)) &gt; 1, "DUPLICATE", "UNIQUE")</f>
        <v>UNIQUE</v>
      </c>
      <c r="L2764" s="18">
        <v>0</v>
      </c>
      <c r="M2764" s="28">
        <v>76</v>
      </c>
      <c r="N2764" s="6">
        <v>144</v>
      </c>
      <c r="O2764" s="30">
        <f t="shared" si="262"/>
        <v>0</v>
      </c>
      <c r="P2764" s="30">
        <f t="shared" si="263"/>
        <v>10944</v>
      </c>
      <c r="Q2764" s="1">
        <f>COUNTIFS($P:$P, "&gt;" &amp; $P2764) + 1</f>
        <v>1690</v>
      </c>
      <c r="R2764" s="63">
        <f>(COUNTIFS($P:$P, "&gt;" &amp; $P2764) + 1) / (COUNTA($I:$I) - 1)</f>
        <v>0.33800000000000002</v>
      </c>
      <c r="S2764" s="23">
        <f>SUMIFS($P:$P, $Q:$Q, "&lt;" &amp; $Q2764)</f>
        <v>177104550</v>
      </c>
    </row>
    <row r="2765" spans="1:19" x14ac:dyDescent="0.25">
      <c r="A2765" s="1">
        <v>2760</v>
      </c>
      <c r="B2765" s="1" t="s">
        <v>2</v>
      </c>
      <c r="C2765" s="1" t="str">
        <f>IF($B2765 = "Production Item", _xlfn.XLOOKUP($A2765, 'Instrument Table'!$J:$J, 'Instrument Table'!$B:$B, $C2764), IF($B2765 = "Service Item", _xlfn.XLOOKUP($A2765, 'Instrument Table'!$I:$I, 'Instrument Table'!$B:$B, $C2764), _xlfn.XLOOKUP($A2765, 'Instrument Table'!$H:$H, 'Instrument Table'!$B:$B, $C2764)))</f>
        <v>Tuba</v>
      </c>
      <c r="D2765" s="1" t="str">
        <f>VLOOKUP($C2765, 'Instrument Table'!$B:$C, 2, FALSE)</f>
        <v>Brass</v>
      </c>
      <c r="E2765" s="1">
        <f t="shared" si="258"/>
        <v>1</v>
      </c>
      <c r="F2765" s="1">
        <f>_xlfn.XLOOKUP($C2765, 'Instrument Table'!$B:$B, 'Instrument Table'!$A:$A, "")</f>
        <v>43</v>
      </c>
      <c r="G2765" s="1" t="str">
        <f>TEXT(IF($B2765 = "Retail Item", IF((ROW($A2765) - 4504 - _xlfn.XMATCH($C2765, $C$4506:$C$5005, 0, 1)) &lt;= VLOOKUP($C2765, 'Instrument Table'!$B:$D, 3, FALSE), ROW($A2765) - 4504 - _xlfn.XMATCH($C2765, $C$4506:$C$5005, 0, 1), 0), 0), "00")</f>
        <v>00</v>
      </c>
      <c r="H2765" s="1" t="str">
        <f t="shared" si="259"/>
        <v>009</v>
      </c>
      <c r="I2765" s="1" t="str">
        <f t="shared" si="260"/>
        <v>14300-009</v>
      </c>
      <c r="J2765" s="1" t="str">
        <f t="shared" si="261"/>
        <v>Tuba production item #009</v>
      </c>
      <c r="K2765" s="1" t="str">
        <f>IF(SUM(COUNTIFS(I:I, I2765)) &gt; 1, "DUPLICATE", "UNIQUE")</f>
        <v>UNIQUE</v>
      </c>
      <c r="L2765" s="18">
        <v>1</v>
      </c>
      <c r="M2765" s="28">
        <v>5</v>
      </c>
      <c r="N2765" s="6">
        <v>169</v>
      </c>
      <c r="O2765" s="30">
        <f t="shared" si="262"/>
        <v>5</v>
      </c>
      <c r="P2765" s="30">
        <f t="shared" si="263"/>
        <v>845</v>
      </c>
      <c r="Q2765" s="1">
        <f>COUNTIFS($P:$P, "&gt;" &amp; $P2765) + 1</f>
        <v>3766</v>
      </c>
      <c r="R2765" s="63">
        <f>(COUNTIFS($P:$P, "&gt;" &amp; $P2765) + 1) / (COUNTA($I:$I) - 1)</f>
        <v>0.75319999999999998</v>
      </c>
      <c r="S2765" s="23">
        <f>SUMIFS($P:$P, $Q:$Q, "&lt;" &amp; $Q2765)</f>
        <v>186237874</v>
      </c>
    </row>
    <row r="2766" spans="1:19" x14ac:dyDescent="0.25">
      <c r="A2766" s="1">
        <v>2761</v>
      </c>
      <c r="B2766" s="1" t="s">
        <v>2</v>
      </c>
      <c r="C2766" s="1" t="str">
        <f>IF($B2766 = "Production Item", _xlfn.XLOOKUP($A2766, 'Instrument Table'!$J:$J, 'Instrument Table'!$B:$B, $C2765), IF($B2766 = "Service Item", _xlfn.XLOOKUP($A2766, 'Instrument Table'!$I:$I, 'Instrument Table'!$B:$B, $C2765), _xlfn.XLOOKUP($A2766, 'Instrument Table'!$H:$H, 'Instrument Table'!$B:$B, $C2765)))</f>
        <v>Tuba</v>
      </c>
      <c r="D2766" s="1" t="str">
        <f>VLOOKUP($C2766, 'Instrument Table'!$B:$C, 2, FALSE)</f>
        <v>Brass</v>
      </c>
      <c r="E2766" s="1">
        <f t="shared" si="258"/>
        <v>1</v>
      </c>
      <c r="F2766" s="1">
        <f>_xlfn.XLOOKUP($C2766, 'Instrument Table'!$B:$B, 'Instrument Table'!$A:$A, "")</f>
        <v>43</v>
      </c>
      <c r="G2766" s="1" t="str">
        <f>TEXT(IF($B2766 = "Retail Item", IF((ROW($A2766) - 4504 - _xlfn.XMATCH($C2766, $C$4506:$C$5005, 0, 1)) &lt;= VLOOKUP($C2766, 'Instrument Table'!$B:$D, 3, FALSE), ROW($A2766) - 4504 - _xlfn.XMATCH($C2766, $C$4506:$C$5005, 0, 1), 0), 0), "00")</f>
        <v>00</v>
      </c>
      <c r="H2766" s="1" t="str">
        <f t="shared" si="259"/>
        <v>010</v>
      </c>
      <c r="I2766" s="1" t="str">
        <f t="shared" si="260"/>
        <v>14300-010</v>
      </c>
      <c r="J2766" s="1" t="str">
        <f t="shared" si="261"/>
        <v>Tuba production item #010</v>
      </c>
      <c r="K2766" s="1" t="str">
        <f>IF(SUM(COUNTIFS(I:I, I2766)) &gt; 1, "DUPLICATE", "UNIQUE")</f>
        <v>UNIQUE</v>
      </c>
      <c r="L2766" s="18">
        <v>1</v>
      </c>
      <c r="M2766" s="28">
        <v>27</v>
      </c>
      <c r="N2766" s="6">
        <v>4</v>
      </c>
      <c r="O2766" s="30">
        <f t="shared" si="262"/>
        <v>27</v>
      </c>
      <c r="P2766" s="30">
        <f t="shared" si="263"/>
        <v>108</v>
      </c>
      <c r="Q2766" s="1">
        <f>COUNTIFS($P:$P, "&gt;" &amp; $P2766) + 1</f>
        <v>4438</v>
      </c>
      <c r="R2766" s="63">
        <f>(COUNTIFS($P:$P, "&gt;" &amp; $P2766) + 1) / (COUNTA($I:$I) - 1)</f>
        <v>0.88759999999999994</v>
      </c>
      <c r="S2766" s="23">
        <f>SUMIFS($P:$P, $Q:$Q, "&lt;" &amp; $Q2766)</f>
        <v>186530920</v>
      </c>
    </row>
    <row r="2767" spans="1:19" x14ac:dyDescent="0.25">
      <c r="A2767" s="1">
        <v>2762</v>
      </c>
      <c r="B2767" s="1" t="s">
        <v>2</v>
      </c>
      <c r="C2767" s="1" t="str">
        <f>IF($B2767 = "Production Item", _xlfn.XLOOKUP($A2767, 'Instrument Table'!$J:$J, 'Instrument Table'!$B:$B, $C2766), IF($B2767 = "Service Item", _xlfn.XLOOKUP($A2767, 'Instrument Table'!$I:$I, 'Instrument Table'!$B:$B, $C2766), _xlfn.XLOOKUP($A2767, 'Instrument Table'!$H:$H, 'Instrument Table'!$B:$B, $C2766)))</f>
        <v>Tuba</v>
      </c>
      <c r="D2767" s="1" t="str">
        <f>VLOOKUP($C2767, 'Instrument Table'!$B:$C, 2, FALSE)</f>
        <v>Brass</v>
      </c>
      <c r="E2767" s="1">
        <f t="shared" si="258"/>
        <v>1</v>
      </c>
      <c r="F2767" s="1">
        <f>_xlfn.XLOOKUP($C2767, 'Instrument Table'!$B:$B, 'Instrument Table'!$A:$A, "")</f>
        <v>43</v>
      </c>
      <c r="G2767" s="1" t="str">
        <f>TEXT(IF($B2767 = "Retail Item", IF((ROW($A2767) - 4504 - _xlfn.XMATCH($C2767, $C$4506:$C$5005, 0, 1)) &lt;= VLOOKUP($C2767, 'Instrument Table'!$B:$D, 3, FALSE), ROW($A2767) - 4504 - _xlfn.XMATCH($C2767, $C$4506:$C$5005, 0, 1), 0), 0), "00")</f>
        <v>00</v>
      </c>
      <c r="H2767" s="1" t="str">
        <f t="shared" si="259"/>
        <v>011</v>
      </c>
      <c r="I2767" s="1" t="str">
        <f t="shared" si="260"/>
        <v>14300-011</v>
      </c>
      <c r="J2767" s="1" t="str">
        <f t="shared" si="261"/>
        <v>Tuba production item #011</v>
      </c>
      <c r="K2767" s="1" t="str">
        <f>IF(SUM(COUNTIFS(I:I, I2767)) &gt; 1, "DUPLICATE", "UNIQUE")</f>
        <v>UNIQUE</v>
      </c>
      <c r="L2767" s="18">
        <v>1</v>
      </c>
      <c r="M2767" s="28">
        <v>47</v>
      </c>
      <c r="N2767" s="6">
        <v>361</v>
      </c>
      <c r="O2767" s="30">
        <f t="shared" si="262"/>
        <v>47</v>
      </c>
      <c r="P2767" s="30">
        <f t="shared" si="263"/>
        <v>16967</v>
      </c>
      <c r="Q2767" s="1">
        <f>COUNTIFS($P:$P, "&gt;" &amp; $P2767) + 1</f>
        <v>1214</v>
      </c>
      <c r="R2767" s="63">
        <f>(COUNTIFS($P:$P, "&gt;" &amp; $P2767) + 1) / (COUNTA($I:$I) - 1)</f>
        <v>0.24279999999999999</v>
      </c>
      <c r="S2767" s="23">
        <f>SUMIFS($P:$P, $Q:$Q, "&lt;" &amp; $Q2767)</f>
        <v>170566712</v>
      </c>
    </row>
    <row r="2768" spans="1:19" x14ac:dyDescent="0.25">
      <c r="A2768" s="1">
        <v>2763</v>
      </c>
      <c r="B2768" s="1" t="s">
        <v>2</v>
      </c>
      <c r="C2768" s="1" t="str">
        <f>IF($B2768 = "Production Item", _xlfn.XLOOKUP($A2768, 'Instrument Table'!$J:$J, 'Instrument Table'!$B:$B, $C2767), IF($B2768 = "Service Item", _xlfn.XLOOKUP($A2768, 'Instrument Table'!$I:$I, 'Instrument Table'!$B:$B, $C2767), _xlfn.XLOOKUP($A2768, 'Instrument Table'!$H:$H, 'Instrument Table'!$B:$B, $C2767)))</f>
        <v>Tuba</v>
      </c>
      <c r="D2768" s="1" t="str">
        <f>VLOOKUP($C2768, 'Instrument Table'!$B:$C, 2, FALSE)</f>
        <v>Brass</v>
      </c>
      <c r="E2768" s="1">
        <f t="shared" si="258"/>
        <v>1</v>
      </c>
      <c r="F2768" s="1">
        <f>_xlfn.XLOOKUP($C2768, 'Instrument Table'!$B:$B, 'Instrument Table'!$A:$A, "")</f>
        <v>43</v>
      </c>
      <c r="G2768" s="1" t="str">
        <f>TEXT(IF($B2768 = "Retail Item", IF((ROW($A2768) - 4504 - _xlfn.XMATCH($C2768, $C$4506:$C$5005, 0, 1)) &lt;= VLOOKUP($C2768, 'Instrument Table'!$B:$D, 3, FALSE), ROW($A2768) - 4504 - _xlfn.XMATCH($C2768, $C$4506:$C$5005, 0, 1), 0), 0), "00")</f>
        <v>00</v>
      </c>
      <c r="H2768" s="1" t="str">
        <f t="shared" si="259"/>
        <v>012</v>
      </c>
      <c r="I2768" s="1" t="str">
        <f t="shared" si="260"/>
        <v>14300-012</v>
      </c>
      <c r="J2768" s="1" t="str">
        <f t="shared" si="261"/>
        <v>Tuba production item #012</v>
      </c>
      <c r="K2768" s="1" t="str">
        <f>IF(SUM(COUNTIFS(I:I, I2768)) &gt; 1, "DUPLICATE", "UNIQUE")</f>
        <v>UNIQUE</v>
      </c>
      <c r="L2768" s="18">
        <v>1</v>
      </c>
      <c r="M2768" s="28">
        <v>80</v>
      </c>
      <c r="N2768" s="6">
        <v>49</v>
      </c>
      <c r="O2768" s="30">
        <f t="shared" si="262"/>
        <v>80</v>
      </c>
      <c r="P2768" s="30">
        <f t="shared" si="263"/>
        <v>3920</v>
      </c>
      <c r="Q2768" s="1">
        <f>COUNTIFS($P:$P, "&gt;" &amp; $P2768) + 1</f>
        <v>2667</v>
      </c>
      <c r="R2768" s="63">
        <f>(COUNTIFS($P:$P, "&gt;" &amp; $P2768) + 1) / (COUNTA($I:$I) - 1)</f>
        <v>0.53339999999999999</v>
      </c>
      <c r="S2768" s="23">
        <f>SUMIFS($P:$P, $Q:$Q, "&lt;" &amp; $Q2768)</f>
        <v>183838824</v>
      </c>
    </row>
    <row r="2769" spans="1:19" x14ac:dyDescent="0.25">
      <c r="A2769" s="1">
        <v>2764</v>
      </c>
      <c r="B2769" s="1" t="s">
        <v>2</v>
      </c>
      <c r="C2769" s="1" t="str">
        <f>IF($B2769 = "Production Item", _xlfn.XLOOKUP($A2769, 'Instrument Table'!$J:$J, 'Instrument Table'!$B:$B, $C2768), IF($B2769 = "Service Item", _xlfn.XLOOKUP($A2769, 'Instrument Table'!$I:$I, 'Instrument Table'!$B:$B, $C2768), _xlfn.XLOOKUP($A2769, 'Instrument Table'!$H:$H, 'Instrument Table'!$B:$B, $C2768)))</f>
        <v>Tuba</v>
      </c>
      <c r="D2769" s="1" t="str">
        <f>VLOOKUP($C2769, 'Instrument Table'!$B:$C, 2, FALSE)</f>
        <v>Brass</v>
      </c>
      <c r="E2769" s="1">
        <f t="shared" si="258"/>
        <v>1</v>
      </c>
      <c r="F2769" s="1">
        <f>_xlfn.XLOOKUP($C2769, 'Instrument Table'!$B:$B, 'Instrument Table'!$A:$A, "")</f>
        <v>43</v>
      </c>
      <c r="G2769" s="1" t="str">
        <f>TEXT(IF($B2769 = "Retail Item", IF((ROW($A2769) - 4504 - _xlfn.XMATCH($C2769, $C$4506:$C$5005, 0, 1)) &lt;= VLOOKUP($C2769, 'Instrument Table'!$B:$D, 3, FALSE), ROW($A2769) - 4504 - _xlfn.XMATCH($C2769, $C$4506:$C$5005, 0, 1), 0), 0), "00")</f>
        <v>00</v>
      </c>
      <c r="H2769" s="1" t="str">
        <f t="shared" si="259"/>
        <v>013</v>
      </c>
      <c r="I2769" s="1" t="str">
        <f t="shared" si="260"/>
        <v>14300-013</v>
      </c>
      <c r="J2769" s="1" t="str">
        <f t="shared" si="261"/>
        <v>Tuba production item #013</v>
      </c>
      <c r="K2769" s="1" t="str">
        <f>IF(SUM(COUNTIFS(I:I, I2769)) &gt; 1, "DUPLICATE", "UNIQUE")</f>
        <v>UNIQUE</v>
      </c>
      <c r="L2769" s="18">
        <v>4</v>
      </c>
      <c r="M2769" s="28">
        <v>39</v>
      </c>
      <c r="N2769" s="6">
        <v>225</v>
      </c>
      <c r="O2769" s="30">
        <f t="shared" si="262"/>
        <v>156</v>
      </c>
      <c r="P2769" s="30">
        <f t="shared" si="263"/>
        <v>8775</v>
      </c>
      <c r="Q2769" s="1">
        <f>COUNTIFS($P:$P, "&gt;" &amp; $P2769) + 1</f>
        <v>1904</v>
      </c>
      <c r="R2769" s="63">
        <f>(COUNTIFS($P:$P, "&gt;" &amp; $P2769) + 1) / (COUNTA($I:$I) - 1)</f>
        <v>0.38080000000000003</v>
      </c>
      <c r="S2769" s="23">
        <f>SUMIFS($P:$P, $Q:$Q, "&lt;" &amp; $Q2769)</f>
        <v>179198663</v>
      </c>
    </row>
    <row r="2770" spans="1:19" x14ac:dyDescent="0.25">
      <c r="A2770" s="1">
        <v>2765</v>
      </c>
      <c r="B2770" s="1" t="s">
        <v>2</v>
      </c>
      <c r="C2770" s="1" t="str">
        <f>IF($B2770 = "Production Item", _xlfn.XLOOKUP($A2770, 'Instrument Table'!$J:$J, 'Instrument Table'!$B:$B, $C2769), IF($B2770 = "Service Item", _xlfn.XLOOKUP($A2770, 'Instrument Table'!$I:$I, 'Instrument Table'!$B:$B, $C2769), _xlfn.XLOOKUP($A2770, 'Instrument Table'!$H:$H, 'Instrument Table'!$B:$B, $C2769)))</f>
        <v>Tuba</v>
      </c>
      <c r="D2770" s="1" t="str">
        <f>VLOOKUP($C2770, 'Instrument Table'!$B:$C, 2, FALSE)</f>
        <v>Brass</v>
      </c>
      <c r="E2770" s="1">
        <f t="shared" si="258"/>
        <v>1</v>
      </c>
      <c r="F2770" s="1">
        <f>_xlfn.XLOOKUP($C2770, 'Instrument Table'!$B:$B, 'Instrument Table'!$A:$A, "")</f>
        <v>43</v>
      </c>
      <c r="G2770" s="1" t="str">
        <f>TEXT(IF($B2770 = "Retail Item", IF((ROW($A2770) - 4504 - _xlfn.XMATCH($C2770, $C$4506:$C$5005, 0, 1)) &lt;= VLOOKUP($C2770, 'Instrument Table'!$B:$D, 3, FALSE), ROW($A2770) - 4504 - _xlfn.XMATCH($C2770, $C$4506:$C$5005, 0, 1), 0), 0), "00")</f>
        <v>00</v>
      </c>
      <c r="H2770" s="1" t="str">
        <f t="shared" si="259"/>
        <v>014</v>
      </c>
      <c r="I2770" s="1" t="str">
        <f t="shared" si="260"/>
        <v>14300-014</v>
      </c>
      <c r="J2770" s="1" t="str">
        <f t="shared" si="261"/>
        <v>Tuba production item #014</v>
      </c>
      <c r="K2770" s="1" t="str">
        <f>IF(SUM(COUNTIFS(I:I, I2770)) &gt; 1, "DUPLICATE", "UNIQUE")</f>
        <v>UNIQUE</v>
      </c>
      <c r="L2770" s="18">
        <v>1</v>
      </c>
      <c r="M2770" s="28">
        <v>55</v>
      </c>
      <c r="N2770" s="6">
        <v>16</v>
      </c>
      <c r="O2770" s="30">
        <f t="shared" si="262"/>
        <v>55</v>
      </c>
      <c r="P2770" s="30">
        <f t="shared" si="263"/>
        <v>880</v>
      </c>
      <c r="Q2770" s="1">
        <f>COUNTIFS($P:$P, "&gt;" &amp; $P2770) + 1</f>
        <v>3738</v>
      </c>
      <c r="R2770" s="63">
        <f>(COUNTIFS($P:$P, "&gt;" &amp; $P2770) + 1) / (COUNTA($I:$I) - 1)</f>
        <v>0.74760000000000004</v>
      </c>
      <c r="S2770" s="23">
        <f>SUMIFS($P:$P, $Q:$Q, "&lt;" &amp; $Q2770)</f>
        <v>186213678</v>
      </c>
    </row>
    <row r="2771" spans="1:19" x14ac:dyDescent="0.25">
      <c r="A2771" s="1">
        <v>2766</v>
      </c>
      <c r="B2771" s="1" t="s">
        <v>2</v>
      </c>
      <c r="C2771" s="1" t="str">
        <f>IF($B2771 = "Production Item", _xlfn.XLOOKUP($A2771, 'Instrument Table'!$J:$J, 'Instrument Table'!$B:$B, $C2770), IF($B2771 = "Service Item", _xlfn.XLOOKUP($A2771, 'Instrument Table'!$I:$I, 'Instrument Table'!$B:$B, $C2770), _xlfn.XLOOKUP($A2771, 'Instrument Table'!$H:$H, 'Instrument Table'!$B:$B, $C2770)))</f>
        <v>Tuba</v>
      </c>
      <c r="D2771" s="1" t="str">
        <f>VLOOKUP($C2771, 'Instrument Table'!$B:$C, 2, FALSE)</f>
        <v>Brass</v>
      </c>
      <c r="E2771" s="1">
        <f t="shared" si="258"/>
        <v>1</v>
      </c>
      <c r="F2771" s="1">
        <f>_xlfn.XLOOKUP($C2771, 'Instrument Table'!$B:$B, 'Instrument Table'!$A:$A, "")</f>
        <v>43</v>
      </c>
      <c r="G2771" s="1" t="str">
        <f>TEXT(IF($B2771 = "Retail Item", IF((ROW($A2771) - 4504 - _xlfn.XMATCH($C2771, $C$4506:$C$5005, 0, 1)) &lt;= VLOOKUP($C2771, 'Instrument Table'!$B:$D, 3, FALSE), ROW($A2771) - 4504 - _xlfn.XMATCH($C2771, $C$4506:$C$5005, 0, 1), 0), 0), "00")</f>
        <v>00</v>
      </c>
      <c r="H2771" s="1" t="str">
        <f t="shared" si="259"/>
        <v>015</v>
      </c>
      <c r="I2771" s="1" t="str">
        <f t="shared" si="260"/>
        <v>14300-015</v>
      </c>
      <c r="J2771" s="1" t="str">
        <f t="shared" si="261"/>
        <v>Tuba production item #015</v>
      </c>
      <c r="K2771" s="1" t="str">
        <f>IF(SUM(COUNTIFS(I:I, I2771)) &gt; 1, "DUPLICATE", "UNIQUE")</f>
        <v>UNIQUE</v>
      </c>
      <c r="L2771" s="18">
        <v>1</v>
      </c>
      <c r="M2771" s="28">
        <v>46</v>
      </c>
      <c r="N2771" s="6">
        <v>324</v>
      </c>
      <c r="O2771" s="30">
        <f t="shared" si="262"/>
        <v>46</v>
      </c>
      <c r="P2771" s="30">
        <f t="shared" si="263"/>
        <v>14904</v>
      </c>
      <c r="Q2771" s="1">
        <f>COUNTIFS($P:$P, "&gt;" &amp; $P2771) + 1</f>
        <v>1355</v>
      </c>
      <c r="R2771" s="63">
        <f>(COUNTIFS($P:$P, "&gt;" &amp; $P2771) + 1) / (COUNTA($I:$I) - 1)</f>
        <v>0.27100000000000002</v>
      </c>
      <c r="S2771" s="23">
        <f>SUMIFS($P:$P, $Q:$Q, "&lt;" &amp; $Q2771)</f>
        <v>172817862</v>
      </c>
    </row>
    <row r="2772" spans="1:19" x14ac:dyDescent="0.25">
      <c r="A2772" s="1">
        <v>2767</v>
      </c>
      <c r="B2772" s="1" t="s">
        <v>2</v>
      </c>
      <c r="C2772" s="1" t="str">
        <f>IF($B2772 = "Production Item", _xlfn.XLOOKUP($A2772, 'Instrument Table'!$J:$J, 'Instrument Table'!$B:$B, $C2771), IF($B2772 = "Service Item", _xlfn.XLOOKUP($A2772, 'Instrument Table'!$I:$I, 'Instrument Table'!$B:$B, $C2771), _xlfn.XLOOKUP($A2772, 'Instrument Table'!$H:$H, 'Instrument Table'!$B:$B, $C2771)))</f>
        <v>Tuba</v>
      </c>
      <c r="D2772" s="1" t="str">
        <f>VLOOKUP($C2772, 'Instrument Table'!$B:$C, 2, FALSE)</f>
        <v>Brass</v>
      </c>
      <c r="E2772" s="1">
        <f t="shared" si="258"/>
        <v>1</v>
      </c>
      <c r="F2772" s="1">
        <f>_xlfn.XLOOKUP($C2772, 'Instrument Table'!$B:$B, 'Instrument Table'!$A:$A, "")</f>
        <v>43</v>
      </c>
      <c r="G2772" s="1" t="str">
        <f>TEXT(IF($B2772 = "Retail Item", IF((ROW($A2772) - 4504 - _xlfn.XMATCH($C2772, $C$4506:$C$5005, 0, 1)) &lt;= VLOOKUP($C2772, 'Instrument Table'!$B:$D, 3, FALSE), ROW($A2772) - 4504 - _xlfn.XMATCH($C2772, $C$4506:$C$5005, 0, 1), 0), 0), "00")</f>
        <v>00</v>
      </c>
      <c r="H2772" s="1" t="str">
        <f t="shared" si="259"/>
        <v>016</v>
      </c>
      <c r="I2772" s="1" t="str">
        <f t="shared" si="260"/>
        <v>14300-016</v>
      </c>
      <c r="J2772" s="1" t="str">
        <f t="shared" si="261"/>
        <v>Tuba production item #016</v>
      </c>
      <c r="K2772" s="1" t="str">
        <f>IF(SUM(COUNTIFS(I:I, I2772)) &gt; 1, "DUPLICATE", "UNIQUE")</f>
        <v>UNIQUE</v>
      </c>
      <c r="L2772" s="18">
        <v>0</v>
      </c>
      <c r="M2772" s="28">
        <v>31</v>
      </c>
      <c r="N2772" s="6">
        <v>361</v>
      </c>
      <c r="O2772" s="30">
        <f t="shared" si="262"/>
        <v>0</v>
      </c>
      <c r="P2772" s="30">
        <f t="shared" si="263"/>
        <v>11191</v>
      </c>
      <c r="Q2772" s="1">
        <f>COUNTIFS($P:$P, "&gt;" &amp; $P2772) + 1</f>
        <v>1668</v>
      </c>
      <c r="R2772" s="63">
        <f>(COUNTIFS($P:$P, "&gt;" &amp; $P2772) + 1) / (COUNTA($I:$I) - 1)</f>
        <v>0.33360000000000001</v>
      </c>
      <c r="S2772" s="23">
        <f>SUMIFS($P:$P, $Q:$Q, "&lt;" &amp; $Q2772)</f>
        <v>176861155</v>
      </c>
    </row>
    <row r="2773" spans="1:19" x14ac:dyDescent="0.25">
      <c r="A2773" s="1">
        <v>2768</v>
      </c>
      <c r="B2773" s="1" t="s">
        <v>2</v>
      </c>
      <c r="C2773" s="1" t="str">
        <f>IF($B2773 = "Production Item", _xlfn.XLOOKUP($A2773, 'Instrument Table'!$J:$J, 'Instrument Table'!$B:$B, $C2772), IF($B2773 = "Service Item", _xlfn.XLOOKUP($A2773, 'Instrument Table'!$I:$I, 'Instrument Table'!$B:$B, $C2772), _xlfn.XLOOKUP($A2773, 'Instrument Table'!$H:$H, 'Instrument Table'!$B:$B, $C2772)))</f>
        <v>Tuba</v>
      </c>
      <c r="D2773" s="1" t="str">
        <f>VLOOKUP($C2773, 'Instrument Table'!$B:$C, 2, FALSE)</f>
        <v>Brass</v>
      </c>
      <c r="E2773" s="1">
        <f t="shared" si="258"/>
        <v>1</v>
      </c>
      <c r="F2773" s="1">
        <f>_xlfn.XLOOKUP($C2773, 'Instrument Table'!$B:$B, 'Instrument Table'!$A:$A, "")</f>
        <v>43</v>
      </c>
      <c r="G2773" s="1" t="str">
        <f>TEXT(IF($B2773 = "Retail Item", IF((ROW($A2773) - 4504 - _xlfn.XMATCH($C2773, $C$4506:$C$5005, 0, 1)) &lt;= VLOOKUP($C2773, 'Instrument Table'!$B:$D, 3, FALSE), ROW($A2773) - 4504 - _xlfn.XMATCH($C2773, $C$4506:$C$5005, 0, 1), 0), 0), "00")</f>
        <v>00</v>
      </c>
      <c r="H2773" s="1" t="str">
        <f t="shared" si="259"/>
        <v>017</v>
      </c>
      <c r="I2773" s="1" t="str">
        <f t="shared" si="260"/>
        <v>14300-017</v>
      </c>
      <c r="J2773" s="1" t="str">
        <f t="shared" si="261"/>
        <v>Tuba production item #017</v>
      </c>
      <c r="K2773" s="1" t="str">
        <f>IF(SUM(COUNTIFS(I:I, I2773)) &gt; 1, "DUPLICATE", "UNIQUE")</f>
        <v>UNIQUE</v>
      </c>
      <c r="L2773" s="18">
        <v>0</v>
      </c>
      <c r="M2773" s="28">
        <v>68</v>
      </c>
      <c r="N2773" s="6">
        <v>0</v>
      </c>
      <c r="O2773" s="30">
        <f t="shared" si="262"/>
        <v>0</v>
      </c>
      <c r="P2773" s="30">
        <f t="shared" si="263"/>
        <v>0</v>
      </c>
      <c r="Q2773" s="1">
        <f>COUNTIFS($P:$P, "&gt;" &amp; $P2773) + 1</f>
        <v>4746</v>
      </c>
      <c r="R2773" s="63">
        <f>(COUNTIFS($P:$P, "&gt;" &amp; $P2773) + 1) / (COUNTA($I:$I) - 1)</f>
        <v>0.94920000000000004</v>
      </c>
      <c r="S2773" s="23">
        <f>SUMIFS($P:$P, $Q:$Q, "&lt;" &amp; $Q2773)</f>
        <v>186547861</v>
      </c>
    </row>
    <row r="2774" spans="1:19" x14ac:dyDescent="0.25">
      <c r="A2774" s="1">
        <v>2769</v>
      </c>
      <c r="B2774" s="1" t="s">
        <v>2</v>
      </c>
      <c r="C2774" s="1" t="str">
        <f>IF($B2774 = "Production Item", _xlfn.XLOOKUP($A2774, 'Instrument Table'!$J:$J, 'Instrument Table'!$B:$B, $C2773), IF($B2774 = "Service Item", _xlfn.XLOOKUP($A2774, 'Instrument Table'!$I:$I, 'Instrument Table'!$B:$B, $C2773), _xlfn.XLOOKUP($A2774, 'Instrument Table'!$H:$H, 'Instrument Table'!$B:$B, $C2773)))</f>
        <v>Tuba</v>
      </c>
      <c r="D2774" s="1" t="str">
        <f>VLOOKUP($C2774, 'Instrument Table'!$B:$C, 2, FALSE)</f>
        <v>Brass</v>
      </c>
      <c r="E2774" s="1">
        <f t="shared" si="258"/>
        <v>1</v>
      </c>
      <c r="F2774" s="1">
        <f>_xlfn.XLOOKUP($C2774, 'Instrument Table'!$B:$B, 'Instrument Table'!$A:$A, "")</f>
        <v>43</v>
      </c>
      <c r="G2774" s="1" t="str">
        <f>TEXT(IF($B2774 = "Retail Item", IF((ROW($A2774) - 4504 - _xlfn.XMATCH($C2774, $C$4506:$C$5005, 0, 1)) &lt;= VLOOKUP($C2774, 'Instrument Table'!$B:$D, 3, FALSE), ROW($A2774) - 4504 - _xlfn.XMATCH($C2774, $C$4506:$C$5005, 0, 1), 0), 0), "00")</f>
        <v>00</v>
      </c>
      <c r="H2774" s="1" t="str">
        <f t="shared" si="259"/>
        <v>018</v>
      </c>
      <c r="I2774" s="1" t="str">
        <f t="shared" si="260"/>
        <v>14300-018</v>
      </c>
      <c r="J2774" s="1" t="str">
        <f t="shared" si="261"/>
        <v>Tuba production item #018</v>
      </c>
      <c r="K2774" s="1" t="str">
        <f>IF(SUM(COUNTIFS(I:I, I2774)) &gt; 1, "DUPLICATE", "UNIQUE")</f>
        <v>UNIQUE</v>
      </c>
      <c r="L2774" s="18">
        <v>0</v>
      </c>
      <c r="M2774" s="28">
        <v>37</v>
      </c>
      <c r="N2774" s="6">
        <v>324</v>
      </c>
      <c r="O2774" s="30">
        <f t="shared" si="262"/>
        <v>0</v>
      </c>
      <c r="P2774" s="30">
        <f t="shared" si="263"/>
        <v>11988</v>
      </c>
      <c r="Q2774" s="1">
        <f>COUNTIFS($P:$P, "&gt;" &amp; $P2774) + 1</f>
        <v>1583</v>
      </c>
      <c r="R2774" s="63">
        <f>(COUNTIFS($P:$P, "&gt;" &amp; $P2774) + 1) / (COUNTA($I:$I) - 1)</f>
        <v>0.31659999999999999</v>
      </c>
      <c r="S2774" s="23">
        <f>SUMIFS($P:$P, $Q:$Q, "&lt;" &amp; $Q2774)</f>
        <v>175876374</v>
      </c>
    </row>
    <row r="2775" spans="1:19" x14ac:dyDescent="0.25">
      <c r="A2775" s="1">
        <v>2770</v>
      </c>
      <c r="B2775" s="1" t="s">
        <v>2</v>
      </c>
      <c r="C2775" s="1" t="str">
        <f>IF($B2775 = "Production Item", _xlfn.XLOOKUP($A2775, 'Instrument Table'!$J:$J, 'Instrument Table'!$B:$B, $C2774), IF($B2775 = "Service Item", _xlfn.XLOOKUP($A2775, 'Instrument Table'!$I:$I, 'Instrument Table'!$B:$B, $C2774), _xlfn.XLOOKUP($A2775, 'Instrument Table'!$H:$H, 'Instrument Table'!$B:$B, $C2774)))</f>
        <v>Tuba</v>
      </c>
      <c r="D2775" s="1" t="str">
        <f>VLOOKUP($C2775, 'Instrument Table'!$B:$C, 2, FALSE)</f>
        <v>Brass</v>
      </c>
      <c r="E2775" s="1">
        <f t="shared" si="258"/>
        <v>1</v>
      </c>
      <c r="F2775" s="1">
        <f>_xlfn.XLOOKUP($C2775, 'Instrument Table'!$B:$B, 'Instrument Table'!$A:$A, "")</f>
        <v>43</v>
      </c>
      <c r="G2775" s="1" t="str">
        <f>TEXT(IF($B2775 = "Retail Item", IF((ROW($A2775) - 4504 - _xlfn.XMATCH($C2775, $C$4506:$C$5005, 0, 1)) &lt;= VLOOKUP($C2775, 'Instrument Table'!$B:$D, 3, FALSE), ROW($A2775) - 4504 - _xlfn.XMATCH($C2775, $C$4506:$C$5005, 0, 1), 0), 0), "00")</f>
        <v>00</v>
      </c>
      <c r="H2775" s="1" t="str">
        <f t="shared" si="259"/>
        <v>019</v>
      </c>
      <c r="I2775" s="1" t="str">
        <f t="shared" si="260"/>
        <v>14300-019</v>
      </c>
      <c r="J2775" s="1" t="str">
        <f t="shared" si="261"/>
        <v>Tuba production item #019</v>
      </c>
      <c r="K2775" s="1" t="str">
        <f>IF(SUM(COUNTIFS(I:I, I2775)) &gt; 1, "DUPLICATE", "UNIQUE")</f>
        <v>UNIQUE</v>
      </c>
      <c r="L2775" s="18">
        <v>1</v>
      </c>
      <c r="M2775" s="28">
        <v>44</v>
      </c>
      <c r="N2775" s="6">
        <v>289</v>
      </c>
      <c r="O2775" s="30">
        <f t="shared" si="262"/>
        <v>44</v>
      </c>
      <c r="P2775" s="30">
        <f t="shared" si="263"/>
        <v>12716</v>
      </c>
      <c r="Q2775" s="1">
        <f>COUNTIFS($P:$P, "&gt;" &amp; $P2775) + 1</f>
        <v>1524</v>
      </c>
      <c r="R2775" s="63">
        <f>(COUNTIFS($P:$P, "&gt;" &amp; $P2775) + 1) / (COUNTA($I:$I) - 1)</f>
        <v>0.30480000000000002</v>
      </c>
      <c r="S2775" s="23">
        <f>SUMIFS($P:$P, $Q:$Q, "&lt;" &amp; $Q2775)</f>
        <v>175148603</v>
      </c>
    </row>
    <row r="2776" spans="1:19" x14ac:dyDescent="0.25">
      <c r="A2776" s="1">
        <v>2771</v>
      </c>
      <c r="B2776" s="1" t="s">
        <v>2</v>
      </c>
      <c r="C2776" s="1" t="str">
        <f>IF($B2776 = "Production Item", _xlfn.XLOOKUP($A2776, 'Instrument Table'!$J:$J, 'Instrument Table'!$B:$B, $C2775), IF($B2776 = "Service Item", _xlfn.XLOOKUP($A2776, 'Instrument Table'!$I:$I, 'Instrument Table'!$B:$B, $C2775), _xlfn.XLOOKUP($A2776, 'Instrument Table'!$H:$H, 'Instrument Table'!$B:$B, $C2775)))</f>
        <v>Tuba</v>
      </c>
      <c r="D2776" s="1" t="str">
        <f>VLOOKUP($C2776, 'Instrument Table'!$B:$C, 2, FALSE)</f>
        <v>Brass</v>
      </c>
      <c r="E2776" s="1">
        <f t="shared" si="258"/>
        <v>1</v>
      </c>
      <c r="F2776" s="1">
        <f>_xlfn.XLOOKUP($C2776, 'Instrument Table'!$B:$B, 'Instrument Table'!$A:$A, "")</f>
        <v>43</v>
      </c>
      <c r="G2776" s="1" t="str">
        <f>TEXT(IF($B2776 = "Retail Item", IF((ROW($A2776) - 4504 - _xlfn.XMATCH($C2776, $C$4506:$C$5005, 0, 1)) &lt;= VLOOKUP($C2776, 'Instrument Table'!$B:$D, 3, FALSE), ROW($A2776) - 4504 - _xlfn.XMATCH($C2776, $C$4506:$C$5005, 0, 1), 0), 0), "00")</f>
        <v>00</v>
      </c>
      <c r="H2776" s="1" t="str">
        <f t="shared" si="259"/>
        <v>020</v>
      </c>
      <c r="I2776" s="1" t="str">
        <f t="shared" si="260"/>
        <v>14300-020</v>
      </c>
      <c r="J2776" s="1" t="str">
        <f t="shared" si="261"/>
        <v>Tuba production item #020</v>
      </c>
      <c r="K2776" s="1" t="str">
        <f>IF(SUM(COUNTIFS(I:I, I2776)) &gt; 1, "DUPLICATE", "UNIQUE")</f>
        <v>UNIQUE</v>
      </c>
      <c r="L2776" s="18">
        <v>8</v>
      </c>
      <c r="M2776" s="28">
        <v>9</v>
      </c>
      <c r="N2776" s="6">
        <v>64</v>
      </c>
      <c r="O2776" s="30">
        <f t="shared" si="262"/>
        <v>72</v>
      </c>
      <c r="P2776" s="30">
        <f t="shared" si="263"/>
        <v>576</v>
      </c>
      <c r="Q2776" s="1">
        <f>COUNTIFS($P:$P, "&gt;" &amp; $P2776) + 1</f>
        <v>3957</v>
      </c>
      <c r="R2776" s="63">
        <f>(COUNTIFS($P:$P, "&gt;" &amp; $P2776) + 1) / (COUNTA($I:$I) - 1)</f>
        <v>0.79139999999999999</v>
      </c>
      <c r="S2776" s="23">
        <f>SUMIFS($P:$P, $Q:$Q, "&lt;" &amp; $Q2776)</f>
        <v>186374368</v>
      </c>
    </row>
    <row r="2777" spans="1:19" x14ac:dyDescent="0.25">
      <c r="A2777" s="1">
        <v>2772</v>
      </c>
      <c r="B2777" s="1" t="s">
        <v>2</v>
      </c>
      <c r="C2777" s="1" t="str">
        <f>IF($B2777 = "Production Item", _xlfn.XLOOKUP($A2777, 'Instrument Table'!$J:$J, 'Instrument Table'!$B:$B, $C2776), IF($B2777 = "Service Item", _xlfn.XLOOKUP($A2777, 'Instrument Table'!$I:$I, 'Instrument Table'!$B:$B, $C2776), _xlfn.XLOOKUP($A2777, 'Instrument Table'!$H:$H, 'Instrument Table'!$B:$B, $C2776)))</f>
        <v>Tuba</v>
      </c>
      <c r="D2777" s="1" t="str">
        <f>VLOOKUP($C2777, 'Instrument Table'!$B:$C, 2, FALSE)</f>
        <v>Brass</v>
      </c>
      <c r="E2777" s="1">
        <f t="shared" si="258"/>
        <v>1</v>
      </c>
      <c r="F2777" s="1">
        <f>_xlfn.XLOOKUP($C2777, 'Instrument Table'!$B:$B, 'Instrument Table'!$A:$A, "")</f>
        <v>43</v>
      </c>
      <c r="G2777" s="1" t="str">
        <f>TEXT(IF($B2777 = "Retail Item", IF((ROW($A2777) - 4504 - _xlfn.XMATCH($C2777, $C$4506:$C$5005, 0, 1)) &lt;= VLOOKUP($C2777, 'Instrument Table'!$B:$D, 3, FALSE), ROW($A2777) - 4504 - _xlfn.XMATCH($C2777, $C$4506:$C$5005, 0, 1), 0), 0), "00")</f>
        <v>00</v>
      </c>
      <c r="H2777" s="1" t="str">
        <f t="shared" si="259"/>
        <v>021</v>
      </c>
      <c r="I2777" s="1" t="str">
        <f t="shared" si="260"/>
        <v>14300-021</v>
      </c>
      <c r="J2777" s="1" t="str">
        <f t="shared" si="261"/>
        <v>Tuba production item #021</v>
      </c>
      <c r="K2777" s="1" t="str">
        <f>IF(SUM(COUNTIFS(I:I, I2777)) &gt; 1, "DUPLICATE", "UNIQUE")</f>
        <v>UNIQUE</v>
      </c>
      <c r="L2777" s="18">
        <v>1</v>
      </c>
      <c r="M2777" s="28">
        <v>44</v>
      </c>
      <c r="N2777" s="6">
        <v>9</v>
      </c>
      <c r="O2777" s="30">
        <f t="shared" si="262"/>
        <v>44</v>
      </c>
      <c r="P2777" s="30">
        <f t="shared" si="263"/>
        <v>396</v>
      </c>
      <c r="Q2777" s="1">
        <f>COUNTIFS($P:$P, "&gt;" &amp; $P2777) + 1</f>
        <v>4100</v>
      </c>
      <c r="R2777" s="63">
        <f>(COUNTIFS($P:$P, "&gt;" &amp; $P2777) + 1) / (COUNTA($I:$I) - 1)</f>
        <v>0.82</v>
      </c>
      <c r="S2777" s="23">
        <f>SUMIFS($P:$P, $Q:$Q, "&lt;" &amp; $Q2777)</f>
        <v>186444882</v>
      </c>
    </row>
    <row r="2778" spans="1:19" x14ac:dyDescent="0.25">
      <c r="A2778" s="1">
        <v>2773</v>
      </c>
      <c r="B2778" s="1" t="s">
        <v>2</v>
      </c>
      <c r="C2778" s="1" t="str">
        <f>IF($B2778 = "Production Item", _xlfn.XLOOKUP($A2778, 'Instrument Table'!$J:$J, 'Instrument Table'!$B:$B, $C2777), IF($B2778 = "Service Item", _xlfn.XLOOKUP($A2778, 'Instrument Table'!$I:$I, 'Instrument Table'!$B:$B, $C2777), _xlfn.XLOOKUP($A2778, 'Instrument Table'!$H:$H, 'Instrument Table'!$B:$B, $C2777)))</f>
        <v>Tuba</v>
      </c>
      <c r="D2778" s="1" t="str">
        <f>VLOOKUP($C2778, 'Instrument Table'!$B:$C, 2, FALSE)</f>
        <v>Brass</v>
      </c>
      <c r="E2778" s="1">
        <f t="shared" si="258"/>
        <v>1</v>
      </c>
      <c r="F2778" s="1">
        <f>_xlfn.XLOOKUP($C2778, 'Instrument Table'!$B:$B, 'Instrument Table'!$A:$A, "")</f>
        <v>43</v>
      </c>
      <c r="G2778" s="1" t="str">
        <f>TEXT(IF($B2778 = "Retail Item", IF((ROW($A2778) - 4504 - _xlfn.XMATCH($C2778, $C$4506:$C$5005, 0, 1)) &lt;= VLOOKUP($C2778, 'Instrument Table'!$B:$D, 3, FALSE), ROW($A2778) - 4504 - _xlfn.XMATCH($C2778, $C$4506:$C$5005, 0, 1), 0), 0), "00")</f>
        <v>00</v>
      </c>
      <c r="H2778" s="1" t="str">
        <f t="shared" si="259"/>
        <v>022</v>
      </c>
      <c r="I2778" s="1" t="str">
        <f t="shared" si="260"/>
        <v>14300-022</v>
      </c>
      <c r="J2778" s="1" t="str">
        <f t="shared" si="261"/>
        <v>Tuba production item #022</v>
      </c>
      <c r="K2778" s="1" t="str">
        <f>IF(SUM(COUNTIFS(I:I, I2778)) &gt; 1, "DUPLICATE", "UNIQUE")</f>
        <v>UNIQUE</v>
      </c>
      <c r="L2778" s="18">
        <v>1</v>
      </c>
      <c r="M2778" s="28">
        <v>73</v>
      </c>
      <c r="N2778" s="6">
        <v>121</v>
      </c>
      <c r="O2778" s="30">
        <f t="shared" si="262"/>
        <v>73</v>
      </c>
      <c r="P2778" s="30">
        <f t="shared" si="263"/>
        <v>8833</v>
      </c>
      <c r="Q2778" s="1">
        <f>COUNTIFS($P:$P, "&gt;" &amp; $P2778) + 1</f>
        <v>1892</v>
      </c>
      <c r="R2778" s="63">
        <f>(COUNTIFS($P:$P, "&gt;" &amp; $P2778) + 1) / (COUNTA($I:$I) - 1)</f>
        <v>0.37840000000000001</v>
      </c>
      <c r="S2778" s="23">
        <f>SUMIFS($P:$P, $Q:$Q, "&lt;" &amp; $Q2778)</f>
        <v>179092955</v>
      </c>
    </row>
    <row r="2779" spans="1:19" x14ac:dyDescent="0.25">
      <c r="A2779" s="1">
        <v>2774</v>
      </c>
      <c r="B2779" s="1" t="s">
        <v>2</v>
      </c>
      <c r="C2779" s="1" t="str">
        <f>IF($B2779 = "Production Item", _xlfn.XLOOKUP($A2779, 'Instrument Table'!$J:$J, 'Instrument Table'!$B:$B, $C2778), IF($B2779 = "Service Item", _xlfn.XLOOKUP($A2779, 'Instrument Table'!$I:$I, 'Instrument Table'!$B:$B, $C2778), _xlfn.XLOOKUP($A2779, 'Instrument Table'!$H:$H, 'Instrument Table'!$B:$B, $C2778)))</f>
        <v>Tuba</v>
      </c>
      <c r="D2779" s="1" t="str">
        <f>VLOOKUP($C2779, 'Instrument Table'!$B:$C, 2, FALSE)</f>
        <v>Brass</v>
      </c>
      <c r="E2779" s="1">
        <f t="shared" si="258"/>
        <v>1</v>
      </c>
      <c r="F2779" s="1">
        <f>_xlfn.XLOOKUP($C2779, 'Instrument Table'!$B:$B, 'Instrument Table'!$A:$A, "")</f>
        <v>43</v>
      </c>
      <c r="G2779" s="1" t="str">
        <f>TEXT(IF($B2779 = "Retail Item", IF((ROW($A2779) - 4504 - _xlfn.XMATCH($C2779, $C$4506:$C$5005, 0, 1)) &lt;= VLOOKUP($C2779, 'Instrument Table'!$B:$D, 3, FALSE), ROW($A2779) - 4504 - _xlfn.XMATCH($C2779, $C$4506:$C$5005, 0, 1), 0), 0), "00")</f>
        <v>00</v>
      </c>
      <c r="H2779" s="1" t="str">
        <f t="shared" si="259"/>
        <v>023</v>
      </c>
      <c r="I2779" s="1" t="str">
        <f t="shared" si="260"/>
        <v>14300-023</v>
      </c>
      <c r="J2779" s="1" t="str">
        <f t="shared" si="261"/>
        <v>Tuba production item #023</v>
      </c>
      <c r="K2779" s="1" t="str">
        <f>IF(SUM(COUNTIFS(I:I, I2779)) &gt; 1, "DUPLICATE", "UNIQUE")</f>
        <v>UNIQUE</v>
      </c>
      <c r="L2779" s="18">
        <v>0</v>
      </c>
      <c r="M2779" s="28">
        <v>10</v>
      </c>
      <c r="N2779" s="6">
        <v>400</v>
      </c>
      <c r="O2779" s="30">
        <f t="shared" si="262"/>
        <v>0</v>
      </c>
      <c r="P2779" s="30">
        <f t="shared" si="263"/>
        <v>4000</v>
      </c>
      <c r="Q2779" s="1">
        <f>COUNTIFS($P:$P, "&gt;" &amp; $P2779) + 1</f>
        <v>2654</v>
      </c>
      <c r="R2779" s="63">
        <f>(COUNTIFS($P:$P, "&gt;" &amp; $P2779) + 1) / (COUNTA($I:$I) - 1)</f>
        <v>0.53080000000000005</v>
      </c>
      <c r="S2779" s="23">
        <f>SUMIFS($P:$P, $Q:$Q, "&lt;" &amp; $Q2779)</f>
        <v>183787076</v>
      </c>
    </row>
    <row r="2780" spans="1:19" x14ac:dyDescent="0.25">
      <c r="A2780" s="1">
        <v>2775</v>
      </c>
      <c r="B2780" s="1" t="s">
        <v>2</v>
      </c>
      <c r="C2780" s="1" t="str">
        <f>IF($B2780 = "Production Item", _xlfn.XLOOKUP($A2780, 'Instrument Table'!$J:$J, 'Instrument Table'!$B:$B, $C2779), IF($B2780 = "Service Item", _xlfn.XLOOKUP($A2780, 'Instrument Table'!$I:$I, 'Instrument Table'!$B:$B, $C2779), _xlfn.XLOOKUP($A2780, 'Instrument Table'!$H:$H, 'Instrument Table'!$B:$B, $C2779)))</f>
        <v>Tuba</v>
      </c>
      <c r="D2780" s="1" t="str">
        <f>VLOOKUP($C2780, 'Instrument Table'!$B:$C, 2, FALSE)</f>
        <v>Brass</v>
      </c>
      <c r="E2780" s="1">
        <f t="shared" si="258"/>
        <v>1</v>
      </c>
      <c r="F2780" s="1">
        <f>_xlfn.XLOOKUP($C2780, 'Instrument Table'!$B:$B, 'Instrument Table'!$A:$A, "")</f>
        <v>43</v>
      </c>
      <c r="G2780" s="1" t="str">
        <f>TEXT(IF($B2780 = "Retail Item", IF((ROW($A2780) - 4504 - _xlfn.XMATCH($C2780, $C$4506:$C$5005, 0, 1)) &lt;= VLOOKUP($C2780, 'Instrument Table'!$B:$D, 3, FALSE), ROW($A2780) - 4504 - _xlfn.XMATCH($C2780, $C$4506:$C$5005, 0, 1), 0), 0), "00")</f>
        <v>00</v>
      </c>
      <c r="H2780" s="1" t="str">
        <f t="shared" si="259"/>
        <v>024</v>
      </c>
      <c r="I2780" s="1" t="str">
        <f t="shared" si="260"/>
        <v>14300-024</v>
      </c>
      <c r="J2780" s="1" t="str">
        <f t="shared" si="261"/>
        <v>Tuba production item #024</v>
      </c>
      <c r="K2780" s="1" t="str">
        <f>IF(SUM(COUNTIFS(I:I, I2780)) &gt; 1, "DUPLICATE", "UNIQUE")</f>
        <v>UNIQUE</v>
      </c>
      <c r="L2780" s="18">
        <v>32</v>
      </c>
      <c r="M2780" s="28">
        <v>32</v>
      </c>
      <c r="N2780" s="6">
        <v>256</v>
      </c>
      <c r="O2780" s="30">
        <f t="shared" si="262"/>
        <v>1024</v>
      </c>
      <c r="P2780" s="30">
        <f t="shared" si="263"/>
        <v>8192</v>
      </c>
      <c r="Q2780" s="1">
        <f>COUNTIFS($P:$P, "&gt;" &amp; $P2780) + 1</f>
        <v>1964</v>
      </c>
      <c r="R2780" s="63">
        <f>(COUNTIFS($P:$P, "&gt;" &amp; $P2780) + 1) / (COUNTA($I:$I) - 1)</f>
        <v>0.39279999999999998</v>
      </c>
      <c r="S2780" s="23">
        <f>SUMIFS($P:$P, $Q:$Q, "&lt;" &amp; $Q2780)</f>
        <v>179706741</v>
      </c>
    </row>
    <row r="2781" spans="1:19" x14ac:dyDescent="0.25">
      <c r="A2781" s="1">
        <v>2776</v>
      </c>
      <c r="B2781" s="1" t="s">
        <v>2</v>
      </c>
      <c r="C2781" s="1" t="str">
        <f>IF($B2781 = "Production Item", _xlfn.XLOOKUP($A2781, 'Instrument Table'!$J:$J, 'Instrument Table'!$B:$B, $C2780), IF($B2781 = "Service Item", _xlfn.XLOOKUP($A2781, 'Instrument Table'!$I:$I, 'Instrument Table'!$B:$B, $C2780), _xlfn.XLOOKUP($A2781, 'Instrument Table'!$H:$H, 'Instrument Table'!$B:$B, $C2780)))</f>
        <v>Tuba</v>
      </c>
      <c r="D2781" s="1" t="str">
        <f>VLOOKUP($C2781, 'Instrument Table'!$B:$C, 2, FALSE)</f>
        <v>Brass</v>
      </c>
      <c r="E2781" s="1">
        <f t="shared" si="258"/>
        <v>1</v>
      </c>
      <c r="F2781" s="1">
        <f>_xlfn.XLOOKUP($C2781, 'Instrument Table'!$B:$B, 'Instrument Table'!$A:$A, "")</f>
        <v>43</v>
      </c>
      <c r="G2781" s="1" t="str">
        <f>TEXT(IF($B2781 = "Retail Item", IF((ROW($A2781) - 4504 - _xlfn.XMATCH($C2781, $C$4506:$C$5005, 0, 1)) &lt;= VLOOKUP($C2781, 'Instrument Table'!$B:$D, 3, FALSE), ROW($A2781) - 4504 - _xlfn.XMATCH($C2781, $C$4506:$C$5005, 0, 1), 0), 0), "00")</f>
        <v>00</v>
      </c>
      <c r="H2781" s="1" t="str">
        <f t="shared" si="259"/>
        <v>025</v>
      </c>
      <c r="I2781" s="1" t="str">
        <f t="shared" si="260"/>
        <v>14300-025</v>
      </c>
      <c r="J2781" s="1" t="str">
        <f t="shared" si="261"/>
        <v>Tuba production item #025</v>
      </c>
      <c r="K2781" s="1" t="str">
        <f>IF(SUM(COUNTIFS(I:I, I2781)) &gt; 1, "DUPLICATE", "UNIQUE")</f>
        <v>UNIQUE</v>
      </c>
      <c r="L2781" s="18">
        <v>0</v>
      </c>
      <c r="M2781" s="28">
        <v>16</v>
      </c>
      <c r="N2781" s="6">
        <v>144</v>
      </c>
      <c r="O2781" s="30">
        <f t="shared" si="262"/>
        <v>0</v>
      </c>
      <c r="P2781" s="30">
        <f t="shared" si="263"/>
        <v>2304</v>
      </c>
      <c r="Q2781" s="1">
        <f>COUNTIFS($P:$P, "&gt;" &amp; $P2781) + 1</f>
        <v>3118</v>
      </c>
      <c r="R2781" s="63">
        <f>(COUNTIFS($P:$P, "&gt;" &amp; $P2781) + 1) / (COUNTA($I:$I) - 1)</f>
        <v>0.62360000000000004</v>
      </c>
      <c r="S2781" s="23">
        <f>SUMIFS($P:$P, $Q:$Q, "&lt;" &amp; $Q2781)</f>
        <v>185224654</v>
      </c>
    </row>
    <row r="2782" spans="1:19" x14ac:dyDescent="0.25">
      <c r="A2782" s="1">
        <v>2777</v>
      </c>
      <c r="B2782" s="1" t="s">
        <v>2</v>
      </c>
      <c r="C2782" s="1" t="str">
        <f>IF($B2782 = "Production Item", _xlfn.XLOOKUP($A2782, 'Instrument Table'!$J:$J, 'Instrument Table'!$B:$B, $C2781), IF($B2782 = "Service Item", _xlfn.XLOOKUP($A2782, 'Instrument Table'!$I:$I, 'Instrument Table'!$B:$B, $C2781), _xlfn.XLOOKUP($A2782, 'Instrument Table'!$H:$H, 'Instrument Table'!$B:$B, $C2781)))</f>
        <v>Tuba</v>
      </c>
      <c r="D2782" s="1" t="str">
        <f>VLOOKUP($C2782, 'Instrument Table'!$B:$C, 2, FALSE)</f>
        <v>Brass</v>
      </c>
      <c r="E2782" s="1">
        <f t="shared" si="258"/>
        <v>1</v>
      </c>
      <c r="F2782" s="1">
        <f>_xlfn.XLOOKUP($C2782, 'Instrument Table'!$B:$B, 'Instrument Table'!$A:$A, "")</f>
        <v>43</v>
      </c>
      <c r="G2782" s="1" t="str">
        <f>TEXT(IF($B2782 = "Retail Item", IF((ROW($A2782) - 4504 - _xlfn.XMATCH($C2782, $C$4506:$C$5005, 0, 1)) &lt;= VLOOKUP($C2782, 'Instrument Table'!$B:$D, 3, FALSE), ROW($A2782) - 4504 - _xlfn.XMATCH($C2782, $C$4506:$C$5005, 0, 1), 0), 0), "00")</f>
        <v>00</v>
      </c>
      <c r="H2782" s="1" t="str">
        <f t="shared" si="259"/>
        <v>026</v>
      </c>
      <c r="I2782" s="1" t="str">
        <f t="shared" si="260"/>
        <v>14300-026</v>
      </c>
      <c r="J2782" s="1" t="str">
        <f t="shared" si="261"/>
        <v>Tuba production item #026</v>
      </c>
      <c r="K2782" s="1" t="str">
        <f>IF(SUM(COUNTIFS(I:I, I2782)) &gt; 1, "DUPLICATE", "UNIQUE")</f>
        <v>UNIQUE</v>
      </c>
      <c r="L2782" s="18">
        <v>1</v>
      </c>
      <c r="M2782" s="28">
        <v>56</v>
      </c>
      <c r="N2782" s="6">
        <v>144</v>
      </c>
      <c r="O2782" s="30">
        <f t="shared" si="262"/>
        <v>56</v>
      </c>
      <c r="P2782" s="30">
        <f t="shared" si="263"/>
        <v>8064</v>
      </c>
      <c r="Q2782" s="1">
        <f>COUNTIFS($P:$P, "&gt;" &amp; $P2782) + 1</f>
        <v>1980</v>
      </c>
      <c r="R2782" s="63">
        <f>(COUNTIFS($P:$P, "&gt;" &amp; $P2782) + 1) / (COUNTA($I:$I) - 1)</f>
        <v>0.39600000000000002</v>
      </c>
      <c r="S2782" s="23">
        <f>SUMIFS($P:$P, $Q:$Q, "&lt;" &amp; $Q2782)</f>
        <v>179836702</v>
      </c>
    </row>
    <row r="2783" spans="1:19" x14ac:dyDescent="0.25">
      <c r="A2783" s="1">
        <v>2778</v>
      </c>
      <c r="B2783" s="1" t="s">
        <v>2</v>
      </c>
      <c r="C2783" s="1" t="str">
        <f>IF($B2783 = "Production Item", _xlfn.XLOOKUP($A2783, 'Instrument Table'!$J:$J, 'Instrument Table'!$B:$B, $C2782), IF($B2783 = "Service Item", _xlfn.XLOOKUP($A2783, 'Instrument Table'!$I:$I, 'Instrument Table'!$B:$B, $C2782), _xlfn.XLOOKUP($A2783, 'Instrument Table'!$H:$H, 'Instrument Table'!$B:$B, $C2782)))</f>
        <v>Tuba</v>
      </c>
      <c r="D2783" s="1" t="str">
        <f>VLOOKUP($C2783, 'Instrument Table'!$B:$C, 2, FALSE)</f>
        <v>Brass</v>
      </c>
      <c r="E2783" s="1">
        <f t="shared" si="258"/>
        <v>1</v>
      </c>
      <c r="F2783" s="1">
        <f>_xlfn.XLOOKUP($C2783, 'Instrument Table'!$B:$B, 'Instrument Table'!$A:$A, "")</f>
        <v>43</v>
      </c>
      <c r="G2783" s="1" t="str">
        <f>TEXT(IF($B2783 = "Retail Item", IF((ROW($A2783) - 4504 - _xlfn.XMATCH($C2783, $C$4506:$C$5005, 0, 1)) &lt;= VLOOKUP($C2783, 'Instrument Table'!$B:$D, 3, FALSE), ROW($A2783) - 4504 - _xlfn.XMATCH($C2783, $C$4506:$C$5005, 0, 1), 0), 0), "00")</f>
        <v>00</v>
      </c>
      <c r="H2783" s="1" t="str">
        <f t="shared" si="259"/>
        <v>027</v>
      </c>
      <c r="I2783" s="1" t="str">
        <f t="shared" si="260"/>
        <v>14300-027</v>
      </c>
      <c r="J2783" s="1" t="str">
        <f t="shared" si="261"/>
        <v>Tuba production item #027</v>
      </c>
      <c r="K2783" s="1" t="str">
        <f>IF(SUM(COUNTIFS(I:I, I2783)) &gt; 1, "DUPLICATE", "UNIQUE")</f>
        <v>UNIQUE</v>
      </c>
      <c r="L2783" s="18">
        <v>8</v>
      </c>
      <c r="M2783" s="28">
        <v>94</v>
      </c>
      <c r="N2783" s="6">
        <v>0</v>
      </c>
      <c r="O2783" s="30">
        <f t="shared" si="262"/>
        <v>752</v>
      </c>
      <c r="P2783" s="30">
        <f t="shared" si="263"/>
        <v>0</v>
      </c>
      <c r="Q2783" s="1">
        <f>COUNTIFS($P:$P, "&gt;" &amp; $P2783) + 1</f>
        <v>4746</v>
      </c>
      <c r="R2783" s="63">
        <f>(COUNTIFS($P:$P, "&gt;" &amp; $P2783) + 1) / (COUNTA($I:$I) - 1)</f>
        <v>0.94920000000000004</v>
      </c>
      <c r="S2783" s="23">
        <f>SUMIFS($P:$P, $Q:$Q, "&lt;" &amp; $Q2783)</f>
        <v>186547861</v>
      </c>
    </row>
    <row r="2784" spans="1:19" x14ac:dyDescent="0.25">
      <c r="A2784" s="1">
        <v>2779</v>
      </c>
      <c r="B2784" s="1" t="s">
        <v>2</v>
      </c>
      <c r="C2784" s="1" t="str">
        <f>IF($B2784 = "Production Item", _xlfn.XLOOKUP($A2784, 'Instrument Table'!$J:$J, 'Instrument Table'!$B:$B, $C2783), IF($B2784 = "Service Item", _xlfn.XLOOKUP($A2784, 'Instrument Table'!$I:$I, 'Instrument Table'!$B:$B, $C2783), _xlfn.XLOOKUP($A2784, 'Instrument Table'!$H:$H, 'Instrument Table'!$B:$B, $C2783)))</f>
        <v>Tuba</v>
      </c>
      <c r="D2784" s="1" t="str">
        <f>VLOOKUP($C2784, 'Instrument Table'!$B:$C, 2, FALSE)</f>
        <v>Brass</v>
      </c>
      <c r="E2784" s="1">
        <f t="shared" si="258"/>
        <v>1</v>
      </c>
      <c r="F2784" s="1">
        <f>_xlfn.XLOOKUP($C2784, 'Instrument Table'!$B:$B, 'Instrument Table'!$A:$A, "")</f>
        <v>43</v>
      </c>
      <c r="G2784" s="1" t="str">
        <f>TEXT(IF($B2784 = "Retail Item", IF((ROW($A2784) - 4504 - _xlfn.XMATCH($C2784, $C$4506:$C$5005, 0, 1)) &lt;= VLOOKUP($C2784, 'Instrument Table'!$B:$D, 3, FALSE), ROW($A2784) - 4504 - _xlfn.XMATCH($C2784, $C$4506:$C$5005, 0, 1), 0), 0), "00")</f>
        <v>00</v>
      </c>
      <c r="H2784" s="1" t="str">
        <f t="shared" si="259"/>
        <v>028</v>
      </c>
      <c r="I2784" s="1" t="str">
        <f t="shared" si="260"/>
        <v>14300-028</v>
      </c>
      <c r="J2784" s="1" t="str">
        <f t="shared" si="261"/>
        <v>Tuba production item #028</v>
      </c>
      <c r="K2784" s="1" t="str">
        <f>IF(SUM(COUNTIFS(I:I, I2784)) &gt; 1, "DUPLICATE", "UNIQUE")</f>
        <v>UNIQUE</v>
      </c>
      <c r="L2784" s="18">
        <v>1</v>
      </c>
      <c r="M2784" s="28">
        <v>5</v>
      </c>
      <c r="N2784" s="6">
        <v>169</v>
      </c>
      <c r="O2784" s="30">
        <f t="shared" si="262"/>
        <v>5</v>
      </c>
      <c r="P2784" s="30">
        <f t="shared" si="263"/>
        <v>845</v>
      </c>
      <c r="Q2784" s="1">
        <f>COUNTIFS($P:$P, "&gt;" &amp; $P2784) + 1</f>
        <v>3766</v>
      </c>
      <c r="R2784" s="63">
        <f>(COUNTIFS($P:$P, "&gt;" &amp; $P2784) + 1) / (COUNTA($I:$I) - 1)</f>
        <v>0.75319999999999998</v>
      </c>
      <c r="S2784" s="23">
        <f>SUMIFS($P:$P, $Q:$Q, "&lt;" &amp; $Q2784)</f>
        <v>186237874</v>
      </c>
    </row>
    <row r="2785" spans="1:19" x14ac:dyDescent="0.25">
      <c r="A2785" s="1">
        <v>2780</v>
      </c>
      <c r="B2785" s="1" t="s">
        <v>2</v>
      </c>
      <c r="C2785" s="1" t="str">
        <f>IF($B2785 = "Production Item", _xlfn.XLOOKUP($A2785, 'Instrument Table'!$J:$J, 'Instrument Table'!$B:$B, $C2784), IF($B2785 = "Service Item", _xlfn.XLOOKUP($A2785, 'Instrument Table'!$I:$I, 'Instrument Table'!$B:$B, $C2784), _xlfn.XLOOKUP($A2785, 'Instrument Table'!$H:$H, 'Instrument Table'!$B:$B, $C2784)))</f>
        <v>Tuba</v>
      </c>
      <c r="D2785" s="1" t="str">
        <f>VLOOKUP($C2785, 'Instrument Table'!$B:$C, 2, FALSE)</f>
        <v>Brass</v>
      </c>
      <c r="E2785" s="1">
        <f t="shared" si="258"/>
        <v>1</v>
      </c>
      <c r="F2785" s="1">
        <f>_xlfn.XLOOKUP($C2785, 'Instrument Table'!$B:$B, 'Instrument Table'!$A:$A, "")</f>
        <v>43</v>
      </c>
      <c r="G2785" s="1" t="str">
        <f>TEXT(IF($B2785 = "Retail Item", IF((ROW($A2785) - 4504 - _xlfn.XMATCH($C2785, $C$4506:$C$5005, 0, 1)) &lt;= VLOOKUP($C2785, 'Instrument Table'!$B:$D, 3, FALSE), ROW($A2785) - 4504 - _xlfn.XMATCH($C2785, $C$4506:$C$5005, 0, 1), 0), 0), "00")</f>
        <v>00</v>
      </c>
      <c r="H2785" s="1" t="str">
        <f t="shared" si="259"/>
        <v>029</v>
      </c>
      <c r="I2785" s="1" t="str">
        <f t="shared" si="260"/>
        <v>14300-029</v>
      </c>
      <c r="J2785" s="1" t="str">
        <f t="shared" si="261"/>
        <v>Tuba production item #029</v>
      </c>
      <c r="K2785" s="1" t="str">
        <f>IF(SUM(COUNTIFS(I:I, I2785)) &gt; 1, "DUPLICATE", "UNIQUE")</f>
        <v>UNIQUE</v>
      </c>
      <c r="L2785" s="18">
        <v>8</v>
      </c>
      <c r="M2785" s="28">
        <v>39</v>
      </c>
      <c r="N2785" s="6">
        <v>400</v>
      </c>
      <c r="O2785" s="30">
        <f t="shared" si="262"/>
        <v>312</v>
      </c>
      <c r="P2785" s="30">
        <f t="shared" si="263"/>
        <v>15600</v>
      </c>
      <c r="Q2785" s="1">
        <f>COUNTIFS($P:$P, "&gt;" &amp; $P2785) + 1</f>
        <v>1308</v>
      </c>
      <c r="R2785" s="63">
        <f>(COUNTIFS($P:$P, "&gt;" &amp; $P2785) + 1) / (COUNTA($I:$I) - 1)</f>
        <v>0.2616</v>
      </c>
      <c r="S2785" s="23">
        <f>SUMIFS($P:$P, $Q:$Q, "&lt;" &amp; $Q2785)</f>
        <v>172099015</v>
      </c>
    </row>
    <row r="2786" spans="1:19" x14ac:dyDescent="0.25">
      <c r="A2786" s="1">
        <v>2781</v>
      </c>
      <c r="B2786" s="1" t="s">
        <v>2</v>
      </c>
      <c r="C2786" s="1" t="str">
        <f>IF($B2786 = "Production Item", _xlfn.XLOOKUP($A2786, 'Instrument Table'!$J:$J, 'Instrument Table'!$B:$B, $C2785), IF($B2786 = "Service Item", _xlfn.XLOOKUP($A2786, 'Instrument Table'!$I:$I, 'Instrument Table'!$B:$B, $C2785), _xlfn.XLOOKUP($A2786, 'Instrument Table'!$H:$H, 'Instrument Table'!$B:$B, $C2785)))</f>
        <v>Tuba</v>
      </c>
      <c r="D2786" s="1" t="str">
        <f>VLOOKUP($C2786, 'Instrument Table'!$B:$C, 2, FALSE)</f>
        <v>Brass</v>
      </c>
      <c r="E2786" s="1">
        <f t="shared" si="258"/>
        <v>1</v>
      </c>
      <c r="F2786" s="1">
        <f>_xlfn.XLOOKUP($C2786, 'Instrument Table'!$B:$B, 'Instrument Table'!$A:$A, "")</f>
        <v>43</v>
      </c>
      <c r="G2786" s="1" t="str">
        <f>TEXT(IF($B2786 = "Retail Item", IF((ROW($A2786) - 4504 - _xlfn.XMATCH($C2786, $C$4506:$C$5005, 0, 1)) &lt;= VLOOKUP($C2786, 'Instrument Table'!$B:$D, 3, FALSE), ROW($A2786) - 4504 - _xlfn.XMATCH($C2786, $C$4506:$C$5005, 0, 1), 0), 0), "00")</f>
        <v>00</v>
      </c>
      <c r="H2786" s="1" t="str">
        <f t="shared" si="259"/>
        <v>030</v>
      </c>
      <c r="I2786" s="1" t="str">
        <f t="shared" si="260"/>
        <v>14300-030</v>
      </c>
      <c r="J2786" s="1" t="str">
        <f t="shared" si="261"/>
        <v>Tuba production item #030</v>
      </c>
      <c r="K2786" s="1" t="str">
        <f>IF(SUM(COUNTIFS(I:I, I2786)) &gt; 1, "DUPLICATE", "UNIQUE")</f>
        <v>UNIQUE</v>
      </c>
      <c r="L2786" s="18">
        <v>1</v>
      </c>
      <c r="M2786" s="28">
        <v>65</v>
      </c>
      <c r="N2786" s="6">
        <v>100</v>
      </c>
      <c r="O2786" s="30">
        <f t="shared" si="262"/>
        <v>65</v>
      </c>
      <c r="P2786" s="30">
        <f t="shared" si="263"/>
        <v>6500</v>
      </c>
      <c r="Q2786" s="1">
        <f>COUNTIFS($P:$P, "&gt;" &amp; $P2786) + 1</f>
        <v>2204</v>
      </c>
      <c r="R2786" s="63">
        <f>(COUNTIFS($P:$P, "&gt;" &amp; $P2786) + 1) / (COUNTA($I:$I) - 1)</f>
        <v>0.44080000000000003</v>
      </c>
      <c r="S2786" s="23">
        <f>SUMIFS($P:$P, $Q:$Q, "&lt;" &amp; $Q2786)</f>
        <v>181477594</v>
      </c>
    </row>
    <row r="2787" spans="1:19" x14ac:dyDescent="0.25">
      <c r="A2787" s="1">
        <v>2782</v>
      </c>
      <c r="B2787" s="1" t="s">
        <v>2</v>
      </c>
      <c r="C2787" s="1" t="str">
        <f>IF($B2787 = "Production Item", _xlfn.XLOOKUP($A2787, 'Instrument Table'!$J:$J, 'Instrument Table'!$B:$B, $C2786), IF($B2787 = "Service Item", _xlfn.XLOOKUP($A2787, 'Instrument Table'!$I:$I, 'Instrument Table'!$B:$B, $C2786), _xlfn.XLOOKUP($A2787, 'Instrument Table'!$H:$H, 'Instrument Table'!$B:$B, $C2786)))</f>
        <v>Tuba</v>
      </c>
      <c r="D2787" s="1" t="str">
        <f>VLOOKUP($C2787, 'Instrument Table'!$B:$C, 2, FALSE)</f>
        <v>Brass</v>
      </c>
      <c r="E2787" s="1">
        <f t="shared" si="258"/>
        <v>1</v>
      </c>
      <c r="F2787" s="1">
        <f>_xlfn.XLOOKUP($C2787, 'Instrument Table'!$B:$B, 'Instrument Table'!$A:$A, "")</f>
        <v>43</v>
      </c>
      <c r="G2787" s="1" t="str">
        <f>TEXT(IF($B2787 = "Retail Item", IF((ROW($A2787) - 4504 - _xlfn.XMATCH($C2787, $C$4506:$C$5005, 0, 1)) &lt;= VLOOKUP($C2787, 'Instrument Table'!$B:$D, 3, FALSE), ROW($A2787) - 4504 - _xlfn.XMATCH($C2787, $C$4506:$C$5005, 0, 1), 0), 0), "00")</f>
        <v>00</v>
      </c>
      <c r="H2787" s="1" t="str">
        <f t="shared" si="259"/>
        <v>031</v>
      </c>
      <c r="I2787" s="1" t="str">
        <f t="shared" si="260"/>
        <v>14300-031</v>
      </c>
      <c r="J2787" s="1" t="str">
        <f t="shared" si="261"/>
        <v>Tuba production item #031</v>
      </c>
      <c r="K2787" s="1" t="str">
        <f>IF(SUM(COUNTIFS(I:I, I2787)) &gt; 1, "DUPLICATE", "UNIQUE")</f>
        <v>UNIQUE</v>
      </c>
      <c r="L2787" s="18">
        <v>1</v>
      </c>
      <c r="M2787" s="28">
        <v>76</v>
      </c>
      <c r="N2787" s="6">
        <v>25</v>
      </c>
      <c r="O2787" s="30">
        <f t="shared" si="262"/>
        <v>76</v>
      </c>
      <c r="P2787" s="30">
        <f t="shared" si="263"/>
        <v>1900</v>
      </c>
      <c r="Q2787" s="1">
        <f>COUNTIFS($P:$P, "&gt;" &amp; $P2787) + 1</f>
        <v>3297</v>
      </c>
      <c r="R2787" s="63">
        <f>(COUNTIFS($P:$P, "&gt;" &amp; $P2787) + 1) / (COUNTA($I:$I) - 1)</f>
        <v>0.65939999999999999</v>
      </c>
      <c r="S2787" s="23">
        <f>SUMIFS($P:$P, $Q:$Q, "&lt;" &amp; $Q2787)</f>
        <v>185603355</v>
      </c>
    </row>
    <row r="2788" spans="1:19" x14ac:dyDescent="0.25">
      <c r="A2788" s="1">
        <v>2783</v>
      </c>
      <c r="B2788" s="1" t="s">
        <v>2</v>
      </c>
      <c r="C2788" s="1" t="str">
        <f>IF($B2788 = "Production Item", _xlfn.XLOOKUP($A2788, 'Instrument Table'!$J:$J, 'Instrument Table'!$B:$B, $C2787), IF($B2788 = "Service Item", _xlfn.XLOOKUP($A2788, 'Instrument Table'!$I:$I, 'Instrument Table'!$B:$B, $C2787), _xlfn.XLOOKUP($A2788, 'Instrument Table'!$H:$H, 'Instrument Table'!$B:$B, $C2787)))</f>
        <v>Tuba</v>
      </c>
      <c r="D2788" s="1" t="str">
        <f>VLOOKUP($C2788, 'Instrument Table'!$B:$C, 2, FALSE)</f>
        <v>Brass</v>
      </c>
      <c r="E2788" s="1">
        <f t="shared" si="258"/>
        <v>1</v>
      </c>
      <c r="F2788" s="1">
        <f>_xlfn.XLOOKUP($C2788, 'Instrument Table'!$B:$B, 'Instrument Table'!$A:$A, "")</f>
        <v>43</v>
      </c>
      <c r="G2788" s="1" t="str">
        <f>TEXT(IF($B2788 = "Retail Item", IF((ROW($A2788) - 4504 - _xlfn.XMATCH($C2788, $C$4506:$C$5005, 0, 1)) &lt;= VLOOKUP($C2788, 'Instrument Table'!$B:$D, 3, FALSE), ROW($A2788) - 4504 - _xlfn.XMATCH($C2788, $C$4506:$C$5005, 0, 1), 0), 0), "00")</f>
        <v>00</v>
      </c>
      <c r="H2788" s="1" t="str">
        <f t="shared" si="259"/>
        <v>032</v>
      </c>
      <c r="I2788" s="1" t="str">
        <f t="shared" si="260"/>
        <v>14300-032</v>
      </c>
      <c r="J2788" s="1" t="str">
        <f t="shared" si="261"/>
        <v>Tuba production item #032</v>
      </c>
      <c r="K2788" s="1" t="str">
        <f>IF(SUM(COUNTIFS(I:I, I2788)) &gt; 1, "DUPLICATE", "UNIQUE")</f>
        <v>UNIQUE</v>
      </c>
      <c r="L2788" s="18">
        <v>1</v>
      </c>
      <c r="M2788" s="28">
        <v>100</v>
      </c>
      <c r="N2788" s="6">
        <v>361</v>
      </c>
      <c r="O2788" s="30">
        <f t="shared" si="262"/>
        <v>100</v>
      </c>
      <c r="P2788" s="30">
        <f t="shared" si="263"/>
        <v>36100</v>
      </c>
      <c r="Q2788" s="1">
        <f>COUNTIFS($P:$P, "&gt;" &amp; $P2788) + 1</f>
        <v>587</v>
      </c>
      <c r="R2788" s="63">
        <f>(COUNTIFS($P:$P, "&gt;" &amp; $P2788) + 1) / (COUNTA($I:$I) - 1)</f>
        <v>0.1174</v>
      </c>
      <c r="S2788" s="23">
        <f>SUMIFS($P:$P, $Q:$Q, "&lt;" &amp; $Q2788)</f>
        <v>155404269</v>
      </c>
    </row>
    <row r="2789" spans="1:19" x14ac:dyDescent="0.25">
      <c r="A2789" s="1">
        <v>2784</v>
      </c>
      <c r="B2789" s="1" t="s">
        <v>2</v>
      </c>
      <c r="C2789" s="1" t="str">
        <f>IF($B2789 = "Production Item", _xlfn.XLOOKUP($A2789, 'Instrument Table'!$J:$J, 'Instrument Table'!$B:$B, $C2788), IF($B2789 = "Service Item", _xlfn.XLOOKUP($A2789, 'Instrument Table'!$I:$I, 'Instrument Table'!$B:$B, $C2788), _xlfn.XLOOKUP($A2789, 'Instrument Table'!$H:$H, 'Instrument Table'!$B:$B, $C2788)))</f>
        <v>Tuba</v>
      </c>
      <c r="D2789" s="1" t="str">
        <f>VLOOKUP($C2789, 'Instrument Table'!$B:$C, 2, FALSE)</f>
        <v>Brass</v>
      </c>
      <c r="E2789" s="1">
        <f t="shared" si="258"/>
        <v>1</v>
      </c>
      <c r="F2789" s="1">
        <f>_xlfn.XLOOKUP($C2789, 'Instrument Table'!$B:$B, 'Instrument Table'!$A:$A, "")</f>
        <v>43</v>
      </c>
      <c r="G2789" s="1" t="str">
        <f>TEXT(IF($B2789 = "Retail Item", IF((ROW($A2789) - 4504 - _xlfn.XMATCH($C2789, $C$4506:$C$5005, 0, 1)) &lt;= VLOOKUP($C2789, 'Instrument Table'!$B:$D, 3, FALSE), ROW($A2789) - 4504 - _xlfn.XMATCH($C2789, $C$4506:$C$5005, 0, 1), 0), 0), "00")</f>
        <v>00</v>
      </c>
      <c r="H2789" s="1" t="str">
        <f t="shared" si="259"/>
        <v>033</v>
      </c>
      <c r="I2789" s="1" t="str">
        <f t="shared" si="260"/>
        <v>14300-033</v>
      </c>
      <c r="J2789" s="1" t="str">
        <f t="shared" si="261"/>
        <v>Tuba production item #033</v>
      </c>
      <c r="K2789" s="1" t="str">
        <f>IF(SUM(COUNTIFS(I:I, I2789)) &gt; 1, "DUPLICATE", "UNIQUE")</f>
        <v>UNIQUE</v>
      </c>
      <c r="L2789" s="18">
        <v>8</v>
      </c>
      <c r="M2789" s="28">
        <v>76</v>
      </c>
      <c r="N2789" s="6">
        <v>324</v>
      </c>
      <c r="O2789" s="30">
        <f t="shared" si="262"/>
        <v>608</v>
      </c>
      <c r="P2789" s="30">
        <f t="shared" si="263"/>
        <v>24624</v>
      </c>
      <c r="Q2789" s="1">
        <f>COUNTIFS($P:$P, "&gt;" &amp; $P2789) + 1</f>
        <v>839</v>
      </c>
      <c r="R2789" s="63">
        <f>(COUNTIFS($P:$P, "&gt;" &amp; $P2789) + 1) / (COUNTA($I:$I) - 1)</f>
        <v>0.1678</v>
      </c>
      <c r="S2789" s="23">
        <f>SUMIFS($P:$P, $Q:$Q, "&lt;" &amp; $Q2789)</f>
        <v>162813140</v>
      </c>
    </row>
    <row r="2790" spans="1:19" x14ac:dyDescent="0.25">
      <c r="A2790" s="1">
        <v>2785</v>
      </c>
      <c r="B2790" s="1" t="s">
        <v>2</v>
      </c>
      <c r="C2790" s="1" t="str">
        <f>IF($B2790 = "Production Item", _xlfn.XLOOKUP($A2790, 'Instrument Table'!$J:$J, 'Instrument Table'!$B:$B, $C2789), IF($B2790 = "Service Item", _xlfn.XLOOKUP($A2790, 'Instrument Table'!$I:$I, 'Instrument Table'!$B:$B, $C2789), _xlfn.XLOOKUP($A2790, 'Instrument Table'!$H:$H, 'Instrument Table'!$B:$B, $C2789)))</f>
        <v>Tuba</v>
      </c>
      <c r="D2790" s="1" t="str">
        <f>VLOOKUP($C2790, 'Instrument Table'!$B:$C, 2, FALSE)</f>
        <v>Brass</v>
      </c>
      <c r="E2790" s="1">
        <f t="shared" si="258"/>
        <v>1</v>
      </c>
      <c r="F2790" s="1">
        <f>_xlfn.XLOOKUP($C2790, 'Instrument Table'!$B:$B, 'Instrument Table'!$A:$A, "")</f>
        <v>43</v>
      </c>
      <c r="G2790" s="1" t="str">
        <f>TEXT(IF($B2790 = "Retail Item", IF((ROW($A2790) - 4504 - _xlfn.XMATCH($C2790, $C$4506:$C$5005, 0, 1)) &lt;= VLOOKUP($C2790, 'Instrument Table'!$B:$D, 3, FALSE), ROW($A2790) - 4504 - _xlfn.XMATCH($C2790, $C$4506:$C$5005, 0, 1), 0), 0), "00")</f>
        <v>00</v>
      </c>
      <c r="H2790" s="1" t="str">
        <f t="shared" si="259"/>
        <v>034</v>
      </c>
      <c r="I2790" s="1" t="str">
        <f t="shared" si="260"/>
        <v>14300-034</v>
      </c>
      <c r="J2790" s="1" t="str">
        <f t="shared" si="261"/>
        <v>Tuba production item #034</v>
      </c>
      <c r="K2790" s="1" t="str">
        <f>IF(SUM(COUNTIFS(I:I, I2790)) &gt; 1, "DUPLICATE", "UNIQUE")</f>
        <v>UNIQUE</v>
      </c>
      <c r="L2790" s="18">
        <v>32</v>
      </c>
      <c r="M2790" s="28">
        <v>12</v>
      </c>
      <c r="N2790" s="6">
        <v>64</v>
      </c>
      <c r="O2790" s="30">
        <f t="shared" si="262"/>
        <v>384</v>
      </c>
      <c r="P2790" s="30">
        <f t="shared" si="263"/>
        <v>768</v>
      </c>
      <c r="Q2790" s="1">
        <f>COUNTIFS($P:$P, "&gt;" &amp; $P2790) + 1</f>
        <v>3810</v>
      </c>
      <c r="R2790" s="63">
        <f>(COUNTIFS($P:$P, "&gt;" &amp; $P2790) + 1) / (COUNTA($I:$I) - 1)</f>
        <v>0.76200000000000001</v>
      </c>
      <c r="S2790" s="23">
        <f>SUMIFS($P:$P, $Q:$Q, "&lt;" &amp; $Q2790)</f>
        <v>186273454</v>
      </c>
    </row>
    <row r="2791" spans="1:19" x14ac:dyDescent="0.25">
      <c r="A2791" s="1">
        <v>2786</v>
      </c>
      <c r="B2791" s="1" t="s">
        <v>2</v>
      </c>
      <c r="C2791" s="1" t="str">
        <f>IF($B2791 = "Production Item", _xlfn.XLOOKUP($A2791, 'Instrument Table'!$J:$J, 'Instrument Table'!$B:$B, $C2790), IF($B2791 = "Service Item", _xlfn.XLOOKUP($A2791, 'Instrument Table'!$I:$I, 'Instrument Table'!$B:$B, $C2790), _xlfn.XLOOKUP($A2791, 'Instrument Table'!$H:$H, 'Instrument Table'!$B:$B, $C2790)))</f>
        <v>Tuba</v>
      </c>
      <c r="D2791" s="1" t="str">
        <f>VLOOKUP($C2791, 'Instrument Table'!$B:$C, 2, FALSE)</f>
        <v>Brass</v>
      </c>
      <c r="E2791" s="1">
        <f t="shared" si="258"/>
        <v>1</v>
      </c>
      <c r="F2791" s="1">
        <f>_xlfn.XLOOKUP($C2791, 'Instrument Table'!$B:$B, 'Instrument Table'!$A:$A, "")</f>
        <v>43</v>
      </c>
      <c r="G2791" s="1" t="str">
        <f>TEXT(IF($B2791 = "Retail Item", IF((ROW($A2791) - 4504 - _xlfn.XMATCH($C2791, $C$4506:$C$5005, 0, 1)) &lt;= VLOOKUP($C2791, 'Instrument Table'!$B:$D, 3, FALSE), ROW($A2791) - 4504 - _xlfn.XMATCH($C2791, $C$4506:$C$5005, 0, 1), 0), 0), "00")</f>
        <v>00</v>
      </c>
      <c r="H2791" s="1" t="str">
        <f t="shared" si="259"/>
        <v>035</v>
      </c>
      <c r="I2791" s="1" t="str">
        <f t="shared" si="260"/>
        <v>14300-035</v>
      </c>
      <c r="J2791" s="1" t="str">
        <f t="shared" si="261"/>
        <v>Tuba production item #035</v>
      </c>
      <c r="K2791" s="1" t="str">
        <f>IF(SUM(COUNTIFS(I:I, I2791)) &gt; 1, "DUPLICATE", "UNIQUE")</f>
        <v>UNIQUE</v>
      </c>
      <c r="L2791" s="18">
        <v>4</v>
      </c>
      <c r="M2791" s="28">
        <v>21</v>
      </c>
      <c r="N2791" s="6">
        <v>100</v>
      </c>
      <c r="O2791" s="30">
        <f t="shared" si="262"/>
        <v>84</v>
      </c>
      <c r="P2791" s="30">
        <f t="shared" si="263"/>
        <v>2100</v>
      </c>
      <c r="Q2791" s="1">
        <f>COUNTIFS($P:$P, "&gt;" &amp; $P2791) + 1</f>
        <v>3207</v>
      </c>
      <c r="R2791" s="63">
        <f>(COUNTIFS($P:$P, "&gt;" &amp; $P2791) + 1) / (COUNTA($I:$I) - 1)</f>
        <v>0.64139999999999997</v>
      </c>
      <c r="S2791" s="23">
        <f>SUMIFS($P:$P, $Q:$Q, "&lt;" &amp; $Q2791)</f>
        <v>185422450</v>
      </c>
    </row>
    <row r="2792" spans="1:19" x14ac:dyDescent="0.25">
      <c r="A2792" s="1">
        <v>2787</v>
      </c>
      <c r="B2792" s="1" t="s">
        <v>2</v>
      </c>
      <c r="C2792" s="1" t="str">
        <f>IF($B2792 = "Production Item", _xlfn.XLOOKUP($A2792, 'Instrument Table'!$J:$J, 'Instrument Table'!$B:$B, $C2791), IF($B2792 = "Service Item", _xlfn.XLOOKUP($A2792, 'Instrument Table'!$I:$I, 'Instrument Table'!$B:$B, $C2791), _xlfn.XLOOKUP($A2792, 'Instrument Table'!$H:$H, 'Instrument Table'!$B:$B, $C2791)))</f>
        <v>Tuba</v>
      </c>
      <c r="D2792" s="1" t="str">
        <f>VLOOKUP($C2792, 'Instrument Table'!$B:$C, 2, FALSE)</f>
        <v>Brass</v>
      </c>
      <c r="E2792" s="1">
        <f t="shared" si="258"/>
        <v>1</v>
      </c>
      <c r="F2792" s="1">
        <f>_xlfn.XLOOKUP($C2792, 'Instrument Table'!$B:$B, 'Instrument Table'!$A:$A, "")</f>
        <v>43</v>
      </c>
      <c r="G2792" s="1" t="str">
        <f>TEXT(IF($B2792 = "Retail Item", IF((ROW($A2792) - 4504 - _xlfn.XMATCH($C2792, $C$4506:$C$5005, 0, 1)) &lt;= VLOOKUP($C2792, 'Instrument Table'!$B:$D, 3, FALSE), ROW($A2792) - 4504 - _xlfn.XMATCH($C2792, $C$4506:$C$5005, 0, 1), 0), 0), "00")</f>
        <v>00</v>
      </c>
      <c r="H2792" s="1" t="str">
        <f t="shared" si="259"/>
        <v>036</v>
      </c>
      <c r="I2792" s="1" t="str">
        <f t="shared" si="260"/>
        <v>14300-036</v>
      </c>
      <c r="J2792" s="1" t="str">
        <f t="shared" si="261"/>
        <v>Tuba production item #036</v>
      </c>
      <c r="K2792" s="1" t="str">
        <f>IF(SUM(COUNTIFS(I:I, I2792)) &gt; 1, "DUPLICATE", "UNIQUE")</f>
        <v>UNIQUE</v>
      </c>
      <c r="L2792" s="18">
        <v>4</v>
      </c>
      <c r="M2792" s="28">
        <v>37</v>
      </c>
      <c r="N2792" s="6">
        <v>36</v>
      </c>
      <c r="O2792" s="30">
        <f t="shared" si="262"/>
        <v>148</v>
      </c>
      <c r="P2792" s="30">
        <f t="shared" si="263"/>
        <v>1332</v>
      </c>
      <c r="Q2792" s="1">
        <f>COUNTIFS($P:$P, "&gt;" &amp; $P2792) + 1</f>
        <v>3543</v>
      </c>
      <c r="R2792" s="63">
        <f>(COUNTIFS($P:$P, "&gt;" &amp; $P2792) + 1) / (COUNTA($I:$I) - 1)</f>
        <v>0.70860000000000001</v>
      </c>
      <c r="S2792" s="23">
        <f>SUMIFS($P:$P, $Q:$Q, "&lt;" &amp; $Q2792)</f>
        <v>185996757</v>
      </c>
    </row>
    <row r="2793" spans="1:19" x14ac:dyDescent="0.25">
      <c r="A2793" s="1">
        <v>2788</v>
      </c>
      <c r="B2793" s="1" t="s">
        <v>2</v>
      </c>
      <c r="C2793" s="1" t="str">
        <f>IF($B2793 = "Production Item", _xlfn.XLOOKUP($A2793, 'Instrument Table'!$J:$J, 'Instrument Table'!$B:$B, $C2792), IF($B2793 = "Service Item", _xlfn.XLOOKUP($A2793, 'Instrument Table'!$I:$I, 'Instrument Table'!$B:$B, $C2792), _xlfn.XLOOKUP($A2793, 'Instrument Table'!$H:$H, 'Instrument Table'!$B:$B, $C2792)))</f>
        <v>Tuba</v>
      </c>
      <c r="D2793" s="1" t="str">
        <f>VLOOKUP($C2793, 'Instrument Table'!$B:$C, 2, FALSE)</f>
        <v>Brass</v>
      </c>
      <c r="E2793" s="1">
        <f t="shared" si="258"/>
        <v>1</v>
      </c>
      <c r="F2793" s="1">
        <f>_xlfn.XLOOKUP($C2793, 'Instrument Table'!$B:$B, 'Instrument Table'!$A:$A, "")</f>
        <v>43</v>
      </c>
      <c r="G2793" s="1" t="str">
        <f>TEXT(IF($B2793 = "Retail Item", IF((ROW($A2793) - 4504 - _xlfn.XMATCH($C2793, $C$4506:$C$5005, 0, 1)) &lt;= VLOOKUP($C2793, 'Instrument Table'!$B:$D, 3, FALSE), ROW($A2793) - 4504 - _xlfn.XMATCH($C2793, $C$4506:$C$5005, 0, 1), 0), 0), "00")</f>
        <v>00</v>
      </c>
      <c r="H2793" s="1" t="str">
        <f t="shared" si="259"/>
        <v>037</v>
      </c>
      <c r="I2793" s="1" t="str">
        <f t="shared" si="260"/>
        <v>14300-037</v>
      </c>
      <c r="J2793" s="1" t="str">
        <f t="shared" si="261"/>
        <v>Tuba production item #037</v>
      </c>
      <c r="K2793" s="1" t="str">
        <f>IF(SUM(COUNTIFS(I:I, I2793)) &gt; 1, "DUPLICATE", "UNIQUE")</f>
        <v>UNIQUE</v>
      </c>
      <c r="L2793" s="18">
        <v>1</v>
      </c>
      <c r="M2793" s="28">
        <v>100</v>
      </c>
      <c r="N2793" s="6">
        <v>25</v>
      </c>
      <c r="O2793" s="30">
        <f t="shared" si="262"/>
        <v>100</v>
      </c>
      <c r="P2793" s="30">
        <f t="shared" si="263"/>
        <v>2500</v>
      </c>
      <c r="Q2793" s="1">
        <f>COUNTIFS($P:$P, "&gt;" &amp; $P2793) + 1</f>
        <v>3044</v>
      </c>
      <c r="R2793" s="63">
        <f>(COUNTIFS($P:$P, "&gt;" &amp; $P2793) + 1) / (COUNTA($I:$I) - 1)</f>
        <v>0.60880000000000001</v>
      </c>
      <c r="S2793" s="23">
        <f>SUMIFS($P:$P, $Q:$Q, "&lt;" &amp; $Q2793)</f>
        <v>185045549</v>
      </c>
    </row>
    <row r="2794" spans="1:19" x14ac:dyDescent="0.25">
      <c r="A2794" s="1">
        <v>2789</v>
      </c>
      <c r="B2794" s="1" t="s">
        <v>2</v>
      </c>
      <c r="C2794" s="1" t="str">
        <f>IF($B2794 = "Production Item", _xlfn.XLOOKUP($A2794, 'Instrument Table'!$J:$J, 'Instrument Table'!$B:$B, $C2793), IF($B2794 = "Service Item", _xlfn.XLOOKUP($A2794, 'Instrument Table'!$I:$I, 'Instrument Table'!$B:$B, $C2793), _xlfn.XLOOKUP($A2794, 'Instrument Table'!$H:$H, 'Instrument Table'!$B:$B, $C2793)))</f>
        <v>Tuba</v>
      </c>
      <c r="D2794" s="1" t="str">
        <f>VLOOKUP($C2794, 'Instrument Table'!$B:$C, 2, FALSE)</f>
        <v>Brass</v>
      </c>
      <c r="E2794" s="1">
        <f t="shared" si="258"/>
        <v>1</v>
      </c>
      <c r="F2794" s="1">
        <f>_xlfn.XLOOKUP($C2794, 'Instrument Table'!$B:$B, 'Instrument Table'!$A:$A, "")</f>
        <v>43</v>
      </c>
      <c r="G2794" s="1" t="str">
        <f>TEXT(IF($B2794 = "Retail Item", IF((ROW($A2794) - 4504 - _xlfn.XMATCH($C2794, $C$4506:$C$5005, 0, 1)) &lt;= VLOOKUP($C2794, 'Instrument Table'!$B:$D, 3, FALSE), ROW($A2794) - 4504 - _xlfn.XMATCH($C2794, $C$4506:$C$5005, 0, 1), 0), 0), "00")</f>
        <v>00</v>
      </c>
      <c r="H2794" s="1" t="str">
        <f t="shared" si="259"/>
        <v>038</v>
      </c>
      <c r="I2794" s="1" t="str">
        <f t="shared" si="260"/>
        <v>14300-038</v>
      </c>
      <c r="J2794" s="1" t="str">
        <f t="shared" si="261"/>
        <v>Tuba production item #038</v>
      </c>
      <c r="K2794" s="1" t="str">
        <f>IF(SUM(COUNTIFS(I:I, I2794)) &gt; 1, "DUPLICATE", "UNIQUE")</f>
        <v>UNIQUE</v>
      </c>
      <c r="L2794" s="18">
        <v>1</v>
      </c>
      <c r="M2794" s="28">
        <v>1</v>
      </c>
      <c r="N2794" s="6">
        <v>1</v>
      </c>
      <c r="O2794" s="30">
        <f t="shared" si="262"/>
        <v>1</v>
      </c>
      <c r="P2794" s="30">
        <f t="shared" si="263"/>
        <v>1</v>
      </c>
      <c r="Q2794" s="1">
        <f>COUNTIFS($P:$P, "&gt;" &amp; $P2794) + 1</f>
        <v>4743</v>
      </c>
      <c r="R2794" s="63">
        <f>(COUNTIFS($P:$P, "&gt;" &amp; $P2794) + 1) / (COUNTA($I:$I) - 1)</f>
        <v>0.9486</v>
      </c>
      <c r="S2794" s="23">
        <f>SUMIFS($P:$P, $Q:$Q, "&lt;" &amp; $Q2794)</f>
        <v>186547858</v>
      </c>
    </row>
    <row r="2795" spans="1:19" x14ac:dyDescent="0.25">
      <c r="A2795" s="1">
        <v>2790</v>
      </c>
      <c r="B2795" s="1" t="s">
        <v>2</v>
      </c>
      <c r="C2795" s="1" t="str">
        <f>IF($B2795 = "Production Item", _xlfn.XLOOKUP($A2795, 'Instrument Table'!$J:$J, 'Instrument Table'!$B:$B, $C2794), IF($B2795 = "Service Item", _xlfn.XLOOKUP($A2795, 'Instrument Table'!$I:$I, 'Instrument Table'!$B:$B, $C2794), _xlfn.XLOOKUP($A2795, 'Instrument Table'!$H:$H, 'Instrument Table'!$B:$B, $C2794)))</f>
        <v>Tuba</v>
      </c>
      <c r="D2795" s="1" t="str">
        <f>VLOOKUP($C2795, 'Instrument Table'!$B:$C, 2, FALSE)</f>
        <v>Brass</v>
      </c>
      <c r="E2795" s="1">
        <f t="shared" si="258"/>
        <v>1</v>
      </c>
      <c r="F2795" s="1">
        <f>_xlfn.XLOOKUP($C2795, 'Instrument Table'!$B:$B, 'Instrument Table'!$A:$A, "")</f>
        <v>43</v>
      </c>
      <c r="G2795" s="1" t="str">
        <f>TEXT(IF($B2795 = "Retail Item", IF((ROW($A2795) - 4504 - _xlfn.XMATCH($C2795, $C$4506:$C$5005, 0, 1)) &lt;= VLOOKUP($C2795, 'Instrument Table'!$B:$D, 3, FALSE), ROW($A2795) - 4504 - _xlfn.XMATCH($C2795, $C$4506:$C$5005, 0, 1), 0), 0), "00")</f>
        <v>00</v>
      </c>
      <c r="H2795" s="1" t="str">
        <f t="shared" si="259"/>
        <v>039</v>
      </c>
      <c r="I2795" s="1" t="str">
        <f t="shared" si="260"/>
        <v>14300-039</v>
      </c>
      <c r="J2795" s="1" t="str">
        <f t="shared" si="261"/>
        <v>Tuba production item #039</v>
      </c>
      <c r="K2795" s="1" t="str">
        <f>IF(SUM(COUNTIFS(I:I, I2795)) &gt; 1, "DUPLICATE", "UNIQUE")</f>
        <v>UNIQUE</v>
      </c>
      <c r="L2795" s="18">
        <v>4</v>
      </c>
      <c r="M2795" s="28">
        <v>7</v>
      </c>
      <c r="N2795" s="6">
        <v>16</v>
      </c>
      <c r="O2795" s="30">
        <f t="shared" si="262"/>
        <v>28</v>
      </c>
      <c r="P2795" s="30">
        <f t="shared" si="263"/>
        <v>112</v>
      </c>
      <c r="Q2795" s="1">
        <f>COUNTIFS($P:$P, "&gt;" &amp; $P2795) + 1</f>
        <v>4436</v>
      </c>
      <c r="R2795" s="63">
        <f>(COUNTIFS($P:$P, "&gt;" &amp; $P2795) + 1) / (COUNTA($I:$I) - 1)</f>
        <v>0.88719999999999999</v>
      </c>
      <c r="S2795" s="23">
        <f>SUMIFS($P:$P, $Q:$Q, "&lt;" &amp; $Q2795)</f>
        <v>186530696</v>
      </c>
    </row>
    <row r="2796" spans="1:19" x14ac:dyDescent="0.25">
      <c r="A2796" s="1">
        <v>2791</v>
      </c>
      <c r="B2796" s="1" t="s">
        <v>2</v>
      </c>
      <c r="C2796" s="1" t="str">
        <f>IF($B2796 = "Production Item", _xlfn.XLOOKUP($A2796, 'Instrument Table'!$J:$J, 'Instrument Table'!$B:$B, $C2795), IF($B2796 = "Service Item", _xlfn.XLOOKUP($A2796, 'Instrument Table'!$I:$I, 'Instrument Table'!$B:$B, $C2795), _xlfn.XLOOKUP($A2796, 'Instrument Table'!$H:$H, 'Instrument Table'!$B:$B, $C2795)))</f>
        <v>Tuba</v>
      </c>
      <c r="D2796" s="1" t="str">
        <f>VLOOKUP($C2796, 'Instrument Table'!$B:$C, 2, FALSE)</f>
        <v>Brass</v>
      </c>
      <c r="E2796" s="1">
        <f t="shared" si="258"/>
        <v>1</v>
      </c>
      <c r="F2796" s="1">
        <f>_xlfn.XLOOKUP($C2796, 'Instrument Table'!$B:$B, 'Instrument Table'!$A:$A, "")</f>
        <v>43</v>
      </c>
      <c r="G2796" s="1" t="str">
        <f>TEXT(IF($B2796 = "Retail Item", IF((ROW($A2796) - 4504 - _xlfn.XMATCH($C2796, $C$4506:$C$5005, 0, 1)) &lt;= VLOOKUP($C2796, 'Instrument Table'!$B:$D, 3, FALSE), ROW($A2796) - 4504 - _xlfn.XMATCH($C2796, $C$4506:$C$5005, 0, 1), 0), 0), "00")</f>
        <v>00</v>
      </c>
      <c r="H2796" s="1" t="str">
        <f t="shared" si="259"/>
        <v>040</v>
      </c>
      <c r="I2796" s="1" t="str">
        <f t="shared" si="260"/>
        <v>14300-040</v>
      </c>
      <c r="J2796" s="1" t="str">
        <f t="shared" si="261"/>
        <v>Tuba production item #040</v>
      </c>
      <c r="K2796" s="1" t="str">
        <f>IF(SUM(COUNTIFS(I:I, I2796)) &gt; 1, "DUPLICATE", "UNIQUE")</f>
        <v>UNIQUE</v>
      </c>
      <c r="L2796" s="18">
        <v>0</v>
      </c>
      <c r="M2796" s="28">
        <v>6</v>
      </c>
      <c r="N2796" s="6">
        <v>121</v>
      </c>
      <c r="O2796" s="30">
        <f t="shared" si="262"/>
        <v>0</v>
      </c>
      <c r="P2796" s="30">
        <f t="shared" si="263"/>
        <v>726</v>
      </c>
      <c r="Q2796" s="1">
        <f>COUNTIFS($P:$P, "&gt;" &amp; $P2796) + 1</f>
        <v>3852</v>
      </c>
      <c r="R2796" s="63">
        <f>(COUNTIFS($P:$P, "&gt;" &amp; $P2796) + 1) / (COUNTA($I:$I) - 1)</f>
        <v>0.77039999999999997</v>
      </c>
      <c r="S2796" s="23">
        <f>SUMIFS($P:$P, $Q:$Q, "&lt;" &amp; $Q2796)</f>
        <v>186305001</v>
      </c>
    </row>
    <row r="2797" spans="1:19" x14ac:dyDescent="0.25">
      <c r="A2797" s="1">
        <v>2792</v>
      </c>
      <c r="B2797" s="1" t="s">
        <v>2</v>
      </c>
      <c r="C2797" s="1" t="str">
        <f>IF($B2797 = "Production Item", _xlfn.XLOOKUP($A2797, 'Instrument Table'!$J:$J, 'Instrument Table'!$B:$B, $C2796), IF($B2797 = "Service Item", _xlfn.XLOOKUP($A2797, 'Instrument Table'!$I:$I, 'Instrument Table'!$B:$B, $C2796), _xlfn.XLOOKUP($A2797, 'Instrument Table'!$H:$H, 'Instrument Table'!$B:$B, $C2796)))</f>
        <v>Tuba</v>
      </c>
      <c r="D2797" s="1" t="str">
        <f>VLOOKUP($C2797, 'Instrument Table'!$B:$C, 2, FALSE)</f>
        <v>Brass</v>
      </c>
      <c r="E2797" s="1">
        <f t="shared" si="258"/>
        <v>1</v>
      </c>
      <c r="F2797" s="1">
        <f>_xlfn.XLOOKUP($C2797, 'Instrument Table'!$B:$B, 'Instrument Table'!$A:$A, "")</f>
        <v>43</v>
      </c>
      <c r="G2797" s="1" t="str">
        <f>TEXT(IF($B2797 = "Retail Item", IF((ROW($A2797) - 4504 - _xlfn.XMATCH($C2797, $C$4506:$C$5005, 0, 1)) &lt;= VLOOKUP($C2797, 'Instrument Table'!$B:$D, 3, FALSE), ROW($A2797) - 4504 - _xlfn.XMATCH($C2797, $C$4506:$C$5005, 0, 1), 0), 0), "00")</f>
        <v>00</v>
      </c>
      <c r="H2797" s="1" t="str">
        <f t="shared" si="259"/>
        <v>041</v>
      </c>
      <c r="I2797" s="1" t="str">
        <f t="shared" si="260"/>
        <v>14300-041</v>
      </c>
      <c r="J2797" s="1" t="str">
        <f t="shared" si="261"/>
        <v>Tuba production item #041</v>
      </c>
      <c r="K2797" s="1" t="str">
        <f>IF(SUM(COUNTIFS(I:I, I2797)) &gt; 1, "DUPLICATE", "UNIQUE")</f>
        <v>UNIQUE</v>
      </c>
      <c r="L2797" s="18">
        <v>0</v>
      </c>
      <c r="M2797" s="28">
        <v>64</v>
      </c>
      <c r="N2797" s="6">
        <v>49</v>
      </c>
      <c r="O2797" s="30">
        <f t="shared" si="262"/>
        <v>0</v>
      </c>
      <c r="P2797" s="30">
        <f t="shared" si="263"/>
        <v>3136</v>
      </c>
      <c r="Q2797" s="1">
        <f>COUNTIFS($P:$P, "&gt;" &amp; $P2797) + 1</f>
        <v>2874</v>
      </c>
      <c r="R2797" s="63">
        <f>(COUNTIFS($P:$P, "&gt;" &amp; $P2797) + 1) / (COUNTA($I:$I) - 1)</f>
        <v>0.57479999999999998</v>
      </c>
      <c r="S2797" s="23">
        <f>SUMIFS($P:$P, $Q:$Q, "&lt;" &amp; $Q2797)</f>
        <v>184568226</v>
      </c>
    </row>
    <row r="2798" spans="1:19" x14ac:dyDescent="0.25">
      <c r="A2798" s="1">
        <v>2793</v>
      </c>
      <c r="B2798" s="1" t="s">
        <v>2</v>
      </c>
      <c r="C2798" s="1" t="str">
        <f>IF($B2798 = "Production Item", _xlfn.XLOOKUP($A2798, 'Instrument Table'!$J:$J, 'Instrument Table'!$B:$B, $C2797), IF($B2798 = "Service Item", _xlfn.XLOOKUP($A2798, 'Instrument Table'!$I:$I, 'Instrument Table'!$B:$B, $C2797), _xlfn.XLOOKUP($A2798, 'Instrument Table'!$H:$H, 'Instrument Table'!$B:$B, $C2797)))</f>
        <v>Tuba</v>
      </c>
      <c r="D2798" s="1" t="str">
        <f>VLOOKUP($C2798, 'Instrument Table'!$B:$C, 2, FALSE)</f>
        <v>Brass</v>
      </c>
      <c r="E2798" s="1">
        <f t="shared" si="258"/>
        <v>1</v>
      </c>
      <c r="F2798" s="1">
        <f>_xlfn.XLOOKUP($C2798, 'Instrument Table'!$B:$B, 'Instrument Table'!$A:$A, "")</f>
        <v>43</v>
      </c>
      <c r="G2798" s="1" t="str">
        <f>TEXT(IF($B2798 = "Retail Item", IF((ROW($A2798) - 4504 - _xlfn.XMATCH($C2798, $C$4506:$C$5005, 0, 1)) &lt;= VLOOKUP($C2798, 'Instrument Table'!$B:$D, 3, FALSE), ROW($A2798) - 4504 - _xlfn.XMATCH($C2798, $C$4506:$C$5005, 0, 1), 0), 0), "00")</f>
        <v>00</v>
      </c>
      <c r="H2798" s="1" t="str">
        <f t="shared" si="259"/>
        <v>042</v>
      </c>
      <c r="I2798" s="1" t="str">
        <f t="shared" si="260"/>
        <v>14300-042</v>
      </c>
      <c r="J2798" s="1" t="str">
        <f t="shared" si="261"/>
        <v>Tuba production item #042</v>
      </c>
      <c r="K2798" s="1" t="str">
        <f>IF(SUM(COUNTIFS(I:I, I2798)) &gt; 1, "DUPLICATE", "UNIQUE")</f>
        <v>UNIQUE</v>
      </c>
      <c r="L2798" s="18">
        <v>8</v>
      </c>
      <c r="M2798" s="28">
        <v>56</v>
      </c>
      <c r="N2798" s="6">
        <v>1</v>
      </c>
      <c r="O2798" s="30">
        <f t="shared" si="262"/>
        <v>448</v>
      </c>
      <c r="P2798" s="30">
        <f t="shared" si="263"/>
        <v>56</v>
      </c>
      <c r="Q2798" s="1">
        <f>COUNTIFS($P:$P, "&gt;" &amp; $P2798) + 1</f>
        <v>4589</v>
      </c>
      <c r="R2798" s="63">
        <f>(COUNTIFS($P:$P, "&gt;" &amp; $P2798) + 1) / (COUNTA($I:$I) - 1)</f>
        <v>0.91779999999999995</v>
      </c>
      <c r="S2798" s="23">
        <f>SUMIFS($P:$P, $Q:$Q, "&lt;" &amp; $Q2798)</f>
        <v>186543088</v>
      </c>
    </row>
    <row r="2799" spans="1:19" x14ac:dyDescent="0.25">
      <c r="A2799" s="1">
        <v>2794</v>
      </c>
      <c r="B2799" s="1" t="s">
        <v>2</v>
      </c>
      <c r="C2799" s="1" t="str">
        <f>IF($B2799 = "Production Item", _xlfn.XLOOKUP($A2799, 'Instrument Table'!$J:$J, 'Instrument Table'!$B:$B, $C2798), IF($B2799 = "Service Item", _xlfn.XLOOKUP($A2799, 'Instrument Table'!$I:$I, 'Instrument Table'!$B:$B, $C2798), _xlfn.XLOOKUP($A2799, 'Instrument Table'!$H:$H, 'Instrument Table'!$B:$B, $C2798)))</f>
        <v>Tuba</v>
      </c>
      <c r="D2799" s="1" t="str">
        <f>VLOOKUP($C2799, 'Instrument Table'!$B:$C, 2, FALSE)</f>
        <v>Brass</v>
      </c>
      <c r="E2799" s="1">
        <f t="shared" si="258"/>
        <v>1</v>
      </c>
      <c r="F2799" s="1">
        <f>_xlfn.XLOOKUP($C2799, 'Instrument Table'!$B:$B, 'Instrument Table'!$A:$A, "")</f>
        <v>43</v>
      </c>
      <c r="G2799" s="1" t="str">
        <f>TEXT(IF($B2799 = "Retail Item", IF((ROW($A2799) - 4504 - _xlfn.XMATCH($C2799, $C$4506:$C$5005, 0, 1)) &lt;= VLOOKUP($C2799, 'Instrument Table'!$B:$D, 3, FALSE), ROW($A2799) - 4504 - _xlfn.XMATCH($C2799, $C$4506:$C$5005, 0, 1), 0), 0), "00")</f>
        <v>00</v>
      </c>
      <c r="H2799" s="1" t="str">
        <f t="shared" si="259"/>
        <v>043</v>
      </c>
      <c r="I2799" s="1" t="str">
        <f t="shared" si="260"/>
        <v>14300-043</v>
      </c>
      <c r="J2799" s="1" t="str">
        <f t="shared" si="261"/>
        <v>Tuba production item #043</v>
      </c>
      <c r="K2799" s="1" t="str">
        <f>IF(SUM(COUNTIFS(I:I, I2799)) &gt; 1, "DUPLICATE", "UNIQUE")</f>
        <v>UNIQUE</v>
      </c>
      <c r="L2799" s="18">
        <v>8</v>
      </c>
      <c r="M2799" s="28">
        <v>16</v>
      </c>
      <c r="N2799" s="6">
        <v>144</v>
      </c>
      <c r="O2799" s="30">
        <f t="shared" si="262"/>
        <v>128</v>
      </c>
      <c r="P2799" s="30">
        <f t="shared" si="263"/>
        <v>2304</v>
      </c>
      <c r="Q2799" s="1">
        <f>COUNTIFS($P:$P, "&gt;" &amp; $P2799) + 1</f>
        <v>3118</v>
      </c>
      <c r="R2799" s="63">
        <f>(COUNTIFS($P:$P, "&gt;" &amp; $P2799) + 1) / (COUNTA($I:$I) - 1)</f>
        <v>0.62360000000000004</v>
      </c>
      <c r="S2799" s="23">
        <f>SUMIFS($P:$P, $Q:$Q, "&lt;" &amp; $Q2799)</f>
        <v>185224654</v>
      </c>
    </row>
    <row r="2800" spans="1:19" x14ac:dyDescent="0.25">
      <c r="A2800" s="1">
        <v>2795</v>
      </c>
      <c r="B2800" s="1" t="s">
        <v>2</v>
      </c>
      <c r="C2800" s="1" t="str">
        <f>IF($B2800 = "Production Item", _xlfn.XLOOKUP($A2800, 'Instrument Table'!$J:$J, 'Instrument Table'!$B:$B, $C2799), IF($B2800 = "Service Item", _xlfn.XLOOKUP($A2800, 'Instrument Table'!$I:$I, 'Instrument Table'!$B:$B, $C2799), _xlfn.XLOOKUP($A2800, 'Instrument Table'!$H:$H, 'Instrument Table'!$B:$B, $C2799)))</f>
        <v>Tuba</v>
      </c>
      <c r="D2800" s="1" t="str">
        <f>VLOOKUP($C2800, 'Instrument Table'!$B:$C, 2, FALSE)</f>
        <v>Brass</v>
      </c>
      <c r="E2800" s="1">
        <f t="shared" si="258"/>
        <v>1</v>
      </c>
      <c r="F2800" s="1">
        <f>_xlfn.XLOOKUP($C2800, 'Instrument Table'!$B:$B, 'Instrument Table'!$A:$A, "")</f>
        <v>43</v>
      </c>
      <c r="G2800" s="1" t="str">
        <f>TEXT(IF($B2800 = "Retail Item", IF((ROW($A2800) - 4504 - _xlfn.XMATCH($C2800, $C$4506:$C$5005, 0, 1)) &lt;= VLOOKUP($C2800, 'Instrument Table'!$B:$D, 3, FALSE), ROW($A2800) - 4504 - _xlfn.XMATCH($C2800, $C$4506:$C$5005, 0, 1), 0), 0), "00")</f>
        <v>00</v>
      </c>
      <c r="H2800" s="1" t="str">
        <f t="shared" si="259"/>
        <v>044</v>
      </c>
      <c r="I2800" s="1" t="str">
        <f t="shared" si="260"/>
        <v>14300-044</v>
      </c>
      <c r="J2800" s="1" t="str">
        <f t="shared" si="261"/>
        <v>Tuba production item #044</v>
      </c>
      <c r="K2800" s="1" t="str">
        <f>IF(SUM(COUNTIFS(I:I, I2800)) &gt; 1, "DUPLICATE", "UNIQUE")</f>
        <v>UNIQUE</v>
      </c>
      <c r="L2800" s="18">
        <v>1</v>
      </c>
      <c r="M2800" s="28">
        <v>73</v>
      </c>
      <c r="N2800" s="6">
        <v>121</v>
      </c>
      <c r="O2800" s="30">
        <f t="shared" si="262"/>
        <v>73</v>
      </c>
      <c r="P2800" s="30">
        <f t="shared" si="263"/>
        <v>8833</v>
      </c>
      <c r="Q2800" s="1">
        <f>COUNTIFS($P:$P, "&gt;" &amp; $P2800) + 1</f>
        <v>1892</v>
      </c>
      <c r="R2800" s="63">
        <f>(COUNTIFS($P:$P, "&gt;" &amp; $P2800) + 1) / (COUNTA($I:$I) - 1)</f>
        <v>0.37840000000000001</v>
      </c>
      <c r="S2800" s="23">
        <f>SUMIFS($P:$P, $Q:$Q, "&lt;" &amp; $Q2800)</f>
        <v>179092955</v>
      </c>
    </row>
    <row r="2801" spans="1:19" x14ac:dyDescent="0.25">
      <c r="A2801" s="1">
        <v>2796</v>
      </c>
      <c r="B2801" s="1" t="s">
        <v>2</v>
      </c>
      <c r="C2801" s="1" t="str">
        <f>IF($B2801 = "Production Item", _xlfn.XLOOKUP($A2801, 'Instrument Table'!$J:$J, 'Instrument Table'!$B:$B, $C2800), IF($B2801 = "Service Item", _xlfn.XLOOKUP($A2801, 'Instrument Table'!$I:$I, 'Instrument Table'!$B:$B, $C2800), _xlfn.XLOOKUP($A2801, 'Instrument Table'!$H:$H, 'Instrument Table'!$B:$B, $C2800)))</f>
        <v>Tuba</v>
      </c>
      <c r="D2801" s="1" t="str">
        <f>VLOOKUP($C2801, 'Instrument Table'!$B:$C, 2, FALSE)</f>
        <v>Brass</v>
      </c>
      <c r="E2801" s="1">
        <f t="shared" si="258"/>
        <v>1</v>
      </c>
      <c r="F2801" s="1">
        <f>_xlfn.XLOOKUP($C2801, 'Instrument Table'!$B:$B, 'Instrument Table'!$A:$A, "")</f>
        <v>43</v>
      </c>
      <c r="G2801" s="1" t="str">
        <f>TEXT(IF($B2801 = "Retail Item", IF((ROW($A2801) - 4504 - _xlfn.XMATCH($C2801, $C$4506:$C$5005, 0, 1)) &lt;= VLOOKUP($C2801, 'Instrument Table'!$B:$D, 3, FALSE), ROW($A2801) - 4504 - _xlfn.XMATCH($C2801, $C$4506:$C$5005, 0, 1), 0), 0), "00")</f>
        <v>00</v>
      </c>
      <c r="H2801" s="1" t="str">
        <f t="shared" si="259"/>
        <v>045</v>
      </c>
      <c r="I2801" s="1" t="str">
        <f t="shared" si="260"/>
        <v>14300-045</v>
      </c>
      <c r="J2801" s="1" t="str">
        <f t="shared" si="261"/>
        <v>Tuba production item #045</v>
      </c>
      <c r="K2801" s="1" t="str">
        <f>IF(SUM(COUNTIFS(I:I, I2801)) &gt; 1, "DUPLICATE", "UNIQUE")</f>
        <v>UNIQUE</v>
      </c>
      <c r="L2801" s="18">
        <v>0</v>
      </c>
      <c r="M2801" s="28">
        <v>56</v>
      </c>
      <c r="N2801" s="6">
        <v>25</v>
      </c>
      <c r="O2801" s="30">
        <f t="shared" si="262"/>
        <v>0</v>
      </c>
      <c r="P2801" s="30">
        <f t="shared" si="263"/>
        <v>1400</v>
      </c>
      <c r="Q2801" s="1">
        <f>COUNTIFS($P:$P, "&gt;" &amp; $P2801) + 1</f>
        <v>3510</v>
      </c>
      <c r="R2801" s="63">
        <f>(COUNTIFS($P:$P, "&gt;" &amp; $P2801) + 1) / (COUNTA($I:$I) - 1)</f>
        <v>0.70199999999999996</v>
      </c>
      <c r="S2801" s="23">
        <f>SUMIFS($P:$P, $Q:$Q, "&lt;" &amp; $Q2801)</f>
        <v>185951547</v>
      </c>
    </row>
    <row r="2802" spans="1:19" x14ac:dyDescent="0.25">
      <c r="A2802" s="1">
        <v>2797</v>
      </c>
      <c r="B2802" s="1" t="s">
        <v>2</v>
      </c>
      <c r="C2802" s="1" t="str">
        <f>IF($B2802 = "Production Item", _xlfn.XLOOKUP($A2802, 'Instrument Table'!$J:$J, 'Instrument Table'!$B:$B, $C2801), IF($B2802 = "Service Item", _xlfn.XLOOKUP($A2802, 'Instrument Table'!$I:$I, 'Instrument Table'!$B:$B, $C2801), _xlfn.XLOOKUP($A2802, 'Instrument Table'!$H:$H, 'Instrument Table'!$B:$B, $C2801)))</f>
        <v>Tuba</v>
      </c>
      <c r="D2802" s="1" t="str">
        <f>VLOOKUP($C2802, 'Instrument Table'!$B:$C, 2, FALSE)</f>
        <v>Brass</v>
      </c>
      <c r="E2802" s="1">
        <f t="shared" si="258"/>
        <v>1</v>
      </c>
      <c r="F2802" s="1">
        <f>_xlfn.XLOOKUP($C2802, 'Instrument Table'!$B:$B, 'Instrument Table'!$A:$A, "")</f>
        <v>43</v>
      </c>
      <c r="G2802" s="1" t="str">
        <f>TEXT(IF($B2802 = "Retail Item", IF((ROW($A2802) - 4504 - _xlfn.XMATCH($C2802, $C$4506:$C$5005, 0, 1)) &lt;= VLOOKUP($C2802, 'Instrument Table'!$B:$D, 3, FALSE), ROW($A2802) - 4504 - _xlfn.XMATCH($C2802, $C$4506:$C$5005, 0, 1), 0), 0), "00")</f>
        <v>00</v>
      </c>
      <c r="H2802" s="1" t="str">
        <f t="shared" si="259"/>
        <v>046</v>
      </c>
      <c r="I2802" s="1" t="str">
        <f t="shared" si="260"/>
        <v>14300-046</v>
      </c>
      <c r="J2802" s="1" t="str">
        <f t="shared" si="261"/>
        <v>Tuba production item #046</v>
      </c>
      <c r="K2802" s="1" t="str">
        <f>IF(SUM(COUNTIFS(I:I, I2802)) &gt; 1, "DUPLICATE", "UNIQUE")</f>
        <v>UNIQUE</v>
      </c>
      <c r="L2802" s="18">
        <v>4</v>
      </c>
      <c r="M2802" s="28">
        <v>19</v>
      </c>
      <c r="N2802" s="6">
        <v>121</v>
      </c>
      <c r="O2802" s="30">
        <f t="shared" si="262"/>
        <v>76</v>
      </c>
      <c r="P2802" s="30">
        <f t="shared" si="263"/>
        <v>2299</v>
      </c>
      <c r="Q2802" s="1">
        <f>COUNTIFS($P:$P, "&gt;" &amp; $P2802) + 1</f>
        <v>3140</v>
      </c>
      <c r="R2802" s="63">
        <f>(COUNTIFS($P:$P, "&gt;" &amp; $P2802) + 1) / (COUNTA($I:$I) - 1)</f>
        <v>0.628</v>
      </c>
      <c r="S2802" s="23">
        <f>SUMIFS($P:$P, $Q:$Q, "&lt;" &amp; $Q2802)</f>
        <v>185275305</v>
      </c>
    </row>
    <row r="2803" spans="1:19" x14ac:dyDescent="0.25">
      <c r="A2803" s="1">
        <v>2798</v>
      </c>
      <c r="B2803" s="1" t="s">
        <v>2</v>
      </c>
      <c r="C2803" s="1" t="str">
        <f>IF($B2803 = "Production Item", _xlfn.XLOOKUP($A2803, 'Instrument Table'!$J:$J, 'Instrument Table'!$B:$B, $C2802), IF($B2803 = "Service Item", _xlfn.XLOOKUP($A2803, 'Instrument Table'!$I:$I, 'Instrument Table'!$B:$B, $C2802), _xlfn.XLOOKUP($A2803, 'Instrument Table'!$H:$H, 'Instrument Table'!$B:$B, $C2802)))</f>
        <v>Tuba</v>
      </c>
      <c r="D2803" s="1" t="str">
        <f>VLOOKUP($C2803, 'Instrument Table'!$B:$C, 2, FALSE)</f>
        <v>Brass</v>
      </c>
      <c r="E2803" s="1">
        <f t="shared" si="258"/>
        <v>1</v>
      </c>
      <c r="F2803" s="1">
        <f>_xlfn.XLOOKUP($C2803, 'Instrument Table'!$B:$B, 'Instrument Table'!$A:$A, "")</f>
        <v>43</v>
      </c>
      <c r="G2803" s="1" t="str">
        <f>TEXT(IF($B2803 = "Retail Item", IF((ROW($A2803) - 4504 - _xlfn.XMATCH($C2803, $C$4506:$C$5005, 0, 1)) &lt;= VLOOKUP($C2803, 'Instrument Table'!$B:$D, 3, FALSE), ROW($A2803) - 4504 - _xlfn.XMATCH($C2803, $C$4506:$C$5005, 0, 1), 0), 0), "00")</f>
        <v>00</v>
      </c>
      <c r="H2803" s="1" t="str">
        <f t="shared" si="259"/>
        <v>047</v>
      </c>
      <c r="I2803" s="1" t="str">
        <f t="shared" si="260"/>
        <v>14300-047</v>
      </c>
      <c r="J2803" s="1" t="str">
        <f t="shared" si="261"/>
        <v>Tuba production item #047</v>
      </c>
      <c r="K2803" s="1" t="str">
        <f>IF(SUM(COUNTIFS(I:I, I2803)) &gt; 1, "DUPLICATE", "UNIQUE")</f>
        <v>UNIQUE</v>
      </c>
      <c r="L2803" s="18">
        <v>1</v>
      </c>
      <c r="M2803" s="28">
        <v>89</v>
      </c>
      <c r="N2803" s="6">
        <v>100</v>
      </c>
      <c r="O2803" s="30">
        <f t="shared" si="262"/>
        <v>89</v>
      </c>
      <c r="P2803" s="30">
        <f t="shared" si="263"/>
        <v>8900</v>
      </c>
      <c r="Q2803" s="1">
        <f>COUNTIFS($P:$P, "&gt;" &amp; $P2803) + 1</f>
        <v>1886</v>
      </c>
      <c r="R2803" s="63">
        <f>(COUNTIFS($P:$P, "&gt;" &amp; $P2803) + 1) / (COUNTA($I:$I) - 1)</f>
        <v>0.37719999999999998</v>
      </c>
      <c r="S2803" s="23">
        <f>SUMIFS($P:$P, $Q:$Q, "&lt;" &amp; $Q2803)</f>
        <v>179039555</v>
      </c>
    </row>
    <row r="2804" spans="1:19" x14ac:dyDescent="0.25">
      <c r="A2804" s="1">
        <v>2799</v>
      </c>
      <c r="B2804" s="1" t="s">
        <v>2</v>
      </c>
      <c r="C2804" s="1" t="str">
        <f>IF($B2804 = "Production Item", _xlfn.XLOOKUP($A2804, 'Instrument Table'!$J:$J, 'Instrument Table'!$B:$B, $C2803), IF($B2804 = "Service Item", _xlfn.XLOOKUP($A2804, 'Instrument Table'!$I:$I, 'Instrument Table'!$B:$B, $C2803), _xlfn.XLOOKUP($A2804, 'Instrument Table'!$H:$H, 'Instrument Table'!$B:$B, $C2803)))</f>
        <v>Tuba</v>
      </c>
      <c r="D2804" s="1" t="str">
        <f>VLOOKUP($C2804, 'Instrument Table'!$B:$C, 2, FALSE)</f>
        <v>Brass</v>
      </c>
      <c r="E2804" s="1">
        <f t="shared" si="258"/>
        <v>1</v>
      </c>
      <c r="F2804" s="1">
        <f>_xlfn.XLOOKUP($C2804, 'Instrument Table'!$B:$B, 'Instrument Table'!$A:$A, "")</f>
        <v>43</v>
      </c>
      <c r="G2804" s="1" t="str">
        <f>TEXT(IF($B2804 = "Retail Item", IF((ROW($A2804) - 4504 - _xlfn.XMATCH($C2804, $C$4506:$C$5005, 0, 1)) &lt;= VLOOKUP($C2804, 'Instrument Table'!$B:$D, 3, FALSE), ROW($A2804) - 4504 - _xlfn.XMATCH($C2804, $C$4506:$C$5005, 0, 1), 0), 0), "00")</f>
        <v>00</v>
      </c>
      <c r="H2804" s="1" t="str">
        <f t="shared" si="259"/>
        <v>048</v>
      </c>
      <c r="I2804" s="1" t="str">
        <f t="shared" si="260"/>
        <v>14300-048</v>
      </c>
      <c r="J2804" s="1" t="str">
        <f t="shared" si="261"/>
        <v>Tuba production item #048</v>
      </c>
      <c r="K2804" s="1" t="str">
        <f>IF(SUM(COUNTIFS(I:I, I2804)) &gt; 1, "DUPLICATE", "UNIQUE")</f>
        <v>UNIQUE</v>
      </c>
      <c r="L2804" s="18">
        <v>0</v>
      </c>
      <c r="M2804" s="28">
        <v>88</v>
      </c>
      <c r="N2804" s="6">
        <v>225</v>
      </c>
      <c r="O2804" s="30">
        <f t="shared" si="262"/>
        <v>0</v>
      </c>
      <c r="P2804" s="30">
        <f t="shared" si="263"/>
        <v>19800</v>
      </c>
      <c r="Q2804" s="1">
        <f>COUNTIFS($P:$P, "&gt;" &amp; $P2804) + 1</f>
        <v>1066</v>
      </c>
      <c r="R2804" s="63">
        <f>(COUNTIFS($P:$P, "&gt;" &amp; $P2804) + 1) / (COUNTA($I:$I) - 1)</f>
        <v>0.2132</v>
      </c>
      <c r="S2804" s="23">
        <f>SUMIFS($P:$P, $Q:$Q, "&lt;" &amp; $Q2804)</f>
        <v>167842711</v>
      </c>
    </row>
    <row r="2805" spans="1:19" x14ac:dyDescent="0.25">
      <c r="A2805" s="1">
        <v>2800</v>
      </c>
      <c r="B2805" s="1" t="s">
        <v>2</v>
      </c>
      <c r="C2805" s="1" t="str">
        <f>IF($B2805 = "Production Item", _xlfn.XLOOKUP($A2805, 'Instrument Table'!$J:$J, 'Instrument Table'!$B:$B, $C2804), IF($B2805 = "Service Item", _xlfn.XLOOKUP($A2805, 'Instrument Table'!$I:$I, 'Instrument Table'!$B:$B, $C2804), _xlfn.XLOOKUP($A2805, 'Instrument Table'!$H:$H, 'Instrument Table'!$B:$B, $C2804)))</f>
        <v>Tuba</v>
      </c>
      <c r="D2805" s="1" t="str">
        <f>VLOOKUP($C2805, 'Instrument Table'!$B:$C, 2, FALSE)</f>
        <v>Brass</v>
      </c>
      <c r="E2805" s="1">
        <f t="shared" si="258"/>
        <v>1</v>
      </c>
      <c r="F2805" s="1">
        <f>_xlfn.XLOOKUP($C2805, 'Instrument Table'!$B:$B, 'Instrument Table'!$A:$A, "")</f>
        <v>43</v>
      </c>
      <c r="G2805" s="1" t="str">
        <f>TEXT(IF($B2805 = "Retail Item", IF((ROW($A2805) - 4504 - _xlfn.XMATCH($C2805, $C$4506:$C$5005, 0, 1)) &lt;= VLOOKUP($C2805, 'Instrument Table'!$B:$D, 3, FALSE), ROW($A2805) - 4504 - _xlfn.XMATCH($C2805, $C$4506:$C$5005, 0, 1), 0), 0), "00")</f>
        <v>00</v>
      </c>
      <c r="H2805" s="1" t="str">
        <f t="shared" si="259"/>
        <v>049</v>
      </c>
      <c r="I2805" s="1" t="str">
        <f t="shared" si="260"/>
        <v>14300-049</v>
      </c>
      <c r="J2805" s="1" t="str">
        <f t="shared" si="261"/>
        <v>Tuba production item #049</v>
      </c>
      <c r="K2805" s="1" t="str">
        <f>IF(SUM(COUNTIFS(I:I, I2805)) &gt; 1, "DUPLICATE", "UNIQUE")</f>
        <v>UNIQUE</v>
      </c>
      <c r="L2805" s="18">
        <v>0</v>
      </c>
      <c r="M2805" s="28">
        <v>65</v>
      </c>
      <c r="N2805" s="6">
        <v>81</v>
      </c>
      <c r="O2805" s="30">
        <f t="shared" si="262"/>
        <v>0</v>
      </c>
      <c r="P2805" s="30">
        <f t="shared" si="263"/>
        <v>5265</v>
      </c>
      <c r="Q2805" s="1">
        <f>COUNTIFS($P:$P, "&gt;" &amp; $P2805) + 1</f>
        <v>2392</v>
      </c>
      <c r="R2805" s="63">
        <f>(COUNTIFS($P:$P, "&gt;" &amp; $P2805) + 1) / (COUNTA($I:$I) - 1)</f>
        <v>0.47839999999999999</v>
      </c>
      <c r="S2805" s="23">
        <f>SUMIFS($P:$P, $Q:$Q, "&lt;" &amp; $Q2805)</f>
        <v>182574513</v>
      </c>
    </row>
    <row r="2806" spans="1:19" x14ac:dyDescent="0.25">
      <c r="A2806" s="1">
        <v>2801</v>
      </c>
      <c r="B2806" s="1" t="s">
        <v>2</v>
      </c>
      <c r="C2806" s="1" t="str">
        <f>IF($B2806 = "Production Item", _xlfn.XLOOKUP($A2806, 'Instrument Table'!$J:$J, 'Instrument Table'!$B:$B, $C2805), IF($B2806 = "Service Item", _xlfn.XLOOKUP($A2806, 'Instrument Table'!$I:$I, 'Instrument Table'!$B:$B, $C2805), _xlfn.XLOOKUP($A2806, 'Instrument Table'!$H:$H, 'Instrument Table'!$B:$B, $C2805)))</f>
        <v>Snare Drum</v>
      </c>
      <c r="D2806" s="1" t="str">
        <f>VLOOKUP($C2806, 'Instrument Table'!$B:$C, 2, FALSE)</f>
        <v>Percussion</v>
      </c>
      <c r="E2806" s="1">
        <f t="shared" si="258"/>
        <v>1</v>
      </c>
      <c r="F2806" s="1">
        <f>_xlfn.XLOOKUP($C2806, 'Instrument Table'!$B:$B, 'Instrument Table'!$A:$A, "")</f>
        <v>50</v>
      </c>
      <c r="G2806" s="1" t="str">
        <f>TEXT(IF($B2806 = "Retail Item", IF((ROW($A2806) - 4504 - _xlfn.XMATCH($C2806, $C$4506:$C$5005, 0, 1)) &lt;= VLOOKUP($C2806, 'Instrument Table'!$B:$D, 3, FALSE), ROW($A2806) - 4504 - _xlfn.XMATCH($C2806, $C$4506:$C$5005, 0, 1), 0), 0), "00")</f>
        <v>00</v>
      </c>
      <c r="H2806" s="1" t="str">
        <f t="shared" si="259"/>
        <v>000</v>
      </c>
      <c r="I2806" s="1" t="str">
        <f t="shared" si="260"/>
        <v>15000-000</v>
      </c>
      <c r="J2806" s="1" t="str">
        <f t="shared" si="261"/>
        <v>Snare drum production item #000</v>
      </c>
      <c r="K2806" s="1" t="str">
        <f>IF(SUM(COUNTIFS(I:I, I2806)) &gt; 1, "DUPLICATE", "UNIQUE")</f>
        <v>UNIQUE</v>
      </c>
      <c r="L2806" s="18">
        <v>32</v>
      </c>
      <c r="M2806" s="28">
        <v>42</v>
      </c>
      <c r="N2806" s="6">
        <v>225</v>
      </c>
      <c r="O2806" s="30">
        <f t="shared" si="262"/>
        <v>1344</v>
      </c>
      <c r="P2806" s="30">
        <f t="shared" si="263"/>
        <v>9450</v>
      </c>
      <c r="Q2806" s="1">
        <f>COUNTIFS($P:$P, "&gt;" &amp; $P2806) + 1</f>
        <v>1824</v>
      </c>
      <c r="R2806" s="63">
        <f>(COUNTIFS($P:$P, "&gt;" &amp; $P2806) + 1) / (COUNTA($I:$I) - 1)</f>
        <v>0.36480000000000001</v>
      </c>
      <c r="S2806" s="23">
        <f>SUMIFS($P:$P, $Q:$Q, "&lt;" &amp; $Q2806)</f>
        <v>178470801</v>
      </c>
    </row>
    <row r="2807" spans="1:19" x14ac:dyDescent="0.25">
      <c r="A2807" s="1">
        <v>2802</v>
      </c>
      <c r="B2807" s="1" t="s">
        <v>2</v>
      </c>
      <c r="C2807" s="1" t="str">
        <f>IF($B2807 = "Production Item", _xlfn.XLOOKUP($A2807, 'Instrument Table'!$J:$J, 'Instrument Table'!$B:$B, $C2806), IF($B2807 = "Service Item", _xlfn.XLOOKUP($A2807, 'Instrument Table'!$I:$I, 'Instrument Table'!$B:$B, $C2806), _xlfn.XLOOKUP($A2807, 'Instrument Table'!$H:$H, 'Instrument Table'!$B:$B, $C2806)))</f>
        <v>Snare Drum</v>
      </c>
      <c r="D2807" s="1" t="str">
        <f>VLOOKUP($C2807, 'Instrument Table'!$B:$C, 2, FALSE)</f>
        <v>Percussion</v>
      </c>
      <c r="E2807" s="1">
        <f t="shared" si="258"/>
        <v>1</v>
      </c>
      <c r="F2807" s="1">
        <f>_xlfn.XLOOKUP($C2807, 'Instrument Table'!$B:$B, 'Instrument Table'!$A:$A, "")</f>
        <v>50</v>
      </c>
      <c r="G2807" s="1" t="str">
        <f>TEXT(IF($B2807 = "Retail Item", IF((ROW($A2807) - 4504 - _xlfn.XMATCH($C2807, $C$4506:$C$5005, 0, 1)) &lt;= VLOOKUP($C2807, 'Instrument Table'!$B:$D, 3, FALSE), ROW($A2807) - 4504 - _xlfn.XMATCH($C2807, $C$4506:$C$5005, 0, 1), 0), 0), "00")</f>
        <v>00</v>
      </c>
      <c r="H2807" s="1" t="str">
        <f t="shared" si="259"/>
        <v>001</v>
      </c>
      <c r="I2807" s="1" t="str">
        <f t="shared" si="260"/>
        <v>15000-001</v>
      </c>
      <c r="J2807" s="1" t="str">
        <f t="shared" si="261"/>
        <v>Snare drum production item #001</v>
      </c>
      <c r="K2807" s="1" t="str">
        <f>IF(SUM(COUNTIFS(I:I, I2807)) &gt; 1, "DUPLICATE", "UNIQUE")</f>
        <v>UNIQUE</v>
      </c>
      <c r="L2807" s="18">
        <v>8</v>
      </c>
      <c r="M2807" s="28">
        <v>27</v>
      </c>
      <c r="N2807" s="6">
        <v>361</v>
      </c>
      <c r="O2807" s="30">
        <f t="shared" si="262"/>
        <v>216</v>
      </c>
      <c r="P2807" s="30">
        <f t="shared" si="263"/>
        <v>9747</v>
      </c>
      <c r="Q2807" s="1">
        <f>COUNTIFS($P:$P, "&gt;" &amp; $P2807) + 1</f>
        <v>1792</v>
      </c>
      <c r="R2807" s="63">
        <f>(COUNTIFS($P:$P, "&gt;" &amp; $P2807) + 1) / (COUNTA($I:$I) - 1)</f>
        <v>0.3584</v>
      </c>
      <c r="S2807" s="23">
        <f>SUMIFS($P:$P, $Q:$Q, "&lt;" &amp; $Q2807)</f>
        <v>178163525</v>
      </c>
    </row>
    <row r="2808" spans="1:19" x14ac:dyDescent="0.25">
      <c r="A2808" s="1">
        <v>2803</v>
      </c>
      <c r="B2808" s="1" t="s">
        <v>2</v>
      </c>
      <c r="C2808" s="1" t="str">
        <f>IF($B2808 = "Production Item", _xlfn.XLOOKUP($A2808, 'Instrument Table'!$J:$J, 'Instrument Table'!$B:$B, $C2807), IF($B2808 = "Service Item", _xlfn.XLOOKUP($A2808, 'Instrument Table'!$I:$I, 'Instrument Table'!$B:$B, $C2807), _xlfn.XLOOKUP($A2808, 'Instrument Table'!$H:$H, 'Instrument Table'!$B:$B, $C2807)))</f>
        <v>Snare Drum</v>
      </c>
      <c r="D2808" s="1" t="str">
        <f>VLOOKUP($C2808, 'Instrument Table'!$B:$C, 2, FALSE)</f>
        <v>Percussion</v>
      </c>
      <c r="E2808" s="1">
        <f t="shared" si="258"/>
        <v>1</v>
      </c>
      <c r="F2808" s="1">
        <f>_xlfn.XLOOKUP($C2808, 'Instrument Table'!$B:$B, 'Instrument Table'!$A:$A, "")</f>
        <v>50</v>
      </c>
      <c r="G2808" s="1" t="str">
        <f>TEXT(IF($B2808 = "Retail Item", IF((ROW($A2808) - 4504 - _xlfn.XMATCH($C2808, $C$4506:$C$5005, 0, 1)) &lt;= VLOOKUP($C2808, 'Instrument Table'!$B:$D, 3, FALSE), ROW($A2808) - 4504 - _xlfn.XMATCH($C2808, $C$4506:$C$5005, 0, 1), 0), 0), "00")</f>
        <v>00</v>
      </c>
      <c r="H2808" s="1" t="str">
        <f t="shared" si="259"/>
        <v>002</v>
      </c>
      <c r="I2808" s="1" t="str">
        <f t="shared" si="260"/>
        <v>15000-002</v>
      </c>
      <c r="J2808" s="1" t="str">
        <f t="shared" si="261"/>
        <v>Snare drum production item #002</v>
      </c>
      <c r="K2808" s="1" t="str">
        <f>IF(SUM(COUNTIFS(I:I, I2808)) &gt; 1, "DUPLICATE", "UNIQUE")</f>
        <v>UNIQUE</v>
      </c>
      <c r="L2808" s="18">
        <v>0</v>
      </c>
      <c r="M2808" s="28">
        <v>47</v>
      </c>
      <c r="N2808" s="6">
        <v>1</v>
      </c>
      <c r="O2808" s="30">
        <f t="shared" si="262"/>
        <v>0</v>
      </c>
      <c r="P2808" s="30">
        <f t="shared" si="263"/>
        <v>47</v>
      </c>
      <c r="Q2808" s="1">
        <f>COUNTIFS($P:$P, "&gt;" &amp; $P2808) + 1</f>
        <v>4624</v>
      </c>
      <c r="R2808" s="63">
        <f>(COUNTIFS($P:$P, "&gt;" &amp; $P2808) + 1) / (COUNTA($I:$I) - 1)</f>
        <v>0.92479999999999996</v>
      </c>
      <c r="S2808" s="23">
        <f>SUMIFS($P:$P, $Q:$Q, "&lt;" &amp; $Q2808)</f>
        <v>186544925</v>
      </c>
    </row>
    <row r="2809" spans="1:19" x14ac:dyDescent="0.25">
      <c r="A2809" s="1">
        <v>2804</v>
      </c>
      <c r="B2809" s="1" t="s">
        <v>2</v>
      </c>
      <c r="C2809" s="1" t="str">
        <f>IF($B2809 = "Production Item", _xlfn.XLOOKUP($A2809, 'Instrument Table'!$J:$J, 'Instrument Table'!$B:$B, $C2808), IF($B2809 = "Service Item", _xlfn.XLOOKUP($A2809, 'Instrument Table'!$I:$I, 'Instrument Table'!$B:$B, $C2808), _xlfn.XLOOKUP($A2809, 'Instrument Table'!$H:$H, 'Instrument Table'!$B:$B, $C2808)))</f>
        <v>Snare Drum</v>
      </c>
      <c r="D2809" s="1" t="str">
        <f>VLOOKUP($C2809, 'Instrument Table'!$B:$C, 2, FALSE)</f>
        <v>Percussion</v>
      </c>
      <c r="E2809" s="1">
        <f t="shared" si="258"/>
        <v>1</v>
      </c>
      <c r="F2809" s="1">
        <f>_xlfn.XLOOKUP($C2809, 'Instrument Table'!$B:$B, 'Instrument Table'!$A:$A, "")</f>
        <v>50</v>
      </c>
      <c r="G2809" s="1" t="str">
        <f>TEXT(IF($B2809 = "Retail Item", IF((ROW($A2809) - 4504 - _xlfn.XMATCH($C2809, $C$4506:$C$5005, 0, 1)) &lt;= VLOOKUP($C2809, 'Instrument Table'!$B:$D, 3, FALSE), ROW($A2809) - 4504 - _xlfn.XMATCH($C2809, $C$4506:$C$5005, 0, 1), 0), 0), "00")</f>
        <v>00</v>
      </c>
      <c r="H2809" s="1" t="str">
        <f t="shared" si="259"/>
        <v>003</v>
      </c>
      <c r="I2809" s="1" t="str">
        <f t="shared" si="260"/>
        <v>15000-003</v>
      </c>
      <c r="J2809" s="1" t="str">
        <f t="shared" si="261"/>
        <v>Snare drum production item #003</v>
      </c>
      <c r="K2809" s="1" t="str">
        <f>IF(SUM(COUNTIFS(I:I, I2809)) &gt; 1, "DUPLICATE", "UNIQUE")</f>
        <v>UNIQUE</v>
      </c>
      <c r="L2809" s="18">
        <v>0</v>
      </c>
      <c r="M2809" s="28">
        <v>9</v>
      </c>
      <c r="N2809" s="6">
        <v>289</v>
      </c>
      <c r="O2809" s="30">
        <f t="shared" si="262"/>
        <v>0</v>
      </c>
      <c r="P2809" s="30">
        <f t="shared" si="263"/>
        <v>2601</v>
      </c>
      <c r="Q2809" s="1">
        <f>COUNTIFS($P:$P, "&gt;" &amp; $P2809) + 1</f>
        <v>3006</v>
      </c>
      <c r="R2809" s="63">
        <f>(COUNTIFS($P:$P, "&gt;" &amp; $P2809) + 1) / (COUNTA($I:$I) - 1)</f>
        <v>0.60119999999999996</v>
      </c>
      <c r="S2809" s="23">
        <f>SUMIFS($P:$P, $Q:$Q, "&lt;" &amp; $Q2809)</f>
        <v>184947870</v>
      </c>
    </row>
    <row r="2810" spans="1:19" x14ac:dyDescent="0.25">
      <c r="A2810" s="1">
        <v>2805</v>
      </c>
      <c r="B2810" s="1" t="s">
        <v>2</v>
      </c>
      <c r="C2810" s="1" t="str">
        <f>IF($B2810 = "Production Item", _xlfn.XLOOKUP($A2810, 'Instrument Table'!$J:$J, 'Instrument Table'!$B:$B, $C2809), IF($B2810 = "Service Item", _xlfn.XLOOKUP($A2810, 'Instrument Table'!$I:$I, 'Instrument Table'!$B:$B, $C2809), _xlfn.XLOOKUP($A2810, 'Instrument Table'!$H:$H, 'Instrument Table'!$B:$B, $C2809)))</f>
        <v>Snare Drum</v>
      </c>
      <c r="D2810" s="1" t="str">
        <f>VLOOKUP($C2810, 'Instrument Table'!$B:$C, 2, FALSE)</f>
        <v>Percussion</v>
      </c>
      <c r="E2810" s="1">
        <f t="shared" si="258"/>
        <v>1</v>
      </c>
      <c r="F2810" s="1">
        <f>_xlfn.XLOOKUP($C2810, 'Instrument Table'!$B:$B, 'Instrument Table'!$A:$A, "")</f>
        <v>50</v>
      </c>
      <c r="G2810" s="1" t="str">
        <f>TEXT(IF($B2810 = "Retail Item", IF((ROW($A2810) - 4504 - _xlfn.XMATCH($C2810, $C$4506:$C$5005, 0, 1)) &lt;= VLOOKUP($C2810, 'Instrument Table'!$B:$D, 3, FALSE), ROW($A2810) - 4504 - _xlfn.XMATCH($C2810, $C$4506:$C$5005, 0, 1), 0), 0), "00")</f>
        <v>00</v>
      </c>
      <c r="H2810" s="1" t="str">
        <f t="shared" si="259"/>
        <v>004</v>
      </c>
      <c r="I2810" s="1" t="str">
        <f t="shared" si="260"/>
        <v>15000-004</v>
      </c>
      <c r="J2810" s="1" t="str">
        <f t="shared" si="261"/>
        <v>Snare drum production item #004</v>
      </c>
      <c r="K2810" s="1" t="str">
        <f>IF(SUM(COUNTIFS(I:I, I2810)) &gt; 1, "DUPLICATE", "UNIQUE")</f>
        <v>UNIQUE</v>
      </c>
      <c r="L2810" s="18">
        <v>1</v>
      </c>
      <c r="M2810" s="28">
        <v>10</v>
      </c>
      <c r="N2810" s="6">
        <v>49</v>
      </c>
      <c r="O2810" s="30">
        <f t="shared" si="262"/>
        <v>10</v>
      </c>
      <c r="P2810" s="30">
        <f t="shared" si="263"/>
        <v>490</v>
      </c>
      <c r="Q2810" s="1">
        <f>COUNTIFS($P:$P, "&gt;" &amp; $P2810) + 1</f>
        <v>4035</v>
      </c>
      <c r="R2810" s="63">
        <f>(COUNTIFS($P:$P, "&gt;" &amp; $P2810) + 1) / (COUNTA($I:$I) - 1)</f>
        <v>0.80700000000000005</v>
      </c>
      <c r="S2810" s="23">
        <f>SUMIFS($P:$P, $Q:$Q, "&lt;" &amp; $Q2810)</f>
        <v>186416132</v>
      </c>
    </row>
    <row r="2811" spans="1:19" x14ac:dyDescent="0.25">
      <c r="A2811" s="1">
        <v>2806</v>
      </c>
      <c r="B2811" s="1" t="s">
        <v>2</v>
      </c>
      <c r="C2811" s="1" t="str">
        <f>IF($B2811 = "Production Item", _xlfn.XLOOKUP($A2811, 'Instrument Table'!$J:$J, 'Instrument Table'!$B:$B, $C2810), IF($B2811 = "Service Item", _xlfn.XLOOKUP($A2811, 'Instrument Table'!$I:$I, 'Instrument Table'!$B:$B, $C2810), _xlfn.XLOOKUP($A2811, 'Instrument Table'!$H:$H, 'Instrument Table'!$B:$B, $C2810)))</f>
        <v>Snare Drum</v>
      </c>
      <c r="D2811" s="1" t="str">
        <f>VLOOKUP($C2811, 'Instrument Table'!$B:$C, 2, FALSE)</f>
        <v>Percussion</v>
      </c>
      <c r="E2811" s="1">
        <f t="shared" si="258"/>
        <v>1</v>
      </c>
      <c r="F2811" s="1">
        <f>_xlfn.XLOOKUP($C2811, 'Instrument Table'!$B:$B, 'Instrument Table'!$A:$A, "")</f>
        <v>50</v>
      </c>
      <c r="G2811" s="1" t="str">
        <f>TEXT(IF($B2811 = "Retail Item", IF((ROW($A2811) - 4504 - _xlfn.XMATCH($C2811, $C$4506:$C$5005, 0, 1)) &lt;= VLOOKUP($C2811, 'Instrument Table'!$B:$D, 3, FALSE), ROW($A2811) - 4504 - _xlfn.XMATCH($C2811, $C$4506:$C$5005, 0, 1), 0), 0), "00")</f>
        <v>00</v>
      </c>
      <c r="H2811" s="1" t="str">
        <f t="shared" si="259"/>
        <v>005</v>
      </c>
      <c r="I2811" s="1" t="str">
        <f t="shared" si="260"/>
        <v>15000-005</v>
      </c>
      <c r="J2811" s="1" t="str">
        <f t="shared" si="261"/>
        <v>Snare drum production item #005</v>
      </c>
      <c r="K2811" s="1" t="str">
        <f>IF(SUM(COUNTIFS(I:I, I2811)) &gt; 1, "DUPLICATE", "UNIQUE")</f>
        <v>UNIQUE</v>
      </c>
      <c r="L2811" s="18">
        <v>0</v>
      </c>
      <c r="M2811" s="28">
        <v>64</v>
      </c>
      <c r="N2811" s="6">
        <v>64</v>
      </c>
      <c r="O2811" s="30">
        <f t="shared" si="262"/>
        <v>0</v>
      </c>
      <c r="P2811" s="30">
        <f t="shared" si="263"/>
        <v>4096</v>
      </c>
      <c r="Q2811" s="1">
        <f>COUNTIFS($P:$P, "&gt;" &amp; $P2811) + 1</f>
        <v>2638</v>
      </c>
      <c r="R2811" s="63">
        <f>(COUNTIFS($P:$P, "&gt;" &amp; $P2811) + 1) / (COUNTA($I:$I) - 1)</f>
        <v>0.52759999999999996</v>
      </c>
      <c r="S2811" s="23">
        <f>SUMIFS($P:$P, $Q:$Q, "&lt;" &amp; $Q2811)</f>
        <v>183722231</v>
      </c>
    </row>
    <row r="2812" spans="1:19" x14ac:dyDescent="0.25">
      <c r="A2812" s="1">
        <v>2807</v>
      </c>
      <c r="B2812" s="1" t="s">
        <v>2</v>
      </c>
      <c r="C2812" s="1" t="str">
        <f>IF($B2812 = "Production Item", _xlfn.XLOOKUP($A2812, 'Instrument Table'!$J:$J, 'Instrument Table'!$B:$B, $C2811), IF($B2812 = "Service Item", _xlfn.XLOOKUP($A2812, 'Instrument Table'!$I:$I, 'Instrument Table'!$B:$B, $C2811), _xlfn.XLOOKUP($A2812, 'Instrument Table'!$H:$H, 'Instrument Table'!$B:$B, $C2811)))</f>
        <v>Snare Drum</v>
      </c>
      <c r="D2812" s="1" t="str">
        <f>VLOOKUP($C2812, 'Instrument Table'!$B:$C, 2, FALSE)</f>
        <v>Percussion</v>
      </c>
      <c r="E2812" s="1">
        <f t="shared" si="258"/>
        <v>1</v>
      </c>
      <c r="F2812" s="1">
        <f>_xlfn.XLOOKUP($C2812, 'Instrument Table'!$B:$B, 'Instrument Table'!$A:$A, "")</f>
        <v>50</v>
      </c>
      <c r="G2812" s="1" t="str">
        <f>TEXT(IF($B2812 = "Retail Item", IF((ROW($A2812) - 4504 - _xlfn.XMATCH($C2812, $C$4506:$C$5005, 0, 1)) &lt;= VLOOKUP($C2812, 'Instrument Table'!$B:$D, 3, FALSE), ROW($A2812) - 4504 - _xlfn.XMATCH($C2812, $C$4506:$C$5005, 0, 1), 0), 0), "00")</f>
        <v>00</v>
      </c>
      <c r="H2812" s="1" t="str">
        <f t="shared" si="259"/>
        <v>006</v>
      </c>
      <c r="I2812" s="1" t="str">
        <f t="shared" si="260"/>
        <v>15000-006</v>
      </c>
      <c r="J2812" s="1" t="str">
        <f t="shared" si="261"/>
        <v>Snare drum production item #006</v>
      </c>
      <c r="K2812" s="1" t="str">
        <f>IF(SUM(COUNTIFS(I:I, I2812)) &gt; 1, "DUPLICATE", "UNIQUE")</f>
        <v>UNIQUE</v>
      </c>
      <c r="L2812" s="18">
        <v>1</v>
      </c>
      <c r="M2812" s="28">
        <v>42</v>
      </c>
      <c r="N2812" s="6">
        <v>49</v>
      </c>
      <c r="O2812" s="30">
        <f t="shared" si="262"/>
        <v>42</v>
      </c>
      <c r="P2812" s="30">
        <f t="shared" si="263"/>
        <v>2058</v>
      </c>
      <c r="Q2812" s="1">
        <f>COUNTIFS($P:$P, "&gt;" &amp; $P2812) + 1</f>
        <v>3228</v>
      </c>
      <c r="R2812" s="63">
        <f>(COUNTIFS($P:$P, "&gt;" &amp; $P2812) + 1) / (COUNTA($I:$I) - 1)</f>
        <v>0.64559999999999995</v>
      </c>
      <c r="S2812" s="23">
        <f>SUMIFS($P:$P, $Q:$Q, "&lt;" &amp; $Q2812)</f>
        <v>185466224</v>
      </c>
    </row>
    <row r="2813" spans="1:19" x14ac:dyDescent="0.25">
      <c r="A2813" s="1">
        <v>2808</v>
      </c>
      <c r="B2813" s="1" t="s">
        <v>2</v>
      </c>
      <c r="C2813" s="1" t="str">
        <f>IF($B2813 = "Production Item", _xlfn.XLOOKUP($A2813, 'Instrument Table'!$J:$J, 'Instrument Table'!$B:$B, $C2812), IF($B2813 = "Service Item", _xlfn.XLOOKUP($A2813, 'Instrument Table'!$I:$I, 'Instrument Table'!$B:$B, $C2812), _xlfn.XLOOKUP($A2813, 'Instrument Table'!$H:$H, 'Instrument Table'!$B:$B, $C2812)))</f>
        <v>Snare Drum</v>
      </c>
      <c r="D2813" s="1" t="str">
        <f>VLOOKUP($C2813, 'Instrument Table'!$B:$C, 2, FALSE)</f>
        <v>Percussion</v>
      </c>
      <c r="E2813" s="1">
        <f t="shared" si="258"/>
        <v>1</v>
      </c>
      <c r="F2813" s="1">
        <f>_xlfn.XLOOKUP($C2813, 'Instrument Table'!$B:$B, 'Instrument Table'!$A:$A, "")</f>
        <v>50</v>
      </c>
      <c r="G2813" s="1" t="str">
        <f>TEXT(IF($B2813 = "Retail Item", IF((ROW($A2813) - 4504 - _xlfn.XMATCH($C2813, $C$4506:$C$5005, 0, 1)) &lt;= VLOOKUP($C2813, 'Instrument Table'!$B:$D, 3, FALSE), ROW($A2813) - 4504 - _xlfn.XMATCH($C2813, $C$4506:$C$5005, 0, 1), 0), 0), "00")</f>
        <v>00</v>
      </c>
      <c r="H2813" s="1" t="str">
        <f t="shared" si="259"/>
        <v>007</v>
      </c>
      <c r="I2813" s="1" t="str">
        <f t="shared" si="260"/>
        <v>15000-007</v>
      </c>
      <c r="J2813" s="1" t="str">
        <f t="shared" si="261"/>
        <v>Snare drum production item #007</v>
      </c>
      <c r="K2813" s="1" t="str">
        <f>IF(SUM(COUNTIFS(I:I, I2813)) &gt; 1, "DUPLICATE", "UNIQUE")</f>
        <v>UNIQUE</v>
      </c>
      <c r="L2813" s="18">
        <v>1</v>
      </c>
      <c r="M2813" s="28">
        <v>7</v>
      </c>
      <c r="N2813" s="6">
        <v>100</v>
      </c>
      <c r="O2813" s="30">
        <f t="shared" si="262"/>
        <v>7</v>
      </c>
      <c r="P2813" s="30">
        <f t="shared" si="263"/>
        <v>700</v>
      </c>
      <c r="Q2813" s="1">
        <f>COUNTIFS($P:$P, "&gt;" &amp; $P2813) + 1</f>
        <v>3882</v>
      </c>
      <c r="R2813" s="63">
        <f>(COUNTIFS($P:$P, "&gt;" &amp; $P2813) + 1) / (COUNTA($I:$I) - 1)</f>
        <v>0.77639999999999998</v>
      </c>
      <c r="S2813" s="23">
        <f>SUMIFS($P:$P, $Q:$Q, "&lt;" &amp; $Q2813)</f>
        <v>186326493</v>
      </c>
    </row>
    <row r="2814" spans="1:19" x14ac:dyDescent="0.25">
      <c r="A2814" s="1">
        <v>2809</v>
      </c>
      <c r="B2814" s="1" t="s">
        <v>2</v>
      </c>
      <c r="C2814" s="1" t="str">
        <f>IF($B2814 = "Production Item", _xlfn.XLOOKUP($A2814, 'Instrument Table'!$J:$J, 'Instrument Table'!$B:$B, $C2813), IF($B2814 = "Service Item", _xlfn.XLOOKUP($A2814, 'Instrument Table'!$I:$I, 'Instrument Table'!$B:$B, $C2813), _xlfn.XLOOKUP($A2814, 'Instrument Table'!$H:$H, 'Instrument Table'!$B:$B, $C2813)))</f>
        <v>Snare Drum</v>
      </c>
      <c r="D2814" s="1" t="str">
        <f>VLOOKUP($C2814, 'Instrument Table'!$B:$C, 2, FALSE)</f>
        <v>Percussion</v>
      </c>
      <c r="E2814" s="1">
        <f t="shared" si="258"/>
        <v>1</v>
      </c>
      <c r="F2814" s="1">
        <f>_xlfn.XLOOKUP($C2814, 'Instrument Table'!$B:$B, 'Instrument Table'!$A:$A, "")</f>
        <v>50</v>
      </c>
      <c r="G2814" s="1" t="str">
        <f>TEXT(IF($B2814 = "Retail Item", IF((ROW($A2814) - 4504 - _xlfn.XMATCH($C2814, $C$4506:$C$5005, 0, 1)) &lt;= VLOOKUP($C2814, 'Instrument Table'!$B:$D, 3, FALSE), ROW($A2814) - 4504 - _xlfn.XMATCH($C2814, $C$4506:$C$5005, 0, 1), 0), 0), "00")</f>
        <v>00</v>
      </c>
      <c r="H2814" s="1" t="str">
        <f t="shared" si="259"/>
        <v>008</v>
      </c>
      <c r="I2814" s="1" t="str">
        <f t="shared" si="260"/>
        <v>15000-008</v>
      </c>
      <c r="J2814" s="1" t="str">
        <f t="shared" si="261"/>
        <v>Snare drum production item #008</v>
      </c>
      <c r="K2814" s="1" t="str">
        <f>IF(SUM(COUNTIFS(I:I, I2814)) &gt; 1, "DUPLICATE", "UNIQUE")</f>
        <v>UNIQUE</v>
      </c>
      <c r="L2814" s="18">
        <v>4</v>
      </c>
      <c r="M2814" s="28">
        <v>39</v>
      </c>
      <c r="N2814" s="6">
        <v>289</v>
      </c>
      <c r="O2814" s="30">
        <f t="shared" si="262"/>
        <v>156</v>
      </c>
      <c r="P2814" s="30">
        <f t="shared" si="263"/>
        <v>11271</v>
      </c>
      <c r="Q2814" s="1">
        <f>COUNTIFS($P:$P, "&gt;" &amp; $P2814) + 1</f>
        <v>1656</v>
      </c>
      <c r="R2814" s="63">
        <f>(COUNTIFS($P:$P, "&gt;" &amp; $P2814) + 1) / (COUNTA($I:$I) - 1)</f>
        <v>0.33119999999999999</v>
      </c>
      <c r="S2814" s="23">
        <f>SUMIFS($P:$P, $Q:$Q, "&lt;" &amp; $Q2814)</f>
        <v>176726187</v>
      </c>
    </row>
    <row r="2815" spans="1:19" x14ac:dyDescent="0.25">
      <c r="A2815" s="1">
        <v>2810</v>
      </c>
      <c r="B2815" s="1" t="s">
        <v>2</v>
      </c>
      <c r="C2815" s="1" t="str">
        <f>IF($B2815 = "Production Item", _xlfn.XLOOKUP($A2815, 'Instrument Table'!$J:$J, 'Instrument Table'!$B:$B, $C2814), IF($B2815 = "Service Item", _xlfn.XLOOKUP($A2815, 'Instrument Table'!$I:$I, 'Instrument Table'!$B:$B, $C2814), _xlfn.XLOOKUP($A2815, 'Instrument Table'!$H:$H, 'Instrument Table'!$B:$B, $C2814)))</f>
        <v>Snare Drum</v>
      </c>
      <c r="D2815" s="1" t="str">
        <f>VLOOKUP($C2815, 'Instrument Table'!$B:$C, 2, FALSE)</f>
        <v>Percussion</v>
      </c>
      <c r="E2815" s="1">
        <f t="shared" si="258"/>
        <v>1</v>
      </c>
      <c r="F2815" s="1">
        <f>_xlfn.XLOOKUP($C2815, 'Instrument Table'!$B:$B, 'Instrument Table'!$A:$A, "")</f>
        <v>50</v>
      </c>
      <c r="G2815" s="1" t="str">
        <f>TEXT(IF($B2815 = "Retail Item", IF((ROW($A2815) - 4504 - _xlfn.XMATCH($C2815, $C$4506:$C$5005, 0, 1)) &lt;= VLOOKUP($C2815, 'Instrument Table'!$B:$D, 3, FALSE), ROW($A2815) - 4504 - _xlfn.XMATCH($C2815, $C$4506:$C$5005, 0, 1), 0), 0), "00")</f>
        <v>00</v>
      </c>
      <c r="H2815" s="1" t="str">
        <f t="shared" si="259"/>
        <v>009</v>
      </c>
      <c r="I2815" s="1" t="str">
        <f t="shared" si="260"/>
        <v>15000-009</v>
      </c>
      <c r="J2815" s="1" t="str">
        <f t="shared" si="261"/>
        <v>Snare drum production item #009</v>
      </c>
      <c r="K2815" s="1" t="str">
        <f>IF(SUM(COUNTIFS(I:I, I2815)) &gt; 1, "DUPLICATE", "UNIQUE")</f>
        <v>UNIQUE</v>
      </c>
      <c r="L2815" s="18">
        <v>0</v>
      </c>
      <c r="M2815" s="28">
        <v>12</v>
      </c>
      <c r="N2815" s="6">
        <v>36</v>
      </c>
      <c r="O2815" s="30">
        <f t="shared" si="262"/>
        <v>0</v>
      </c>
      <c r="P2815" s="30">
        <f t="shared" si="263"/>
        <v>432</v>
      </c>
      <c r="Q2815" s="1">
        <f>COUNTIFS($P:$P, "&gt;" &amp; $P2815) + 1</f>
        <v>4071</v>
      </c>
      <c r="R2815" s="63">
        <f>(COUNTIFS($P:$P, "&gt;" &amp; $P2815) + 1) / (COUNTA($I:$I) - 1)</f>
        <v>0.81420000000000003</v>
      </c>
      <c r="S2815" s="23">
        <f>SUMIFS($P:$P, $Q:$Q, "&lt;" &amp; $Q2815)</f>
        <v>186432845</v>
      </c>
    </row>
    <row r="2816" spans="1:19" x14ac:dyDescent="0.25">
      <c r="A2816" s="1">
        <v>2811</v>
      </c>
      <c r="B2816" s="1" t="s">
        <v>2</v>
      </c>
      <c r="C2816" s="1" t="str">
        <f>IF($B2816 = "Production Item", _xlfn.XLOOKUP($A2816, 'Instrument Table'!$J:$J, 'Instrument Table'!$B:$B, $C2815), IF($B2816 = "Service Item", _xlfn.XLOOKUP($A2816, 'Instrument Table'!$I:$I, 'Instrument Table'!$B:$B, $C2815), _xlfn.XLOOKUP($A2816, 'Instrument Table'!$H:$H, 'Instrument Table'!$B:$B, $C2815)))</f>
        <v>Snare Drum</v>
      </c>
      <c r="D2816" s="1" t="str">
        <f>VLOOKUP($C2816, 'Instrument Table'!$B:$C, 2, FALSE)</f>
        <v>Percussion</v>
      </c>
      <c r="E2816" s="1">
        <f t="shared" si="258"/>
        <v>1</v>
      </c>
      <c r="F2816" s="1">
        <f>_xlfn.XLOOKUP($C2816, 'Instrument Table'!$B:$B, 'Instrument Table'!$A:$A, "")</f>
        <v>50</v>
      </c>
      <c r="G2816" s="1" t="str">
        <f>TEXT(IF($B2816 = "Retail Item", IF((ROW($A2816) - 4504 - _xlfn.XMATCH($C2816, $C$4506:$C$5005, 0, 1)) &lt;= VLOOKUP($C2816, 'Instrument Table'!$B:$D, 3, FALSE), ROW($A2816) - 4504 - _xlfn.XMATCH($C2816, $C$4506:$C$5005, 0, 1), 0), 0), "00")</f>
        <v>00</v>
      </c>
      <c r="H2816" s="1" t="str">
        <f t="shared" si="259"/>
        <v>010</v>
      </c>
      <c r="I2816" s="1" t="str">
        <f t="shared" si="260"/>
        <v>15000-010</v>
      </c>
      <c r="J2816" s="1" t="str">
        <f t="shared" si="261"/>
        <v>Snare drum production item #010</v>
      </c>
      <c r="K2816" s="1" t="str">
        <f>IF(SUM(COUNTIFS(I:I, I2816)) &gt; 1, "DUPLICATE", "UNIQUE")</f>
        <v>UNIQUE</v>
      </c>
      <c r="L2816" s="18">
        <v>1</v>
      </c>
      <c r="M2816" s="28">
        <v>11</v>
      </c>
      <c r="N2816" s="6">
        <v>81</v>
      </c>
      <c r="O2816" s="30">
        <f t="shared" si="262"/>
        <v>11</v>
      </c>
      <c r="P2816" s="30">
        <f t="shared" si="263"/>
        <v>891</v>
      </c>
      <c r="Q2816" s="1">
        <f>COUNTIFS($P:$P, "&gt;" &amp; $P2816) + 1</f>
        <v>3730</v>
      </c>
      <c r="R2816" s="63">
        <f>(COUNTIFS($P:$P, "&gt;" &amp; $P2816) + 1) / (COUNTA($I:$I) - 1)</f>
        <v>0.746</v>
      </c>
      <c r="S2816" s="23">
        <f>SUMIFS($P:$P, $Q:$Q, "&lt;" &amp; $Q2816)</f>
        <v>186206579</v>
      </c>
    </row>
    <row r="2817" spans="1:19" x14ac:dyDescent="0.25">
      <c r="A2817" s="1">
        <v>2812</v>
      </c>
      <c r="B2817" s="1" t="s">
        <v>2</v>
      </c>
      <c r="C2817" s="1" t="str">
        <f>IF($B2817 = "Production Item", _xlfn.XLOOKUP($A2817, 'Instrument Table'!$J:$J, 'Instrument Table'!$B:$B, $C2816), IF($B2817 = "Service Item", _xlfn.XLOOKUP($A2817, 'Instrument Table'!$I:$I, 'Instrument Table'!$B:$B, $C2816), _xlfn.XLOOKUP($A2817, 'Instrument Table'!$H:$H, 'Instrument Table'!$B:$B, $C2816)))</f>
        <v>Snare Drum</v>
      </c>
      <c r="D2817" s="1" t="str">
        <f>VLOOKUP($C2817, 'Instrument Table'!$B:$C, 2, FALSE)</f>
        <v>Percussion</v>
      </c>
      <c r="E2817" s="1">
        <f t="shared" si="258"/>
        <v>1</v>
      </c>
      <c r="F2817" s="1">
        <f>_xlfn.XLOOKUP($C2817, 'Instrument Table'!$B:$B, 'Instrument Table'!$A:$A, "")</f>
        <v>50</v>
      </c>
      <c r="G2817" s="1" t="str">
        <f>TEXT(IF($B2817 = "Retail Item", IF((ROW($A2817) - 4504 - _xlfn.XMATCH($C2817, $C$4506:$C$5005, 0, 1)) &lt;= VLOOKUP($C2817, 'Instrument Table'!$B:$D, 3, FALSE), ROW($A2817) - 4504 - _xlfn.XMATCH($C2817, $C$4506:$C$5005, 0, 1), 0), 0), "00")</f>
        <v>00</v>
      </c>
      <c r="H2817" s="1" t="str">
        <f t="shared" si="259"/>
        <v>011</v>
      </c>
      <c r="I2817" s="1" t="str">
        <f t="shared" si="260"/>
        <v>15000-011</v>
      </c>
      <c r="J2817" s="1" t="str">
        <f t="shared" si="261"/>
        <v>Snare drum production item #011</v>
      </c>
      <c r="K2817" s="1" t="str">
        <f>IF(SUM(COUNTIFS(I:I, I2817)) &gt; 1, "DUPLICATE", "UNIQUE")</f>
        <v>UNIQUE</v>
      </c>
      <c r="L2817" s="18">
        <v>4</v>
      </c>
      <c r="M2817" s="28">
        <v>90</v>
      </c>
      <c r="N2817" s="6">
        <v>196</v>
      </c>
      <c r="O2817" s="30">
        <f t="shared" si="262"/>
        <v>360</v>
      </c>
      <c r="P2817" s="30">
        <f t="shared" si="263"/>
        <v>17640</v>
      </c>
      <c r="Q2817" s="1">
        <f>COUNTIFS($P:$P, "&gt;" &amp; $P2817) + 1</f>
        <v>1177</v>
      </c>
      <c r="R2817" s="63">
        <f>(COUNTIFS($P:$P, "&gt;" &amp; $P2817) + 1) / (COUNTA($I:$I) - 1)</f>
        <v>0.2354</v>
      </c>
      <c r="S2817" s="23">
        <f>SUMIFS($P:$P, $Q:$Q, "&lt;" &amp; $Q2817)</f>
        <v>169923078</v>
      </c>
    </row>
    <row r="2818" spans="1:19" x14ac:dyDescent="0.25">
      <c r="A2818" s="1">
        <v>2813</v>
      </c>
      <c r="B2818" s="1" t="s">
        <v>2</v>
      </c>
      <c r="C2818" s="1" t="str">
        <f>IF($B2818 = "Production Item", _xlfn.XLOOKUP($A2818, 'Instrument Table'!$J:$J, 'Instrument Table'!$B:$B, $C2817), IF($B2818 = "Service Item", _xlfn.XLOOKUP($A2818, 'Instrument Table'!$I:$I, 'Instrument Table'!$B:$B, $C2817), _xlfn.XLOOKUP($A2818, 'Instrument Table'!$H:$H, 'Instrument Table'!$B:$B, $C2817)))</f>
        <v>Snare Drum</v>
      </c>
      <c r="D2818" s="1" t="str">
        <f>VLOOKUP($C2818, 'Instrument Table'!$B:$C, 2, FALSE)</f>
        <v>Percussion</v>
      </c>
      <c r="E2818" s="1">
        <f t="shared" si="258"/>
        <v>1</v>
      </c>
      <c r="F2818" s="1">
        <f>_xlfn.XLOOKUP($C2818, 'Instrument Table'!$B:$B, 'Instrument Table'!$A:$A, "")</f>
        <v>50</v>
      </c>
      <c r="G2818" s="1" t="str">
        <f>TEXT(IF($B2818 = "Retail Item", IF((ROW($A2818) - 4504 - _xlfn.XMATCH($C2818, $C$4506:$C$5005, 0, 1)) &lt;= VLOOKUP($C2818, 'Instrument Table'!$B:$D, 3, FALSE), ROW($A2818) - 4504 - _xlfn.XMATCH($C2818, $C$4506:$C$5005, 0, 1), 0), 0), "00")</f>
        <v>00</v>
      </c>
      <c r="H2818" s="1" t="str">
        <f t="shared" si="259"/>
        <v>012</v>
      </c>
      <c r="I2818" s="1" t="str">
        <f t="shared" si="260"/>
        <v>15000-012</v>
      </c>
      <c r="J2818" s="1" t="str">
        <f t="shared" si="261"/>
        <v>Snare drum production item #012</v>
      </c>
      <c r="K2818" s="1" t="str">
        <f>IF(SUM(COUNTIFS(I:I, I2818)) &gt; 1, "DUPLICATE", "UNIQUE")</f>
        <v>UNIQUE</v>
      </c>
      <c r="L2818" s="18">
        <v>0</v>
      </c>
      <c r="M2818" s="28">
        <v>74</v>
      </c>
      <c r="N2818" s="6">
        <v>81</v>
      </c>
      <c r="O2818" s="30">
        <f t="shared" si="262"/>
        <v>0</v>
      </c>
      <c r="P2818" s="30">
        <f t="shared" si="263"/>
        <v>5994</v>
      </c>
      <c r="Q2818" s="1">
        <f>COUNTIFS($P:$P, "&gt;" &amp; $P2818) + 1</f>
        <v>2270</v>
      </c>
      <c r="R2818" s="63">
        <f>(COUNTIFS($P:$P, "&gt;" &amp; $P2818) + 1) / (COUNTA($I:$I) - 1)</f>
        <v>0.45400000000000001</v>
      </c>
      <c r="S2818" s="23">
        <f>SUMIFS($P:$P, $Q:$Q, "&lt;" &amp; $Q2818)</f>
        <v>181887858</v>
      </c>
    </row>
    <row r="2819" spans="1:19" x14ac:dyDescent="0.25">
      <c r="A2819" s="1">
        <v>2814</v>
      </c>
      <c r="B2819" s="1" t="s">
        <v>2</v>
      </c>
      <c r="C2819" s="1" t="str">
        <f>IF($B2819 = "Production Item", _xlfn.XLOOKUP($A2819, 'Instrument Table'!$J:$J, 'Instrument Table'!$B:$B, $C2818), IF($B2819 = "Service Item", _xlfn.XLOOKUP($A2819, 'Instrument Table'!$I:$I, 'Instrument Table'!$B:$B, $C2818), _xlfn.XLOOKUP($A2819, 'Instrument Table'!$H:$H, 'Instrument Table'!$B:$B, $C2818)))</f>
        <v>Snare Drum</v>
      </c>
      <c r="D2819" s="1" t="str">
        <f>VLOOKUP($C2819, 'Instrument Table'!$B:$C, 2, FALSE)</f>
        <v>Percussion</v>
      </c>
      <c r="E2819" s="1">
        <f t="shared" si="258"/>
        <v>1</v>
      </c>
      <c r="F2819" s="1">
        <f>_xlfn.XLOOKUP($C2819, 'Instrument Table'!$B:$B, 'Instrument Table'!$A:$A, "")</f>
        <v>50</v>
      </c>
      <c r="G2819" s="1" t="str">
        <f>TEXT(IF($B2819 = "Retail Item", IF((ROW($A2819) - 4504 - _xlfn.XMATCH($C2819, $C$4506:$C$5005, 0, 1)) &lt;= VLOOKUP($C2819, 'Instrument Table'!$B:$D, 3, FALSE), ROW($A2819) - 4504 - _xlfn.XMATCH($C2819, $C$4506:$C$5005, 0, 1), 0), 0), "00")</f>
        <v>00</v>
      </c>
      <c r="H2819" s="1" t="str">
        <f t="shared" si="259"/>
        <v>013</v>
      </c>
      <c r="I2819" s="1" t="str">
        <f t="shared" si="260"/>
        <v>15000-013</v>
      </c>
      <c r="J2819" s="1" t="str">
        <f t="shared" si="261"/>
        <v>Snare drum production item #013</v>
      </c>
      <c r="K2819" s="1" t="str">
        <f>IF(SUM(COUNTIFS(I:I, I2819)) &gt; 1, "DUPLICATE", "UNIQUE")</f>
        <v>UNIQUE</v>
      </c>
      <c r="L2819" s="18">
        <v>1</v>
      </c>
      <c r="M2819" s="28">
        <v>29</v>
      </c>
      <c r="N2819" s="6">
        <v>289</v>
      </c>
      <c r="O2819" s="30">
        <f t="shared" si="262"/>
        <v>29</v>
      </c>
      <c r="P2819" s="30">
        <f t="shared" si="263"/>
        <v>8381</v>
      </c>
      <c r="Q2819" s="1">
        <f>COUNTIFS($P:$P, "&gt;" &amp; $P2819) + 1</f>
        <v>1942</v>
      </c>
      <c r="R2819" s="63">
        <f>(COUNTIFS($P:$P, "&gt;" &amp; $P2819) + 1) / (COUNTA($I:$I) - 1)</f>
        <v>0.38840000000000002</v>
      </c>
      <c r="S2819" s="23">
        <f>SUMIFS($P:$P, $Q:$Q, "&lt;" &amp; $Q2819)</f>
        <v>179524365</v>
      </c>
    </row>
    <row r="2820" spans="1:19" x14ac:dyDescent="0.25">
      <c r="A2820" s="1">
        <v>2815</v>
      </c>
      <c r="B2820" s="1" t="s">
        <v>2</v>
      </c>
      <c r="C2820" s="1" t="str">
        <f>IF($B2820 = "Production Item", _xlfn.XLOOKUP($A2820, 'Instrument Table'!$J:$J, 'Instrument Table'!$B:$B, $C2819), IF($B2820 = "Service Item", _xlfn.XLOOKUP($A2820, 'Instrument Table'!$I:$I, 'Instrument Table'!$B:$B, $C2819), _xlfn.XLOOKUP($A2820, 'Instrument Table'!$H:$H, 'Instrument Table'!$B:$B, $C2819)))</f>
        <v>Snare Drum</v>
      </c>
      <c r="D2820" s="1" t="str">
        <f>VLOOKUP($C2820, 'Instrument Table'!$B:$C, 2, FALSE)</f>
        <v>Percussion</v>
      </c>
      <c r="E2820" s="1">
        <f t="shared" si="258"/>
        <v>1</v>
      </c>
      <c r="F2820" s="1">
        <f>_xlfn.XLOOKUP($C2820, 'Instrument Table'!$B:$B, 'Instrument Table'!$A:$A, "")</f>
        <v>50</v>
      </c>
      <c r="G2820" s="1" t="str">
        <f>TEXT(IF($B2820 = "Retail Item", IF((ROW($A2820) - 4504 - _xlfn.XMATCH($C2820, $C$4506:$C$5005, 0, 1)) &lt;= VLOOKUP($C2820, 'Instrument Table'!$B:$D, 3, FALSE), ROW($A2820) - 4504 - _xlfn.XMATCH($C2820, $C$4506:$C$5005, 0, 1), 0), 0), "00")</f>
        <v>00</v>
      </c>
      <c r="H2820" s="1" t="str">
        <f t="shared" si="259"/>
        <v>014</v>
      </c>
      <c r="I2820" s="1" t="str">
        <f t="shared" si="260"/>
        <v>15000-014</v>
      </c>
      <c r="J2820" s="1" t="str">
        <f t="shared" si="261"/>
        <v>Snare drum production item #014</v>
      </c>
      <c r="K2820" s="1" t="str">
        <f>IF(SUM(COUNTIFS(I:I, I2820)) &gt; 1, "DUPLICATE", "UNIQUE")</f>
        <v>UNIQUE</v>
      </c>
      <c r="L2820" s="18">
        <v>1</v>
      </c>
      <c r="M2820" s="28">
        <v>24</v>
      </c>
      <c r="N2820" s="6">
        <v>0</v>
      </c>
      <c r="O2820" s="30">
        <f t="shared" si="262"/>
        <v>24</v>
      </c>
      <c r="P2820" s="30">
        <f t="shared" si="263"/>
        <v>0</v>
      </c>
      <c r="Q2820" s="1">
        <f>COUNTIFS($P:$P, "&gt;" &amp; $P2820) + 1</f>
        <v>4746</v>
      </c>
      <c r="R2820" s="63">
        <f>(COUNTIFS($P:$P, "&gt;" &amp; $P2820) + 1) / (COUNTA($I:$I) - 1)</f>
        <v>0.94920000000000004</v>
      </c>
      <c r="S2820" s="23">
        <f>SUMIFS($P:$P, $Q:$Q, "&lt;" &amp; $Q2820)</f>
        <v>186547861</v>
      </c>
    </row>
    <row r="2821" spans="1:19" x14ac:dyDescent="0.25">
      <c r="A2821" s="1">
        <v>2816</v>
      </c>
      <c r="B2821" s="1" t="s">
        <v>2</v>
      </c>
      <c r="C2821" s="1" t="str">
        <f>IF($B2821 = "Production Item", _xlfn.XLOOKUP($A2821, 'Instrument Table'!$J:$J, 'Instrument Table'!$B:$B, $C2820), IF($B2821 = "Service Item", _xlfn.XLOOKUP($A2821, 'Instrument Table'!$I:$I, 'Instrument Table'!$B:$B, $C2820), _xlfn.XLOOKUP($A2821, 'Instrument Table'!$H:$H, 'Instrument Table'!$B:$B, $C2820)))</f>
        <v>Snare Drum</v>
      </c>
      <c r="D2821" s="1" t="str">
        <f>VLOOKUP($C2821, 'Instrument Table'!$B:$C, 2, FALSE)</f>
        <v>Percussion</v>
      </c>
      <c r="E2821" s="1">
        <f t="shared" si="258"/>
        <v>1</v>
      </c>
      <c r="F2821" s="1">
        <f>_xlfn.XLOOKUP($C2821, 'Instrument Table'!$B:$B, 'Instrument Table'!$A:$A, "")</f>
        <v>50</v>
      </c>
      <c r="G2821" s="1" t="str">
        <f>TEXT(IF($B2821 = "Retail Item", IF((ROW($A2821) - 4504 - _xlfn.XMATCH($C2821, $C$4506:$C$5005, 0, 1)) &lt;= VLOOKUP($C2821, 'Instrument Table'!$B:$D, 3, FALSE), ROW($A2821) - 4504 - _xlfn.XMATCH($C2821, $C$4506:$C$5005, 0, 1), 0), 0), "00")</f>
        <v>00</v>
      </c>
      <c r="H2821" s="1" t="str">
        <f t="shared" si="259"/>
        <v>015</v>
      </c>
      <c r="I2821" s="1" t="str">
        <f t="shared" si="260"/>
        <v>15000-015</v>
      </c>
      <c r="J2821" s="1" t="str">
        <f t="shared" si="261"/>
        <v>Snare drum production item #015</v>
      </c>
      <c r="K2821" s="1" t="str">
        <f>IF(SUM(COUNTIFS(I:I, I2821)) &gt; 1, "DUPLICATE", "UNIQUE")</f>
        <v>UNIQUE</v>
      </c>
      <c r="L2821" s="18">
        <v>0</v>
      </c>
      <c r="M2821" s="28">
        <v>83</v>
      </c>
      <c r="N2821" s="6">
        <v>16</v>
      </c>
      <c r="O2821" s="30">
        <f t="shared" si="262"/>
        <v>0</v>
      </c>
      <c r="P2821" s="30">
        <f t="shared" si="263"/>
        <v>1328</v>
      </c>
      <c r="Q2821" s="1">
        <f>COUNTIFS($P:$P, "&gt;" &amp; $P2821) + 1</f>
        <v>3552</v>
      </c>
      <c r="R2821" s="63">
        <f>(COUNTIFS($P:$P, "&gt;" &amp; $P2821) + 1) / (COUNTA($I:$I) - 1)</f>
        <v>0.71040000000000003</v>
      </c>
      <c r="S2821" s="23">
        <f>SUMIFS($P:$P, $Q:$Q, "&lt;" &amp; $Q2821)</f>
        <v>186008741</v>
      </c>
    </row>
    <row r="2822" spans="1:19" x14ac:dyDescent="0.25">
      <c r="A2822" s="1">
        <v>2817</v>
      </c>
      <c r="B2822" s="1" t="s">
        <v>2</v>
      </c>
      <c r="C2822" s="1" t="str">
        <f>IF($B2822 = "Production Item", _xlfn.XLOOKUP($A2822, 'Instrument Table'!$J:$J, 'Instrument Table'!$B:$B, $C2821), IF($B2822 = "Service Item", _xlfn.XLOOKUP($A2822, 'Instrument Table'!$I:$I, 'Instrument Table'!$B:$B, $C2821), _xlfn.XLOOKUP($A2822, 'Instrument Table'!$H:$H, 'Instrument Table'!$B:$B, $C2821)))</f>
        <v>Snare Drum</v>
      </c>
      <c r="D2822" s="1" t="str">
        <f>VLOOKUP($C2822, 'Instrument Table'!$B:$C, 2, FALSE)</f>
        <v>Percussion</v>
      </c>
      <c r="E2822" s="1">
        <f t="shared" si="258"/>
        <v>1</v>
      </c>
      <c r="F2822" s="1">
        <f>_xlfn.XLOOKUP($C2822, 'Instrument Table'!$B:$B, 'Instrument Table'!$A:$A, "")</f>
        <v>50</v>
      </c>
      <c r="G2822" s="1" t="str">
        <f>TEXT(IF($B2822 = "Retail Item", IF((ROW($A2822) - 4504 - _xlfn.XMATCH($C2822, $C$4506:$C$5005, 0, 1)) &lt;= VLOOKUP($C2822, 'Instrument Table'!$B:$D, 3, FALSE), ROW($A2822) - 4504 - _xlfn.XMATCH($C2822, $C$4506:$C$5005, 0, 1), 0), 0), "00")</f>
        <v>00</v>
      </c>
      <c r="H2822" s="1" t="str">
        <f t="shared" si="259"/>
        <v>016</v>
      </c>
      <c r="I2822" s="1" t="str">
        <f t="shared" si="260"/>
        <v>15000-016</v>
      </c>
      <c r="J2822" s="1" t="str">
        <f t="shared" si="261"/>
        <v>Snare drum production item #016</v>
      </c>
      <c r="K2822" s="1" t="str">
        <f>IF(SUM(COUNTIFS(I:I, I2822)) &gt; 1, "DUPLICATE", "UNIQUE")</f>
        <v>UNIQUE</v>
      </c>
      <c r="L2822" s="18">
        <v>16</v>
      </c>
      <c r="M2822" s="28">
        <v>20</v>
      </c>
      <c r="N2822" s="6">
        <v>100</v>
      </c>
      <c r="O2822" s="30">
        <f t="shared" si="262"/>
        <v>320</v>
      </c>
      <c r="P2822" s="30">
        <f t="shared" si="263"/>
        <v>2000</v>
      </c>
      <c r="Q2822" s="1">
        <f>COUNTIFS($P:$P, "&gt;" &amp; $P2822) + 1</f>
        <v>3257</v>
      </c>
      <c r="R2822" s="63">
        <f>(COUNTIFS($P:$P, "&gt;" &amp; $P2822) + 1) / (COUNTA($I:$I) - 1)</f>
        <v>0.65139999999999998</v>
      </c>
      <c r="S2822" s="23">
        <f>SUMIFS($P:$P, $Q:$Q, "&lt;" &amp; $Q2822)</f>
        <v>185525191</v>
      </c>
    </row>
    <row r="2823" spans="1:19" x14ac:dyDescent="0.25">
      <c r="A2823" s="1">
        <v>2818</v>
      </c>
      <c r="B2823" s="1" t="s">
        <v>2</v>
      </c>
      <c r="C2823" s="1" t="str">
        <f>IF($B2823 = "Production Item", _xlfn.XLOOKUP($A2823, 'Instrument Table'!$J:$J, 'Instrument Table'!$B:$B, $C2822), IF($B2823 = "Service Item", _xlfn.XLOOKUP($A2823, 'Instrument Table'!$I:$I, 'Instrument Table'!$B:$B, $C2822), _xlfn.XLOOKUP($A2823, 'Instrument Table'!$H:$H, 'Instrument Table'!$B:$B, $C2822)))</f>
        <v>Snare Drum</v>
      </c>
      <c r="D2823" s="1" t="str">
        <f>VLOOKUP($C2823, 'Instrument Table'!$B:$C, 2, FALSE)</f>
        <v>Percussion</v>
      </c>
      <c r="E2823" s="1">
        <f t="shared" ref="E2823:E2886" si="264">IF($B2823 = "Production Item", 1, IF($B2823 = "Service Item", 2, IF($B2823 = "Retail Item", 3, "")))</f>
        <v>1</v>
      </c>
      <c r="F2823" s="1">
        <f>_xlfn.XLOOKUP($C2823, 'Instrument Table'!$B:$B, 'Instrument Table'!$A:$A, "")</f>
        <v>50</v>
      </c>
      <c r="G2823" s="1" t="str">
        <f>TEXT(IF($B2823 = "Retail Item", IF((ROW($A2823) - 4504 - _xlfn.XMATCH($C2823, $C$4506:$C$5005, 0, 1)) &lt;= VLOOKUP($C2823, 'Instrument Table'!$B:$D, 3, FALSE), ROW($A2823) - 4504 - _xlfn.XMATCH($C2823, $C$4506:$C$5005, 0, 1), 0), 0), "00")</f>
        <v>00</v>
      </c>
      <c r="H2823" s="1" t="str">
        <f t="shared" ref="H2823:H2886" si="265">TEXT(IF($E2823 &amp; $F2823 &amp; $G2823 = $E2822 &amp; $F2822 &amp; $G2822, 1 + H2822, 0), "000")</f>
        <v>017</v>
      </c>
      <c r="I2823" s="1" t="str">
        <f t="shared" ref="I2823:I2886" si="266" xml:space="preserve"> _xlfn.CONCAT($E2823, $F2823, $G2823, "-", H2823)</f>
        <v>15000-017</v>
      </c>
      <c r="J2823" s="1" t="str">
        <f t="shared" ref="J2823:J2886" si="267">LEFT($C2823, 1) &amp; LOWER(RIGHT($C2823, LEN($C2823) - 1)) &amp; IF(AND($G2823 &lt;&gt; "00", $B2823 = "Retail Item"), " model #" &amp; $G2823, " " &amp; LOWER($B2823) &amp; " #" &amp; $H2823)</f>
        <v>Snare drum production item #017</v>
      </c>
      <c r="K2823" s="1" t="str">
        <f>IF(SUM(COUNTIFS(I:I, I2823)) &gt; 1, "DUPLICATE", "UNIQUE")</f>
        <v>UNIQUE</v>
      </c>
      <c r="L2823" s="18">
        <v>1</v>
      </c>
      <c r="M2823" s="28">
        <v>62</v>
      </c>
      <c r="N2823" s="6">
        <v>64</v>
      </c>
      <c r="O2823" s="30">
        <f t="shared" ref="O2823:O2886" si="268">$L2823 * $M2823</f>
        <v>62</v>
      </c>
      <c r="P2823" s="30">
        <f t="shared" ref="P2823:P2886" si="269">$N2823 * $M2823</f>
        <v>3968</v>
      </c>
      <c r="Q2823" s="1">
        <f>COUNTIFS($P:$P, "&gt;" &amp; $P2823) + 1</f>
        <v>2663</v>
      </c>
      <c r="R2823" s="63">
        <f>(COUNTIFS($P:$P, "&gt;" &amp; $P2823) + 1) / (COUNTA($I:$I) - 1)</f>
        <v>0.53259999999999996</v>
      </c>
      <c r="S2823" s="23">
        <f>SUMIFS($P:$P, $Q:$Q, "&lt;" &amp; $Q2823)</f>
        <v>183822978</v>
      </c>
    </row>
    <row r="2824" spans="1:19" x14ac:dyDescent="0.25">
      <c r="A2824" s="1">
        <v>2819</v>
      </c>
      <c r="B2824" s="1" t="s">
        <v>2</v>
      </c>
      <c r="C2824" s="1" t="str">
        <f>IF($B2824 = "Production Item", _xlfn.XLOOKUP($A2824, 'Instrument Table'!$J:$J, 'Instrument Table'!$B:$B, $C2823), IF($B2824 = "Service Item", _xlfn.XLOOKUP($A2824, 'Instrument Table'!$I:$I, 'Instrument Table'!$B:$B, $C2823), _xlfn.XLOOKUP($A2824, 'Instrument Table'!$H:$H, 'Instrument Table'!$B:$B, $C2823)))</f>
        <v>Snare Drum</v>
      </c>
      <c r="D2824" s="1" t="str">
        <f>VLOOKUP($C2824, 'Instrument Table'!$B:$C, 2, FALSE)</f>
        <v>Percussion</v>
      </c>
      <c r="E2824" s="1">
        <f t="shared" si="264"/>
        <v>1</v>
      </c>
      <c r="F2824" s="1">
        <f>_xlfn.XLOOKUP($C2824, 'Instrument Table'!$B:$B, 'Instrument Table'!$A:$A, "")</f>
        <v>50</v>
      </c>
      <c r="G2824" s="1" t="str">
        <f>TEXT(IF($B2824 = "Retail Item", IF((ROW($A2824) - 4504 - _xlfn.XMATCH($C2824, $C$4506:$C$5005, 0, 1)) &lt;= VLOOKUP($C2824, 'Instrument Table'!$B:$D, 3, FALSE), ROW($A2824) - 4504 - _xlfn.XMATCH($C2824, $C$4506:$C$5005, 0, 1), 0), 0), "00")</f>
        <v>00</v>
      </c>
      <c r="H2824" s="1" t="str">
        <f t="shared" si="265"/>
        <v>018</v>
      </c>
      <c r="I2824" s="1" t="str">
        <f t="shared" si="266"/>
        <v>15000-018</v>
      </c>
      <c r="J2824" s="1" t="str">
        <f t="shared" si="267"/>
        <v>Snare drum production item #018</v>
      </c>
      <c r="K2824" s="1" t="str">
        <f>IF(SUM(COUNTIFS(I:I, I2824)) &gt; 1, "DUPLICATE", "UNIQUE")</f>
        <v>UNIQUE</v>
      </c>
      <c r="L2824" s="18">
        <v>32</v>
      </c>
      <c r="M2824" s="28">
        <v>85</v>
      </c>
      <c r="N2824" s="6">
        <v>400</v>
      </c>
      <c r="O2824" s="30">
        <f t="shared" si="268"/>
        <v>2720</v>
      </c>
      <c r="P2824" s="30">
        <f t="shared" si="269"/>
        <v>34000</v>
      </c>
      <c r="Q2824" s="1">
        <f>COUNTIFS($P:$P, "&gt;" &amp; $P2824) + 1</f>
        <v>620</v>
      </c>
      <c r="R2824" s="63">
        <f>(COUNTIFS($P:$P, "&gt;" &amp; $P2824) + 1) / (COUNTA($I:$I) - 1)</f>
        <v>0.124</v>
      </c>
      <c r="S2824" s="23">
        <f>SUMIFS($P:$P, $Q:$Q, "&lt;" &amp; $Q2824)</f>
        <v>156562921</v>
      </c>
    </row>
    <row r="2825" spans="1:19" x14ac:dyDescent="0.25">
      <c r="A2825" s="1">
        <v>2820</v>
      </c>
      <c r="B2825" s="1" t="s">
        <v>2</v>
      </c>
      <c r="C2825" s="1" t="str">
        <f>IF($B2825 = "Production Item", _xlfn.XLOOKUP($A2825, 'Instrument Table'!$J:$J, 'Instrument Table'!$B:$B, $C2824), IF($B2825 = "Service Item", _xlfn.XLOOKUP($A2825, 'Instrument Table'!$I:$I, 'Instrument Table'!$B:$B, $C2824), _xlfn.XLOOKUP($A2825, 'Instrument Table'!$H:$H, 'Instrument Table'!$B:$B, $C2824)))</f>
        <v>Snare Drum</v>
      </c>
      <c r="D2825" s="1" t="str">
        <f>VLOOKUP($C2825, 'Instrument Table'!$B:$C, 2, FALSE)</f>
        <v>Percussion</v>
      </c>
      <c r="E2825" s="1">
        <f t="shared" si="264"/>
        <v>1</v>
      </c>
      <c r="F2825" s="1">
        <f>_xlfn.XLOOKUP($C2825, 'Instrument Table'!$B:$B, 'Instrument Table'!$A:$A, "")</f>
        <v>50</v>
      </c>
      <c r="G2825" s="1" t="str">
        <f>TEXT(IF($B2825 = "Retail Item", IF((ROW($A2825) - 4504 - _xlfn.XMATCH($C2825, $C$4506:$C$5005, 0, 1)) &lt;= VLOOKUP($C2825, 'Instrument Table'!$B:$D, 3, FALSE), ROW($A2825) - 4504 - _xlfn.XMATCH($C2825, $C$4506:$C$5005, 0, 1), 0), 0), "00")</f>
        <v>00</v>
      </c>
      <c r="H2825" s="1" t="str">
        <f t="shared" si="265"/>
        <v>019</v>
      </c>
      <c r="I2825" s="1" t="str">
        <f t="shared" si="266"/>
        <v>15000-019</v>
      </c>
      <c r="J2825" s="1" t="str">
        <f t="shared" si="267"/>
        <v>Snare drum production item #019</v>
      </c>
      <c r="K2825" s="1" t="str">
        <f>IF(SUM(COUNTIFS(I:I, I2825)) &gt; 1, "DUPLICATE", "UNIQUE")</f>
        <v>UNIQUE</v>
      </c>
      <c r="L2825" s="18">
        <v>1</v>
      </c>
      <c r="M2825" s="28">
        <v>25</v>
      </c>
      <c r="N2825" s="6">
        <v>361</v>
      </c>
      <c r="O2825" s="30">
        <f t="shared" si="268"/>
        <v>25</v>
      </c>
      <c r="P2825" s="30">
        <f t="shared" si="269"/>
        <v>9025</v>
      </c>
      <c r="Q2825" s="1">
        <f>COUNTIFS($P:$P, "&gt;" &amp; $P2825) + 1</f>
        <v>1866</v>
      </c>
      <c r="R2825" s="63">
        <f>(COUNTIFS($P:$P, "&gt;" &amp; $P2825) + 1) / (COUNTA($I:$I) - 1)</f>
        <v>0.37319999999999998</v>
      </c>
      <c r="S2825" s="23">
        <f>SUMIFS($P:$P, $Q:$Q, "&lt;" &amp; $Q2825)</f>
        <v>178860372</v>
      </c>
    </row>
    <row r="2826" spans="1:19" x14ac:dyDescent="0.25">
      <c r="A2826" s="1">
        <v>2821</v>
      </c>
      <c r="B2826" s="1" t="s">
        <v>2</v>
      </c>
      <c r="C2826" s="1" t="str">
        <f>IF($B2826 = "Production Item", _xlfn.XLOOKUP($A2826, 'Instrument Table'!$J:$J, 'Instrument Table'!$B:$B, $C2825), IF($B2826 = "Service Item", _xlfn.XLOOKUP($A2826, 'Instrument Table'!$I:$I, 'Instrument Table'!$B:$B, $C2825), _xlfn.XLOOKUP($A2826, 'Instrument Table'!$H:$H, 'Instrument Table'!$B:$B, $C2825)))</f>
        <v>Snare Drum</v>
      </c>
      <c r="D2826" s="1" t="str">
        <f>VLOOKUP($C2826, 'Instrument Table'!$B:$C, 2, FALSE)</f>
        <v>Percussion</v>
      </c>
      <c r="E2826" s="1">
        <f t="shared" si="264"/>
        <v>1</v>
      </c>
      <c r="F2826" s="1">
        <f>_xlfn.XLOOKUP($C2826, 'Instrument Table'!$B:$B, 'Instrument Table'!$A:$A, "")</f>
        <v>50</v>
      </c>
      <c r="G2826" s="1" t="str">
        <f>TEXT(IF($B2826 = "Retail Item", IF((ROW($A2826) - 4504 - _xlfn.XMATCH($C2826, $C$4506:$C$5005, 0, 1)) &lt;= VLOOKUP($C2826, 'Instrument Table'!$B:$D, 3, FALSE), ROW($A2826) - 4504 - _xlfn.XMATCH($C2826, $C$4506:$C$5005, 0, 1), 0), 0), "00")</f>
        <v>00</v>
      </c>
      <c r="H2826" s="1" t="str">
        <f t="shared" si="265"/>
        <v>020</v>
      </c>
      <c r="I2826" s="1" t="str">
        <f t="shared" si="266"/>
        <v>15000-020</v>
      </c>
      <c r="J2826" s="1" t="str">
        <f t="shared" si="267"/>
        <v>Snare drum production item #020</v>
      </c>
      <c r="K2826" s="1" t="str">
        <f>IF(SUM(COUNTIFS(I:I, I2826)) &gt; 1, "DUPLICATE", "UNIQUE")</f>
        <v>UNIQUE</v>
      </c>
      <c r="L2826" s="18">
        <v>1</v>
      </c>
      <c r="M2826" s="28">
        <v>95</v>
      </c>
      <c r="N2826" s="6">
        <v>100</v>
      </c>
      <c r="O2826" s="30">
        <f t="shared" si="268"/>
        <v>95</v>
      </c>
      <c r="P2826" s="30">
        <f t="shared" si="269"/>
        <v>9500</v>
      </c>
      <c r="Q2826" s="1">
        <f>COUNTIFS($P:$P, "&gt;" &amp; $P2826) + 1</f>
        <v>1817</v>
      </c>
      <c r="R2826" s="63">
        <f>(COUNTIFS($P:$P, "&gt;" &amp; $P2826) + 1) / (COUNTA($I:$I) - 1)</f>
        <v>0.3634</v>
      </c>
      <c r="S2826" s="23">
        <f>SUMIFS($P:$P, $Q:$Q, "&lt;" &amp; $Q2826)</f>
        <v>178404393</v>
      </c>
    </row>
    <row r="2827" spans="1:19" x14ac:dyDescent="0.25">
      <c r="A2827" s="1">
        <v>2822</v>
      </c>
      <c r="B2827" s="1" t="s">
        <v>2</v>
      </c>
      <c r="C2827" s="1" t="str">
        <f>IF($B2827 = "Production Item", _xlfn.XLOOKUP($A2827, 'Instrument Table'!$J:$J, 'Instrument Table'!$B:$B, $C2826), IF($B2827 = "Service Item", _xlfn.XLOOKUP($A2827, 'Instrument Table'!$I:$I, 'Instrument Table'!$B:$B, $C2826), _xlfn.XLOOKUP($A2827, 'Instrument Table'!$H:$H, 'Instrument Table'!$B:$B, $C2826)))</f>
        <v>Snare Drum</v>
      </c>
      <c r="D2827" s="1" t="str">
        <f>VLOOKUP($C2827, 'Instrument Table'!$B:$C, 2, FALSE)</f>
        <v>Percussion</v>
      </c>
      <c r="E2827" s="1">
        <f t="shared" si="264"/>
        <v>1</v>
      </c>
      <c r="F2827" s="1">
        <f>_xlfn.XLOOKUP($C2827, 'Instrument Table'!$B:$B, 'Instrument Table'!$A:$A, "")</f>
        <v>50</v>
      </c>
      <c r="G2827" s="1" t="str">
        <f>TEXT(IF($B2827 = "Retail Item", IF((ROW($A2827) - 4504 - _xlfn.XMATCH($C2827, $C$4506:$C$5005, 0, 1)) &lt;= VLOOKUP($C2827, 'Instrument Table'!$B:$D, 3, FALSE), ROW($A2827) - 4504 - _xlfn.XMATCH($C2827, $C$4506:$C$5005, 0, 1), 0), 0), "00")</f>
        <v>00</v>
      </c>
      <c r="H2827" s="1" t="str">
        <f t="shared" si="265"/>
        <v>021</v>
      </c>
      <c r="I2827" s="1" t="str">
        <f t="shared" si="266"/>
        <v>15000-021</v>
      </c>
      <c r="J2827" s="1" t="str">
        <f t="shared" si="267"/>
        <v>Snare drum production item #021</v>
      </c>
      <c r="K2827" s="1" t="str">
        <f>IF(SUM(COUNTIFS(I:I, I2827)) &gt; 1, "DUPLICATE", "UNIQUE")</f>
        <v>UNIQUE</v>
      </c>
      <c r="L2827" s="18">
        <v>8</v>
      </c>
      <c r="M2827" s="28">
        <v>33</v>
      </c>
      <c r="N2827" s="6">
        <v>25</v>
      </c>
      <c r="O2827" s="30">
        <f t="shared" si="268"/>
        <v>264</v>
      </c>
      <c r="P2827" s="30">
        <f t="shared" si="269"/>
        <v>825</v>
      </c>
      <c r="Q2827" s="1">
        <f>COUNTIFS($P:$P, "&gt;" &amp; $P2827) + 1</f>
        <v>3779</v>
      </c>
      <c r="R2827" s="63">
        <f>(COUNTIFS($P:$P, "&gt;" &amp; $P2827) + 1) / (COUNTA($I:$I) - 1)</f>
        <v>0.75580000000000003</v>
      </c>
      <c r="S2827" s="23">
        <f>SUMIFS($P:$P, $Q:$Q, "&lt;" &amp; $Q2827)</f>
        <v>186248741</v>
      </c>
    </row>
    <row r="2828" spans="1:19" x14ac:dyDescent="0.25">
      <c r="A2828" s="1">
        <v>2823</v>
      </c>
      <c r="B2828" s="1" t="s">
        <v>2</v>
      </c>
      <c r="C2828" s="1" t="str">
        <f>IF($B2828 = "Production Item", _xlfn.XLOOKUP($A2828, 'Instrument Table'!$J:$J, 'Instrument Table'!$B:$B, $C2827), IF($B2828 = "Service Item", _xlfn.XLOOKUP($A2828, 'Instrument Table'!$I:$I, 'Instrument Table'!$B:$B, $C2827), _xlfn.XLOOKUP($A2828, 'Instrument Table'!$H:$H, 'Instrument Table'!$B:$B, $C2827)))</f>
        <v>Snare Drum</v>
      </c>
      <c r="D2828" s="1" t="str">
        <f>VLOOKUP($C2828, 'Instrument Table'!$B:$C, 2, FALSE)</f>
        <v>Percussion</v>
      </c>
      <c r="E2828" s="1">
        <f t="shared" si="264"/>
        <v>1</v>
      </c>
      <c r="F2828" s="1">
        <f>_xlfn.XLOOKUP($C2828, 'Instrument Table'!$B:$B, 'Instrument Table'!$A:$A, "")</f>
        <v>50</v>
      </c>
      <c r="G2828" s="1" t="str">
        <f>TEXT(IF($B2828 = "Retail Item", IF((ROW($A2828) - 4504 - _xlfn.XMATCH($C2828, $C$4506:$C$5005, 0, 1)) &lt;= VLOOKUP($C2828, 'Instrument Table'!$B:$D, 3, FALSE), ROW($A2828) - 4504 - _xlfn.XMATCH($C2828, $C$4506:$C$5005, 0, 1), 0), 0), "00")</f>
        <v>00</v>
      </c>
      <c r="H2828" s="1" t="str">
        <f t="shared" si="265"/>
        <v>022</v>
      </c>
      <c r="I2828" s="1" t="str">
        <f t="shared" si="266"/>
        <v>15000-022</v>
      </c>
      <c r="J2828" s="1" t="str">
        <f t="shared" si="267"/>
        <v>Snare drum production item #022</v>
      </c>
      <c r="K2828" s="1" t="str">
        <f>IF(SUM(COUNTIFS(I:I, I2828)) &gt; 1, "DUPLICATE", "UNIQUE")</f>
        <v>UNIQUE</v>
      </c>
      <c r="L2828" s="18">
        <v>1</v>
      </c>
      <c r="M2828" s="28">
        <v>4</v>
      </c>
      <c r="N2828" s="6">
        <v>81</v>
      </c>
      <c r="O2828" s="30">
        <f t="shared" si="268"/>
        <v>4</v>
      </c>
      <c r="P2828" s="30">
        <f t="shared" si="269"/>
        <v>324</v>
      </c>
      <c r="Q2828" s="1">
        <f>COUNTIFS($P:$P, "&gt;" &amp; $P2828) + 1</f>
        <v>4180</v>
      </c>
      <c r="R2828" s="63">
        <f>(COUNTIFS($P:$P, "&gt;" &amp; $P2828) + 1) / (COUNTA($I:$I) - 1)</f>
        <v>0.83599999999999997</v>
      </c>
      <c r="S2828" s="23">
        <f>SUMIFS($P:$P, $Q:$Q, "&lt;" &amp; $Q2828)</f>
        <v>186473950</v>
      </c>
    </row>
    <row r="2829" spans="1:19" x14ac:dyDescent="0.25">
      <c r="A2829" s="1">
        <v>2824</v>
      </c>
      <c r="B2829" s="1" t="s">
        <v>2</v>
      </c>
      <c r="C2829" s="1" t="str">
        <f>IF($B2829 = "Production Item", _xlfn.XLOOKUP($A2829, 'Instrument Table'!$J:$J, 'Instrument Table'!$B:$B, $C2828), IF($B2829 = "Service Item", _xlfn.XLOOKUP($A2829, 'Instrument Table'!$I:$I, 'Instrument Table'!$B:$B, $C2828), _xlfn.XLOOKUP($A2829, 'Instrument Table'!$H:$H, 'Instrument Table'!$B:$B, $C2828)))</f>
        <v>Snare Drum</v>
      </c>
      <c r="D2829" s="1" t="str">
        <f>VLOOKUP($C2829, 'Instrument Table'!$B:$C, 2, FALSE)</f>
        <v>Percussion</v>
      </c>
      <c r="E2829" s="1">
        <f t="shared" si="264"/>
        <v>1</v>
      </c>
      <c r="F2829" s="1">
        <f>_xlfn.XLOOKUP($C2829, 'Instrument Table'!$B:$B, 'Instrument Table'!$A:$A, "")</f>
        <v>50</v>
      </c>
      <c r="G2829" s="1" t="str">
        <f>TEXT(IF($B2829 = "Retail Item", IF((ROW($A2829) - 4504 - _xlfn.XMATCH($C2829, $C$4506:$C$5005, 0, 1)) &lt;= VLOOKUP($C2829, 'Instrument Table'!$B:$D, 3, FALSE), ROW($A2829) - 4504 - _xlfn.XMATCH($C2829, $C$4506:$C$5005, 0, 1), 0), 0), "00")</f>
        <v>00</v>
      </c>
      <c r="H2829" s="1" t="str">
        <f t="shared" si="265"/>
        <v>023</v>
      </c>
      <c r="I2829" s="1" t="str">
        <f t="shared" si="266"/>
        <v>15000-023</v>
      </c>
      <c r="J2829" s="1" t="str">
        <f t="shared" si="267"/>
        <v>Snare drum production item #023</v>
      </c>
      <c r="K2829" s="1" t="str">
        <f>IF(SUM(COUNTIFS(I:I, I2829)) &gt; 1, "DUPLICATE", "UNIQUE")</f>
        <v>UNIQUE</v>
      </c>
      <c r="L2829" s="18">
        <v>1</v>
      </c>
      <c r="M2829" s="28">
        <v>96</v>
      </c>
      <c r="N2829" s="6">
        <v>256</v>
      </c>
      <c r="O2829" s="30">
        <f t="shared" si="268"/>
        <v>96</v>
      </c>
      <c r="P2829" s="30">
        <f t="shared" si="269"/>
        <v>24576</v>
      </c>
      <c r="Q2829" s="1">
        <f>COUNTIFS($P:$P, "&gt;" &amp; $P2829) + 1</f>
        <v>842</v>
      </c>
      <c r="R2829" s="63">
        <f>(COUNTIFS($P:$P, "&gt;" &amp; $P2829) + 1) / (COUNTA($I:$I) - 1)</f>
        <v>0.16839999999999999</v>
      </c>
      <c r="S2829" s="23">
        <f>SUMIFS($P:$P, $Q:$Q, "&lt;" &amp; $Q2829)</f>
        <v>162887012</v>
      </c>
    </row>
    <row r="2830" spans="1:19" x14ac:dyDescent="0.25">
      <c r="A2830" s="1">
        <v>2825</v>
      </c>
      <c r="B2830" s="1" t="s">
        <v>2</v>
      </c>
      <c r="C2830" s="1" t="str">
        <f>IF($B2830 = "Production Item", _xlfn.XLOOKUP($A2830, 'Instrument Table'!$J:$J, 'Instrument Table'!$B:$B, $C2829), IF($B2830 = "Service Item", _xlfn.XLOOKUP($A2830, 'Instrument Table'!$I:$I, 'Instrument Table'!$B:$B, $C2829), _xlfn.XLOOKUP($A2830, 'Instrument Table'!$H:$H, 'Instrument Table'!$B:$B, $C2829)))</f>
        <v>Snare Drum</v>
      </c>
      <c r="D2830" s="1" t="str">
        <f>VLOOKUP($C2830, 'Instrument Table'!$B:$C, 2, FALSE)</f>
        <v>Percussion</v>
      </c>
      <c r="E2830" s="1">
        <f t="shared" si="264"/>
        <v>1</v>
      </c>
      <c r="F2830" s="1">
        <f>_xlfn.XLOOKUP($C2830, 'Instrument Table'!$B:$B, 'Instrument Table'!$A:$A, "")</f>
        <v>50</v>
      </c>
      <c r="G2830" s="1" t="str">
        <f>TEXT(IF($B2830 = "Retail Item", IF((ROW($A2830) - 4504 - _xlfn.XMATCH($C2830, $C$4506:$C$5005, 0, 1)) &lt;= VLOOKUP($C2830, 'Instrument Table'!$B:$D, 3, FALSE), ROW($A2830) - 4504 - _xlfn.XMATCH($C2830, $C$4506:$C$5005, 0, 1), 0), 0), "00")</f>
        <v>00</v>
      </c>
      <c r="H2830" s="1" t="str">
        <f t="shared" si="265"/>
        <v>024</v>
      </c>
      <c r="I2830" s="1" t="str">
        <f t="shared" si="266"/>
        <v>15000-024</v>
      </c>
      <c r="J2830" s="1" t="str">
        <f t="shared" si="267"/>
        <v>Snare drum production item #024</v>
      </c>
      <c r="K2830" s="1" t="str">
        <f>IF(SUM(COUNTIFS(I:I, I2830)) &gt; 1, "DUPLICATE", "UNIQUE")</f>
        <v>UNIQUE</v>
      </c>
      <c r="L2830" s="18">
        <v>32</v>
      </c>
      <c r="M2830" s="28">
        <v>92</v>
      </c>
      <c r="N2830" s="6">
        <v>225</v>
      </c>
      <c r="O2830" s="30">
        <f t="shared" si="268"/>
        <v>2944</v>
      </c>
      <c r="P2830" s="30">
        <f t="shared" si="269"/>
        <v>20700</v>
      </c>
      <c r="Q2830" s="1">
        <f>COUNTIFS($P:$P, "&gt;" &amp; $P2830) + 1</f>
        <v>1018</v>
      </c>
      <c r="R2830" s="63">
        <f>(COUNTIFS($P:$P, "&gt;" &amp; $P2830) + 1) / (COUNTA($I:$I) - 1)</f>
        <v>0.2036</v>
      </c>
      <c r="S2830" s="23">
        <f>SUMIFS($P:$P, $Q:$Q, "&lt;" &amp; $Q2830)</f>
        <v>166867897</v>
      </c>
    </row>
    <row r="2831" spans="1:19" x14ac:dyDescent="0.25">
      <c r="A2831" s="1">
        <v>2826</v>
      </c>
      <c r="B2831" s="1" t="s">
        <v>2</v>
      </c>
      <c r="C2831" s="1" t="str">
        <f>IF($B2831 = "Production Item", _xlfn.XLOOKUP($A2831, 'Instrument Table'!$J:$J, 'Instrument Table'!$B:$B, $C2830), IF($B2831 = "Service Item", _xlfn.XLOOKUP($A2831, 'Instrument Table'!$I:$I, 'Instrument Table'!$B:$B, $C2830), _xlfn.XLOOKUP($A2831, 'Instrument Table'!$H:$H, 'Instrument Table'!$B:$B, $C2830)))</f>
        <v>Snare Drum</v>
      </c>
      <c r="D2831" s="1" t="str">
        <f>VLOOKUP($C2831, 'Instrument Table'!$B:$C, 2, FALSE)</f>
        <v>Percussion</v>
      </c>
      <c r="E2831" s="1">
        <f t="shared" si="264"/>
        <v>1</v>
      </c>
      <c r="F2831" s="1">
        <f>_xlfn.XLOOKUP($C2831, 'Instrument Table'!$B:$B, 'Instrument Table'!$A:$A, "")</f>
        <v>50</v>
      </c>
      <c r="G2831" s="1" t="str">
        <f>TEXT(IF($B2831 = "Retail Item", IF((ROW($A2831) - 4504 - _xlfn.XMATCH($C2831, $C$4506:$C$5005, 0, 1)) &lt;= VLOOKUP($C2831, 'Instrument Table'!$B:$D, 3, FALSE), ROW($A2831) - 4504 - _xlfn.XMATCH($C2831, $C$4506:$C$5005, 0, 1), 0), 0), "00")</f>
        <v>00</v>
      </c>
      <c r="H2831" s="1" t="str">
        <f t="shared" si="265"/>
        <v>025</v>
      </c>
      <c r="I2831" s="1" t="str">
        <f t="shared" si="266"/>
        <v>15000-025</v>
      </c>
      <c r="J2831" s="1" t="str">
        <f t="shared" si="267"/>
        <v>Snare drum production item #025</v>
      </c>
      <c r="K2831" s="1" t="str">
        <f>IF(SUM(COUNTIFS(I:I, I2831)) &gt; 1, "DUPLICATE", "UNIQUE")</f>
        <v>UNIQUE</v>
      </c>
      <c r="L2831" s="18">
        <v>0</v>
      </c>
      <c r="M2831" s="28">
        <v>3</v>
      </c>
      <c r="N2831" s="6">
        <v>196</v>
      </c>
      <c r="O2831" s="30">
        <f t="shared" si="268"/>
        <v>0</v>
      </c>
      <c r="P2831" s="30">
        <f t="shared" si="269"/>
        <v>588</v>
      </c>
      <c r="Q2831" s="1">
        <f>COUNTIFS($P:$P, "&gt;" &amp; $P2831) + 1</f>
        <v>3952</v>
      </c>
      <c r="R2831" s="63">
        <f>(COUNTIFS($P:$P, "&gt;" &amp; $P2831) + 1) / (COUNTA($I:$I) - 1)</f>
        <v>0.79039999999999999</v>
      </c>
      <c r="S2831" s="23">
        <f>SUMIFS($P:$P, $Q:$Q, "&lt;" &amp; $Q2831)</f>
        <v>186371437</v>
      </c>
    </row>
    <row r="2832" spans="1:19" x14ac:dyDescent="0.25">
      <c r="A2832" s="1">
        <v>2827</v>
      </c>
      <c r="B2832" s="1" t="s">
        <v>2</v>
      </c>
      <c r="C2832" s="1" t="str">
        <f>IF($B2832 = "Production Item", _xlfn.XLOOKUP($A2832, 'Instrument Table'!$J:$J, 'Instrument Table'!$B:$B, $C2831), IF($B2832 = "Service Item", _xlfn.XLOOKUP($A2832, 'Instrument Table'!$I:$I, 'Instrument Table'!$B:$B, $C2831), _xlfn.XLOOKUP($A2832, 'Instrument Table'!$H:$H, 'Instrument Table'!$B:$B, $C2831)))</f>
        <v>Snare Drum</v>
      </c>
      <c r="D2832" s="1" t="str">
        <f>VLOOKUP($C2832, 'Instrument Table'!$B:$C, 2, FALSE)</f>
        <v>Percussion</v>
      </c>
      <c r="E2832" s="1">
        <f t="shared" si="264"/>
        <v>1</v>
      </c>
      <c r="F2832" s="1">
        <f>_xlfn.XLOOKUP($C2832, 'Instrument Table'!$B:$B, 'Instrument Table'!$A:$A, "")</f>
        <v>50</v>
      </c>
      <c r="G2832" s="1" t="str">
        <f>TEXT(IF($B2832 = "Retail Item", IF((ROW($A2832) - 4504 - _xlfn.XMATCH($C2832, $C$4506:$C$5005, 0, 1)) &lt;= VLOOKUP($C2832, 'Instrument Table'!$B:$D, 3, FALSE), ROW($A2832) - 4504 - _xlfn.XMATCH($C2832, $C$4506:$C$5005, 0, 1), 0), 0), "00")</f>
        <v>00</v>
      </c>
      <c r="H2832" s="1" t="str">
        <f t="shared" si="265"/>
        <v>026</v>
      </c>
      <c r="I2832" s="1" t="str">
        <f t="shared" si="266"/>
        <v>15000-026</v>
      </c>
      <c r="J2832" s="1" t="str">
        <f t="shared" si="267"/>
        <v>Snare drum production item #026</v>
      </c>
      <c r="K2832" s="1" t="str">
        <f>IF(SUM(COUNTIFS(I:I, I2832)) &gt; 1, "DUPLICATE", "UNIQUE")</f>
        <v>UNIQUE</v>
      </c>
      <c r="L2832" s="18">
        <v>32</v>
      </c>
      <c r="M2832" s="28">
        <v>22</v>
      </c>
      <c r="N2832" s="6">
        <v>64</v>
      </c>
      <c r="O2832" s="30">
        <f t="shared" si="268"/>
        <v>704</v>
      </c>
      <c r="P2832" s="30">
        <f t="shared" si="269"/>
        <v>1408</v>
      </c>
      <c r="Q2832" s="1">
        <f>COUNTIFS($P:$P, "&gt;" &amp; $P2832) + 1</f>
        <v>3501</v>
      </c>
      <c r="R2832" s="63">
        <f>(COUNTIFS($P:$P, "&gt;" &amp; $P2832) + 1) / (COUNTA($I:$I) - 1)</f>
        <v>0.70020000000000004</v>
      </c>
      <c r="S2832" s="23">
        <f>SUMIFS($P:$P, $Q:$Q, "&lt;" &amp; $Q2832)</f>
        <v>185938879</v>
      </c>
    </row>
    <row r="2833" spans="1:19" x14ac:dyDescent="0.25">
      <c r="A2833" s="1">
        <v>2828</v>
      </c>
      <c r="B2833" s="1" t="s">
        <v>2</v>
      </c>
      <c r="C2833" s="1" t="str">
        <f>IF($B2833 = "Production Item", _xlfn.XLOOKUP($A2833, 'Instrument Table'!$J:$J, 'Instrument Table'!$B:$B, $C2832), IF($B2833 = "Service Item", _xlfn.XLOOKUP($A2833, 'Instrument Table'!$I:$I, 'Instrument Table'!$B:$B, $C2832), _xlfn.XLOOKUP($A2833, 'Instrument Table'!$H:$H, 'Instrument Table'!$B:$B, $C2832)))</f>
        <v>Snare Drum</v>
      </c>
      <c r="D2833" s="1" t="str">
        <f>VLOOKUP($C2833, 'Instrument Table'!$B:$C, 2, FALSE)</f>
        <v>Percussion</v>
      </c>
      <c r="E2833" s="1">
        <f t="shared" si="264"/>
        <v>1</v>
      </c>
      <c r="F2833" s="1">
        <f>_xlfn.XLOOKUP($C2833, 'Instrument Table'!$B:$B, 'Instrument Table'!$A:$A, "")</f>
        <v>50</v>
      </c>
      <c r="G2833" s="1" t="str">
        <f>TEXT(IF($B2833 = "Retail Item", IF((ROW($A2833) - 4504 - _xlfn.XMATCH($C2833, $C$4506:$C$5005, 0, 1)) &lt;= VLOOKUP($C2833, 'Instrument Table'!$B:$D, 3, FALSE), ROW($A2833) - 4504 - _xlfn.XMATCH($C2833, $C$4506:$C$5005, 0, 1), 0), 0), "00")</f>
        <v>00</v>
      </c>
      <c r="H2833" s="1" t="str">
        <f t="shared" si="265"/>
        <v>027</v>
      </c>
      <c r="I2833" s="1" t="str">
        <f t="shared" si="266"/>
        <v>15000-027</v>
      </c>
      <c r="J2833" s="1" t="str">
        <f t="shared" si="267"/>
        <v>Snare drum production item #027</v>
      </c>
      <c r="K2833" s="1" t="str">
        <f>IF(SUM(COUNTIFS(I:I, I2833)) &gt; 1, "DUPLICATE", "UNIQUE")</f>
        <v>UNIQUE</v>
      </c>
      <c r="L2833" s="18">
        <v>0</v>
      </c>
      <c r="M2833" s="28">
        <v>26</v>
      </c>
      <c r="N2833" s="6">
        <v>9</v>
      </c>
      <c r="O2833" s="30">
        <f t="shared" si="268"/>
        <v>0</v>
      </c>
      <c r="P2833" s="30">
        <f t="shared" si="269"/>
        <v>234</v>
      </c>
      <c r="Q2833" s="1">
        <f>COUNTIFS($P:$P, "&gt;" &amp; $P2833) + 1</f>
        <v>4288</v>
      </c>
      <c r="R2833" s="63">
        <f>(COUNTIFS($P:$P, "&gt;" &amp; $P2833) + 1) / (COUNTA($I:$I) - 1)</f>
        <v>0.85760000000000003</v>
      </c>
      <c r="S2833" s="23">
        <f>SUMIFS($P:$P, $Q:$Q, "&lt;" &amp; $Q2833)</f>
        <v>186504707</v>
      </c>
    </row>
    <row r="2834" spans="1:19" x14ac:dyDescent="0.25">
      <c r="A2834" s="1">
        <v>2829</v>
      </c>
      <c r="B2834" s="1" t="s">
        <v>2</v>
      </c>
      <c r="C2834" s="1" t="str">
        <f>IF($B2834 = "Production Item", _xlfn.XLOOKUP($A2834, 'Instrument Table'!$J:$J, 'Instrument Table'!$B:$B, $C2833), IF($B2834 = "Service Item", _xlfn.XLOOKUP($A2834, 'Instrument Table'!$I:$I, 'Instrument Table'!$B:$B, $C2833), _xlfn.XLOOKUP($A2834, 'Instrument Table'!$H:$H, 'Instrument Table'!$B:$B, $C2833)))</f>
        <v>Snare Drum</v>
      </c>
      <c r="D2834" s="1" t="str">
        <f>VLOOKUP($C2834, 'Instrument Table'!$B:$C, 2, FALSE)</f>
        <v>Percussion</v>
      </c>
      <c r="E2834" s="1">
        <f t="shared" si="264"/>
        <v>1</v>
      </c>
      <c r="F2834" s="1">
        <f>_xlfn.XLOOKUP($C2834, 'Instrument Table'!$B:$B, 'Instrument Table'!$A:$A, "")</f>
        <v>50</v>
      </c>
      <c r="G2834" s="1" t="str">
        <f>TEXT(IF($B2834 = "Retail Item", IF((ROW($A2834) - 4504 - _xlfn.XMATCH($C2834, $C$4506:$C$5005, 0, 1)) &lt;= VLOOKUP($C2834, 'Instrument Table'!$B:$D, 3, FALSE), ROW($A2834) - 4504 - _xlfn.XMATCH($C2834, $C$4506:$C$5005, 0, 1), 0), 0), "00")</f>
        <v>00</v>
      </c>
      <c r="H2834" s="1" t="str">
        <f t="shared" si="265"/>
        <v>028</v>
      </c>
      <c r="I2834" s="1" t="str">
        <f t="shared" si="266"/>
        <v>15000-028</v>
      </c>
      <c r="J2834" s="1" t="str">
        <f t="shared" si="267"/>
        <v>Snare drum production item #028</v>
      </c>
      <c r="K2834" s="1" t="str">
        <f>IF(SUM(COUNTIFS(I:I, I2834)) &gt; 1, "DUPLICATE", "UNIQUE")</f>
        <v>UNIQUE</v>
      </c>
      <c r="L2834" s="18">
        <v>16</v>
      </c>
      <c r="M2834" s="28">
        <v>9</v>
      </c>
      <c r="N2834" s="6">
        <v>9</v>
      </c>
      <c r="O2834" s="30">
        <f t="shared" si="268"/>
        <v>144</v>
      </c>
      <c r="P2834" s="30">
        <f t="shared" si="269"/>
        <v>81</v>
      </c>
      <c r="Q2834" s="1">
        <f>COUNTIFS($P:$P, "&gt;" &amp; $P2834) + 1</f>
        <v>4505</v>
      </c>
      <c r="R2834" s="63">
        <f>(COUNTIFS($P:$P, "&gt;" &amp; $P2834) + 1) / (COUNTA($I:$I) - 1)</f>
        <v>0.90100000000000002</v>
      </c>
      <c r="S2834" s="23">
        <f>SUMIFS($P:$P, $Q:$Q, "&lt;" &amp; $Q2834)</f>
        <v>186537273</v>
      </c>
    </row>
    <row r="2835" spans="1:19" x14ac:dyDescent="0.25">
      <c r="A2835" s="1">
        <v>2830</v>
      </c>
      <c r="B2835" s="1" t="s">
        <v>2</v>
      </c>
      <c r="C2835" s="1" t="str">
        <f>IF($B2835 = "Production Item", _xlfn.XLOOKUP($A2835, 'Instrument Table'!$J:$J, 'Instrument Table'!$B:$B, $C2834), IF($B2835 = "Service Item", _xlfn.XLOOKUP($A2835, 'Instrument Table'!$I:$I, 'Instrument Table'!$B:$B, $C2834), _xlfn.XLOOKUP($A2835, 'Instrument Table'!$H:$H, 'Instrument Table'!$B:$B, $C2834)))</f>
        <v>Snare Drum</v>
      </c>
      <c r="D2835" s="1" t="str">
        <f>VLOOKUP($C2835, 'Instrument Table'!$B:$C, 2, FALSE)</f>
        <v>Percussion</v>
      </c>
      <c r="E2835" s="1">
        <f t="shared" si="264"/>
        <v>1</v>
      </c>
      <c r="F2835" s="1">
        <f>_xlfn.XLOOKUP($C2835, 'Instrument Table'!$B:$B, 'Instrument Table'!$A:$A, "")</f>
        <v>50</v>
      </c>
      <c r="G2835" s="1" t="str">
        <f>TEXT(IF($B2835 = "Retail Item", IF((ROW($A2835) - 4504 - _xlfn.XMATCH($C2835, $C$4506:$C$5005, 0, 1)) &lt;= VLOOKUP($C2835, 'Instrument Table'!$B:$D, 3, FALSE), ROW($A2835) - 4504 - _xlfn.XMATCH($C2835, $C$4506:$C$5005, 0, 1), 0), 0), "00")</f>
        <v>00</v>
      </c>
      <c r="H2835" s="1" t="str">
        <f t="shared" si="265"/>
        <v>029</v>
      </c>
      <c r="I2835" s="1" t="str">
        <f t="shared" si="266"/>
        <v>15000-029</v>
      </c>
      <c r="J2835" s="1" t="str">
        <f t="shared" si="267"/>
        <v>Snare drum production item #029</v>
      </c>
      <c r="K2835" s="1" t="str">
        <f>IF(SUM(COUNTIFS(I:I, I2835)) &gt; 1, "DUPLICATE", "UNIQUE")</f>
        <v>UNIQUE</v>
      </c>
      <c r="L2835" s="18">
        <v>1</v>
      </c>
      <c r="M2835" s="28">
        <v>52</v>
      </c>
      <c r="N2835" s="6">
        <v>0</v>
      </c>
      <c r="O2835" s="30">
        <f t="shared" si="268"/>
        <v>52</v>
      </c>
      <c r="P2835" s="30">
        <f t="shared" si="269"/>
        <v>0</v>
      </c>
      <c r="Q2835" s="1">
        <f>COUNTIFS($P:$P, "&gt;" &amp; $P2835) + 1</f>
        <v>4746</v>
      </c>
      <c r="R2835" s="63">
        <f>(COUNTIFS($P:$P, "&gt;" &amp; $P2835) + 1) / (COUNTA($I:$I) - 1)</f>
        <v>0.94920000000000004</v>
      </c>
      <c r="S2835" s="23">
        <f>SUMIFS($P:$P, $Q:$Q, "&lt;" &amp; $Q2835)</f>
        <v>186547861</v>
      </c>
    </row>
    <row r="2836" spans="1:19" x14ac:dyDescent="0.25">
      <c r="A2836" s="1">
        <v>2831</v>
      </c>
      <c r="B2836" s="1" t="s">
        <v>2</v>
      </c>
      <c r="C2836" s="1" t="str">
        <f>IF($B2836 = "Production Item", _xlfn.XLOOKUP($A2836, 'Instrument Table'!$J:$J, 'Instrument Table'!$B:$B, $C2835), IF($B2836 = "Service Item", _xlfn.XLOOKUP($A2836, 'Instrument Table'!$I:$I, 'Instrument Table'!$B:$B, $C2835), _xlfn.XLOOKUP($A2836, 'Instrument Table'!$H:$H, 'Instrument Table'!$B:$B, $C2835)))</f>
        <v>Snare Drum</v>
      </c>
      <c r="D2836" s="1" t="str">
        <f>VLOOKUP($C2836, 'Instrument Table'!$B:$C, 2, FALSE)</f>
        <v>Percussion</v>
      </c>
      <c r="E2836" s="1">
        <f t="shared" si="264"/>
        <v>1</v>
      </c>
      <c r="F2836" s="1">
        <f>_xlfn.XLOOKUP($C2836, 'Instrument Table'!$B:$B, 'Instrument Table'!$A:$A, "")</f>
        <v>50</v>
      </c>
      <c r="G2836" s="1" t="str">
        <f>TEXT(IF($B2836 = "Retail Item", IF((ROW($A2836) - 4504 - _xlfn.XMATCH($C2836, $C$4506:$C$5005, 0, 1)) &lt;= VLOOKUP($C2836, 'Instrument Table'!$B:$D, 3, FALSE), ROW($A2836) - 4504 - _xlfn.XMATCH($C2836, $C$4506:$C$5005, 0, 1), 0), 0), "00")</f>
        <v>00</v>
      </c>
      <c r="H2836" s="1" t="str">
        <f t="shared" si="265"/>
        <v>030</v>
      </c>
      <c r="I2836" s="1" t="str">
        <f t="shared" si="266"/>
        <v>15000-030</v>
      </c>
      <c r="J2836" s="1" t="str">
        <f t="shared" si="267"/>
        <v>Snare drum production item #030</v>
      </c>
      <c r="K2836" s="1" t="str">
        <f>IF(SUM(COUNTIFS(I:I, I2836)) &gt; 1, "DUPLICATE", "UNIQUE")</f>
        <v>UNIQUE</v>
      </c>
      <c r="L2836" s="18">
        <v>2</v>
      </c>
      <c r="M2836" s="28">
        <v>25</v>
      </c>
      <c r="N2836" s="6">
        <v>225</v>
      </c>
      <c r="O2836" s="30">
        <f t="shared" si="268"/>
        <v>50</v>
      </c>
      <c r="P2836" s="30">
        <f t="shared" si="269"/>
        <v>5625</v>
      </c>
      <c r="Q2836" s="1">
        <f>COUNTIFS($P:$P, "&gt;" &amp; $P2836) + 1</f>
        <v>2331</v>
      </c>
      <c r="R2836" s="63">
        <f>(COUNTIFS($P:$P, "&gt;" &amp; $P2836) + 1) / (COUNTA($I:$I) - 1)</f>
        <v>0.4662</v>
      </c>
      <c r="S2836" s="23">
        <f>SUMIFS($P:$P, $Q:$Q, "&lt;" &amp; $Q2836)</f>
        <v>182241663</v>
      </c>
    </row>
    <row r="2837" spans="1:19" x14ac:dyDescent="0.25">
      <c r="A2837" s="1">
        <v>2832</v>
      </c>
      <c r="B2837" s="1" t="s">
        <v>2</v>
      </c>
      <c r="C2837" s="1" t="str">
        <f>IF($B2837 = "Production Item", _xlfn.XLOOKUP($A2837, 'Instrument Table'!$J:$J, 'Instrument Table'!$B:$B, $C2836), IF($B2837 = "Service Item", _xlfn.XLOOKUP($A2837, 'Instrument Table'!$I:$I, 'Instrument Table'!$B:$B, $C2836), _xlfn.XLOOKUP($A2837, 'Instrument Table'!$H:$H, 'Instrument Table'!$B:$B, $C2836)))</f>
        <v>Snare Drum</v>
      </c>
      <c r="D2837" s="1" t="str">
        <f>VLOOKUP($C2837, 'Instrument Table'!$B:$C, 2, FALSE)</f>
        <v>Percussion</v>
      </c>
      <c r="E2837" s="1">
        <f t="shared" si="264"/>
        <v>1</v>
      </c>
      <c r="F2837" s="1">
        <f>_xlfn.XLOOKUP($C2837, 'Instrument Table'!$B:$B, 'Instrument Table'!$A:$A, "")</f>
        <v>50</v>
      </c>
      <c r="G2837" s="1" t="str">
        <f>TEXT(IF($B2837 = "Retail Item", IF((ROW($A2837) - 4504 - _xlfn.XMATCH($C2837, $C$4506:$C$5005, 0, 1)) &lt;= VLOOKUP($C2837, 'Instrument Table'!$B:$D, 3, FALSE), ROW($A2837) - 4504 - _xlfn.XMATCH($C2837, $C$4506:$C$5005, 0, 1), 0), 0), "00")</f>
        <v>00</v>
      </c>
      <c r="H2837" s="1" t="str">
        <f t="shared" si="265"/>
        <v>031</v>
      </c>
      <c r="I2837" s="1" t="str">
        <f t="shared" si="266"/>
        <v>15000-031</v>
      </c>
      <c r="J2837" s="1" t="str">
        <f t="shared" si="267"/>
        <v>Snare drum production item #031</v>
      </c>
      <c r="K2837" s="1" t="str">
        <f>IF(SUM(COUNTIFS(I:I, I2837)) &gt; 1, "DUPLICATE", "UNIQUE")</f>
        <v>UNIQUE</v>
      </c>
      <c r="L2837" s="18">
        <v>1</v>
      </c>
      <c r="M2837" s="28">
        <v>80</v>
      </c>
      <c r="N2837" s="6">
        <v>144</v>
      </c>
      <c r="O2837" s="30">
        <f t="shared" si="268"/>
        <v>80</v>
      </c>
      <c r="P2837" s="30">
        <f t="shared" si="269"/>
        <v>11520</v>
      </c>
      <c r="Q2837" s="1">
        <f>COUNTIFS($P:$P, "&gt;" &amp; $P2837) + 1</f>
        <v>1634</v>
      </c>
      <c r="R2837" s="63">
        <f>(COUNTIFS($P:$P, "&gt;" &amp; $P2837) + 1) / (COUNTA($I:$I) - 1)</f>
        <v>0.32679999999999998</v>
      </c>
      <c r="S2837" s="23">
        <f>SUMIFS($P:$P, $Q:$Q, "&lt;" &amp; $Q2837)</f>
        <v>176474475</v>
      </c>
    </row>
    <row r="2838" spans="1:19" x14ac:dyDescent="0.25">
      <c r="A2838" s="1">
        <v>2833</v>
      </c>
      <c r="B2838" s="1" t="s">
        <v>2</v>
      </c>
      <c r="C2838" s="1" t="str">
        <f>IF($B2838 = "Production Item", _xlfn.XLOOKUP($A2838, 'Instrument Table'!$J:$J, 'Instrument Table'!$B:$B, $C2837), IF($B2838 = "Service Item", _xlfn.XLOOKUP($A2838, 'Instrument Table'!$I:$I, 'Instrument Table'!$B:$B, $C2837), _xlfn.XLOOKUP($A2838, 'Instrument Table'!$H:$H, 'Instrument Table'!$B:$B, $C2837)))</f>
        <v>Snare Drum</v>
      </c>
      <c r="D2838" s="1" t="str">
        <f>VLOOKUP($C2838, 'Instrument Table'!$B:$C, 2, FALSE)</f>
        <v>Percussion</v>
      </c>
      <c r="E2838" s="1">
        <f t="shared" si="264"/>
        <v>1</v>
      </c>
      <c r="F2838" s="1">
        <f>_xlfn.XLOOKUP($C2838, 'Instrument Table'!$B:$B, 'Instrument Table'!$A:$A, "")</f>
        <v>50</v>
      </c>
      <c r="G2838" s="1" t="str">
        <f>TEXT(IF($B2838 = "Retail Item", IF((ROW($A2838) - 4504 - _xlfn.XMATCH($C2838, $C$4506:$C$5005, 0, 1)) &lt;= VLOOKUP($C2838, 'Instrument Table'!$B:$D, 3, FALSE), ROW($A2838) - 4504 - _xlfn.XMATCH($C2838, $C$4506:$C$5005, 0, 1), 0), 0), "00")</f>
        <v>00</v>
      </c>
      <c r="H2838" s="1" t="str">
        <f t="shared" si="265"/>
        <v>032</v>
      </c>
      <c r="I2838" s="1" t="str">
        <f t="shared" si="266"/>
        <v>15000-032</v>
      </c>
      <c r="J2838" s="1" t="str">
        <f t="shared" si="267"/>
        <v>Snare drum production item #032</v>
      </c>
      <c r="K2838" s="1" t="str">
        <f>IF(SUM(COUNTIFS(I:I, I2838)) &gt; 1, "DUPLICATE", "UNIQUE")</f>
        <v>UNIQUE</v>
      </c>
      <c r="L2838" s="18">
        <v>1</v>
      </c>
      <c r="M2838" s="28">
        <v>100</v>
      </c>
      <c r="N2838" s="6">
        <v>144</v>
      </c>
      <c r="O2838" s="30">
        <f t="shared" si="268"/>
        <v>100</v>
      </c>
      <c r="P2838" s="30">
        <f t="shared" si="269"/>
        <v>14400</v>
      </c>
      <c r="Q2838" s="1">
        <f>COUNTIFS($P:$P, "&gt;" &amp; $P2838) + 1</f>
        <v>1389</v>
      </c>
      <c r="R2838" s="63">
        <f>(COUNTIFS($P:$P, "&gt;" &amp; $P2838) + 1) / (COUNTA($I:$I) - 1)</f>
        <v>0.27779999999999999</v>
      </c>
      <c r="S2838" s="23">
        <f>SUMIFS($P:$P, $Q:$Q, "&lt;" &amp; $Q2838)</f>
        <v>173317558</v>
      </c>
    </row>
    <row r="2839" spans="1:19" x14ac:dyDescent="0.25">
      <c r="A2839" s="1">
        <v>2834</v>
      </c>
      <c r="B2839" s="1" t="s">
        <v>2</v>
      </c>
      <c r="C2839" s="1" t="str">
        <f>IF($B2839 = "Production Item", _xlfn.XLOOKUP($A2839, 'Instrument Table'!$J:$J, 'Instrument Table'!$B:$B, $C2838), IF($B2839 = "Service Item", _xlfn.XLOOKUP($A2839, 'Instrument Table'!$I:$I, 'Instrument Table'!$B:$B, $C2838), _xlfn.XLOOKUP($A2839, 'Instrument Table'!$H:$H, 'Instrument Table'!$B:$B, $C2838)))</f>
        <v>Snare Drum</v>
      </c>
      <c r="D2839" s="1" t="str">
        <f>VLOOKUP($C2839, 'Instrument Table'!$B:$C, 2, FALSE)</f>
        <v>Percussion</v>
      </c>
      <c r="E2839" s="1">
        <f t="shared" si="264"/>
        <v>1</v>
      </c>
      <c r="F2839" s="1">
        <f>_xlfn.XLOOKUP($C2839, 'Instrument Table'!$B:$B, 'Instrument Table'!$A:$A, "")</f>
        <v>50</v>
      </c>
      <c r="G2839" s="1" t="str">
        <f>TEXT(IF($B2839 = "Retail Item", IF((ROW($A2839) - 4504 - _xlfn.XMATCH($C2839, $C$4506:$C$5005, 0, 1)) &lt;= VLOOKUP($C2839, 'Instrument Table'!$B:$D, 3, FALSE), ROW($A2839) - 4504 - _xlfn.XMATCH($C2839, $C$4506:$C$5005, 0, 1), 0), 0), "00")</f>
        <v>00</v>
      </c>
      <c r="H2839" s="1" t="str">
        <f t="shared" si="265"/>
        <v>033</v>
      </c>
      <c r="I2839" s="1" t="str">
        <f t="shared" si="266"/>
        <v>15000-033</v>
      </c>
      <c r="J2839" s="1" t="str">
        <f t="shared" si="267"/>
        <v>Snare drum production item #033</v>
      </c>
      <c r="K2839" s="1" t="str">
        <f>IF(SUM(COUNTIFS(I:I, I2839)) &gt; 1, "DUPLICATE", "UNIQUE")</f>
        <v>UNIQUE</v>
      </c>
      <c r="L2839" s="18">
        <v>1</v>
      </c>
      <c r="M2839" s="28">
        <v>39</v>
      </c>
      <c r="N2839" s="6">
        <v>9</v>
      </c>
      <c r="O2839" s="30">
        <f t="shared" si="268"/>
        <v>39</v>
      </c>
      <c r="P2839" s="30">
        <f t="shared" si="269"/>
        <v>351</v>
      </c>
      <c r="Q2839" s="1">
        <f>COUNTIFS($P:$P, "&gt;" &amp; $P2839) + 1</f>
        <v>4155</v>
      </c>
      <c r="R2839" s="63">
        <f>(COUNTIFS($P:$P, "&gt;" &amp; $P2839) + 1) / (COUNTA($I:$I) - 1)</f>
        <v>0.83099999999999996</v>
      </c>
      <c r="S2839" s="23">
        <f>SUMIFS($P:$P, $Q:$Q, "&lt;" &amp; $Q2839)</f>
        <v>186465485</v>
      </c>
    </row>
    <row r="2840" spans="1:19" x14ac:dyDescent="0.25">
      <c r="A2840" s="1">
        <v>2835</v>
      </c>
      <c r="B2840" s="1" t="s">
        <v>2</v>
      </c>
      <c r="C2840" s="1" t="str">
        <f>IF($B2840 = "Production Item", _xlfn.XLOOKUP($A2840, 'Instrument Table'!$J:$J, 'Instrument Table'!$B:$B, $C2839), IF($B2840 = "Service Item", _xlfn.XLOOKUP($A2840, 'Instrument Table'!$I:$I, 'Instrument Table'!$B:$B, $C2839), _xlfn.XLOOKUP($A2840, 'Instrument Table'!$H:$H, 'Instrument Table'!$B:$B, $C2839)))</f>
        <v>Snare Drum</v>
      </c>
      <c r="D2840" s="1" t="str">
        <f>VLOOKUP($C2840, 'Instrument Table'!$B:$C, 2, FALSE)</f>
        <v>Percussion</v>
      </c>
      <c r="E2840" s="1">
        <f t="shared" si="264"/>
        <v>1</v>
      </c>
      <c r="F2840" s="1">
        <f>_xlfn.XLOOKUP($C2840, 'Instrument Table'!$B:$B, 'Instrument Table'!$A:$A, "")</f>
        <v>50</v>
      </c>
      <c r="G2840" s="1" t="str">
        <f>TEXT(IF($B2840 = "Retail Item", IF((ROW($A2840) - 4504 - _xlfn.XMATCH($C2840, $C$4506:$C$5005, 0, 1)) &lt;= VLOOKUP($C2840, 'Instrument Table'!$B:$D, 3, FALSE), ROW($A2840) - 4504 - _xlfn.XMATCH($C2840, $C$4506:$C$5005, 0, 1), 0), 0), "00")</f>
        <v>00</v>
      </c>
      <c r="H2840" s="1" t="str">
        <f t="shared" si="265"/>
        <v>034</v>
      </c>
      <c r="I2840" s="1" t="str">
        <f t="shared" si="266"/>
        <v>15000-034</v>
      </c>
      <c r="J2840" s="1" t="str">
        <f t="shared" si="267"/>
        <v>Snare drum production item #034</v>
      </c>
      <c r="K2840" s="1" t="str">
        <f>IF(SUM(COUNTIFS(I:I, I2840)) &gt; 1, "DUPLICATE", "UNIQUE")</f>
        <v>UNIQUE</v>
      </c>
      <c r="L2840" s="18">
        <v>16</v>
      </c>
      <c r="M2840" s="28">
        <v>3</v>
      </c>
      <c r="N2840" s="6">
        <v>0</v>
      </c>
      <c r="O2840" s="30">
        <f t="shared" si="268"/>
        <v>48</v>
      </c>
      <c r="P2840" s="30">
        <f t="shared" si="269"/>
        <v>0</v>
      </c>
      <c r="Q2840" s="1">
        <f>COUNTIFS($P:$P, "&gt;" &amp; $P2840) + 1</f>
        <v>4746</v>
      </c>
      <c r="R2840" s="63">
        <f>(COUNTIFS($P:$P, "&gt;" &amp; $P2840) + 1) / (COUNTA($I:$I) - 1)</f>
        <v>0.94920000000000004</v>
      </c>
      <c r="S2840" s="23">
        <f>SUMIFS($P:$P, $Q:$Q, "&lt;" &amp; $Q2840)</f>
        <v>186547861</v>
      </c>
    </row>
    <row r="2841" spans="1:19" x14ac:dyDescent="0.25">
      <c r="A2841" s="1">
        <v>2836</v>
      </c>
      <c r="B2841" s="1" t="s">
        <v>2</v>
      </c>
      <c r="C2841" s="1" t="str">
        <f>IF($B2841 = "Production Item", _xlfn.XLOOKUP($A2841, 'Instrument Table'!$J:$J, 'Instrument Table'!$B:$B, $C2840), IF($B2841 = "Service Item", _xlfn.XLOOKUP($A2841, 'Instrument Table'!$I:$I, 'Instrument Table'!$B:$B, $C2840), _xlfn.XLOOKUP($A2841, 'Instrument Table'!$H:$H, 'Instrument Table'!$B:$B, $C2840)))</f>
        <v>Snare Drum</v>
      </c>
      <c r="D2841" s="1" t="str">
        <f>VLOOKUP($C2841, 'Instrument Table'!$B:$C, 2, FALSE)</f>
        <v>Percussion</v>
      </c>
      <c r="E2841" s="1">
        <f t="shared" si="264"/>
        <v>1</v>
      </c>
      <c r="F2841" s="1">
        <f>_xlfn.XLOOKUP($C2841, 'Instrument Table'!$B:$B, 'Instrument Table'!$A:$A, "")</f>
        <v>50</v>
      </c>
      <c r="G2841" s="1" t="str">
        <f>TEXT(IF($B2841 = "Retail Item", IF((ROW($A2841) - 4504 - _xlfn.XMATCH($C2841, $C$4506:$C$5005, 0, 1)) &lt;= VLOOKUP($C2841, 'Instrument Table'!$B:$D, 3, FALSE), ROW($A2841) - 4504 - _xlfn.XMATCH($C2841, $C$4506:$C$5005, 0, 1), 0), 0), "00")</f>
        <v>00</v>
      </c>
      <c r="H2841" s="1" t="str">
        <f t="shared" si="265"/>
        <v>035</v>
      </c>
      <c r="I2841" s="1" t="str">
        <f t="shared" si="266"/>
        <v>15000-035</v>
      </c>
      <c r="J2841" s="1" t="str">
        <f t="shared" si="267"/>
        <v>Snare drum production item #035</v>
      </c>
      <c r="K2841" s="1" t="str">
        <f>IF(SUM(COUNTIFS(I:I, I2841)) &gt; 1, "DUPLICATE", "UNIQUE")</f>
        <v>UNIQUE</v>
      </c>
      <c r="L2841" s="18">
        <v>0</v>
      </c>
      <c r="M2841" s="28">
        <v>58</v>
      </c>
      <c r="N2841" s="6">
        <v>361</v>
      </c>
      <c r="O2841" s="30">
        <f t="shared" si="268"/>
        <v>0</v>
      </c>
      <c r="P2841" s="30">
        <f t="shared" si="269"/>
        <v>20938</v>
      </c>
      <c r="Q2841" s="1">
        <f>COUNTIFS($P:$P, "&gt;" &amp; $P2841) + 1</f>
        <v>1009</v>
      </c>
      <c r="R2841" s="63">
        <f>(COUNTIFS($P:$P, "&gt;" &amp; $P2841) + 1) / (COUNTA($I:$I) - 1)</f>
        <v>0.20180000000000001</v>
      </c>
      <c r="S2841" s="23">
        <f>SUMIFS($P:$P, $Q:$Q, "&lt;" &amp; $Q2841)</f>
        <v>166680456</v>
      </c>
    </row>
    <row r="2842" spans="1:19" x14ac:dyDescent="0.25">
      <c r="A2842" s="1">
        <v>2837</v>
      </c>
      <c r="B2842" s="1" t="s">
        <v>2</v>
      </c>
      <c r="C2842" s="1" t="str">
        <f>IF($B2842 = "Production Item", _xlfn.XLOOKUP($A2842, 'Instrument Table'!$J:$J, 'Instrument Table'!$B:$B, $C2841), IF($B2842 = "Service Item", _xlfn.XLOOKUP($A2842, 'Instrument Table'!$I:$I, 'Instrument Table'!$B:$B, $C2841), _xlfn.XLOOKUP($A2842, 'Instrument Table'!$H:$H, 'Instrument Table'!$B:$B, $C2841)))</f>
        <v>Snare Drum</v>
      </c>
      <c r="D2842" s="1" t="str">
        <f>VLOOKUP($C2842, 'Instrument Table'!$B:$C, 2, FALSE)</f>
        <v>Percussion</v>
      </c>
      <c r="E2842" s="1">
        <f t="shared" si="264"/>
        <v>1</v>
      </c>
      <c r="F2842" s="1">
        <f>_xlfn.XLOOKUP($C2842, 'Instrument Table'!$B:$B, 'Instrument Table'!$A:$A, "")</f>
        <v>50</v>
      </c>
      <c r="G2842" s="1" t="str">
        <f>TEXT(IF($B2842 = "Retail Item", IF((ROW($A2842) - 4504 - _xlfn.XMATCH($C2842, $C$4506:$C$5005, 0, 1)) &lt;= VLOOKUP($C2842, 'Instrument Table'!$B:$D, 3, FALSE), ROW($A2842) - 4504 - _xlfn.XMATCH($C2842, $C$4506:$C$5005, 0, 1), 0), 0), "00")</f>
        <v>00</v>
      </c>
      <c r="H2842" s="1" t="str">
        <f t="shared" si="265"/>
        <v>036</v>
      </c>
      <c r="I2842" s="1" t="str">
        <f t="shared" si="266"/>
        <v>15000-036</v>
      </c>
      <c r="J2842" s="1" t="str">
        <f t="shared" si="267"/>
        <v>Snare drum production item #036</v>
      </c>
      <c r="K2842" s="1" t="str">
        <f>IF(SUM(COUNTIFS(I:I, I2842)) &gt; 1, "DUPLICATE", "UNIQUE")</f>
        <v>UNIQUE</v>
      </c>
      <c r="L2842" s="18">
        <v>1</v>
      </c>
      <c r="M2842" s="28">
        <v>33</v>
      </c>
      <c r="N2842" s="6">
        <v>4</v>
      </c>
      <c r="O2842" s="30">
        <f t="shared" si="268"/>
        <v>33</v>
      </c>
      <c r="P2842" s="30">
        <f t="shared" si="269"/>
        <v>132</v>
      </c>
      <c r="Q2842" s="1">
        <f>COUNTIFS($P:$P, "&gt;" &amp; $P2842) + 1</f>
        <v>4415</v>
      </c>
      <c r="R2842" s="63">
        <f>(COUNTIFS($P:$P, "&gt;" &amp; $P2842) + 1) / (COUNTA($I:$I) - 1)</f>
        <v>0.88300000000000001</v>
      </c>
      <c r="S2842" s="23">
        <f>SUMIFS($P:$P, $Q:$Q, "&lt;" &amp; $Q2842)</f>
        <v>186528121</v>
      </c>
    </row>
    <row r="2843" spans="1:19" x14ac:dyDescent="0.25">
      <c r="A2843" s="1">
        <v>2838</v>
      </c>
      <c r="B2843" s="1" t="s">
        <v>2</v>
      </c>
      <c r="C2843" s="1" t="str">
        <f>IF($B2843 = "Production Item", _xlfn.XLOOKUP($A2843, 'Instrument Table'!$J:$J, 'Instrument Table'!$B:$B, $C2842), IF($B2843 = "Service Item", _xlfn.XLOOKUP($A2843, 'Instrument Table'!$I:$I, 'Instrument Table'!$B:$B, $C2842), _xlfn.XLOOKUP($A2843, 'Instrument Table'!$H:$H, 'Instrument Table'!$B:$B, $C2842)))</f>
        <v>Snare Drum</v>
      </c>
      <c r="D2843" s="1" t="str">
        <f>VLOOKUP($C2843, 'Instrument Table'!$B:$C, 2, FALSE)</f>
        <v>Percussion</v>
      </c>
      <c r="E2843" s="1">
        <f t="shared" si="264"/>
        <v>1</v>
      </c>
      <c r="F2843" s="1">
        <f>_xlfn.XLOOKUP($C2843, 'Instrument Table'!$B:$B, 'Instrument Table'!$A:$A, "")</f>
        <v>50</v>
      </c>
      <c r="G2843" s="1" t="str">
        <f>TEXT(IF($B2843 = "Retail Item", IF((ROW($A2843) - 4504 - _xlfn.XMATCH($C2843, $C$4506:$C$5005, 0, 1)) &lt;= VLOOKUP($C2843, 'Instrument Table'!$B:$D, 3, FALSE), ROW($A2843) - 4504 - _xlfn.XMATCH($C2843, $C$4506:$C$5005, 0, 1), 0), 0), "00")</f>
        <v>00</v>
      </c>
      <c r="H2843" s="1" t="str">
        <f t="shared" si="265"/>
        <v>037</v>
      </c>
      <c r="I2843" s="1" t="str">
        <f t="shared" si="266"/>
        <v>15000-037</v>
      </c>
      <c r="J2843" s="1" t="str">
        <f t="shared" si="267"/>
        <v>Snare drum production item #037</v>
      </c>
      <c r="K2843" s="1" t="str">
        <f>IF(SUM(COUNTIFS(I:I, I2843)) &gt; 1, "DUPLICATE", "UNIQUE")</f>
        <v>UNIQUE</v>
      </c>
      <c r="L2843" s="18">
        <v>0</v>
      </c>
      <c r="M2843" s="28">
        <v>40</v>
      </c>
      <c r="N2843" s="6">
        <v>64</v>
      </c>
      <c r="O2843" s="30">
        <f t="shared" si="268"/>
        <v>0</v>
      </c>
      <c r="P2843" s="30">
        <f t="shared" si="269"/>
        <v>2560</v>
      </c>
      <c r="Q2843" s="1">
        <f>COUNTIFS($P:$P, "&gt;" &amp; $P2843) + 1</f>
        <v>3025</v>
      </c>
      <c r="R2843" s="63">
        <f>(COUNTIFS($P:$P, "&gt;" &amp; $P2843) + 1) / (COUNTA($I:$I) - 1)</f>
        <v>0.60499999999999998</v>
      </c>
      <c r="S2843" s="23">
        <f>SUMIFS($P:$P, $Q:$Q, "&lt;" &amp; $Q2843)</f>
        <v>184997138</v>
      </c>
    </row>
    <row r="2844" spans="1:19" x14ac:dyDescent="0.25">
      <c r="A2844" s="1">
        <v>2839</v>
      </c>
      <c r="B2844" s="1" t="s">
        <v>2</v>
      </c>
      <c r="C2844" s="1" t="str">
        <f>IF($B2844 = "Production Item", _xlfn.XLOOKUP($A2844, 'Instrument Table'!$J:$J, 'Instrument Table'!$B:$B, $C2843), IF($B2844 = "Service Item", _xlfn.XLOOKUP($A2844, 'Instrument Table'!$I:$I, 'Instrument Table'!$B:$B, $C2843), _xlfn.XLOOKUP($A2844, 'Instrument Table'!$H:$H, 'Instrument Table'!$B:$B, $C2843)))</f>
        <v>Snare Drum</v>
      </c>
      <c r="D2844" s="1" t="str">
        <f>VLOOKUP($C2844, 'Instrument Table'!$B:$C, 2, FALSE)</f>
        <v>Percussion</v>
      </c>
      <c r="E2844" s="1">
        <f t="shared" si="264"/>
        <v>1</v>
      </c>
      <c r="F2844" s="1">
        <f>_xlfn.XLOOKUP($C2844, 'Instrument Table'!$B:$B, 'Instrument Table'!$A:$A, "")</f>
        <v>50</v>
      </c>
      <c r="G2844" s="1" t="str">
        <f>TEXT(IF($B2844 = "Retail Item", IF((ROW($A2844) - 4504 - _xlfn.XMATCH($C2844, $C$4506:$C$5005, 0, 1)) &lt;= VLOOKUP($C2844, 'Instrument Table'!$B:$D, 3, FALSE), ROW($A2844) - 4504 - _xlfn.XMATCH($C2844, $C$4506:$C$5005, 0, 1), 0), 0), "00")</f>
        <v>00</v>
      </c>
      <c r="H2844" s="1" t="str">
        <f t="shared" si="265"/>
        <v>038</v>
      </c>
      <c r="I2844" s="1" t="str">
        <f t="shared" si="266"/>
        <v>15000-038</v>
      </c>
      <c r="J2844" s="1" t="str">
        <f t="shared" si="267"/>
        <v>Snare drum production item #038</v>
      </c>
      <c r="K2844" s="1" t="str">
        <f>IF(SUM(COUNTIFS(I:I, I2844)) &gt; 1, "DUPLICATE", "UNIQUE")</f>
        <v>UNIQUE</v>
      </c>
      <c r="L2844" s="18">
        <v>0</v>
      </c>
      <c r="M2844" s="28">
        <v>22</v>
      </c>
      <c r="N2844" s="6">
        <v>121</v>
      </c>
      <c r="O2844" s="30">
        <f t="shared" si="268"/>
        <v>0</v>
      </c>
      <c r="P2844" s="30">
        <f t="shared" si="269"/>
        <v>2662</v>
      </c>
      <c r="Q2844" s="1">
        <f>COUNTIFS($P:$P, "&gt;" &amp; $P2844) + 1</f>
        <v>2994</v>
      </c>
      <c r="R2844" s="63">
        <f>(COUNTIFS($P:$P, "&gt;" &amp; $P2844) + 1) / (COUNTA($I:$I) - 1)</f>
        <v>0.5988</v>
      </c>
      <c r="S2844" s="23">
        <f>SUMIFS($P:$P, $Q:$Q, "&lt;" &amp; $Q2844)</f>
        <v>184916158</v>
      </c>
    </row>
    <row r="2845" spans="1:19" x14ac:dyDescent="0.25">
      <c r="A2845" s="1">
        <v>2840</v>
      </c>
      <c r="B2845" s="1" t="s">
        <v>2</v>
      </c>
      <c r="C2845" s="1" t="str">
        <f>IF($B2845 = "Production Item", _xlfn.XLOOKUP($A2845, 'Instrument Table'!$J:$J, 'Instrument Table'!$B:$B, $C2844), IF($B2845 = "Service Item", _xlfn.XLOOKUP($A2845, 'Instrument Table'!$I:$I, 'Instrument Table'!$B:$B, $C2844), _xlfn.XLOOKUP($A2845, 'Instrument Table'!$H:$H, 'Instrument Table'!$B:$B, $C2844)))</f>
        <v>Snare Drum</v>
      </c>
      <c r="D2845" s="1" t="str">
        <f>VLOOKUP($C2845, 'Instrument Table'!$B:$C, 2, FALSE)</f>
        <v>Percussion</v>
      </c>
      <c r="E2845" s="1">
        <f t="shared" si="264"/>
        <v>1</v>
      </c>
      <c r="F2845" s="1">
        <f>_xlfn.XLOOKUP($C2845, 'Instrument Table'!$B:$B, 'Instrument Table'!$A:$A, "")</f>
        <v>50</v>
      </c>
      <c r="G2845" s="1" t="str">
        <f>TEXT(IF($B2845 = "Retail Item", IF((ROW($A2845) - 4504 - _xlfn.XMATCH($C2845, $C$4506:$C$5005, 0, 1)) &lt;= VLOOKUP($C2845, 'Instrument Table'!$B:$D, 3, FALSE), ROW($A2845) - 4504 - _xlfn.XMATCH($C2845, $C$4506:$C$5005, 0, 1), 0), 0), "00")</f>
        <v>00</v>
      </c>
      <c r="H2845" s="1" t="str">
        <f t="shared" si="265"/>
        <v>039</v>
      </c>
      <c r="I2845" s="1" t="str">
        <f t="shared" si="266"/>
        <v>15000-039</v>
      </c>
      <c r="J2845" s="1" t="str">
        <f t="shared" si="267"/>
        <v>Snare drum production item #039</v>
      </c>
      <c r="K2845" s="1" t="str">
        <f>IF(SUM(COUNTIFS(I:I, I2845)) &gt; 1, "DUPLICATE", "UNIQUE")</f>
        <v>UNIQUE</v>
      </c>
      <c r="L2845" s="18">
        <v>8</v>
      </c>
      <c r="M2845" s="28">
        <v>55</v>
      </c>
      <c r="N2845" s="6">
        <v>1</v>
      </c>
      <c r="O2845" s="30">
        <f t="shared" si="268"/>
        <v>440</v>
      </c>
      <c r="P2845" s="30">
        <f t="shared" si="269"/>
        <v>55</v>
      </c>
      <c r="Q2845" s="1">
        <f>COUNTIFS($P:$P, "&gt;" &amp; $P2845) + 1</f>
        <v>4594</v>
      </c>
      <c r="R2845" s="63">
        <f>(COUNTIFS($P:$P, "&gt;" &amp; $P2845) + 1) / (COUNTA($I:$I) - 1)</f>
        <v>0.91879999999999995</v>
      </c>
      <c r="S2845" s="23">
        <f>SUMIFS($P:$P, $Q:$Q, "&lt;" &amp; $Q2845)</f>
        <v>186543368</v>
      </c>
    </row>
    <row r="2846" spans="1:19" x14ac:dyDescent="0.25">
      <c r="A2846" s="1">
        <v>2841</v>
      </c>
      <c r="B2846" s="1" t="s">
        <v>2</v>
      </c>
      <c r="C2846" s="1" t="str">
        <f>IF($B2846 = "Production Item", _xlfn.XLOOKUP($A2846, 'Instrument Table'!$J:$J, 'Instrument Table'!$B:$B, $C2845), IF($B2846 = "Service Item", _xlfn.XLOOKUP($A2846, 'Instrument Table'!$I:$I, 'Instrument Table'!$B:$B, $C2845), _xlfn.XLOOKUP($A2846, 'Instrument Table'!$H:$H, 'Instrument Table'!$B:$B, $C2845)))</f>
        <v>Snare Drum</v>
      </c>
      <c r="D2846" s="1" t="str">
        <f>VLOOKUP($C2846, 'Instrument Table'!$B:$C, 2, FALSE)</f>
        <v>Percussion</v>
      </c>
      <c r="E2846" s="1">
        <f t="shared" si="264"/>
        <v>1</v>
      </c>
      <c r="F2846" s="1">
        <f>_xlfn.XLOOKUP($C2846, 'Instrument Table'!$B:$B, 'Instrument Table'!$A:$A, "")</f>
        <v>50</v>
      </c>
      <c r="G2846" s="1" t="str">
        <f>TEXT(IF($B2846 = "Retail Item", IF((ROW($A2846) - 4504 - _xlfn.XMATCH($C2846, $C$4506:$C$5005, 0, 1)) &lt;= VLOOKUP($C2846, 'Instrument Table'!$B:$D, 3, FALSE), ROW($A2846) - 4504 - _xlfn.XMATCH($C2846, $C$4506:$C$5005, 0, 1), 0), 0), "00")</f>
        <v>00</v>
      </c>
      <c r="H2846" s="1" t="str">
        <f t="shared" si="265"/>
        <v>040</v>
      </c>
      <c r="I2846" s="1" t="str">
        <f t="shared" si="266"/>
        <v>15000-040</v>
      </c>
      <c r="J2846" s="1" t="str">
        <f t="shared" si="267"/>
        <v>Snare drum production item #040</v>
      </c>
      <c r="K2846" s="1" t="str">
        <f>IF(SUM(COUNTIFS(I:I, I2846)) &gt; 1, "DUPLICATE", "UNIQUE")</f>
        <v>UNIQUE</v>
      </c>
      <c r="L2846" s="18">
        <v>8</v>
      </c>
      <c r="M2846" s="28">
        <v>85</v>
      </c>
      <c r="N2846" s="6">
        <v>64</v>
      </c>
      <c r="O2846" s="30">
        <f t="shared" si="268"/>
        <v>680</v>
      </c>
      <c r="P2846" s="30">
        <f t="shared" si="269"/>
        <v>5440</v>
      </c>
      <c r="Q2846" s="1">
        <f>COUNTIFS($P:$P, "&gt;" &amp; $P2846) + 1</f>
        <v>2364</v>
      </c>
      <c r="R2846" s="63">
        <f>(COUNTIFS($P:$P, "&gt;" &amp; $P2846) + 1) / (COUNTA($I:$I) - 1)</f>
        <v>0.4728</v>
      </c>
      <c r="S2846" s="23">
        <f>SUMIFS($P:$P, $Q:$Q, "&lt;" &amp; $Q2846)</f>
        <v>182424297</v>
      </c>
    </row>
    <row r="2847" spans="1:19" x14ac:dyDescent="0.25">
      <c r="A2847" s="1">
        <v>2842</v>
      </c>
      <c r="B2847" s="1" t="s">
        <v>2</v>
      </c>
      <c r="C2847" s="1" t="str">
        <f>IF($B2847 = "Production Item", _xlfn.XLOOKUP($A2847, 'Instrument Table'!$J:$J, 'Instrument Table'!$B:$B, $C2846), IF($B2847 = "Service Item", _xlfn.XLOOKUP($A2847, 'Instrument Table'!$I:$I, 'Instrument Table'!$B:$B, $C2846), _xlfn.XLOOKUP($A2847, 'Instrument Table'!$H:$H, 'Instrument Table'!$B:$B, $C2846)))</f>
        <v>Snare Drum</v>
      </c>
      <c r="D2847" s="1" t="str">
        <f>VLOOKUP($C2847, 'Instrument Table'!$B:$C, 2, FALSE)</f>
        <v>Percussion</v>
      </c>
      <c r="E2847" s="1">
        <f t="shared" si="264"/>
        <v>1</v>
      </c>
      <c r="F2847" s="1">
        <f>_xlfn.XLOOKUP($C2847, 'Instrument Table'!$B:$B, 'Instrument Table'!$A:$A, "")</f>
        <v>50</v>
      </c>
      <c r="G2847" s="1" t="str">
        <f>TEXT(IF($B2847 = "Retail Item", IF((ROW($A2847) - 4504 - _xlfn.XMATCH($C2847, $C$4506:$C$5005, 0, 1)) &lt;= VLOOKUP($C2847, 'Instrument Table'!$B:$D, 3, FALSE), ROW($A2847) - 4504 - _xlfn.XMATCH($C2847, $C$4506:$C$5005, 0, 1), 0), 0), "00")</f>
        <v>00</v>
      </c>
      <c r="H2847" s="1" t="str">
        <f t="shared" si="265"/>
        <v>041</v>
      </c>
      <c r="I2847" s="1" t="str">
        <f t="shared" si="266"/>
        <v>15000-041</v>
      </c>
      <c r="J2847" s="1" t="str">
        <f t="shared" si="267"/>
        <v>Snare drum production item #041</v>
      </c>
      <c r="K2847" s="1" t="str">
        <f>IF(SUM(COUNTIFS(I:I, I2847)) &gt; 1, "DUPLICATE", "UNIQUE")</f>
        <v>UNIQUE</v>
      </c>
      <c r="L2847" s="18">
        <v>8</v>
      </c>
      <c r="M2847" s="28">
        <v>17</v>
      </c>
      <c r="N2847" s="6">
        <v>64</v>
      </c>
      <c r="O2847" s="30">
        <f t="shared" si="268"/>
        <v>136</v>
      </c>
      <c r="P2847" s="30">
        <f t="shared" si="269"/>
        <v>1088</v>
      </c>
      <c r="Q2847" s="1">
        <f>COUNTIFS($P:$P, "&gt;" &amp; $P2847) + 1</f>
        <v>3650</v>
      </c>
      <c r="R2847" s="63">
        <f>(COUNTIFS($P:$P, "&gt;" &amp; $P2847) + 1) / (COUNTA($I:$I) - 1)</f>
        <v>0.73</v>
      </c>
      <c r="S2847" s="23">
        <f>SUMIFS($P:$P, $Q:$Q, "&lt;" &amp; $Q2847)</f>
        <v>186127811</v>
      </c>
    </row>
    <row r="2848" spans="1:19" x14ac:dyDescent="0.25">
      <c r="A2848" s="1">
        <v>2843</v>
      </c>
      <c r="B2848" s="1" t="s">
        <v>2</v>
      </c>
      <c r="C2848" s="1" t="str">
        <f>IF($B2848 = "Production Item", _xlfn.XLOOKUP($A2848, 'Instrument Table'!$J:$J, 'Instrument Table'!$B:$B, $C2847), IF($B2848 = "Service Item", _xlfn.XLOOKUP($A2848, 'Instrument Table'!$I:$I, 'Instrument Table'!$B:$B, $C2847), _xlfn.XLOOKUP($A2848, 'Instrument Table'!$H:$H, 'Instrument Table'!$B:$B, $C2847)))</f>
        <v>Snare Drum</v>
      </c>
      <c r="D2848" s="1" t="str">
        <f>VLOOKUP($C2848, 'Instrument Table'!$B:$C, 2, FALSE)</f>
        <v>Percussion</v>
      </c>
      <c r="E2848" s="1">
        <f t="shared" si="264"/>
        <v>1</v>
      </c>
      <c r="F2848" s="1">
        <f>_xlfn.XLOOKUP($C2848, 'Instrument Table'!$B:$B, 'Instrument Table'!$A:$A, "")</f>
        <v>50</v>
      </c>
      <c r="G2848" s="1" t="str">
        <f>TEXT(IF($B2848 = "Retail Item", IF((ROW($A2848) - 4504 - _xlfn.XMATCH($C2848, $C$4506:$C$5005, 0, 1)) &lt;= VLOOKUP($C2848, 'Instrument Table'!$B:$D, 3, FALSE), ROW($A2848) - 4504 - _xlfn.XMATCH($C2848, $C$4506:$C$5005, 0, 1), 0), 0), "00")</f>
        <v>00</v>
      </c>
      <c r="H2848" s="1" t="str">
        <f t="shared" si="265"/>
        <v>042</v>
      </c>
      <c r="I2848" s="1" t="str">
        <f t="shared" si="266"/>
        <v>15000-042</v>
      </c>
      <c r="J2848" s="1" t="str">
        <f t="shared" si="267"/>
        <v>Snare drum production item #042</v>
      </c>
      <c r="K2848" s="1" t="str">
        <f>IF(SUM(COUNTIFS(I:I, I2848)) &gt; 1, "DUPLICATE", "UNIQUE")</f>
        <v>UNIQUE</v>
      </c>
      <c r="L2848" s="18">
        <v>2</v>
      </c>
      <c r="M2848" s="28">
        <v>13</v>
      </c>
      <c r="N2848" s="6">
        <v>121</v>
      </c>
      <c r="O2848" s="30">
        <f t="shared" si="268"/>
        <v>26</v>
      </c>
      <c r="P2848" s="30">
        <f t="shared" si="269"/>
        <v>1573</v>
      </c>
      <c r="Q2848" s="1">
        <f>COUNTIFS($P:$P, "&gt;" &amp; $P2848) + 1</f>
        <v>3430</v>
      </c>
      <c r="R2848" s="63">
        <f>(COUNTIFS($P:$P, "&gt;" &amp; $P2848) + 1) / (COUNTA($I:$I) - 1)</f>
        <v>0.68600000000000005</v>
      </c>
      <c r="S2848" s="23">
        <f>SUMIFS($P:$P, $Q:$Q, "&lt;" &amp; $Q2848)</f>
        <v>185832729</v>
      </c>
    </row>
    <row r="2849" spans="1:19" x14ac:dyDescent="0.25">
      <c r="A2849" s="1">
        <v>2844</v>
      </c>
      <c r="B2849" s="1" t="s">
        <v>2</v>
      </c>
      <c r="C2849" s="1" t="str">
        <f>IF($B2849 = "Production Item", _xlfn.XLOOKUP($A2849, 'Instrument Table'!$J:$J, 'Instrument Table'!$B:$B, $C2848), IF($B2849 = "Service Item", _xlfn.XLOOKUP($A2849, 'Instrument Table'!$I:$I, 'Instrument Table'!$B:$B, $C2848), _xlfn.XLOOKUP($A2849, 'Instrument Table'!$H:$H, 'Instrument Table'!$B:$B, $C2848)))</f>
        <v>Snare Drum</v>
      </c>
      <c r="D2849" s="1" t="str">
        <f>VLOOKUP($C2849, 'Instrument Table'!$B:$C, 2, FALSE)</f>
        <v>Percussion</v>
      </c>
      <c r="E2849" s="1">
        <f t="shared" si="264"/>
        <v>1</v>
      </c>
      <c r="F2849" s="1">
        <f>_xlfn.XLOOKUP($C2849, 'Instrument Table'!$B:$B, 'Instrument Table'!$A:$A, "")</f>
        <v>50</v>
      </c>
      <c r="G2849" s="1" t="str">
        <f>TEXT(IF($B2849 = "Retail Item", IF((ROW($A2849) - 4504 - _xlfn.XMATCH($C2849, $C$4506:$C$5005, 0, 1)) &lt;= VLOOKUP($C2849, 'Instrument Table'!$B:$D, 3, FALSE), ROW($A2849) - 4504 - _xlfn.XMATCH($C2849, $C$4506:$C$5005, 0, 1), 0), 0), "00")</f>
        <v>00</v>
      </c>
      <c r="H2849" s="1" t="str">
        <f t="shared" si="265"/>
        <v>043</v>
      </c>
      <c r="I2849" s="1" t="str">
        <f t="shared" si="266"/>
        <v>15000-043</v>
      </c>
      <c r="J2849" s="1" t="str">
        <f t="shared" si="267"/>
        <v>Snare drum production item #043</v>
      </c>
      <c r="K2849" s="1" t="str">
        <f>IF(SUM(COUNTIFS(I:I, I2849)) &gt; 1, "DUPLICATE", "UNIQUE")</f>
        <v>UNIQUE</v>
      </c>
      <c r="L2849" s="18">
        <v>0</v>
      </c>
      <c r="M2849" s="28">
        <v>85</v>
      </c>
      <c r="N2849" s="6">
        <v>144</v>
      </c>
      <c r="O2849" s="30">
        <f t="shared" si="268"/>
        <v>0</v>
      </c>
      <c r="P2849" s="30">
        <f t="shared" si="269"/>
        <v>12240</v>
      </c>
      <c r="Q2849" s="1">
        <f>COUNTIFS($P:$P, "&gt;" &amp; $P2849) + 1</f>
        <v>1558</v>
      </c>
      <c r="R2849" s="63">
        <f>(COUNTIFS($P:$P, "&gt;" &amp; $P2849) + 1) / (COUNTA($I:$I) - 1)</f>
        <v>0.31159999999999999</v>
      </c>
      <c r="S2849" s="23">
        <f>SUMIFS($P:$P, $Q:$Q, "&lt;" &amp; $Q2849)</f>
        <v>175573402</v>
      </c>
    </row>
    <row r="2850" spans="1:19" x14ac:dyDescent="0.25">
      <c r="A2850" s="1">
        <v>2845</v>
      </c>
      <c r="B2850" s="1" t="s">
        <v>2</v>
      </c>
      <c r="C2850" s="1" t="str">
        <f>IF($B2850 = "Production Item", _xlfn.XLOOKUP($A2850, 'Instrument Table'!$J:$J, 'Instrument Table'!$B:$B, $C2849), IF($B2850 = "Service Item", _xlfn.XLOOKUP($A2850, 'Instrument Table'!$I:$I, 'Instrument Table'!$B:$B, $C2849), _xlfn.XLOOKUP($A2850, 'Instrument Table'!$H:$H, 'Instrument Table'!$B:$B, $C2849)))</f>
        <v>Snare Drum</v>
      </c>
      <c r="D2850" s="1" t="str">
        <f>VLOOKUP($C2850, 'Instrument Table'!$B:$C, 2, FALSE)</f>
        <v>Percussion</v>
      </c>
      <c r="E2850" s="1">
        <f t="shared" si="264"/>
        <v>1</v>
      </c>
      <c r="F2850" s="1">
        <f>_xlfn.XLOOKUP($C2850, 'Instrument Table'!$B:$B, 'Instrument Table'!$A:$A, "")</f>
        <v>50</v>
      </c>
      <c r="G2850" s="1" t="str">
        <f>TEXT(IF($B2850 = "Retail Item", IF((ROW($A2850) - 4504 - _xlfn.XMATCH($C2850, $C$4506:$C$5005, 0, 1)) &lt;= VLOOKUP($C2850, 'Instrument Table'!$B:$D, 3, FALSE), ROW($A2850) - 4504 - _xlfn.XMATCH($C2850, $C$4506:$C$5005, 0, 1), 0), 0), "00")</f>
        <v>00</v>
      </c>
      <c r="H2850" s="1" t="str">
        <f t="shared" si="265"/>
        <v>044</v>
      </c>
      <c r="I2850" s="1" t="str">
        <f t="shared" si="266"/>
        <v>15000-044</v>
      </c>
      <c r="J2850" s="1" t="str">
        <f t="shared" si="267"/>
        <v>Snare drum production item #044</v>
      </c>
      <c r="K2850" s="1" t="str">
        <f>IF(SUM(COUNTIFS(I:I, I2850)) &gt; 1, "DUPLICATE", "UNIQUE")</f>
        <v>UNIQUE</v>
      </c>
      <c r="L2850" s="18">
        <v>8</v>
      </c>
      <c r="M2850" s="28">
        <v>78</v>
      </c>
      <c r="N2850" s="6">
        <v>225</v>
      </c>
      <c r="O2850" s="30">
        <f t="shared" si="268"/>
        <v>624</v>
      </c>
      <c r="P2850" s="30">
        <f t="shared" si="269"/>
        <v>17550</v>
      </c>
      <c r="Q2850" s="1">
        <f>COUNTIFS($P:$P, "&gt;" &amp; $P2850) + 1</f>
        <v>1187</v>
      </c>
      <c r="R2850" s="63">
        <f>(COUNTIFS($P:$P, "&gt;" &amp; $P2850) + 1) / (COUNTA($I:$I) - 1)</f>
        <v>0.2374</v>
      </c>
      <c r="S2850" s="23">
        <f>SUMIFS($P:$P, $Q:$Q, "&lt;" &amp; $Q2850)</f>
        <v>170099245</v>
      </c>
    </row>
    <row r="2851" spans="1:19" x14ac:dyDescent="0.25">
      <c r="A2851" s="1">
        <v>2846</v>
      </c>
      <c r="B2851" s="1" t="s">
        <v>2</v>
      </c>
      <c r="C2851" s="1" t="str">
        <f>IF($B2851 = "Production Item", _xlfn.XLOOKUP($A2851, 'Instrument Table'!$J:$J, 'Instrument Table'!$B:$B, $C2850), IF($B2851 = "Service Item", _xlfn.XLOOKUP($A2851, 'Instrument Table'!$I:$I, 'Instrument Table'!$B:$B, $C2850), _xlfn.XLOOKUP($A2851, 'Instrument Table'!$H:$H, 'Instrument Table'!$B:$B, $C2850)))</f>
        <v>Snare Drum</v>
      </c>
      <c r="D2851" s="1" t="str">
        <f>VLOOKUP($C2851, 'Instrument Table'!$B:$C, 2, FALSE)</f>
        <v>Percussion</v>
      </c>
      <c r="E2851" s="1">
        <f t="shared" si="264"/>
        <v>1</v>
      </c>
      <c r="F2851" s="1">
        <f>_xlfn.XLOOKUP($C2851, 'Instrument Table'!$B:$B, 'Instrument Table'!$A:$A, "")</f>
        <v>50</v>
      </c>
      <c r="G2851" s="1" t="str">
        <f>TEXT(IF($B2851 = "Retail Item", IF((ROW($A2851) - 4504 - _xlfn.XMATCH($C2851, $C$4506:$C$5005, 0, 1)) &lt;= VLOOKUP($C2851, 'Instrument Table'!$B:$D, 3, FALSE), ROW($A2851) - 4504 - _xlfn.XMATCH($C2851, $C$4506:$C$5005, 0, 1), 0), 0), "00")</f>
        <v>00</v>
      </c>
      <c r="H2851" s="1" t="str">
        <f t="shared" si="265"/>
        <v>045</v>
      </c>
      <c r="I2851" s="1" t="str">
        <f t="shared" si="266"/>
        <v>15000-045</v>
      </c>
      <c r="J2851" s="1" t="str">
        <f t="shared" si="267"/>
        <v>Snare drum production item #045</v>
      </c>
      <c r="K2851" s="1" t="str">
        <f>IF(SUM(COUNTIFS(I:I, I2851)) &gt; 1, "DUPLICATE", "UNIQUE")</f>
        <v>UNIQUE</v>
      </c>
      <c r="L2851" s="18">
        <v>0</v>
      </c>
      <c r="M2851" s="28">
        <v>37</v>
      </c>
      <c r="N2851" s="6">
        <v>256</v>
      </c>
      <c r="O2851" s="30">
        <f t="shared" si="268"/>
        <v>0</v>
      </c>
      <c r="P2851" s="30">
        <f t="shared" si="269"/>
        <v>9472</v>
      </c>
      <c r="Q2851" s="1">
        <f>COUNTIFS($P:$P, "&gt;" &amp; $P2851) + 1</f>
        <v>1821</v>
      </c>
      <c r="R2851" s="63">
        <f>(COUNTIFS($P:$P, "&gt;" &amp; $P2851) + 1) / (COUNTA($I:$I) - 1)</f>
        <v>0.36420000000000002</v>
      </c>
      <c r="S2851" s="23">
        <f>SUMIFS($P:$P, $Q:$Q, "&lt;" &amp; $Q2851)</f>
        <v>178442393</v>
      </c>
    </row>
    <row r="2852" spans="1:19" x14ac:dyDescent="0.25">
      <c r="A2852" s="1">
        <v>2847</v>
      </c>
      <c r="B2852" s="1" t="s">
        <v>2</v>
      </c>
      <c r="C2852" s="1" t="str">
        <f>IF($B2852 = "Production Item", _xlfn.XLOOKUP($A2852, 'Instrument Table'!$J:$J, 'Instrument Table'!$B:$B, $C2851), IF($B2852 = "Service Item", _xlfn.XLOOKUP($A2852, 'Instrument Table'!$I:$I, 'Instrument Table'!$B:$B, $C2851), _xlfn.XLOOKUP($A2852, 'Instrument Table'!$H:$H, 'Instrument Table'!$B:$B, $C2851)))</f>
        <v>Snare Drum</v>
      </c>
      <c r="D2852" s="1" t="str">
        <f>VLOOKUP($C2852, 'Instrument Table'!$B:$C, 2, FALSE)</f>
        <v>Percussion</v>
      </c>
      <c r="E2852" s="1">
        <f t="shared" si="264"/>
        <v>1</v>
      </c>
      <c r="F2852" s="1">
        <f>_xlfn.XLOOKUP($C2852, 'Instrument Table'!$B:$B, 'Instrument Table'!$A:$A, "")</f>
        <v>50</v>
      </c>
      <c r="G2852" s="1" t="str">
        <f>TEXT(IF($B2852 = "Retail Item", IF((ROW($A2852) - 4504 - _xlfn.XMATCH($C2852, $C$4506:$C$5005, 0, 1)) &lt;= VLOOKUP($C2852, 'Instrument Table'!$B:$D, 3, FALSE), ROW($A2852) - 4504 - _xlfn.XMATCH($C2852, $C$4506:$C$5005, 0, 1), 0), 0), "00")</f>
        <v>00</v>
      </c>
      <c r="H2852" s="1" t="str">
        <f t="shared" si="265"/>
        <v>046</v>
      </c>
      <c r="I2852" s="1" t="str">
        <f t="shared" si="266"/>
        <v>15000-046</v>
      </c>
      <c r="J2852" s="1" t="str">
        <f t="shared" si="267"/>
        <v>Snare drum production item #046</v>
      </c>
      <c r="K2852" s="1" t="str">
        <f>IF(SUM(COUNTIFS(I:I, I2852)) &gt; 1, "DUPLICATE", "UNIQUE")</f>
        <v>UNIQUE</v>
      </c>
      <c r="L2852" s="18">
        <v>1</v>
      </c>
      <c r="M2852" s="28">
        <v>4</v>
      </c>
      <c r="N2852" s="6">
        <v>81</v>
      </c>
      <c r="O2852" s="30">
        <f t="shared" si="268"/>
        <v>4</v>
      </c>
      <c r="P2852" s="30">
        <f t="shared" si="269"/>
        <v>324</v>
      </c>
      <c r="Q2852" s="1">
        <f>COUNTIFS($P:$P, "&gt;" &amp; $P2852) + 1</f>
        <v>4180</v>
      </c>
      <c r="R2852" s="63">
        <f>(COUNTIFS($P:$P, "&gt;" &amp; $P2852) + 1) / (COUNTA($I:$I) - 1)</f>
        <v>0.83599999999999997</v>
      </c>
      <c r="S2852" s="23">
        <f>SUMIFS($P:$P, $Q:$Q, "&lt;" &amp; $Q2852)</f>
        <v>186473950</v>
      </c>
    </row>
    <row r="2853" spans="1:19" x14ac:dyDescent="0.25">
      <c r="A2853" s="1">
        <v>2848</v>
      </c>
      <c r="B2853" s="1" t="s">
        <v>2</v>
      </c>
      <c r="C2853" s="1" t="str">
        <f>IF($B2853 = "Production Item", _xlfn.XLOOKUP($A2853, 'Instrument Table'!$J:$J, 'Instrument Table'!$B:$B, $C2852), IF($B2853 = "Service Item", _xlfn.XLOOKUP($A2853, 'Instrument Table'!$I:$I, 'Instrument Table'!$B:$B, $C2852), _xlfn.XLOOKUP($A2853, 'Instrument Table'!$H:$H, 'Instrument Table'!$B:$B, $C2852)))</f>
        <v>Snare Drum</v>
      </c>
      <c r="D2853" s="1" t="str">
        <f>VLOOKUP($C2853, 'Instrument Table'!$B:$C, 2, FALSE)</f>
        <v>Percussion</v>
      </c>
      <c r="E2853" s="1">
        <f t="shared" si="264"/>
        <v>1</v>
      </c>
      <c r="F2853" s="1">
        <f>_xlfn.XLOOKUP($C2853, 'Instrument Table'!$B:$B, 'Instrument Table'!$A:$A, "")</f>
        <v>50</v>
      </c>
      <c r="G2853" s="1" t="str">
        <f>TEXT(IF($B2853 = "Retail Item", IF((ROW($A2853) - 4504 - _xlfn.XMATCH($C2853, $C$4506:$C$5005, 0, 1)) &lt;= VLOOKUP($C2853, 'Instrument Table'!$B:$D, 3, FALSE), ROW($A2853) - 4504 - _xlfn.XMATCH($C2853, $C$4506:$C$5005, 0, 1), 0), 0), "00")</f>
        <v>00</v>
      </c>
      <c r="H2853" s="1" t="str">
        <f t="shared" si="265"/>
        <v>047</v>
      </c>
      <c r="I2853" s="1" t="str">
        <f t="shared" si="266"/>
        <v>15000-047</v>
      </c>
      <c r="J2853" s="1" t="str">
        <f t="shared" si="267"/>
        <v>Snare drum production item #047</v>
      </c>
      <c r="K2853" s="1" t="str">
        <f>IF(SUM(COUNTIFS(I:I, I2853)) &gt; 1, "DUPLICATE", "UNIQUE")</f>
        <v>UNIQUE</v>
      </c>
      <c r="L2853" s="18">
        <v>0</v>
      </c>
      <c r="M2853" s="28">
        <v>12</v>
      </c>
      <c r="N2853" s="6">
        <v>289</v>
      </c>
      <c r="O2853" s="30">
        <f t="shared" si="268"/>
        <v>0</v>
      </c>
      <c r="P2853" s="30">
        <f t="shared" si="269"/>
        <v>3468</v>
      </c>
      <c r="Q2853" s="1">
        <f>COUNTIFS($P:$P, "&gt;" &amp; $P2853) + 1</f>
        <v>2786</v>
      </c>
      <c r="R2853" s="63">
        <f>(COUNTIFS($P:$P, "&gt;" &amp; $P2853) + 1) / (COUNTA($I:$I) - 1)</f>
        <v>0.55720000000000003</v>
      </c>
      <c r="S2853" s="23">
        <f>SUMIFS($P:$P, $Q:$Q, "&lt;" &amp; $Q2853)</f>
        <v>184277711</v>
      </c>
    </row>
    <row r="2854" spans="1:19" x14ac:dyDescent="0.25">
      <c r="A2854" s="1">
        <v>2849</v>
      </c>
      <c r="B2854" s="1" t="s">
        <v>2</v>
      </c>
      <c r="C2854" s="1" t="str">
        <f>IF($B2854 = "Production Item", _xlfn.XLOOKUP($A2854, 'Instrument Table'!$J:$J, 'Instrument Table'!$B:$B, $C2853), IF($B2854 = "Service Item", _xlfn.XLOOKUP($A2854, 'Instrument Table'!$I:$I, 'Instrument Table'!$B:$B, $C2853), _xlfn.XLOOKUP($A2854, 'Instrument Table'!$H:$H, 'Instrument Table'!$B:$B, $C2853)))</f>
        <v>Snare Drum</v>
      </c>
      <c r="D2854" s="1" t="str">
        <f>VLOOKUP($C2854, 'Instrument Table'!$B:$C, 2, FALSE)</f>
        <v>Percussion</v>
      </c>
      <c r="E2854" s="1">
        <f t="shared" si="264"/>
        <v>1</v>
      </c>
      <c r="F2854" s="1">
        <f>_xlfn.XLOOKUP($C2854, 'Instrument Table'!$B:$B, 'Instrument Table'!$A:$A, "")</f>
        <v>50</v>
      </c>
      <c r="G2854" s="1" t="str">
        <f>TEXT(IF($B2854 = "Retail Item", IF((ROW($A2854) - 4504 - _xlfn.XMATCH($C2854, $C$4506:$C$5005, 0, 1)) &lt;= VLOOKUP($C2854, 'Instrument Table'!$B:$D, 3, FALSE), ROW($A2854) - 4504 - _xlfn.XMATCH($C2854, $C$4506:$C$5005, 0, 1), 0), 0), "00")</f>
        <v>00</v>
      </c>
      <c r="H2854" s="1" t="str">
        <f t="shared" si="265"/>
        <v>048</v>
      </c>
      <c r="I2854" s="1" t="str">
        <f t="shared" si="266"/>
        <v>15000-048</v>
      </c>
      <c r="J2854" s="1" t="str">
        <f t="shared" si="267"/>
        <v>Snare drum production item #048</v>
      </c>
      <c r="K2854" s="1" t="str">
        <f>IF(SUM(COUNTIFS(I:I, I2854)) &gt; 1, "DUPLICATE", "UNIQUE")</f>
        <v>UNIQUE</v>
      </c>
      <c r="L2854" s="18">
        <v>32</v>
      </c>
      <c r="M2854" s="28">
        <v>50</v>
      </c>
      <c r="N2854" s="6">
        <v>81</v>
      </c>
      <c r="O2854" s="30">
        <f t="shared" si="268"/>
        <v>1600</v>
      </c>
      <c r="P2854" s="30">
        <f t="shared" si="269"/>
        <v>4050</v>
      </c>
      <c r="Q2854" s="1">
        <f>COUNTIFS($P:$P, "&gt;" &amp; $P2854) + 1</f>
        <v>2644</v>
      </c>
      <c r="R2854" s="63">
        <f>(COUNTIFS($P:$P, "&gt;" &amp; $P2854) + 1) / (COUNTA($I:$I) - 1)</f>
        <v>0.52880000000000005</v>
      </c>
      <c r="S2854" s="23">
        <f>SUMIFS($P:$P, $Q:$Q, "&lt;" &amp; $Q2854)</f>
        <v>183746738</v>
      </c>
    </row>
    <row r="2855" spans="1:19" x14ac:dyDescent="0.25">
      <c r="A2855" s="1">
        <v>2850</v>
      </c>
      <c r="B2855" s="1" t="s">
        <v>2</v>
      </c>
      <c r="C2855" s="1" t="str">
        <f>IF($B2855 = "Production Item", _xlfn.XLOOKUP($A2855, 'Instrument Table'!$J:$J, 'Instrument Table'!$B:$B, $C2854), IF($B2855 = "Service Item", _xlfn.XLOOKUP($A2855, 'Instrument Table'!$I:$I, 'Instrument Table'!$B:$B, $C2854), _xlfn.XLOOKUP($A2855, 'Instrument Table'!$H:$H, 'Instrument Table'!$B:$B, $C2854)))</f>
        <v>Snare Drum</v>
      </c>
      <c r="D2855" s="1" t="str">
        <f>VLOOKUP($C2855, 'Instrument Table'!$B:$C, 2, FALSE)</f>
        <v>Percussion</v>
      </c>
      <c r="E2855" s="1">
        <f t="shared" si="264"/>
        <v>1</v>
      </c>
      <c r="F2855" s="1">
        <f>_xlfn.XLOOKUP($C2855, 'Instrument Table'!$B:$B, 'Instrument Table'!$A:$A, "")</f>
        <v>50</v>
      </c>
      <c r="G2855" s="1" t="str">
        <f>TEXT(IF($B2855 = "Retail Item", IF((ROW($A2855) - 4504 - _xlfn.XMATCH($C2855, $C$4506:$C$5005, 0, 1)) &lt;= VLOOKUP($C2855, 'Instrument Table'!$B:$D, 3, FALSE), ROW($A2855) - 4504 - _xlfn.XMATCH($C2855, $C$4506:$C$5005, 0, 1), 0), 0), "00")</f>
        <v>00</v>
      </c>
      <c r="H2855" s="1" t="str">
        <f t="shared" si="265"/>
        <v>049</v>
      </c>
      <c r="I2855" s="1" t="str">
        <f t="shared" si="266"/>
        <v>15000-049</v>
      </c>
      <c r="J2855" s="1" t="str">
        <f t="shared" si="267"/>
        <v>Snare drum production item #049</v>
      </c>
      <c r="K2855" s="1" t="str">
        <f>IF(SUM(COUNTIFS(I:I, I2855)) &gt; 1, "DUPLICATE", "UNIQUE")</f>
        <v>UNIQUE</v>
      </c>
      <c r="L2855" s="18">
        <v>1</v>
      </c>
      <c r="M2855" s="28">
        <v>39</v>
      </c>
      <c r="N2855" s="6">
        <v>4</v>
      </c>
      <c r="O2855" s="30">
        <f t="shared" si="268"/>
        <v>39</v>
      </c>
      <c r="P2855" s="30">
        <f t="shared" si="269"/>
        <v>156</v>
      </c>
      <c r="Q2855" s="1">
        <f>COUNTIFS($P:$P, "&gt;" &amp; $P2855) + 1</f>
        <v>4392</v>
      </c>
      <c r="R2855" s="63">
        <f>(COUNTIFS($P:$P, "&gt;" &amp; $P2855) + 1) / (COUNTA($I:$I) - 1)</f>
        <v>0.87839999999999996</v>
      </c>
      <c r="S2855" s="23">
        <f>SUMIFS($P:$P, $Q:$Q, "&lt;" &amp; $Q2855)</f>
        <v>186524808</v>
      </c>
    </row>
    <row r="2856" spans="1:19" x14ac:dyDescent="0.25">
      <c r="A2856" s="1">
        <v>2851</v>
      </c>
      <c r="B2856" s="1" t="s">
        <v>2</v>
      </c>
      <c r="C2856" s="1" t="str">
        <f>IF($B2856 = "Production Item", _xlfn.XLOOKUP($A2856, 'Instrument Table'!$J:$J, 'Instrument Table'!$B:$B, $C2855), IF($B2856 = "Service Item", _xlfn.XLOOKUP($A2856, 'Instrument Table'!$I:$I, 'Instrument Table'!$B:$B, $C2855), _xlfn.XLOOKUP($A2856, 'Instrument Table'!$H:$H, 'Instrument Table'!$B:$B, $C2855)))</f>
        <v>Snare Drum</v>
      </c>
      <c r="D2856" s="1" t="str">
        <f>VLOOKUP($C2856, 'Instrument Table'!$B:$C, 2, FALSE)</f>
        <v>Percussion</v>
      </c>
      <c r="E2856" s="1">
        <f t="shared" si="264"/>
        <v>1</v>
      </c>
      <c r="F2856" s="1">
        <f>_xlfn.XLOOKUP($C2856, 'Instrument Table'!$B:$B, 'Instrument Table'!$A:$A, "")</f>
        <v>50</v>
      </c>
      <c r="G2856" s="1" t="str">
        <f>TEXT(IF($B2856 = "Retail Item", IF((ROW($A2856) - 4504 - _xlfn.XMATCH($C2856, $C$4506:$C$5005, 0, 1)) &lt;= VLOOKUP($C2856, 'Instrument Table'!$B:$D, 3, FALSE), ROW($A2856) - 4504 - _xlfn.XMATCH($C2856, $C$4506:$C$5005, 0, 1), 0), 0), "00")</f>
        <v>00</v>
      </c>
      <c r="H2856" s="1" t="str">
        <f t="shared" si="265"/>
        <v>050</v>
      </c>
      <c r="I2856" s="1" t="str">
        <f t="shared" si="266"/>
        <v>15000-050</v>
      </c>
      <c r="J2856" s="1" t="str">
        <f t="shared" si="267"/>
        <v>Snare drum production item #050</v>
      </c>
      <c r="K2856" s="1" t="str">
        <f>IF(SUM(COUNTIFS(I:I, I2856)) &gt; 1, "DUPLICATE", "UNIQUE")</f>
        <v>UNIQUE</v>
      </c>
      <c r="L2856" s="18">
        <v>0</v>
      </c>
      <c r="M2856" s="28">
        <v>7</v>
      </c>
      <c r="N2856" s="6">
        <v>289</v>
      </c>
      <c r="O2856" s="30">
        <f t="shared" si="268"/>
        <v>0</v>
      </c>
      <c r="P2856" s="30">
        <f t="shared" si="269"/>
        <v>2023</v>
      </c>
      <c r="Q2856" s="1">
        <f>COUNTIFS($P:$P, "&gt;" &amp; $P2856) + 1</f>
        <v>3249</v>
      </c>
      <c r="R2856" s="63">
        <f>(COUNTIFS($P:$P, "&gt;" &amp; $P2856) + 1) / (COUNTA($I:$I) - 1)</f>
        <v>0.64980000000000004</v>
      </c>
      <c r="S2856" s="23">
        <f>SUMIFS($P:$P, $Q:$Q, "&lt;" &amp; $Q2856)</f>
        <v>185509063</v>
      </c>
    </row>
    <row r="2857" spans="1:19" x14ac:dyDescent="0.25">
      <c r="A2857" s="1">
        <v>2852</v>
      </c>
      <c r="B2857" s="1" t="s">
        <v>2</v>
      </c>
      <c r="C2857" s="1" t="str">
        <f>IF($B2857 = "Production Item", _xlfn.XLOOKUP($A2857, 'Instrument Table'!$J:$J, 'Instrument Table'!$B:$B, $C2856), IF($B2857 = "Service Item", _xlfn.XLOOKUP($A2857, 'Instrument Table'!$I:$I, 'Instrument Table'!$B:$B, $C2856), _xlfn.XLOOKUP($A2857, 'Instrument Table'!$H:$H, 'Instrument Table'!$B:$B, $C2856)))</f>
        <v>Snare Drum</v>
      </c>
      <c r="D2857" s="1" t="str">
        <f>VLOOKUP($C2857, 'Instrument Table'!$B:$C, 2, FALSE)</f>
        <v>Percussion</v>
      </c>
      <c r="E2857" s="1">
        <f t="shared" si="264"/>
        <v>1</v>
      </c>
      <c r="F2857" s="1">
        <f>_xlfn.XLOOKUP($C2857, 'Instrument Table'!$B:$B, 'Instrument Table'!$A:$A, "")</f>
        <v>50</v>
      </c>
      <c r="G2857" s="1" t="str">
        <f>TEXT(IF($B2857 = "Retail Item", IF((ROW($A2857) - 4504 - _xlfn.XMATCH($C2857, $C$4506:$C$5005, 0, 1)) &lt;= VLOOKUP($C2857, 'Instrument Table'!$B:$D, 3, FALSE), ROW($A2857) - 4504 - _xlfn.XMATCH($C2857, $C$4506:$C$5005, 0, 1), 0), 0), "00")</f>
        <v>00</v>
      </c>
      <c r="H2857" s="1" t="str">
        <f t="shared" si="265"/>
        <v>051</v>
      </c>
      <c r="I2857" s="1" t="str">
        <f t="shared" si="266"/>
        <v>15000-051</v>
      </c>
      <c r="J2857" s="1" t="str">
        <f t="shared" si="267"/>
        <v>Snare drum production item #051</v>
      </c>
      <c r="K2857" s="1" t="str">
        <f>IF(SUM(COUNTIFS(I:I, I2857)) &gt; 1, "DUPLICATE", "UNIQUE")</f>
        <v>UNIQUE</v>
      </c>
      <c r="L2857" s="18">
        <v>1</v>
      </c>
      <c r="M2857" s="28">
        <v>100</v>
      </c>
      <c r="N2857" s="6">
        <v>196</v>
      </c>
      <c r="O2857" s="30">
        <f t="shared" si="268"/>
        <v>100</v>
      </c>
      <c r="P2857" s="30">
        <f t="shared" si="269"/>
        <v>19600</v>
      </c>
      <c r="Q2857" s="1">
        <f>COUNTIFS($P:$P, "&gt;" &amp; $P2857) + 1</f>
        <v>1078</v>
      </c>
      <c r="R2857" s="63">
        <f>(COUNTIFS($P:$P, "&gt;" &amp; $P2857) + 1) / (COUNTA($I:$I) - 1)</f>
        <v>0.21560000000000001</v>
      </c>
      <c r="S2857" s="23">
        <f>SUMIFS($P:$P, $Q:$Q, "&lt;" &amp; $Q2857)</f>
        <v>168079345</v>
      </c>
    </row>
    <row r="2858" spans="1:19" x14ac:dyDescent="0.25">
      <c r="A2858" s="1">
        <v>2853</v>
      </c>
      <c r="B2858" s="1" t="s">
        <v>2</v>
      </c>
      <c r="C2858" s="1" t="str">
        <f>IF($B2858 = "Production Item", _xlfn.XLOOKUP($A2858, 'Instrument Table'!$J:$J, 'Instrument Table'!$B:$B, $C2857), IF($B2858 = "Service Item", _xlfn.XLOOKUP($A2858, 'Instrument Table'!$I:$I, 'Instrument Table'!$B:$B, $C2857), _xlfn.XLOOKUP($A2858, 'Instrument Table'!$H:$H, 'Instrument Table'!$B:$B, $C2857)))</f>
        <v>Snare Drum</v>
      </c>
      <c r="D2858" s="1" t="str">
        <f>VLOOKUP($C2858, 'Instrument Table'!$B:$C, 2, FALSE)</f>
        <v>Percussion</v>
      </c>
      <c r="E2858" s="1">
        <f t="shared" si="264"/>
        <v>1</v>
      </c>
      <c r="F2858" s="1">
        <f>_xlfn.XLOOKUP($C2858, 'Instrument Table'!$B:$B, 'Instrument Table'!$A:$A, "")</f>
        <v>50</v>
      </c>
      <c r="G2858" s="1" t="str">
        <f>TEXT(IF($B2858 = "Retail Item", IF((ROW($A2858) - 4504 - _xlfn.XMATCH($C2858, $C$4506:$C$5005, 0, 1)) &lt;= VLOOKUP($C2858, 'Instrument Table'!$B:$D, 3, FALSE), ROW($A2858) - 4504 - _xlfn.XMATCH($C2858, $C$4506:$C$5005, 0, 1), 0), 0), "00")</f>
        <v>00</v>
      </c>
      <c r="H2858" s="1" t="str">
        <f t="shared" si="265"/>
        <v>052</v>
      </c>
      <c r="I2858" s="1" t="str">
        <f t="shared" si="266"/>
        <v>15000-052</v>
      </c>
      <c r="J2858" s="1" t="str">
        <f t="shared" si="267"/>
        <v>Snare drum production item #052</v>
      </c>
      <c r="K2858" s="1" t="str">
        <f>IF(SUM(COUNTIFS(I:I, I2858)) &gt; 1, "DUPLICATE", "UNIQUE")</f>
        <v>UNIQUE</v>
      </c>
      <c r="L2858" s="18">
        <v>2</v>
      </c>
      <c r="M2858" s="28">
        <v>21</v>
      </c>
      <c r="N2858" s="6">
        <v>64</v>
      </c>
      <c r="O2858" s="30">
        <f t="shared" si="268"/>
        <v>42</v>
      </c>
      <c r="P2858" s="30">
        <f t="shared" si="269"/>
        <v>1344</v>
      </c>
      <c r="Q2858" s="1">
        <f>COUNTIFS($P:$P, "&gt;" &amp; $P2858) + 1</f>
        <v>3542</v>
      </c>
      <c r="R2858" s="63">
        <f>(COUNTIFS($P:$P, "&gt;" &amp; $P2858) + 1) / (COUNTA($I:$I) - 1)</f>
        <v>0.70840000000000003</v>
      </c>
      <c r="S2858" s="23">
        <f>SUMIFS($P:$P, $Q:$Q, "&lt;" &amp; $Q2858)</f>
        <v>185995413</v>
      </c>
    </row>
    <row r="2859" spans="1:19" x14ac:dyDescent="0.25">
      <c r="A2859" s="1">
        <v>2854</v>
      </c>
      <c r="B2859" s="1" t="s">
        <v>2</v>
      </c>
      <c r="C2859" s="1" t="str">
        <f>IF($B2859 = "Production Item", _xlfn.XLOOKUP($A2859, 'Instrument Table'!$J:$J, 'Instrument Table'!$B:$B, $C2858), IF($B2859 = "Service Item", _xlfn.XLOOKUP($A2859, 'Instrument Table'!$I:$I, 'Instrument Table'!$B:$B, $C2858), _xlfn.XLOOKUP($A2859, 'Instrument Table'!$H:$H, 'Instrument Table'!$B:$B, $C2858)))</f>
        <v>Snare Drum</v>
      </c>
      <c r="D2859" s="1" t="str">
        <f>VLOOKUP($C2859, 'Instrument Table'!$B:$C, 2, FALSE)</f>
        <v>Percussion</v>
      </c>
      <c r="E2859" s="1">
        <f t="shared" si="264"/>
        <v>1</v>
      </c>
      <c r="F2859" s="1">
        <f>_xlfn.XLOOKUP($C2859, 'Instrument Table'!$B:$B, 'Instrument Table'!$A:$A, "")</f>
        <v>50</v>
      </c>
      <c r="G2859" s="1" t="str">
        <f>TEXT(IF($B2859 = "Retail Item", IF((ROW($A2859) - 4504 - _xlfn.XMATCH($C2859, $C$4506:$C$5005, 0, 1)) &lt;= VLOOKUP($C2859, 'Instrument Table'!$B:$D, 3, FALSE), ROW($A2859) - 4504 - _xlfn.XMATCH($C2859, $C$4506:$C$5005, 0, 1), 0), 0), "00")</f>
        <v>00</v>
      </c>
      <c r="H2859" s="1" t="str">
        <f t="shared" si="265"/>
        <v>053</v>
      </c>
      <c r="I2859" s="1" t="str">
        <f t="shared" si="266"/>
        <v>15000-053</v>
      </c>
      <c r="J2859" s="1" t="str">
        <f t="shared" si="267"/>
        <v>Snare drum production item #053</v>
      </c>
      <c r="K2859" s="1" t="str">
        <f>IF(SUM(COUNTIFS(I:I, I2859)) &gt; 1, "DUPLICATE", "UNIQUE")</f>
        <v>UNIQUE</v>
      </c>
      <c r="L2859" s="18">
        <v>1</v>
      </c>
      <c r="M2859" s="28">
        <v>12</v>
      </c>
      <c r="N2859" s="6">
        <v>64</v>
      </c>
      <c r="O2859" s="30">
        <f t="shared" si="268"/>
        <v>12</v>
      </c>
      <c r="P2859" s="30">
        <f t="shared" si="269"/>
        <v>768</v>
      </c>
      <c r="Q2859" s="1">
        <f>COUNTIFS($P:$P, "&gt;" &amp; $P2859) + 1</f>
        <v>3810</v>
      </c>
      <c r="R2859" s="63">
        <f>(COUNTIFS($P:$P, "&gt;" &amp; $P2859) + 1) / (COUNTA($I:$I) - 1)</f>
        <v>0.76200000000000001</v>
      </c>
      <c r="S2859" s="23">
        <f>SUMIFS($P:$P, $Q:$Q, "&lt;" &amp; $Q2859)</f>
        <v>186273454</v>
      </c>
    </row>
    <row r="2860" spans="1:19" x14ac:dyDescent="0.25">
      <c r="A2860" s="1">
        <v>2855</v>
      </c>
      <c r="B2860" s="1" t="s">
        <v>2</v>
      </c>
      <c r="C2860" s="1" t="str">
        <f>IF($B2860 = "Production Item", _xlfn.XLOOKUP($A2860, 'Instrument Table'!$J:$J, 'Instrument Table'!$B:$B, $C2859), IF($B2860 = "Service Item", _xlfn.XLOOKUP($A2860, 'Instrument Table'!$I:$I, 'Instrument Table'!$B:$B, $C2859), _xlfn.XLOOKUP($A2860, 'Instrument Table'!$H:$H, 'Instrument Table'!$B:$B, $C2859)))</f>
        <v>Snare Drum</v>
      </c>
      <c r="D2860" s="1" t="str">
        <f>VLOOKUP($C2860, 'Instrument Table'!$B:$C, 2, FALSE)</f>
        <v>Percussion</v>
      </c>
      <c r="E2860" s="1">
        <f t="shared" si="264"/>
        <v>1</v>
      </c>
      <c r="F2860" s="1">
        <f>_xlfn.XLOOKUP($C2860, 'Instrument Table'!$B:$B, 'Instrument Table'!$A:$A, "")</f>
        <v>50</v>
      </c>
      <c r="G2860" s="1" t="str">
        <f>TEXT(IF($B2860 = "Retail Item", IF((ROW($A2860) - 4504 - _xlfn.XMATCH($C2860, $C$4506:$C$5005, 0, 1)) &lt;= VLOOKUP($C2860, 'Instrument Table'!$B:$D, 3, FALSE), ROW($A2860) - 4504 - _xlfn.XMATCH($C2860, $C$4506:$C$5005, 0, 1), 0), 0), "00")</f>
        <v>00</v>
      </c>
      <c r="H2860" s="1" t="str">
        <f t="shared" si="265"/>
        <v>054</v>
      </c>
      <c r="I2860" s="1" t="str">
        <f t="shared" si="266"/>
        <v>15000-054</v>
      </c>
      <c r="J2860" s="1" t="str">
        <f t="shared" si="267"/>
        <v>Snare drum production item #054</v>
      </c>
      <c r="K2860" s="1" t="str">
        <f>IF(SUM(COUNTIFS(I:I, I2860)) &gt; 1, "DUPLICATE", "UNIQUE")</f>
        <v>UNIQUE</v>
      </c>
      <c r="L2860" s="18">
        <v>1</v>
      </c>
      <c r="M2860" s="28">
        <v>54</v>
      </c>
      <c r="N2860" s="6">
        <v>0</v>
      </c>
      <c r="O2860" s="30">
        <f t="shared" si="268"/>
        <v>54</v>
      </c>
      <c r="P2860" s="30">
        <f t="shared" si="269"/>
        <v>0</v>
      </c>
      <c r="Q2860" s="1">
        <f>COUNTIFS($P:$P, "&gt;" &amp; $P2860) + 1</f>
        <v>4746</v>
      </c>
      <c r="R2860" s="63">
        <f>(COUNTIFS($P:$P, "&gt;" &amp; $P2860) + 1) / (COUNTA($I:$I) - 1)</f>
        <v>0.94920000000000004</v>
      </c>
      <c r="S2860" s="23">
        <f>SUMIFS($P:$P, $Q:$Q, "&lt;" &amp; $Q2860)</f>
        <v>186547861</v>
      </c>
    </row>
    <row r="2861" spans="1:19" x14ac:dyDescent="0.25">
      <c r="A2861" s="1">
        <v>2856</v>
      </c>
      <c r="B2861" s="1" t="s">
        <v>2</v>
      </c>
      <c r="C2861" s="1" t="str">
        <f>IF($B2861 = "Production Item", _xlfn.XLOOKUP($A2861, 'Instrument Table'!$J:$J, 'Instrument Table'!$B:$B, $C2860), IF($B2861 = "Service Item", _xlfn.XLOOKUP($A2861, 'Instrument Table'!$I:$I, 'Instrument Table'!$B:$B, $C2860), _xlfn.XLOOKUP($A2861, 'Instrument Table'!$H:$H, 'Instrument Table'!$B:$B, $C2860)))</f>
        <v>Snare Drum</v>
      </c>
      <c r="D2861" s="1" t="str">
        <f>VLOOKUP($C2861, 'Instrument Table'!$B:$C, 2, FALSE)</f>
        <v>Percussion</v>
      </c>
      <c r="E2861" s="1">
        <f t="shared" si="264"/>
        <v>1</v>
      </c>
      <c r="F2861" s="1">
        <f>_xlfn.XLOOKUP($C2861, 'Instrument Table'!$B:$B, 'Instrument Table'!$A:$A, "")</f>
        <v>50</v>
      </c>
      <c r="G2861" s="1" t="str">
        <f>TEXT(IF($B2861 = "Retail Item", IF((ROW($A2861) - 4504 - _xlfn.XMATCH($C2861, $C$4506:$C$5005, 0, 1)) &lt;= VLOOKUP($C2861, 'Instrument Table'!$B:$D, 3, FALSE), ROW($A2861) - 4504 - _xlfn.XMATCH($C2861, $C$4506:$C$5005, 0, 1), 0), 0), "00")</f>
        <v>00</v>
      </c>
      <c r="H2861" s="1" t="str">
        <f t="shared" si="265"/>
        <v>055</v>
      </c>
      <c r="I2861" s="1" t="str">
        <f t="shared" si="266"/>
        <v>15000-055</v>
      </c>
      <c r="J2861" s="1" t="str">
        <f t="shared" si="267"/>
        <v>Snare drum production item #055</v>
      </c>
      <c r="K2861" s="1" t="str">
        <f>IF(SUM(COUNTIFS(I:I, I2861)) &gt; 1, "DUPLICATE", "UNIQUE")</f>
        <v>UNIQUE</v>
      </c>
      <c r="L2861" s="18">
        <v>1</v>
      </c>
      <c r="M2861" s="28">
        <v>43</v>
      </c>
      <c r="N2861" s="6">
        <v>1</v>
      </c>
      <c r="O2861" s="30">
        <f t="shared" si="268"/>
        <v>43</v>
      </c>
      <c r="P2861" s="30">
        <f t="shared" si="269"/>
        <v>43</v>
      </c>
      <c r="Q2861" s="1">
        <f>COUNTIFS($P:$P, "&gt;" &amp; $P2861) + 1</f>
        <v>4635</v>
      </c>
      <c r="R2861" s="63">
        <f>(COUNTIFS($P:$P, "&gt;" &amp; $P2861) + 1) / (COUNTA($I:$I) - 1)</f>
        <v>0.92700000000000005</v>
      </c>
      <c r="S2861" s="23">
        <f>SUMIFS($P:$P, $Q:$Q, "&lt;" &amp; $Q2861)</f>
        <v>186545427</v>
      </c>
    </row>
    <row r="2862" spans="1:19" x14ac:dyDescent="0.25">
      <c r="A2862" s="1">
        <v>2857</v>
      </c>
      <c r="B2862" s="1" t="s">
        <v>2</v>
      </c>
      <c r="C2862" s="1" t="str">
        <f>IF($B2862 = "Production Item", _xlfn.XLOOKUP($A2862, 'Instrument Table'!$J:$J, 'Instrument Table'!$B:$B, $C2861), IF($B2862 = "Service Item", _xlfn.XLOOKUP($A2862, 'Instrument Table'!$I:$I, 'Instrument Table'!$B:$B, $C2861), _xlfn.XLOOKUP($A2862, 'Instrument Table'!$H:$H, 'Instrument Table'!$B:$B, $C2861)))</f>
        <v>Snare Drum</v>
      </c>
      <c r="D2862" s="1" t="str">
        <f>VLOOKUP($C2862, 'Instrument Table'!$B:$C, 2, FALSE)</f>
        <v>Percussion</v>
      </c>
      <c r="E2862" s="1">
        <f t="shared" si="264"/>
        <v>1</v>
      </c>
      <c r="F2862" s="1">
        <f>_xlfn.XLOOKUP($C2862, 'Instrument Table'!$B:$B, 'Instrument Table'!$A:$A, "")</f>
        <v>50</v>
      </c>
      <c r="G2862" s="1" t="str">
        <f>TEXT(IF($B2862 = "Retail Item", IF((ROW($A2862) - 4504 - _xlfn.XMATCH($C2862, $C$4506:$C$5005, 0, 1)) &lt;= VLOOKUP($C2862, 'Instrument Table'!$B:$D, 3, FALSE), ROW($A2862) - 4504 - _xlfn.XMATCH($C2862, $C$4506:$C$5005, 0, 1), 0), 0), "00")</f>
        <v>00</v>
      </c>
      <c r="H2862" s="1" t="str">
        <f t="shared" si="265"/>
        <v>056</v>
      </c>
      <c r="I2862" s="1" t="str">
        <f t="shared" si="266"/>
        <v>15000-056</v>
      </c>
      <c r="J2862" s="1" t="str">
        <f t="shared" si="267"/>
        <v>Snare drum production item #056</v>
      </c>
      <c r="K2862" s="1" t="str">
        <f>IF(SUM(COUNTIFS(I:I, I2862)) &gt; 1, "DUPLICATE", "UNIQUE")</f>
        <v>UNIQUE</v>
      </c>
      <c r="L2862" s="18">
        <v>0</v>
      </c>
      <c r="M2862" s="28">
        <v>92</v>
      </c>
      <c r="N2862" s="6">
        <v>289</v>
      </c>
      <c r="O2862" s="30">
        <f t="shared" si="268"/>
        <v>0</v>
      </c>
      <c r="P2862" s="30">
        <f t="shared" si="269"/>
        <v>26588</v>
      </c>
      <c r="Q2862" s="1">
        <f>COUNTIFS($P:$P, "&gt;" &amp; $P2862) + 1</f>
        <v>769</v>
      </c>
      <c r="R2862" s="63">
        <f>(COUNTIFS($P:$P, "&gt;" &amp; $P2862) + 1) / (COUNTA($I:$I) - 1)</f>
        <v>0.15379999999999999</v>
      </c>
      <c r="S2862" s="23">
        <f>SUMIFS($P:$P, $Q:$Q, "&lt;" &amp; $Q2862)</f>
        <v>161016574</v>
      </c>
    </row>
    <row r="2863" spans="1:19" x14ac:dyDescent="0.25">
      <c r="A2863" s="1">
        <v>2858</v>
      </c>
      <c r="B2863" s="1" t="s">
        <v>2</v>
      </c>
      <c r="C2863" s="1" t="str">
        <f>IF($B2863 = "Production Item", _xlfn.XLOOKUP($A2863, 'Instrument Table'!$J:$J, 'Instrument Table'!$B:$B, $C2862), IF($B2863 = "Service Item", _xlfn.XLOOKUP($A2863, 'Instrument Table'!$I:$I, 'Instrument Table'!$B:$B, $C2862), _xlfn.XLOOKUP($A2863, 'Instrument Table'!$H:$H, 'Instrument Table'!$B:$B, $C2862)))</f>
        <v>Snare Drum</v>
      </c>
      <c r="D2863" s="1" t="str">
        <f>VLOOKUP($C2863, 'Instrument Table'!$B:$C, 2, FALSE)</f>
        <v>Percussion</v>
      </c>
      <c r="E2863" s="1">
        <f t="shared" si="264"/>
        <v>1</v>
      </c>
      <c r="F2863" s="1">
        <f>_xlfn.XLOOKUP($C2863, 'Instrument Table'!$B:$B, 'Instrument Table'!$A:$A, "")</f>
        <v>50</v>
      </c>
      <c r="G2863" s="1" t="str">
        <f>TEXT(IF($B2863 = "Retail Item", IF((ROW($A2863) - 4504 - _xlfn.XMATCH($C2863, $C$4506:$C$5005, 0, 1)) &lt;= VLOOKUP($C2863, 'Instrument Table'!$B:$D, 3, FALSE), ROW($A2863) - 4504 - _xlfn.XMATCH($C2863, $C$4506:$C$5005, 0, 1), 0), 0), "00")</f>
        <v>00</v>
      </c>
      <c r="H2863" s="1" t="str">
        <f t="shared" si="265"/>
        <v>057</v>
      </c>
      <c r="I2863" s="1" t="str">
        <f t="shared" si="266"/>
        <v>15000-057</v>
      </c>
      <c r="J2863" s="1" t="str">
        <f t="shared" si="267"/>
        <v>Snare drum production item #057</v>
      </c>
      <c r="K2863" s="1" t="str">
        <f>IF(SUM(COUNTIFS(I:I, I2863)) &gt; 1, "DUPLICATE", "UNIQUE")</f>
        <v>UNIQUE</v>
      </c>
      <c r="L2863" s="18">
        <v>32</v>
      </c>
      <c r="M2863" s="28">
        <v>10</v>
      </c>
      <c r="N2863" s="6">
        <v>144</v>
      </c>
      <c r="O2863" s="30">
        <f t="shared" si="268"/>
        <v>320</v>
      </c>
      <c r="P2863" s="30">
        <f t="shared" si="269"/>
        <v>1440</v>
      </c>
      <c r="Q2863" s="1">
        <f>COUNTIFS($P:$P, "&gt;" &amp; $P2863) + 1</f>
        <v>3494</v>
      </c>
      <c r="R2863" s="63">
        <f>(COUNTIFS($P:$P, "&gt;" &amp; $P2863) + 1) / (COUNTA($I:$I) - 1)</f>
        <v>0.69879999999999998</v>
      </c>
      <c r="S2863" s="23">
        <f>SUMIFS($P:$P, $Q:$Q, "&lt;" &amp; $Q2863)</f>
        <v>185928856</v>
      </c>
    </row>
    <row r="2864" spans="1:19" x14ac:dyDescent="0.25">
      <c r="A2864" s="1">
        <v>2859</v>
      </c>
      <c r="B2864" s="1" t="s">
        <v>2</v>
      </c>
      <c r="C2864" s="1" t="str">
        <f>IF($B2864 = "Production Item", _xlfn.XLOOKUP($A2864, 'Instrument Table'!$J:$J, 'Instrument Table'!$B:$B, $C2863), IF($B2864 = "Service Item", _xlfn.XLOOKUP($A2864, 'Instrument Table'!$I:$I, 'Instrument Table'!$B:$B, $C2863), _xlfn.XLOOKUP($A2864, 'Instrument Table'!$H:$H, 'Instrument Table'!$B:$B, $C2863)))</f>
        <v>Snare Drum</v>
      </c>
      <c r="D2864" s="1" t="str">
        <f>VLOOKUP($C2864, 'Instrument Table'!$B:$C, 2, FALSE)</f>
        <v>Percussion</v>
      </c>
      <c r="E2864" s="1">
        <f t="shared" si="264"/>
        <v>1</v>
      </c>
      <c r="F2864" s="1">
        <f>_xlfn.XLOOKUP($C2864, 'Instrument Table'!$B:$B, 'Instrument Table'!$A:$A, "")</f>
        <v>50</v>
      </c>
      <c r="G2864" s="1" t="str">
        <f>TEXT(IF($B2864 = "Retail Item", IF((ROW($A2864) - 4504 - _xlfn.XMATCH($C2864, $C$4506:$C$5005, 0, 1)) &lt;= VLOOKUP($C2864, 'Instrument Table'!$B:$D, 3, FALSE), ROW($A2864) - 4504 - _xlfn.XMATCH($C2864, $C$4506:$C$5005, 0, 1), 0), 0), "00")</f>
        <v>00</v>
      </c>
      <c r="H2864" s="1" t="str">
        <f t="shared" si="265"/>
        <v>058</v>
      </c>
      <c r="I2864" s="1" t="str">
        <f t="shared" si="266"/>
        <v>15000-058</v>
      </c>
      <c r="J2864" s="1" t="str">
        <f t="shared" si="267"/>
        <v>Snare drum production item #058</v>
      </c>
      <c r="K2864" s="1" t="str">
        <f>IF(SUM(COUNTIFS(I:I, I2864)) &gt; 1, "DUPLICATE", "UNIQUE")</f>
        <v>UNIQUE</v>
      </c>
      <c r="L2864" s="18">
        <v>1</v>
      </c>
      <c r="M2864" s="28">
        <v>47</v>
      </c>
      <c r="N2864" s="6">
        <v>64</v>
      </c>
      <c r="O2864" s="30">
        <f t="shared" si="268"/>
        <v>47</v>
      </c>
      <c r="P2864" s="30">
        <f t="shared" si="269"/>
        <v>3008</v>
      </c>
      <c r="Q2864" s="1">
        <f>COUNTIFS($P:$P, "&gt;" &amp; $P2864) + 1</f>
        <v>2906</v>
      </c>
      <c r="R2864" s="63">
        <f>(COUNTIFS($P:$P, "&gt;" &amp; $P2864) + 1) / (COUNTA($I:$I) - 1)</f>
        <v>0.58120000000000005</v>
      </c>
      <c r="S2864" s="23">
        <f>SUMIFS($P:$P, $Q:$Q, "&lt;" &amp; $Q2864)</f>
        <v>184666410</v>
      </c>
    </row>
    <row r="2865" spans="1:19" x14ac:dyDescent="0.25">
      <c r="A2865" s="1">
        <v>2860</v>
      </c>
      <c r="B2865" s="1" t="s">
        <v>2</v>
      </c>
      <c r="C2865" s="1" t="str">
        <f>IF($B2865 = "Production Item", _xlfn.XLOOKUP($A2865, 'Instrument Table'!$J:$J, 'Instrument Table'!$B:$B, $C2864), IF($B2865 = "Service Item", _xlfn.XLOOKUP($A2865, 'Instrument Table'!$I:$I, 'Instrument Table'!$B:$B, $C2864), _xlfn.XLOOKUP($A2865, 'Instrument Table'!$H:$H, 'Instrument Table'!$B:$B, $C2864)))</f>
        <v>Snare Drum</v>
      </c>
      <c r="D2865" s="1" t="str">
        <f>VLOOKUP($C2865, 'Instrument Table'!$B:$C, 2, FALSE)</f>
        <v>Percussion</v>
      </c>
      <c r="E2865" s="1">
        <f t="shared" si="264"/>
        <v>1</v>
      </c>
      <c r="F2865" s="1">
        <f>_xlfn.XLOOKUP($C2865, 'Instrument Table'!$B:$B, 'Instrument Table'!$A:$A, "")</f>
        <v>50</v>
      </c>
      <c r="G2865" s="1" t="str">
        <f>TEXT(IF($B2865 = "Retail Item", IF((ROW($A2865) - 4504 - _xlfn.XMATCH($C2865, $C$4506:$C$5005, 0, 1)) &lt;= VLOOKUP($C2865, 'Instrument Table'!$B:$D, 3, FALSE), ROW($A2865) - 4504 - _xlfn.XMATCH($C2865, $C$4506:$C$5005, 0, 1), 0), 0), "00")</f>
        <v>00</v>
      </c>
      <c r="H2865" s="1" t="str">
        <f t="shared" si="265"/>
        <v>059</v>
      </c>
      <c r="I2865" s="1" t="str">
        <f t="shared" si="266"/>
        <v>15000-059</v>
      </c>
      <c r="J2865" s="1" t="str">
        <f t="shared" si="267"/>
        <v>Snare drum production item #059</v>
      </c>
      <c r="K2865" s="1" t="str">
        <f>IF(SUM(COUNTIFS(I:I, I2865)) &gt; 1, "DUPLICATE", "UNIQUE")</f>
        <v>UNIQUE</v>
      </c>
      <c r="L2865" s="18">
        <v>32</v>
      </c>
      <c r="M2865" s="28">
        <v>34</v>
      </c>
      <c r="N2865" s="6">
        <v>324</v>
      </c>
      <c r="O2865" s="30">
        <f t="shared" si="268"/>
        <v>1088</v>
      </c>
      <c r="P2865" s="30">
        <f t="shared" si="269"/>
        <v>11016</v>
      </c>
      <c r="Q2865" s="1">
        <f>COUNTIFS($P:$P, "&gt;" &amp; $P2865) + 1</f>
        <v>1677</v>
      </c>
      <c r="R2865" s="63">
        <f>(COUNTIFS($P:$P, "&gt;" &amp; $P2865) + 1) / (COUNTA($I:$I) - 1)</f>
        <v>0.33539999999999998</v>
      </c>
      <c r="S2865" s="23">
        <f>SUMIFS($P:$P, $Q:$Q, "&lt;" &amp; $Q2865)</f>
        <v>176961534</v>
      </c>
    </row>
    <row r="2866" spans="1:19" x14ac:dyDescent="0.25">
      <c r="A2866" s="1">
        <v>2861</v>
      </c>
      <c r="B2866" s="1" t="s">
        <v>2</v>
      </c>
      <c r="C2866" s="1" t="str">
        <f>IF($B2866 = "Production Item", _xlfn.XLOOKUP($A2866, 'Instrument Table'!$J:$J, 'Instrument Table'!$B:$B, $C2865), IF($B2866 = "Service Item", _xlfn.XLOOKUP($A2866, 'Instrument Table'!$I:$I, 'Instrument Table'!$B:$B, $C2865), _xlfn.XLOOKUP($A2866, 'Instrument Table'!$H:$H, 'Instrument Table'!$B:$B, $C2865)))</f>
        <v>Snare Drum</v>
      </c>
      <c r="D2866" s="1" t="str">
        <f>VLOOKUP($C2866, 'Instrument Table'!$B:$C, 2, FALSE)</f>
        <v>Percussion</v>
      </c>
      <c r="E2866" s="1">
        <f t="shared" si="264"/>
        <v>1</v>
      </c>
      <c r="F2866" s="1">
        <f>_xlfn.XLOOKUP($C2866, 'Instrument Table'!$B:$B, 'Instrument Table'!$A:$A, "")</f>
        <v>50</v>
      </c>
      <c r="G2866" s="1" t="str">
        <f>TEXT(IF($B2866 = "Retail Item", IF((ROW($A2866) - 4504 - _xlfn.XMATCH($C2866, $C$4506:$C$5005, 0, 1)) &lt;= VLOOKUP($C2866, 'Instrument Table'!$B:$D, 3, FALSE), ROW($A2866) - 4504 - _xlfn.XMATCH($C2866, $C$4506:$C$5005, 0, 1), 0), 0), "00")</f>
        <v>00</v>
      </c>
      <c r="H2866" s="1" t="str">
        <f t="shared" si="265"/>
        <v>060</v>
      </c>
      <c r="I2866" s="1" t="str">
        <f t="shared" si="266"/>
        <v>15000-060</v>
      </c>
      <c r="J2866" s="1" t="str">
        <f t="shared" si="267"/>
        <v>Snare drum production item #060</v>
      </c>
      <c r="K2866" s="1" t="str">
        <f>IF(SUM(COUNTIFS(I:I, I2866)) &gt; 1, "DUPLICATE", "UNIQUE")</f>
        <v>UNIQUE</v>
      </c>
      <c r="L2866" s="18">
        <v>2</v>
      </c>
      <c r="M2866" s="28">
        <v>16</v>
      </c>
      <c r="N2866" s="6">
        <v>324</v>
      </c>
      <c r="O2866" s="30">
        <f t="shared" si="268"/>
        <v>32</v>
      </c>
      <c r="P2866" s="30">
        <f t="shared" si="269"/>
        <v>5184</v>
      </c>
      <c r="Q2866" s="1">
        <f>COUNTIFS($P:$P, "&gt;" &amp; $P2866) + 1</f>
        <v>2412</v>
      </c>
      <c r="R2866" s="63">
        <f>(COUNTIFS($P:$P, "&gt;" &amp; $P2866) + 1) / (COUNTA($I:$I) - 1)</f>
        <v>0.4824</v>
      </c>
      <c r="S2866" s="23">
        <f>SUMIFS($P:$P, $Q:$Q, "&lt;" &amp; $Q2866)</f>
        <v>182678928</v>
      </c>
    </row>
    <row r="2867" spans="1:19" x14ac:dyDescent="0.25">
      <c r="A2867" s="1">
        <v>2862</v>
      </c>
      <c r="B2867" s="1" t="s">
        <v>2</v>
      </c>
      <c r="C2867" s="1" t="str">
        <f>IF($B2867 = "Production Item", _xlfn.XLOOKUP($A2867, 'Instrument Table'!$J:$J, 'Instrument Table'!$B:$B, $C2866), IF($B2867 = "Service Item", _xlfn.XLOOKUP($A2867, 'Instrument Table'!$I:$I, 'Instrument Table'!$B:$B, $C2866), _xlfn.XLOOKUP($A2867, 'Instrument Table'!$H:$H, 'Instrument Table'!$B:$B, $C2866)))</f>
        <v>Snare Drum</v>
      </c>
      <c r="D2867" s="1" t="str">
        <f>VLOOKUP($C2867, 'Instrument Table'!$B:$C, 2, FALSE)</f>
        <v>Percussion</v>
      </c>
      <c r="E2867" s="1">
        <f t="shared" si="264"/>
        <v>1</v>
      </c>
      <c r="F2867" s="1">
        <f>_xlfn.XLOOKUP($C2867, 'Instrument Table'!$B:$B, 'Instrument Table'!$A:$A, "")</f>
        <v>50</v>
      </c>
      <c r="G2867" s="1" t="str">
        <f>TEXT(IF($B2867 = "Retail Item", IF((ROW($A2867) - 4504 - _xlfn.XMATCH($C2867, $C$4506:$C$5005, 0, 1)) &lt;= VLOOKUP($C2867, 'Instrument Table'!$B:$D, 3, FALSE), ROW($A2867) - 4504 - _xlfn.XMATCH($C2867, $C$4506:$C$5005, 0, 1), 0), 0), "00")</f>
        <v>00</v>
      </c>
      <c r="H2867" s="1" t="str">
        <f t="shared" si="265"/>
        <v>061</v>
      </c>
      <c r="I2867" s="1" t="str">
        <f t="shared" si="266"/>
        <v>15000-061</v>
      </c>
      <c r="J2867" s="1" t="str">
        <f t="shared" si="267"/>
        <v>Snare drum production item #061</v>
      </c>
      <c r="K2867" s="1" t="str">
        <f>IF(SUM(COUNTIFS(I:I, I2867)) &gt; 1, "DUPLICATE", "UNIQUE")</f>
        <v>UNIQUE</v>
      </c>
      <c r="L2867" s="18">
        <v>0</v>
      </c>
      <c r="M2867" s="28">
        <v>30</v>
      </c>
      <c r="N2867" s="6">
        <v>9</v>
      </c>
      <c r="O2867" s="30">
        <f t="shared" si="268"/>
        <v>0</v>
      </c>
      <c r="P2867" s="30">
        <f t="shared" si="269"/>
        <v>270</v>
      </c>
      <c r="Q2867" s="1">
        <f>COUNTIFS($P:$P, "&gt;" &amp; $P2867) + 1</f>
        <v>4250</v>
      </c>
      <c r="R2867" s="63">
        <f>(COUNTIFS($P:$P, "&gt;" &amp; $P2867) + 1) / (COUNTA($I:$I) - 1)</f>
        <v>0.85</v>
      </c>
      <c r="S2867" s="23">
        <f>SUMIFS($P:$P, $Q:$Q, "&lt;" &amp; $Q2867)</f>
        <v>186495088</v>
      </c>
    </row>
    <row r="2868" spans="1:19" x14ac:dyDescent="0.25">
      <c r="A2868" s="1">
        <v>2863</v>
      </c>
      <c r="B2868" s="1" t="s">
        <v>2</v>
      </c>
      <c r="C2868" s="1" t="str">
        <f>IF($B2868 = "Production Item", _xlfn.XLOOKUP($A2868, 'Instrument Table'!$J:$J, 'Instrument Table'!$B:$B, $C2867), IF($B2868 = "Service Item", _xlfn.XLOOKUP($A2868, 'Instrument Table'!$I:$I, 'Instrument Table'!$B:$B, $C2867), _xlfn.XLOOKUP($A2868, 'Instrument Table'!$H:$H, 'Instrument Table'!$B:$B, $C2867)))</f>
        <v>Snare Drum</v>
      </c>
      <c r="D2868" s="1" t="str">
        <f>VLOOKUP($C2868, 'Instrument Table'!$B:$C, 2, FALSE)</f>
        <v>Percussion</v>
      </c>
      <c r="E2868" s="1">
        <f t="shared" si="264"/>
        <v>1</v>
      </c>
      <c r="F2868" s="1">
        <f>_xlfn.XLOOKUP($C2868, 'Instrument Table'!$B:$B, 'Instrument Table'!$A:$A, "")</f>
        <v>50</v>
      </c>
      <c r="G2868" s="1" t="str">
        <f>TEXT(IF($B2868 = "Retail Item", IF((ROW($A2868) - 4504 - _xlfn.XMATCH($C2868, $C$4506:$C$5005, 0, 1)) &lt;= VLOOKUP($C2868, 'Instrument Table'!$B:$D, 3, FALSE), ROW($A2868) - 4504 - _xlfn.XMATCH($C2868, $C$4506:$C$5005, 0, 1), 0), 0), "00")</f>
        <v>00</v>
      </c>
      <c r="H2868" s="1" t="str">
        <f t="shared" si="265"/>
        <v>062</v>
      </c>
      <c r="I2868" s="1" t="str">
        <f t="shared" si="266"/>
        <v>15000-062</v>
      </c>
      <c r="J2868" s="1" t="str">
        <f t="shared" si="267"/>
        <v>Snare drum production item #062</v>
      </c>
      <c r="K2868" s="1" t="str">
        <f>IF(SUM(COUNTIFS(I:I, I2868)) &gt; 1, "DUPLICATE", "UNIQUE")</f>
        <v>UNIQUE</v>
      </c>
      <c r="L2868" s="18">
        <v>1</v>
      </c>
      <c r="M2868" s="28">
        <v>51</v>
      </c>
      <c r="N2868" s="6">
        <v>256</v>
      </c>
      <c r="O2868" s="30">
        <f t="shared" si="268"/>
        <v>51</v>
      </c>
      <c r="P2868" s="30">
        <f t="shared" si="269"/>
        <v>13056</v>
      </c>
      <c r="Q2868" s="1">
        <f>COUNTIFS($P:$P, "&gt;" &amp; $P2868) + 1</f>
        <v>1494</v>
      </c>
      <c r="R2868" s="63">
        <f>(COUNTIFS($P:$P, "&gt;" &amp; $P2868) + 1) / (COUNTA($I:$I) - 1)</f>
        <v>0.29880000000000001</v>
      </c>
      <c r="S2868" s="23">
        <f>SUMIFS($P:$P, $Q:$Q, "&lt;" &amp; $Q2868)</f>
        <v>174761605</v>
      </c>
    </row>
    <row r="2869" spans="1:19" x14ac:dyDescent="0.25">
      <c r="A2869" s="1">
        <v>2864</v>
      </c>
      <c r="B2869" s="1" t="s">
        <v>2</v>
      </c>
      <c r="C2869" s="1" t="str">
        <f>IF($B2869 = "Production Item", _xlfn.XLOOKUP($A2869, 'Instrument Table'!$J:$J, 'Instrument Table'!$B:$B, $C2868), IF($B2869 = "Service Item", _xlfn.XLOOKUP($A2869, 'Instrument Table'!$I:$I, 'Instrument Table'!$B:$B, $C2868), _xlfn.XLOOKUP($A2869, 'Instrument Table'!$H:$H, 'Instrument Table'!$B:$B, $C2868)))</f>
        <v>Snare Drum</v>
      </c>
      <c r="D2869" s="1" t="str">
        <f>VLOOKUP($C2869, 'Instrument Table'!$B:$C, 2, FALSE)</f>
        <v>Percussion</v>
      </c>
      <c r="E2869" s="1">
        <f t="shared" si="264"/>
        <v>1</v>
      </c>
      <c r="F2869" s="1">
        <f>_xlfn.XLOOKUP($C2869, 'Instrument Table'!$B:$B, 'Instrument Table'!$A:$A, "")</f>
        <v>50</v>
      </c>
      <c r="G2869" s="1" t="str">
        <f>TEXT(IF($B2869 = "Retail Item", IF((ROW($A2869) - 4504 - _xlfn.XMATCH($C2869, $C$4506:$C$5005, 0, 1)) &lt;= VLOOKUP($C2869, 'Instrument Table'!$B:$D, 3, FALSE), ROW($A2869) - 4504 - _xlfn.XMATCH($C2869, $C$4506:$C$5005, 0, 1), 0), 0), "00")</f>
        <v>00</v>
      </c>
      <c r="H2869" s="1" t="str">
        <f t="shared" si="265"/>
        <v>063</v>
      </c>
      <c r="I2869" s="1" t="str">
        <f t="shared" si="266"/>
        <v>15000-063</v>
      </c>
      <c r="J2869" s="1" t="str">
        <f t="shared" si="267"/>
        <v>Snare drum production item #063</v>
      </c>
      <c r="K2869" s="1" t="str">
        <f>IF(SUM(COUNTIFS(I:I, I2869)) &gt; 1, "DUPLICATE", "UNIQUE")</f>
        <v>UNIQUE</v>
      </c>
      <c r="L2869" s="18">
        <v>1</v>
      </c>
      <c r="M2869" s="28">
        <v>31</v>
      </c>
      <c r="N2869" s="6">
        <v>64</v>
      </c>
      <c r="O2869" s="30">
        <f t="shared" si="268"/>
        <v>31</v>
      </c>
      <c r="P2869" s="30">
        <f t="shared" si="269"/>
        <v>1984</v>
      </c>
      <c r="Q2869" s="1">
        <f>COUNTIFS($P:$P, "&gt;" &amp; $P2869) + 1</f>
        <v>3264</v>
      </c>
      <c r="R2869" s="63">
        <f>(COUNTIFS($P:$P, "&gt;" &amp; $P2869) + 1) / (COUNTA($I:$I) - 1)</f>
        <v>0.65280000000000005</v>
      </c>
      <c r="S2869" s="23">
        <f>SUMIFS($P:$P, $Q:$Q, "&lt;" &amp; $Q2869)</f>
        <v>185539191</v>
      </c>
    </row>
    <row r="2870" spans="1:19" x14ac:dyDescent="0.25">
      <c r="A2870" s="1">
        <v>2865</v>
      </c>
      <c r="B2870" s="1" t="s">
        <v>2</v>
      </c>
      <c r="C2870" s="1" t="str">
        <f>IF($B2870 = "Production Item", _xlfn.XLOOKUP($A2870, 'Instrument Table'!$J:$J, 'Instrument Table'!$B:$B, $C2869), IF($B2870 = "Service Item", _xlfn.XLOOKUP($A2870, 'Instrument Table'!$I:$I, 'Instrument Table'!$B:$B, $C2869), _xlfn.XLOOKUP($A2870, 'Instrument Table'!$H:$H, 'Instrument Table'!$B:$B, $C2869)))</f>
        <v>Snare Drum</v>
      </c>
      <c r="D2870" s="1" t="str">
        <f>VLOOKUP($C2870, 'Instrument Table'!$B:$C, 2, FALSE)</f>
        <v>Percussion</v>
      </c>
      <c r="E2870" s="1">
        <f t="shared" si="264"/>
        <v>1</v>
      </c>
      <c r="F2870" s="1">
        <f>_xlfn.XLOOKUP($C2870, 'Instrument Table'!$B:$B, 'Instrument Table'!$A:$A, "")</f>
        <v>50</v>
      </c>
      <c r="G2870" s="1" t="str">
        <f>TEXT(IF($B2870 = "Retail Item", IF((ROW($A2870) - 4504 - _xlfn.XMATCH($C2870, $C$4506:$C$5005, 0, 1)) &lt;= VLOOKUP($C2870, 'Instrument Table'!$B:$D, 3, FALSE), ROW($A2870) - 4504 - _xlfn.XMATCH($C2870, $C$4506:$C$5005, 0, 1), 0), 0), "00")</f>
        <v>00</v>
      </c>
      <c r="H2870" s="1" t="str">
        <f t="shared" si="265"/>
        <v>064</v>
      </c>
      <c r="I2870" s="1" t="str">
        <f t="shared" si="266"/>
        <v>15000-064</v>
      </c>
      <c r="J2870" s="1" t="str">
        <f t="shared" si="267"/>
        <v>Snare drum production item #064</v>
      </c>
      <c r="K2870" s="1" t="str">
        <f>IF(SUM(COUNTIFS(I:I, I2870)) &gt; 1, "DUPLICATE", "UNIQUE")</f>
        <v>UNIQUE</v>
      </c>
      <c r="L2870" s="18">
        <v>0</v>
      </c>
      <c r="M2870" s="28">
        <v>61</v>
      </c>
      <c r="N2870" s="6">
        <v>324</v>
      </c>
      <c r="O2870" s="30">
        <f t="shared" si="268"/>
        <v>0</v>
      </c>
      <c r="P2870" s="30">
        <f t="shared" si="269"/>
        <v>19764</v>
      </c>
      <c r="Q2870" s="1">
        <f>COUNTIFS($P:$P, "&gt;" &amp; $P2870) + 1</f>
        <v>1067</v>
      </c>
      <c r="R2870" s="63">
        <f>(COUNTIFS($P:$P, "&gt;" &amp; $P2870) + 1) / (COUNTA($I:$I) - 1)</f>
        <v>0.21340000000000001</v>
      </c>
      <c r="S2870" s="23">
        <f>SUMIFS($P:$P, $Q:$Q, "&lt;" &amp; $Q2870)</f>
        <v>167862511</v>
      </c>
    </row>
    <row r="2871" spans="1:19" x14ac:dyDescent="0.25">
      <c r="A2871" s="1">
        <v>2866</v>
      </c>
      <c r="B2871" s="1" t="s">
        <v>2</v>
      </c>
      <c r="C2871" s="1" t="str">
        <f>IF($B2871 = "Production Item", _xlfn.XLOOKUP($A2871, 'Instrument Table'!$J:$J, 'Instrument Table'!$B:$B, $C2870), IF($B2871 = "Service Item", _xlfn.XLOOKUP($A2871, 'Instrument Table'!$I:$I, 'Instrument Table'!$B:$B, $C2870), _xlfn.XLOOKUP($A2871, 'Instrument Table'!$H:$H, 'Instrument Table'!$B:$B, $C2870)))</f>
        <v>Snare Drum</v>
      </c>
      <c r="D2871" s="1" t="str">
        <f>VLOOKUP($C2871, 'Instrument Table'!$B:$C, 2, FALSE)</f>
        <v>Percussion</v>
      </c>
      <c r="E2871" s="1">
        <f t="shared" si="264"/>
        <v>1</v>
      </c>
      <c r="F2871" s="1">
        <f>_xlfn.XLOOKUP($C2871, 'Instrument Table'!$B:$B, 'Instrument Table'!$A:$A, "")</f>
        <v>50</v>
      </c>
      <c r="G2871" s="1" t="str">
        <f>TEXT(IF($B2871 = "Retail Item", IF((ROW($A2871) - 4504 - _xlfn.XMATCH($C2871, $C$4506:$C$5005, 0, 1)) &lt;= VLOOKUP($C2871, 'Instrument Table'!$B:$D, 3, FALSE), ROW($A2871) - 4504 - _xlfn.XMATCH($C2871, $C$4506:$C$5005, 0, 1), 0), 0), "00")</f>
        <v>00</v>
      </c>
      <c r="H2871" s="1" t="str">
        <f t="shared" si="265"/>
        <v>065</v>
      </c>
      <c r="I2871" s="1" t="str">
        <f t="shared" si="266"/>
        <v>15000-065</v>
      </c>
      <c r="J2871" s="1" t="str">
        <f t="shared" si="267"/>
        <v>Snare drum production item #065</v>
      </c>
      <c r="K2871" s="1" t="str">
        <f>IF(SUM(COUNTIFS(I:I, I2871)) &gt; 1, "DUPLICATE", "UNIQUE")</f>
        <v>UNIQUE</v>
      </c>
      <c r="L2871" s="18">
        <v>0</v>
      </c>
      <c r="M2871" s="28">
        <v>2</v>
      </c>
      <c r="N2871" s="6">
        <v>25</v>
      </c>
      <c r="O2871" s="30">
        <f t="shared" si="268"/>
        <v>0</v>
      </c>
      <c r="P2871" s="30">
        <f t="shared" si="269"/>
        <v>50</v>
      </c>
      <c r="Q2871" s="1">
        <f>COUNTIFS($P:$P, "&gt;" &amp; $P2871) + 1</f>
        <v>4614</v>
      </c>
      <c r="R2871" s="63">
        <f>(COUNTIFS($P:$P, "&gt;" &amp; $P2871) + 1) / (COUNTA($I:$I) - 1)</f>
        <v>0.92279999999999995</v>
      </c>
      <c r="S2871" s="23">
        <f>SUMIFS($P:$P, $Q:$Q, "&lt;" &amp; $Q2871)</f>
        <v>186544435</v>
      </c>
    </row>
    <row r="2872" spans="1:19" x14ac:dyDescent="0.25">
      <c r="A2872" s="1">
        <v>2867</v>
      </c>
      <c r="B2872" s="1" t="s">
        <v>2</v>
      </c>
      <c r="C2872" s="1" t="str">
        <f>IF($B2872 = "Production Item", _xlfn.XLOOKUP($A2872, 'Instrument Table'!$J:$J, 'Instrument Table'!$B:$B, $C2871), IF($B2872 = "Service Item", _xlfn.XLOOKUP($A2872, 'Instrument Table'!$I:$I, 'Instrument Table'!$B:$B, $C2871), _xlfn.XLOOKUP($A2872, 'Instrument Table'!$H:$H, 'Instrument Table'!$B:$B, $C2871)))</f>
        <v>Snare Drum</v>
      </c>
      <c r="D2872" s="1" t="str">
        <f>VLOOKUP($C2872, 'Instrument Table'!$B:$C, 2, FALSE)</f>
        <v>Percussion</v>
      </c>
      <c r="E2872" s="1">
        <f t="shared" si="264"/>
        <v>1</v>
      </c>
      <c r="F2872" s="1">
        <f>_xlfn.XLOOKUP($C2872, 'Instrument Table'!$B:$B, 'Instrument Table'!$A:$A, "")</f>
        <v>50</v>
      </c>
      <c r="G2872" s="1" t="str">
        <f>TEXT(IF($B2872 = "Retail Item", IF((ROW($A2872) - 4504 - _xlfn.XMATCH($C2872, $C$4506:$C$5005, 0, 1)) &lt;= VLOOKUP($C2872, 'Instrument Table'!$B:$D, 3, FALSE), ROW($A2872) - 4504 - _xlfn.XMATCH($C2872, $C$4506:$C$5005, 0, 1), 0), 0), "00")</f>
        <v>00</v>
      </c>
      <c r="H2872" s="1" t="str">
        <f t="shared" si="265"/>
        <v>066</v>
      </c>
      <c r="I2872" s="1" t="str">
        <f t="shared" si="266"/>
        <v>15000-066</v>
      </c>
      <c r="J2872" s="1" t="str">
        <f t="shared" si="267"/>
        <v>Snare drum production item #066</v>
      </c>
      <c r="K2872" s="1" t="str">
        <f>IF(SUM(COUNTIFS(I:I, I2872)) &gt; 1, "DUPLICATE", "UNIQUE")</f>
        <v>UNIQUE</v>
      </c>
      <c r="L2872" s="18">
        <v>0</v>
      </c>
      <c r="M2872" s="28">
        <v>57</v>
      </c>
      <c r="N2872" s="6">
        <v>289</v>
      </c>
      <c r="O2872" s="30">
        <f t="shared" si="268"/>
        <v>0</v>
      </c>
      <c r="P2872" s="30">
        <f t="shared" si="269"/>
        <v>16473</v>
      </c>
      <c r="Q2872" s="1">
        <f>COUNTIFS($P:$P, "&gt;" &amp; $P2872) + 1</f>
        <v>1247</v>
      </c>
      <c r="R2872" s="63">
        <f>(COUNTIFS($P:$P, "&gt;" &amp; $P2872) + 1) / (COUNTA($I:$I) - 1)</f>
        <v>0.24940000000000001</v>
      </c>
      <c r="S2872" s="23">
        <f>SUMIFS($P:$P, $Q:$Q, "&lt;" &amp; $Q2872)</f>
        <v>171120042</v>
      </c>
    </row>
    <row r="2873" spans="1:19" x14ac:dyDescent="0.25">
      <c r="A2873" s="1">
        <v>2868</v>
      </c>
      <c r="B2873" s="1" t="s">
        <v>2</v>
      </c>
      <c r="C2873" s="1" t="str">
        <f>IF($B2873 = "Production Item", _xlfn.XLOOKUP($A2873, 'Instrument Table'!$J:$J, 'Instrument Table'!$B:$B, $C2872), IF($B2873 = "Service Item", _xlfn.XLOOKUP($A2873, 'Instrument Table'!$I:$I, 'Instrument Table'!$B:$B, $C2872), _xlfn.XLOOKUP($A2873, 'Instrument Table'!$H:$H, 'Instrument Table'!$B:$B, $C2872)))</f>
        <v>Snare Drum</v>
      </c>
      <c r="D2873" s="1" t="str">
        <f>VLOOKUP($C2873, 'Instrument Table'!$B:$C, 2, FALSE)</f>
        <v>Percussion</v>
      </c>
      <c r="E2873" s="1">
        <f t="shared" si="264"/>
        <v>1</v>
      </c>
      <c r="F2873" s="1">
        <f>_xlfn.XLOOKUP($C2873, 'Instrument Table'!$B:$B, 'Instrument Table'!$A:$A, "")</f>
        <v>50</v>
      </c>
      <c r="G2873" s="1" t="str">
        <f>TEXT(IF($B2873 = "Retail Item", IF((ROW($A2873) - 4504 - _xlfn.XMATCH($C2873, $C$4506:$C$5005, 0, 1)) &lt;= VLOOKUP($C2873, 'Instrument Table'!$B:$D, 3, FALSE), ROW($A2873) - 4504 - _xlfn.XMATCH($C2873, $C$4506:$C$5005, 0, 1), 0), 0), "00")</f>
        <v>00</v>
      </c>
      <c r="H2873" s="1" t="str">
        <f t="shared" si="265"/>
        <v>067</v>
      </c>
      <c r="I2873" s="1" t="str">
        <f t="shared" si="266"/>
        <v>15000-067</v>
      </c>
      <c r="J2873" s="1" t="str">
        <f t="shared" si="267"/>
        <v>Snare drum production item #067</v>
      </c>
      <c r="K2873" s="1" t="str">
        <f>IF(SUM(COUNTIFS(I:I, I2873)) &gt; 1, "DUPLICATE", "UNIQUE")</f>
        <v>UNIQUE</v>
      </c>
      <c r="L2873" s="18">
        <v>1</v>
      </c>
      <c r="M2873" s="28">
        <v>75</v>
      </c>
      <c r="N2873" s="6">
        <v>289</v>
      </c>
      <c r="O2873" s="30">
        <f t="shared" si="268"/>
        <v>75</v>
      </c>
      <c r="P2873" s="30">
        <f t="shared" si="269"/>
        <v>21675</v>
      </c>
      <c r="Q2873" s="1">
        <f>COUNTIFS($P:$P, "&gt;" &amp; $P2873) + 1</f>
        <v>970</v>
      </c>
      <c r="R2873" s="63">
        <f>(COUNTIFS($P:$P, "&gt;" &amp; $P2873) + 1) / (COUNTA($I:$I) - 1)</f>
        <v>0.19400000000000001</v>
      </c>
      <c r="S2873" s="23">
        <f>SUMIFS($P:$P, $Q:$Q, "&lt;" &amp; $Q2873)</f>
        <v>165847850</v>
      </c>
    </row>
    <row r="2874" spans="1:19" x14ac:dyDescent="0.25">
      <c r="A2874" s="1">
        <v>2869</v>
      </c>
      <c r="B2874" s="1" t="s">
        <v>2</v>
      </c>
      <c r="C2874" s="1" t="str">
        <f>IF($B2874 = "Production Item", _xlfn.XLOOKUP($A2874, 'Instrument Table'!$J:$J, 'Instrument Table'!$B:$B, $C2873), IF($B2874 = "Service Item", _xlfn.XLOOKUP($A2874, 'Instrument Table'!$I:$I, 'Instrument Table'!$B:$B, $C2873), _xlfn.XLOOKUP($A2874, 'Instrument Table'!$H:$H, 'Instrument Table'!$B:$B, $C2873)))</f>
        <v>Snare Drum</v>
      </c>
      <c r="D2874" s="1" t="str">
        <f>VLOOKUP($C2874, 'Instrument Table'!$B:$C, 2, FALSE)</f>
        <v>Percussion</v>
      </c>
      <c r="E2874" s="1">
        <f t="shared" si="264"/>
        <v>1</v>
      </c>
      <c r="F2874" s="1">
        <f>_xlfn.XLOOKUP($C2874, 'Instrument Table'!$B:$B, 'Instrument Table'!$A:$A, "")</f>
        <v>50</v>
      </c>
      <c r="G2874" s="1" t="str">
        <f>TEXT(IF($B2874 = "Retail Item", IF((ROW($A2874) - 4504 - _xlfn.XMATCH($C2874, $C$4506:$C$5005, 0, 1)) &lt;= VLOOKUP($C2874, 'Instrument Table'!$B:$D, 3, FALSE), ROW($A2874) - 4504 - _xlfn.XMATCH($C2874, $C$4506:$C$5005, 0, 1), 0), 0), "00")</f>
        <v>00</v>
      </c>
      <c r="H2874" s="1" t="str">
        <f t="shared" si="265"/>
        <v>068</v>
      </c>
      <c r="I2874" s="1" t="str">
        <f t="shared" si="266"/>
        <v>15000-068</v>
      </c>
      <c r="J2874" s="1" t="str">
        <f t="shared" si="267"/>
        <v>Snare drum production item #068</v>
      </c>
      <c r="K2874" s="1" t="str">
        <f>IF(SUM(COUNTIFS(I:I, I2874)) &gt; 1, "DUPLICATE", "UNIQUE")</f>
        <v>UNIQUE</v>
      </c>
      <c r="L2874" s="18">
        <v>1</v>
      </c>
      <c r="M2874" s="28">
        <v>75</v>
      </c>
      <c r="N2874" s="6">
        <v>100</v>
      </c>
      <c r="O2874" s="30">
        <f t="shared" si="268"/>
        <v>75</v>
      </c>
      <c r="P2874" s="30">
        <f t="shared" si="269"/>
        <v>7500</v>
      </c>
      <c r="Q2874" s="1">
        <f>COUNTIFS($P:$P, "&gt;" &amp; $P2874) + 1</f>
        <v>2070</v>
      </c>
      <c r="R2874" s="63">
        <f>(COUNTIFS($P:$P, "&gt;" &amp; $P2874) + 1) / (COUNTA($I:$I) - 1)</f>
        <v>0.41399999999999998</v>
      </c>
      <c r="S2874" s="23">
        <f>SUMIFS($P:$P, $Q:$Q, "&lt;" &amp; $Q2874)</f>
        <v>180536939</v>
      </c>
    </row>
    <row r="2875" spans="1:19" x14ac:dyDescent="0.25">
      <c r="A2875" s="1">
        <v>2870</v>
      </c>
      <c r="B2875" s="1" t="s">
        <v>2</v>
      </c>
      <c r="C2875" s="1" t="str">
        <f>IF($B2875 = "Production Item", _xlfn.XLOOKUP($A2875, 'Instrument Table'!$J:$J, 'Instrument Table'!$B:$B, $C2874), IF($B2875 = "Service Item", _xlfn.XLOOKUP($A2875, 'Instrument Table'!$I:$I, 'Instrument Table'!$B:$B, $C2874), _xlfn.XLOOKUP($A2875, 'Instrument Table'!$H:$H, 'Instrument Table'!$B:$B, $C2874)))</f>
        <v>Snare Drum</v>
      </c>
      <c r="D2875" s="1" t="str">
        <f>VLOOKUP($C2875, 'Instrument Table'!$B:$C, 2, FALSE)</f>
        <v>Percussion</v>
      </c>
      <c r="E2875" s="1">
        <f t="shared" si="264"/>
        <v>1</v>
      </c>
      <c r="F2875" s="1">
        <f>_xlfn.XLOOKUP($C2875, 'Instrument Table'!$B:$B, 'Instrument Table'!$A:$A, "")</f>
        <v>50</v>
      </c>
      <c r="G2875" s="1" t="str">
        <f>TEXT(IF($B2875 = "Retail Item", IF((ROW($A2875) - 4504 - _xlfn.XMATCH($C2875, $C$4506:$C$5005, 0, 1)) &lt;= VLOOKUP($C2875, 'Instrument Table'!$B:$D, 3, FALSE), ROW($A2875) - 4504 - _xlfn.XMATCH($C2875, $C$4506:$C$5005, 0, 1), 0), 0), "00")</f>
        <v>00</v>
      </c>
      <c r="H2875" s="1" t="str">
        <f t="shared" si="265"/>
        <v>069</v>
      </c>
      <c r="I2875" s="1" t="str">
        <f t="shared" si="266"/>
        <v>15000-069</v>
      </c>
      <c r="J2875" s="1" t="str">
        <f t="shared" si="267"/>
        <v>Snare drum production item #069</v>
      </c>
      <c r="K2875" s="1" t="str">
        <f>IF(SUM(COUNTIFS(I:I, I2875)) &gt; 1, "DUPLICATE", "UNIQUE")</f>
        <v>UNIQUE</v>
      </c>
      <c r="L2875" s="18">
        <v>1</v>
      </c>
      <c r="M2875" s="28">
        <v>14</v>
      </c>
      <c r="N2875" s="6">
        <v>0</v>
      </c>
      <c r="O2875" s="30">
        <f t="shared" si="268"/>
        <v>14</v>
      </c>
      <c r="P2875" s="30">
        <f t="shared" si="269"/>
        <v>0</v>
      </c>
      <c r="Q2875" s="1">
        <f>COUNTIFS($P:$P, "&gt;" &amp; $P2875) + 1</f>
        <v>4746</v>
      </c>
      <c r="R2875" s="63">
        <f>(COUNTIFS($P:$P, "&gt;" &amp; $P2875) + 1) / (COUNTA($I:$I) - 1)</f>
        <v>0.94920000000000004</v>
      </c>
      <c r="S2875" s="23">
        <f>SUMIFS($P:$P, $Q:$Q, "&lt;" &amp; $Q2875)</f>
        <v>186547861</v>
      </c>
    </row>
    <row r="2876" spans="1:19" x14ac:dyDescent="0.25">
      <c r="A2876" s="1">
        <v>2871</v>
      </c>
      <c r="B2876" s="1" t="s">
        <v>2</v>
      </c>
      <c r="C2876" s="1" t="str">
        <f>IF($B2876 = "Production Item", _xlfn.XLOOKUP($A2876, 'Instrument Table'!$J:$J, 'Instrument Table'!$B:$B, $C2875), IF($B2876 = "Service Item", _xlfn.XLOOKUP($A2876, 'Instrument Table'!$I:$I, 'Instrument Table'!$B:$B, $C2875), _xlfn.XLOOKUP($A2876, 'Instrument Table'!$H:$H, 'Instrument Table'!$B:$B, $C2875)))</f>
        <v>Snare Drum</v>
      </c>
      <c r="D2876" s="1" t="str">
        <f>VLOOKUP($C2876, 'Instrument Table'!$B:$C, 2, FALSE)</f>
        <v>Percussion</v>
      </c>
      <c r="E2876" s="1">
        <f t="shared" si="264"/>
        <v>1</v>
      </c>
      <c r="F2876" s="1">
        <f>_xlfn.XLOOKUP($C2876, 'Instrument Table'!$B:$B, 'Instrument Table'!$A:$A, "")</f>
        <v>50</v>
      </c>
      <c r="G2876" s="1" t="str">
        <f>TEXT(IF($B2876 = "Retail Item", IF((ROW($A2876) - 4504 - _xlfn.XMATCH($C2876, $C$4506:$C$5005, 0, 1)) &lt;= VLOOKUP($C2876, 'Instrument Table'!$B:$D, 3, FALSE), ROW($A2876) - 4504 - _xlfn.XMATCH($C2876, $C$4506:$C$5005, 0, 1), 0), 0), "00")</f>
        <v>00</v>
      </c>
      <c r="H2876" s="1" t="str">
        <f t="shared" si="265"/>
        <v>070</v>
      </c>
      <c r="I2876" s="1" t="str">
        <f t="shared" si="266"/>
        <v>15000-070</v>
      </c>
      <c r="J2876" s="1" t="str">
        <f t="shared" si="267"/>
        <v>Snare drum production item #070</v>
      </c>
      <c r="K2876" s="1" t="str">
        <f>IF(SUM(COUNTIFS(I:I, I2876)) &gt; 1, "DUPLICATE", "UNIQUE")</f>
        <v>UNIQUE</v>
      </c>
      <c r="L2876" s="18">
        <v>16</v>
      </c>
      <c r="M2876" s="28">
        <v>58</v>
      </c>
      <c r="N2876" s="6">
        <v>144</v>
      </c>
      <c r="O2876" s="30">
        <f t="shared" si="268"/>
        <v>928</v>
      </c>
      <c r="P2876" s="30">
        <f t="shared" si="269"/>
        <v>8352</v>
      </c>
      <c r="Q2876" s="1">
        <f>COUNTIFS($P:$P, "&gt;" &amp; $P2876) + 1</f>
        <v>1947</v>
      </c>
      <c r="R2876" s="63">
        <f>(COUNTIFS($P:$P, "&gt;" &amp; $P2876) + 1) / (COUNTA($I:$I) - 1)</f>
        <v>0.38940000000000002</v>
      </c>
      <c r="S2876" s="23">
        <f>SUMIFS($P:$P, $Q:$Q, "&lt;" &amp; $Q2876)</f>
        <v>179566264</v>
      </c>
    </row>
    <row r="2877" spans="1:19" x14ac:dyDescent="0.25">
      <c r="A2877" s="1">
        <v>2872</v>
      </c>
      <c r="B2877" s="1" t="s">
        <v>2</v>
      </c>
      <c r="C2877" s="1" t="str">
        <f>IF($B2877 = "Production Item", _xlfn.XLOOKUP($A2877, 'Instrument Table'!$J:$J, 'Instrument Table'!$B:$B, $C2876), IF($B2877 = "Service Item", _xlfn.XLOOKUP($A2877, 'Instrument Table'!$I:$I, 'Instrument Table'!$B:$B, $C2876), _xlfn.XLOOKUP($A2877, 'Instrument Table'!$H:$H, 'Instrument Table'!$B:$B, $C2876)))</f>
        <v>Snare Drum</v>
      </c>
      <c r="D2877" s="1" t="str">
        <f>VLOOKUP($C2877, 'Instrument Table'!$B:$C, 2, FALSE)</f>
        <v>Percussion</v>
      </c>
      <c r="E2877" s="1">
        <f t="shared" si="264"/>
        <v>1</v>
      </c>
      <c r="F2877" s="1">
        <f>_xlfn.XLOOKUP($C2877, 'Instrument Table'!$B:$B, 'Instrument Table'!$A:$A, "")</f>
        <v>50</v>
      </c>
      <c r="G2877" s="1" t="str">
        <f>TEXT(IF($B2877 = "Retail Item", IF((ROW($A2877) - 4504 - _xlfn.XMATCH($C2877, $C$4506:$C$5005, 0, 1)) &lt;= VLOOKUP($C2877, 'Instrument Table'!$B:$D, 3, FALSE), ROW($A2877) - 4504 - _xlfn.XMATCH($C2877, $C$4506:$C$5005, 0, 1), 0), 0), "00")</f>
        <v>00</v>
      </c>
      <c r="H2877" s="1" t="str">
        <f t="shared" si="265"/>
        <v>071</v>
      </c>
      <c r="I2877" s="1" t="str">
        <f t="shared" si="266"/>
        <v>15000-071</v>
      </c>
      <c r="J2877" s="1" t="str">
        <f t="shared" si="267"/>
        <v>Snare drum production item #071</v>
      </c>
      <c r="K2877" s="1" t="str">
        <f>IF(SUM(COUNTIFS(I:I, I2877)) &gt; 1, "DUPLICATE", "UNIQUE")</f>
        <v>UNIQUE</v>
      </c>
      <c r="L2877" s="18">
        <v>1</v>
      </c>
      <c r="M2877" s="28">
        <v>19</v>
      </c>
      <c r="N2877" s="6">
        <v>25</v>
      </c>
      <c r="O2877" s="30">
        <f t="shared" si="268"/>
        <v>19</v>
      </c>
      <c r="P2877" s="30">
        <f t="shared" si="269"/>
        <v>475</v>
      </c>
      <c r="Q2877" s="1">
        <f>COUNTIFS($P:$P, "&gt;" &amp; $P2877) + 1</f>
        <v>4048</v>
      </c>
      <c r="R2877" s="63">
        <f>(COUNTIFS($P:$P, "&gt;" &amp; $P2877) + 1) / (COUNTA($I:$I) - 1)</f>
        <v>0.80959999999999999</v>
      </c>
      <c r="S2877" s="23">
        <f>SUMIFS($P:$P, $Q:$Q, "&lt;" &amp; $Q2877)</f>
        <v>186422443</v>
      </c>
    </row>
    <row r="2878" spans="1:19" x14ac:dyDescent="0.25">
      <c r="A2878" s="1">
        <v>2873</v>
      </c>
      <c r="B2878" s="1" t="s">
        <v>2</v>
      </c>
      <c r="C2878" s="1" t="str">
        <f>IF($B2878 = "Production Item", _xlfn.XLOOKUP($A2878, 'Instrument Table'!$J:$J, 'Instrument Table'!$B:$B, $C2877), IF($B2878 = "Service Item", _xlfn.XLOOKUP($A2878, 'Instrument Table'!$I:$I, 'Instrument Table'!$B:$B, $C2877), _xlfn.XLOOKUP($A2878, 'Instrument Table'!$H:$H, 'Instrument Table'!$B:$B, $C2877)))</f>
        <v>Snare Drum</v>
      </c>
      <c r="D2878" s="1" t="str">
        <f>VLOOKUP($C2878, 'Instrument Table'!$B:$C, 2, FALSE)</f>
        <v>Percussion</v>
      </c>
      <c r="E2878" s="1">
        <f t="shared" si="264"/>
        <v>1</v>
      </c>
      <c r="F2878" s="1">
        <f>_xlfn.XLOOKUP($C2878, 'Instrument Table'!$B:$B, 'Instrument Table'!$A:$A, "")</f>
        <v>50</v>
      </c>
      <c r="G2878" s="1" t="str">
        <f>TEXT(IF($B2878 = "Retail Item", IF((ROW($A2878) - 4504 - _xlfn.XMATCH($C2878, $C$4506:$C$5005, 0, 1)) &lt;= VLOOKUP($C2878, 'Instrument Table'!$B:$D, 3, FALSE), ROW($A2878) - 4504 - _xlfn.XMATCH($C2878, $C$4506:$C$5005, 0, 1), 0), 0), "00")</f>
        <v>00</v>
      </c>
      <c r="H2878" s="1" t="str">
        <f t="shared" si="265"/>
        <v>072</v>
      </c>
      <c r="I2878" s="1" t="str">
        <f t="shared" si="266"/>
        <v>15000-072</v>
      </c>
      <c r="J2878" s="1" t="str">
        <f t="shared" si="267"/>
        <v>Snare drum production item #072</v>
      </c>
      <c r="K2878" s="1" t="str">
        <f>IF(SUM(COUNTIFS(I:I, I2878)) &gt; 1, "DUPLICATE", "UNIQUE")</f>
        <v>UNIQUE</v>
      </c>
      <c r="L2878" s="18">
        <v>1</v>
      </c>
      <c r="M2878" s="28">
        <v>55</v>
      </c>
      <c r="N2878" s="6">
        <v>16</v>
      </c>
      <c r="O2878" s="30">
        <f t="shared" si="268"/>
        <v>55</v>
      </c>
      <c r="P2878" s="30">
        <f t="shared" si="269"/>
        <v>880</v>
      </c>
      <c r="Q2878" s="1">
        <f>COUNTIFS($P:$P, "&gt;" &amp; $P2878) + 1</f>
        <v>3738</v>
      </c>
      <c r="R2878" s="63">
        <f>(COUNTIFS($P:$P, "&gt;" &amp; $P2878) + 1) / (COUNTA($I:$I) - 1)</f>
        <v>0.74760000000000004</v>
      </c>
      <c r="S2878" s="23">
        <f>SUMIFS($P:$P, $Q:$Q, "&lt;" &amp; $Q2878)</f>
        <v>186213678</v>
      </c>
    </row>
    <row r="2879" spans="1:19" x14ac:dyDescent="0.25">
      <c r="A2879" s="1">
        <v>2874</v>
      </c>
      <c r="B2879" s="1" t="s">
        <v>2</v>
      </c>
      <c r="C2879" s="1" t="str">
        <f>IF($B2879 = "Production Item", _xlfn.XLOOKUP($A2879, 'Instrument Table'!$J:$J, 'Instrument Table'!$B:$B, $C2878), IF($B2879 = "Service Item", _xlfn.XLOOKUP($A2879, 'Instrument Table'!$I:$I, 'Instrument Table'!$B:$B, $C2878), _xlfn.XLOOKUP($A2879, 'Instrument Table'!$H:$H, 'Instrument Table'!$B:$B, $C2878)))</f>
        <v>Snare Drum</v>
      </c>
      <c r="D2879" s="1" t="str">
        <f>VLOOKUP($C2879, 'Instrument Table'!$B:$C, 2, FALSE)</f>
        <v>Percussion</v>
      </c>
      <c r="E2879" s="1">
        <f t="shared" si="264"/>
        <v>1</v>
      </c>
      <c r="F2879" s="1">
        <f>_xlfn.XLOOKUP($C2879, 'Instrument Table'!$B:$B, 'Instrument Table'!$A:$A, "")</f>
        <v>50</v>
      </c>
      <c r="G2879" s="1" t="str">
        <f>TEXT(IF($B2879 = "Retail Item", IF((ROW($A2879) - 4504 - _xlfn.XMATCH($C2879, $C$4506:$C$5005, 0, 1)) &lt;= VLOOKUP($C2879, 'Instrument Table'!$B:$D, 3, FALSE), ROW($A2879) - 4504 - _xlfn.XMATCH($C2879, $C$4506:$C$5005, 0, 1), 0), 0), "00")</f>
        <v>00</v>
      </c>
      <c r="H2879" s="1" t="str">
        <f t="shared" si="265"/>
        <v>073</v>
      </c>
      <c r="I2879" s="1" t="str">
        <f t="shared" si="266"/>
        <v>15000-073</v>
      </c>
      <c r="J2879" s="1" t="str">
        <f t="shared" si="267"/>
        <v>Snare drum production item #073</v>
      </c>
      <c r="K2879" s="1" t="str">
        <f>IF(SUM(COUNTIFS(I:I, I2879)) &gt; 1, "DUPLICATE", "UNIQUE")</f>
        <v>UNIQUE</v>
      </c>
      <c r="L2879" s="18">
        <v>1</v>
      </c>
      <c r="M2879" s="28">
        <v>86</v>
      </c>
      <c r="N2879" s="6">
        <v>289</v>
      </c>
      <c r="O2879" s="30">
        <f t="shared" si="268"/>
        <v>86</v>
      </c>
      <c r="P2879" s="30">
        <f t="shared" si="269"/>
        <v>24854</v>
      </c>
      <c r="Q2879" s="1">
        <f>COUNTIFS($P:$P, "&gt;" &amp; $P2879) + 1</f>
        <v>833</v>
      </c>
      <c r="R2879" s="63">
        <f>(COUNTIFS($P:$P, "&gt;" &amp; $P2879) + 1) / (COUNTA($I:$I) - 1)</f>
        <v>0.1666</v>
      </c>
      <c r="S2879" s="23">
        <f>SUMIFS($P:$P, $Q:$Q, "&lt;" &amp; $Q2879)</f>
        <v>162664133</v>
      </c>
    </row>
    <row r="2880" spans="1:19" x14ac:dyDescent="0.25">
      <c r="A2880" s="1">
        <v>2875</v>
      </c>
      <c r="B2880" s="1" t="s">
        <v>2</v>
      </c>
      <c r="C2880" s="1" t="str">
        <f>IF($B2880 = "Production Item", _xlfn.XLOOKUP($A2880, 'Instrument Table'!$J:$J, 'Instrument Table'!$B:$B, $C2879), IF($B2880 = "Service Item", _xlfn.XLOOKUP($A2880, 'Instrument Table'!$I:$I, 'Instrument Table'!$B:$B, $C2879), _xlfn.XLOOKUP($A2880, 'Instrument Table'!$H:$H, 'Instrument Table'!$B:$B, $C2879)))</f>
        <v>Snare Drum</v>
      </c>
      <c r="D2880" s="1" t="str">
        <f>VLOOKUP($C2880, 'Instrument Table'!$B:$C, 2, FALSE)</f>
        <v>Percussion</v>
      </c>
      <c r="E2880" s="1">
        <f t="shared" si="264"/>
        <v>1</v>
      </c>
      <c r="F2880" s="1">
        <f>_xlfn.XLOOKUP($C2880, 'Instrument Table'!$B:$B, 'Instrument Table'!$A:$A, "")</f>
        <v>50</v>
      </c>
      <c r="G2880" s="1" t="str">
        <f>TEXT(IF($B2880 = "Retail Item", IF((ROW($A2880) - 4504 - _xlfn.XMATCH($C2880, $C$4506:$C$5005, 0, 1)) &lt;= VLOOKUP($C2880, 'Instrument Table'!$B:$D, 3, FALSE), ROW($A2880) - 4504 - _xlfn.XMATCH($C2880, $C$4506:$C$5005, 0, 1), 0), 0), "00")</f>
        <v>00</v>
      </c>
      <c r="H2880" s="1" t="str">
        <f t="shared" si="265"/>
        <v>074</v>
      </c>
      <c r="I2880" s="1" t="str">
        <f t="shared" si="266"/>
        <v>15000-074</v>
      </c>
      <c r="J2880" s="1" t="str">
        <f t="shared" si="267"/>
        <v>Snare drum production item #074</v>
      </c>
      <c r="K2880" s="1" t="str">
        <f>IF(SUM(COUNTIFS(I:I, I2880)) &gt; 1, "DUPLICATE", "UNIQUE")</f>
        <v>UNIQUE</v>
      </c>
      <c r="L2880" s="18">
        <v>1</v>
      </c>
      <c r="M2880" s="28">
        <v>43</v>
      </c>
      <c r="N2880" s="6">
        <v>256</v>
      </c>
      <c r="O2880" s="30">
        <f t="shared" si="268"/>
        <v>43</v>
      </c>
      <c r="P2880" s="30">
        <f t="shared" si="269"/>
        <v>11008</v>
      </c>
      <c r="Q2880" s="1">
        <f>COUNTIFS($P:$P, "&gt;" &amp; $P2880) + 1</f>
        <v>1682</v>
      </c>
      <c r="R2880" s="63">
        <f>(COUNTIFS($P:$P, "&gt;" &amp; $P2880) + 1) / (COUNTA($I:$I) - 1)</f>
        <v>0.33639999999999998</v>
      </c>
      <c r="S2880" s="23">
        <f>SUMIFS($P:$P, $Q:$Q, "&lt;" &amp; $Q2880)</f>
        <v>177016604</v>
      </c>
    </row>
    <row r="2881" spans="1:19" x14ac:dyDescent="0.25">
      <c r="A2881" s="1">
        <v>2876</v>
      </c>
      <c r="B2881" s="1" t="s">
        <v>2</v>
      </c>
      <c r="C2881" s="1" t="str">
        <f>IF($B2881 = "Production Item", _xlfn.XLOOKUP($A2881, 'Instrument Table'!$J:$J, 'Instrument Table'!$B:$B, $C2880), IF($B2881 = "Service Item", _xlfn.XLOOKUP($A2881, 'Instrument Table'!$I:$I, 'Instrument Table'!$B:$B, $C2880), _xlfn.XLOOKUP($A2881, 'Instrument Table'!$H:$H, 'Instrument Table'!$B:$B, $C2880)))</f>
        <v>Snare Drum</v>
      </c>
      <c r="D2881" s="1" t="str">
        <f>VLOOKUP($C2881, 'Instrument Table'!$B:$C, 2, FALSE)</f>
        <v>Percussion</v>
      </c>
      <c r="E2881" s="1">
        <f t="shared" si="264"/>
        <v>1</v>
      </c>
      <c r="F2881" s="1">
        <f>_xlfn.XLOOKUP($C2881, 'Instrument Table'!$B:$B, 'Instrument Table'!$A:$A, "")</f>
        <v>50</v>
      </c>
      <c r="G2881" s="1" t="str">
        <f>TEXT(IF($B2881 = "Retail Item", IF((ROW($A2881) - 4504 - _xlfn.XMATCH($C2881, $C$4506:$C$5005, 0, 1)) &lt;= VLOOKUP($C2881, 'Instrument Table'!$B:$D, 3, FALSE), ROW($A2881) - 4504 - _xlfn.XMATCH($C2881, $C$4506:$C$5005, 0, 1), 0), 0), "00")</f>
        <v>00</v>
      </c>
      <c r="H2881" s="1" t="str">
        <f t="shared" si="265"/>
        <v>075</v>
      </c>
      <c r="I2881" s="1" t="str">
        <f t="shared" si="266"/>
        <v>15000-075</v>
      </c>
      <c r="J2881" s="1" t="str">
        <f t="shared" si="267"/>
        <v>Snare drum production item #075</v>
      </c>
      <c r="K2881" s="1" t="str">
        <f>IF(SUM(COUNTIFS(I:I, I2881)) &gt; 1, "DUPLICATE", "UNIQUE")</f>
        <v>UNIQUE</v>
      </c>
      <c r="L2881" s="18">
        <v>1</v>
      </c>
      <c r="M2881" s="28">
        <v>45</v>
      </c>
      <c r="N2881" s="6">
        <v>289</v>
      </c>
      <c r="O2881" s="30">
        <f t="shared" si="268"/>
        <v>45</v>
      </c>
      <c r="P2881" s="30">
        <f t="shared" si="269"/>
        <v>13005</v>
      </c>
      <c r="Q2881" s="1">
        <f>COUNTIFS($P:$P, "&gt;" &amp; $P2881) + 1</f>
        <v>1497</v>
      </c>
      <c r="R2881" s="63">
        <f>(COUNTIFS($P:$P, "&gt;" &amp; $P2881) + 1) / (COUNTA($I:$I) - 1)</f>
        <v>0.2994</v>
      </c>
      <c r="S2881" s="23">
        <f>SUMIFS($P:$P, $Q:$Q, "&lt;" &amp; $Q2881)</f>
        <v>174800761</v>
      </c>
    </row>
    <row r="2882" spans="1:19" x14ac:dyDescent="0.25">
      <c r="A2882" s="1">
        <v>2877</v>
      </c>
      <c r="B2882" s="1" t="s">
        <v>2</v>
      </c>
      <c r="C2882" s="1" t="str">
        <f>IF($B2882 = "Production Item", _xlfn.XLOOKUP($A2882, 'Instrument Table'!$J:$J, 'Instrument Table'!$B:$B, $C2881), IF($B2882 = "Service Item", _xlfn.XLOOKUP($A2882, 'Instrument Table'!$I:$I, 'Instrument Table'!$B:$B, $C2881), _xlfn.XLOOKUP($A2882, 'Instrument Table'!$H:$H, 'Instrument Table'!$B:$B, $C2881)))</f>
        <v>Snare Drum</v>
      </c>
      <c r="D2882" s="1" t="str">
        <f>VLOOKUP($C2882, 'Instrument Table'!$B:$C, 2, FALSE)</f>
        <v>Percussion</v>
      </c>
      <c r="E2882" s="1">
        <f t="shared" si="264"/>
        <v>1</v>
      </c>
      <c r="F2882" s="1">
        <f>_xlfn.XLOOKUP($C2882, 'Instrument Table'!$B:$B, 'Instrument Table'!$A:$A, "")</f>
        <v>50</v>
      </c>
      <c r="G2882" s="1" t="str">
        <f>TEXT(IF($B2882 = "Retail Item", IF((ROW($A2882) - 4504 - _xlfn.XMATCH($C2882, $C$4506:$C$5005, 0, 1)) &lt;= VLOOKUP($C2882, 'Instrument Table'!$B:$D, 3, FALSE), ROW($A2882) - 4504 - _xlfn.XMATCH($C2882, $C$4506:$C$5005, 0, 1), 0), 0), "00")</f>
        <v>00</v>
      </c>
      <c r="H2882" s="1" t="str">
        <f t="shared" si="265"/>
        <v>076</v>
      </c>
      <c r="I2882" s="1" t="str">
        <f t="shared" si="266"/>
        <v>15000-076</v>
      </c>
      <c r="J2882" s="1" t="str">
        <f t="shared" si="267"/>
        <v>Snare drum production item #076</v>
      </c>
      <c r="K2882" s="1" t="str">
        <f>IF(SUM(COUNTIFS(I:I, I2882)) &gt; 1, "DUPLICATE", "UNIQUE")</f>
        <v>UNIQUE</v>
      </c>
      <c r="L2882" s="18">
        <v>0</v>
      </c>
      <c r="M2882" s="28">
        <v>73</v>
      </c>
      <c r="N2882" s="6">
        <v>289</v>
      </c>
      <c r="O2882" s="30">
        <f t="shared" si="268"/>
        <v>0</v>
      </c>
      <c r="P2882" s="30">
        <f t="shared" si="269"/>
        <v>21097</v>
      </c>
      <c r="Q2882" s="1">
        <f>COUNTIFS($P:$P, "&gt;" &amp; $P2882) + 1</f>
        <v>999</v>
      </c>
      <c r="R2882" s="63">
        <f>(COUNTIFS($P:$P, "&gt;" &amp; $P2882) + 1) / (COUNTA($I:$I) - 1)</f>
        <v>0.19980000000000001</v>
      </c>
      <c r="S2882" s="23">
        <f>SUMIFS($P:$P, $Q:$Q, "&lt;" &amp; $Q2882)</f>
        <v>166469848</v>
      </c>
    </row>
    <row r="2883" spans="1:19" x14ac:dyDescent="0.25">
      <c r="A2883" s="1">
        <v>2878</v>
      </c>
      <c r="B2883" s="1" t="s">
        <v>2</v>
      </c>
      <c r="C2883" s="1" t="str">
        <f>IF($B2883 = "Production Item", _xlfn.XLOOKUP($A2883, 'Instrument Table'!$J:$J, 'Instrument Table'!$B:$B, $C2882), IF($B2883 = "Service Item", _xlfn.XLOOKUP($A2883, 'Instrument Table'!$I:$I, 'Instrument Table'!$B:$B, $C2882), _xlfn.XLOOKUP($A2883, 'Instrument Table'!$H:$H, 'Instrument Table'!$B:$B, $C2882)))</f>
        <v>Snare Drum</v>
      </c>
      <c r="D2883" s="1" t="str">
        <f>VLOOKUP($C2883, 'Instrument Table'!$B:$C, 2, FALSE)</f>
        <v>Percussion</v>
      </c>
      <c r="E2883" s="1">
        <f t="shared" si="264"/>
        <v>1</v>
      </c>
      <c r="F2883" s="1">
        <f>_xlfn.XLOOKUP($C2883, 'Instrument Table'!$B:$B, 'Instrument Table'!$A:$A, "")</f>
        <v>50</v>
      </c>
      <c r="G2883" s="1" t="str">
        <f>TEXT(IF($B2883 = "Retail Item", IF((ROW($A2883) - 4504 - _xlfn.XMATCH($C2883, $C$4506:$C$5005, 0, 1)) &lt;= VLOOKUP($C2883, 'Instrument Table'!$B:$D, 3, FALSE), ROW($A2883) - 4504 - _xlfn.XMATCH($C2883, $C$4506:$C$5005, 0, 1), 0), 0), "00")</f>
        <v>00</v>
      </c>
      <c r="H2883" s="1" t="str">
        <f t="shared" si="265"/>
        <v>077</v>
      </c>
      <c r="I2883" s="1" t="str">
        <f t="shared" si="266"/>
        <v>15000-077</v>
      </c>
      <c r="J2883" s="1" t="str">
        <f t="shared" si="267"/>
        <v>Snare drum production item #077</v>
      </c>
      <c r="K2883" s="1" t="str">
        <f>IF(SUM(COUNTIFS(I:I, I2883)) &gt; 1, "DUPLICATE", "UNIQUE")</f>
        <v>UNIQUE</v>
      </c>
      <c r="L2883" s="18">
        <v>1</v>
      </c>
      <c r="M2883" s="28">
        <v>16</v>
      </c>
      <c r="N2883" s="6">
        <v>1</v>
      </c>
      <c r="O2883" s="30">
        <f t="shared" si="268"/>
        <v>16</v>
      </c>
      <c r="P2883" s="30">
        <f t="shared" si="269"/>
        <v>16</v>
      </c>
      <c r="Q2883" s="1">
        <f>COUNTIFS($P:$P, "&gt;" &amp; $P2883) + 1</f>
        <v>4705</v>
      </c>
      <c r="R2883" s="63">
        <f>(COUNTIFS($P:$P, "&gt;" &amp; $P2883) + 1) / (COUNTA($I:$I) - 1)</f>
        <v>0.94099999999999995</v>
      </c>
      <c r="S2883" s="23">
        <f>SUMIFS($P:$P, $Q:$Q, "&lt;" &amp; $Q2883)</f>
        <v>186547483</v>
      </c>
    </row>
    <row r="2884" spans="1:19" x14ac:dyDescent="0.25">
      <c r="A2884" s="1">
        <v>2879</v>
      </c>
      <c r="B2884" s="1" t="s">
        <v>2</v>
      </c>
      <c r="C2884" s="1" t="str">
        <f>IF($B2884 = "Production Item", _xlfn.XLOOKUP($A2884, 'Instrument Table'!$J:$J, 'Instrument Table'!$B:$B, $C2883), IF($B2884 = "Service Item", _xlfn.XLOOKUP($A2884, 'Instrument Table'!$I:$I, 'Instrument Table'!$B:$B, $C2883), _xlfn.XLOOKUP($A2884, 'Instrument Table'!$H:$H, 'Instrument Table'!$B:$B, $C2883)))</f>
        <v>Snare Drum</v>
      </c>
      <c r="D2884" s="1" t="str">
        <f>VLOOKUP($C2884, 'Instrument Table'!$B:$C, 2, FALSE)</f>
        <v>Percussion</v>
      </c>
      <c r="E2884" s="1">
        <f t="shared" si="264"/>
        <v>1</v>
      </c>
      <c r="F2884" s="1">
        <f>_xlfn.XLOOKUP($C2884, 'Instrument Table'!$B:$B, 'Instrument Table'!$A:$A, "")</f>
        <v>50</v>
      </c>
      <c r="G2884" s="1" t="str">
        <f>TEXT(IF($B2884 = "Retail Item", IF((ROW($A2884) - 4504 - _xlfn.XMATCH($C2884, $C$4506:$C$5005, 0, 1)) &lt;= VLOOKUP($C2884, 'Instrument Table'!$B:$D, 3, FALSE), ROW($A2884) - 4504 - _xlfn.XMATCH($C2884, $C$4506:$C$5005, 0, 1), 0), 0), "00")</f>
        <v>00</v>
      </c>
      <c r="H2884" s="1" t="str">
        <f t="shared" si="265"/>
        <v>078</v>
      </c>
      <c r="I2884" s="1" t="str">
        <f t="shared" si="266"/>
        <v>15000-078</v>
      </c>
      <c r="J2884" s="1" t="str">
        <f t="shared" si="267"/>
        <v>Snare drum production item #078</v>
      </c>
      <c r="K2884" s="1" t="str">
        <f>IF(SUM(COUNTIFS(I:I, I2884)) &gt; 1, "DUPLICATE", "UNIQUE")</f>
        <v>UNIQUE</v>
      </c>
      <c r="L2884" s="18">
        <v>1</v>
      </c>
      <c r="M2884" s="28">
        <v>28</v>
      </c>
      <c r="N2884" s="6">
        <v>64</v>
      </c>
      <c r="O2884" s="30">
        <f t="shared" si="268"/>
        <v>28</v>
      </c>
      <c r="P2884" s="30">
        <f t="shared" si="269"/>
        <v>1792</v>
      </c>
      <c r="Q2884" s="1">
        <f>COUNTIFS($P:$P, "&gt;" &amp; $P2884) + 1</f>
        <v>3339</v>
      </c>
      <c r="R2884" s="63">
        <f>(COUNTIFS($P:$P, "&gt;" &amp; $P2884) + 1) / (COUNTA($I:$I) - 1)</f>
        <v>0.66779999999999995</v>
      </c>
      <c r="S2884" s="23">
        <f>SUMIFS($P:$P, $Q:$Q, "&lt;" &amp; $Q2884)</f>
        <v>185680781</v>
      </c>
    </row>
    <row r="2885" spans="1:19" x14ac:dyDescent="0.25">
      <c r="A2885" s="1">
        <v>2880</v>
      </c>
      <c r="B2885" s="1" t="s">
        <v>2</v>
      </c>
      <c r="C2885" s="1" t="str">
        <f>IF($B2885 = "Production Item", _xlfn.XLOOKUP($A2885, 'Instrument Table'!$J:$J, 'Instrument Table'!$B:$B, $C2884), IF($B2885 = "Service Item", _xlfn.XLOOKUP($A2885, 'Instrument Table'!$I:$I, 'Instrument Table'!$B:$B, $C2884), _xlfn.XLOOKUP($A2885, 'Instrument Table'!$H:$H, 'Instrument Table'!$B:$B, $C2884)))</f>
        <v>Snare Drum</v>
      </c>
      <c r="D2885" s="1" t="str">
        <f>VLOOKUP($C2885, 'Instrument Table'!$B:$C, 2, FALSE)</f>
        <v>Percussion</v>
      </c>
      <c r="E2885" s="1">
        <f t="shared" si="264"/>
        <v>1</v>
      </c>
      <c r="F2885" s="1">
        <f>_xlfn.XLOOKUP($C2885, 'Instrument Table'!$B:$B, 'Instrument Table'!$A:$A, "")</f>
        <v>50</v>
      </c>
      <c r="G2885" s="1" t="str">
        <f>TEXT(IF($B2885 = "Retail Item", IF((ROW($A2885) - 4504 - _xlfn.XMATCH($C2885, $C$4506:$C$5005, 0, 1)) &lt;= VLOOKUP($C2885, 'Instrument Table'!$B:$D, 3, FALSE), ROW($A2885) - 4504 - _xlfn.XMATCH($C2885, $C$4506:$C$5005, 0, 1), 0), 0), "00")</f>
        <v>00</v>
      </c>
      <c r="H2885" s="1" t="str">
        <f t="shared" si="265"/>
        <v>079</v>
      </c>
      <c r="I2885" s="1" t="str">
        <f t="shared" si="266"/>
        <v>15000-079</v>
      </c>
      <c r="J2885" s="1" t="str">
        <f t="shared" si="267"/>
        <v>Snare drum production item #079</v>
      </c>
      <c r="K2885" s="1" t="str">
        <f>IF(SUM(COUNTIFS(I:I, I2885)) &gt; 1, "DUPLICATE", "UNIQUE")</f>
        <v>UNIQUE</v>
      </c>
      <c r="L2885" s="18">
        <v>8</v>
      </c>
      <c r="M2885" s="28">
        <v>43</v>
      </c>
      <c r="N2885" s="6">
        <v>169</v>
      </c>
      <c r="O2885" s="30">
        <f t="shared" si="268"/>
        <v>344</v>
      </c>
      <c r="P2885" s="30">
        <f t="shared" si="269"/>
        <v>7267</v>
      </c>
      <c r="Q2885" s="1">
        <f>COUNTIFS($P:$P, "&gt;" &amp; $P2885) + 1</f>
        <v>2100</v>
      </c>
      <c r="R2885" s="63">
        <f>(COUNTIFS($P:$P, "&gt;" &amp; $P2885) + 1) / (COUNTA($I:$I) - 1)</f>
        <v>0.42</v>
      </c>
      <c r="S2885" s="23">
        <f>SUMIFS($P:$P, $Q:$Q, "&lt;" &amp; $Q2885)</f>
        <v>180758693</v>
      </c>
    </row>
    <row r="2886" spans="1:19" x14ac:dyDescent="0.25">
      <c r="A2886" s="1">
        <v>2881</v>
      </c>
      <c r="B2886" s="1" t="s">
        <v>2</v>
      </c>
      <c r="C2886" s="1" t="str">
        <f>IF($B2886 = "Production Item", _xlfn.XLOOKUP($A2886, 'Instrument Table'!$J:$J, 'Instrument Table'!$B:$B, $C2885), IF($B2886 = "Service Item", _xlfn.XLOOKUP($A2886, 'Instrument Table'!$I:$I, 'Instrument Table'!$B:$B, $C2885), _xlfn.XLOOKUP($A2886, 'Instrument Table'!$H:$H, 'Instrument Table'!$B:$B, $C2885)))</f>
        <v>Snare Drum</v>
      </c>
      <c r="D2886" s="1" t="str">
        <f>VLOOKUP($C2886, 'Instrument Table'!$B:$C, 2, FALSE)</f>
        <v>Percussion</v>
      </c>
      <c r="E2886" s="1">
        <f t="shared" si="264"/>
        <v>1</v>
      </c>
      <c r="F2886" s="1">
        <f>_xlfn.XLOOKUP($C2886, 'Instrument Table'!$B:$B, 'Instrument Table'!$A:$A, "")</f>
        <v>50</v>
      </c>
      <c r="G2886" s="1" t="str">
        <f>TEXT(IF($B2886 = "Retail Item", IF((ROW($A2886) - 4504 - _xlfn.XMATCH($C2886, $C$4506:$C$5005, 0, 1)) &lt;= VLOOKUP($C2886, 'Instrument Table'!$B:$D, 3, FALSE), ROW($A2886) - 4504 - _xlfn.XMATCH($C2886, $C$4506:$C$5005, 0, 1), 0), 0), "00")</f>
        <v>00</v>
      </c>
      <c r="H2886" s="1" t="str">
        <f t="shared" si="265"/>
        <v>080</v>
      </c>
      <c r="I2886" s="1" t="str">
        <f t="shared" si="266"/>
        <v>15000-080</v>
      </c>
      <c r="J2886" s="1" t="str">
        <f t="shared" si="267"/>
        <v>Snare drum production item #080</v>
      </c>
      <c r="K2886" s="1" t="str">
        <f>IF(SUM(COUNTIFS(I:I, I2886)) &gt; 1, "DUPLICATE", "UNIQUE")</f>
        <v>UNIQUE</v>
      </c>
      <c r="L2886" s="18">
        <v>8</v>
      </c>
      <c r="M2886" s="28">
        <v>90</v>
      </c>
      <c r="N2886" s="6">
        <v>36</v>
      </c>
      <c r="O2886" s="30">
        <f t="shared" si="268"/>
        <v>720</v>
      </c>
      <c r="P2886" s="30">
        <f t="shared" si="269"/>
        <v>3240</v>
      </c>
      <c r="Q2886" s="1">
        <f>COUNTIFS($P:$P, "&gt;" &amp; $P2886) + 1</f>
        <v>2839</v>
      </c>
      <c r="R2886" s="63">
        <f>(COUNTIFS($P:$P, "&gt;" &amp; $P2886) + 1) / (COUNTA($I:$I) - 1)</f>
        <v>0.56779999999999997</v>
      </c>
      <c r="S2886" s="23">
        <f>SUMIFS($P:$P, $Q:$Q, "&lt;" &amp; $Q2886)</f>
        <v>184456190</v>
      </c>
    </row>
    <row r="2887" spans="1:19" x14ac:dyDescent="0.25">
      <c r="A2887" s="1">
        <v>2882</v>
      </c>
      <c r="B2887" s="1" t="s">
        <v>2</v>
      </c>
      <c r="C2887" s="1" t="str">
        <f>IF($B2887 = "Production Item", _xlfn.XLOOKUP($A2887, 'Instrument Table'!$J:$J, 'Instrument Table'!$B:$B, $C2886), IF($B2887 = "Service Item", _xlfn.XLOOKUP($A2887, 'Instrument Table'!$I:$I, 'Instrument Table'!$B:$B, $C2886), _xlfn.XLOOKUP($A2887, 'Instrument Table'!$H:$H, 'Instrument Table'!$B:$B, $C2886)))</f>
        <v>Snare Drum</v>
      </c>
      <c r="D2887" s="1" t="str">
        <f>VLOOKUP($C2887, 'Instrument Table'!$B:$C, 2, FALSE)</f>
        <v>Percussion</v>
      </c>
      <c r="E2887" s="1">
        <f t="shared" ref="E2887:E2950" si="270">IF($B2887 = "Production Item", 1, IF($B2887 = "Service Item", 2, IF($B2887 = "Retail Item", 3, "")))</f>
        <v>1</v>
      </c>
      <c r="F2887" s="1">
        <f>_xlfn.XLOOKUP($C2887, 'Instrument Table'!$B:$B, 'Instrument Table'!$A:$A, "")</f>
        <v>50</v>
      </c>
      <c r="G2887" s="1" t="str">
        <f>TEXT(IF($B2887 = "Retail Item", IF((ROW($A2887) - 4504 - _xlfn.XMATCH($C2887, $C$4506:$C$5005, 0, 1)) &lt;= VLOOKUP($C2887, 'Instrument Table'!$B:$D, 3, FALSE), ROW($A2887) - 4504 - _xlfn.XMATCH($C2887, $C$4506:$C$5005, 0, 1), 0), 0), "00")</f>
        <v>00</v>
      </c>
      <c r="H2887" s="1" t="str">
        <f t="shared" ref="H2887:H2950" si="271">TEXT(IF($E2887 &amp; $F2887 &amp; $G2887 = $E2886 &amp; $F2886 &amp; $G2886, 1 + H2886, 0), "000")</f>
        <v>081</v>
      </c>
      <c r="I2887" s="1" t="str">
        <f t="shared" ref="I2887:I2950" si="272" xml:space="preserve"> _xlfn.CONCAT($E2887, $F2887, $G2887, "-", H2887)</f>
        <v>15000-081</v>
      </c>
      <c r="J2887" s="1" t="str">
        <f t="shared" ref="J2887:J2950" si="273">LEFT($C2887, 1) &amp; LOWER(RIGHT($C2887, LEN($C2887) - 1)) &amp; IF(AND($G2887 &lt;&gt; "00", $B2887 = "Retail Item"), " model #" &amp; $G2887, " " &amp; LOWER($B2887) &amp; " #" &amp; $H2887)</f>
        <v>Snare drum production item #081</v>
      </c>
      <c r="K2887" s="1" t="str">
        <f>IF(SUM(COUNTIFS(I:I, I2887)) &gt; 1, "DUPLICATE", "UNIQUE")</f>
        <v>UNIQUE</v>
      </c>
      <c r="L2887" s="18">
        <v>4</v>
      </c>
      <c r="M2887" s="28">
        <v>74</v>
      </c>
      <c r="N2887" s="6">
        <v>121</v>
      </c>
      <c r="O2887" s="30">
        <f t="shared" ref="O2887:O2950" si="274">$L2887 * $M2887</f>
        <v>296</v>
      </c>
      <c r="P2887" s="30">
        <f t="shared" ref="P2887:P2950" si="275">$N2887 * $M2887</f>
        <v>8954</v>
      </c>
      <c r="Q2887" s="1">
        <f>COUNTIFS($P:$P, "&gt;" &amp; $P2887) + 1</f>
        <v>1879</v>
      </c>
      <c r="R2887" s="63">
        <f>(COUNTIFS($P:$P, "&gt;" &amp; $P2887) + 1) / (COUNTA($I:$I) - 1)</f>
        <v>0.37580000000000002</v>
      </c>
      <c r="S2887" s="23">
        <f>SUMIFS($P:$P, $Q:$Q, "&lt;" &amp; $Q2887)</f>
        <v>178976955</v>
      </c>
    </row>
    <row r="2888" spans="1:19" x14ac:dyDescent="0.25">
      <c r="A2888" s="1">
        <v>2883</v>
      </c>
      <c r="B2888" s="1" t="s">
        <v>2</v>
      </c>
      <c r="C2888" s="1" t="str">
        <f>IF($B2888 = "Production Item", _xlfn.XLOOKUP($A2888, 'Instrument Table'!$J:$J, 'Instrument Table'!$B:$B, $C2887), IF($B2888 = "Service Item", _xlfn.XLOOKUP($A2888, 'Instrument Table'!$I:$I, 'Instrument Table'!$B:$B, $C2887), _xlfn.XLOOKUP($A2888, 'Instrument Table'!$H:$H, 'Instrument Table'!$B:$B, $C2887)))</f>
        <v>Snare Drum</v>
      </c>
      <c r="D2888" s="1" t="str">
        <f>VLOOKUP($C2888, 'Instrument Table'!$B:$C, 2, FALSE)</f>
        <v>Percussion</v>
      </c>
      <c r="E2888" s="1">
        <f t="shared" si="270"/>
        <v>1</v>
      </c>
      <c r="F2888" s="1">
        <f>_xlfn.XLOOKUP($C2888, 'Instrument Table'!$B:$B, 'Instrument Table'!$A:$A, "")</f>
        <v>50</v>
      </c>
      <c r="G2888" s="1" t="str">
        <f>TEXT(IF($B2888 = "Retail Item", IF((ROW($A2888) - 4504 - _xlfn.XMATCH($C2888, $C$4506:$C$5005, 0, 1)) &lt;= VLOOKUP($C2888, 'Instrument Table'!$B:$D, 3, FALSE), ROW($A2888) - 4504 - _xlfn.XMATCH($C2888, $C$4506:$C$5005, 0, 1), 0), 0), "00")</f>
        <v>00</v>
      </c>
      <c r="H2888" s="1" t="str">
        <f t="shared" si="271"/>
        <v>082</v>
      </c>
      <c r="I2888" s="1" t="str">
        <f t="shared" si="272"/>
        <v>15000-082</v>
      </c>
      <c r="J2888" s="1" t="str">
        <f t="shared" si="273"/>
        <v>Snare drum production item #082</v>
      </c>
      <c r="K2888" s="1" t="str">
        <f>IF(SUM(COUNTIFS(I:I, I2888)) &gt; 1, "DUPLICATE", "UNIQUE")</f>
        <v>UNIQUE</v>
      </c>
      <c r="L2888" s="18">
        <v>1</v>
      </c>
      <c r="M2888" s="28">
        <v>46</v>
      </c>
      <c r="N2888" s="6">
        <v>100</v>
      </c>
      <c r="O2888" s="30">
        <f t="shared" si="274"/>
        <v>46</v>
      </c>
      <c r="P2888" s="30">
        <f t="shared" si="275"/>
        <v>4600</v>
      </c>
      <c r="Q2888" s="1">
        <f>COUNTIFS($P:$P, "&gt;" &amp; $P2888) + 1</f>
        <v>2524</v>
      </c>
      <c r="R2888" s="63">
        <f>(COUNTIFS($P:$P, "&gt;" &amp; $P2888) + 1) / (COUNTA($I:$I) - 1)</f>
        <v>0.50480000000000003</v>
      </c>
      <c r="S2888" s="23">
        <f>SUMIFS($P:$P, $Q:$Q, "&lt;" &amp; $Q2888)</f>
        <v>183226841</v>
      </c>
    </row>
    <row r="2889" spans="1:19" x14ac:dyDescent="0.25">
      <c r="A2889" s="1">
        <v>2884</v>
      </c>
      <c r="B2889" s="1" t="s">
        <v>2</v>
      </c>
      <c r="C2889" s="1" t="str">
        <f>IF($B2889 = "Production Item", _xlfn.XLOOKUP($A2889, 'Instrument Table'!$J:$J, 'Instrument Table'!$B:$B, $C2888), IF($B2889 = "Service Item", _xlfn.XLOOKUP($A2889, 'Instrument Table'!$I:$I, 'Instrument Table'!$B:$B, $C2888), _xlfn.XLOOKUP($A2889, 'Instrument Table'!$H:$H, 'Instrument Table'!$B:$B, $C2888)))</f>
        <v>Snare Drum</v>
      </c>
      <c r="D2889" s="1" t="str">
        <f>VLOOKUP($C2889, 'Instrument Table'!$B:$C, 2, FALSE)</f>
        <v>Percussion</v>
      </c>
      <c r="E2889" s="1">
        <f t="shared" si="270"/>
        <v>1</v>
      </c>
      <c r="F2889" s="1">
        <f>_xlfn.XLOOKUP($C2889, 'Instrument Table'!$B:$B, 'Instrument Table'!$A:$A, "")</f>
        <v>50</v>
      </c>
      <c r="G2889" s="1" t="str">
        <f>TEXT(IF($B2889 = "Retail Item", IF((ROW($A2889) - 4504 - _xlfn.XMATCH($C2889, $C$4506:$C$5005, 0, 1)) &lt;= VLOOKUP($C2889, 'Instrument Table'!$B:$D, 3, FALSE), ROW($A2889) - 4504 - _xlfn.XMATCH($C2889, $C$4506:$C$5005, 0, 1), 0), 0), "00")</f>
        <v>00</v>
      </c>
      <c r="H2889" s="1" t="str">
        <f t="shared" si="271"/>
        <v>083</v>
      </c>
      <c r="I2889" s="1" t="str">
        <f t="shared" si="272"/>
        <v>15000-083</v>
      </c>
      <c r="J2889" s="1" t="str">
        <f t="shared" si="273"/>
        <v>Snare drum production item #083</v>
      </c>
      <c r="K2889" s="1" t="str">
        <f>IF(SUM(COUNTIFS(I:I, I2889)) &gt; 1, "DUPLICATE", "UNIQUE")</f>
        <v>UNIQUE</v>
      </c>
      <c r="L2889" s="18">
        <v>0</v>
      </c>
      <c r="M2889" s="28">
        <v>36</v>
      </c>
      <c r="N2889" s="6">
        <v>196</v>
      </c>
      <c r="O2889" s="30">
        <f t="shared" si="274"/>
        <v>0</v>
      </c>
      <c r="P2889" s="30">
        <f t="shared" si="275"/>
        <v>7056</v>
      </c>
      <c r="Q2889" s="1">
        <f>COUNTIFS($P:$P, "&gt;" &amp; $P2889) + 1</f>
        <v>2125</v>
      </c>
      <c r="R2889" s="63">
        <f>(COUNTIFS($P:$P, "&gt;" &amp; $P2889) + 1) / (COUNTA($I:$I) - 1)</f>
        <v>0.42499999999999999</v>
      </c>
      <c r="S2889" s="23">
        <f>SUMIFS($P:$P, $Q:$Q, "&lt;" &amp; $Q2889)</f>
        <v>180938988</v>
      </c>
    </row>
    <row r="2890" spans="1:19" x14ac:dyDescent="0.25">
      <c r="A2890" s="1">
        <v>2885</v>
      </c>
      <c r="B2890" s="1" t="s">
        <v>2</v>
      </c>
      <c r="C2890" s="1" t="str">
        <f>IF($B2890 = "Production Item", _xlfn.XLOOKUP($A2890, 'Instrument Table'!$J:$J, 'Instrument Table'!$B:$B, $C2889), IF($B2890 = "Service Item", _xlfn.XLOOKUP($A2890, 'Instrument Table'!$I:$I, 'Instrument Table'!$B:$B, $C2889), _xlfn.XLOOKUP($A2890, 'Instrument Table'!$H:$H, 'Instrument Table'!$B:$B, $C2889)))</f>
        <v>Snare Drum</v>
      </c>
      <c r="D2890" s="1" t="str">
        <f>VLOOKUP($C2890, 'Instrument Table'!$B:$C, 2, FALSE)</f>
        <v>Percussion</v>
      </c>
      <c r="E2890" s="1">
        <f t="shared" si="270"/>
        <v>1</v>
      </c>
      <c r="F2890" s="1">
        <f>_xlfn.XLOOKUP($C2890, 'Instrument Table'!$B:$B, 'Instrument Table'!$A:$A, "")</f>
        <v>50</v>
      </c>
      <c r="G2890" s="1" t="str">
        <f>TEXT(IF($B2890 = "Retail Item", IF((ROW($A2890) - 4504 - _xlfn.XMATCH($C2890, $C$4506:$C$5005, 0, 1)) &lt;= VLOOKUP($C2890, 'Instrument Table'!$B:$D, 3, FALSE), ROW($A2890) - 4504 - _xlfn.XMATCH($C2890, $C$4506:$C$5005, 0, 1), 0), 0), "00")</f>
        <v>00</v>
      </c>
      <c r="H2890" s="1" t="str">
        <f t="shared" si="271"/>
        <v>084</v>
      </c>
      <c r="I2890" s="1" t="str">
        <f t="shared" si="272"/>
        <v>15000-084</v>
      </c>
      <c r="J2890" s="1" t="str">
        <f t="shared" si="273"/>
        <v>Snare drum production item #084</v>
      </c>
      <c r="K2890" s="1" t="str">
        <f>IF(SUM(COUNTIFS(I:I, I2890)) &gt; 1, "DUPLICATE", "UNIQUE")</f>
        <v>UNIQUE</v>
      </c>
      <c r="L2890" s="18">
        <v>8</v>
      </c>
      <c r="M2890" s="28">
        <v>31</v>
      </c>
      <c r="N2890" s="6">
        <v>361</v>
      </c>
      <c r="O2890" s="30">
        <f t="shared" si="274"/>
        <v>248</v>
      </c>
      <c r="P2890" s="30">
        <f t="shared" si="275"/>
        <v>11191</v>
      </c>
      <c r="Q2890" s="1">
        <f>COUNTIFS($P:$P, "&gt;" &amp; $P2890) + 1</f>
        <v>1668</v>
      </c>
      <c r="R2890" s="63">
        <f>(COUNTIFS($P:$P, "&gt;" &amp; $P2890) + 1) / (COUNTA($I:$I) - 1)</f>
        <v>0.33360000000000001</v>
      </c>
      <c r="S2890" s="23">
        <f>SUMIFS($P:$P, $Q:$Q, "&lt;" &amp; $Q2890)</f>
        <v>176861155</v>
      </c>
    </row>
    <row r="2891" spans="1:19" x14ac:dyDescent="0.25">
      <c r="A2891" s="1">
        <v>2886</v>
      </c>
      <c r="B2891" s="1" t="s">
        <v>2</v>
      </c>
      <c r="C2891" s="1" t="str">
        <f>IF($B2891 = "Production Item", _xlfn.XLOOKUP($A2891, 'Instrument Table'!$J:$J, 'Instrument Table'!$B:$B, $C2890), IF($B2891 = "Service Item", _xlfn.XLOOKUP($A2891, 'Instrument Table'!$I:$I, 'Instrument Table'!$B:$B, $C2890), _xlfn.XLOOKUP($A2891, 'Instrument Table'!$H:$H, 'Instrument Table'!$B:$B, $C2890)))</f>
        <v>Snare Drum</v>
      </c>
      <c r="D2891" s="1" t="str">
        <f>VLOOKUP($C2891, 'Instrument Table'!$B:$C, 2, FALSE)</f>
        <v>Percussion</v>
      </c>
      <c r="E2891" s="1">
        <f t="shared" si="270"/>
        <v>1</v>
      </c>
      <c r="F2891" s="1">
        <f>_xlfn.XLOOKUP($C2891, 'Instrument Table'!$B:$B, 'Instrument Table'!$A:$A, "")</f>
        <v>50</v>
      </c>
      <c r="G2891" s="1" t="str">
        <f>TEXT(IF($B2891 = "Retail Item", IF((ROW($A2891) - 4504 - _xlfn.XMATCH($C2891, $C$4506:$C$5005, 0, 1)) &lt;= VLOOKUP($C2891, 'Instrument Table'!$B:$D, 3, FALSE), ROW($A2891) - 4504 - _xlfn.XMATCH($C2891, $C$4506:$C$5005, 0, 1), 0), 0), "00")</f>
        <v>00</v>
      </c>
      <c r="H2891" s="1" t="str">
        <f t="shared" si="271"/>
        <v>085</v>
      </c>
      <c r="I2891" s="1" t="str">
        <f t="shared" si="272"/>
        <v>15000-085</v>
      </c>
      <c r="J2891" s="1" t="str">
        <f t="shared" si="273"/>
        <v>Snare drum production item #085</v>
      </c>
      <c r="K2891" s="1" t="str">
        <f>IF(SUM(COUNTIFS(I:I, I2891)) &gt; 1, "DUPLICATE", "UNIQUE")</f>
        <v>UNIQUE</v>
      </c>
      <c r="L2891" s="18">
        <v>1</v>
      </c>
      <c r="M2891" s="28">
        <v>20</v>
      </c>
      <c r="N2891" s="6">
        <v>4</v>
      </c>
      <c r="O2891" s="30">
        <f t="shared" si="274"/>
        <v>20</v>
      </c>
      <c r="P2891" s="30">
        <f t="shared" si="275"/>
        <v>80</v>
      </c>
      <c r="Q2891" s="1">
        <f>COUNTIFS($P:$P, "&gt;" &amp; $P2891) + 1</f>
        <v>4514</v>
      </c>
      <c r="R2891" s="63">
        <f>(COUNTIFS($P:$P, "&gt;" &amp; $P2891) + 1) / (COUNTA($I:$I) - 1)</f>
        <v>0.90280000000000005</v>
      </c>
      <c r="S2891" s="23">
        <f>SUMIFS($P:$P, $Q:$Q, "&lt;" &amp; $Q2891)</f>
        <v>186538002</v>
      </c>
    </row>
    <row r="2892" spans="1:19" x14ac:dyDescent="0.25">
      <c r="A2892" s="1">
        <v>2887</v>
      </c>
      <c r="B2892" s="1" t="s">
        <v>2</v>
      </c>
      <c r="C2892" s="1" t="str">
        <f>IF($B2892 = "Production Item", _xlfn.XLOOKUP($A2892, 'Instrument Table'!$J:$J, 'Instrument Table'!$B:$B, $C2891), IF($B2892 = "Service Item", _xlfn.XLOOKUP($A2892, 'Instrument Table'!$I:$I, 'Instrument Table'!$B:$B, $C2891), _xlfn.XLOOKUP($A2892, 'Instrument Table'!$H:$H, 'Instrument Table'!$B:$B, $C2891)))</f>
        <v>Snare Drum</v>
      </c>
      <c r="D2892" s="1" t="str">
        <f>VLOOKUP($C2892, 'Instrument Table'!$B:$C, 2, FALSE)</f>
        <v>Percussion</v>
      </c>
      <c r="E2892" s="1">
        <f t="shared" si="270"/>
        <v>1</v>
      </c>
      <c r="F2892" s="1">
        <f>_xlfn.XLOOKUP($C2892, 'Instrument Table'!$B:$B, 'Instrument Table'!$A:$A, "")</f>
        <v>50</v>
      </c>
      <c r="G2892" s="1" t="str">
        <f>TEXT(IF($B2892 = "Retail Item", IF((ROW($A2892) - 4504 - _xlfn.XMATCH($C2892, $C$4506:$C$5005, 0, 1)) &lt;= VLOOKUP($C2892, 'Instrument Table'!$B:$D, 3, FALSE), ROW($A2892) - 4504 - _xlfn.XMATCH($C2892, $C$4506:$C$5005, 0, 1), 0), 0), "00")</f>
        <v>00</v>
      </c>
      <c r="H2892" s="1" t="str">
        <f t="shared" si="271"/>
        <v>086</v>
      </c>
      <c r="I2892" s="1" t="str">
        <f t="shared" si="272"/>
        <v>15000-086</v>
      </c>
      <c r="J2892" s="1" t="str">
        <f t="shared" si="273"/>
        <v>Snare drum production item #086</v>
      </c>
      <c r="K2892" s="1" t="str">
        <f>IF(SUM(COUNTIFS(I:I, I2892)) &gt; 1, "DUPLICATE", "UNIQUE")</f>
        <v>UNIQUE</v>
      </c>
      <c r="L2892" s="18">
        <v>0</v>
      </c>
      <c r="M2892" s="28">
        <v>47</v>
      </c>
      <c r="N2892" s="6">
        <v>16</v>
      </c>
      <c r="O2892" s="30">
        <f t="shared" si="274"/>
        <v>0</v>
      </c>
      <c r="P2892" s="30">
        <f t="shared" si="275"/>
        <v>752</v>
      </c>
      <c r="Q2892" s="1">
        <f>COUNTIFS($P:$P, "&gt;" &amp; $P2892) + 1</f>
        <v>3831</v>
      </c>
      <c r="R2892" s="63">
        <f>(COUNTIFS($P:$P, "&gt;" &amp; $P2892) + 1) / (COUNTA($I:$I) - 1)</f>
        <v>0.76619999999999999</v>
      </c>
      <c r="S2892" s="23">
        <f>SUMIFS($P:$P, $Q:$Q, "&lt;" &amp; $Q2892)</f>
        <v>186289506</v>
      </c>
    </row>
    <row r="2893" spans="1:19" x14ac:dyDescent="0.25">
      <c r="A2893" s="1">
        <v>2888</v>
      </c>
      <c r="B2893" s="1" t="s">
        <v>2</v>
      </c>
      <c r="C2893" s="1" t="str">
        <f>IF($B2893 = "Production Item", _xlfn.XLOOKUP($A2893, 'Instrument Table'!$J:$J, 'Instrument Table'!$B:$B, $C2892), IF($B2893 = "Service Item", _xlfn.XLOOKUP($A2893, 'Instrument Table'!$I:$I, 'Instrument Table'!$B:$B, $C2892), _xlfn.XLOOKUP($A2893, 'Instrument Table'!$H:$H, 'Instrument Table'!$B:$B, $C2892)))</f>
        <v>Snare Drum</v>
      </c>
      <c r="D2893" s="1" t="str">
        <f>VLOOKUP($C2893, 'Instrument Table'!$B:$C, 2, FALSE)</f>
        <v>Percussion</v>
      </c>
      <c r="E2893" s="1">
        <f t="shared" si="270"/>
        <v>1</v>
      </c>
      <c r="F2893" s="1">
        <f>_xlfn.XLOOKUP($C2893, 'Instrument Table'!$B:$B, 'Instrument Table'!$A:$A, "")</f>
        <v>50</v>
      </c>
      <c r="G2893" s="1" t="str">
        <f>TEXT(IF($B2893 = "Retail Item", IF((ROW($A2893) - 4504 - _xlfn.XMATCH($C2893, $C$4506:$C$5005, 0, 1)) &lt;= VLOOKUP($C2893, 'Instrument Table'!$B:$D, 3, FALSE), ROW($A2893) - 4504 - _xlfn.XMATCH($C2893, $C$4506:$C$5005, 0, 1), 0), 0), "00")</f>
        <v>00</v>
      </c>
      <c r="H2893" s="1" t="str">
        <f t="shared" si="271"/>
        <v>087</v>
      </c>
      <c r="I2893" s="1" t="str">
        <f t="shared" si="272"/>
        <v>15000-087</v>
      </c>
      <c r="J2893" s="1" t="str">
        <f t="shared" si="273"/>
        <v>Snare drum production item #087</v>
      </c>
      <c r="K2893" s="1" t="str">
        <f>IF(SUM(COUNTIFS(I:I, I2893)) &gt; 1, "DUPLICATE", "UNIQUE")</f>
        <v>UNIQUE</v>
      </c>
      <c r="L2893" s="18">
        <v>1</v>
      </c>
      <c r="M2893" s="28">
        <v>9</v>
      </c>
      <c r="N2893" s="6">
        <v>49</v>
      </c>
      <c r="O2893" s="30">
        <f t="shared" si="274"/>
        <v>9</v>
      </c>
      <c r="P2893" s="30">
        <f t="shared" si="275"/>
        <v>441</v>
      </c>
      <c r="Q2893" s="1">
        <f>COUNTIFS($P:$P, "&gt;" &amp; $P2893) + 1</f>
        <v>4066</v>
      </c>
      <c r="R2893" s="63">
        <f>(COUNTIFS($P:$P, "&gt;" &amp; $P2893) + 1) / (COUNTA($I:$I) - 1)</f>
        <v>0.81320000000000003</v>
      </c>
      <c r="S2893" s="23">
        <f>SUMIFS($P:$P, $Q:$Q, "&lt;" &amp; $Q2893)</f>
        <v>186430642</v>
      </c>
    </row>
    <row r="2894" spans="1:19" x14ac:dyDescent="0.25">
      <c r="A2894" s="1">
        <v>2889</v>
      </c>
      <c r="B2894" s="1" t="s">
        <v>2</v>
      </c>
      <c r="C2894" s="1" t="str">
        <f>IF($B2894 = "Production Item", _xlfn.XLOOKUP($A2894, 'Instrument Table'!$J:$J, 'Instrument Table'!$B:$B, $C2893), IF($B2894 = "Service Item", _xlfn.XLOOKUP($A2894, 'Instrument Table'!$I:$I, 'Instrument Table'!$B:$B, $C2893), _xlfn.XLOOKUP($A2894, 'Instrument Table'!$H:$H, 'Instrument Table'!$B:$B, $C2893)))</f>
        <v>Snare Drum</v>
      </c>
      <c r="D2894" s="1" t="str">
        <f>VLOOKUP($C2894, 'Instrument Table'!$B:$C, 2, FALSE)</f>
        <v>Percussion</v>
      </c>
      <c r="E2894" s="1">
        <f t="shared" si="270"/>
        <v>1</v>
      </c>
      <c r="F2894" s="1">
        <f>_xlfn.XLOOKUP($C2894, 'Instrument Table'!$B:$B, 'Instrument Table'!$A:$A, "")</f>
        <v>50</v>
      </c>
      <c r="G2894" s="1" t="str">
        <f>TEXT(IF($B2894 = "Retail Item", IF((ROW($A2894) - 4504 - _xlfn.XMATCH($C2894, $C$4506:$C$5005, 0, 1)) &lt;= VLOOKUP($C2894, 'Instrument Table'!$B:$D, 3, FALSE), ROW($A2894) - 4504 - _xlfn.XMATCH($C2894, $C$4506:$C$5005, 0, 1), 0), 0), "00")</f>
        <v>00</v>
      </c>
      <c r="H2894" s="1" t="str">
        <f t="shared" si="271"/>
        <v>088</v>
      </c>
      <c r="I2894" s="1" t="str">
        <f t="shared" si="272"/>
        <v>15000-088</v>
      </c>
      <c r="J2894" s="1" t="str">
        <f t="shared" si="273"/>
        <v>Snare drum production item #088</v>
      </c>
      <c r="K2894" s="1" t="str">
        <f>IF(SUM(COUNTIFS(I:I, I2894)) &gt; 1, "DUPLICATE", "UNIQUE")</f>
        <v>UNIQUE</v>
      </c>
      <c r="L2894" s="18">
        <v>0</v>
      </c>
      <c r="M2894" s="28">
        <v>15</v>
      </c>
      <c r="N2894" s="6">
        <v>169</v>
      </c>
      <c r="O2894" s="30">
        <f t="shared" si="274"/>
        <v>0</v>
      </c>
      <c r="P2894" s="30">
        <f t="shared" si="275"/>
        <v>2535</v>
      </c>
      <c r="Q2894" s="1">
        <f>COUNTIFS($P:$P, "&gt;" &amp; $P2894) + 1</f>
        <v>3040</v>
      </c>
      <c r="R2894" s="63">
        <f>(COUNTIFS($P:$P, "&gt;" &amp; $P2894) + 1) / (COUNTA($I:$I) - 1)</f>
        <v>0.60799999999999998</v>
      </c>
      <c r="S2894" s="23">
        <f>SUMIFS($P:$P, $Q:$Q, "&lt;" &amp; $Q2894)</f>
        <v>185035417</v>
      </c>
    </row>
    <row r="2895" spans="1:19" x14ac:dyDescent="0.25">
      <c r="A2895" s="1">
        <v>2890</v>
      </c>
      <c r="B2895" s="1" t="s">
        <v>2</v>
      </c>
      <c r="C2895" s="1" t="str">
        <f>IF($B2895 = "Production Item", _xlfn.XLOOKUP($A2895, 'Instrument Table'!$J:$J, 'Instrument Table'!$B:$B, $C2894), IF($B2895 = "Service Item", _xlfn.XLOOKUP($A2895, 'Instrument Table'!$I:$I, 'Instrument Table'!$B:$B, $C2894), _xlfn.XLOOKUP($A2895, 'Instrument Table'!$H:$H, 'Instrument Table'!$B:$B, $C2894)))</f>
        <v>Snare Drum</v>
      </c>
      <c r="D2895" s="1" t="str">
        <f>VLOOKUP($C2895, 'Instrument Table'!$B:$C, 2, FALSE)</f>
        <v>Percussion</v>
      </c>
      <c r="E2895" s="1">
        <f t="shared" si="270"/>
        <v>1</v>
      </c>
      <c r="F2895" s="1">
        <f>_xlfn.XLOOKUP($C2895, 'Instrument Table'!$B:$B, 'Instrument Table'!$A:$A, "")</f>
        <v>50</v>
      </c>
      <c r="G2895" s="1" t="str">
        <f>TEXT(IF($B2895 = "Retail Item", IF((ROW($A2895) - 4504 - _xlfn.XMATCH($C2895, $C$4506:$C$5005, 0, 1)) &lt;= VLOOKUP($C2895, 'Instrument Table'!$B:$D, 3, FALSE), ROW($A2895) - 4504 - _xlfn.XMATCH($C2895, $C$4506:$C$5005, 0, 1), 0), 0), "00")</f>
        <v>00</v>
      </c>
      <c r="H2895" s="1" t="str">
        <f t="shared" si="271"/>
        <v>089</v>
      </c>
      <c r="I2895" s="1" t="str">
        <f t="shared" si="272"/>
        <v>15000-089</v>
      </c>
      <c r="J2895" s="1" t="str">
        <f t="shared" si="273"/>
        <v>Snare drum production item #089</v>
      </c>
      <c r="K2895" s="1" t="str">
        <f>IF(SUM(COUNTIFS(I:I, I2895)) &gt; 1, "DUPLICATE", "UNIQUE")</f>
        <v>UNIQUE</v>
      </c>
      <c r="L2895" s="18">
        <v>32</v>
      </c>
      <c r="M2895" s="28">
        <v>25</v>
      </c>
      <c r="N2895" s="6">
        <v>289</v>
      </c>
      <c r="O2895" s="30">
        <f t="shared" si="274"/>
        <v>800</v>
      </c>
      <c r="P2895" s="30">
        <f t="shared" si="275"/>
        <v>7225</v>
      </c>
      <c r="Q2895" s="1">
        <f>COUNTIFS($P:$P, "&gt;" &amp; $P2895) + 1</f>
        <v>2107</v>
      </c>
      <c r="R2895" s="63">
        <f>(COUNTIFS($P:$P, "&gt;" &amp; $P2895) + 1) / (COUNTA($I:$I) - 1)</f>
        <v>0.4214</v>
      </c>
      <c r="S2895" s="23">
        <f>SUMIFS($P:$P, $Q:$Q, "&lt;" &amp; $Q2895)</f>
        <v>180809507</v>
      </c>
    </row>
    <row r="2896" spans="1:19" x14ac:dyDescent="0.25">
      <c r="A2896" s="1">
        <v>2891</v>
      </c>
      <c r="B2896" s="1" t="s">
        <v>2</v>
      </c>
      <c r="C2896" s="1" t="str">
        <f>IF($B2896 = "Production Item", _xlfn.XLOOKUP($A2896, 'Instrument Table'!$J:$J, 'Instrument Table'!$B:$B, $C2895), IF($B2896 = "Service Item", _xlfn.XLOOKUP($A2896, 'Instrument Table'!$I:$I, 'Instrument Table'!$B:$B, $C2895), _xlfn.XLOOKUP($A2896, 'Instrument Table'!$H:$H, 'Instrument Table'!$B:$B, $C2895)))</f>
        <v>Snare Drum</v>
      </c>
      <c r="D2896" s="1" t="str">
        <f>VLOOKUP($C2896, 'Instrument Table'!$B:$C, 2, FALSE)</f>
        <v>Percussion</v>
      </c>
      <c r="E2896" s="1">
        <f t="shared" si="270"/>
        <v>1</v>
      </c>
      <c r="F2896" s="1">
        <f>_xlfn.XLOOKUP($C2896, 'Instrument Table'!$B:$B, 'Instrument Table'!$A:$A, "")</f>
        <v>50</v>
      </c>
      <c r="G2896" s="1" t="str">
        <f>TEXT(IF($B2896 = "Retail Item", IF((ROW($A2896) - 4504 - _xlfn.XMATCH($C2896, $C$4506:$C$5005, 0, 1)) &lt;= VLOOKUP($C2896, 'Instrument Table'!$B:$D, 3, FALSE), ROW($A2896) - 4504 - _xlfn.XMATCH($C2896, $C$4506:$C$5005, 0, 1), 0), 0), "00")</f>
        <v>00</v>
      </c>
      <c r="H2896" s="1" t="str">
        <f t="shared" si="271"/>
        <v>090</v>
      </c>
      <c r="I2896" s="1" t="str">
        <f t="shared" si="272"/>
        <v>15000-090</v>
      </c>
      <c r="J2896" s="1" t="str">
        <f t="shared" si="273"/>
        <v>Snare drum production item #090</v>
      </c>
      <c r="K2896" s="1" t="str">
        <f>IF(SUM(COUNTIFS(I:I, I2896)) &gt; 1, "DUPLICATE", "UNIQUE")</f>
        <v>UNIQUE</v>
      </c>
      <c r="L2896" s="18">
        <v>32</v>
      </c>
      <c r="M2896" s="28">
        <v>79</v>
      </c>
      <c r="N2896" s="6">
        <v>121</v>
      </c>
      <c r="O2896" s="30">
        <f t="shared" si="274"/>
        <v>2528</v>
      </c>
      <c r="P2896" s="30">
        <f t="shared" si="275"/>
        <v>9559</v>
      </c>
      <c r="Q2896" s="1">
        <f>COUNTIFS($P:$P, "&gt;" &amp; $P2896) + 1</f>
        <v>1809</v>
      </c>
      <c r="R2896" s="63">
        <f>(COUNTIFS($P:$P, "&gt;" &amp; $P2896) + 1) / (COUNTA($I:$I) - 1)</f>
        <v>0.36180000000000001</v>
      </c>
      <c r="S2896" s="23">
        <f>SUMIFS($P:$P, $Q:$Q, "&lt;" &amp; $Q2896)</f>
        <v>178328120</v>
      </c>
    </row>
    <row r="2897" spans="1:19" x14ac:dyDescent="0.25">
      <c r="A2897" s="1">
        <v>2892</v>
      </c>
      <c r="B2897" s="1" t="s">
        <v>2</v>
      </c>
      <c r="C2897" s="1" t="str">
        <f>IF($B2897 = "Production Item", _xlfn.XLOOKUP($A2897, 'Instrument Table'!$J:$J, 'Instrument Table'!$B:$B, $C2896), IF($B2897 = "Service Item", _xlfn.XLOOKUP($A2897, 'Instrument Table'!$I:$I, 'Instrument Table'!$B:$B, $C2896), _xlfn.XLOOKUP($A2897, 'Instrument Table'!$H:$H, 'Instrument Table'!$B:$B, $C2896)))</f>
        <v>Snare Drum</v>
      </c>
      <c r="D2897" s="1" t="str">
        <f>VLOOKUP($C2897, 'Instrument Table'!$B:$C, 2, FALSE)</f>
        <v>Percussion</v>
      </c>
      <c r="E2897" s="1">
        <f t="shared" si="270"/>
        <v>1</v>
      </c>
      <c r="F2897" s="1">
        <f>_xlfn.XLOOKUP($C2897, 'Instrument Table'!$B:$B, 'Instrument Table'!$A:$A, "")</f>
        <v>50</v>
      </c>
      <c r="G2897" s="1" t="str">
        <f>TEXT(IF($B2897 = "Retail Item", IF((ROW($A2897) - 4504 - _xlfn.XMATCH($C2897, $C$4506:$C$5005, 0, 1)) &lt;= VLOOKUP($C2897, 'Instrument Table'!$B:$D, 3, FALSE), ROW($A2897) - 4504 - _xlfn.XMATCH($C2897, $C$4506:$C$5005, 0, 1), 0), 0), "00")</f>
        <v>00</v>
      </c>
      <c r="H2897" s="1" t="str">
        <f t="shared" si="271"/>
        <v>091</v>
      </c>
      <c r="I2897" s="1" t="str">
        <f t="shared" si="272"/>
        <v>15000-091</v>
      </c>
      <c r="J2897" s="1" t="str">
        <f t="shared" si="273"/>
        <v>Snare drum production item #091</v>
      </c>
      <c r="K2897" s="1" t="str">
        <f>IF(SUM(COUNTIFS(I:I, I2897)) &gt; 1, "DUPLICATE", "UNIQUE")</f>
        <v>UNIQUE</v>
      </c>
      <c r="L2897" s="18">
        <v>0</v>
      </c>
      <c r="M2897" s="28">
        <v>71</v>
      </c>
      <c r="N2897" s="6">
        <v>49</v>
      </c>
      <c r="O2897" s="30">
        <f t="shared" si="274"/>
        <v>0</v>
      </c>
      <c r="P2897" s="30">
        <f t="shared" si="275"/>
        <v>3479</v>
      </c>
      <c r="Q2897" s="1">
        <f>COUNTIFS($P:$P, "&gt;" &amp; $P2897) + 1</f>
        <v>2782</v>
      </c>
      <c r="R2897" s="63">
        <f>(COUNTIFS($P:$P, "&gt;" &amp; $P2897) + 1) / (COUNTA($I:$I) - 1)</f>
        <v>0.55640000000000001</v>
      </c>
      <c r="S2897" s="23">
        <f>SUMIFS($P:$P, $Q:$Q, "&lt;" &amp; $Q2897)</f>
        <v>184263802</v>
      </c>
    </row>
    <row r="2898" spans="1:19" x14ac:dyDescent="0.25">
      <c r="A2898" s="1">
        <v>2893</v>
      </c>
      <c r="B2898" s="1" t="s">
        <v>2</v>
      </c>
      <c r="C2898" s="1" t="str">
        <f>IF($B2898 = "Production Item", _xlfn.XLOOKUP($A2898, 'Instrument Table'!$J:$J, 'Instrument Table'!$B:$B, $C2897), IF($B2898 = "Service Item", _xlfn.XLOOKUP($A2898, 'Instrument Table'!$I:$I, 'Instrument Table'!$B:$B, $C2897), _xlfn.XLOOKUP($A2898, 'Instrument Table'!$H:$H, 'Instrument Table'!$B:$B, $C2897)))</f>
        <v>Snare Drum</v>
      </c>
      <c r="D2898" s="1" t="str">
        <f>VLOOKUP($C2898, 'Instrument Table'!$B:$C, 2, FALSE)</f>
        <v>Percussion</v>
      </c>
      <c r="E2898" s="1">
        <f t="shared" si="270"/>
        <v>1</v>
      </c>
      <c r="F2898" s="1">
        <f>_xlfn.XLOOKUP($C2898, 'Instrument Table'!$B:$B, 'Instrument Table'!$A:$A, "")</f>
        <v>50</v>
      </c>
      <c r="G2898" s="1" t="str">
        <f>TEXT(IF($B2898 = "Retail Item", IF((ROW($A2898) - 4504 - _xlfn.XMATCH($C2898, $C$4506:$C$5005, 0, 1)) &lt;= VLOOKUP($C2898, 'Instrument Table'!$B:$D, 3, FALSE), ROW($A2898) - 4504 - _xlfn.XMATCH($C2898, $C$4506:$C$5005, 0, 1), 0), 0), "00")</f>
        <v>00</v>
      </c>
      <c r="H2898" s="1" t="str">
        <f t="shared" si="271"/>
        <v>092</v>
      </c>
      <c r="I2898" s="1" t="str">
        <f t="shared" si="272"/>
        <v>15000-092</v>
      </c>
      <c r="J2898" s="1" t="str">
        <f t="shared" si="273"/>
        <v>Snare drum production item #092</v>
      </c>
      <c r="K2898" s="1" t="str">
        <f>IF(SUM(COUNTIFS(I:I, I2898)) &gt; 1, "DUPLICATE", "UNIQUE")</f>
        <v>UNIQUE</v>
      </c>
      <c r="L2898" s="18">
        <v>0</v>
      </c>
      <c r="M2898" s="28">
        <v>36</v>
      </c>
      <c r="N2898" s="6">
        <v>1</v>
      </c>
      <c r="O2898" s="30">
        <f t="shared" si="274"/>
        <v>0</v>
      </c>
      <c r="P2898" s="30">
        <f t="shared" si="275"/>
        <v>36</v>
      </c>
      <c r="Q2898" s="1">
        <f>COUNTIFS($P:$P, "&gt;" &amp; $P2898) + 1</f>
        <v>4650</v>
      </c>
      <c r="R2898" s="63">
        <f>(COUNTIFS($P:$P, "&gt;" &amp; $P2898) + 1) / (COUNTA($I:$I) - 1)</f>
        <v>0.93</v>
      </c>
      <c r="S2898" s="23">
        <f>SUMIFS($P:$P, $Q:$Q, "&lt;" &amp; $Q2898)</f>
        <v>186546024</v>
      </c>
    </row>
    <row r="2899" spans="1:19" x14ac:dyDescent="0.25">
      <c r="A2899" s="1">
        <v>2894</v>
      </c>
      <c r="B2899" s="1" t="s">
        <v>2</v>
      </c>
      <c r="C2899" s="1" t="str">
        <f>IF($B2899 = "Production Item", _xlfn.XLOOKUP($A2899, 'Instrument Table'!$J:$J, 'Instrument Table'!$B:$B, $C2898), IF($B2899 = "Service Item", _xlfn.XLOOKUP($A2899, 'Instrument Table'!$I:$I, 'Instrument Table'!$B:$B, $C2898), _xlfn.XLOOKUP($A2899, 'Instrument Table'!$H:$H, 'Instrument Table'!$B:$B, $C2898)))</f>
        <v>Snare Drum</v>
      </c>
      <c r="D2899" s="1" t="str">
        <f>VLOOKUP($C2899, 'Instrument Table'!$B:$C, 2, FALSE)</f>
        <v>Percussion</v>
      </c>
      <c r="E2899" s="1">
        <f t="shared" si="270"/>
        <v>1</v>
      </c>
      <c r="F2899" s="1">
        <f>_xlfn.XLOOKUP($C2899, 'Instrument Table'!$B:$B, 'Instrument Table'!$A:$A, "")</f>
        <v>50</v>
      </c>
      <c r="G2899" s="1" t="str">
        <f>TEXT(IF($B2899 = "Retail Item", IF((ROW($A2899) - 4504 - _xlfn.XMATCH($C2899, $C$4506:$C$5005, 0, 1)) &lt;= VLOOKUP($C2899, 'Instrument Table'!$B:$D, 3, FALSE), ROW($A2899) - 4504 - _xlfn.XMATCH($C2899, $C$4506:$C$5005, 0, 1), 0), 0), "00")</f>
        <v>00</v>
      </c>
      <c r="H2899" s="1" t="str">
        <f t="shared" si="271"/>
        <v>093</v>
      </c>
      <c r="I2899" s="1" t="str">
        <f t="shared" si="272"/>
        <v>15000-093</v>
      </c>
      <c r="J2899" s="1" t="str">
        <f t="shared" si="273"/>
        <v>Snare drum production item #093</v>
      </c>
      <c r="K2899" s="1" t="str">
        <f>IF(SUM(COUNTIFS(I:I, I2899)) &gt; 1, "DUPLICATE", "UNIQUE")</f>
        <v>UNIQUE</v>
      </c>
      <c r="L2899" s="18">
        <v>16</v>
      </c>
      <c r="M2899" s="28">
        <v>70</v>
      </c>
      <c r="N2899" s="6">
        <v>25</v>
      </c>
      <c r="O2899" s="30">
        <f t="shared" si="274"/>
        <v>1120</v>
      </c>
      <c r="P2899" s="30">
        <f t="shared" si="275"/>
        <v>1750</v>
      </c>
      <c r="Q2899" s="1">
        <f>COUNTIFS($P:$P, "&gt;" &amp; $P2899) + 1</f>
        <v>3356</v>
      </c>
      <c r="R2899" s="63">
        <f>(COUNTIFS($P:$P, "&gt;" &amp; $P2899) + 1) / (COUNTA($I:$I) - 1)</f>
        <v>0.67120000000000002</v>
      </c>
      <c r="S2899" s="23">
        <f>SUMIFS($P:$P, $Q:$Q, "&lt;" &amp; $Q2899)</f>
        <v>185711037</v>
      </c>
    </row>
    <row r="2900" spans="1:19" x14ac:dyDescent="0.25">
      <c r="A2900" s="1">
        <v>2895</v>
      </c>
      <c r="B2900" s="1" t="s">
        <v>2</v>
      </c>
      <c r="C2900" s="1" t="str">
        <f>IF($B2900 = "Production Item", _xlfn.XLOOKUP($A2900, 'Instrument Table'!$J:$J, 'Instrument Table'!$B:$B, $C2899), IF($B2900 = "Service Item", _xlfn.XLOOKUP($A2900, 'Instrument Table'!$I:$I, 'Instrument Table'!$B:$B, $C2899), _xlfn.XLOOKUP($A2900, 'Instrument Table'!$H:$H, 'Instrument Table'!$B:$B, $C2899)))</f>
        <v>Snare Drum</v>
      </c>
      <c r="D2900" s="1" t="str">
        <f>VLOOKUP($C2900, 'Instrument Table'!$B:$C, 2, FALSE)</f>
        <v>Percussion</v>
      </c>
      <c r="E2900" s="1">
        <f t="shared" si="270"/>
        <v>1</v>
      </c>
      <c r="F2900" s="1">
        <f>_xlfn.XLOOKUP($C2900, 'Instrument Table'!$B:$B, 'Instrument Table'!$A:$A, "")</f>
        <v>50</v>
      </c>
      <c r="G2900" s="1" t="str">
        <f>TEXT(IF($B2900 = "Retail Item", IF((ROW($A2900) - 4504 - _xlfn.XMATCH($C2900, $C$4506:$C$5005, 0, 1)) &lt;= VLOOKUP($C2900, 'Instrument Table'!$B:$D, 3, FALSE), ROW($A2900) - 4504 - _xlfn.XMATCH($C2900, $C$4506:$C$5005, 0, 1), 0), 0), "00")</f>
        <v>00</v>
      </c>
      <c r="H2900" s="1" t="str">
        <f t="shared" si="271"/>
        <v>094</v>
      </c>
      <c r="I2900" s="1" t="str">
        <f t="shared" si="272"/>
        <v>15000-094</v>
      </c>
      <c r="J2900" s="1" t="str">
        <f t="shared" si="273"/>
        <v>Snare drum production item #094</v>
      </c>
      <c r="K2900" s="1" t="str">
        <f>IF(SUM(COUNTIFS(I:I, I2900)) &gt; 1, "DUPLICATE", "UNIQUE")</f>
        <v>UNIQUE</v>
      </c>
      <c r="L2900" s="18">
        <v>32</v>
      </c>
      <c r="M2900" s="28">
        <v>49</v>
      </c>
      <c r="N2900" s="6">
        <v>196</v>
      </c>
      <c r="O2900" s="30">
        <f t="shared" si="274"/>
        <v>1568</v>
      </c>
      <c r="P2900" s="30">
        <f t="shared" si="275"/>
        <v>9604</v>
      </c>
      <c r="Q2900" s="1">
        <f>COUNTIFS($P:$P, "&gt;" &amp; $P2900) + 1</f>
        <v>1805</v>
      </c>
      <c r="R2900" s="63">
        <f>(COUNTIFS($P:$P, "&gt;" &amp; $P2900) + 1) / (COUNTA($I:$I) - 1)</f>
        <v>0.36099999999999999</v>
      </c>
      <c r="S2900" s="23">
        <f>SUMIFS($P:$P, $Q:$Q, "&lt;" &amp; $Q2900)</f>
        <v>178289716</v>
      </c>
    </row>
    <row r="2901" spans="1:19" x14ac:dyDescent="0.25">
      <c r="A2901" s="1">
        <v>2896</v>
      </c>
      <c r="B2901" s="1" t="s">
        <v>2</v>
      </c>
      <c r="C2901" s="1" t="str">
        <f>IF($B2901 = "Production Item", _xlfn.XLOOKUP($A2901, 'Instrument Table'!$J:$J, 'Instrument Table'!$B:$B, $C2900), IF($B2901 = "Service Item", _xlfn.XLOOKUP($A2901, 'Instrument Table'!$I:$I, 'Instrument Table'!$B:$B, $C2900), _xlfn.XLOOKUP($A2901, 'Instrument Table'!$H:$H, 'Instrument Table'!$B:$B, $C2900)))</f>
        <v>Snare Drum</v>
      </c>
      <c r="D2901" s="1" t="str">
        <f>VLOOKUP($C2901, 'Instrument Table'!$B:$C, 2, FALSE)</f>
        <v>Percussion</v>
      </c>
      <c r="E2901" s="1">
        <f t="shared" si="270"/>
        <v>1</v>
      </c>
      <c r="F2901" s="1">
        <f>_xlfn.XLOOKUP($C2901, 'Instrument Table'!$B:$B, 'Instrument Table'!$A:$A, "")</f>
        <v>50</v>
      </c>
      <c r="G2901" s="1" t="str">
        <f>TEXT(IF($B2901 = "Retail Item", IF((ROW($A2901) - 4504 - _xlfn.XMATCH($C2901, $C$4506:$C$5005, 0, 1)) &lt;= VLOOKUP($C2901, 'Instrument Table'!$B:$D, 3, FALSE), ROW($A2901) - 4504 - _xlfn.XMATCH($C2901, $C$4506:$C$5005, 0, 1), 0), 0), "00")</f>
        <v>00</v>
      </c>
      <c r="H2901" s="1" t="str">
        <f t="shared" si="271"/>
        <v>095</v>
      </c>
      <c r="I2901" s="1" t="str">
        <f t="shared" si="272"/>
        <v>15000-095</v>
      </c>
      <c r="J2901" s="1" t="str">
        <f t="shared" si="273"/>
        <v>Snare drum production item #095</v>
      </c>
      <c r="K2901" s="1" t="str">
        <f>IF(SUM(COUNTIFS(I:I, I2901)) &gt; 1, "DUPLICATE", "UNIQUE")</f>
        <v>UNIQUE</v>
      </c>
      <c r="L2901" s="18">
        <v>0</v>
      </c>
      <c r="M2901" s="28">
        <v>32</v>
      </c>
      <c r="N2901" s="6">
        <v>36</v>
      </c>
      <c r="O2901" s="30">
        <f t="shared" si="274"/>
        <v>0</v>
      </c>
      <c r="P2901" s="30">
        <f t="shared" si="275"/>
        <v>1152</v>
      </c>
      <c r="Q2901" s="1">
        <f>COUNTIFS($P:$P, "&gt;" &amp; $P2901) + 1</f>
        <v>3621</v>
      </c>
      <c r="R2901" s="63">
        <f>(COUNTIFS($P:$P, "&gt;" &amp; $P2901) + 1) / (COUNTA($I:$I) - 1)</f>
        <v>0.72419999999999995</v>
      </c>
      <c r="S2901" s="23">
        <f>SUMIFS($P:$P, $Q:$Q, "&lt;" &amp; $Q2901)</f>
        <v>186094880</v>
      </c>
    </row>
    <row r="2902" spans="1:19" x14ac:dyDescent="0.25">
      <c r="A2902" s="1">
        <v>2897</v>
      </c>
      <c r="B2902" s="1" t="s">
        <v>2</v>
      </c>
      <c r="C2902" s="1" t="str">
        <f>IF($B2902 = "Production Item", _xlfn.XLOOKUP($A2902, 'Instrument Table'!$J:$J, 'Instrument Table'!$B:$B, $C2901), IF($B2902 = "Service Item", _xlfn.XLOOKUP($A2902, 'Instrument Table'!$I:$I, 'Instrument Table'!$B:$B, $C2901), _xlfn.XLOOKUP($A2902, 'Instrument Table'!$H:$H, 'Instrument Table'!$B:$B, $C2901)))</f>
        <v>Snare Drum</v>
      </c>
      <c r="D2902" s="1" t="str">
        <f>VLOOKUP($C2902, 'Instrument Table'!$B:$C, 2, FALSE)</f>
        <v>Percussion</v>
      </c>
      <c r="E2902" s="1">
        <f t="shared" si="270"/>
        <v>1</v>
      </c>
      <c r="F2902" s="1">
        <f>_xlfn.XLOOKUP($C2902, 'Instrument Table'!$B:$B, 'Instrument Table'!$A:$A, "")</f>
        <v>50</v>
      </c>
      <c r="G2902" s="1" t="str">
        <f>TEXT(IF($B2902 = "Retail Item", IF((ROW($A2902) - 4504 - _xlfn.XMATCH($C2902, $C$4506:$C$5005, 0, 1)) &lt;= VLOOKUP($C2902, 'Instrument Table'!$B:$D, 3, FALSE), ROW($A2902) - 4504 - _xlfn.XMATCH($C2902, $C$4506:$C$5005, 0, 1), 0), 0), "00")</f>
        <v>00</v>
      </c>
      <c r="H2902" s="1" t="str">
        <f t="shared" si="271"/>
        <v>096</v>
      </c>
      <c r="I2902" s="1" t="str">
        <f t="shared" si="272"/>
        <v>15000-096</v>
      </c>
      <c r="J2902" s="1" t="str">
        <f t="shared" si="273"/>
        <v>Snare drum production item #096</v>
      </c>
      <c r="K2902" s="1" t="str">
        <f>IF(SUM(COUNTIFS(I:I, I2902)) &gt; 1, "DUPLICATE", "UNIQUE")</f>
        <v>UNIQUE</v>
      </c>
      <c r="L2902" s="18">
        <v>0</v>
      </c>
      <c r="M2902" s="28">
        <v>97</v>
      </c>
      <c r="N2902" s="6">
        <v>225</v>
      </c>
      <c r="O2902" s="30">
        <f t="shared" si="274"/>
        <v>0</v>
      </c>
      <c r="P2902" s="30">
        <f t="shared" si="275"/>
        <v>21825</v>
      </c>
      <c r="Q2902" s="1">
        <f>COUNTIFS($P:$P, "&gt;" &amp; $P2902) + 1</f>
        <v>961</v>
      </c>
      <c r="R2902" s="63">
        <f>(COUNTIFS($P:$P, "&gt;" &amp; $P2902) + 1) / (COUNTA($I:$I) - 1)</f>
        <v>0.19220000000000001</v>
      </c>
      <c r="S2902" s="23">
        <f>SUMIFS($P:$P, $Q:$Q, "&lt;" &amp; $Q2902)</f>
        <v>165651656</v>
      </c>
    </row>
    <row r="2903" spans="1:19" x14ac:dyDescent="0.25">
      <c r="A2903" s="1">
        <v>2898</v>
      </c>
      <c r="B2903" s="1" t="s">
        <v>2</v>
      </c>
      <c r="C2903" s="1" t="str">
        <f>IF($B2903 = "Production Item", _xlfn.XLOOKUP($A2903, 'Instrument Table'!$J:$J, 'Instrument Table'!$B:$B, $C2902), IF($B2903 = "Service Item", _xlfn.XLOOKUP($A2903, 'Instrument Table'!$I:$I, 'Instrument Table'!$B:$B, $C2902), _xlfn.XLOOKUP($A2903, 'Instrument Table'!$H:$H, 'Instrument Table'!$B:$B, $C2902)))</f>
        <v>Snare Drum</v>
      </c>
      <c r="D2903" s="1" t="str">
        <f>VLOOKUP($C2903, 'Instrument Table'!$B:$C, 2, FALSE)</f>
        <v>Percussion</v>
      </c>
      <c r="E2903" s="1">
        <f t="shared" si="270"/>
        <v>1</v>
      </c>
      <c r="F2903" s="1">
        <f>_xlfn.XLOOKUP($C2903, 'Instrument Table'!$B:$B, 'Instrument Table'!$A:$A, "")</f>
        <v>50</v>
      </c>
      <c r="G2903" s="1" t="str">
        <f>TEXT(IF($B2903 = "Retail Item", IF((ROW($A2903) - 4504 - _xlfn.XMATCH($C2903, $C$4506:$C$5005, 0, 1)) &lt;= VLOOKUP($C2903, 'Instrument Table'!$B:$D, 3, FALSE), ROW($A2903) - 4504 - _xlfn.XMATCH($C2903, $C$4506:$C$5005, 0, 1), 0), 0), "00")</f>
        <v>00</v>
      </c>
      <c r="H2903" s="1" t="str">
        <f t="shared" si="271"/>
        <v>097</v>
      </c>
      <c r="I2903" s="1" t="str">
        <f t="shared" si="272"/>
        <v>15000-097</v>
      </c>
      <c r="J2903" s="1" t="str">
        <f t="shared" si="273"/>
        <v>Snare drum production item #097</v>
      </c>
      <c r="K2903" s="1" t="str">
        <f>IF(SUM(COUNTIFS(I:I, I2903)) &gt; 1, "DUPLICATE", "UNIQUE")</f>
        <v>UNIQUE</v>
      </c>
      <c r="L2903" s="18">
        <v>1</v>
      </c>
      <c r="M2903" s="28">
        <v>1</v>
      </c>
      <c r="N2903" s="6">
        <v>121</v>
      </c>
      <c r="O2903" s="30">
        <f t="shared" si="274"/>
        <v>1</v>
      </c>
      <c r="P2903" s="30">
        <f t="shared" si="275"/>
        <v>121</v>
      </c>
      <c r="Q2903" s="1">
        <f>COUNTIFS($P:$P, "&gt;" &amp; $P2903) + 1</f>
        <v>4425</v>
      </c>
      <c r="R2903" s="63">
        <f>(COUNTIFS($P:$P, "&gt;" &amp; $P2903) + 1) / (COUNTA($I:$I) - 1)</f>
        <v>0.88500000000000001</v>
      </c>
      <c r="S2903" s="23">
        <f>SUMIFS($P:$P, $Q:$Q, "&lt;" &amp; $Q2903)</f>
        <v>186529397</v>
      </c>
    </row>
    <row r="2904" spans="1:19" x14ac:dyDescent="0.25">
      <c r="A2904" s="1">
        <v>2899</v>
      </c>
      <c r="B2904" s="1" t="s">
        <v>2</v>
      </c>
      <c r="C2904" s="1" t="str">
        <f>IF($B2904 = "Production Item", _xlfn.XLOOKUP($A2904, 'Instrument Table'!$J:$J, 'Instrument Table'!$B:$B, $C2903), IF($B2904 = "Service Item", _xlfn.XLOOKUP($A2904, 'Instrument Table'!$I:$I, 'Instrument Table'!$B:$B, $C2903), _xlfn.XLOOKUP($A2904, 'Instrument Table'!$H:$H, 'Instrument Table'!$B:$B, $C2903)))</f>
        <v>Snare Drum</v>
      </c>
      <c r="D2904" s="1" t="str">
        <f>VLOOKUP($C2904, 'Instrument Table'!$B:$C, 2, FALSE)</f>
        <v>Percussion</v>
      </c>
      <c r="E2904" s="1">
        <f t="shared" si="270"/>
        <v>1</v>
      </c>
      <c r="F2904" s="1">
        <f>_xlfn.XLOOKUP($C2904, 'Instrument Table'!$B:$B, 'Instrument Table'!$A:$A, "")</f>
        <v>50</v>
      </c>
      <c r="G2904" s="1" t="str">
        <f>TEXT(IF($B2904 = "Retail Item", IF((ROW($A2904) - 4504 - _xlfn.XMATCH($C2904, $C$4506:$C$5005, 0, 1)) &lt;= VLOOKUP($C2904, 'Instrument Table'!$B:$D, 3, FALSE), ROW($A2904) - 4504 - _xlfn.XMATCH($C2904, $C$4506:$C$5005, 0, 1), 0), 0), "00")</f>
        <v>00</v>
      </c>
      <c r="H2904" s="1" t="str">
        <f t="shared" si="271"/>
        <v>098</v>
      </c>
      <c r="I2904" s="1" t="str">
        <f t="shared" si="272"/>
        <v>15000-098</v>
      </c>
      <c r="J2904" s="1" t="str">
        <f t="shared" si="273"/>
        <v>Snare drum production item #098</v>
      </c>
      <c r="K2904" s="1" t="str">
        <f>IF(SUM(COUNTIFS(I:I, I2904)) &gt; 1, "DUPLICATE", "UNIQUE")</f>
        <v>UNIQUE</v>
      </c>
      <c r="L2904" s="18">
        <v>0</v>
      </c>
      <c r="M2904" s="28">
        <v>55</v>
      </c>
      <c r="N2904" s="6">
        <v>196</v>
      </c>
      <c r="O2904" s="30">
        <f t="shared" si="274"/>
        <v>0</v>
      </c>
      <c r="P2904" s="30">
        <f t="shared" si="275"/>
        <v>10780</v>
      </c>
      <c r="Q2904" s="1">
        <f>COUNTIFS($P:$P, "&gt;" &amp; $P2904) + 1</f>
        <v>1710</v>
      </c>
      <c r="R2904" s="63">
        <f>(COUNTIFS($P:$P, "&gt;" &amp; $P2904) + 1) / (COUNTA($I:$I) - 1)</f>
        <v>0.34200000000000003</v>
      </c>
      <c r="S2904" s="23">
        <f>SUMIFS($P:$P, $Q:$Q, "&lt;" &amp; $Q2904)</f>
        <v>177321512</v>
      </c>
    </row>
    <row r="2905" spans="1:19" x14ac:dyDescent="0.25">
      <c r="A2905" s="1">
        <v>2900</v>
      </c>
      <c r="B2905" s="1" t="s">
        <v>2</v>
      </c>
      <c r="C2905" s="1" t="str">
        <f>IF($B2905 = "Production Item", _xlfn.XLOOKUP($A2905, 'Instrument Table'!$J:$J, 'Instrument Table'!$B:$B, $C2904), IF($B2905 = "Service Item", _xlfn.XLOOKUP($A2905, 'Instrument Table'!$I:$I, 'Instrument Table'!$B:$B, $C2904), _xlfn.XLOOKUP($A2905, 'Instrument Table'!$H:$H, 'Instrument Table'!$B:$B, $C2904)))</f>
        <v>Snare Drum</v>
      </c>
      <c r="D2905" s="1" t="str">
        <f>VLOOKUP($C2905, 'Instrument Table'!$B:$C, 2, FALSE)</f>
        <v>Percussion</v>
      </c>
      <c r="E2905" s="1">
        <f t="shared" si="270"/>
        <v>1</v>
      </c>
      <c r="F2905" s="1">
        <f>_xlfn.XLOOKUP($C2905, 'Instrument Table'!$B:$B, 'Instrument Table'!$A:$A, "")</f>
        <v>50</v>
      </c>
      <c r="G2905" s="1" t="str">
        <f>TEXT(IF($B2905 = "Retail Item", IF((ROW($A2905) - 4504 - _xlfn.XMATCH($C2905, $C$4506:$C$5005, 0, 1)) &lt;= VLOOKUP($C2905, 'Instrument Table'!$B:$D, 3, FALSE), ROW($A2905) - 4504 - _xlfn.XMATCH($C2905, $C$4506:$C$5005, 0, 1), 0), 0), "00")</f>
        <v>00</v>
      </c>
      <c r="H2905" s="1" t="str">
        <f t="shared" si="271"/>
        <v>099</v>
      </c>
      <c r="I2905" s="1" t="str">
        <f t="shared" si="272"/>
        <v>15000-099</v>
      </c>
      <c r="J2905" s="1" t="str">
        <f t="shared" si="273"/>
        <v>Snare drum production item #099</v>
      </c>
      <c r="K2905" s="1" t="str">
        <f>IF(SUM(COUNTIFS(I:I, I2905)) &gt; 1, "DUPLICATE", "UNIQUE")</f>
        <v>UNIQUE</v>
      </c>
      <c r="L2905" s="18">
        <v>2</v>
      </c>
      <c r="M2905" s="28">
        <v>40</v>
      </c>
      <c r="N2905" s="6">
        <v>169</v>
      </c>
      <c r="O2905" s="30">
        <f t="shared" si="274"/>
        <v>80</v>
      </c>
      <c r="P2905" s="30">
        <f t="shared" si="275"/>
        <v>6760</v>
      </c>
      <c r="Q2905" s="1">
        <f>COUNTIFS($P:$P, "&gt;" &amp; $P2905) + 1</f>
        <v>2178</v>
      </c>
      <c r="R2905" s="63">
        <f>(COUNTIFS($P:$P, "&gt;" &amp; $P2905) + 1) / (COUNTA($I:$I) - 1)</f>
        <v>0.43559999999999999</v>
      </c>
      <c r="S2905" s="23">
        <f>SUMIFS($P:$P, $Q:$Q, "&lt;" &amp; $Q2905)</f>
        <v>181304892</v>
      </c>
    </row>
    <row r="2906" spans="1:19" x14ac:dyDescent="0.25">
      <c r="A2906" s="1">
        <v>2901</v>
      </c>
      <c r="B2906" s="1" t="s">
        <v>2</v>
      </c>
      <c r="C2906" s="1" t="str">
        <f>IF($B2906 = "Production Item", _xlfn.XLOOKUP($A2906, 'Instrument Table'!$J:$J, 'Instrument Table'!$B:$B, $C2905), IF($B2906 = "Service Item", _xlfn.XLOOKUP($A2906, 'Instrument Table'!$I:$I, 'Instrument Table'!$B:$B, $C2905), _xlfn.XLOOKUP($A2906, 'Instrument Table'!$H:$H, 'Instrument Table'!$B:$B, $C2905)))</f>
        <v>Snare Drum</v>
      </c>
      <c r="D2906" s="1" t="str">
        <f>VLOOKUP($C2906, 'Instrument Table'!$B:$C, 2, FALSE)</f>
        <v>Percussion</v>
      </c>
      <c r="E2906" s="1">
        <f t="shared" si="270"/>
        <v>1</v>
      </c>
      <c r="F2906" s="1">
        <f>_xlfn.XLOOKUP($C2906, 'Instrument Table'!$B:$B, 'Instrument Table'!$A:$A, "")</f>
        <v>50</v>
      </c>
      <c r="G2906" s="1" t="str">
        <f>TEXT(IF($B2906 = "Retail Item", IF((ROW($A2906) - 4504 - _xlfn.XMATCH($C2906, $C$4506:$C$5005, 0, 1)) &lt;= VLOOKUP($C2906, 'Instrument Table'!$B:$D, 3, FALSE), ROW($A2906) - 4504 - _xlfn.XMATCH($C2906, $C$4506:$C$5005, 0, 1), 0), 0), "00")</f>
        <v>00</v>
      </c>
      <c r="H2906" s="1" t="str">
        <f t="shared" si="271"/>
        <v>100</v>
      </c>
      <c r="I2906" s="1" t="str">
        <f t="shared" si="272"/>
        <v>15000-100</v>
      </c>
      <c r="J2906" s="1" t="str">
        <f t="shared" si="273"/>
        <v>Snare drum production item #100</v>
      </c>
      <c r="K2906" s="1" t="str">
        <f>IF(SUM(COUNTIFS(I:I, I2906)) &gt; 1, "DUPLICATE", "UNIQUE")</f>
        <v>UNIQUE</v>
      </c>
      <c r="L2906" s="18">
        <v>1</v>
      </c>
      <c r="M2906" s="28">
        <v>25</v>
      </c>
      <c r="N2906" s="6">
        <v>64</v>
      </c>
      <c r="O2906" s="30">
        <f t="shared" si="274"/>
        <v>25</v>
      </c>
      <c r="P2906" s="30">
        <f t="shared" si="275"/>
        <v>1600</v>
      </c>
      <c r="Q2906" s="1">
        <f>COUNTIFS($P:$P, "&gt;" &amp; $P2906) + 1</f>
        <v>3401</v>
      </c>
      <c r="R2906" s="63">
        <f>(COUNTIFS($P:$P, "&gt;" &amp; $P2906) + 1) / (COUNTA($I:$I) - 1)</f>
        <v>0.68020000000000003</v>
      </c>
      <c r="S2906" s="23">
        <f>SUMIFS($P:$P, $Q:$Q, "&lt;" &amp; $Q2906)</f>
        <v>185786623</v>
      </c>
    </row>
    <row r="2907" spans="1:19" x14ac:dyDescent="0.25">
      <c r="A2907" s="1">
        <v>2902</v>
      </c>
      <c r="B2907" s="1" t="s">
        <v>2</v>
      </c>
      <c r="C2907" s="1" t="str">
        <f>IF($B2907 = "Production Item", _xlfn.XLOOKUP($A2907, 'Instrument Table'!$J:$J, 'Instrument Table'!$B:$B, $C2906), IF($B2907 = "Service Item", _xlfn.XLOOKUP($A2907, 'Instrument Table'!$I:$I, 'Instrument Table'!$B:$B, $C2906), _xlfn.XLOOKUP($A2907, 'Instrument Table'!$H:$H, 'Instrument Table'!$B:$B, $C2906)))</f>
        <v>Snare Drum</v>
      </c>
      <c r="D2907" s="1" t="str">
        <f>VLOOKUP($C2907, 'Instrument Table'!$B:$C, 2, FALSE)</f>
        <v>Percussion</v>
      </c>
      <c r="E2907" s="1">
        <f t="shared" si="270"/>
        <v>1</v>
      </c>
      <c r="F2907" s="1">
        <f>_xlfn.XLOOKUP($C2907, 'Instrument Table'!$B:$B, 'Instrument Table'!$A:$A, "")</f>
        <v>50</v>
      </c>
      <c r="G2907" s="1" t="str">
        <f>TEXT(IF($B2907 = "Retail Item", IF((ROW($A2907) - 4504 - _xlfn.XMATCH($C2907, $C$4506:$C$5005, 0, 1)) &lt;= VLOOKUP($C2907, 'Instrument Table'!$B:$D, 3, FALSE), ROW($A2907) - 4504 - _xlfn.XMATCH($C2907, $C$4506:$C$5005, 0, 1), 0), 0), "00")</f>
        <v>00</v>
      </c>
      <c r="H2907" s="1" t="str">
        <f t="shared" si="271"/>
        <v>101</v>
      </c>
      <c r="I2907" s="1" t="str">
        <f t="shared" si="272"/>
        <v>15000-101</v>
      </c>
      <c r="J2907" s="1" t="str">
        <f t="shared" si="273"/>
        <v>Snare drum production item #101</v>
      </c>
      <c r="K2907" s="1" t="str">
        <f>IF(SUM(COUNTIFS(I:I, I2907)) &gt; 1, "DUPLICATE", "UNIQUE")</f>
        <v>UNIQUE</v>
      </c>
      <c r="L2907" s="18">
        <v>1</v>
      </c>
      <c r="M2907" s="28">
        <v>24</v>
      </c>
      <c r="N2907" s="6">
        <v>324</v>
      </c>
      <c r="O2907" s="30">
        <f t="shared" si="274"/>
        <v>24</v>
      </c>
      <c r="P2907" s="30">
        <f t="shared" si="275"/>
        <v>7776</v>
      </c>
      <c r="Q2907" s="1">
        <f>COUNTIFS($P:$P, "&gt;" &amp; $P2907) + 1</f>
        <v>2019</v>
      </c>
      <c r="R2907" s="63">
        <f>(COUNTIFS($P:$P, "&gt;" &amp; $P2907) + 1) / (COUNTA($I:$I) - 1)</f>
        <v>0.40379999999999999</v>
      </c>
      <c r="S2907" s="23">
        <f>SUMIFS($P:$P, $Q:$Q, "&lt;" &amp; $Q2907)</f>
        <v>180145621</v>
      </c>
    </row>
    <row r="2908" spans="1:19" x14ac:dyDescent="0.25">
      <c r="A2908" s="1">
        <v>2903</v>
      </c>
      <c r="B2908" s="1" t="s">
        <v>2</v>
      </c>
      <c r="C2908" s="1" t="str">
        <f>IF($B2908 = "Production Item", _xlfn.XLOOKUP($A2908, 'Instrument Table'!$J:$J, 'Instrument Table'!$B:$B, $C2907), IF($B2908 = "Service Item", _xlfn.XLOOKUP($A2908, 'Instrument Table'!$I:$I, 'Instrument Table'!$B:$B, $C2907), _xlfn.XLOOKUP($A2908, 'Instrument Table'!$H:$H, 'Instrument Table'!$B:$B, $C2907)))</f>
        <v>Snare Drum</v>
      </c>
      <c r="D2908" s="1" t="str">
        <f>VLOOKUP($C2908, 'Instrument Table'!$B:$C, 2, FALSE)</f>
        <v>Percussion</v>
      </c>
      <c r="E2908" s="1">
        <f t="shared" si="270"/>
        <v>1</v>
      </c>
      <c r="F2908" s="1">
        <f>_xlfn.XLOOKUP($C2908, 'Instrument Table'!$B:$B, 'Instrument Table'!$A:$A, "")</f>
        <v>50</v>
      </c>
      <c r="G2908" s="1" t="str">
        <f>TEXT(IF($B2908 = "Retail Item", IF((ROW($A2908) - 4504 - _xlfn.XMATCH($C2908, $C$4506:$C$5005, 0, 1)) &lt;= VLOOKUP($C2908, 'Instrument Table'!$B:$D, 3, FALSE), ROW($A2908) - 4504 - _xlfn.XMATCH($C2908, $C$4506:$C$5005, 0, 1), 0), 0), "00")</f>
        <v>00</v>
      </c>
      <c r="H2908" s="1" t="str">
        <f t="shared" si="271"/>
        <v>102</v>
      </c>
      <c r="I2908" s="1" t="str">
        <f t="shared" si="272"/>
        <v>15000-102</v>
      </c>
      <c r="J2908" s="1" t="str">
        <f t="shared" si="273"/>
        <v>Snare drum production item #102</v>
      </c>
      <c r="K2908" s="1" t="str">
        <f>IF(SUM(COUNTIFS(I:I, I2908)) &gt; 1, "DUPLICATE", "UNIQUE")</f>
        <v>UNIQUE</v>
      </c>
      <c r="L2908" s="18">
        <v>32</v>
      </c>
      <c r="M2908" s="28">
        <v>19</v>
      </c>
      <c r="N2908" s="6">
        <v>4</v>
      </c>
      <c r="O2908" s="30">
        <f t="shared" si="274"/>
        <v>608</v>
      </c>
      <c r="P2908" s="30">
        <f t="shared" si="275"/>
        <v>76</v>
      </c>
      <c r="Q2908" s="1">
        <f>COUNTIFS($P:$P, "&gt;" &amp; $P2908) + 1</f>
        <v>4523</v>
      </c>
      <c r="R2908" s="63">
        <f>(COUNTIFS($P:$P, "&gt;" &amp; $P2908) + 1) / (COUNTA($I:$I) - 1)</f>
        <v>0.90459999999999996</v>
      </c>
      <c r="S2908" s="23">
        <f>SUMIFS($P:$P, $Q:$Q, "&lt;" &amp; $Q2908)</f>
        <v>186538712</v>
      </c>
    </row>
    <row r="2909" spans="1:19" x14ac:dyDescent="0.25">
      <c r="A2909" s="1">
        <v>2904</v>
      </c>
      <c r="B2909" s="1" t="s">
        <v>2</v>
      </c>
      <c r="C2909" s="1" t="str">
        <f>IF($B2909 = "Production Item", _xlfn.XLOOKUP($A2909, 'Instrument Table'!$J:$J, 'Instrument Table'!$B:$B, $C2908), IF($B2909 = "Service Item", _xlfn.XLOOKUP($A2909, 'Instrument Table'!$I:$I, 'Instrument Table'!$B:$B, $C2908), _xlfn.XLOOKUP($A2909, 'Instrument Table'!$H:$H, 'Instrument Table'!$B:$B, $C2908)))</f>
        <v>Snare Drum</v>
      </c>
      <c r="D2909" s="1" t="str">
        <f>VLOOKUP($C2909, 'Instrument Table'!$B:$C, 2, FALSE)</f>
        <v>Percussion</v>
      </c>
      <c r="E2909" s="1">
        <f t="shared" si="270"/>
        <v>1</v>
      </c>
      <c r="F2909" s="1">
        <f>_xlfn.XLOOKUP($C2909, 'Instrument Table'!$B:$B, 'Instrument Table'!$A:$A, "")</f>
        <v>50</v>
      </c>
      <c r="G2909" s="1" t="str">
        <f>TEXT(IF($B2909 = "Retail Item", IF((ROW($A2909) - 4504 - _xlfn.XMATCH($C2909, $C$4506:$C$5005, 0, 1)) &lt;= VLOOKUP($C2909, 'Instrument Table'!$B:$D, 3, FALSE), ROW($A2909) - 4504 - _xlfn.XMATCH($C2909, $C$4506:$C$5005, 0, 1), 0), 0), "00")</f>
        <v>00</v>
      </c>
      <c r="H2909" s="1" t="str">
        <f t="shared" si="271"/>
        <v>103</v>
      </c>
      <c r="I2909" s="1" t="str">
        <f t="shared" si="272"/>
        <v>15000-103</v>
      </c>
      <c r="J2909" s="1" t="str">
        <f t="shared" si="273"/>
        <v>Snare drum production item #103</v>
      </c>
      <c r="K2909" s="1" t="str">
        <f>IF(SUM(COUNTIFS(I:I, I2909)) &gt; 1, "DUPLICATE", "UNIQUE")</f>
        <v>UNIQUE</v>
      </c>
      <c r="L2909" s="18">
        <v>1</v>
      </c>
      <c r="M2909" s="28">
        <v>37</v>
      </c>
      <c r="N2909" s="6">
        <v>121</v>
      </c>
      <c r="O2909" s="30">
        <f t="shared" si="274"/>
        <v>37</v>
      </c>
      <c r="P2909" s="30">
        <f t="shared" si="275"/>
        <v>4477</v>
      </c>
      <c r="Q2909" s="1">
        <f>COUNTIFS($P:$P, "&gt;" &amp; $P2909) + 1</f>
        <v>2550</v>
      </c>
      <c r="R2909" s="63">
        <f>(COUNTIFS($P:$P, "&gt;" &amp; $P2909) + 1) / (COUNTA($I:$I) - 1)</f>
        <v>0.51</v>
      </c>
      <c r="S2909" s="23">
        <f>SUMIFS($P:$P, $Q:$Q, "&lt;" &amp; $Q2909)</f>
        <v>183344963</v>
      </c>
    </row>
    <row r="2910" spans="1:19" x14ac:dyDescent="0.25">
      <c r="A2910" s="1">
        <v>2905</v>
      </c>
      <c r="B2910" s="1" t="s">
        <v>2</v>
      </c>
      <c r="C2910" s="1" t="str">
        <f>IF($B2910 = "Production Item", _xlfn.XLOOKUP($A2910, 'Instrument Table'!$J:$J, 'Instrument Table'!$B:$B, $C2909), IF($B2910 = "Service Item", _xlfn.XLOOKUP($A2910, 'Instrument Table'!$I:$I, 'Instrument Table'!$B:$B, $C2909), _xlfn.XLOOKUP($A2910, 'Instrument Table'!$H:$H, 'Instrument Table'!$B:$B, $C2909)))</f>
        <v>Snare Drum</v>
      </c>
      <c r="D2910" s="1" t="str">
        <f>VLOOKUP($C2910, 'Instrument Table'!$B:$C, 2, FALSE)</f>
        <v>Percussion</v>
      </c>
      <c r="E2910" s="1">
        <f t="shared" si="270"/>
        <v>1</v>
      </c>
      <c r="F2910" s="1">
        <f>_xlfn.XLOOKUP($C2910, 'Instrument Table'!$B:$B, 'Instrument Table'!$A:$A, "")</f>
        <v>50</v>
      </c>
      <c r="G2910" s="1" t="str">
        <f>TEXT(IF($B2910 = "Retail Item", IF((ROW($A2910) - 4504 - _xlfn.XMATCH($C2910, $C$4506:$C$5005, 0, 1)) &lt;= VLOOKUP($C2910, 'Instrument Table'!$B:$D, 3, FALSE), ROW($A2910) - 4504 - _xlfn.XMATCH($C2910, $C$4506:$C$5005, 0, 1), 0), 0), "00")</f>
        <v>00</v>
      </c>
      <c r="H2910" s="1" t="str">
        <f t="shared" si="271"/>
        <v>104</v>
      </c>
      <c r="I2910" s="1" t="str">
        <f t="shared" si="272"/>
        <v>15000-104</v>
      </c>
      <c r="J2910" s="1" t="str">
        <f t="shared" si="273"/>
        <v>Snare drum production item #104</v>
      </c>
      <c r="K2910" s="1" t="str">
        <f>IF(SUM(COUNTIFS(I:I, I2910)) &gt; 1, "DUPLICATE", "UNIQUE")</f>
        <v>UNIQUE</v>
      </c>
      <c r="L2910" s="18">
        <v>0</v>
      </c>
      <c r="M2910" s="28">
        <v>84</v>
      </c>
      <c r="N2910" s="6">
        <v>169</v>
      </c>
      <c r="O2910" s="30">
        <f t="shared" si="274"/>
        <v>0</v>
      </c>
      <c r="P2910" s="30">
        <f t="shared" si="275"/>
        <v>14196</v>
      </c>
      <c r="Q2910" s="1">
        <f>COUNTIFS($P:$P, "&gt;" &amp; $P2910) + 1</f>
        <v>1403</v>
      </c>
      <c r="R2910" s="63">
        <f>(COUNTIFS($P:$P, "&gt;" &amp; $P2910) + 1) / (COUNTA($I:$I) - 1)</f>
        <v>0.28060000000000002</v>
      </c>
      <c r="S2910" s="23">
        <f>SUMIFS($P:$P, $Q:$Q, "&lt;" &amp; $Q2910)</f>
        <v>173518717</v>
      </c>
    </row>
    <row r="2911" spans="1:19" x14ac:dyDescent="0.25">
      <c r="A2911" s="1">
        <v>2906</v>
      </c>
      <c r="B2911" s="1" t="s">
        <v>2</v>
      </c>
      <c r="C2911" s="1" t="str">
        <f>IF($B2911 = "Production Item", _xlfn.XLOOKUP($A2911, 'Instrument Table'!$J:$J, 'Instrument Table'!$B:$B, $C2910), IF($B2911 = "Service Item", _xlfn.XLOOKUP($A2911, 'Instrument Table'!$I:$I, 'Instrument Table'!$B:$B, $C2910), _xlfn.XLOOKUP($A2911, 'Instrument Table'!$H:$H, 'Instrument Table'!$B:$B, $C2910)))</f>
        <v>Snare Drum</v>
      </c>
      <c r="D2911" s="1" t="str">
        <f>VLOOKUP($C2911, 'Instrument Table'!$B:$C, 2, FALSE)</f>
        <v>Percussion</v>
      </c>
      <c r="E2911" s="1">
        <f t="shared" si="270"/>
        <v>1</v>
      </c>
      <c r="F2911" s="1">
        <f>_xlfn.XLOOKUP($C2911, 'Instrument Table'!$B:$B, 'Instrument Table'!$A:$A, "")</f>
        <v>50</v>
      </c>
      <c r="G2911" s="1" t="str">
        <f>TEXT(IF($B2911 = "Retail Item", IF((ROW($A2911) - 4504 - _xlfn.XMATCH($C2911, $C$4506:$C$5005, 0, 1)) &lt;= VLOOKUP($C2911, 'Instrument Table'!$B:$D, 3, FALSE), ROW($A2911) - 4504 - _xlfn.XMATCH($C2911, $C$4506:$C$5005, 0, 1), 0), 0), "00")</f>
        <v>00</v>
      </c>
      <c r="H2911" s="1" t="str">
        <f t="shared" si="271"/>
        <v>105</v>
      </c>
      <c r="I2911" s="1" t="str">
        <f t="shared" si="272"/>
        <v>15000-105</v>
      </c>
      <c r="J2911" s="1" t="str">
        <f t="shared" si="273"/>
        <v>Snare drum production item #105</v>
      </c>
      <c r="K2911" s="1" t="str">
        <f>IF(SUM(COUNTIFS(I:I, I2911)) &gt; 1, "DUPLICATE", "UNIQUE")</f>
        <v>UNIQUE</v>
      </c>
      <c r="L2911" s="18">
        <v>0</v>
      </c>
      <c r="M2911" s="28">
        <v>58</v>
      </c>
      <c r="N2911" s="6">
        <v>9</v>
      </c>
      <c r="O2911" s="30">
        <f t="shared" si="274"/>
        <v>0</v>
      </c>
      <c r="P2911" s="30">
        <f t="shared" si="275"/>
        <v>522</v>
      </c>
      <c r="Q2911" s="1">
        <f>COUNTIFS($P:$P, "&gt;" &amp; $P2911) + 1</f>
        <v>4002</v>
      </c>
      <c r="R2911" s="63">
        <f>(COUNTIFS($P:$P, "&gt;" &amp; $P2911) + 1) / (COUNTA($I:$I) - 1)</f>
        <v>0.8004</v>
      </c>
      <c r="S2911" s="23">
        <f>SUMIFS($P:$P, $Q:$Q, "&lt;" &amp; $Q2911)</f>
        <v>186399352</v>
      </c>
    </row>
    <row r="2912" spans="1:19" x14ac:dyDescent="0.25">
      <c r="A2912" s="1">
        <v>2907</v>
      </c>
      <c r="B2912" s="1" t="s">
        <v>2</v>
      </c>
      <c r="C2912" s="1" t="str">
        <f>IF($B2912 = "Production Item", _xlfn.XLOOKUP($A2912, 'Instrument Table'!$J:$J, 'Instrument Table'!$B:$B, $C2911), IF($B2912 = "Service Item", _xlfn.XLOOKUP($A2912, 'Instrument Table'!$I:$I, 'Instrument Table'!$B:$B, $C2911), _xlfn.XLOOKUP($A2912, 'Instrument Table'!$H:$H, 'Instrument Table'!$B:$B, $C2911)))</f>
        <v>Snare Drum</v>
      </c>
      <c r="D2912" s="1" t="str">
        <f>VLOOKUP($C2912, 'Instrument Table'!$B:$C, 2, FALSE)</f>
        <v>Percussion</v>
      </c>
      <c r="E2912" s="1">
        <f t="shared" si="270"/>
        <v>1</v>
      </c>
      <c r="F2912" s="1">
        <f>_xlfn.XLOOKUP($C2912, 'Instrument Table'!$B:$B, 'Instrument Table'!$A:$A, "")</f>
        <v>50</v>
      </c>
      <c r="G2912" s="1" t="str">
        <f>TEXT(IF($B2912 = "Retail Item", IF((ROW($A2912) - 4504 - _xlfn.XMATCH($C2912, $C$4506:$C$5005, 0, 1)) &lt;= VLOOKUP($C2912, 'Instrument Table'!$B:$D, 3, FALSE), ROW($A2912) - 4504 - _xlfn.XMATCH($C2912, $C$4506:$C$5005, 0, 1), 0), 0), "00")</f>
        <v>00</v>
      </c>
      <c r="H2912" s="1" t="str">
        <f t="shared" si="271"/>
        <v>106</v>
      </c>
      <c r="I2912" s="1" t="str">
        <f t="shared" si="272"/>
        <v>15000-106</v>
      </c>
      <c r="J2912" s="1" t="str">
        <f t="shared" si="273"/>
        <v>Snare drum production item #106</v>
      </c>
      <c r="K2912" s="1" t="str">
        <f>IF(SUM(COUNTIFS(I:I, I2912)) &gt; 1, "DUPLICATE", "UNIQUE")</f>
        <v>UNIQUE</v>
      </c>
      <c r="L2912" s="18">
        <v>16</v>
      </c>
      <c r="M2912" s="28">
        <v>53</v>
      </c>
      <c r="N2912" s="6">
        <v>81</v>
      </c>
      <c r="O2912" s="30">
        <f t="shared" si="274"/>
        <v>848</v>
      </c>
      <c r="P2912" s="30">
        <f t="shared" si="275"/>
        <v>4293</v>
      </c>
      <c r="Q2912" s="1">
        <f>COUNTIFS($P:$P, "&gt;" &amp; $P2912) + 1</f>
        <v>2589</v>
      </c>
      <c r="R2912" s="63">
        <f>(COUNTIFS($P:$P, "&gt;" &amp; $P2912) + 1) / (COUNTA($I:$I) - 1)</f>
        <v>0.51780000000000004</v>
      </c>
      <c r="S2912" s="23">
        <f>SUMIFS($P:$P, $Q:$Q, "&lt;" &amp; $Q2912)</f>
        <v>183516338</v>
      </c>
    </row>
    <row r="2913" spans="1:19" x14ac:dyDescent="0.25">
      <c r="A2913" s="1">
        <v>2908</v>
      </c>
      <c r="B2913" s="1" t="s">
        <v>2</v>
      </c>
      <c r="C2913" s="1" t="str">
        <f>IF($B2913 = "Production Item", _xlfn.XLOOKUP($A2913, 'Instrument Table'!$J:$J, 'Instrument Table'!$B:$B, $C2912), IF($B2913 = "Service Item", _xlfn.XLOOKUP($A2913, 'Instrument Table'!$I:$I, 'Instrument Table'!$B:$B, $C2912), _xlfn.XLOOKUP($A2913, 'Instrument Table'!$H:$H, 'Instrument Table'!$B:$B, $C2912)))</f>
        <v>Snare Drum</v>
      </c>
      <c r="D2913" s="1" t="str">
        <f>VLOOKUP($C2913, 'Instrument Table'!$B:$C, 2, FALSE)</f>
        <v>Percussion</v>
      </c>
      <c r="E2913" s="1">
        <f t="shared" si="270"/>
        <v>1</v>
      </c>
      <c r="F2913" s="1">
        <f>_xlfn.XLOOKUP($C2913, 'Instrument Table'!$B:$B, 'Instrument Table'!$A:$A, "")</f>
        <v>50</v>
      </c>
      <c r="G2913" s="1" t="str">
        <f>TEXT(IF($B2913 = "Retail Item", IF((ROW($A2913) - 4504 - _xlfn.XMATCH($C2913, $C$4506:$C$5005, 0, 1)) &lt;= VLOOKUP($C2913, 'Instrument Table'!$B:$D, 3, FALSE), ROW($A2913) - 4504 - _xlfn.XMATCH($C2913, $C$4506:$C$5005, 0, 1), 0), 0), "00")</f>
        <v>00</v>
      </c>
      <c r="H2913" s="1" t="str">
        <f t="shared" si="271"/>
        <v>107</v>
      </c>
      <c r="I2913" s="1" t="str">
        <f t="shared" si="272"/>
        <v>15000-107</v>
      </c>
      <c r="J2913" s="1" t="str">
        <f t="shared" si="273"/>
        <v>Snare drum production item #107</v>
      </c>
      <c r="K2913" s="1" t="str">
        <f>IF(SUM(COUNTIFS(I:I, I2913)) &gt; 1, "DUPLICATE", "UNIQUE")</f>
        <v>UNIQUE</v>
      </c>
      <c r="L2913" s="18">
        <v>1</v>
      </c>
      <c r="M2913" s="28">
        <v>46</v>
      </c>
      <c r="N2913" s="6">
        <v>324</v>
      </c>
      <c r="O2913" s="30">
        <f t="shared" si="274"/>
        <v>46</v>
      </c>
      <c r="P2913" s="30">
        <f t="shared" si="275"/>
        <v>14904</v>
      </c>
      <c r="Q2913" s="1">
        <f>COUNTIFS($P:$P, "&gt;" &amp; $P2913) + 1</f>
        <v>1355</v>
      </c>
      <c r="R2913" s="63">
        <f>(COUNTIFS($P:$P, "&gt;" &amp; $P2913) + 1) / (COUNTA($I:$I) - 1)</f>
        <v>0.27100000000000002</v>
      </c>
      <c r="S2913" s="23">
        <f>SUMIFS($P:$P, $Q:$Q, "&lt;" &amp; $Q2913)</f>
        <v>172817862</v>
      </c>
    </row>
    <row r="2914" spans="1:19" x14ac:dyDescent="0.25">
      <c r="A2914" s="1">
        <v>2909</v>
      </c>
      <c r="B2914" s="1" t="s">
        <v>2</v>
      </c>
      <c r="C2914" s="1" t="str">
        <f>IF($B2914 = "Production Item", _xlfn.XLOOKUP($A2914, 'Instrument Table'!$J:$J, 'Instrument Table'!$B:$B, $C2913), IF($B2914 = "Service Item", _xlfn.XLOOKUP($A2914, 'Instrument Table'!$I:$I, 'Instrument Table'!$B:$B, $C2913), _xlfn.XLOOKUP($A2914, 'Instrument Table'!$H:$H, 'Instrument Table'!$B:$B, $C2913)))</f>
        <v>Snare Drum</v>
      </c>
      <c r="D2914" s="1" t="str">
        <f>VLOOKUP($C2914, 'Instrument Table'!$B:$C, 2, FALSE)</f>
        <v>Percussion</v>
      </c>
      <c r="E2914" s="1">
        <f t="shared" si="270"/>
        <v>1</v>
      </c>
      <c r="F2914" s="1">
        <f>_xlfn.XLOOKUP($C2914, 'Instrument Table'!$B:$B, 'Instrument Table'!$A:$A, "")</f>
        <v>50</v>
      </c>
      <c r="G2914" s="1" t="str">
        <f>TEXT(IF($B2914 = "Retail Item", IF((ROW($A2914) - 4504 - _xlfn.XMATCH($C2914, $C$4506:$C$5005, 0, 1)) &lt;= VLOOKUP($C2914, 'Instrument Table'!$B:$D, 3, FALSE), ROW($A2914) - 4504 - _xlfn.XMATCH($C2914, $C$4506:$C$5005, 0, 1), 0), 0), "00")</f>
        <v>00</v>
      </c>
      <c r="H2914" s="1" t="str">
        <f t="shared" si="271"/>
        <v>108</v>
      </c>
      <c r="I2914" s="1" t="str">
        <f t="shared" si="272"/>
        <v>15000-108</v>
      </c>
      <c r="J2914" s="1" t="str">
        <f t="shared" si="273"/>
        <v>Snare drum production item #108</v>
      </c>
      <c r="K2914" s="1" t="str">
        <f>IF(SUM(COUNTIFS(I:I, I2914)) &gt; 1, "DUPLICATE", "UNIQUE")</f>
        <v>UNIQUE</v>
      </c>
      <c r="L2914" s="18">
        <v>1</v>
      </c>
      <c r="M2914" s="28">
        <v>32</v>
      </c>
      <c r="N2914" s="6">
        <v>9</v>
      </c>
      <c r="O2914" s="30">
        <f t="shared" si="274"/>
        <v>32</v>
      </c>
      <c r="P2914" s="30">
        <f t="shared" si="275"/>
        <v>288</v>
      </c>
      <c r="Q2914" s="1">
        <f>COUNTIFS($P:$P, "&gt;" &amp; $P2914) + 1</f>
        <v>4231</v>
      </c>
      <c r="R2914" s="63">
        <f>(COUNTIFS($P:$P, "&gt;" &amp; $P2914) + 1) / (COUNTA($I:$I) - 1)</f>
        <v>0.84619999999999995</v>
      </c>
      <c r="S2914" s="23">
        <f>SUMIFS($P:$P, $Q:$Q, "&lt;" &amp; $Q2914)</f>
        <v>186489774</v>
      </c>
    </row>
    <row r="2915" spans="1:19" x14ac:dyDescent="0.25">
      <c r="A2915" s="1">
        <v>2910</v>
      </c>
      <c r="B2915" s="1" t="s">
        <v>2</v>
      </c>
      <c r="C2915" s="1" t="str">
        <f>IF($B2915 = "Production Item", _xlfn.XLOOKUP($A2915, 'Instrument Table'!$J:$J, 'Instrument Table'!$B:$B, $C2914), IF($B2915 = "Service Item", _xlfn.XLOOKUP($A2915, 'Instrument Table'!$I:$I, 'Instrument Table'!$B:$B, $C2914), _xlfn.XLOOKUP($A2915, 'Instrument Table'!$H:$H, 'Instrument Table'!$B:$B, $C2914)))</f>
        <v>Snare Drum</v>
      </c>
      <c r="D2915" s="1" t="str">
        <f>VLOOKUP($C2915, 'Instrument Table'!$B:$C, 2, FALSE)</f>
        <v>Percussion</v>
      </c>
      <c r="E2915" s="1">
        <f t="shared" si="270"/>
        <v>1</v>
      </c>
      <c r="F2915" s="1">
        <f>_xlfn.XLOOKUP($C2915, 'Instrument Table'!$B:$B, 'Instrument Table'!$A:$A, "")</f>
        <v>50</v>
      </c>
      <c r="G2915" s="1" t="str">
        <f>TEXT(IF($B2915 = "Retail Item", IF((ROW($A2915) - 4504 - _xlfn.XMATCH($C2915, $C$4506:$C$5005, 0, 1)) &lt;= VLOOKUP($C2915, 'Instrument Table'!$B:$D, 3, FALSE), ROW($A2915) - 4504 - _xlfn.XMATCH($C2915, $C$4506:$C$5005, 0, 1), 0), 0), "00")</f>
        <v>00</v>
      </c>
      <c r="H2915" s="1" t="str">
        <f t="shared" si="271"/>
        <v>109</v>
      </c>
      <c r="I2915" s="1" t="str">
        <f t="shared" si="272"/>
        <v>15000-109</v>
      </c>
      <c r="J2915" s="1" t="str">
        <f t="shared" si="273"/>
        <v>Snare drum production item #109</v>
      </c>
      <c r="K2915" s="1" t="str">
        <f>IF(SUM(COUNTIFS(I:I, I2915)) &gt; 1, "DUPLICATE", "UNIQUE")</f>
        <v>UNIQUE</v>
      </c>
      <c r="L2915" s="18">
        <v>2</v>
      </c>
      <c r="M2915" s="28">
        <v>67</v>
      </c>
      <c r="N2915" s="6">
        <v>36</v>
      </c>
      <c r="O2915" s="30">
        <f t="shared" si="274"/>
        <v>134</v>
      </c>
      <c r="P2915" s="30">
        <f t="shared" si="275"/>
        <v>2412</v>
      </c>
      <c r="Q2915" s="1">
        <f>COUNTIFS($P:$P, "&gt;" &amp; $P2915) + 1</f>
        <v>3081</v>
      </c>
      <c r="R2915" s="63">
        <f>(COUNTIFS($P:$P, "&gt;" &amp; $P2915) + 1) / (COUNTA($I:$I) - 1)</f>
        <v>0.61619999999999997</v>
      </c>
      <c r="S2915" s="23">
        <f>SUMIFS($P:$P, $Q:$Q, "&lt;" &amp; $Q2915)</f>
        <v>185136940</v>
      </c>
    </row>
    <row r="2916" spans="1:19" x14ac:dyDescent="0.25">
      <c r="A2916" s="1">
        <v>2911</v>
      </c>
      <c r="B2916" s="1" t="s">
        <v>2</v>
      </c>
      <c r="C2916" s="1" t="str">
        <f>IF($B2916 = "Production Item", _xlfn.XLOOKUP($A2916, 'Instrument Table'!$J:$J, 'Instrument Table'!$B:$B, $C2915), IF($B2916 = "Service Item", _xlfn.XLOOKUP($A2916, 'Instrument Table'!$I:$I, 'Instrument Table'!$B:$B, $C2915), _xlfn.XLOOKUP($A2916, 'Instrument Table'!$H:$H, 'Instrument Table'!$B:$B, $C2915)))</f>
        <v>Snare Drum</v>
      </c>
      <c r="D2916" s="1" t="str">
        <f>VLOOKUP($C2916, 'Instrument Table'!$B:$C, 2, FALSE)</f>
        <v>Percussion</v>
      </c>
      <c r="E2916" s="1">
        <f t="shared" si="270"/>
        <v>1</v>
      </c>
      <c r="F2916" s="1">
        <f>_xlfn.XLOOKUP($C2916, 'Instrument Table'!$B:$B, 'Instrument Table'!$A:$A, "")</f>
        <v>50</v>
      </c>
      <c r="G2916" s="1" t="str">
        <f>TEXT(IF($B2916 = "Retail Item", IF((ROW($A2916) - 4504 - _xlfn.XMATCH($C2916, $C$4506:$C$5005, 0, 1)) &lt;= VLOOKUP($C2916, 'Instrument Table'!$B:$D, 3, FALSE), ROW($A2916) - 4504 - _xlfn.XMATCH($C2916, $C$4506:$C$5005, 0, 1), 0), 0), "00")</f>
        <v>00</v>
      </c>
      <c r="H2916" s="1" t="str">
        <f t="shared" si="271"/>
        <v>110</v>
      </c>
      <c r="I2916" s="1" t="str">
        <f t="shared" si="272"/>
        <v>15000-110</v>
      </c>
      <c r="J2916" s="1" t="str">
        <f t="shared" si="273"/>
        <v>Snare drum production item #110</v>
      </c>
      <c r="K2916" s="1" t="str">
        <f>IF(SUM(COUNTIFS(I:I, I2916)) &gt; 1, "DUPLICATE", "UNIQUE")</f>
        <v>UNIQUE</v>
      </c>
      <c r="L2916" s="18">
        <v>4</v>
      </c>
      <c r="M2916" s="28">
        <v>26</v>
      </c>
      <c r="N2916" s="6">
        <v>121</v>
      </c>
      <c r="O2916" s="30">
        <f t="shared" si="274"/>
        <v>104</v>
      </c>
      <c r="P2916" s="30">
        <f t="shared" si="275"/>
        <v>3146</v>
      </c>
      <c r="Q2916" s="1">
        <f>COUNTIFS($P:$P, "&gt;" &amp; $P2916) + 1</f>
        <v>2872</v>
      </c>
      <c r="R2916" s="63">
        <f>(COUNTIFS($P:$P, "&gt;" &amp; $P2916) + 1) / (COUNTA($I:$I) - 1)</f>
        <v>0.57440000000000002</v>
      </c>
      <c r="S2916" s="23">
        <f>SUMIFS($P:$P, $Q:$Q, "&lt;" &amp; $Q2916)</f>
        <v>184561934</v>
      </c>
    </row>
    <row r="2917" spans="1:19" x14ac:dyDescent="0.25">
      <c r="A2917" s="1">
        <v>2912</v>
      </c>
      <c r="B2917" s="1" t="s">
        <v>2</v>
      </c>
      <c r="C2917" s="1" t="str">
        <f>IF($B2917 = "Production Item", _xlfn.XLOOKUP($A2917, 'Instrument Table'!$J:$J, 'Instrument Table'!$B:$B, $C2916), IF($B2917 = "Service Item", _xlfn.XLOOKUP($A2917, 'Instrument Table'!$I:$I, 'Instrument Table'!$B:$B, $C2916), _xlfn.XLOOKUP($A2917, 'Instrument Table'!$H:$H, 'Instrument Table'!$B:$B, $C2916)))</f>
        <v>Snare Drum</v>
      </c>
      <c r="D2917" s="1" t="str">
        <f>VLOOKUP($C2917, 'Instrument Table'!$B:$C, 2, FALSE)</f>
        <v>Percussion</v>
      </c>
      <c r="E2917" s="1">
        <f t="shared" si="270"/>
        <v>1</v>
      </c>
      <c r="F2917" s="1">
        <f>_xlfn.XLOOKUP($C2917, 'Instrument Table'!$B:$B, 'Instrument Table'!$A:$A, "")</f>
        <v>50</v>
      </c>
      <c r="G2917" s="1" t="str">
        <f>TEXT(IF($B2917 = "Retail Item", IF((ROW($A2917) - 4504 - _xlfn.XMATCH($C2917, $C$4506:$C$5005, 0, 1)) &lt;= VLOOKUP($C2917, 'Instrument Table'!$B:$D, 3, FALSE), ROW($A2917) - 4504 - _xlfn.XMATCH($C2917, $C$4506:$C$5005, 0, 1), 0), 0), "00")</f>
        <v>00</v>
      </c>
      <c r="H2917" s="1" t="str">
        <f t="shared" si="271"/>
        <v>111</v>
      </c>
      <c r="I2917" s="1" t="str">
        <f t="shared" si="272"/>
        <v>15000-111</v>
      </c>
      <c r="J2917" s="1" t="str">
        <f t="shared" si="273"/>
        <v>Snare drum production item #111</v>
      </c>
      <c r="K2917" s="1" t="str">
        <f>IF(SUM(COUNTIFS(I:I, I2917)) &gt; 1, "DUPLICATE", "UNIQUE")</f>
        <v>UNIQUE</v>
      </c>
      <c r="L2917" s="18">
        <v>32</v>
      </c>
      <c r="M2917" s="28">
        <v>46</v>
      </c>
      <c r="N2917" s="6">
        <v>100</v>
      </c>
      <c r="O2917" s="30">
        <f t="shared" si="274"/>
        <v>1472</v>
      </c>
      <c r="P2917" s="30">
        <f t="shared" si="275"/>
        <v>4600</v>
      </c>
      <c r="Q2917" s="1">
        <f>COUNTIFS($P:$P, "&gt;" &amp; $P2917) + 1</f>
        <v>2524</v>
      </c>
      <c r="R2917" s="63">
        <f>(COUNTIFS($P:$P, "&gt;" &amp; $P2917) + 1) / (COUNTA($I:$I) - 1)</f>
        <v>0.50480000000000003</v>
      </c>
      <c r="S2917" s="23">
        <f>SUMIFS($P:$P, $Q:$Q, "&lt;" &amp; $Q2917)</f>
        <v>183226841</v>
      </c>
    </row>
    <row r="2918" spans="1:19" x14ac:dyDescent="0.25">
      <c r="A2918" s="1">
        <v>2913</v>
      </c>
      <c r="B2918" s="1" t="s">
        <v>2</v>
      </c>
      <c r="C2918" s="1" t="str">
        <f>IF($B2918 = "Production Item", _xlfn.XLOOKUP($A2918, 'Instrument Table'!$J:$J, 'Instrument Table'!$B:$B, $C2917), IF($B2918 = "Service Item", _xlfn.XLOOKUP($A2918, 'Instrument Table'!$I:$I, 'Instrument Table'!$B:$B, $C2917), _xlfn.XLOOKUP($A2918, 'Instrument Table'!$H:$H, 'Instrument Table'!$B:$B, $C2917)))</f>
        <v>Snare Drum</v>
      </c>
      <c r="D2918" s="1" t="str">
        <f>VLOOKUP($C2918, 'Instrument Table'!$B:$C, 2, FALSE)</f>
        <v>Percussion</v>
      </c>
      <c r="E2918" s="1">
        <f t="shared" si="270"/>
        <v>1</v>
      </c>
      <c r="F2918" s="1">
        <f>_xlfn.XLOOKUP($C2918, 'Instrument Table'!$B:$B, 'Instrument Table'!$A:$A, "")</f>
        <v>50</v>
      </c>
      <c r="G2918" s="1" t="str">
        <f>TEXT(IF($B2918 = "Retail Item", IF((ROW($A2918) - 4504 - _xlfn.XMATCH($C2918, $C$4506:$C$5005, 0, 1)) &lt;= VLOOKUP($C2918, 'Instrument Table'!$B:$D, 3, FALSE), ROW($A2918) - 4504 - _xlfn.XMATCH($C2918, $C$4506:$C$5005, 0, 1), 0), 0), "00")</f>
        <v>00</v>
      </c>
      <c r="H2918" s="1" t="str">
        <f t="shared" si="271"/>
        <v>112</v>
      </c>
      <c r="I2918" s="1" t="str">
        <f t="shared" si="272"/>
        <v>15000-112</v>
      </c>
      <c r="J2918" s="1" t="str">
        <f t="shared" si="273"/>
        <v>Snare drum production item #112</v>
      </c>
      <c r="K2918" s="1" t="str">
        <f>IF(SUM(COUNTIFS(I:I, I2918)) &gt; 1, "DUPLICATE", "UNIQUE")</f>
        <v>UNIQUE</v>
      </c>
      <c r="L2918" s="18">
        <v>0</v>
      </c>
      <c r="M2918" s="28">
        <v>56</v>
      </c>
      <c r="N2918" s="6">
        <v>100</v>
      </c>
      <c r="O2918" s="30">
        <f t="shared" si="274"/>
        <v>0</v>
      </c>
      <c r="P2918" s="30">
        <f t="shared" si="275"/>
        <v>5600</v>
      </c>
      <c r="Q2918" s="1">
        <f>COUNTIFS($P:$P, "&gt;" &amp; $P2918) + 1</f>
        <v>2334</v>
      </c>
      <c r="R2918" s="63">
        <f>(COUNTIFS($P:$P, "&gt;" &amp; $P2918) + 1) / (COUNTA($I:$I) - 1)</f>
        <v>0.46679999999999999</v>
      </c>
      <c r="S2918" s="23">
        <f>SUMIFS($P:$P, $Q:$Q, "&lt;" &amp; $Q2918)</f>
        <v>182258520</v>
      </c>
    </row>
    <row r="2919" spans="1:19" x14ac:dyDescent="0.25">
      <c r="A2919" s="1">
        <v>2914</v>
      </c>
      <c r="B2919" s="1" t="s">
        <v>2</v>
      </c>
      <c r="C2919" s="1" t="str">
        <f>IF($B2919 = "Production Item", _xlfn.XLOOKUP($A2919, 'Instrument Table'!$J:$J, 'Instrument Table'!$B:$B, $C2918), IF($B2919 = "Service Item", _xlfn.XLOOKUP($A2919, 'Instrument Table'!$I:$I, 'Instrument Table'!$B:$B, $C2918), _xlfn.XLOOKUP($A2919, 'Instrument Table'!$H:$H, 'Instrument Table'!$B:$B, $C2918)))</f>
        <v>Snare Drum</v>
      </c>
      <c r="D2919" s="1" t="str">
        <f>VLOOKUP($C2919, 'Instrument Table'!$B:$C, 2, FALSE)</f>
        <v>Percussion</v>
      </c>
      <c r="E2919" s="1">
        <f t="shared" si="270"/>
        <v>1</v>
      </c>
      <c r="F2919" s="1">
        <f>_xlfn.XLOOKUP($C2919, 'Instrument Table'!$B:$B, 'Instrument Table'!$A:$A, "")</f>
        <v>50</v>
      </c>
      <c r="G2919" s="1" t="str">
        <f>TEXT(IF($B2919 = "Retail Item", IF((ROW($A2919) - 4504 - _xlfn.XMATCH($C2919, $C$4506:$C$5005, 0, 1)) &lt;= VLOOKUP($C2919, 'Instrument Table'!$B:$D, 3, FALSE), ROW($A2919) - 4504 - _xlfn.XMATCH($C2919, $C$4506:$C$5005, 0, 1), 0), 0), "00")</f>
        <v>00</v>
      </c>
      <c r="H2919" s="1" t="str">
        <f t="shared" si="271"/>
        <v>113</v>
      </c>
      <c r="I2919" s="1" t="str">
        <f t="shared" si="272"/>
        <v>15000-113</v>
      </c>
      <c r="J2919" s="1" t="str">
        <f t="shared" si="273"/>
        <v>Snare drum production item #113</v>
      </c>
      <c r="K2919" s="1" t="str">
        <f>IF(SUM(COUNTIFS(I:I, I2919)) &gt; 1, "DUPLICATE", "UNIQUE")</f>
        <v>UNIQUE</v>
      </c>
      <c r="L2919" s="18">
        <v>1</v>
      </c>
      <c r="M2919" s="28">
        <v>41</v>
      </c>
      <c r="N2919" s="6">
        <v>324</v>
      </c>
      <c r="O2919" s="30">
        <f t="shared" si="274"/>
        <v>41</v>
      </c>
      <c r="P2919" s="30">
        <f t="shared" si="275"/>
        <v>13284</v>
      </c>
      <c r="Q2919" s="1">
        <f>COUNTIFS($P:$P, "&gt;" &amp; $P2919) + 1</f>
        <v>1482</v>
      </c>
      <c r="R2919" s="63">
        <f>(COUNTIFS($P:$P, "&gt;" &amp; $P2919) + 1) / (COUNTA($I:$I) - 1)</f>
        <v>0.2964</v>
      </c>
      <c r="S2919" s="23">
        <f>SUMIFS($P:$P, $Q:$Q, "&lt;" &amp; $Q2919)</f>
        <v>174603058</v>
      </c>
    </row>
    <row r="2920" spans="1:19" x14ac:dyDescent="0.25">
      <c r="A2920" s="1">
        <v>2915</v>
      </c>
      <c r="B2920" s="1" t="s">
        <v>2</v>
      </c>
      <c r="C2920" s="1" t="str">
        <f>IF($B2920 = "Production Item", _xlfn.XLOOKUP($A2920, 'Instrument Table'!$J:$J, 'Instrument Table'!$B:$B, $C2919), IF($B2920 = "Service Item", _xlfn.XLOOKUP($A2920, 'Instrument Table'!$I:$I, 'Instrument Table'!$B:$B, $C2919), _xlfn.XLOOKUP($A2920, 'Instrument Table'!$H:$H, 'Instrument Table'!$B:$B, $C2919)))</f>
        <v>Snare Drum</v>
      </c>
      <c r="D2920" s="1" t="str">
        <f>VLOOKUP($C2920, 'Instrument Table'!$B:$C, 2, FALSE)</f>
        <v>Percussion</v>
      </c>
      <c r="E2920" s="1">
        <f t="shared" si="270"/>
        <v>1</v>
      </c>
      <c r="F2920" s="1">
        <f>_xlfn.XLOOKUP($C2920, 'Instrument Table'!$B:$B, 'Instrument Table'!$A:$A, "")</f>
        <v>50</v>
      </c>
      <c r="G2920" s="1" t="str">
        <f>TEXT(IF($B2920 = "Retail Item", IF((ROW($A2920) - 4504 - _xlfn.XMATCH($C2920, $C$4506:$C$5005, 0, 1)) &lt;= VLOOKUP($C2920, 'Instrument Table'!$B:$D, 3, FALSE), ROW($A2920) - 4504 - _xlfn.XMATCH($C2920, $C$4506:$C$5005, 0, 1), 0), 0), "00")</f>
        <v>00</v>
      </c>
      <c r="H2920" s="1" t="str">
        <f t="shared" si="271"/>
        <v>114</v>
      </c>
      <c r="I2920" s="1" t="str">
        <f t="shared" si="272"/>
        <v>15000-114</v>
      </c>
      <c r="J2920" s="1" t="str">
        <f t="shared" si="273"/>
        <v>Snare drum production item #114</v>
      </c>
      <c r="K2920" s="1" t="str">
        <f>IF(SUM(COUNTIFS(I:I, I2920)) &gt; 1, "DUPLICATE", "UNIQUE")</f>
        <v>UNIQUE</v>
      </c>
      <c r="L2920" s="18">
        <v>0</v>
      </c>
      <c r="M2920" s="28">
        <v>2</v>
      </c>
      <c r="N2920" s="6">
        <v>25</v>
      </c>
      <c r="O2920" s="30">
        <f t="shared" si="274"/>
        <v>0</v>
      </c>
      <c r="P2920" s="30">
        <f t="shared" si="275"/>
        <v>50</v>
      </c>
      <c r="Q2920" s="1">
        <f>COUNTIFS($P:$P, "&gt;" &amp; $P2920) + 1</f>
        <v>4614</v>
      </c>
      <c r="R2920" s="63">
        <f>(COUNTIFS($P:$P, "&gt;" &amp; $P2920) + 1) / (COUNTA($I:$I) - 1)</f>
        <v>0.92279999999999995</v>
      </c>
      <c r="S2920" s="23">
        <f>SUMIFS($P:$P, $Q:$Q, "&lt;" &amp; $Q2920)</f>
        <v>186544435</v>
      </c>
    </row>
    <row r="2921" spans="1:19" x14ac:dyDescent="0.25">
      <c r="A2921" s="1">
        <v>2916</v>
      </c>
      <c r="B2921" s="1" t="s">
        <v>2</v>
      </c>
      <c r="C2921" s="1" t="str">
        <f>IF($B2921 = "Production Item", _xlfn.XLOOKUP($A2921, 'Instrument Table'!$J:$J, 'Instrument Table'!$B:$B, $C2920), IF($B2921 = "Service Item", _xlfn.XLOOKUP($A2921, 'Instrument Table'!$I:$I, 'Instrument Table'!$B:$B, $C2920), _xlfn.XLOOKUP($A2921, 'Instrument Table'!$H:$H, 'Instrument Table'!$B:$B, $C2920)))</f>
        <v>Snare Drum</v>
      </c>
      <c r="D2921" s="1" t="str">
        <f>VLOOKUP($C2921, 'Instrument Table'!$B:$C, 2, FALSE)</f>
        <v>Percussion</v>
      </c>
      <c r="E2921" s="1">
        <f t="shared" si="270"/>
        <v>1</v>
      </c>
      <c r="F2921" s="1">
        <f>_xlfn.XLOOKUP($C2921, 'Instrument Table'!$B:$B, 'Instrument Table'!$A:$A, "")</f>
        <v>50</v>
      </c>
      <c r="G2921" s="1" t="str">
        <f>TEXT(IF($B2921 = "Retail Item", IF((ROW($A2921) - 4504 - _xlfn.XMATCH($C2921, $C$4506:$C$5005, 0, 1)) &lt;= VLOOKUP($C2921, 'Instrument Table'!$B:$D, 3, FALSE), ROW($A2921) - 4504 - _xlfn.XMATCH($C2921, $C$4506:$C$5005, 0, 1), 0), 0), "00")</f>
        <v>00</v>
      </c>
      <c r="H2921" s="1" t="str">
        <f t="shared" si="271"/>
        <v>115</v>
      </c>
      <c r="I2921" s="1" t="str">
        <f t="shared" si="272"/>
        <v>15000-115</v>
      </c>
      <c r="J2921" s="1" t="str">
        <f t="shared" si="273"/>
        <v>Snare drum production item #115</v>
      </c>
      <c r="K2921" s="1" t="str">
        <f>IF(SUM(COUNTIFS(I:I, I2921)) &gt; 1, "DUPLICATE", "UNIQUE")</f>
        <v>UNIQUE</v>
      </c>
      <c r="L2921" s="18">
        <v>0</v>
      </c>
      <c r="M2921" s="28">
        <v>82</v>
      </c>
      <c r="N2921" s="6">
        <v>256</v>
      </c>
      <c r="O2921" s="30">
        <f t="shared" si="274"/>
        <v>0</v>
      </c>
      <c r="P2921" s="30">
        <f t="shared" si="275"/>
        <v>20992</v>
      </c>
      <c r="Q2921" s="1">
        <f>COUNTIFS($P:$P, "&gt;" &amp; $P2921) + 1</f>
        <v>1007</v>
      </c>
      <c r="R2921" s="63">
        <f>(COUNTIFS($P:$P, "&gt;" &amp; $P2921) + 1) / (COUNTA($I:$I) - 1)</f>
        <v>0.2014</v>
      </c>
      <c r="S2921" s="23">
        <f>SUMIFS($P:$P, $Q:$Q, "&lt;" &amp; $Q2921)</f>
        <v>166638472</v>
      </c>
    </row>
    <row r="2922" spans="1:19" x14ac:dyDescent="0.25">
      <c r="A2922" s="1">
        <v>2917</v>
      </c>
      <c r="B2922" s="1" t="s">
        <v>2</v>
      </c>
      <c r="C2922" s="1" t="str">
        <f>IF($B2922 = "Production Item", _xlfn.XLOOKUP($A2922, 'Instrument Table'!$J:$J, 'Instrument Table'!$B:$B, $C2921), IF($B2922 = "Service Item", _xlfn.XLOOKUP($A2922, 'Instrument Table'!$I:$I, 'Instrument Table'!$B:$B, $C2921), _xlfn.XLOOKUP($A2922, 'Instrument Table'!$H:$H, 'Instrument Table'!$B:$B, $C2921)))</f>
        <v>Snare Drum</v>
      </c>
      <c r="D2922" s="1" t="str">
        <f>VLOOKUP($C2922, 'Instrument Table'!$B:$C, 2, FALSE)</f>
        <v>Percussion</v>
      </c>
      <c r="E2922" s="1">
        <f t="shared" si="270"/>
        <v>1</v>
      </c>
      <c r="F2922" s="1">
        <f>_xlfn.XLOOKUP($C2922, 'Instrument Table'!$B:$B, 'Instrument Table'!$A:$A, "")</f>
        <v>50</v>
      </c>
      <c r="G2922" s="1" t="str">
        <f>TEXT(IF($B2922 = "Retail Item", IF((ROW($A2922) - 4504 - _xlfn.XMATCH($C2922, $C$4506:$C$5005, 0, 1)) &lt;= VLOOKUP($C2922, 'Instrument Table'!$B:$D, 3, FALSE), ROW($A2922) - 4504 - _xlfn.XMATCH($C2922, $C$4506:$C$5005, 0, 1), 0), 0), "00")</f>
        <v>00</v>
      </c>
      <c r="H2922" s="1" t="str">
        <f t="shared" si="271"/>
        <v>116</v>
      </c>
      <c r="I2922" s="1" t="str">
        <f t="shared" si="272"/>
        <v>15000-116</v>
      </c>
      <c r="J2922" s="1" t="str">
        <f t="shared" si="273"/>
        <v>Snare drum production item #116</v>
      </c>
      <c r="K2922" s="1" t="str">
        <f>IF(SUM(COUNTIFS(I:I, I2922)) &gt; 1, "DUPLICATE", "UNIQUE")</f>
        <v>UNIQUE</v>
      </c>
      <c r="L2922" s="18">
        <v>4</v>
      </c>
      <c r="M2922" s="28">
        <v>34</v>
      </c>
      <c r="N2922" s="6">
        <v>64</v>
      </c>
      <c r="O2922" s="30">
        <f t="shared" si="274"/>
        <v>136</v>
      </c>
      <c r="P2922" s="30">
        <f t="shared" si="275"/>
        <v>2176</v>
      </c>
      <c r="Q2922" s="1">
        <f>COUNTIFS($P:$P, "&gt;" &amp; $P2922) + 1</f>
        <v>3177</v>
      </c>
      <c r="R2922" s="63">
        <f>(COUNTIFS($P:$P, "&gt;" &amp; $P2922) + 1) / (COUNTA($I:$I) - 1)</f>
        <v>0.63539999999999996</v>
      </c>
      <c r="S2922" s="23">
        <f>SUMIFS($P:$P, $Q:$Q, "&lt;" &amp; $Q2922)</f>
        <v>185358360</v>
      </c>
    </row>
    <row r="2923" spans="1:19" x14ac:dyDescent="0.25">
      <c r="A2923" s="1">
        <v>2918</v>
      </c>
      <c r="B2923" s="1" t="s">
        <v>2</v>
      </c>
      <c r="C2923" s="1" t="str">
        <f>IF($B2923 = "Production Item", _xlfn.XLOOKUP($A2923, 'Instrument Table'!$J:$J, 'Instrument Table'!$B:$B, $C2922), IF($B2923 = "Service Item", _xlfn.XLOOKUP($A2923, 'Instrument Table'!$I:$I, 'Instrument Table'!$B:$B, $C2922), _xlfn.XLOOKUP($A2923, 'Instrument Table'!$H:$H, 'Instrument Table'!$B:$B, $C2922)))</f>
        <v>Snare Drum</v>
      </c>
      <c r="D2923" s="1" t="str">
        <f>VLOOKUP($C2923, 'Instrument Table'!$B:$C, 2, FALSE)</f>
        <v>Percussion</v>
      </c>
      <c r="E2923" s="1">
        <f t="shared" si="270"/>
        <v>1</v>
      </c>
      <c r="F2923" s="1">
        <f>_xlfn.XLOOKUP($C2923, 'Instrument Table'!$B:$B, 'Instrument Table'!$A:$A, "")</f>
        <v>50</v>
      </c>
      <c r="G2923" s="1" t="str">
        <f>TEXT(IF($B2923 = "Retail Item", IF((ROW($A2923) - 4504 - _xlfn.XMATCH($C2923, $C$4506:$C$5005, 0, 1)) &lt;= VLOOKUP($C2923, 'Instrument Table'!$B:$D, 3, FALSE), ROW($A2923) - 4504 - _xlfn.XMATCH($C2923, $C$4506:$C$5005, 0, 1), 0), 0), "00")</f>
        <v>00</v>
      </c>
      <c r="H2923" s="1" t="str">
        <f t="shared" si="271"/>
        <v>117</v>
      </c>
      <c r="I2923" s="1" t="str">
        <f t="shared" si="272"/>
        <v>15000-117</v>
      </c>
      <c r="J2923" s="1" t="str">
        <f t="shared" si="273"/>
        <v>Snare drum production item #117</v>
      </c>
      <c r="K2923" s="1" t="str">
        <f>IF(SUM(COUNTIFS(I:I, I2923)) &gt; 1, "DUPLICATE", "UNIQUE")</f>
        <v>UNIQUE</v>
      </c>
      <c r="L2923" s="18">
        <v>32</v>
      </c>
      <c r="M2923" s="28">
        <v>18</v>
      </c>
      <c r="N2923" s="6">
        <v>361</v>
      </c>
      <c r="O2923" s="30">
        <f t="shared" si="274"/>
        <v>576</v>
      </c>
      <c r="P2923" s="30">
        <f t="shared" si="275"/>
        <v>6498</v>
      </c>
      <c r="Q2923" s="1">
        <f>COUNTIFS($P:$P, "&gt;" &amp; $P2923) + 1</f>
        <v>2208</v>
      </c>
      <c r="R2923" s="63">
        <f>(COUNTIFS($P:$P, "&gt;" &amp; $P2923) + 1) / (COUNTA($I:$I) - 1)</f>
        <v>0.44159999999999999</v>
      </c>
      <c r="S2923" s="23">
        <f>SUMIFS($P:$P, $Q:$Q, "&lt;" &amp; $Q2923)</f>
        <v>181503594</v>
      </c>
    </row>
    <row r="2924" spans="1:19" x14ac:dyDescent="0.25">
      <c r="A2924" s="1">
        <v>2919</v>
      </c>
      <c r="B2924" s="1" t="s">
        <v>2</v>
      </c>
      <c r="C2924" s="1" t="str">
        <f>IF($B2924 = "Production Item", _xlfn.XLOOKUP($A2924, 'Instrument Table'!$J:$J, 'Instrument Table'!$B:$B, $C2923), IF($B2924 = "Service Item", _xlfn.XLOOKUP($A2924, 'Instrument Table'!$I:$I, 'Instrument Table'!$B:$B, $C2923), _xlfn.XLOOKUP($A2924, 'Instrument Table'!$H:$H, 'Instrument Table'!$B:$B, $C2923)))</f>
        <v>Snare Drum</v>
      </c>
      <c r="D2924" s="1" t="str">
        <f>VLOOKUP($C2924, 'Instrument Table'!$B:$C, 2, FALSE)</f>
        <v>Percussion</v>
      </c>
      <c r="E2924" s="1">
        <f t="shared" si="270"/>
        <v>1</v>
      </c>
      <c r="F2924" s="1">
        <f>_xlfn.XLOOKUP($C2924, 'Instrument Table'!$B:$B, 'Instrument Table'!$A:$A, "")</f>
        <v>50</v>
      </c>
      <c r="G2924" s="1" t="str">
        <f>TEXT(IF($B2924 = "Retail Item", IF((ROW($A2924) - 4504 - _xlfn.XMATCH($C2924, $C$4506:$C$5005, 0, 1)) &lt;= VLOOKUP($C2924, 'Instrument Table'!$B:$D, 3, FALSE), ROW($A2924) - 4504 - _xlfn.XMATCH($C2924, $C$4506:$C$5005, 0, 1), 0), 0), "00")</f>
        <v>00</v>
      </c>
      <c r="H2924" s="1" t="str">
        <f t="shared" si="271"/>
        <v>118</v>
      </c>
      <c r="I2924" s="1" t="str">
        <f t="shared" si="272"/>
        <v>15000-118</v>
      </c>
      <c r="J2924" s="1" t="str">
        <f t="shared" si="273"/>
        <v>Snare drum production item #118</v>
      </c>
      <c r="K2924" s="1" t="str">
        <f>IF(SUM(COUNTIFS(I:I, I2924)) &gt; 1, "DUPLICATE", "UNIQUE")</f>
        <v>UNIQUE</v>
      </c>
      <c r="L2924" s="18">
        <v>0</v>
      </c>
      <c r="M2924" s="28">
        <v>45</v>
      </c>
      <c r="N2924" s="6">
        <v>1</v>
      </c>
      <c r="O2924" s="30">
        <f t="shared" si="274"/>
        <v>0</v>
      </c>
      <c r="P2924" s="30">
        <f t="shared" si="275"/>
        <v>45</v>
      </c>
      <c r="Q2924" s="1">
        <f>COUNTIFS($P:$P, "&gt;" &amp; $P2924) + 1</f>
        <v>4630</v>
      </c>
      <c r="R2924" s="63">
        <f>(COUNTIFS($P:$P, "&gt;" &amp; $P2924) + 1) / (COUNTA($I:$I) - 1)</f>
        <v>0.92600000000000005</v>
      </c>
      <c r="S2924" s="23">
        <f>SUMIFS($P:$P, $Q:$Q, "&lt;" &amp; $Q2924)</f>
        <v>186545205</v>
      </c>
    </row>
    <row r="2925" spans="1:19" x14ac:dyDescent="0.25">
      <c r="A2925" s="1">
        <v>2920</v>
      </c>
      <c r="B2925" s="1" t="s">
        <v>2</v>
      </c>
      <c r="C2925" s="1" t="str">
        <f>IF($B2925 = "Production Item", _xlfn.XLOOKUP($A2925, 'Instrument Table'!$J:$J, 'Instrument Table'!$B:$B, $C2924), IF($B2925 = "Service Item", _xlfn.XLOOKUP($A2925, 'Instrument Table'!$I:$I, 'Instrument Table'!$B:$B, $C2924), _xlfn.XLOOKUP($A2925, 'Instrument Table'!$H:$H, 'Instrument Table'!$B:$B, $C2924)))</f>
        <v>Snare Drum</v>
      </c>
      <c r="D2925" s="1" t="str">
        <f>VLOOKUP($C2925, 'Instrument Table'!$B:$C, 2, FALSE)</f>
        <v>Percussion</v>
      </c>
      <c r="E2925" s="1">
        <f t="shared" si="270"/>
        <v>1</v>
      </c>
      <c r="F2925" s="1">
        <f>_xlfn.XLOOKUP($C2925, 'Instrument Table'!$B:$B, 'Instrument Table'!$A:$A, "")</f>
        <v>50</v>
      </c>
      <c r="G2925" s="1" t="str">
        <f>TEXT(IF($B2925 = "Retail Item", IF((ROW($A2925) - 4504 - _xlfn.XMATCH($C2925, $C$4506:$C$5005, 0, 1)) &lt;= VLOOKUP($C2925, 'Instrument Table'!$B:$D, 3, FALSE), ROW($A2925) - 4504 - _xlfn.XMATCH($C2925, $C$4506:$C$5005, 0, 1), 0), 0), "00")</f>
        <v>00</v>
      </c>
      <c r="H2925" s="1" t="str">
        <f t="shared" si="271"/>
        <v>119</v>
      </c>
      <c r="I2925" s="1" t="str">
        <f t="shared" si="272"/>
        <v>15000-119</v>
      </c>
      <c r="J2925" s="1" t="str">
        <f t="shared" si="273"/>
        <v>Snare drum production item #119</v>
      </c>
      <c r="K2925" s="1" t="str">
        <f>IF(SUM(COUNTIFS(I:I, I2925)) &gt; 1, "DUPLICATE", "UNIQUE")</f>
        <v>UNIQUE</v>
      </c>
      <c r="L2925" s="18">
        <v>2</v>
      </c>
      <c r="M2925" s="28">
        <v>62</v>
      </c>
      <c r="N2925" s="6">
        <v>289</v>
      </c>
      <c r="O2925" s="30">
        <f t="shared" si="274"/>
        <v>124</v>
      </c>
      <c r="P2925" s="30">
        <f t="shared" si="275"/>
        <v>17918</v>
      </c>
      <c r="Q2925" s="1">
        <f>COUNTIFS($P:$P, "&gt;" &amp; $P2925) + 1</f>
        <v>1170</v>
      </c>
      <c r="R2925" s="63">
        <f>(COUNTIFS($P:$P, "&gt;" &amp; $P2925) + 1) / (COUNTA($I:$I) - 1)</f>
        <v>0.23400000000000001</v>
      </c>
      <c r="S2925" s="23">
        <f>SUMIFS($P:$P, $Q:$Q, "&lt;" &amp; $Q2925)</f>
        <v>169798458</v>
      </c>
    </row>
    <row r="2926" spans="1:19" x14ac:dyDescent="0.25">
      <c r="A2926" s="1">
        <v>2921</v>
      </c>
      <c r="B2926" s="1" t="s">
        <v>2</v>
      </c>
      <c r="C2926" s="1" t="str">
        <f>IF($B2926 = "Production Item", _xlfn.XLOOKUP($A2926, 'Instrument Table'!$J:$J, 'Instrument Table'!$B:$B, $C2925), IF($B2926 = "Service Item", _xlfn.XLOOKUP($A2926, 'Instrument Table'!$I:$I, 'Instrument Table'!$B:$B, $C2925), _xlfn.XLOOKUP($A2926, 'Instrument Table'!$H:$H, 'Instrument Table'!$B:$B, $C2925)))</f>
        <v>Snare Drum</v>
      </c>
      <c r="D2926" s="1" t="str">
        <f>VLOOKUP($C2926, 'Instrument Table'!$B:$C, 2, FALSE)</f>
        <v>Percussion</v>
      </c>
      <c r="E2926" s="1">
        <f t="shared" si="270"/>
        <v>1</v>
      </c>
      <c r="F2926" s="1">
        <f>_xlfn.XLOOKUP($C2926, 'Instrument Table'!$B:$B, 'Instrument Table'!$A:$A, "")</f>
        <v>50</v>
      </c>
      <c r="G2926" s="1" t="str">
        <f>TEXT(IF($B2926 = "Retail Item", IF((ROW($A2926) - 4504 - _xlfn.XMATCH($C2926, $C$4506:$C$5005, 0, 1)) &lt;= VLOOKUP($C2926, 'Instrument Table'!$B:$D, 3, FALSE), ROW($A2926) - 4504 - _xlfn.XMATCH($C2926, $C$4506:$C$5005, 0, 1), 0), 0), "00")</f>
        <v>00</v>
      </c>
      <c r="H2926" s="1" t="str">
        <f t="shared" si="271"/>
        <v>120</v>
      </c>
      <c r="I2926" s="1" t="str">
        <f t="shared" si="272"/>
        <v>15000-120</v>
      </c>
      <c r="J2926" s="1" t="str">
        <f t="shared" si="273"/>
        <v>Snare drum production item #120</v>
      </c>
      <c r="K2926" s="1" t="str">
        <f>IF(SUM(COUNTIFS(I:I, I2926)) &gt; 1, "DUPLICATE", "UNIQUE")</f>
        <v>UNIQUE</v>
      </c>
      <c r="L2926" s="18">
        <v>0</v>
      </c>
      <c r="M2926" s="28">
        <v>48</v>
      </c>
      <c r="N2926" s="6">
        <v>16</v>
      </c>
      <c r="O2926" s="30">
        <f t="shared" si="274"/>
        <v>0</v>
      </c>
      <c r="P2926" s="30">
        <f t="shared" si="275"/>
        <v>768</v>
      </c>
      <c r="Q2926" s="1">
        <f>COUNTIFS($P:$P, "&gt;" &amp; $P2926) + 1</f>
        <v>3810</v>
      </c>
      <c r="R2926" s="63">
        <f>(COUNTIFS($P:$P, "&gt;" &amp; $P2926) + 1) / (COUNTA($I:$I) - 1)</f>
        <v>0.76200000000000001</v>
      </c>
      <c r="S2926" s="23">
        <f>SUMIFS($P:$P, $Q:$Q, "&lt;" &amp; $Q2926)</f>
        <v>186273454</v>
      </c>
    </row>
    <row r="2927" spans="1:19" x14ac:dyDescent="0.25">
      <c r="A2927" s="1">
        <v>2922</v>
      </c>
      <c r="B2927" s="1" t="s">
        <v>2</v>
      </c>
      <c r="C2927" s="1" t="str">
        <f>IF($B2927 = "Production Item", _xlfn.XLOOKUP($A2927, 'Instrument Table'!$J:$J, 'Instrument Table'!$B:$B, $C2926), IF($B2927 = "Service Item", _xlfn.XLOOKUP($A2927, 'Instrument Table'!$I:$I, 'Instrument Table'!$B:$B, $C2926), _xlfn.XLOOKUP($A2927, 'Instrument Table'!$H:$H, 'Instrument Table'!$B:$B, $C2926)))</f>
        <v>Snare Drum</v>
      </c>
      <c r="D2927" s="1" t="str">
        <f>VLOOKUP($C2927, 'Instrument Table'!$B:$C, 2, FALSE)</f>
        <v>Percussion</v>
      </c>
      <c r="E2927" s="1">
        <f t="shared" si="270"/>
        <v>1</v>
      </c>
      <c r="F2927" s="1">
        <f>_xlfn.XLOOKUP($C2927, 'Instrument Table'!$B:$B, 'Instrument Table'!$A:$A, "")</f>
        <v>50</v>
      </c>
      <c r="G2927" s="1" t="str">
        <f>TEXT(IF($B2927 = "Retail Item", IF((ROW($A2927) - 4504 - _xlfn.XMATCH($C2927, $C$4506:$C$5005, 0, 1)) &lt;= VLOOKUP($C2927, 'Instrument Table'!$B:$D, 3, FALSE), ROW($A2927) - 4504 - _xlfn.XMATCH($C2927, $C$4506:$C$5005, 0, 1), 0), 0), "00")</f>
        <v>00</v>
      </c>
      <c r="H2927" s="1" t="str">
        <f t="shared" si="271"/>
        <v>121</v>
      </c>
      <c r="I2927" s="1" t="str">
        <f t="shared" si="272"/>
        <v>15000-121</v>
      </c>
      <c r="J2927" s="1" t="str">
        <f t="shared" si="273"/>
        <v>Snare drum production item #121</v>
      </c>
      <c r="K2927" s="1" t="str">
        <f>IF(SUM(COUNTIFS(I:I, I2927)) &gt; 1, "DUPLICATE", "UNIQUE")</f>
        <v>UNIQUE</v>
      </c>
      <c r="L2927" s="18">
        <v>4</v>
      </c>
      <c r="M2927" s="28">
        <v>34</v>
      </c>
      <c r="N2927" s="6">
        <v>0</v>
      </c>
      <c r="O2927" s="30">
        <f t="shared" si="274"/>
        <v>136</v>
      </c>
      <c r="P2927" s="30">
        <f t="shared" si="275"/>
        <v>0</v>
      </c>
      <c r="Q2927" s="1">
        <f>COUNTIFS($P:$P, "&gt;" &amp; $P2927) + 1</f>
        <v>4746</v>
      </c>
      <c r="R2927" s="63">
        <f>(COUNTIFS($P:$P, "&gt;" &amp; $P2927) + 1) / (COUNTA($I:$I) - 1)</f>
        <v>0.94920000000000004</v>
      </c>
      <c r="S2927" s="23">
        <f>SUMIFS($P:$P, $Q:$Q, "&lt;" &amp; $Q2927)</f>
        <v>186547861</v>
      </c>
    </row>
    <row r="2928" spans="1:19" x14ac:dyDescent="0.25">
      <c r="A2928" s="1">
        <v>2923</v>
      </c>
      <c r="B2928" s="1" t="s">
        <v>2</v>
      </c>
      <c r="C2928" s="1" t="str">
        <f>IF($B2928 = "Production Item", _xlfn.XLOOKUP($A2928, 'Instrument Table'!$J:$J, 'Instrument Table'!$B:$B, $C2927), IF($B2928 = "Service Item", _xlfn.XLOOKUP($A2928, 'Instrument Table'!$I:$I, 'Instrument Table'!$B:$B, $C2927), _xlfn.XLOOKUP($A2928, 'Instrument Table'!$H:$H, 'Instrument Table'!$B:$B, $C2927)))</f>
        <v>Snare Drum</v>
      </c>
      <c r="D2928" s="1" t="str">
        <f>VLOOKUP($C2928, 'Instrument Table'!$B:$C, 2, FALSE)</f>
        <v>Percussion</v>
      </c>
      <c r="E2928" s="1">
        <f t="shared" si="270"/>
        <v>1</v>
      </c>
      <c r="F2928" s="1">
        <f>_xlfn.XLOOKUP($C2928, 'Instrument Table'!$B:$B, 'Instrument Table'!$A:$A, "")</f>
        <v>50</v>
      </c>
      <c r="G2928" s="1" t="str">
        <f>TEXT(IF($B2928 = "Retail Item", IF((ROW($A2928) - 4504 - _xlfn.XMATCH($C2928, $C$4506:$C$5005, 0, 1)) &lt;= VLOOKUP($C2928, 'Instrument Table'!$B:$D, 3, FALSE), ROW($A2928) - 4504 - _xlfn.XMATCH($C2928, $C$4506:$C$5005, 0, 1), 0), 0), "00")</f>
        <v>00</v>
      </c>
      <c r="H2928" s="1" t="str">
        <f t="shared" si="271"/>
        <v>122</v>
      </c>
      <c r="I2928" s="1" t="str">
        <f t="shared" si="272"/>
        <v>15000-122</v>
      </c>
      <c r="J2928" s="1" t="str">
        <f t="shared" si="273"/>
        <v>Snare drum production item #122</v>
      </c>
      <c r="K2928" s="1" t="str">
        <f>IF(SUM(COUNTIFS(I:I, I2928)) &gt; 1, "DUPLICATE", "UNIQUE")</f>
        <v>UNIQUE</v>
      </c>
      <c r="L2928" s="18">
        <v>0</v>
      </c>
      <c r="M2928" s="28">
        <v>71</v>
      </c>
      <c r="N2928" s="6">
        <v>225</v>
      </c>
      <c r="O2928" s="30">
        <f t="shared" si="274"/>
        <v>0</v>
      </c>
      <c r="P2928" s="30">
        <f t="shared" si="275"/>
        <v>15975</v>
      </c>
      <c r="Q2928" s="1">
        <f>COUNTIFS($P:$P, "&gt;" &amp; $P2928) + 1</f>
        <v>1281</v>
      </c>
      <c r="R2928" s="63">
        <f>(COUNTIFS($P:$P, "&gt;" &amp; $P2928) + 1) / (COUNTA($I:$I) - 1)</f>
        <v>0.25619999999999998</v>
      </c>
      <c r="S2928" s="23">
        <f>SUMIFS($P:$P, $Q:$Q, "&lt;" &amp; $Q2928)</f>
        <v>171672880</v>
      </c>
    </row>
    <row r="2929" spans="1:19" x14ac:dyDescent="0.25">
      <c r="A2929" s="1">
        <v>2924</v>
      </c>
      <c r="B2929" s="1" t="s">
        <v>2</v>
      </c>
      <c r="C2929" s="1" t="str">
        <f>IF($B2929 = "Production Item", _xlfn.XLOOKUP($A2929, 'Instrument Table'!$J:$J, 'Instrument Table'!$B:$B, $C2928), IF($B2929 = "Service Item", _xlfn.XLOOKUP($A2929, 'Instrument Table'!$I:$I, 'Instrument Table'!$B:$B, $C2928), _xlfn.XLOOKUP($A2929, 'Instrument Table'!$H:$H, 'Instrument Table'!$B:$B, $C2928)))</f>
        <v>Snare Drum</v>
      </c>
      <c r="D2929" s="1" t="str">
        <f>VLOOKUP($C2929, 'Instrument Table'!$B:$C, 2, FALSE)</f>
        <v>Percussion</v>
      </c>
      <c r="E2929" s="1">
        <f t="shared" si="270"/>
        <v>1</v>
      </c>
      <c r="F2929" s="1">
        <f>_xlfn.XLOOKUP($C2929, 'Instrument Table'!$B:$B, 'Instrument Table'!$A:$A, "")</f>
        <v>50</v>
      </c>
      <c r="G2929" s="1" t="str">
        <f>TEXT(IF($B2929 = "Retail Item", IF((ROW($A2929) - 4504 - _xlfn.XMATCH($C2929, $C$4506:$C$5005, 0, 1)) &lt;= VLOOKUP($C2929, 'Instrument Table'!$B:$D, 3, FALSE), ROW($A2929) - 4504 - _xlfn.XMATCH($C2929, $C$4506:$C$5005, 0, 1), 0), 0), "00")</f>
        <v>00</v>
      </c>
      <c r="H2929" s="1" t="str">
        <f t="shared" si="271"/>
        <v>123</v>
      </c>
      <c r="I2929" s="1" t="str">
        <f t="shared" si="272"/>
        <v>15000-123</v>
      </c>
      <c r="J2929" s="1" t="str">
        <f t="shared" si="273"/>
        <v>Snare drum production item #123</v>
      </c>
      <c r="K2929" s="1" t="str">
        <f>IF(SUM(COUNTIFS(I:I, I2929)) &gt; 1, "DUPLICATE", "UNIQUE")</f>
        <v>UNIQUE</v>
      </c>
      <c r="L2929" s="18">
        <v>0</v>
      </c>
      <c r="M2929" s="28">
        <v>28</v>
      </c>
      <c r="N2929" s="6">
        <v>100</v>
      </c>
      <c r="O2929" s="30">
        <f t="shared" si="274"/>
        <v>0</v>
      </c>
      <c r="P2929" s="30">
        <f t="shared" si="275"/>
        <v>2800</v>
      </c>
      <c r="Q2929" s="1">
        <f>COUNTIFS($P:$P, "&gt;" &amp; $P2929) + 1</f>
        <v>2961</v>
      </c>
      <c r="R2929" s="63">
        <f>(COUNTIFS($P:$P, "&gt;" &amp; $P2929) + 1) / (COUNTA($I:$I) - 1)</f>
        <v>0.59219999999999995</v>
      </c>
      <c r="S2929" s="23">
        <f>SUMIFS($P:$P, $Q:$Q, "&lt;" &amp; $Q2929)</f>
        <v>184826149</v>
      </c>
    </row>
    <row r="2930" spans="1:19" x14ac:dyDescent="0.25">
      <c r="A2930" s="1">
        <v>2925</v>
      </c>
      <c r="B2930" s="1" t="s">
        <v>2</v>
      </c>
      <c r="C2930" s="1" t="str">
        <f>IF($B2930 = "Production Item", _xlfn.XLOOKUP($A2930, 'Instrument Table'!$J:$J, 'Instrument Table'!$B:$B, $C2929), IF($B2930 = "Service Item", _xlfn.XLOOKUP($A2930, 'Instrument Table'!$I:$I, 'Instrument Table'!$B:$B, $C2929), _xlfn.XLOOKUP($A2930, 'Instrument Table'!$H:$H, 'Instrument Table'!$B:$B, $C2929)))</f>
        <v>Snare Drum</v>
      </c>
      <c r="D2930" s="1" t="str">
        <f>VLOOKUP($C2930, 'Instrument Table'!$B:$C, 2, FALSE)</f>
        <v>Percussion</v>
      </c>
      <c r="E2930" s="1">
        <f t="shared" si="270"/>
        <v>1</v>
      </c>
      <c r="F2930" s="1">
        <f>_xlfn.XLOOKUP($C2930, 'Instrument Table'!$B:$B, 'Instrument Table'!$A:$A, "")</f>
        <v>50</v>
      </c>
      <c r="G2930" s="1" t="str">
        <f>TEXT(IF($B2930 = "Retail Item", IF((ROW($A2930) - 4504 - _xlfn.XMATCH($C2930, $C$4506:$C$5005, 0, 1)) &lt;= VLOOKUP($C2930, 'Instrument Table'!$B:$D, 3, FALSE), ROW($A2930) - 4504 - _xlfn.XMATCH($C2930, $C$4506:$C$5005, 0, 1), 0), 0), "00")</f>
        <v>00</v>
      </c>
      <c r="H2930" s="1" t="str">
        <f t="shared" si="271"/>
        <v>124</v>
      </c>
      <c r="I2930" s="1" t="str">
        <f t="shared" si="272"/>
        <v>15000-124</v>
      </c>
      <c r="J2930" s="1" t="str">
        <f t="shared" si="273"/>
        <v>Snare drum production item #124</v>
      </c>
      <c r="K2930" s="1" t="str">
        <f>IF(SUM(COUNTIFS(I:I, I2930)) &gt; 1, "DUPLICATE", "UNIQUE")</f>
        <v>UNIQUE</v>
      </c>
      <c r="L2930" s="18">
        <v>1</v>
      </c>
      <c r="M2930" s="28">
        <v>21</v>
      </c>
      <c r="N2930" s="6">
        <v>196</v>
      </c>
      <c r="O2930" s="30">
        <f t="shared" si="274"/>
        <v>21</v>
      </c>
      <c r="P2930" s="30">
        <f t="shared" si="275"/>
        <v>4116</v>
      </c>
      <c r="Q2930" s="1">
        <f>COUNTIFS($P:$P, "&gt;" &amp; $P2930) + 1</f>
        <v>2630</v>
      </c>
      <c r="R2930" s="63">
        <f>(COUNTIFS($P:$P, "&gt;" &amp; $P2930) + 1) / (COUNTA($I:$I) - 1)</f>
        <v>0.52600000000000002</v>
      </c>
      <c r="S2930" s="23">
        <f>SUMIFS($P:$P, $Q:$Q, "&lt;" &amp; $Q2930)</f>
        <v>183689305</v>
      </c>
    </row>
    <row r="2931" spans="1:19" x14ac:dyDescent="0.25">
      <c r="A2931" s="1">
        <v>2926</v>
      </c>
      <c r="B2931" s="1" t="s">
        <v>2</v>
      </c>
      <c r="C2931" s="1" t="str">
        <f>IF($B2931 = "Production Item", _xlfn.XLOOKUP($A2931, 'Instrument Table'!$J:$J, 'Instrument Table'!$B:$B, $C2930), IF($B2931 = "Service Item", _xlfn.XLOOKUP($A2931, 'Instrument Table'!$I:$I, 'Instrument Table'!$B:$B, $C2930), _xlfn.XLOOKUP($A2931, 'Instrument Table'!$H:$H, 'Instrument Table'!$B:$B, $C2930)))</f>
        <v>Snare Drum</v>
      </c>
      <c r="D2931" s="1" t="str">
        <f>VLOOKUP($C2931, 'Instrument Table'!$B:$C, 2, FALSE)</f>
        <v>Percussion</v>
      </c>
      <c r="E2931" s="1">
        <f t="shared" si="270"/>
        <v>1</v>
      </c>
      <c r="F2931" s="1">
        <f>_xlfn.XLOOKUP($C2931, 'Instrument Table'!$B:$B, 'Instrument Table'!$A:$A, "")</f>
        <v>50</v>
      </c>
      <c r="G2931" s="1" t="str">
        <f>TEXT(IF($B2931 = "Retail Item", IF((ROW($A2931) - 4504 - _xlfn.XMATCH($C2931, $C$4506:$C$5005, 0, 1)) &lt;= VLOOKUP($C2931, 'Instrument Table'!$B:$D, 3, FALSE), ROW($A2931) - 4504 - _xlfn.XMATCH($C2931, $C$4506:$C$5005, 0, 1), 0), 0), "00")</f>
        <v>00</v>
      </c>
      <c r="H2931" s="1" t="str">
        <f t="shared" si="271"/>
        <v>125</v>
      </c>
      <c r="I2931" s="1" t="str">
        <f t="shared" si="272"/>
        <v>15000-125</v>
      </c>
      <c r="J2931" s="1" t="str">
        <f t="shared" si="273"/>
        <v>Snare drum production item #125</v>
      </c>
      <c r="K2931" s="1" t="str">
        <f>IF(SUM(COUNTIFS(I:I, I2931)) &gt; 1, "DUPLICATE", "UNIQUE")</f>
        <v>UNIQUE</v>
      </c>
      <c r="L2931" s="18">
        <v>0</v>
      </c>
      <c r="M2931" s="28">
        <v>9</v>
      </c>
      <c r="N2931" s="6">
        <v>1</v>
      </c>
      <c r="O2931" s="30">
        <f t="shared" si="274"/>
        <v>0</v>
      </c>
      <c r="P2931" s="30">
        <f t="shared" si="275"/>
        <v>9</v>
      </c>
      <c r="Q2931" s="1">
        <f>COUNTIFS($P:$P, "&gt;" &amp; $P2931) + 1</f>
        <v>4723</v>
      </c>
      <c r="R2931" s="63">
        <f>(COUNTIFS($P:$P, "&gt;" &amp; $P2931) + 1) / (COUNTA($I:$I) - 1)</f>
        <v>0.9446</v>
      </c>
      <c r="S2931" s="23">
        <f>SUMIFS($P:$P, $Q:$Q, "&lt;" &amp; $Q2931)</f>
        <v>186547723</v>
      </c>
    </row>
    <row r="2932" spans="1:19" x14ac:dyDescent="0.25">
      <c r="A2932" s="1">
        <v>2927</v>
      </c>
      <c r="B2932" s="1" t="s">
        <v>2</v>
      </c>
      <c r="C2932" s="1" t="str">
        <f>IF($B2932 = "Production Item", _xlfn.XLOOKUP($A2932, 'Instrument Table'!$J:$J, 'Instrument Table'!$B:$B, $C2931), IF($B2932 = "Service Item", _xlfn.XLOOKUP($A2932, 'Instrument Table'!$I:$I, 'Instrument Table'!$B:$B, $C2931), _xlfn.XLOOKUP($A2932, 'Instrument Table'!$H:$H, 'Instrument Table'!$B:$B, $C2931)))</f>
        <v>Snare Drum</v>
      </c>
      <c r="D2932" s="1" t="str">
        <f>VLOOKUP($C2932, 'Instrument Table'!$B:$C, 2, FALSE)</f>
        <v>Percussion</v>
      </c>
      <c r="E2932" s="1">
        <f t="shared" si="270"/>
        <v>1</v>
      </c>
      <c r="F2932" s="1">
        <f>_xlfn.XLOOKUP($C2932, 'Instrument Table'!$B:$B, 'Instrument Table'!$A:$A, "")</f>
        <v>50</v>
      </c>
      <c r="G2932" s="1" t="str">
        <f>TEXT(IF($B2932 = "Retail Item", IF((ROW($A2932) - 4504 - _xlfn.XMATCH($C2932, $C$4506:$C$5005, 0, 1)) &lt;= VLOOKUP($C2932, 'Instrument Table'!$B:$D, 3, FALSE), ROW($A2932) - 4504 - _xlfn.XMATCH($C2932, $C$4506:$C$5005, 0, 1), 0), 0), "00")</f>
        <v>00</v>
      </c>
      <c r="H2932" s="1" t="str">
        <f t="shared" si="271"/>
        <v>126</v>
      </c>
      <c r="I2932" s="1" t="str">
        <f t="shared" si="272"/>
        <v>15000-126</v>
      </c>
      <c r="J2932" s="1" t="str">
        <f t="shared" si="273"/>
        <v>Snare drum production item #126</v>
      </c>
      <c r="K2932" s="1" t="str">
        <f>IF(SUM(COUNTIFS(I:I, I2932)) &gt; 1, "DUPLICATE", "UNIQUE")</f>
        <v>UNIQUE</v>
      </c>
      <c r="L2932" s="18">
        <v>1</v>
      </c>
      <c r="M2932" s="28">
        <v>45</v>
      </c>
      <c r="N2932" s="6">
        <v>9</v>
      </c>
      <c r="O2932" s="30">
        <f t="shared" si="274"/>
        <v>45</v>
      </c>
      <c r="P2932" s="30">
        <f t="shared" si="275"/>
        <v>405</v>
      </c>
      <c r="Q2932" s="1">
        <f>COUNTIFS($P:$P, "&gt;" &amp; $P2932) + 1</f>
        <v>4085</v>
      </c>
      <c r="R2932" s="63">
        <f>(COUNTIFS($P:$P, "&gt;" &amp; $P2932) + 1) / (COUNTA($I:$I) - 1)</f>
        <v>0.81699999999999995</v>
      </c>
      <c r="S2932" s="23">
        <f>SUMIFS($P:$P, $Q:$Q, "&lt;" &amp; $Q2932)</f>
        <v>186438857</v>
      </c>
    </row>
    <row r="2933" spans="1:19" x14ac:dyDescent="0.25">
      <c r="A2933" s="1">
        <v>2928</v>
      </c>
      <c r="B2933" s="1" t="s">
        <v>2</v>
      </c>
      <c r="C2933" s="1" t="str">
        <f>IF($B2933 = "Production Item", _xlfn.XLOOKUP($A2933, 'Instrument Table'!$J:$J, 'Instrument Table'!$B:$B, $C2932), IF($B2933 = "Service Item", _xlfn.XLOOKUP($A2933, 'Instrument Table'!$I:$I, 'Instrument Table'!$B:$B, $C2932), _xlfn.XLOOKUP($A2933, 'Instrument Table'!$H:$H, 'Instrument Table'!$B:$B, $C2932)))</f>
        <v>Snare Drum</v>
      </c>
      <c r="D2933" s="1" t="str">
        <f>VLOOKUP($C2933, 'Instrument Table'!$B:$C, 2, FALSE)</f>
        <v>Percussion</v>
      </c>
      <c r="E2933" s="1">
        <f t="shared" si="270"/>
        <v>1</v>
      </c>
      <c r="F2933" s="1">
        <f>_xlfn.XLOOKUP($C2933, 'Instrument Table'!$B:$B, 'Instrument Table'!$A:$A, "")</f>
        <v>50</v>
      </c>
      <c r="G2933" s="1" t="str">
        <f>TEXT(IF($B2933 = "Retail Item", IF((ROW($A2933) - 4504 - _xlfn.XMATCH($C2933, $C$4506:$C$5005, 0, 1)) &lt;= VLOOKUP($C2933, 'Instrument Table'!$B:$D, 3, FALSE), ROW($A2933) - 4504 - _xlfn.XMATCH($C2933, $C$4506:$C$5005, 0, 1), 0), 0), "00")</f>
        <v>00</v>
      </c>
      <c r="H2933" s="1" t="str">
        <f t="shared" si="271"/>
        <v>127</v>
      </c>
      <c r="I2933" s="1" t="str">
        <f t="shared" si="272"/>
        <v>15000-127</v>
      </c>
      <c r="J2933" s="1" t="str">
        <f t="shared" si="273"/>
        <v>Snare drum production item #127</v>
      </c>
      <c r="K2933" s="1" t="str">
        <f>IF(SUM(COUNTIFS(I:I, I2933)) &gt; 1, "DUPLICATE", "UNIQUE")</f>
        <v>UNIQUE</v>
      </c>
      <c r="L2933" s="18">
        <v>0</v>
      </c>
      <c r="M2933" s="28">
        <v>76</v>
      </c>
      <c r="N2933" s="6">
        <v>121</v>
      </c>
      <c r="O2933" s="30">
        <f t="shared" si="274"/>
        <v>0</v>
      </c>
      <c r="P2933" s="30">
        <f t="shared" si="275"/>
        <v>9196</v>
      </c>
      <c r="Q2933" s="1">
        <f>COUNTIFS($P:$P, "&gt;" &amp; $P2933) + 1</f>
        <v>1857</v>
      </c>
      <c r="R2933" s="63">
        <f>(COUNTIFS($P:$P, "&gt;" &amp; $P2933) + 1) / (COUNTA($I:$I) - 1)</f>
        <v>0.37140000000000001</v>
      </c>
      <c r="S2933" s="23">
        <f>SUMIFS($P:$P, $Q:$Q, "&lt;" &amp; $Q2933)</f>
        <v>178778300</v>
      </c>
    </row>
    <row r="2934" spans="1:19" x14ac:dyDescent="0.25">
      <c r="A2934" s="1">
        <v>2929</v>
      </c>
      <c r="B2934" s="1" t="s">
        <v>2</v>
      </c>
      <c r="C2934" s="1" t="str">
        <f>IF($B2934 = "Production Item", _xlfn.XLOOKUP($A2934, 'Instrument Table'!$J:$J, 'Instrument Table'!$B:$B, $C2933), IF($B2934 = "Service Item", _xlfn.XLOOKUP($A2934, 'Instrument Table'!$I:$I, 'Instrument Table'!$B:$B, $C2933), _xlfn.XLOOKUP($A2934, 'Instrument Table'!$H:$H, 'Instrument Table'!$B:$B, $C2933)))</f>
        <v>Snare Drum</v>
      </c>
      <c r="D2934" s="1" t="str">
        <f>VLOOKUP($C2934, 'Instrument Table'!$B:$C, 2, FALSE)</f>
        <v>Percussion</v>
      </c>
      <c r="E2934" s="1">
        <f t="shared" si="270"/>
        <v>1</v>
      </c>
      <c r="F2934" s="1">
        <f>_xlfn.XLOOKUP($C2934, 'Instrument Table'!$B:$B, 'Instrument Table'!$A:$A, "")</f>
        <v>50</v>
      </c>
      <c r="G2934" s="1" t="str">
        <f>TEXT(IF($B2934 = "Retail Item", IF((ROW($A2934) - 4504 - _xlfn.XMATCH($C2934, $C$4506:$C$5005, 0, 1)) &lt;= VLOOKUP($C2934, 'Instrument Table'!$B:$D, 3, FALSE), ROW($A2934) - 4504 - _xlfn.XMATCH($C2934, $C$4506:$C$5005, 0, 1), 0), 0), "00")</f>
        <v>00</v>
      </c>
      <c r="H2934" s="1" t="str">
        <f t="shared" si="271"/>
        <v>128</v>
      </c>
      <c r="I2934" s="1" t="str">
        <f t="shared" si="272"/>
        <v>15000-128</v>
      </c>
      <c r="J2934" s="1" t="str">
        <f t="shared" si="273"/>
        <v>Snare drum production item #128</v>
      </c>
      <c r="K2934" s="1" t="str">
        <f>IF(SUM(COUNTIFS(I:I, I2934)) &gt; 1, "DUPLICATE", "UNIQUE")</f>
        <v>UNIQUE</v>
      </c>
      <c r="L2934" s="18">
        <v>4</v>
      </c>
      <c r="M2934" s="28">
        <v>19</v>
      </c>
      <c r="N2934" s="6">
        <v>361</v>
      </c>
      <c r="O2934" s="30">
        <f t="shared" si="274"/>
        <v>76</v>
      </c>
      <c r="P2934" s="30">
        <f t="shared" si="275"/>
        <v>6859</v>
      </c>
      <c r="Q2934" s="1">
        <f>COUNTIFS($P:$P, "&gt;" &amp; $P2934) + 1</f>
        <v>2160</v>
      </c>
      <c r="R2934" s="63">
        <f>(COUNTIFS($P:$P, "&gt;" &amp; $P2934) + 1) / (COUNTA($I:$I) - 1)</f>
        <v>0.432</v>
      </c>
      <c r="S2934" s="23">
        <f>SUMIFS($P:$P, $Q:$Q, "&lt;" &amp; $Q2934)</f>
        <v>181182448</v>
      </c>
    </row>
    <row r="2935" spans="1:19" x14ac:dyDescent="0.25">
      <c r="A2935" s="1">
        <v>2930</v>
      </c>
      <c r="B2935" s="1" t="s">
        <v>2</v>
      </c>
      <c r="C2935" s="1" t="str">
        <f>IF($B2935 = "Production Item", _xlfn.XLOOKUP($A2935, 'Instrument Table'!$J:$J, 'Instrument Table'!$B:$B, $C2934), IF($B2935 = "Service Item", _xlfn.XLOOKUP($A2935, 'Instrument Table'!$I:$I, 'Instrument Table'!$B:$B, $C2934), _xlfn.XLOOKUP($A2935, 'Instrument Table'!$H:$H, 'Instrument Table'!$B:$B, $C2934)))</f>
        <v>Snare Drum</v>
      </c>
      <c r="D2935" s="1" t="str">
        <f>VLOOKUP($C2935, 'Instrument Table'!$B:$C, 2, FALSE)</f>
        <v>Percussion</v>
      </c>
      <c r="E2935" s="1">
        <f t="shared" si="270"/>
        <v>1</v>
      </c>
      <c r="F2935" s="1">
        <f>_xlfn.XLOOKUP($C2935, 'Instrument Table'!$B:$B, 'Instrument Table'!$A:$A, "")</f>
        <v>50</v>
      </c>
      <c r="G2935" s="1" t="str">
        <f>TEXT(IF($B2935 = "Retail Item", IF((ROW($A2935) - 4504 - _xlfn.XMATCH($C2935, $C$4506:$C$5005, 0, 1)) &lt;= VLOOKUP($C2935, 'Instrument Table'!$B:$D, 3, FALSE), ROW($A2935) - 4504 - _xlfn.XMATCH($C2935, $C$4506:$C$5005, 0, 1), 0), 0), "00")</f>
        <v>00</v>
      </c>
      <c r="H2935" s="1" t="str">
        <f t="shared" si="271"/>
        <v>129</v>
      </c>
      <c r="I2935" s="1" t="str">
        <f t="shared" si="272"/>
        <v>15000-129</v>
      </c>
      <c r="J2935" s="1" t="str">
        <f t="shared" si="273"/>
        <v>Snare drum production item #129</v>
      </c>
      <c r="K2935" s="1" t="str">
        <f>IF(SUM(COUNTIFS(I:I, I2935)) &gt; 1, "DUPLICATE", "UNIQUE")</f>
        <v>UNIQUE</v>
      </c>
      <c r="L2935" s="18">
        <v>32</v>
      </c>
      <c r="M2935" s="28">
        <v>71</v>
      </c>
      <c r="N2935" s="6">
        <v>25</v>
      </c>
      <c r="O2935" s="30">
        <f t="shared" si="274"/>
        <v>2272</v>
      </c>
      <c r="P2935" s="30">
        <f t="shared" si="275"/>
        <v>1775</v>
      </c>
      <c r="Q2935" s="1">
        <f>COUNTIFS($P:$P, "&gt;" &amp; $P2935) + 1</f>
        <v>3349</v>
      </c>
      <c r="R2935" s="63">
        <f>(COUNTIFS($P:$P, "&gt;" &amp; $P2935) + 1) / (COUNTA($I:$I) - 1)</f>
        <v>0.66979999999999995</v>
      </c>
      <c r="S2935" s="23">
        <f>SUMIFS($P:$P, $Q:$Q, "&lt;" &amp; $Q2935)</f>
        <v>185698665</v>
      </c>
    </row>
    <row r="2936" spans="1:19" x14ac:dyDescent="0.25">
      <c r="A2936" s="1">
        <v>2931</v>
      </c>
      <c r="B2936" s="1" t="s">
        <v>2</v>
      </c>
      <c r="C2936" s="1" t="str">
        <f>IF($B2936 = "Production Item", _xlfn.XLOOKUP($A2936, 'Instrument Table'!$J:$J, 'Instrument Table'!$B:$B, $C2935), IF($B2936 = "Service Item", _xlfn.XLOOKUP($A2936, 'Instrument Table'!$I:$I, 'Instrument Table'!$B:$B, $C2935), _xlfn.XLOOKUP($A2936, 'Instrument Table'!$H:$H, 'Instrument Table'!$B:$B, $C2935)))</f>
        <v>Snare Drum</v>
      </c>
      <c r="D2936" s="1" t="str">
        <f>VLOOKUP($C2936, 'Instrument Table'!$B:$C, 2, FALSE)</f>
        <v>Percussion</v>
      </c>
      <c r="E2936" s="1">
        <f t="shared" si="270"/>
        <v>1</v>
      </c>
      <c r="F2936" s="1">
        <f>_xlfn.XLOOKUP($C2936, 'Instrument Table'!$B:$B, 'Instrument Table'!$A:$A, "")</f>
        <v>50</v>
      </c>
      <c r="G2936" s="1" t="str">
        <f>TEXT(IF($B2936 = "Retail Item", IF((ROW($A2936) - 4504 - _xlfn.XMATCH($C2936, $C$4506:$C$5005, 0, 1)) &lt;= VLOOKUP($C2936, 'Instrument Table'!$B:$D, 3, FALSE), ROW($A2936) - 4504 - _xlfn.XMATCH($C2936, $C$4506:$C$5005, 0, 1), 0), 0), "00")</f>
        <v>00</v>
      </c>
      <c r="H2936" s="1" t="str">
        <f t="shared" si="271"/>
        <v>130</v>
      </c>
      <c r="I2936" s="1" t="str">
        <f t="shared" si="272"/>
        <v>15000-130</v>
      </c>
      <c r="J2936" s="1" t="str">
        <f t="shared" si="273"/>
        <v>Snare drum production item #130</v>
      </c>
      <c r="K2936" s="1" t="str">
        <f>IF(SUM(COUNTIFS(I:I, I2936)) &gt; 1, "DUPLICATE", "UNIQUE")</f>
        <v>UNIQUE</v>
      </c>
      <c r="L2936" s="18">
        <v>32</v>
      </c>
      <c r="M2936" s="28">
        <v>26</v>
      </c>
      <c r="N2936" s="6">
        <v>36</v>
      </c>
      <c r="O2936" s="30">
        <f t="shared" si="274"/>
        <v>832</v>
      </c>
      <c r="P2936" s="30">
        <f t="shared" si="275"/>
        <v>936</v>
      </c>
      <c r="Q2936" s="1">
        <f>COUNTIFS($P:$P, "&gt;" &amp; $P2936) + 1</f>
        <v>3708</v>
      </c>
      <c r="R2936" s="63">
        <f>(COUNTIFS($P:$P, "&gt;" &amp; $P2936) + 1) / (COUNTA($I:$I) - 1)</f>
        <v>0.74160000000000004</v>
      </c>
      <c r="S2936" s="23">
        <f>SUMIFS($P:$P, $Q:$Q, "&lt;" &amp; $Q2936)</f>
        <v>186186457</v>
      </c>
    </row>
    <row r="2937" spans="1:19" x14ac:dyDescent="0.25">
      <c r="A2937" s="1">
        <v>2932</v>
      </c>
      <c r="B2937" s="1" t="s">
        <v>2</v>
      </c>
      <c r="C2937" s="1" t="str">
        <f>IF($B2937 = "Production Item", _xlfn.XLOOKUP($A2937, 'Instrument Table'!$J:$J, 'Instrument Table'!$B:$B, $C2936), IF($B2937 = "Service Item", _xlfn.XLOOKUP($A2937, 'Instrument Table'!$I:$I, 'Instrument Table'!$B:$B, $C2936), _xlfn.XLOOKUP($A2937, 'Instrument Table'!$H:$H, 'Instrument Table'!$B:$B, $C2936)))</f>
        <v>Snare Drum</v>
      </c>
      <c r="D2937" s="1" t="str">
        <f>VLOOKUP($C2937, 'Instrument Table'!$B:$C, 2, FALSE)</f>
        <v>Percussion</v>
      </c>
      <c r="E2937" s="1">
        <f t="shared" si="270"/>
        <v>1</v>
      </c>
      <c r="F2937" s="1">
        <f>_xlfn.XLOOKUP($C2937, 'Instrument Table'!$B:$B, 'Instrument Table'!$A:$A, "")</f>
        <v>50</v>
      </c>
      <c r="G2937" s="1" t="str">
        <f>TEXT(IF($B2937 = "Retail Item", IF((ROW($A2937) - 4504 - _xlfn.XMATCH($C2937, $C$4506:$C$5005, 0, 1)) &lt;= VLOOKUP($C2937, 'Instrument Table'!$B:$D, 3, FALSE), ROW($A2937) - 4504 - _xlfn.XMATCH($C2937, $C$4506:$C$5005, 0, 1), 0), 0), "00")</f>
        <v>00</v>
      </c>
      <c r="H2937" s="1" t="str">
        <f t="shared" si="271"/>
        <v>131</v>
      </c>
      <c r="I2937" s="1" t="str">
        <f t="shared" si="272"/>
        <v>15000-131</v>
      </c>
      <c r="J2937" s="1" t="str">
        <f t="shared" si="273"/>
        <v>Snare drum production item #131</v>
      </c>
      <c r="K2937" s="1" t="str">
        <f>IF(SUM(COUNTIFS(I:I, I2937)) &gt; 1, "DUPLICATE", "UNIQUE")</f>
        <v>UNIQUE</v>
      </c>
      <c r="L2937" s="18">
        <v>0</v>
      </c>
      <c r="M2937" s="28">
        <v>63</v>
      </c>
      <c r="N2937" s="6">
        <v>25</v>
      </c>
      <c r="O2937" s="30">
        <f t="shared" si="274"/>
        <v>0</v>
      </c>
      <c r="P2937" s="30">
        <f t="shared" si="275"/>
        <v>1575</v>
      </c>
      <c r="Q2937" s="1">
        <f>COUNTIFS($P:$P, "&gt;" &amp; $P2937) + 1</f>
        <v>3424</v>
      </c>
      <c r="R2937" s="63">
        <f>(COUNTIFS($P:$P, "&gt;" &amp; $P2937) + 1) / (COUNTA($I:$I) - 1)</f>
        <v>0.68479999999999996</v>
      </c>
      <c r="S2937" s="23">
        <f>SUMIFS($P:$P, $Q:$Q, "&lt;" &amp; $Q2937)</f>
        <v>185823279</v>
      </c>
    </row>
    <row r="2938" spans="1:19" x14ac:dyDescent="0.25">
      <c r="A2938" s="1">
        <v>2933</v>
      </c>
      <c r="B2938" s="1" t="s">
        <v>2</v>
      </c>
      <c r="C2938" s="1" t="str">
        <f>IF($B2938 = "Production Item", _xlfn.XLOOKUP($A2938, 'Instrument Table'!$J:$J, 'Instrument Table'!$B:$B, $C2937), IF($B2938 = "Service Item", _xlfn.XLOOKUP($A2938, 'Instrument Table'!$I:$I, 'Instrument Table'!$B:$B, $C2937), _xlfn.XLOOKUP($A2938, 'Instrument Table'!$H:$H, 'Instrument Table'!$B:$B, $C2937)))</f>
        <v>Snare Drum</v>
      </c>
      <c r="D2938" s="1" t="str">
        <f>VLOOKUP($C2938, 'Instrument Table'!$B:$C, 2, FALSE)</f>
        <v>Percussion</v>
      </c>
      <c r="E2938" s="1">
        <f t="shared" si="270"/>
        <v>1</v>
      </c>
      <c r="F2938" s="1">
        <f>_xlfn.XLOOKUP($C2938, 'Instrument Table'!$B:$B, 'Instrument Table'!$A:$A, "")</f>
        <v>50</v>
      </c>
      <c r="G2938" s="1" t="str">
        <f>TEXT(IF($B2938 = "Retail Item", IF((ROW($A2938) - 4504 - _xlfn.XMATCH($C2938, $C$4506:$C$5005, 0, 1)) &lt;= VLOOKUP($C2938, 'Instrument Table'!$B:$D, 3, FALSE), ROW($A2938) - 4504 - _xlfn.XMATCH($C2938, $C$4506:$C$5005, 0, 1), 0), 0), "00")</f>
        <v>00</v>
      </c>
      <c r="H2938" s="1" t="str">
        <f t="shared" si="271"/>
        <v>132</v>
      </c>
      <c r="I2938" s="1" t="str">
        <f t="shared" si="272"/>
        <v>15000-132</v>
      </c>
      <c r="J2938" s="1" t="str">
        <f t="shared" si="273"/>
        <v>Snare drum production item #132</v>
      </c>
      <c r="K2938" s="1" t="str">
        <f>IF(SUM(COUNTIFS(I:I, I2938)) &gt; 1, "DUPLICATE", "UNIQUE")</f>
        <v>UNIQUE</v>
      </c>
      <c r="L2938" s="18">
        <v>32</v>
      </c>
      <c r="M2938" s="28">
        <v>34</v>
      </c>
      <c r="N2938" s="6">
        <v>36</v>
      </c>
      <c r="O2938" s="30">
        <f t="shared" si="274"/>
        <v>1088</v>
      </c>
      <c r="P2938" s="30">
        <f t="shared" si="275"/>
        <v>1224</v>
      </c>
      <c r="Q2938" s="1">
        <f>COUNTIFS($P:$P, "&gt;" &amp; $P2938) + 1</f>
        <v>3591</v>
      </c>
      <c r="R2938" s="63">
        <f>(COUNTIFS($P:$P, "&gt;" &amp; $P2938) + 1) / (COUNTA($I:$I) - 1)</f>
        <v>0.71819999999999995</v>
      </c>
      <c r="S2938" s="23">
        <f>SUMIFS($P:$P, $Q:$Q, "&lt;" &amp; $Q2938)</f>
        <v>186058783</v>
      </c>
    </row>
    <row r="2939" spans="1:19" x14ac:dyDescent="0.25">
      <c r="A2939" s="1">
        <v>2934</v>
      </c>
      <c r="B2939" s="1" t="s">
        <v>2</v>
      </c>
      <c r="C2939" s="1" t="str">
        <f>IF($B2939 = "Production Item", _xlfn.XLOOKUP($A2939, 'Instrument Table'!$J:$J, 'Instrument Table'!$B:$B, $C2938), IF($B2939 = "Service Item", _xlfn.XLOOKUP($A2939, 'Instrument Table'!$I:$I, 'Instrument Table'!$B:$B, $C2938), _xlfn.XLOOKUP($A2939, 'Instrument Table'!$H:$H, 'Instrument Table'!$B:$B, $C2938)))</f>
        <v>Snare Drum</v>
      </c>
      <c r="D2939" s="1" t="str">
        <f>VLOOKUP($C2939, 'Instrument Table'!$B:$C, 2, FALSE)</f>
        <v>Percussion</v>
      </c>
      <c r="E2939" s="1">
        <f t="shared" si="270"/>
        <v>1</v>
      </c>
      <c r="F2939" s="1">
        <f>_xlfn.XLOOKUP($C2939, 'Instrument Table'!$B:$B, 'Instrument Table'!$A:$A, "")</f>
        <v>50</v>
      </c>
      <c r="G2939" s="1" t="str">
        <f>TEXT(IF($B2939 = "Retail Item", IF((ROW($A2939) - 4504 - _xlfn.XMATCH($C2939, $C$4506:$C$5005, 0, 1)) &lt;= VLOOKUP($C2939, 'Instrument Table'!$B:$D, 3, FALSE), ROW($A2939) - 4504 - _xlfn.XMATCH($C2939, $C$4506:$C$5005, 0, 1), 0), 0), "00")</f>
        <v>00</v>
      </c>
      <c r="H2939" s="1" t="str">
        <f t="shared" si="271"/>
        <v>133</v>
      </c>
      <c r="I2939" s="1" t="str">
        <f t="shared" si="272"/>
        <v>15000-133</v>
      </c>
      <c r="J2939" s="1" t="str">
        <f t="shared" si="273"/>
        <v>Snare drum production item #133</v>
      </c>
      <c r="K2939" s="1" t="str">
        <f>IF(SUM(COUNTIFS(I:I, I2939)) &gt; 1, "DUPLICATE", "UNIQUE")</f>
        <v>UNIQUE</v>
      </c>
      <c r="L2939" s="18">
        <v>8</v>
      </c>
      <c r="M2939" s="28">
        <v>63</v>
      </c>
      <c r="N2939" s="6">
        <v>81</v>
      </c>
      <c r="O2939" s="30">
        <f t="shared" si="274"/>
        <v>504</v>
      </c>
      <c r="P2939" s="30">
        <f t="shared" si="275"/>
        <v>5103</v>
      </c>
      <c r="Q2939" s="1">
        <f>COUNTIFS($P:$P, "&gt;" &amp; $P2939) + 1</f>
        <v>2425</v>
      </c>
      <c r="R2939" s="63">
        <f>(COUNTIFS($P:$P, "&gt;" &amp; $P2939) + 1) / (COUNTA($I:$I) - 1)</f>
        <v>0.48499999999999999</v>
      </c>
      <c r="S2939" s="23">
        <f>SUMIFS($P:$P, $Q:$Q, "&lt;" &amp; $Q2939)</f>
        <v>182746031</v>
      </c>
    </row>
    <row r="2940" spans="1:19" x14ac:dyDescent="0.25">
      <c r="A2940" s="1">
        <v>2935</v>
      </c>
      <c r="B2940" s="1" t="s">
        <v>2</v>
      </c>
      <c r="C2940" s="1" t="str">
        <f>IF($B2940 = "Production Item", _xlfn.XLOOKUP($A2940, 'Instrument Table'!$J:$J, 'Instrument Table'!$B:$B, $C2939), IF($B2940 = "Service Item", _xlfn.XLOOKUP($A2940, 'Instrument Table'!$I:$I, 'Instrument Table'!$B:$B, $C2939), _xlfn.XLOOKUP($A2940, 'Instrument Table'!$H:$H, 'Instrument Table'!$B:$B, $C2939)))</f>
        <v>Snare Drum</v>
      </c>
      <c r="D2940" s="1" t="str">
        <f>VLOOKUP($C2940, 'Instrument Table'!$B:$C, 2, FALSE)</f>
        <v>Percussion</v>
      </c>
      <c r="E2940" s="1">
        <f t="shared" si="270"/>
        <v>1</v>
      </c>
      <c r="F2940" s="1">
        <f>_xlfn.XLOOKUP($C2940, 'Instrument Table'!$B:$B, 'Instrument Table'!$A:$A, "")</f>
        <v>50</v>
      </c>
      <c r="G2940" s="1" t="str">
        <f>TEXT(IF($B2940 = "Retail Item", IF((ROW($A2940) - 4504 - _xlfn.XMATCH($C2940, $C$4506:$C$5005, 0, 1)) &lt;= VLOOKUP($C2940, 'Instrument Table'!$B:$D, 3, FALSE), ROW($A2940) - 4504 - _xlfn.XMATCH($C2940, $C$4506:$C$5005, 0, 1), 0), 0), "00")</f>
        <v>00</v>
      </c>
      <c r="H2940" s="1" t="str">
        <f t="shared" si="271"/>
        <v>134</v>
      </c>
      <c r="I2940" s="1" t="str">
        <f t="shared" si="272"/>
        <v>15000-134</v>
      </c>
      <c r="J2940" s="1" t="str">
        <f t="shared" si="273"/>
        <v>Snare drum production item #134</v>
      </c>
      <c r="K2940" s="1" t="str">
        <f>IF(SUM(COUNTIFS(I:I, I2940)) &gt; 1, "DUPLICATE", "UNIQUE")</f>
        <v>UNIQUE</v>
      </c>
      <c r="L2940" s="18">
        <v>1</v>
      </c>
      <c r="M2940" s="28">
        <v>57</v>
      </c>
      <c r="N2940" s="6">
        <v>100</v>
      </c>
      <c r="O2940" s="30">
        <f t="shared" si="274"/>
        <v>57</v>
      </c>
      <c r="P2940" s="30">
        <f t="shared" si="275"/>
        <v>5700</v>
      </c>
      <c r="Q2940" s="1">
        <f>COUNTIFS($P:$P, "&gt;" &amp; $P2940) + 1</f>
        <v>2315</v>
      </c>
      <c r="R2940" s="63">
        <f>(COUNTIFS($P:$P, "&gt;" &amp; $P2940) + 1) / (COUNTA($I:$I) - 1)</f>
        <v>0.46300000000000002</v>
      </c>
      <c r="S2940" s="23">
        <f>SUMIFS($P:$P, $Q:$Q, "&lt;" &amp; $Q2940)</f>
        <v>182150773</v>
      </c>
    </row>
    <row r="2941" spans="1:19" x14ac:dyDescent="0.25">
      <c r="A2941" s="1">
        <v>2936</v>
      </c>
      <c r="B2941" s="1" t="s">
        <v>2</v>
      </c>
      <c r="C2941" s="1" t="str">
        <f>IF($B2941 = "Production Item", _xlfn.XLOOKUP($A2941, 'Instrument Table'!$J:$J, 'Instrument Table'!$B:$B, $C2940), IF($B2941 = "Service Item", _xlfn.XLOOKUP($A2941, 'Instrument Table'!$I:$I, 'Instrument Table'!$B:$B, $C2940), _xlfn.XLOOKUP($A2941, 'Instrument Table'!$H:$H, 'Instrument Table'!$B:$B, $C2940)))</f>
        <v>Snare Drum</v>
      </c>
      <c r="D2941" s="1" t="str">
        <f>VLOOKUP($C2941, 'Instrument Table'!$B:$C, 2, FALSE)</f>
        <v>Percussion</v>
      </c>
      <c r="E2941" s="1">
        <f t="shared" si="270"/>
        <v>1</v>
      </c>
      <c r="F2941" s="1">
        <f>_xlfn.XLOOKUP($C2941, 'Instrument Table'!$B:$B, 'Instrument Table'!$A:$A, "")</f>
        <v>50</v>
      </c>
      <c r="G2941" s="1" t="str">
        <f>TEXT(IF($B2941 = "Retail Item", IF((ROW($A2941) - 4504 - _xlfn.XMATCH($C2941, $C$4506:$C$5005, 0, 1)) &lt;= VLOOKUP($C2941, 'Instrument Table'!$B:$D, 3, FALSE), ROW($A2941) - 4504 - _xlfn.XMATCH($C2941, $C$4506:$C$5005, 0, 1), 0), 0), "00")</f>
        <v>00</v>
      </c>
      <c r="H2941" s="1" t="str">
        <f t="shared" si="271"/>
        <v>135</v>
      </c>
      <c r="I2941" s="1" t="str">
        <f t="shared" si="272"/>
        <v>15000-135</v>
      </c>
      <c r="J2941" s="1" t="str">
        <f t="shared" si="273"/>
        <v>Snare drum production item #135</v>
      </c>
      <c r="K2941" s="1" t="str">
        <f>IF(SUM(COUNTIFS(I:I, I2941)) &gt; 1, "DUPLICATE", "UNIQUE")</f>
        <v>UNIQUE</v>
      </c>
      <c r="L2941" s="18">
        <v>0</v>
      </c>
      <c r="M2941" s="28">
        <v>16</v>
      </c>
      <c r="N2941" s="6">
        <v>169</v>
      </c>
      <c r="O2941" s="30">
        <f t="shared" si="274"/>
        <v>0</v>
      </c>
      <c r="P2941" s="30">
        <f t="shared" si="275"/>
        <v>2704</v>
      </c>
      <c r="Q2941" s="1">
        <f>COUNTIFS($P:$P, "&gt;" &amp; $P2941) + 1</f>
        <v>2978</v>
      </c>
      <c r="R2941" s="63">
        <f>(COUNTIFS($P:$P, "&gt;" &amp; $P2941) + 1) / (COUNTA($I:$I) - 1)</f>
        <v>0.59560000000000002</v>
      </c>
      <c r="S2941" s="23">
        <f>SUMIFS($P:$P, $Q:$Q, "&lt;" &amp; $Q2941)</f>
        <v>184873062</v>
      </c>
    </row>
    <row r="2942" spans="1:19" x14ac:dyDescent="0.25">
      <c r="A2942" s="1">
        <v>2937</v>
      </c>
      <c r="B2942" s="1" t="s">
        <v>2</v>
      </c>
      <c r="C2942" s="1" t="str">
        <f>IF($B2942 = "Production Item", _xlfn.XLOOKUP($A2942, 'Instrument Table'!$J:$J, 'Instrument Table'!$B:$B, $C2941), IF($B2942 = "Service Item", _xlfn.XLOOKUP($A2942, 'Instrument Table'!$I:$I, 'Instrument Table'!$B:$B, $C2941), _xlfn.XLOOKUP($A2942, 'Instrument Table'!$H:$H, 'Instrument Table'!$B:$B, $C2941)))</f>
        <v>Snare Drum</v>
      </c>
      <c r="D2942" s="1" t="str">
        <f>VLOOKUP($C2942, 'Instrument Table'!$B:$C, 2, FALSE)</f>
        <v>Percussion</v>
      </c>
      <c r="E2942" s="1">
        <f t="shared" si="270"/>
        <v>1</v>
      </c>
      <c r="F2942" s="1">
        <f>_xlfn.XLOOKUP($C2942, 'Instrument Table'!$B:$B, 'Instrument Table'!$A:$A, "")</f>
        <v>50</v>
      </c>
      <c r="G2942" s="1" t="str">
        <f>TEXT(IF($B2942 = "Retail Item", IF((ROW($A2942) - 4504 - _xlfn.XMATCH($C2942, $C$4506:$C$5005, 0, 1)) &lt;= VLOOKUP($C2942, 'Instrument Table'!$B:$D, 3, FALSE), ROW($A2942) - 4504 - _xlfn.XMATCH($C2942, $C$4506:$C$5005, 0, 1), 0), 0), "00")</f>
        <v>00</v>
      </c>
      <c r="H2942" s="1" t="str">
        <f t="shared" si="271"/>
        <v>136</v>
      </c>
      <c r="I2942" s="1" t="str">
        <f t="shared" si="272"/>
        <v>15000-136</v>
      </c>
      <c r="J2942" s="1" t="str">
        <f t="shared" si="273"/>
        <v>Snare drum production item #136</v>
      </c>
      <c r="K2942" s="1" t="str">
        <f>IF(SUM(COUNTIFS(I:I, I2942)) &gt; 1, "DUPLICATE", "UNIQUE")</f>
        <v>UNIQUE</v>
      </c>
      <c r="L2942" s="18">
        <v>0</v>
      </c>
      <c r="M2942" s="28">
        <v>93</v>
      </c>
      <c r="N2942" s="6">
        <v>121</v>
      </c>
      <c r="O2942" s="30">
        <f t="shared" si="274"/>
        <v>0</v>
      </c>
      <c r="P2942" s="30">
        <f t="shared" si="275"/>
        <v>11253</v>
      </c>
      <c r="Q2942" s="1">
        <f>COUNTIFS($P:$P, "&gt;" &amp; $P2942) + 1</f>
        <v>1659</v>
      </c>
      <c r="R2942" s="63">
        <f>(COUNTIFS($P:$P, "&gt;" &amp; $P2942) + 1) / (COUNTA($I:$I) - 1)</f>
        <v>0.33179999999999998</v>
      </c>
      <c r="S2942" s="23">
        <f>SUMIFS($P:$P, $Q:$Q, "&lt;" &amp; $Q2942)</f>
        <v>176760000</v>
      </c>
    </row>
    <row r="2943" spans="1:19" x14ac:dyDescent="0.25">
      <c r="A2943" s="1">
        <v>2938</v>
      </c>
      <c r="B2943" s="1" t="s">
        <v>2</v>
      </c>
      <c r="C2943" s="1" t="str">
        <f>IF($B2943 = "Production Item", _xlfn.XLOOKUP($A2943, 'Instrument Table'!$J:$J, 'Instrument Table'!$B:$B, $C2942), IF($B2943 = "Service Item", _xlfn.XLOOKUP($A2943, 'Instrument Table'!$I:$I, 'Instrument Table'!$B:$B, $C2942), _xlfn.XLOOKUP($A2943, 'Instrument Table'!$H:$H, 'Instrument Table'!$B:$B, $C2942)))</f>
        <v>Snare Drum</v>
      </c>
      <c r="D2943" s="1" t="str">
        <f>VLOOKUP($C2943, 'Instrument Table'!$B:$C, 2, FALSE)</f>
        <v>Percussion</v>
      </c>
      <c r="E2943" s="1">
        <f t="shared" si="270"/>
        <v>1</v>
      </c>
      <c r="F2943" s="1">
        <f>_xlfn.XLOOKUP($C2943, 'Instrument Table'!$B:$B, 'Instrument Table'!$A:$A, "")</f>
        <v>50</v>
      </c>
      <c r="G2943" s="1" t="str">
        <f>TEXT(IF($B2943 = "Retail Item", IF((ROW($A2943) - 4504 - _xlfn.XMATCH($C2943, $C$4506:$C$5005, 0, 1)) &lt;= VLOOKUP($C2943, 'Instrument Table'!$B:$D, 3, FALSE), ROW($A2943) - 4504 - _xlfn.XMATCH($C2943, $C$4506:$C$5005, 0, 1), 0), 0), "00")</f>
        <v>00</v>
      </c>
      <c r="H2943" s="1" t="str">
        <f t="shared" si="271"/>
        <v>137</v>
      </c>
      <c r="I2943" s="1" t="str">
        <f t="shared" si="272"/>
        <v>15000-137</v>
      </c>
      <c r="J2943" s="1" t="str">
        <f t="shared" si="273"/>
        <v>Snare drum production item #137</v>
      </c>
      <c r="K2943" s="1" t="str">
        <f>IF(SUM(COUNTIFS(I:I, I2943)) &gt; 1, "DUPLICATE", "UNIQUE")</f>
        <v>UNIQUE</v>
      </c>
      <c r="L2943" s="18">
        <v>0</v>
      </c>
      <c r="M2943" s="28">
        <v>46</v>
      </c>
      <c r="N2943" s="6">
        <v>256</v>
      </c>
      <c r="O2943" s="30">
        <f t="shared" si="274"/>
        <v>0</v>
      </c>
      <c r="P2943" s="30">
        <f t="shared" si="275"/>
        <v>11776</v>
      </c>
      <c r="Q2943" s="1">
        <f>COUNTIFS($P:$P, "&gt;" &amp; $P2943) + 1</f>
        <v>1598</v>
      </c>
      <c r="R2943" s="63">
        <f>(COUNTIFS($P:$P, "&gt;" &amp; $P2943) + 1) / (COUNTA($I:$I) - 1)</f>
        <v>0.3196</v>
      </c>
      <c r="S2943" s="23">
        <f>SUMIFS($P:$P, $Q:$Q, "&lt;" &amp; $Q2943)</f>
        <v>176055060</v>
      </c>
    </row>
    <row r="2944" spans="1:19" x14ac:dyDescent="0.25">
      <c r="A2944" s="1">
        <v>2939</v>
      </c>
      <c r="B2944" s="1" t="s">
        <v>2</v>
      </c>
      <c r="C2944" s="1" t="str">
        <f>IF($B2944 = "Production Item", _xlfn.XLOOKUP($A2944, 'Instrument Table'!$J:$J, 'Instrument Table'!$B:$B, $C2943), IF($B2944 = "Service Item", _xlfn.XLOOKUP($A2944, 'Instrument Table'!$I:$I, 'Instrument Table'!$B:$B, $C2943), _xlfn.XLOOKUP($A2944, 'Instrument Table'!$H:$H, 'Instrument Table'!$B:$B, $C2943)))</f>
        <v>Snare Drum</v>
      </c>
      <c r="D2944" s="1" t="str">
        <f>VLOOKUP($C2944, 'Instrument Table'!$B:$C, 2, FALSE)</f>
        <v>Percussion</v>
      </c>
      <c r="E2944" s="1">
        <f t="shared" si="270"/>
        <v>1</v>
      </c>
      <c r="F2944" s="1">
        <f>_xlfn.XLOOKUP($C2944, 'Instrument Table'!$B:$B, 'Instrument Table'!$A:$A, "")</f>
        <v>50</v>
      </c>
      <c r="G2944" s="1" t="str">
        <f>TEXT(IF($B2944 = "Retail Item", IF((ROW($A2944) - 4504 - _xlfn.XMATCH($C2944, $C$4506:$C$5005, 0, 1)) &lt;= VLOOKUP($C2944, 'Instrument Table'!$B:$D, 3, FALSE), ROW($A2944) - 4504 - _xlfn.XMATCH($C2944, $C$4506:$C$5005, 0, 1), 0), 0), "00")</f>
        <v>00</v>
      </c>
      <c r="H2944" s="1" t="str">
        <f t="shared" si="271"/>
        <v>138</v>
      </c>
      <c r="I2944" s="1" t="str">
        <f t="shared" si="272"/>
        <v>15000-138</v>
      </c>
      <c r="J2944" s="1" t="str">
        <f t="shared" si="273"/>
        <v>Snare drum production item #138</v>
      </c>
      <c r="K2944" s="1" t="str">
        <f>IF(SUM(COUNTIFS(I:I, I2944)) &gt; 1, "DUPLICATE", "UNIQUE")</f>
        <v>UNIQUE</v>
      </c>
      <c r="L2944" s="18">
        <v>1</v>
      </c>
      <c r="M2944" s="28">
        <v>10</v>
      </c>
      <c r="N2944" s="6">
        <v>36</v>
      </c>
      <c r="O2944" s="30">
        <f t="shared" si="274"/>
        <v>10</v>
      </c>
      <c r="P2944" s="30">
        <f t="shared" si="275"/>
        <v>360</v>
      </c>
      <c r="Q2944" s="1">
        <f>COUNTIFS($P:$P, "&gt;" &amp; $P2944) + 1</f>
        <v>4137</v>
      </c>
      <c r="R2944" s="63">
        <f>(COUNTIFS($P:$P, "&gt;" &amp; $P2944) + 1) / (COUNTA($I:$I) - 1)</f>
        <v>0.82740000000000002</v>
      </c>
      <c r="S2944" s="23">
        <f>SUMIFS($P:$P, $Q:$Q, "&lt;" &amp; $Q2944)</f>
        <v>186459069</v>
      </c>
    </row>
    <row r="2945" spans="1:19" x14ac:dyDescent="0.25">
      <c r="A2945" s="1">
        <v>2940</v>
      </c>
      <c r="B2945" s="1" t="s">
        <v>2</v>
      </c>
      <c r="C2945" s="1" t="str">
        <f>IF($B2945 = "Production Item", _xlfn.XLOOKUP($A2945, 'Instrument Table'!$J:$J, 'Instrument Table'!$B:$B, $C2944), IF($B2945 = "Service Item", _xlfn.XLOOKUP($A2945, 'Instrument Table'!$I:$I, 'Instrument Table'!$B:$B, $C2944), _xlfn.XLOOKUP($A2945, 'Instrument Table'!$H:$H, 'Instrument Table'!$B:$B, $C2944)))</f>
        <v>Snare Drum</v>
      </c>
      <c r="D2945" s="1" t="str">
        <f>VLOOKUP($C2945, 'Instrument Table'!$B:$C, 2, FALSE)</f>
        <v>Percussion</v>
      </c>
      <c r="E2945" s="1">
        <f t="shared" si="270"/>
        <v>1</v>
      </c>
      <c r="F2945" s="1">
        <f>_xlfn.XLOOKUP($C2945, 'Instrument Table'!$B:$B, 'Instrument Table'!$A:$A, "")</f>
        <v>50</v>
      </c>
      <c r="G2945" s="1" t="str">
        <f>TEXT(IF($B2945 = "Retail Item", IF((ROW($A2945) - 4504 - _xlfn.XMATCH($C2945, $C$4506:$C$5005, 0, 1)) &lt;= VLOOKUP($C2945, 'Instrument Table'!$B:$D, 3, FALSE), ROW($A2945) - 4504 - _xlfn.XMATCH($C2945, $C$4506:$C$5005, 0, 1), 0), 0), "00")</f>
        <v>00</v>
      </c>
      <c r="H2945" s="1" t="str">
        <f t="shared" si="271"/>
        <v>139</v>
      </c>
      <c r="I2945" s="1" t="str">
        <f t="shared" si="272"/>
        <v>15000-139</v>
      </c>
      <c r="J2945" s="1" t="str">
        <f t="shared" si="273"/>
        <v>Snare drum production item #139</v>
      </c>
      <c r="K2945" s="1" t="str">
        <f>IF(SUM(COUNTIFS(I:I, I2945)) &gt; 1, "DUPLICATE", "UNIQUE")</f>
        <v>UNIQUE</v>
      </c>
      <c r="L2945" s="18">
        <v>1</v>
      </c>
      <c r="M2945" s="28">
        <v>2</v>
      </c>
      <c r="N2945" s="6">
        <v>9</v>
      </c>
      <c r="O2945" s="30">
        <f t="shared" si="274"/>
        <v>2</v>
      </c>
      <c r="P2945" s="30">
        <f t="shared" si="275"/>
        <v>18</v>
      </c>
      <c r="Q2945" s="1">
        <f>COUNTIFS($P:$P, "&gt;" &amp; $P2945) + 1</f>
        <v>4697</v>
      </c>
      <c r="R2945" s="63">
        <f>(COUNTIFS($P:$P, "&gt;" &amp; $P2945) + 1) / (COUNTA($I:$I) - 1)</f>
        <v>0.93940000000000001</v>
      </c>
      <c r="S2945" s="23">
        <f>SUMIFS($P:$P, $Q:$Q, "&lt;" &amp; $Q2945)</f>
        <v>186547339</v>
      </c>
    </row>
    <row r="2946" spans="1:19" x14ac:dyDescent="0.25">
      <c r="A2946" s="1">
        <v>2941</v>
      </c>
      <c r="B2946" s="1" t="s">
        <v>2</v>
      </c>
      <c r="C2946" s="1" t="str">
        <f>IF($B2946 = "Production Item", _xlfn.XLOOKUP($A2946, 'Instrument Table'!$J:$J, 'Instrument Table'!$B:$B, $C2945), IF($B2946 = "Service Item", _xlfn.XLOOKUP($A2946, 'Instrument Table'!$I:$I, 'Instrument Table'!$B:$B, $C2945), _xlfn.XLOOKUP($A2946, 'Instrument Table'!$H:$H, 'Instrument Table'!$B:$B, $C2945)))</f>
        <v>Snare Drum</v>
      </c>
      <c r="D2946" s="1" t="str">
        <f>VLOOKUP($C2946, 'Instrument Table'!$B:$C, 2, FALSE)</f>
        <v>Percussion</v>
      </c>
      <c r="E2946" s="1">
        <f t="shared" si="270"/>
        <v>1</v>
      </c>
      <c r="F2946" s="1">
        <f>_xlfn.XLOOKUP($C2946, 'Instrument Table'!$B:$B, 'Instrument Table'!$A:$A, "")</f>
        <v>50</v>
      </c>
      <c r="G2946" s="1" t="str">
        <f>TEXT(IF($B2946 = "Retail Item", IF((ROW($A2946) - 4504 - _xlfn.XMATCH($C2946, $C$4506:$C$5005, 0, 1)) &lt;= VLOOKUP($C2946, 'Instrument Table'!$B:$D, 3, FALSE), ROW($A2946) - 4504 - _xlfn.XMATCH($C2946, $C$4506:$C$5005, 0, 1), 0), 0), "00")</f>
        <v>00</v>
      </c>
      <c r="H2946" s="1" t="str">
        <f t="shared" si="271"/>
        <v>140</v>
      </c>
      <c r="I2946" s="1" t="str">
        <f t="shared" si="272"/>
        <v>15000-140</v>
      </c>
      <c r="J2946" s="1" t="str">
        <f t="shared" si="273"/>
        <v>Snare drum production item #140</v>
      </c>
      <c r="K2946" s="1" t="str">
        <f>IF(SUM(COUNTIFS(I:I, I2946)) &gt; 1, "DUPLICATE", "UNIQUE")</f>
        <v>UNIQUE</v>
      </c>
      <c r="L2946" s="18">
        <v>0</v>
      </c>
      <c r="M2946" s="28">
        <v>64</v>
      </c>
      <c r="N2946" s="6">
        <v>144</v>
      </c>
      <c r="O2946" s="30">
        <f t="shared" si="274"/>
        <v>0</v>
      </c>
      <c r="P2946" s="30">
        <f t="shared" si="275"/>
        <v>9216</v>
      </c>
      <c r="Q2946" s="1">
        <f>COUNTIFS($P:$P, "&gt;" &amp; $P2946) + 1</f>
        <v>1850</v>
      </c>
      <c r="R2946" s="63">
        <f>(COUNTIFS($P:$P, "&gt;" &amp; $P2946) + 1) / (COUNTA($I:$I) - 1)</f>
        <v>0.37</v>
      </c>
      <c r="S2946" s="23">
        <f>SUMIFS($P:$P, $Q:$Q, "&lt;" &amp; $Q2946)</f>
        <v>178713824</v>
      </c>
    </row>
    <row r="2947" spans="1:19" x14ac:dyDescent="0.25">
      <c r="A2947" s="1">
        <v>2942</v>
      </c>
      <c r="B2947" s="1" t="s">
        <v>2</v>
      </c>
      <c r="C2947" s="1" t="str">
        <f>IF($B2947 = "Production Item", _xlfn.XLOOKUP($A2947, 'Instrument Table'!$J:$J, 'Instrument Table'!$B:$B, $C2946), IF($B2947 = "Service Item", _xlfn.XLOOKUP($A2947, 'Instrument Table'!$I:$I, 'Instrument Table'!$B:$B, $C2946), _xlfn.XLOOKUP($A2947, 'Instrument Table'!$H:$H, 'Instrument Table'!$B:$B, $C2946)))</f>
        <v>Snare Drum</v>
      </c>
      <c r="D2947" s="1" t="str">
        <f>VLOOKUP($C2947, 'Instrument Table'!$B:$C, 2, FALSE)</f>
        <v>Percussion</v>
      </c>
      <c r="E2947" s="1">
        <f t="shared" si="270"/>
        <v>1</v>
      </c>
      <c r="F2947" s="1">
        <f>_xlfn.XLOOKUP($C2947, 'Instrument Table'!$B:$B, 'Instrument Table'!$A:$A, "")</f>
        <v>50</v>
      </c>
      <c r="G2947" s="1" t="str">
        <f>TEXT(IF($B2947 = "Retail Item", IF((ROW($A2947) - 4504 - _xlfn.XMATCH($C2947, $C$4506:$C$5005, 0, 1)) &lt;= VLOOKUP($C2947, 'Instrument Table'!$B:$D, 3, FALSE), ROW($A2947) - 4504 - _xlfn.XMATCH($C2947, $C$4506:$C$5005, 0, 1), 0), 0), "00")</f>
        <v>00</v>
      </c>
      <c r="H2947" s="1" t="str">
        <f t="shared" si="271"/>
        <v>141</v>
      </c>
      <c r="I2947" s="1" t="str">
        <f t="shared" si="272"/>
        <v>15000-141</v>
      </c>
      <c r="J2947" s="1" t="str">
        <f t="shared" si="273"/>
        <v>Snare drum production item #141</v>
      </c>
      <c r="K2947" s="1" t="str">
        <f>IF(SUM(COUNTIFS(I:I, I2947)) &gt; 1, "DUPLICATE", "UNIQUE")</f>
        <v>UNIQUE</v>
      </c>
      <c r="L2947" s="18">
        <v>1</v>
      </c>
      <c r="M2947" s="28">
        <v>21</v>
      </c>
      <c r="N2947" s="6">
        <v>1</v>
      </c>
      <c r="O2947" s="30">
        <f t="shared" si="274"/>
        <v>21</v>
      </c>
      <c r="P2947" s="30">
        <f t="shared" si="275"/>
        <v>21</v>
      </c>
      <c r="Q2947" s="1">
        <f>COUNTIFS($P:$P, "&gt;" &amp; $P2947) + 1</f>
        <v>4686</v>
      </c>
      <c r="R2947" s="63">
        <f>(COUNTIFS($P:$P, "&gt;" &amp; $P2947) + 1) / (COUNTA($I:$I) - 1)</f>
        <v>0.93720000000000003</v>
      </c>
      <c r="S2947" s="23">
        <f>SUMIFS($P:$P, $Q:$Q, "&lt;" &amp; $Q2947)</f>
        <v>186547115</v>
      </c>
    </row>
    <row r="2948" spans="1:19" x14ac:dyDescent="0.25">
      <c r="A2948" s="1">
        <v>2943</v>
      </c>
      <c r="B2948" s="1" t="s">
        <v>2</v>
      </c>
      <c r="C2948" s="1" t="str">
        <f>IF($B2948 = "Production Item", _xlfn.XLOOKUP($A2948, 'Instrument Table'!$J:$J, 'Instrument Table'!$B:$B, $C2947), IF($B2948 = "Service Item", _xlfn.XLOOKUP($A2948, 'Instrument Table'!$I:$I, 'Instrument Table'!$B:$B, $C2947), _xlfn.XLOOKUP($A2948, 'Instrument Table'!$H:$H, 'Instrument Table'!$B:$B, $C2947)))</f>
        <v>Snare Drum</v>
      </c>
      <c r="D2948" s="1" t="str">
        <f>VLOOKUP($C2948, 'Instrument Table'!$B:$C, 2, FALSE)</f>
        <v>Percussion</v>
      </c>
      <c r="E2948" s="1">
        <f t="shared" si="270"/>
        <v>1</v>
      </c>
      <c r="F2948" s="1">
        <f>_xlfn.XLOOKUP($C2948, 'Instrument Table'!$B:$B, 'Instrument Table'!$A:$A, "")</f>
        <v>50</v>
      </c>
      <c r="G2948" s="1" t="str">
        <f>TEXT(IF($B2948 = "Retail Item", IF((ROW($A2948) - 4504 - _xlfn.XMATCH($C2948, $C$4506:$C$5005, 0, 1)) &lt;= VLOOKUP($C2948, 'Instrument Table'!$B:$D, 3, FALSE), ROW($A2948) - 4504 - _xlfn.XMATCH($C2948, $C$4506:$C$5005, 0, 1), 0), 0), "00")</f>
        <v>00</v>
      </c>
      <c r="H2948" s="1" t="str">
        <f t="shared" si="271"/>
        <v>142</v>
      </c>
      <c r="I2948" s="1" t="str">
        <f t="shared" si="272"/>
        <v>15000-142</v>
      </c>
      <c r="J2948" s="1" t="str">
        <f t="shared" si="273"/>
        <v>Snare drum production item #142</v>
      </c>
      <c r="K2948" s="1" t="str">
        <f>IF(SUM(COUNTIFS(I:I, I2948)) &gt; 1, "DUPLICATE", "UNIQUE")</f>
        <v>UNIQUE</v>
      </c>
      <c r="L2948" s="18">
        <v>0</v>
      </c>
      <c r="M2948" s="28">
        <v>71</v>
      </c>
      <c r="N2948" s="6">
        <v>169</v>
      </c>
      <c r="O2948" s="30">
        <f t="shared" si="274"/>
        <v>0</v>
      </c>
      <c r="P2948" s="30">
        <f t="shared" si="275"/>
        <v>11999</v>
      </c>
      <c r="Q2948" s="1">
        <f>COUNTIFS($P:$P, "&gt;" &amp; $P2948) + 1</f>
        <v>1580</v>
      </c>
      <c r="R2948" s="63">
        <f>(COUNTIFS($P:$P, "&gt;" &amp; $P2948) + 1) / (COUNTA($I:$I) - 1)</f>
        <v>0.316</v>
      </c>
      <c r="S2948" s="23">
        <f>SUMIFS($P:$P, $Q:$Q, "&lt;" &amp; $Q2948)</f>
        <v>175840377</v>
      </c>
    </row>
    <row r="2949" spans="1:19" x14ac:dyDescent="0.25">
      <c r="A2949" s="1">
        <v>2944</v>
      </c>
      <c r="B2949" s="1" t="s">
        <v>2</v>
      </c>
      <c r="C2949" s="1" t="str">
        <f>IF($B2949 = "Production Item", _xlfn.XLOOKUP($A2949, 'Instrument Table'!$J:$J, 'Instrument Table'!$B:$B, $C2948), IF($B2949 = "Service Item", _xlfn.XLOOKUP($A2949, 'Instrument Table'!$I:$I, 'Instrument Table'!$B:$B, $C2948), _xlfn.XLOOKUP($A2949, 'Instrument Table'!$H:$H, 'Instrument Table'!$B:$B, $C2948)))</f>
        <v>Snare Drum</v>
      </c>
      <c r="D2949" s="1" t="str">
        <f>VLOOKUP($C2949, 'Instrument Table'!$B:$C, 2, FALSE)</f>
        <v>Percussion</v>
      </c>
      <c r="E2949" s="1">
        <f t="shared" si="270"/>
        <v>1</v>
      </c>
      <c r="F2949" s="1">
        <f>_xlfn.XLOOKUP($C2949, 'Instrument Table'!$B:$B, 'Instrument Table'!$A:$A, "")</f>
        <v>50</v>
      </c>
      <c r="G2949" s="1" t="str">
        <f>TEXT(IF($B2949 = "Retail Item", IF((ROW($A2949) - 4504 - _xlfn.XMATCH($C2949, $C$4506:$C$5005, 0, 1)) &lt;= VLOOKUP($C2949, 'Instrument Table'!$B:$D, 3, FALSE), ROW($A2949) - 4504 - _xlfn.XMATCH($C2949, $C$4506:$C$5005, 0, 1), 0), 0), "00")</f>
        <v>00</v>
      </c>
      <c r="H2949" s="1" t="str">
        <f t="shared" si="271"/>
        <v>143</v>
      </c>
      <c r="I2949" s="1" t="str">
        <f t="shared" si="272"/>
        <v>15000-143</v>
      </c>
      <c r="J2949" s="1" t="str">
        <f t="shared" si="273"/>
        <v>Snare drum production item #143</v>
      </c>
      <c r="K2949" s="1" t="str">
        <f>IF(SUM(COUNTIFS(I:I, I2949)) &gt; 1, "DUPLICATE", "UNIQUE")</f>
        <v>UNIQUE</v>
      </c>
      <c r="L2949" s="18">
        <v>1</v>
      </c>
      <c r="M2949" s="28">
        <v>85</v>
      </c>
      <c r="N2949" s="6">
        <v>196</v>
      </c>
      <c r="O2949" s="30">
        <f t="shared" si="274"/>
        <v>85</v>
      </c>
      <c r="P2949" s="30">
        <f t="shared" si="275"/>
        <v>16660</v>
      </c>
      <c r="Q2949" s="1">
        <f>COUNTIFS($P:$P, "&gt;" &amp; $P2949) + 1</f>
        <v>1236</v>
      </c>
      <c r="R2949" s="63">
        <f>(COUNTIFS($P:$P, "&gt;" &amp; $P2949) + 1) / (COUNTA($I:$I) - 1)</f>
        <v>0.2472</v>
      </c>
      <c r="S2949" s="23">
        <f>SUMIFS($P:$P, $Q:$Q, "&lt;" &amp; $Q2949)</f>
        <v>170937404</v>
      </c>
    </row>
    <row r="2950" spans="1:19" x14ac:dyDescent="0.25">
      <c r="A2950" s="1">
        <v>2945</v>
      </c>
      <c r="B2950" s="1" t="s">
        <v>2</v>
      </c>
      <c r="C2950" s="1" t="str">
        <f>IF($B2950 = "Production Item", _xlfn.XLOOKUP($A2950, 'Instrument Table'!$J:$J, 'Instrument Table'!$B:$B, $C2949), IF($B2950 = "Service Item", _xlfn.XLOOKUP($A2950, 'Instrument Table'!$I:$I, 'Instrument Table'!$B:$B, $C2949), _xlfn.XLOOKUP($A2950, 'Instrument Table'!$H:$H, 'Instrument Table'!$B:$B, $C2949)))</f>
        <v>Snare Drum</v>
      </c>
      <c r="D2950" s="1" t="str">
        <f>VLOOKUP($C2950, 'Instrument Table'!$B:$C, 2, FALSE)</f>
        <v>Percussion</v>
      </c>
      <c r="E2950" s="1">
        <f t="shared" si="270"/>
        <v>1</v>
      </c>
      <c r="F2950" s="1">
        <f>_xlfn.XLOOKUP($C2950, 'Instrument Table'!$B:$B, 'Instrument Table'!$A:$A, "")</f>
        <v>50</v>
      </c>
      <c r="G2950" s="1" t="str">
        <f>TEXT(IF($B2950 = "Retail Item", IF((ROW($A2950) - 4504 - _xlfn.XMATCH($C2950, $C$4506:$C$5005, 0, 1)) &lt;= VLOOKUP($C2950, 'Instrument Table'!$B:$D, 3, FALSE), ROW($A2950) - 4504 - _xlfn.XMATCH($C2950, $C$4506:$C$5005, 0, 1), 0), 0), "00")</f>
        <v>00</v>
      </c>
      <c r="H2950" s="1" t="str">
        <f t="shared" si="271"/>
        <v>144</v>
      </c>
      <c r="I2950" s="1" t="str">
        <f t="shared" si="272"/>
        <v>15000-144</v>
      </c>
      <c r="J2950" s="1" t="str">
        <f t="shared" si="273"/>
        <v>Snare drum production item #144</v>
      </c>
      <c r="K2950" s="1" t="str">
        <f>IF(SUM(COUNTIFS(I:I, I2950)) &gt; 1, "DUPLICATE", "UNIQUE")</f>
        <v>UNIQUE</v>
      </c>
      <c r="L2950" s="18">
        <v>0</v>
      </c>
      <c r="M2950" s="28">
        <v>96</v>
      </c>
      <c r="N2950" s="6">
        <v>36</v>
      </c>
      <c r="O2950" s="30">
        <f t="shared" si="274"/>
        <v>0</v>
      </c>
      <c r="P2950" s="30">
        <f t="shared" si="275"/>
        <v>3456</v>
      </c>
      <c r="Q2950" s="1">
        <f>COUNTIFS($P:$P, "&gt;" &amp; $P2950) + 1</f>
        <v>2787</v>
      </c>
      <c r="R2950" s="63">
        <f>(COUNTIFS($P:$P, "&gt;" &amp; $P2950) + 1) / (COUNTA($I:$I) - 1)</f>
        <v>0.55740000000000001</v>
      </c>
      <c r="S2950" s="23">
        <f>SUMIFS($P:$P, $Q:$Q, "&lt;" &amp; $Q2950)</f>
        <v>184281179</v>
      </c>
    </row>
    <row r="2951" spans="1:19" x14ac:dyDescent="0.25">
      <c r="A2951" s="1">
        <v>2946</v>
      </c>
      <c r="B2951" s="1" t="s">
        <v>2</v>
      </c>
      <c r="C2951" s="1" t="str">
        <f>IF($B2951 = "Production Item", _xlfn.XLOOKUP($A2951, 'Instrument Table'!$J:$J, 'Instrument Table'!$B:$B, $C2950), IF($B2951 = "Service Item", _xlfn.XLOOKUP($A2951, 'Instrument Table'!$I:$I, 'Instrument Table'!$B:$B, $C2950), _xlfn.XLOOKUP($A2951, 'Instrument Table'!$H:$H, 'Instrument Table'!$B:$B, $C2950)))</f>
        <v>Snare Drum</v>
      </c>
      <c r="D2951" s="1" t="str">
        <f>VLOOKUP($C2951, 'Instrument Table'!$B:$C, 2, FALSE)</f>
        <v>Percussion</v>
      </c>
      <c r="E2951" s="1">
        <f t="shared" ref="E2951:E3014" si="276">IF($B2951 = "Production Item", 1, IF($B2951 = "Service Item", 2, IF($B2951 = "Retail Item", 3, "")))</f>
        <v>1</v>
      </c>
      <c r="F2951" s="1">
        <f>_xlfn.XLOOKUP($C2951, 'Instrument Table'!$B:$B, 'Instrument Table'!$A:$A, "")</f>
        <v>50</v>
      </c>
      <c r="G2951" s="1" t="str">
        <f>TEXT(IF($B2951 = "Retail Item", IF((ROW($A2951) - 4504 - _xlfn.XMATCH($C2951, $C$4506:$C$5005, 0, 1)) &lt;= VLOOKUP($C2951, 'Instrument Table'!$B:$D, 3, FALSE), ROW($A2951) - 4504 - _xlfn.XMATCH($C2951, $C$4506:$C$5005, 0, 1), 0), 0), "00")</f>
        <v>00</v>
      </c>
      <c r="H2951" s="1" t="str">
        <f t="shared" ref="H2951:H3014" si="277">TEXT(IF($E2951 &amp; $F2951 &amp; $G2951 = $E2950 &amp; $F2950 &amp; $G2950, 1 + H2950, 0), "000")</f>
        <v>145</v>
      </c>
      <c r="I2951" s="1" t="str">
        <f t="shared" ref="I2951:I3014" si="278" xml:space="preserve"> _xlfn.CONCAT($E2951, $F2951, $G2951, "-", H2951)</f>
        <v>15000-145</v>
      </c>
      <c r="J2951" s="1" t="str">
        <f t="shared" ref="J2951:J3014" si="279">LEFT($C2951, 1) &amp; LOWER(RIGHT($C2951, LEN($C2951) - 1)) &amp; IF(AND($G2951 &lt;&gt; "00", $B2951 = "Retail Item"), " model #" &amp; $G2951, " " &amp; LOWER($B2951) &amp; " #" &amp; $H2951)</f>
        <v>Snare drum production item #145</v>
      </c>
      <c r="K2951" s="1" t="str">
        <f>IF(SUM(COUNTIFS(I:I, I2951)) &gt; 1, "DUPLICATE", "UNIQUE")</f>
        <v>UNIQUE</v>
      </c>
      <c r="L2951" s="18">
        <v>1</v>
      </c>
      <c r="M2951" s="28">
        <v>76</v>
      </c>
      <c r="N2951" s="6">
        <v>144</v>
      </c>
      <c r="O2951" s="30">
        <f t="shared" ref="O2951:O3014" si="280">$L2951 * $M2951</f>
        <v>76</v>
      </c>
      <c r="P2951" s="30">
        <f t="shared" ref="P2951:P3014" si="281">$N2951 * $M2951</f>
        <v>10944</v>
      </c>
      <c r="Q2951" s="1">
        <f>COUNTIFS($P:$P, "&gt;" &amp; $P2951) + 1</f>
        <v>1690</v>
      </c>
      <c r="R2951" s="63">
        <f>(COUNTIFS($P:$P, "&gt;" &amp; $P2951) + 1) / (COUNTA($I:$I) - 1)</f>
        <v>0.33800000000000002</v>
      </c>
      <c r="S2951" s="23">
        <f>SUMIFS($P:$P, $Q:$Q, "&lt;" &amp; $Q2951)</f>
        <v>177104550</v>
      </c>
    </row>
    <row r="2952" spans="1:19" x14ac:dyDescent="0.25">
      <c r="A2952" s="1">
        <v>2947</v>
      </c>
      <c r="B2952" s="1" t="s">
        <v>2</v>
      </c>
      <c r="C2952" s="1" t="str">
        <f>IF($B2952 = "Production Item", _xlfn.XLOOKUP($A2952, 'Instrument Table'!$J:$J, 'Instrument Table'!$B:$B, $C2951), IF($B2952 = "Service Item", _xlfn.XLOOKUP($A2952, 'Instrument Table'!$I:$I, 'Instrument Table'!$B:$B, $C2951), _xlfn.XLOOKUP($A2952, 'Instrument Table'!$H:$H, 'Instrument Table'!$B:$B, $C2951)))</f>
        <v>Snare Drum</v>
      </c>
      <c r="D2952" s="1" t="str">
        <f>VLOOKUP($C2952, 'Instrument Table'!$B:$C, 2, FALSE)</f>
        <v>Percussion</v>
      </c>
      <c r="E2952" s="1">
        <f t="shared" si="276"/>
        <v>1</v>
      </c>
      <c r="F2952" s="1">
        <f>_xlfn.XLOOKUP($C2952, 'Instrument Table'!$B:$B, 'Instrument Table'!$A:$A, "")</f>
        <v>50</v>
      </c>
      <c r="G2952" s="1" t="str">
        <f>TEXT(IF($B2952 = "Retail Item", IF((ROW($A2952) - 4504 - _xlfn.XMATCH($C2952, $C$4506:$C$5005, 0, 1)) &lt;= VLOOKUP($C2952, 'Instrument Table'!$B:$D, 3, FALSE), ROW($A2952) - 4504 - _xlfn.XMATCH($C2952, $C$4506:$C$5005, 0, 1), 0), 0), "00")</f>
        <v>00</v>
      </c>
      <c r="H2952" s="1" t="str">
        <f t="shared" si="277"/>
        <v>146</v>
      </c>
      <c r="I2952" s="1" t="str">
        <f t="shared" si="278"/>
        <v>15000-146</v>
      </c>
      <c r="J2952" s="1" t="str">
        <f t="shared" si="279"/>
        <v>Snare drum production item #146</v>
      </c>
      <c r="K2952" s="1" t="str">
        <f>IF(SUM(COUNTIFS(I:I, I2952)) &gt; 1, "DUPLICATE", "UNIQUE")</f>
        <v>UNIQUE</v>
      </c>
      <c r="L2952" s="18">
        <v>0</v>
      </c>
      <c r="M2952" s="28">
        <v>31</v>
      </c>
      <c r="N2952" s="6">
        <v>289</v>
      </c>
      <c r="O2952" s="30">
        <f t="shared" si="280"/>
        <v>0</v>
      </c>
      <c r="P2952" s="30">
        <f t="shared" si="281"/>
        <v>8959</v>
      </c>
      <c r="Q2952" s="1">
        <f>COUNTIFS($P:$P, "&gt;" &amp; $P2952) + 1</f>
        <v>1869</v>
      </c>
      <c r="R2952" s="63">
        <f>(COUNTIFS($P:$P, "&gt;" &amp; $P2952) + 1) / (COUNTA($I:$I) - 1)</f>
        <v>0.37380000000000002</v>
      </c>
      <c r="S2952" s="23">
        <f>SUMIFS($P:$P, $Q:$Q, "&lt;" &amp; $Q2952)</f>
        <v>178887373</v>
      </c>
    </row>
    <row r="2953" spans="1:19" x14ac:dyDescent="0.25">
      <c r="A2953" s="1">
        <v>2948</v>
      </c>
      <c r="B2953" s="1" t="s">
        <v>2</v>
      </c>
      <c r="C2953" s="1" t="str">
        <f>IF($B2953 = "Production Item", _xlfn.XLOOKUP($A2953, 'Instrument Table'!$J:$J, 'Instrument Table'!$B:$B, $C2952), IF($B2953 = "Service Item", _xlfn.XLOOKUP($A2953, 'Instrument Table'!$I:$I, 'Instrument Table'!$B:$B, $C2952), _xlfn.XLOOKUP($A2953, 'Instrument Table'!$H:$H, 'Instrument Table'!$B:$B, $C2952)))</f>
        <v>Snare Drum</v>
      </c>
      <c r="D2953" s="1" t="str">
        <f>VLOOKUP($C2953, 'Instrument Table'!$B:$C, 2, FALSE)</f>
        <v>Percussion</v>
      </c>
      <c r="E2953" s="1">
        <f t="shared" si="276"/>
        <v>1</v>
      </c>
      <c r="F2953" s="1">
        <f>_xlfn.XLOOKUP($C2953, 'Instrument Table'!$B:$B, 'Instrument Table'!$A:$A, "")</f>
        <v>50</v>
      </c>
      <c r="G2953" s="1" t="str">
        <f>TEXT(IF($B2953 = "Retail Item", IF((ROW($A2953) - 4504 - _xlfn.XMATCH($C2953, $C$4506:$C$5005, 0, 1)) &lt;= VLOOKUP($C2953, 'Instrument Table'!$B:$D, 3, FALSE), ROW($A2953) - 4504 - _xlfn.XMATCH($C2953, $C$4506:$C$5005, 0, 1), 0), 0), "00")</f>
        <v>00</v>
      </c>
      <c r="H2953" s="1" t="str">
        <f t="shared" si="277"/>
        <v>147</v>
      </c>
      <c r="I2953" s="1" t="str">
        <f t="shared" si="278"/>
        <v>15000-147</v>
      </c>
      <c r="J2953" s="1" t="str">
        <f t="shared" si="279"/>
        <v>Snare drum production item #147</v>
      </c>
      <c r="K2953" s="1" t="str">
        <f>IF(SUM(COUNTIFS(I:I, I2953)) &gt; 1, "DUPLICATE", "UNIQUE")</f>
        <v>UNIQUE</v>
      </c>
      <c r="L2953" s="18">
        <v>0</v>
      </c>
      <c r="M2953" s="28">
        <v>21</v>
      </c>
      <c r="N2953" s="6">
        <v>144</v>
      </c>
      <c r="O2953" s="30">
        <f t="shared" si="280"/>
        <v>0</v>
      </c>
      <c r="P2953" s="30">
        <f t="shared" si="281"/>
        <v>3024</v>
      </c>
      <c r="Q2953" s="1">
        <f>COUNTIFS($P:$P, "&gt;" &amp; $P2953) + 1</f>
        <v>2903</v>
      </c>
      <c r="R2953" s="63">
        <f>(COUNTIFS($P:$P, "&gt;" &amp; $P2953) + 1) / (COUNTA($I:$I) - 1)</f>
        <v>0.5806</v>
      </c>
      <c r="S2953" s="23">
        <f>SUMIFS($P:$P, $Q:$Q, "&lt;" &amp; $Q2953)</f>
        <v>184657338</v>
      </c>
    </row>
    <row r="2954" spans="1:19" x14ac:dyDescent="0.25">
      <c r="A2954" s="1">
        <v>2949</v>
      </c>
      <c r="B2954" s="1" t="s">
        <v>2</v>
      </c>
      <c r="C2954" s="1" t="str">
        <f>IF($B2954 = "Production Item", _xlfn.XLOOKUP($A2954, 'Instrument Table'!$J:$J, 'Instrument Table'!$B:$B, $C2953), IF($B2954 = "Service Item", _xlfn.XLOOKUP($A2954, 'Instrument Table'!$I:$I, 'Instrument Table'!$B:$B, $C2953), _xlfn.XLOOKUP($A2954, 'Instrument Table'!$H:$H, 'Instrument Table'!$B:$B, $C2953)))</f>
        <v>Snare Drum</v>
      </c>
      <c r="D2954" s="1" t="str">
        <f>VLOOKUP($C2954, 'Instrument Table'!$B:$C, 2, FALSE)</f>
        <v>Percussion</v>
      </c>
      <c r="E2954" s="1">
        <f t="shared" si="276"/>
        <v>1</v>
      </c>
      <c r="F2954" s="1">
        <f>_xlfn.XLOOKUP($C2954, 'Instrument Table'!$B:$B, 'Instrument Table'!$A:$A, "")</f>
        <v>50</v>
      </c>
      <c r="G2954" s="1" t="str">
        <f>TEXT(IF($B2954 = "Retail Item", IF((ROW($A2954) - 4504 - _xlfn.XMATCH($C2954, $C$4506:$C$5005, 0, 1)) &lt;= VLOOKUP($C2954, 'Instrument Table'!$B:$D, 3, FALSE), ROW($A2954) - 4504 - _xlfn.XMATCH($C2954, $C$4506:$C$5005, 0, 1), 0), 0), "00")</f>
        <v>00</v>
      </c>
      <c r="H2954" s="1" t="str">
        <f t="shared" si="277"/>
        <v>148</v>
      </c>
      <c r="I2954" s="1" t="str">
        <f t="shared" si="278"/>
        <v>15000-148</v>
      </c>
      <c r="J2954" s="1" t="str">
        <f t="shared" si="279"/>
        <v>Snare drum production item #148</v>
      </c>
      <c r="K2954" s="1" t="str">
        <f>IF(SUM(COUNTIFS(I:I, I2954)) &gt; 1, "DUPLICATE", "UNIQUE")</f>
        <v>UNIQUE</v>
      </c>
      <c r="L2954" s="18">
        <v>2</v>
      </c>
      <c r="M2954" s="28">
        <v>92</v>
      </c>
      <c r="N2954" s="6">
        <v>121</v>
      </c>
      <c r="O2954" s="30">
        <f t="shared" si="280"/>
        <v>184</v>
      </c>
      <c r="P2954" s="30">
        <f t="shared" si="281"/>
        <v>11132</v>
      </c>
      <c r="Q2954" s="1">
        <f>COUNTIFS($P:$P, "&gt;" &amp; $P2954) + 1</f>
        <v>1674</v>
      </c>
      <c r="R2954" s="63">
        <f>(COUNTIFS($P:$P, "&gt;" &amp; $P2954) + 1) / (COUNTA($I:$I) - 1)</f>
        <v>0.33479999999999999</v>
      </c>
      <c r="S2954" s="23">
        <f>SUMIFS($P:$P, $Q:$Q, "&lt;" &amp; $Q2954)</f>
        <v>176928226</v>
      </c>
    </row>
    <row r="2955" spans="1:19" x14ac:dyDescent="0.25">
      <c r="A2955" s="1">
        <v>2950</v>
      </c>
      <c r="B2955" s="1" t="s">
        <v>2</v>
      </c>
      <c r="C2955" s="1" t="str">
        <f>IF($B2955 = "Production Item", _xlfn.XLOOKUP($A2955, 'Instrument Table'!$J:$J, 'Instrument Table'!$B:$B, $C2954), IF($B2955 = "Service Item", _xlfn.XLOOKUP($A2955, 'Instrument Table'!$I:$I, 'Instrument Table'!$B:$B, $C2954), _xlfn.XLOOKUP($A2955, 'Instrument Table'!$H:$H, 'Instrument Table'!$B:$B, $C2954)))</f>
        <v>Snare Drum</v>
      </c>
      <c r="D2955" s="1" t="str">
        <f>VLOOKUP($C2955, 'Instrument Table'!$B:$C, 2, FALSE)</f>
        <v>Percussion</v>
      </c>
      <c r="E2955" s="1">
        <f t="shared" si="276"/>
        <v>1</v>
      </c>
      <c r="F2955" s="1">
        <f>_xlfn.XLOOKUP($C2955, 'Instrument Table'!$B:$B, 'Instrument Table'!$A:$A, "")</f>
        <v>50</v>
      </c>
      <c r="G2955" s="1" t="str">
        <f>TEXT(IF($B2955 = "Retail Item", IF((ROW($A2955) - 4504 - _xlfn.XMATCH($C2955, $C$4506:$C$5005, 0, 1)) &lt;= VLOOKUP($C2955, 'Instrument Table'!$B:$D, 3, FALSE), ROW($A2955) - 4504 - _xlfn.XMATCH($C2955, $C$4506:$C$5005, 0, 1), 0), 0), "00")</f>
        <v>00</v>
      </c>
      <c r="H2955" s="1" t="str">
        <f t="shared" si="277"/>
        <v>149</v>
      </c>
      <c r="I2955" s="1" t="str">
        <f t="shared" si="278"/>
        <v>15000-149</v>
      </c>
      <c r="J2955" s="1" t="str">
        <f t="shared" si="279"/>
        <v>Snare drum production item #149</v>
      </c>
      <c r="K2955" s="1" t="str">
        <f>IF(SUM(COUNTIFS(I:I, I2955)) &gt; 1, "DUPLICATE", "UNIQUE")</f>
        <v>UNIQUE</v>
      </c>
      <c r="L2955" s="18">
        <v>4</v>
      </c>
      <c r="M2955" s="28">
        <v>79</v>
      </c>
      <c r="N2955" s="6">
        <v>361</v>
      </c>
      <c r="O2955" s="30">
        <f t="shared" si="280"/>
        <v>316</v>
      </c>
      <c r="P2955" s="30">
        <f t="shared" si="281"/>
        <v>28519</v>
      </c>
      <c r="Q2955" s="1">
        <f>COUNTIFS($P:$P, "&gt;" &amp; $P2955) + 1</f>
        <v>723</v>
      </c>
      <c r="R2955" s="63">
        <f>(COUNTIFS($P:$P, "&gt;" &amp; $P2955) + 1) / (COUNTA($I:$I) - 1)</f>
        <v>0.14460000000000001</v>
      </c>
      <c r="S2955" s="23">
        <f>SUMIFS($P:$P, $Q:$Q, "&lt;" &amp; $Q2955)</f>
        <v>159757197</v>
      </c>
    </row>
    <row r="2956" spans="1:19" x14ac:dyDescent="0.25">
      <c r="A2956" s="1">
        <v>2951</v>
      </c>
      <c r="B2956" s="1" t="s">
        <v>2</v>
      </c>
      <c r="C2956" s="1" t="str">
        <f>IF($B2956 = "Production Item", _xlfn.XLOOKUP($A2956, 'Instrument Table'!$J:$J, 'Instrument Table'!$B:$B, $C2955), IF($B2956 = "Service Item", _xlfn.XLOOKUP($A2956, 'Instrument Table'!$I:$I, 'Instrument Table'!$B:$B, $C2955), _xlfn.XLOOKUP($A2956, 'Instrument Table'!$H:$H, 'Instrument Table'!$B:$B, $C2955)))</f>
        <v>Snare Drum</v>
      </c>
      <c r="D2956" s="1" t="str">
        <f>VLOOKUP($C2956, 'Instrument Table'!$B:$C, 2, FALSE)</f>
        <v>Percussion</v>
      </c>
      <c r="E2956" s="1">
        <f t="shared" si="276"/>
        <v>1</v>
      </c>
      <c r="F2956" s="1">
        <f>_xlfn.XLOOKUP($C2956, 'Instrument Table'!$B:$B, 'Instrument Table'!$A:$A, "")</f>
        <v>50</v>
      </c>
      <c r="G2956" s="1" t="str">
        <f>TEXT(IF($B2956 = "Retail Item", IF((ROW($A2956) - 4504 - _xlfn.XMATCH($C2956, $C$4506:$C$5005, 0, 1)) &lt;= VLOOKUP($C2956, 'Instrument Table'!$B:$D, 3, FALSE), ROW($A2956) - 4504 - _xlfn.XMATCH($C2956, $C$4506:$C$5005, 0, 1), 0), 0), "00")</f>
        <v>00</v>
      </c>
      <c r="H2956" s="1" t="str">
        <f t="shared" si="277"/>
        <v>150</v>
      </c>
      <c r="I2956" s="1" t="str">
        <f t="shared" si="278"/>
        <v>15000-150</v>
      </c>
      <c r="J2956" s="1" t="str">
        <f t="shared" si="279"/>
        <v>Snare drum production item #150</v>
      </c>
      <c r="K2956" s="1" t="str">
        <f>IF(SUM(COUNTIFS(I:I, I2956)) &gt; 1, "DUPLICATE", "UNIQUE")</f>
        <v>UNIQUE</v>
      </c>
      <c r="L2956" s="18">
        <v>1</v>
      </c>
      <c r="M2956" s="28">
        <v>96</v>
      </c>
      <c r="N2956" s="6">
        <v>36</v>
      </c>
      <c r="O2956" s="30">
        <f t="shared" si="280"/>
        <v>96</v>
      </c>
      <c r="P2956" s="30">
        <f t="shared" si="281"/>
        <v>3456</v>
      </c>
      <c r="Q2956" s="1">
        <f>COUNTIFS($P:$P, "&gt;" &amp; $P2956) + 1</f>
        <v>2787</v>
      </c>
      <c r="R2956" s="63">
        <f>(COUNTIFS($P:$P, "&gt;" &amp; $P2956) + 1) / (COUNTA($I:$I) - 1)</f>
        <v>0.55740000000000001</v>
      </c>
      <c r="S2956" s="23">
        <f>SUMIFS($P:$P, $Q:$Q, "&lt;" &amp; $Q2956)</f>
        <v>184281179</v>
      </c>
    </row>
    <row r="2957" spans="1:19" x14ac:dyDescent="0.25">
      <c r="A2957" s="1">
        <v>2952</v>
      </c>
      <c r="B2957" s="1" t="s">
        <v>2</v>
      </c>
      <c r="C2957" s="1" t="str">
        <f>IF($B2957 = "Production Item", _xlfn.XLOOKUP($A2957, 'Instrument Table'!$J:$J, 'Instrument Table'!$B:$B, $C2956), IF($B2957 = "Service Item", _xlfn.XLOOKUP($A2957, 'Instrument Table'!$I:$I, 'Instrument Table'!$B:$B, $C2956), _xlfn.XLOOKUP($A2957, 'Instrument Table'!$H:$H, 'Instrument Table'!$B:$B, $C2956)))</f>
        <v>Snare Drum</v>
      </c>
      <c r="D2957" s="1" t="str">
        <f>VLOOKUP($C2957, 'Instrument Table'!$B:$C, 2, FALSE)</f>
        <v>Percussion</v>
      </c>
      <c r="E2957" s="1">
        <f t="shared" si="276"/>
        <v>1</v>
      </c>
      <c r="F2957" s="1">
        <f>_xlfn.XLOOKUP($C2957, 'Instrument Table'!$B:$B, 'Instrument Table'!$A:$A, "")</f>
        <v>50</v>
      </c>
      <c r="G2957" s="1" t="str">
        <f>TEXT(IF($B2957 = "Retail Item", IF((ROW($A2957) - 4504 - _xlfn.XMATCH($C2957, $C$4506:$C$5005, 0, 1)) &lt;= VLOOKUP($C2957, 'Instrument Table'!$B:$D, 3, FALSE), ROW($A2957) - 4504 - _xlfn.XMATCH($C2957, $C$4506:$C$5005, 0, 1), 0), 0), "00")</f>
        <v>00</v>
      </c>
      <c r="H2957" s="1" t="str">
        <f t="shared" si="277"/>
        <v>151</v>
      </c>
      <c r="I2957" s="1" t="str">
        <f t="shared" si="278"/>
        <v>15000-151</v>
      </c>
      <c r="J2957" s="1" t="str">
        <f t="shared" si="279"/>
        <v>Snare drum production item #151</v>
      </c>
      <c r="K2957" s="1" t="str">
        <f>IF(SUM(COUNTIFS(I:I, I2957)) &gt; 1, "DUPLICATE", "UNIQUE")</f>
        <v>UNIQUE</v>
      </c>
      <c r="L2957" s="18">
        <v>16</v>
      </c>
      <c r="M2957" s="28">
        <v>11</v>
      </c>
      <c r="N2957" s="6">
        <v>144</v>
      </c>
      <c r="O2957" s="30">
        <f t="shared" si="280"/>
        <v>176</v>
      </c>
      <c r="P2957" s="30">
        <f t="shared" si="281"/>
        <v>1584</v>
      </c>
      <c r="Q2957" s="1">
        <f>COUNTIFS($P:$P, "&gt;" &amp; $P2957) + 1</f>
        <v>3415</v>
      </c>
      <c r="R2957" s="63">
        <f>(COUNTIFS($P:$P, "&gt;" &amp; $P2957) + 1) / (COUNTA($I:$I) - 1)</f>
        <v>0.68300000000000005</v>
      </c>
      <c r="S2957" s="23">
        <f>SUMIFS($P:$P, $Q:$Q, "&lt;" &amp; $Q2957)</f>
        <v>185809023</v>
      </c>
    </row>
    <row r="2958" spans="1:19" x14ac:dyDescent="0.25">
      <c r="A2958" s="1">
        <v>2953</v>
      </c>
      <c r="B2958" s="1" t="s">
        <v>2</v>
      </c>
      <c r="C2958" s="1" t="str">
        <f>IF($B2958 = "Production Item", _xlfn.XLOOKUP($A2958, 'Instrument Table'!$J:$J, 'Instrument Table'!$B:$B, $C2957), IF($B2958 = "Service Item", _xlfn.XLOOKUP($A2958, 'Instrument Table'!$I:$I, 'Instrument Table'!$B:$B, $C2957), _xlfn.XLOOKUP($A2958, 'Instrument Table'!$H:$H, 'Instrument Table'!$B:$B, $C2957)))</f>
        <v>Snare Drum</v>
      </c>
      <c r="D2958" s="1" t="str">
        <f>VLOOKUP($C2958, 'Instrument Table'!$B:$C, 2, FALSE)</f>
        <v>Percussion</v>
      </c>
      <c r="E2958" s="1">
        <f t="shared" si="276"/>
        <v>1</v>
      </c>
      <c r="F2958" s="1">
        <f>_xlfn.XLOOKUP($C2958, 'Instrument Table'!$B:$B, 'Instrument Table'!$A:$A, "")</f>
        <v>50</v>
      </c>
      <c r="G2958" s="1" t="str">
        <f>TEXT(IF($B2958 = "Retail Item", IF((ROW($A2958) - 4504 - _xlfn.XMATCH($C2958, $C$4506:$C$5005, 0, 1)) &lt;= VLOOKUP($C2958, 'Instrument Table'!$B:$D, 3, FALSE), ROW($A2958) - 4504 - _xlfn.XMATCH($C2958, $C$4506:$C$5005, 0, 1), 0), 0), "00")</f>
        <v>00</v>
      </c>
      <c r="H2958" s="1" t="str">
        <f t="shared" si="277"/>
        <v>152</v>
      </c>
      <c r="I2958" s="1" t="str">
        <f t="shared" si="278"/>
        <v>15000-152</v>
      </c>
      <c r="J2958" s="1" t="str">
        <f t="shared" si="279"/>
        <v>Snare drum production item #152</v>
      </c>
      <c r="K2958" s="1" t="str">
        <f>IF(SUM(COUNTIFS(I:I, I2958)) &gt; 1, "DUPLICATE", "UNIQUE")</f>
        <v>UNIQUE</v>
      </c>
      <c r="L2958" s="18">
        <v>0</v>
      </c>
      <c r="M2958" s="28">
        <v>73</v>
      </c>
      <c r="N2958" s="6">
        <v>81</v>
      </c>
      <c r="O2958" s="30">
        <f t="shared" si="280"/>
        <v>0</v>
      </c>
      <c r="P2958" s="30">
        <f t="shared" si="281"/>
        <v>5913</v>
      </c>
      <c r="Q2958" s="1">
        <f>COUNTIFS($P:$P, "&gt;" &amp; $P2958) + 1</f>
        <v>2278</v>
      </c>
      <c r="R2958" s="63">
        <f>(COUNTIFS($P:$P, "&gt;" &amp; $P2958) + 1) / (COUNTA($I:$I) - 1)</f>
        <v>0.4556</v>
      </c>
      <c r="S2958" s="23">
        <f>SUMIFS($P:$P, $Q:$Q, "&lt;" &amp; $Q2958)</f>
        <v>181935603</v>
      </c>
    </row>
    <row r="2959" spans="1:19" x14ac:dyDescent="0.25">
      <c r="A2959" s="1">
        <v>2954</v>
      </c>
      <c r="B2959" s="1" t="s">
        <v>2</v>
      </c>
      <c r="C2959" s="1" t="str">
        <f>IF($B2959 = "Production Item", _xlfn.XLOOKUP($A2959, 'Instrument Table'!$J:$J, 'Instrument Table'!$B:$B, $C2958), IF($B2959 = "Service Item", _xlfn.XLOOKUP($A2959, 'Instrument Table'!$I:$I, 'Instrument Table'!$B:$B, $C2958), _xlfn.XLOOKUP($A2959, 'Instrument Table'!$H:$H, 'Instrument Table'!$B:$B, $C2958)))</f>
        <v>Snare Drum</v>
      </c>
      <c r="D2959" s="1" t="str">
        <f>VLOOKUP($C2959, 'Instrument Table'!$B:$C, 2, FALSE)</f>
        <v>Percussion</v>
      </c>
      <c r="E2959" s="1">
        <f t="shared" si="276"/>
        <v>1</v>
      </c>
      <c r="F2959" s="1">
        <f>_xlfn.XLOOKUP($C2959, 'Instrument Table'!$B:$B, 'Instrument Table'!$A:$A, "")</f>
        <v>50</v>
      </c>
      <c r="G2959" s="1" t="str">
        <f>TEXT(IF($B2959 = "Retail Item", IF((ROW($A2959) - 4504 - _xlfn.XMATCH($C2959, $C$4506:$C$5005, 0, 1)) &lt;= VLOOKUP($C2959, 'Instrument Table'!$B:$D, 3, FALSE), ROW($A2959) - 4504 - _xlfn.XMATCH($C2959, $C$4506:$C$5005, 0, 1), 0), 0), "00")</f>
        <v>00</v>
      </c>
      <c r="H2959" s="1" t="str">
        <f t="shared" si="277"/>
        <v>153</v>
      </c>
      <c r="I2959" s="1" t="str">
        <f t="shared" si="278"/>
        <v>15000-153</v>
      </c>
      <c r="J2959" s="1" t="str">
        <f t="shared" si="279"/>
        <v>Snare drum production item #153</v>
      </c>
      <c r="K2959" s="1" t="str">
        <f>IF(SUM(COUNTIFS(I:I, I2959)) &gt; 1, "DUPLICATE", "UNIQUE")</f>
        <v>UNIQUE</v>
      </c>
      <c r="L2959" s="18">
        <v>1</v>
      </c>
      <c r="M2959" s="28">
        <v>3</v>
      </c>
      <c r="N2959" s="6">
        <v>289</v>
      </c>
      <c r="O2959" s="30">
        <f t="shared" si="280"/>
        <v>3</v>
      </c>
      <c r="P2959" s="30">
        <f t="shared" si="281"/>
        <v>867</v>
      </c>
      <c r="Q2959" s="1">
        <f>COUNTIFS($P:$P, "&gt;" &amp; $P2959) + 1</f>
        <v>3748</v>
      </c>
      <c r="R2959" s="63">
        <f>(COUNTIFS($P:$P, "&gt;" &amp; $P2959) + 1) / (COUNTA($I:$I) - 1)</f>
        <v>0.74960000000000004</v>
      </c>
      <c r="S2959" s="23">
        <f>SUMIFS($P:$P, $Q:$Q, "&lt;" &amp; $Q2959)</f>
        <v>186222444</v>
      </c>
    </row>
    <row r="2960" spans="1:19" x14ac:dyDescent="0.25">
      <c r="A2960" s="1">
        <v>2955</v>
      </c>
      <c r="B2960" s="1" t="s">
        <v>2</v>
      </c>
      <c r="C2960" s="1" t="str">
        <f>IF($B2960 = "Production Item", _xlfn.XLOOKUP($A2960, 'Instrument Table'!$J:$J, 'Instrument Table'!$B:$B, $C2959), IF($B2960 = "Service Item", _xlfn.XLOOKUP($A2960, 'Instrument Table'!$I:$I, 'Instrument Table'!$B:$B, $C2959), _xlfn.XLOOKUP($A2960, 'Instrument Table'!$H:$H, 'Instrument Table'!$B:$B, $C2959)))</f>
        <v>Snare Drum</v>
      </c>
      <c r="D2960" s="1" t="str">
        <f>VLOOKUP($C2960, 'Instrument Table'!$B:$C, 2, FALSE)</f>
        <v>Percussion</v>
      </c>
      <c r="E2960" s="1">
        <f t="shared" si="276"/>
        <v>1</v>
      </c>
      <c r="F2960" s="1">
        <f>_xlfn.XLOOKUP($C2960, 'Instrument Table'!$B:$B, 'Instrument Table'!$A:$A, "")</f>
        <v>50</v>
      </c>
      <c r="G2960" s="1" t="str">
        <f>TEXT(IF($B2960 = "Retail Item", IF((ROW($A2960) - 4504 - _xlfn.XMATCH($C2960, $C$4506:$C$5005, 0, 1)) &lt;= VLOOKUP($C2960, 'Instrument Table'!$B:$D, 3, FALSE), ROW($A2960) - 4504 - _xlfn.XMATCH($C2960, $C$4506:$C$5005, 0, 1), 0), 0), "00")</f>
        <v>00</v>
      </c>
      <c r="H2960" s="1" t="str">
        <f t="shared" si="277"/>
        <v>154</v>
      </c>
      <c r="I2960" s="1" t="str">
        <f t="shared" si="278"/>
        <v>15000-154</v>
      </c>
      <c r="J2960" s="1" t="str">
        <f t="shared" si="279"/>
        <v>Snare drum production item #154</v>
      </c>
      <c r="K2960" s="1" t="str">
        <f>IF(SUM(COUNTIFS(I:I, I2960)) &gt; 1, "DUPLICATE", "UNIQUE")</f>
        <v>UNIQUE</v>
      </c>
      <c r="L2960" s="18">
        <v>8</v>
      </c>
      <c r="M2960" s="28">
        <v>56</v>
      </c>
      <c r="N2960" s="6">
        <v>169</v>
      </c>
      <c r="O2960" s="30">
        <f t="shared" si="280"/>
        <v>448</v>
      </c>
      <c r="P2960" s="30">
        <f t="shared" si="281"/>
        <v>9464</v>
      </c>
      <c r="Q2960" s="1">
        <f>COUNTIFS($P:$P, "&gt;" &amp; $P2960) + 1</f>
        <v>1823</v>
      </c>
      <c r="R2960" s="63">
        <f>(COUNTIFS($P:$P, "&gt;" &amp; $P2960) + 1) / (COUNTA($I:$I) - 1)</f>
        <v>0.36459999999999998</v>
      </c>
      <c r="S2960" s="23">
        <f>SUMIFS($P:$P, $Q:$Q, "&lt;" &amp; $Q2960)</f>
        <v>178461337</v>
      </c>
    </row>
    <row r="2961" spans="1:19" x14ac:dyDescent="0.25">
      <c r="A2961" s="1">
        <v>2956</v>
      </c>
      <c r="B2961" s="1" t="s">
        <v>2</v>
      </c>
      <c r="C2961" s="1" t="str">
        <f>IF($B2961 = "Production Item", _xlfn.XLOOKUP($A2961, 'Instrument Table'!$J:$J, 'Instrument Table'!$B:$B, $C2960), IF($B2961 = "Service Item", _xlfn.XLOOKUP($A2961, 'Instrument Table'!$I:$I, 'Instrument Table'!$B:$B, $C2960), _xlfn.XLOOKUP($A2961, 'Instrument Table'!$H:$H, 'Instrument Table'!$B:$B, $C2960)))</f>
        <v>Snare Drum</v>
      </c>
      <c r="D2961" s="1" t="str">
        <f>VLOOKUP($C2961, 'Instrument Table'!$B:$C, 2, FALSE)</f>
        <v>Percussion</v>
      </c>
      <c r="E2961" s="1">
        <f t="shared" si="276"/>
        <v>1</v>
      </c>
      <c r="F2961" s="1">
        <f>_xlfn.XLOOKUP($C2961, 'Instrument Table'!$B:$B, 'Instrument Table'!$A:$A, "")</f>
        <v>50</v>
      </c>
      <c r="G2961" s="1" t="str">
        <f>TEXT(IF($B2961 = "Retail Item", IF((ROW($A2961) - 4504 - _xlfn.XMATCH($C2961, $C$4506:$C$5005, 0, 1)) &lt;= VLOOKUP($C2961, 'Instrument Table'!$B:$D, 3, FALSE), ROW($A2961) - 4504 - _xlfn.XMATCH($C2961, $C$4506:$C$5005, 0, 1), 0), 0), "00")</f>
        <v>00</v>
      </c>
      <c r="H2961" s="1" t="str">
        <f t="shared" si="277"/>
        <v>155</v>
      </c>
      <c r="I2961" s="1" t="str">
        <f t="shared" si="278"/>
        <v>15000-155</v>
      </c>
      <c r="J2961" s="1" t="str">
        <f t="shared" si="279"/>
        <v>Snare drum production item #155</v>
      </c>
      <c r="K2961" s="1" t="str">
        <f>IF(SUM(COUNTIFS(I:I, I2961)) &gt; 1, "DUPLICATE", "UNIQUE")</f>
        <v>UNIQUE</v>
      </c>
      <c r="L2961" s="18">
        <v>1</v>
      </c>
      <c r="M2961" s="28">
        <v>32</v>
      </c>
      <c r="N2961" s="6">
        <v>81</v>
      </c>
      <c r="O2961" s="30">
        <f t="shared" si="280"/>
        <v>32</v>
      </c>
      <c r="P2961" s="30">
        <f t="shared" si="281"/>
        <v>2592</v>
      </c>
      <c r="Q2961" s="1">
        <f>COUNTIFS($P:$P, "&gt;" &amp; $P2961) + 1</f>
        <v>3012</v>
      </c>
      <c r="R2961" s="63">
        <f>(COUNTIFS($P:$P, "&gt;" &amp; $P2961) + 1) / (COUNTA($I:$I) - 1)</f>
        <v>0.60240000000000005</v>
      </c>
      <c r="S2961" s="23">
        <f>SUMIFS($P:$P, $Q:$Q, "&lt;" &amp; $Q2961)</f>
        <v>184963466</v>
      </c>
    </row>
    <row r="2962" spans="1:19" x14ac:dyDescent="0.25">
      <c r="A2962" s="1">
        <v>2957</v>
      </c>
      <c r="B2962" s="1" t="s">
        <v>2</v>
      </c>
      <c r="C2962" s="1" t="str">
        <f>IF($B2962 = "Production Item", _xlfn.XLOOKUP($A2962, 'Instrument Table'!$J:$J, 'Instrument Table'!$B:$B, $C2961), IF($B2962 = "Service Item", _xlfn.XLOOKUP($A2962, 'Instrument Table'!$I:$I, 'Instrument Table'!$B:$B, $C2961), _xlfn.XLOOKUP($A2962, 'Instrument Table'!$H:$H, 'Instrument Table'!$B:$B, $C2961)))</f>
        <v>Snare Drum</v>
      </c>
      <c r="D2962" s="1" t="str">
        <f>VLOOKUP($C2962, 'Instrument Table'!$B:$C, 2, FALSE)</f>
        <v>Percussion</v>
      </c>
      <c r="E2962" s="1">
        <f t="shared" si="276"/>
        <v>1</v>
      </c>
      <c r="F2962" s="1">
        <f>_xlfn.XLOOKUP($C2962, 'Instrument Table'!$B:$B, 'Instrument Table'!$A:$A, "")</f>
        <v>50</v>
      </c>
      <c r="G2962" s="1" t="str">
        <f>TEXT(IF($B2962 = "Retail Item", IF((ROW($A2962) - 4504 - _xlfn.XMATCH($C2962, $C$4506:$C$5005, 0, 1)) &lt;= VLOOKUP($C2962, 'Instrument Table'!$B:$D, 3, FALSE), ROW($A2962) - 4504 - _xlfn.XMATCH($C2962, $C$4506:$C$5005, 0, 1), 0), 0), "00")</f>
        <v>00</v>
      </c>
      <c r="H2962" s="1" t="str">
        <f t="shared" si="277"/>
        <v>156</v>
      </c>
      <c r="I2962" s="1" t="str">
        <f t="shared" si="278"/>
        <v>15000-156</v>
      </c>
      <c r="J2962" s="1" t="str">
        <f t="shared" si="279"/>
        <v>Snare drum production item #156</v>
      </c>
      <c r="K2962" s="1" t="str">
        <f>IF(SUM(COUNTIFS(I:I, I2962)) &gt; 1, "DUPLICATE", "UNIQUE")</f>
        <v>UNIQUE</v>
      </c>
      <c r="L2962" s="18">
        <v>2</v>
      </c>
      <c r="M2962" s="28">
        <v>71</v>
      </c>
      <c r="N2962" s="6">
        <v>4</v>
      </c>
      <c r="O2962" s="30">
        <f t="shared" si="280"/>
        <v>142</v>
      </c>
      <c r="P2962" s="30">
        <f t="shared" si="281"/>
        <v>284</v>
      </c>
      <c r="Q2962" s="1">
        <f>COUNTIFS($P:$P, "&gt;" &amp; $P2962) + 1</f>
        <v>4234</v>
      </c>
      <c r="R2962" s="63">
        <f>(COUNTIFS($P:$P, "&gt;" &amp; $P2962) + 1) / (COUNTA($I:$I) - 1)</f>
        <v>0.8468</v>
      </c>
      <c r="S2962" s="23">
        <f>SUMIFS($P:$P, $Q:$Q, "&lt;" &amp; $Q2962)</f>
        <v>186490637</v>
      </c>
    </row>
    <row r="2963" spans="1:19" x14ac:dyDescent="0.25">
      <c r="A2963" s="1">
        <v>2958</v>
      </c>
      <c r="B2963" s="1" t="s">
        <v>2</v>
      </c>
      <c r="C2963" s="1" t="str">
        <f>IF($B2963 = "Production Item", _xlfn.XLOOKUP($A2963, 'Instrument Table'!$J:$J, 'Instrument Table'!$B:$B, $C2962), IF($B2963 = "Service Item", _xlfn.XLOOKUP($A2963, 'Instrument Table'!$I:$I, 'Instrument Table'!$B:$B, $C2962), _xlfn.XLOOKUP($A2963, 'Instrument Table'!$H:$H, 'Instrument Table'!$B:$B, $C2962)))</f>
        <v>Snare Drum</v>
      </c>
      <c r="D2963" s="1" t="str">
        <f>VLOOKUP($C2963, 'Instrument Table'!$B:$C, 2, FALSE)</f>
        <v>Percussion</v>
      </c>
      <c r="E2963" s="1">
        <f t="shared" si="276"/>
        <v>1</v>
      </c>
      <c r="F2963" s="1">
        <f>_xlfn.XLOOKUP($C2963, 'Instrument Table'!$B:$B, 'Instrument Table'!$A:$A, "")</f>
        <v>50</v>
      </c>
      <c r="G2963" s="1" t="str">
        <f>TEXT(IF($B2963 = "Retail Item", IF((ROW($A2963) - 4504 - _xlfn.XMATCH($C2963, $C$4506:$C$5005, 0, 1)) &lt;= VLOOKUP($C2963, 'Instrument Table'!$B:$D, 3, FALSE), ROW($A2963) - 4504 - _xlfn.XMATCH($C2963, $C$4506:$C$5005, 0, 1), 0), 0), "00")</f>
        <v>00</v>
      </c>
      <c r="H2963" s="1" t="str">
        <f t="shared" si="277"/>
        <v>157</v>
      </c>
      <c r="I2963" s="1" t="str">
        <f t="shared" si="278"/>
        <v>15000-157</v>
      </c>
      <c r="J2963" s="1" t="str">
        <f t="shared" si="279"/>
        <v>Snare drum production item #157</v>
      </c>
      <c r="K2963" s="1" t="str">
        <f>IF(SUM(COUNTIFS(I:I, I2963)) &gt; 1, "DUPLICATE", "UNIQUE")</f>
        <v>UNIQUE</v>
      </c>
      <c r="L2963" s="18">
        <v>0</v>
      </c>
      <c r="M2963" s="28">
        <v>2</v>
      </c>
      <c r="N2963" s="6">
        <v>169</v>
      </c>
      <c r="O2963" s="30">
        <f t="shared" si="280"/>
        <v>0</v>
      </c>
      <c r="P2963" s="30">
        <f t="shared" si="281"/>
        <v>338</v>
      </c>
      <c r="Q2963" s="1">
        <f>COUNTIFS($P:$P, "&gt;" &amp; $P2963) + 1</f>
        <v>4168</v>
      </c>
      <c r="R2963" s="63">
        <f>(COUNTIFS($P:$P, "&gt;" &amp; $P2963) + 1) / (COUNTA($I:$I) - 1)</f>
        <v>0.83360000000000001</v>
      </c>
      <c r="S2963" s="23">
        <f>SUMIFS($P:$P, $Q:$Q, "&lt;" &amp; $Q2963)</f>
        <v>186469963</v>
      </c>
    </row>
    <row r="2964" spans="1:19" x14ac:dyDescent="0.25">
      <c r="A2964" s="1">
        <v>2959</v>
      </c>
      <c r="B2964" s="1" t="s">
        <v>2</v>
      </c>
      <c r="C2964" s="1" t="str">
        <f>IF($B2964 = "Production Item", _xlfn.XLOOKUP($A2964, 'Instrument Table'!$J:$J, 'Instrument Table'!$B:$B, $C2963), IF($B2964 = "Service Item", _xlfn.XLOOKUP($A2964, 'Instrument Table'!$I:$I, 'Instrument Table'!$B:$B, $C2963), _xlfn.XLOOKUP($A2964, 'Instrument Table'!$H:$H, 'Instrument Table'!$B:$B, $C2963)))</f>
        <v>Snare Drum</v>
      </c>
      <c r="D2964" s="1" t="str">
        <f>VLOOKUP($C2964, 'Instrument Table'!$B:$C, 2, FALSE)</f>
        <v>Percussion</v>
      </c>
      <c r="E2964" s="1">
        <f t="shared" si="276"/>
        <v>1</v>
      </c>
      <c r="F2964" s="1">
        <f>_xlfn.XLOOKUP($C2964, 'Instrument Table'!$B:$B, 'Instrument Table'!$A:$A, "")</f>
        <v>50</v>
      </c>
      <c r="G2964" s="1" t="str">
        <f>TEXT(IF($B2964 = "Retail Item", IF((ROW($A2964) - 4504 - _xlfn.XMATCH($C2964, $C$4506:$C$5005, 0, 1)) &lt;= VLOOKUP($C2964, 'Instrument Table'!$B:$D, 3, FALSE), ROW($A2964) - 4504 - _xlfn.XMATCH($C2964, $C$4506:$C$5005, 0, 1), 0), 0), "00")</f>
        <v>00</v>
      </c>
      <c r="H2964" s="1" t="str">
        <f t="shared" si="277"/>
        <v>158</v>
      </c>
      <c r="I2964" s="1" t="str">
        <f t="shared" si="278"/>
        <v>15000-158</v>
      </c>
      <c r="J2964" s="1" t="str">
        <f t="shared" si="279"/>
        <v>Snare drum production item #158</v>
      </c>
      <c r="K2964" s="1" t="str">
        <f>IF(SUM(COUNTIFS(I:I, I2964)) &gt; 1, "DUPLICATE", "UNIQUE")</f>
        <v>UNIQUE</v>
      </c>
      <c r="L2964" s="18">
        <v>0</v>
      </c>
      <c r="M2964" s="28">
        <v>37</v>
      </c>
      <c r="N2964" s="6">
        <v>144</v>
      </c>
      <c r="O2964" s="30">
        <f t="shared" si="280"/>
        <v>0</v>
      </c>
      <c r="P2964" s="30">
        <f t="shared" si="281"/>
        <v>5328</v>
      </c>
      <c r="Q2964" s="1">
        <f>COUNTIFS($P:$P, "&gt;" &amp; $P2964) + 1</f>
        <v>2381</v>
      </c>
      <c r="R2964" s="63">
        <f>(COUNTIFS($P:$P, "&gt;" &amp; $P2964) + 1) / (COUNTA($I:$I) - 1)</f>
        <v>0.47620000000000001</v>
      </c>
      <c r="S2964" s="23">
        <f>SUMIFS($P:$P, $Q:$Q, "&lt;" &amp; $Q2964)</f>
        <v>182516121</v>
      </c>
    </row>
    <row r="2965" spans="1:19" x14ac:dyDescent="0.25">
      <c r="A2965" s="1">
        <v>2960</v>
      </c>
      <c r="B2965" s="1" t="s">
        <v>2</v>
      </c>
      <c r="C2965" s="1" t="str">
        <f>IF($B2965 = "Production Item", _xlfn.XLOOKUP($A2965, 'Instrument Table'!$J:$J, 'Instrument Table'!$B:$B, $C2964), IF($B2965 = "Service Item", _xlfn.XLOOKUP($A2965, 'Instrument Table'!$I:$I, 'Instrument Table'!$B:$B, $C2964), _xlfn.XLOOKUP($A2965, 'Instrument Table'!$H:$H, 'Instrument Table'!$B:$B, $C2964)))</f>
        <v>Snare Drum</v>
      </c>
      <c r="D2965" s="1" t="str">
        <f>VLOOKUP($C2965, 'Instrument Table'!$B:$C, 2, FALSE)</f>
        <v>Percussion</v>
      </c>
      <c r="E2965" s="1">
        <f t="shared" si="276"/>
        <v>1</v>
      </c>
      <c r="F2965" s="1">
        <f>_xlfn.XLOOKUP($C2965, 'Instrument Table'!$B:$B, 'Instrument Table'!$A:$A, "")</f>
        <v>50</v>
      </c>
      <c r="G2965" s="1" t="str">
        <f>TEXT(IF($B2965 = "Retail Item", IF((ROW($A2965) - 4504 - _xlfn.XMATCH($C2965, $C$4506:$C$5005, 0, 1)) &lt;= VLOOKUP($C2965, 'Instrument Table'!$B:$D, 3, FALSE), ROW($A2965) - 4504 - _xlfn.XMATCH($C2965, $C$4506:$C$5005, 0, 1), 0), 0), "00")</f>
        <v>00</v>
      </c>
      <c r="H2965" s="1" t="str">
        <f t="shared" si="277"/>
        <v>159</v>
      </c>
      <c r="I2965" s="1" t="str">
        <f t="shared" si="278"/>
        <v>15000-159</v>
      </c>
      <c r="J2965" s="1" t="str">
        <f t="shared" si="279"/>
        <v>Snare drum production item #159</v>
      </c>
      <c r="K2965" s="1" t="str">
        <f>IF(SUM(COUNTIFS(I:I, I2965)) &gt; 1, "DUPLICATE", "UNIQUE")</f>
        <v>UNIQUE</v>
      </c>
      <c r="L2965" s="18">
        <v>0</v>
      </c>
      <c r="M2965" s="28">
        <v>82</v>
      </c>
      <c r="N2965" s="6">
        <v>36</v>
      </c>
      <c r="O2965" s="30">
        <f t="shared" si="280"/>
        <v>0</v>
      </c>
      <c r="P2965" s="30">
        <f t="shared" si="281"/>
        <v>2952</v>
      </c>
      <c r="Q2965" s="1">
        <f>COUNTIFS($P:$P, "&gt;" &amp; $P2965) + 1</f>
        <v>2914</v>
      </c>
      <c r="R2965" s="63">
        <f>(COUNTIFS($P:$P, "&gt;" &amp; $P2965) + 1) / (COUNTA($I:$I) - 1)</f>
        <v>0.58279999999999998</v>
      </c>
      <c r="S2965" s="23">
        <f>SUMIFS($P:$P, $Q:$Q, "&lt;" &amp; $Q2965)</f>
        <v>184690403</v>
      </c>
    </row>
    <row r="2966" spans="1:19" x14ac:dyDescent="0.25">
      <c r="A2966" s="1">
        <v>2961</v>
      </c>
      <c r="B2966" s="1" t="s">
        <v>2</v>
      </c>
      <c r="C2966" s="1" t="str">
        <f>IF($B2966 = "Production Item", _xlfn.XLOOKUP($A2966, 'Instrument Table'!$J:$J, 'Instrument Table'!$B:$B, $C2965), IF($B2966 = "Service Item", _xlfn.XLOOKUP($A2966, 'Instrument Table'!$I:$I, 'Instrument Table'!$B:$B, $C2965), _xlfn.XLOOKUP($A2966, 'Instrument Table'!$H:$H, 'Instrument Table'!$B:$B, $C2965)))</f>
        <v>Snare Drum</v>
      </c>
      <c r="D2966" s="1" t="str">
        <f>VLOOKUP($C2966, 'Instrument Table'!$B:$C, 2, FALSE)</f>
        <v>Percussion</v>
      </c>
      <c r="E2966" s="1">
        <f t="shared" si="276"/>
        <v>1</v>
      </c>
      <c r="F2966" s="1">
        <f>_xlfn.XLOOKUP($C2966, 'Instrument Table'!$B:$B, 'Instrument Table'!$A:$A, "")</f>
        <v>50</v>
      </c>
      <c r="G2966" s="1" t="str">
        <f>TEXT(IF($B2966 = "Retail Item", IF((ROW($A2966) - 4504 - _xlfn.XMATCH($C2966, $C$4506:$C$5005, 0, 1)) &lt;= VLOOKUP($C2966, 'Instrument Table'!$B:$D, 3, FALSE), ROW($A2966) - 4504 - _xlfn.XMATCH($C2966, $C$4506:$C$5005, 0, 1), 0), 0), "00")</f>
        <v>00</v>
      </c>
      <c r="H2966" s="1" t="str">
        <f t="shared" si="277"/>
        <v>160</v>
      </c>
      <c r="I2966" s="1" t="str">
        <f t="shared" si="278"/>
        <v>15000-160</v>
      </c>
      <c r="J2966" s="1" t="str">
        <f t="shared" si="279"/>
        <v>Snare drum production item #160</v>
      </c>
      <c r="K2966" s="1" t="str">
        <f>IF(SUM(COUNTIFS(I:I, I2966)) &gt; 1, "DUPLICATE", "UNIQUE")</f>
        <v>UNIQUE</v>
      </c>
      <c r="L2966" s="18">
        <v>0</v>
      </c>
      <c r="M2966" s="28">
        <v>18</v>
      </c>
      <c r="N2966" s="6">
        <v>81</v>
      </c>
      <c r="O2966" s="30">
        <f t="shared" si="280"/>
        <v>0</v>
      </c>
      <c r="P2966" s="30">
        <f t="shared" si="281"/>
        <v>1458</v>
      </c>
      <c r="Q2966" s="1">
        <f>COUNTIFS($P:$P, "&gt;" &amp; $P2966) + 1</f>
        <v>3477</v>
      </c>
      <c r="R2966" s="63">
        <f>(COUNTIFS($P:$P, "&gt;" &amp; $P2966) + 1) / (COUNTA($I:$I) - 1)</f>
        <v>0.69540000000000002</v>
      </c>
      <c r="S2966" s="23">
        <f>SUMIFS($P:$P, $Q:$Q, "&lt;" &amp; $Q2966)</f>
        <v>185904150</v>
      </c>
    </row>
    <row r="2967" spans="1:19" x14ac:dyDescent="0.25">
      <c r="A2967" s="1">
        <v>2962</v>
      </c>
      <c r="B2967" s="1" t="s">
        <v>2</v>
      </c>
      <c r="C2967" s="1" t="str">
        <f>IF($B2967 = "Production Item", _xlfn.XLOOKUP($A2967, 'Instrument Table'!$J:$J, 'Instrument Table'!$B:$B, $C2966), IF($B2967 = "Service Item", _xlfn.XLOOKUP($A2967, 'Instrument Table'!$I:$I, 'Instrument Table'!$B:$B, $C2966), _xlfn.XLOOKUP($A2967, 'Instrument Table'!$H:$H, 'Instrument Table'!$B:$B, $C2966)))</f>
        <v>Snare Drum</v>
      </c>
      <c r="D2967" s="1" t="str">
        <f>VLOOKUP($C2967, 'Instrument Table'!$B:$C, 2, FALSE)</f>
        <v>Percussion</v>
      </c>
      <c r="E2967" s="1">
        <f t="shared" si="276"/>
        <v>1</v>
      </c>
      <c r="F2967" s="1">
        <f>_xlfn.XLOOKUP($C2967, 'Instrument Table'!$B:$B, 'Instrument Table'!$A:$A, "")</f>
        <v>50</v>
      </c>
      <c r="G2967" s="1" t="str">
        <f>TEXT(IF($B2967 = "Retail Item", IF((ROW($A2967) - 4504 - _xlfn.XMATCH($C2967, $C$4506:$C$5005, 0, 1)) &lt;= VLOOKUP($C2967, 'Instrument Table'!$B:$D, 3, FALSE), ROW($A2967) - 4504 - _xlfn.XMATCH($C2967, $C$4506:$C$5005, 0, 1), 0), 0), "00")</f>
        <v>00</v>
      </c>
      <c r="H2967" s="1" t="str">
        <f t="shared" si="277"/>
        <v>161</v>
      </c>
      <c r="I2967" s="1" t="str">
        <f t="shared" si="278"/>
        <v>15000-161</v>
      </c>
      <c r="J2967" s="1" t="str">
        <f t="shared" si="279"/>
        <v>Snare drum production item #161</v>
      </c>
      <c r="K2967" s="1" t="str">
        <f>IF(SUM(COUNTIFS(I:I, I2967)) &gt; 1, "DUPLICATE", "UNIQUE")</f>
        <v>UNIQUE</v>
      </c>
      <c r="L2967" s="18">
        <v>1</v>
      </c>
      <c r="M2967" s="28">
        <v>87</v>
      </c>
      <c r="N2967" s="6">
        <v>25</v>
      </c>
      <c r="O2967" s="30">
        <f t="shared" si="280"/>
        <v>87</v>
      </c>
      <c r="P2967" s="30">
        <f t="shared" si="281"/>
        <v>2175</v>
      </c>
      <c r="Q2967" s="1">
        <f>COUNTIFS($P:$P, "&gt;" &amp; $P2967) + 1</f>
        <v>3178</v>
      </c>
      <c r="R2967" s="63">
        <f>(COUNTIFS($P:$P, "&gt;" &amp; $P2967) + 1) / (COUNTA($I:$I) - 1)</f>
        <v>0.63560000000000005</v>
      </c>
      <c r="S2967" s="23">
        <f>SUMIFS($P:$P, $Q:$Q, "&lt;" &amp; $Q2967)</f>
        <v>185360536</v>
      </c>
    </row>
    <row r="2968" spans="1:19" x14ac:dyDescent="0.25">
      <c r="A2968" s="1">
        <v>2963</v>
      </c>
      <c r="B2968" s="1" t="s">
        <v>2</v>
      </c>
      <c r="C2968" s="1" t="str">
        <f>IF($B2968 = "Production Item", _xlfn.XLOOKUP($A2968, 'Instrument Table'!$J:$J, 'Instrument Table'!$B:$B, $C2967), IF($B2968 = "Service Item", _xlfn.XLOOKUP($A2968, 'Instrument Table'!$I:$I, 'Instrument Table'!$B:$B, $C2967), _xlfn.XLOOKUP($A2968, 'Instrument Table'!$H:$H, 'Instrument Table'!$B:$B, $C2967)))</f>
        <v>Snare Drum</v>
      </c>
      <c r="D2968" s="1" t="str">
        <f>VLOOKUP($C2968, 'Instrument Table'!$B:$C, 2, FALSE)</f>
        <v>Percussion</v>
      </c>
      <c r="E2968" s="1">
        <f t="shared" si="276"/>
        <v>1</v>
      </c>
      <c r="F2968" s="1">
        <f>_xlfn.XLOOKUP($C2968, 'Instrument Table'!$B:$B, 'Instrument Table'!$A:$A, "")</f>
        <v>50</v>
      </c>
      <c r="G2968" s="1" t="str">
        <f>TEXT(IF($B2968 = "Retail Item", IF((ROW($A2968) - 4504 - _xlfn.XMATCH($C2968, $C$4506:$C$5005, 0, 1)) &lt;= VLOOKUP($C2968, 'Instrument Table'!$B:$D, 3, FALSE), ROW($A2968) - 4504 - _xlfn.XMATCH($C2968, $C$4506:$C$5005, 0, 1), 0), 0), "00")</f>
        <v>00</v>
      </c>
      <c r="H2968" s="1" t="str">
        <f t="shared" si="277"/>
        <v>162</v>
      </c>
      <c r="I2968" s="1" t="str">
        <f t="shared" si="278"/>
        <v>15000-162</v>
      </c>
      <c r="J2968" s="1" t="str">
        <f t="shared" si="279"/>
        <v>Snare drum production item #162</v>
      </c>
      <c r="K2968" s="1" t="str">
        <f>IF(SUM(COUNTIFS(I:I, I2968)) &gt; 1, "DUPLICATE", "UNIQUE")</f>
        <v>UNIQUE</v>
      </c>
      <c r="L2968" s="18">
        <v>0</v>
      </c>
      <c r="M2968" s="28">
        <v>66</v>
      </c>
      <c r="N2968" s="6">
        <v>0</v>
      </c>
      <c r="O2968" s="30">
        <f t="shared" si="280"/>
        <v>0</v>
      </c>
      <c r="P2968" s="30">
        <f t="shared" si="281"/>
        <v>0</v>
      </c>
      <c r="Q2968" s="1">
        <f>COUNTIFS($P:$P, "&gt;" &amp; $P2968) + 1</f>
        <v>4746</v>
      </c>
      <c r="R2968" s="63">
        <f>(COUNTIFS($P:$P, "&gt;" &amp; $P2968) + 1) / (COUNTA($I:$I) - 1)</f>
        <v>0.94920000000000004</v>
      </c>
      <c r="S2968" s="23">
        <f>SUMIFS($P:$P, $Q:$Q, "&lt;" &amp; $Q2968)</f>
        <v>186547861</v>
      </c>
    </row>
    <row r="2969" spans="1:19" x14ac:dyDescent="0.25">
      <c r="A2969" s="1">
        <v>2964</v>
      </c>
      <c r="B2969" s="1" t="s">
        <v>2</v>
      </c>
      <c r="C2969" s="1" t="str">
        <f>IF($B2969 = "Production Item", _xlfn.XLOOKUP($A2969, 'Instrument Table'!$J:$J, 'Instrument Table'!$B:$B, $C2968), IF($B2969 = "Service Item", _xlfn.XLOOKUP($A2969, 'Instrument Table'!$I:$I, 'Instrument Table'!$B:$B, $C2968), _xlfn.XLOOKUP($A2969, 'Instrument Table'!$H:$H, 'Instrument Table'!$B:$B, $C2968)))</f>
        <v>Snare Drum</v>
      </c>
      <c r="D2969" s="1" t="str">
        <f>VLOOKUP($C2969, 'Instrument Table'!$B:$C, 2, FALSE)</f>
        <v>Percussion</v>
      </c>
      <c r="E2969" s="1">
        <f t="shared" si="276"/>
        <v>1</v>
      </c>
      <c r="F2969" s="1">
        <f>_xlfn.XLOOKUP($C2969, 'Instrument Table'!$B:$B, 'Instrument Table'!$A:$A, "")</f>
        <v>50</v>
      </c>
      <c r="G2969" s="1" t="str">
        <f>TEXT(IF($B2969 = "Retail Item", IF((ROW($A2969) - 4504 - _xlfn.XMATCH($C2969, $C$4506:$C$5005, 0, 1)) &lt;= VLOOKUP($C2969, 'Instrument Table'!$B:$D, 3, FALSE), ROW($A2969) - 4504 - _xlfn.XMATCH($C2969, $C$4506:$C$5005, 0, 1), 0), 0), "00")</f>
        <v>00</v>
      </c>
      <c r="H2969" s="1" t="str">
        <f t="shared" si="277"/>
        <v>163</v>
      </c>
      <c r="I2969" s="1" t="str">
        <f t="shared" si="278"/>
        <v>15000-163</v>
      </c>
      <c r="J2969" s="1" t="str">
        <f t="shared" si="279"/>
        <v>Snare drum production item #163</v>
      </c>
      <c r="K2969" s="1" t="str">
        <f>IF(SUM(COUNTIFS(I:I, I2969)) &gt; 1, "DUPLICATE", "UNIQUE")</f>
        <v>UNIQUE</v>
      </c>
      <c r="L2969" s="18">
        <v>1</v>
      </c>
      <c r="M2969" s="28">
        <v>53</v>
      </c>
      <c r="N2969" s="6">
        <v>289</v>
      </c>
      <c r="O2969" s="30">
        <f t="shared" si="280"/>
        <v>53</v>
      </c>
      <c r="P2969" s="30">
        <f t="shared" si="281"/>
        <v>15317</v>
      </c>
      <c r="Q2969" s="1">
        <f>COUNTIFS($P:$P, "&gt;" &amp; $P2969) + 1</f>
        <v>1328</v>
      </c>
      <c r="R2969" s="63">
        <f>(COUNTIFS($P:$P, "&gt;" &amp; $P2969) + 1) / (COUNTA($I:$I) - 1)</f>
        <v>0.2656</v>
      </c>
      <c r="S2969" s="23">
        <f>SUMIFS($P:$P, $Q:$Q, "&lt;" &amp; $Q2969)</f>
        <v>172409168</v>
      </c>
    </row>
    <row r="2970" spans="1:19" x14ac:dyDescent="0.25">
      <c r="A2970" s="1">
        <v>2965</v>
      </c>
      <c r="B2970" s="1" t="s">
        <v>2</v>
      </c>
      <c r="C2970" s="1" t="str">
        <f>IF($B2970 = "Production Item", _xlfn.XLOOKUP($A2970, 'Instrument Table'!$J:$J, 'Instrument Table'!$B:$B, $C2969), IF($B2970 = "Service Item", _xlfn.XLOOKUP($A2970, 'Instrument Table'!$I:$I, 'Instrument Table'!$B:$B, $C2969), _xlfn.XLOOKUP($A2970, 'Instrument Table'!$H:$H, 'Instrument Table'!$B:$B, $C2969)))</f>
        <v>Snare Drum</v>
      </c>
      <c r="D2970" s="1" t="str">
        <f>VLOOKUP($C2970, 'Instrument Table'!$B:$C, 2, FALSE)</f>
        <v>Percussion</v>
      </c>
      <c r="E2970" s="1">
        <f t="shared" si="276"/>
        <v>1</v>
      </c>
      <c r="F2970" s="1">
        <f>_xlfn.XLOOKUP($C2970, 'Instrument Table'!$B:$B, 'Instrument Table'!$A:$A, "")</f>
        <v>50</v>
      </c>
      <c r="G2970" s="1" t="str">
        <f>TEXT(IF($B2970 = "Retail Item", IF((ROW($A2970) - 4504 - _xlfn.XMATCH($C2970, $C$4506:$C$5005, 0, 1)) &lt;= VLOOKUP($C2970, 'Instrument Table'!$B:$D, 3, FALSE), ROW($A2970) - 4504 - _xlfn.XMATCH($C2970, $C$4506:$C$5005, 0, 1), 0), 0), "00")</f>
        <v>00</v>
      </c>
      <c r="H2970" s="1" t="str">
        <f t="shared" si="277"/>
        <v>164</v>
      </c>
      <c r="I2970" s="1" t="str">
        <f t="shared" si="278"/>
        <v>15000-164</v>
      </c>
      <c r="J2970" s="1" t="str">
        <f t="shared" si="279"/>
        <v>Snare drum production item #164</v>
      </c>
      <c r="K2970" s="1" t="str">
        <f>IF(SUM(COUNTIFS(I:I, I2970)) &gt; 1, "DUPLICATE", "UNIQUE")</f>
        <v>UNIQUE</v>
      </c>
      <c r="L2970" s="18">
        <v>16</v>
      </c>
      <c r="M2970" s="28">
        <v>29</v>
      </c>
      <c r="N2970" s="6">
        <v>400</v>
      </c>
      <c r="O2970" s="30">
        <f t="shared" si="280"/>
        <v>464</v>
      </c>
      <c r="P2970" s="30">
        <f t="shared" si="281"/>
        <v>11600</v>
      </c>
      <c r="Q2970" s="1">
        <f>COUNTIFS($P:$P, "&gt;" &amp; $P2970) + 1</f>
        <v>1622</v>
      </c>
      <c r="R2970" s="63">
        <f>(COUNTIFS($P:$P, "&gt;" &amp; $P2970) + 1) / (COUNTA($I:$I) - 1)</f>
        <v>0.32440000000000002</v>
      </c>
      <c r="S2970" s="23">
        <f>SUMIFS($P:$P, $Q:$Q, "&lt;" &amp; $Q2970)</f>
        <v>176335567</v>
      </c>
    </row>
    <row r="2971" spans="1:19" x14ac:dyDescent="0.25">
      <c r="A2971" s="1">
        <v>2966</v>
      </c>
      <c r="B2971" s="1" t="s">
        <v>2</v>
      </c>
      <c r="C2971" s="1" t="str">
        <f>IF($B2971 = "Production Item", _xlfn.XLOOKUP($A2971, 'Instrument Table'!$J:$J, 'Instrument Table'!$B:$B, $C2970), IF($B2971 = "Service Item", _xlfn.XLOOKUP($A2971, 'Instrument Table'!$I:$I, 'Instrument Table'!$B:$B, $C2970), _xlfn.XLOOKUP($A2971, 'Instrument Table'!$H:$H, 'Instrument Table'!$B:$B, $C2970)))</f>
        <v>Snare Drum</v>
      </c>
      <c r="D2971" s="1" t="str">
        <f>VLOOKUP($C2971, 'Instrument Table'!$B:$C, 2, FALSE)</f>
        <v>Percussion</v>
      </c>
      <c r="E2971" s="1">
        <f t="shared" si="276"/>
        <v>1</v>
      </c>
      <c r="F2971" s="1">
        <f>_xlfn.XLOOKUP($C2971, 'Instrument Table'!$B:$B, 'Instrument Table'!$A:$A, "")</f>
        <v>50</v>
      </c>
      <c r="G2971" s="1" t="str">
        <f>TEXT(IF($B2971 = "Retail Item", IF((ROW($A2971) - 4504 - _xlfn.XMATCH($C2971, $C$4506:$C$5005, 0, 1)) &lt;= VLOOKUP($C2971, 'Instrument Table'!$B:$D, 3, FALSE), ROW($A2971) - 4504 - _xlfn.XMATCH($C2971, $C$4506:$C$5005, 0, 1), 0), 0), "00")</f>
        <v>00</v>
      </c>
      <c r="H2971" s="1" t="str">
        <f t="shared" si="277"/>
        <v>165</v>
      </c>
      <c r="I2971" s="1" t="str">
        <f t="shared" si="278"/>
        <v>15000-165</v>
      </c>
      <c r="J2971" s="1" t="str">
        <f t="shared" si="279"/>
        <v>Snare drum production item #165</v>
      </c>
      <c r="K2971" s="1" t="str">
        <f>IF(SUM(COUNTIFS(I:I, I2971)) &gt; 1, "DUPLICATE", "UNIQUE")</f>
        <v>UNIQUE</v>
      </c>
      <c r="L2971" s="18">
        <v>4</v>
      </c>
      <c r="M2971" s="28">
        <v>30</v>
      </c>
      <c r="N2971" s="6">
        <v>144</v>
      </c>
      <c r="O2971" s="30">
        <f t="shared" si="280"/>
        <v>120</v>
      </c>
      <c r="P2971" s="30">
        <f t="shared" si="281"/>
        <v>4320</v>
      </c>
      <c r="Q2971" s="1">
        <f>COUNTIFS($P:$P, "&gt;" &amp; $P2971) + 1</f>
        <v>2584</v>
      </c>
      <c r="R2971" s="63">
        <f>(COUNTIFS($P:$P, "&gt;" &amp; $P2971) + 1) / (COUNTA($I:$I) - 1)</f>
        <v>0.51680000000000004</v>
      </c>
      <c r="S2971" s="23">
        <f>SUMIFS($P:$P, $Q:$Q, "&lt;" &amp; $Q2971)</f>
        <v>183494794</v>
      </c>
    </row>
    <row r="2972" spans="1:19" x14ac:dyDescent="0.25">
      <c r="A2972" s="1">
        <v>2967</v>
      </c>
      <c r="B2972" s="1" t="s">
        <v>2</v>
      </c>
      <c r="C2972" s="1" t="str">
        <f>IF($B2972 = "Production Item", _xlfn.XLOOKUP($A2972, 'Instrument Table'!$J:$J, 'Instrument Table'!$B:$B, $C2971), IF($B2972 = "Service Item", _xlfn.XLOOKUP($A2972, 'Instrument Table'!$I:$I, 'Instrument Table'!$B:$B, $C2971), _xlfn.XLOOKUP($A2972, 'Instrument Table'!$H:$H, 'Instrument Table'!$B:$B, $C2971)))</f>
        <v>Snare Drum</v>
      </c>
      <c r="D2972" s="1" t="str">
        <f>VLOOKUP($C2972, 'Instrument Table'!$B:$C, 2, FALSE)</f>
        <v>Percussion</v>
      </c>
      <c r="E2972" s="1">
        <f t="shared" si="276"/>
        <v>1</v>
      </c>
      <c r="F2972" s="1">
        <f>_xlfn.XLOOKUP($C2972, 'Instrument Table'!$B:$B, 'Instrument Table'!$A:$A, "")</f>
        <v>50</v>
      </c>
      <c r="G2972" s="1" t="str">
        <f>TEXT(IF($B2972 = "Retail Item", IF((ROW($A2972) - 4504 - _xlfn.XMATCH($C2972, $C$4506:$C$5005, 0, 1)) &lt;= VLOOKUP($C2972, 'Instrument Table'!$B:$D, 3, FALSE), ROW($A2972) - 4504 - _xlfn.XMATCH($C2972, $C$4506:$C$5005, 0, 1), 0), 0), "00")</f>
        <v>00</v>
      </c>
      <c r="H2972" s="1" t="str">
        <f t="shared" si="277"/>
        <v>166</v>
      </c>
      <c r="I2972" s="1" t="str">
        <f t="shared" si="278"/>
        <v>15000-166</v>
      </c>
      <c r="J2972" s="1" t="str">
        <f t="shared" si="279"/>
        <v>Snare drum production item #166</v>
      </c>
      <c r="K2972" s="1" t="str">
        <f>IF(SUM(COUNTIFS(I:I, I2972)) &gt; 1, "DUPLICATE", "UNIQUE")</f>
        <v>UNIQUE</v>
      </c>
      <c r="L2972" s="18">
        <v>1</v>
      </c>
      <c r="M2972" s="28">
        <v>87</v>
      </c>
      <c r="N2972" s="6">
        <v>361</v>
      </c>
      <c r="O2972" s="30">
        <f t="shared" si="280"/>
        <v>87</v>
      </c>
      <c r="P2972" s="30">
        <f t="shared" si="281"/>
        <v>31407</v>
      </c>
      <c r="Q2972" s="1">
        <f>COUNTIFS($P:$P, "&gt;" &amp; $P2972) + 1</f>
        <v>661</v>
      </c>
      <c r="R2972" s="63">
        <f>(COUNTIFS($P:$P, "&gt;" &amp; $P2972) + 1) / (COUNTA($I:$I) - 1)</f>
        <v>0.13220000000000001</v>
      </c>
      <c r="S2972" s="23">
        <f>SUMIFS($P:$P, $Q:$Q, "&lt;" &amp; $Q2972)</f>
        <v>157894639</v>
      </c>
    </row>
    <row r="2973" spans="1:19" x14ac:dyDescent="0.25">
      <c r="A2973" s="1">
        <v>2968</v>
      </c>
      <c r="B2973" s="1" t="s">
        <v>2</v>
      </c>
      <c r="C2973" s="1" t="str">
        <f>IF($B2973 = "Production Item", _xlfn.XLOOKUP($A2973, 'Instrument Table'!$J:$J, 'Instrument Table'!$B:$B, $C2972), IF($B2973 = "Service Item", _xlfn.XLOOKUP($A2973, 'Instrument Table'!$I:$I, 'Instrument Table'!$B:$B, $C2972), _xlfn.XLOOKUP($A2973, 'Instrument Table'!$H:$H, 'Instrument Table'!$B:$B, $C2972)))</f>
        <v>Snare Drum</v>
      </c>
      <c r="D2973" s="1" t="str">
        <f>VLOOKUP($C2973, 'Instrument Table'!$B:$C, 2, FALSE)</f>
        <v>Percussion</v>
      </c>
      <c r="E2973" s="1">
        <f t="shared" si="276"/>
        <v>1</v>
      </c>
      <c r="F2973" s="1">
        <f>_xlfn.XLOOKUP($C2973, 'Instrument Table'!$B:$B, 'Instrument Table'!$A:$A, "")</f>
        <v>50</v>
      </c>
      <c r="G2973" s="1" t="str">
        <f>TEXT(IF($B2973 = "Retail Item", IF((ROW($A2973) - 4504 - _xlfn.XMATCH($C2973, $C$4506:$C$5005, 0, 1)) &lt;= VLOOKUP($C2973, 'Instrument Table'!$B:$D, 3, FALSE), ROW($A2973) - 4504 - _xlfn.XMATCH($C2973, $C$4506:$C$5005, 0, 1), 0), 0), "00")</f>
        <v>00</v>
      </c>
      <c r="H2973" s="1" t="str">
        <f t="shared" si="277"/>
        <v>167</v>
      </c>
      <c r="I2973" s="1" t="str">
        <f t="shared" si="278"/>
        <v>15000-167</v>
      </c>
      <c r="J2973" s="1" t="str">
        <f t="shared" si="279"/>
        <v>Snare drum production item #167</v>
      </c>
      <c r="K2973" s="1" t="str">
        <f>IF(SUM(COUNTIFS(I:I, I2973)) &gt; 1, "DUPLICATE", "UNIQUE")</f>
        <v>UNIQUE</v>
      </c>
      <c r="L2973" s="18">
        <v>1</v>
      </c>
      <c r="M2973" s="28">
        <v>39</v>
      </c>
      <c r="N2973" s="6">
        <v>4</v>
      </c>
      <c r="O2973" s="30">
        <f t="shared" si="280"/>
        <v>39</v>
      </c>
      <c r="P2973" s="30">
        <f t="shared" si="281"/>
        <v>156</v>
      </c>
      <c r="Q2973" s="1">
        <f>COUNTIFS($P:$P, "&gt;" &amp; $P2973) + 1</f>
        <v>4392</v>
      </c>
      <c r="R2973" s="63">
        <f>(COUNTIFS($P:$P, "&gt;" &amp; $P2973) + 1) / (COUNTA($I:$I) - 1)</f>
        <v>0.87839999999999996</v>
      </c>
      <c r="S2973" s="23">
        <f>SUMIFS($P:$P, $Q:$Q, "&lt;" &amp; $Q2973)</f>
        <v>186524808</v>
      </c>
    </row>
    <row r="2974" spans="1:19" x14ac:dyDescent="0.25">
      <c r="A2974" s="1">
        <v>2969</v>
      </c>
      <c r="B2974" s="1" t="s">
        <v>2</v>
      </c>
      <c r="C2974" s="1" t="str">
        <f>IF($B2974 = "Production Item", _xlfn.XLOOKUP($A2974, 'Instrument Table'!$J:$J, 'Instrument Table'!$B:$B, $C2973), IF($B2974 = "Service Item", _xlfn.XLOOKUP($A2974, 'Instrument Table'!$I:$I, 'Instrument Table'!$B:$B, $C2973), _xlfn.XLOOKUP($A2974, 'Instrument Table'!$H:$H, 'Instrument Table'!$B:$B, $C2973)))</f>
        <v>Snare Drum</v>
      </c>
      <c r="D2974" s="1" t="str">
        <f>VLOOKUP($C2974, 'Instrument Table'!$B:$C, 2, FALSE)</f>
        <v>Percussion</v>
      </c>
      <c r="E2974" s="1">
        <f t="shared" si="276"/>
        <v>1</v>
      </c>
      <c r="F2974" s="1">
        <f>_xlfn.XLOOKUP($C2974, 'Instrument Table'!$B:$B, 'Instrument Table'!$A:$A, "")</f>
        <v>50</v>
      </c>
      <c r="G2974" s="1" t="str">
        <f>TEXT(IF($B2974 = "Retail Item", IF((ROW($A2974) - 4504 - _xlfn.XMATCH($C2974, $C$4506:$C$5005, 0, 1)) &lt;= VLOOKUP($C2974, 'Instrument Table'!$B:$D, 3, FALSE), ROW($A2974) - 4504 - _xlfn.XMATCH($C2974, $C$4506:$C$5005, 0, 1), 0), 0), "00")</f>
        <v>00</v>
      </c>
      <c r="H2974" s="1" t="str">
        <f t="shared" si="277"/>
        <v>168</v>
      </c>
      <c r="I2974" s="1" t="str">
        <f t="shared" si="278"/>
        <v>15000-168</v>
      </c>
      <c r="J2974" s="1" t="str">
        <f t="shared" si="279"/>
        <v>Snare drum production item #168</v>
      </c>
      <c r="K2974" s="1" t="str">
        <f>IF(SUM(COUNTIFS(I:I, I2974)) &gt; 1, "DUPLICATE", "UNIQUE")</f>
        <v>UNIQUE</v>
      </c>
      <c r="L2974" s="18">
        <v>1</v>
      </c>
      <c r="M2974" s="28">
        <v>19</v>
      </c>
      <c r="N2974" s="6">
        <v>196</v>
      </c>
      <c r="O2974" s="30">
        <f t="shared" si="280"/>
        <v>19</v>
      </c>
      <c r="P2974" s="30">
        <f t="shared" si="281"/>
        <v>3724</v>
      </c>
      <c r="Q2974" s="1">
        <f>COUNTIFS($P:$P, "&gt;" &amp; $P2974) + 1</f>
        <v>2715</v>
      </c>
      <c r="R2974" s="63">
        <f>(COUNTIFS($P:$P, "&gt;" &amp; $P2974) + 1) / (COUNTA($I:$I) - 1)</f>
        <v>0.54300000000000004</v>
      </c>
      <c r="S2974" s="23">
        <f>SUMIFS($P:$P, $Q:$Q, "&lt;" &amp; $Q2974)</f>
        <v>184023078</v>
      </c>
    </row>
    <row r="2975" spans="1:19" x14ac:dyDescent="0.25">
      <c r="A2975" s="1">
        <v>2970</v>
      </c>
      <c r="B2975" s="1" t="s">
        <v>2</v>
      </c>
      <c r="C2975" s="1" t="str">
        <f>IF($B2975 = "Production Item", _xlfn.XLOOKUP($A2975, 'Instrument Table'!$J:$J, 'Instrument Table'!$B:$B, $C2974), IF($B2975 = "Service Item", _xlfn.XLOOKUP($A2975, 'Instrument Table'!$I:$I, 'Instrument Table'!$B:$B, $C2974), _xlfn.XLOOKUP($A2975, 'Instrument Table'!$H:$H, 'Instrument Table'!$B:$B, $C2974)))</f>
        <v>Snare Drum</v>
      </c>
      <c r="D2975" s="1" t="str">
        <f>VLOOKUP($C2975, 'Instrument Table'!$B:$C, 2, FALSE)</f>
        <v>Percussion</v>
      </c>
      <c r="E2975" s="1">
        <f t="shared" si="276"/>
        <v>1</v>
      </c>
      <c r="F2975" s="1">
        <f>_xlfn.XLOOKUP($C2975, 'Instrument Table'!$B:$B, 'Instrument Table'!$A:$A, "")</f>
        <v>50</v>
      </c>
      <c r="G2975" s="1" t="str">
        <f>TEXT(IF($B2975 = "Retail Item", IF((ROW($A2975) - 4504 - _xlfn.XMATCH($C2975, $C$4506:$C$5005, 0, 1)) &lt;= VLOOKUP($C2975, 'Instrument Table'!$B:$D, 3, FALSE), ROW($A2975) - 4504 - _xlfn.XMATCH($C2975, $C$4506:$C$5005, 0, 1), 0), 0), "00")</f>
        <v>00</v>
      </c>
      <c r="H2975" s="1" t="str">
        <f t="shared" si="277"/>
        <v>169</v>
      </c>
      <c r="I2975" s="1" t="str">
        <f t="shared" si="278"/>
        <v>15000-169</v>
      </c>
      <c r="J2975" s="1" t="str">
        <f t="shared" si="279"/>
        <v>Snare drum production item #169</v>
      </c>
      <c r="K2975" s="1" t="str">
        <f>IF(SUM(COUNTIFS(I:I, I2975)) &gt; 1, "DUPLICATE", "UNIQUE")</f>
        <v>UNIQUE</v>
      </c>
      <c r="L2975" s="18">
        <v>0</v>
      </c>
      <c r="M2975" s="28">
        <v>7</v>
      </c>
      <c r="N2975" s="6">
        <v>225</v>
      </c>
      <c r="O2975" s="30">
        <f t="shared" si="280"/>
        <v>0</v>
      </c>
      <c r="P2975" s="30">
        <f t="shared" si="281"/>
        <v>1575</v>
      </c>
      <c r="Q2975" s="1">
        <f>COUNTIFS($P:$P, "&gt;" &amp; $P2975) + 1</f>
        <v>3424</v>
      </c>
      <c r="R2975" s="63">
        <f>(COUNTIFS($P:$P, "&gt;" &amp; $P2975) + 1) / (COUNTA($I:$I) - 1)</f>
        <v>0.68479999999999996</v>
      </c>
      <c r="S2975" s="23">
        <f>SUMIFS($P:$P, $Q:$Q, "&lt;" &amp; $Q2975)</f>
        <v>185823279</v>
      </c>
    </row>
    <row r="2976" spans="1:19" x14ac:dyDescent="0.25">
      <c r="A2976" s="1">
        <v>2971</v>
      </c>
      <c r="B2976" s="1" t="s">
        <v>2</v>
      </c>
      <c r="C2976" s="1" t="str">
        <f>IF($B2976 = "Production Item", _xlfn.XLOOKUP($A2976, 'Instrument Table'!$J:$J, 'Instrument Table'!$B:$B, $C2975), IF($B2976 = "Service Item", _xlfn.XLOOKUP($A2976, 'Instrument Table'!$I:$I, 'Instrument Table'!$B:$B, $C2975), _xlfn.XLOOKUP($A2976, 'Instrument Table'!$H:$H, 'Instrument Table'!$B:$B, $C2975)))</f>
        <v>Snare Drum</v>
      </c>
      <c r="D2976" s="1" t="str">
        <f>VLOOKUP($C2976, 'Instrument Table'!$B:$C, 2, FALSE)</f>
        <v>Percussion</v>
      </c>
      <c r="E2976" s="1">
        <f t="shared" si="276"/>
        <v>1</v>
      </c>
      <c r="F2976" s="1">
        <f>_xlfn.XLOOKUP($C2976, 'Instrument Table'!$B:$B, 'Instrument Table'!$A:$A, "")</f>
        <v>50</v>
      </c>
      <c r="G2976" s="1" t="str">
        <f>TEXT(IF($B2976 = "Retail Item", IF((ROW($A2976) - 4504 - _xlfn.XMATCH($C2976, $C$4506:$C$5005, 0, 1)) &lt;= VLOOKUP($C2976, 'Instrument Table'!$B:$D, 3, FALSE), ROW($A2976) - 4504 - _xlfn.XMATCH($C2976, $C$4506:$C$5005, 0, 1), 0), 0), "00")</f>
        <v>00</v>
      </c>
      <c r="H2976" s="1" t="str">
        <f t="shared" si="277"/>
        <v>170</v>
      </c>
      <c r="I2976" s="1" t="str">
        <f t="shared" si="278"/>
        <v>15000-170</v>
      </c>
      <c r="J2976" s="1" t="str">
        <f t="shared" si="279"/>
        <v>Snare drum production item #170</v>
      </c>
      <c r="K2976" s="1" t="str">
        <f>IF(SUM(COUNTIFS(I:I, I2976)) &gt; 1, "DUPLICATE", "UNIQUE")</f>
        <v>UNIQUE</v>
      </c>
      <c r="L2976" s="18">
        <v>1</v>
      </c>
      <c r="M2976" s="28">
        <v>69</v>
      </c>
      <c r="N2976" s="6">
        <v>225</v>
      </c>
      <c r="O2976" s="30">
        <f t="shared" si="280"/>
        <v>69</v>
      </c>
      <c r="P2976" s="30">
        <f t="shared" si="281"/>
        <v>15525</v>
      </c>
      <c r="Q2976" s="1">
        <f>COUNTIFS($P:$P, "&gt;" &amp; $P2976) + 1</f>
        <v>1314</v>
      </c>
      <c r="R2976" s="63">
        <f>(COUNTIFS($P:$P, "&gt;" &amp; $P2976) + 1) / (COUNTA($I:$I) - 1)</f>
        <v>0.26279999999999998</v>
      </c>
      <c r="S2976" s="23">
        <f>SUMIFS($P:$P, $Q:$Q, "&lt;" &amp; $Q2976)</f>
        <v>172192415</v>
      </c>
    </row>
    <row r="2977" spans="1:19" x14ac:dyDescent="0.25">
      <c r="A2977" s="1">
        <v>2972</v>
      </c>
      <c r="B2977" s="1" t="s">
        <v>2</v>
      </c>
      <c r="C2977" s="1" t="str">
        <f>IF($B2977 = "Production Item", _xlfn.XLOOKUP($A2977, 'Instrument Table'!$J:$J, 'Instrument Table'!$B:$B, $C2976), IF($B2977 = "Service Item", _xlfn.XLOOKUP($A2977, 'Instrument Table'!$I:$I, 'Instrument Table'!$B:$B, $C2976), _xlfn.XLOOKUP($A2977, 'Instrument Table'!$H:$H, 'Instrument Table'!$B:$B, $C2976)))</f>
        <v>Snare Drum</v>
      </c>
      <c r="D2977" s="1" t="str">
        <f>VLOOKUP($C2977, 'Instrument Table'!$B:$C, 2, FALSE)</f>
        <v>Percussion</v>
      </c>
      <c r="E2977" s="1">
        <f t="shared" si="276"/>
        <v>1</v>
      </c>
      <c r="F2977" s="1">
        <f>_xlfn.XLOOKUP($C2977, 'Instrument Table'!$B:$B, 'Instrument Table'!$A:$A, "")</f>
        <v>50</v>
      </c>
      <c r="G2977" s="1" t="str">
        <f>TEXT(IF($B2977 = "Retail Item", IF((ROW($A2977) - 4504 - _xlfn.XMATCH($C2977, $C$4506:$C$5005, 0, 1)) &lt;= VLOOKUP($C2977, 'Instrument Table'!$B:$D, 3, FALSE), ROW($A2977) - 4504 - _xlfn.XMATCH($C2977, $C$4506:$C$5005, 0, 1), 0), 0), "00")</f>
        <v>00</v>
      </c>
      <c r="H2977" s="1" t="str">
        <f t="shared" si="277"/>
        <v>171</v>
      </c>
      <c r="I2977" s="1" t="str">
        <f t="shared" si="278"/>
        <v>15000-171</v>
      </c>
      <c r="J2977" s="1" t="str">
        <f t="shared" si="279"/>
        <v>Snare drum production item #171</v>
      </c>
      <c r="K2977" s="1" t="str">
        <f>IF(SUM(COUNTIFS(I:I, I2977)) &gt; 1, "DUPLICATE", "UNIQUE")</f>
        <v>UNIQUE</v>
      </c>
      <c r="L2977" s="18">
        <v>1</v>
      </c>
      <c r="M2977" s="28">
        <v>39</v>
      </c>
      <c r="N2977" s="6">
        <v>64</v>
      </c>
      <c r="O2977" s="30">
        <f t="shared" si="280"/>
        <v>39</v>
      </c>
      <c r="P2977" s="30">
        <f t="shared" si="281"/>
        <v>2496</v>
      </c>
      <c r="Q2977" s="1">
        <f>COUNTIFS($P:$P, "&gt;" &amp; $P2977) + 1</f>
        <v>3053</v>
      </c>
      <c r="R2977" s="63">
        <f>(COUNTIFS($P:$P, "&gt;" &amp; $P2977) + 1) / (COUNTA($I:$I) - 1)</f>
        <v>0.61060000000000003</v>
      </c>
      <c r="S2977" s="23">
        <f>SUMIFS($P:$P, $Q:$Q, "&lt;" &amp; $Q2977)</f>
        <v>185068046</v>
      </c>
    </row>
    <row r="2978" spans="1:19" x14ac:dyDescent="0.25">
      <c r="A2978" s="1">
        <v>2973</v>
      </c>
      <c r="B2978" s="1" t="s">
        <v>2</v>
      </c>
      <c r="C2978" s="1" t="str">
        <f>IF($B2978 = "Production Item", _xlfn.XLOOKUP($A2978, 'Instrument Table'!$J:$J, 'Instrument Table'!$B:$B, $C2977), IF($B2978 = "Service Item", _xlfn.XLOOKUP($A2978, 'Instrument Table'!$I:$I, 'Instrument Table'!$B:$B, $C2977), _xlfn.XLOOKUP($A2978, 'Instrument Table'!$H:$H, 'Instrument Table'!$B:$B, $C2977)))</f>
        <v>Snare Drum</v>
      </c>
      <c r="D2978" s="1" t="str">
        <f>VLOOKUP($C2978, 'Instrument Table'!$B:$C, 2, FALSE)</f>
        <v>Percussion</v>
      </c>
      <c r="E2978" s="1">
        <f t="shared" si="276"/>
        <v>1</v>
      </c>
      <c r="F2978" s="1">
        <f>_xlfn.XLOOKUP($C2978, 'Instrument Table'!$B:$B, 'Instrument Table'!$A:$A, "")</f>
        <v>50</v>
      </c>
      <c r="G2978" s="1" t="str">
        <f>TEXT(IF($B2978 = "Retail Item", IF((ROW($A2978) - 4504 - _xlfn.XMATCH($C2978, $C$4506:$C$5005, 0, 1)) &lt;= VLOOKUP($C2978, 'Instrument Table'!$B:$D, 3, FALSE), ROW($A2978) - 4504 - _xlfn.XMATCH($C2978, $C$4506:$C$5005, 0, 1), 0), 0), "00")</f>
        <v>00</v>
      </c>
      <c r="H2978" s="1" t="str">
        <f t="shared" si="277"/>
        <v>172</v>
      </c>
      <c r="I2978" s="1" t="str">
        <f t="shared" si="278"/>
        <v>15000-172</v>
      </c>
      <c r="J2978" s="1" t="str">
        <f t="shared" si="279"/>
        <v>Snare drum production item #172</v>
      </c>
      <c r="K2978" s="1" t="str">
        <f>IF(SUM(COUNTIFS(I:I, I2978)) &gt; 1, "DUPLICATE", "UNIQUE")</f>
        <v>UNIQUE</v>
      </c>
      <c r="L2978" s="18">
        <v>0</v>
      </c>
      <c r="M2978" s="28">
        <v>67</v>
      </c>
      <c r="N2978" s="6">
        <v>225</v>
      </c>
      <c r="O2978" s="30">
        <f t="shared" si="280"/>
        <v>0</v>
      </c>
      <c r="P2978" s="30">
        <f t="shared" si="281"/>
        <v>15075</v>
      </c>
      <c r="Q2978" s="1">
        <f>COUNTIFS($P:$P, "&gt;" &amp; $P2978) + 1</f>
        <v>1345</v>
      </c>
      <c r="R2978" s="63">
        <f>(COUNTIFS($P:$P, "&gt;" &amp; $P2978) + 1) / (COUNTA($I:$I) - 1)</f>
        <v>0.26900000000000002</v>
      </c>
      <c r="S2978" s="23">
        <f>SUMIFS($P:$P, $Q:$Q, "&lt;" &amp; $Q2978)</f>
        <v>172667626</v>
      </c>
    </row>
    <row r="2979" spans="1:19" x14ac:dyDescent="0.25">
      <c r="A2979" s="1">
        <v>2974</v>
      </c>
      <c r="B2979" s="1" t="s">
        <v>2</v>
      </c>
      <c r="C2979" s="1" t="str">
        <f>IF($B2979 = "Production Item", _xlfn.XLOOKUP($A2979, 'Instrument Table'!$J:$J, 'Instrument Table'!$B:$B, $C2978), IF($B2979 = "Service Item", _xlfn.XLOOKUP($A2979, 'Instrument Table'!$I:$I, 'Instrument Table'!$B:$B, $C2978), _xlfn.XLOOKUP($A2979, 'Instrument Table'!$H:$H, 'Instrument Table'!$B:$B, $C2978)))</f>
        <v>Snare Drum</v>
      </c>
      <c r="D2979" s="1" t="str">
        <f>VLOOKUP($C2979, 'Instrument Table'!$B:$C, 2, FALSE)</f>
        <v>Percussion</v>
      </c>
      <c r="E2979" s="1">
        <f t="shared" si="276"/>
        <v>1</v>
      </c>
      <c r="F2979" s="1">
        <f>_xlfn.XLOOKUP($C2979, 'Instrument Table'!$B:$B, 'Instrument Table'!$A:$A, "")</f>
        <v>50</v>
      </c>
      <c r="G2979" s="1" t="str">
        <f>TEXT(IF($B2979 = "Retail Item", IF((ROW($A2979) - 4504 - _xlfn.XMATCH($C2979, $C$4506:$C$5005, 0, 1)) &lt;= VLOOKUP($C2979, 'Instrument Table'!$B:$D, 3, FALSE), ROW($A2979) - 4504 - _xlfn.XMATCH($C2979, $C$4506:$C$5005, 0, 1), 0), 0), "00")</f>
        <v>00</v>
      </c>
      <c r="H2979" s="1" t="str">
        <f t="shared" si="277"/>
        <v>173</v>
      </c>
      <c r="I2979" s="1" t="str">
        <f t="shared" si="278"/>
        <v>15000-173</v>
      </c>
      <c r="J2979" s="1" t="str">
        <f t="shared" si="279"/>
        <v>Snare drum production item #173</v>
      </c>
      <c r="K2979" s="1" t="str">
        <f>IF(SUM(COUNTIFS(I:I, I2979)) &gt; 1, "DUPLICATE", "UNIQUE")</f>
        <v>UNIQUE</v>
      </c>
      <c r="L2979" s="18">
        <v>0</v>
      </c>
      <c r="M2979" s="28">
        <v>14</v>
      </c>
      <c r="N2979" s="6">
        <v>256</v>
      </c>
      <c r="O2979" s="30">
        <f t="shared" si="280"/>
        <v>0</v>
      </c>
      <c r="P2979" s="30">
        <f t="shared" si="281"/>
        <v>3584</v>
      </c>
      <c r="Q2979" s="1">
        <f>COUNTIFS($P:$P, "&gt;" &amp; $P2979) + 1</f>
        <v>2747</v>
      </c>
      <c r="R2979" s="63">
        <f>(COUNTIFS($P:$P, "&gt;" &amp; $P2979) + 1) / (COUNTA($I:$I) - 1)</f>
        <v>0.5494</v>
      </c>
      <c r="S2979" s="23">
        <f>SUMIFS($P:$P, $Q:$Q, "&lt;" &amp; $Q2979)</f>
        <v>184140041</v>
      </c>
    </row>
    <row r="2980" spans="1:19" x14ac:dyDescent="0.25">
      <c r="A2980" s="1">
        <v>2975</v>
      </c>
      <c r="B2980" s="1" t="s">
        <v>2</v>
      </c>
      <c r="C2980" s="1" t="str">
        <f>IF($B2980 = "Production Item", _xlfn.XLOOKUP($A2980, 'Instrument Table'!$J:$J, 'Instrument Table'!$B:$B, $C2979), IF($B2980 = "Service Item", _xlfn.XLOOKUP($A2980, 'Instrument Table'!$I:$I, 'Instrument Table'!$B:$B, $C2979), _xlfn.XLOOKUP($A2980, 'Instrument Table'!$H:$H, 'Instrument Table'!$B:$B, $C2979)))</f>
        <v>Snare Drum</v>
      </c>
      <c r="D2980" s="1" t="str">
        <f>VLOOKUP($C2980, 'Instrument Table'!$B:$C, 2, FALSE)</f>
        <v>Percussion</v>
      </c>
      <c r="E2980" s="1">
        <f t="shared" si="276"/>
        <v>1</v>
      </c>
      <c r="F2980" s="1">
        <f>_xlfn.XLOOKUP($C2980, 'Instrument Table'!$B:$B, 'Instrument Table'!$A:$A, "")</f>
        <v>50</v>
      </c>
      <c r="G2980" s="1" t="str">
        <f>TEXT(IF($B2980 = "Retail Item", IF((ROW($A2980) - 4504 - _xlfn.XMATCH($C2980, $C$4506:$C$5005, 0, 1)) &lt;= VLOOKUP($C2980, 'Instrument Table'!$B:$D, 3, FALSE), ROW($A2980) - 4504 - _xlfn.XMATCH($C2980, $C$4506:$C$5005, 0, 1), 0), 0), "00")</f>
        <v>00</v>
      </c>
      <c r="H2980" s="1" t="str">
        <f t="shared" si="277"/>
        <v>174</v>
      </c>
      <c r="I2980" s="1" t="str">
        <f t="shared" si="278"/>
        <v>15000-174</v>
      </c>
      <c r="J2980" s="1" t="str">
        <f t="shared" si="279"/>
        <v>Snare drum production item #174</v>
      </c>
      <c r="K2980" s="1" t="str">
        <f>IF(SUM(COUNTIFS(I:I, I2980)) &gt; 1, "DUPLICATE", "UNIQUE")</f>
        <v>UNIQUE</v>
      </c>
      <c r="L2980" s="18">
        <v>16</v>
      </c>
      <c r="M2980" s="28">
        <v>26</v>
      </c>
      <c r="N2980" s="6">
        <v>0</v>
      </c>
      <c r="O2980" s="30">
        <f t="shared" si="280"/>
        <v>416</v>
      </c>
      <c r="P2980" s="30">
        <f t="shared" si="281"/>
        <v>0</v>
      </c>
      <c r="Q2980" s="1">
        <f>COUNTIFS($P:$P, "&gt;" &amp; $P2980) + 1</f>
        <v>4746</v>
      </c>
      <c r="R2980" s="63">
        <f>(COUNTIFS($P:$P, "&gt;" &amp; $P2980) + 1) / (COUNTA($I:$I) - 1)</f>
        <v>0.94920000000000004</v>
      </c>
      <c r="S2980" s="23">
        <f>SUMIFS($P:$P, $Q:$Q, "&lt;" &amp; $Q2980)</f>
        <v>186547861</v>
      </c>
    </row>
    <row r="2981" spans="1:19" x14ac:dyDescent="0.25">
      <c r="A2981" s="1">
        <v>2976</v>
      </c>
      <c r="B2981" s="1" t="s">
        <v>2</v>
      </c>
      <c r="C2981" s="1" t="str">
        <f>IF($B2981 = "Production Item", _xlfn.XLOOKUP($A2981, 'Instrument Table'!$J:$J, 'Instrument Table'!$B:$B, $C2980), IF($B2981 = "Service Item", _xlfn.XLOOKUP($A2981, 'Instrument Table'!$I:$I, 'Instrument Table'!$B:$B, $C2980), _xlfn.XLOOKUP($A2981, 'Instrument Table'!$H:$H, 'Instrument Table'!$B:$B, $C2980)))</f>
        <v>Snare Drum</v>
      </c>
      <c r="D2981" s="1" t="str">
        <f>VLOOKUP($C2981, 'Instrument Table'!$B:$C, 2, FALSE)</f>
        <v>Percussion</v>
      </c>
      <c r="E2981" s="1">
        <f t="shared" si="276"/>
        <v>1</v>
      </c>
      <c r="F2981" s="1">
        <f>_xlfn.XLOOKUP($C2981, 'Instrument Table'!$B:$B, 'Instrument Table'!$A:$A, "")</f>
        <v>50</v>
      </c>
      <c r="G2981" s="1" t="str">
        <f>TEXT(IF($B2981 = "Retail Item", IF((ROW($A2981) - 4504 - _xlfn.XMATCH($C2981, $C$4506:$C$5005, 0, 1)) &lt;= VLOOKUP($C2981, 'Instrument Table'!$B:$D, 3, FALSE), ROW($A2981) - 4504 - _xlfn.XMATCH($C2981, $C$4506:$C$5005, 0, 1), 0), 0), "00")</f>
        <v>00</v>
      </c>
      <c r="H2981" s="1" t="str">
        <f t="shared" si="277"/>
        <v>175</v>
      </c>
      <c r="I2981" s="1" t="str">
        <f t="shared" si="278"/>
        <v>15000-175</v>
      </c>
      <c r="J2981" s="1" t="str">
        <f t="shared" si="279"/>
        <v>Snare drum production item #175</v>
      </c>
      <c r="K2981" s="1" t="str">
        <f>IF(SUM(COUNTIFS(I:I, I2981)) &gt; 1, "DUPLICATE", "UNIQUE")</f>
        <v>UNIQUE</v>
      </c>
      <c r="L2981" s="18">
        <v>2</v>
      </c>
      <c r="M2981" s="28">
        <v>31</v>
      </c>
      <c r="N2981" s="6">
        <v>169</v>
      </c>
      <c r="O2981" s="30">
        <f t="shared" si="280"/>
        <v>62</v>
      </c>
      <c r="P2981" s="30">
        <f t="shared" si="281"/>
        <v>5239</v>
      </c>
      <c r="Q2981" s="1">
        <f>COUNTIFS($P:$P, "&gt;" &amp; $P2981) + 1</f>
        <v>2397</v>
      </c>
      <c r="R2981" s="63">
        <f>(COUNTIFS($P:$P, "&gt;" &amp; $P2981) + 1) / (COUNTA($I:$I) - 1)</f>
        <v>0.47939999999999999</v>
      </c>
      <c r="S2981" s="23">
        <f>SUMIFS($P:$P, $Q:$Q, "&lt;" &amp; $Q2981)</f>
        <v>182600803</v>
      </c>
    </row>
    <row r="2982" spans="1:19" x14ac:dyDescent="0.25">
      <c r="A2982" s="1">
        <v>2977</v>
      </c>
      <c r="B2982" s="1" t="s">
        <v>2</v>
      </c>
      <c r="C2982" s="1" t="str">
        <f>IF($B2982 = "Production Item", _xlfn.XLOOKUP($A2982, 'Instrument Table'!$J:$J, 'Instrument Table'!$B:$B, $C2981), IF($B2982 = "Service Item", _xlfn.XLOOKUP($A2982, 'Instrument Table'!$I:$I, 'Instrument Table'!$B:$B, $C2981), _xlfn.XLOOKUP($A2982, 'Instrument Table'!$H:$H, 'Instrument Table'!$B:$B, $C2981)))</f>
        <v>Snare Drum</v>
      </c>
      <c r="D2982" s="1" t="str">
        <f>VLOOKUP($C2982, 'Instrument Table'!$B:$C, 2, FALSE)</f>
        <v>Percussion</v>
      </c>
      <c r="E2982" s="1">
        <f t="shared" si="276"/>
        <v>1</v>
      </c>
      <c r="F2982" s="1">
        <f>_xlfn.XLOOKUP($C2982, 'Instrument Table'!$B:$B, 'Instrument Table'!$A:$A, "")</f>
        <v>50</v>
      </c>
      <c r="G2982" s="1" t="str">
        <f>TEXT(IF($B2982 = "Retail Item", IF((ROW($A2982) - 4504 - _xlfn.XMATCH($C2982, $C$4506:$C$5005, 0, 1)) &lt;= VLOOKUP($C2982, 'Instrument Table'!$B:$D, 3, FALSE), ROW($A2982) - 4504 - _xlfn.XMATCH($C2982, $C$4506:$C$5005, 0, 1), 0), 0), "00")</f>
        <v>00</v>
      </c>
      <c r="H2982" s="1" t="str">
        <f t="shared" si="277"/>
        <v>176</v>
      </c>
      <c r="I2982" s="1" t="str">
        <f t="shared" si="278"/>
        <v>15000-176</v>
      </c>
      <c r="J2982" s="1" t="str">
        <f t="shared" si="279"/>
        <v>Snare drum production item #176</v>
      </c>
      <c r="K2982" s="1" t="str">
        <f>IF(SUM(COUNTIFS(I:I, I2982)) &gt; 1, "DUPLICATE", "UNIQUE")</f>
        <v>UNIQUE</v>
      </c>
      <c r="L2982" s="18">
        <v>1</v>
      </c>
      <c r="M2982" s="28">
        <v>76</v>
      </c>
      <c r="N2982" s="6">
        <v>400</v>
      </c>
      <c r="O2982" s="30">
        <f t="shared" si="280"/>
        <v>76</v>
      </c>
      <c r="P2982" s="30">
        <f t="shared" si="281"/>
        <v>30400</v>
      </c>
      <c r="Q2982" s="1">
        <f>COUNTIFS($P:$P, "&gt;" &amp; $P2982) + 1</f>
        <v>683</v>
      </c>
      <c r="R2982" s="63">
        <f>(COUNTIFS($P:$P, "&gt;" &amp; $P2982) + 1) / (COUNTA($I:$I) - 1)</f>
        <v>0.1366</v>
      </c>
      <c r="S2982" s="23">
        <f>SUMIFS($P:$P, $Q:$Q, "&lt;" &amp; $Q2982)</f>
        <v>158577145</v>
      </c>
    </row>
    <row r="2983" spans="1:19" x14ac:dyDescent="0.25">
      <c r="A2983" s="1">
        <v>2978</v>
      </c>
      <c r="B2983" s="1" t="s">
        <v>2</v>
      </c>
      <c r="C2983" s="1" t="str">
        <f>IF($B2983 = "Production Item", _xlfn.XLOOKUP($A2983, 'Instrument Table'!$J:$J, 'Instrument Table'!$B:$B, $C2982), IF($B2983 = "Service Item", _xlfn.XLOOKUP($A2983, 'Instrument Table'!$I:$I, 'Instrument Table'!$B:$B, $C2982), _xlfn.XLOOKUP($A2983, 'Instrument Table'!$H:$H, 'Instrument Table'!$B:$B, $C2982)))</f>
        <v>Snare Drum</v>
      </c>
      <c r="D2983" s="1" t="str">
        <f>VLOOKUP($C2983, 'Instrument Table'!$B:$C, 2, FALSE)</f>
        <v>Percussion</v>
      </c>
      <c r="E2983" s="1">
        <f t="shared" si="276"/>
        <v>1</v>
      </c>
      <c r="F2983" s="1">
        <f>_xlfn.XLOOKUP($C2983, 'Instrument Table'!$B:$B, 'Instrument Table'!$A:$A, "")</f>
        <v>50</v>
      </c>
      <c r="G2983" s="1" t="str">
        <f>TEXT(IF($B2983 = "Retail Item", IF((ROW($A2983) - 4504 - _xlfn.XMATCH($C2983, $C$4506:$C$5005, 0, 1)) &lt;= VLOOKUP($C2983, 'Instrument Table'!$B:$D, 3, FALSE), ROW($A2983) - 4504 - _xlfn.XMATCH($C2983, $C$4506:$C$5005, 0, 1), 0), 0), "00")</f>
        <v>00</v>
      </c>
      <c r="H2983" s="1" t="str">
        <f t="shared" si="277"/>
        <v>177</v>
      </c>
      <c r="I2983" s="1" t="str">
        <f t="shared" si="278"/>
        <v>15000-177</v>
      </c>
      <c r="J2983" s="1" t="str">
        <f t="shared" si="279"/>
        <v>Snare drum production item #177</v>
      </c>
      <c r="K2983" s="1" t="str">
        <f>IF(SUM(COUNTIFS(I:I, I2983)) &gt; 1, "DUPLICATE", "UNIQUE")</f>
        <v>UNIQUE</v>
      </c>
      <c r="L2983" s="18">
        <v>1</v>
      </c>
      <c r="M2983" s="28">
        <v>67</v>
      </c>
      <c r="N2983" s="6">
        <v>289</v>
      </c>
      <c r="O2983" s="30">
        <f t="shared" si="280"/>
        <v>67</v>
      </c>
      <c r="P2983" s="30">
        <f t="shared" si="281"/>
        <v>19363</v>
      </c>
      <c r="Q2983" s="1">
        <f>COUNTIFS($P:$P, "&gt;" &amp; $P2983) + 1</f>
        <v>1086</v>
      </c>
      <c r="R2983" s="63">
        <f>(COUNTIFS($P:$P, "&gt;" &amp; $P2983) + 1) / (COUNTA($I:$I) - 1)</f>
        <v>0.2172</v>
      </c>
      <c r="S2983" s="23">
        <f>SUMIFS($P:$P, $Q:$Q, "&lt;" &amp; $Q2983)</f>
        <v>168235057</v>
      </c>
    </row>
    <row r="2984" spans="1:19" x14ac:dyDescent="0.25">
      <c r="A2984" s="1">
        <v>2979</v>
      </c>
      <c r="B2984" s="1" t="s">
        <v>2</v>
      </c>
      <c r="C2984" s="1" t="str">
        <f>IF($B2984 = "Production Item", _xlfn.XLOOKUP($A2984, 'Instrument Table'!$J:$J, 'Instrument Table'!$B:$B, $C2983), IF($B2984 = "Service Item", _xlfn.XLOOKUP($A2984, 'Instrument Table'!$I:$I, 'Instrument Table'!$B:$B, $C2983), _xlfn.XLOOKUP($A2984, 'Instrument Table'!$H:$H, 'Instrument Table'!$B:$B, $C2983)))</f>
        <v>Snare Drum</v>
      </c>
      <c r="D2984" s="1" t="str">
        <f>VLOOKUP($C2984, 'Instrument Table'!$B:$C, 2, FALSE)</f>
        <v>Percussion</v>
      </c>
      <c r="E2984" s="1">
        <f t="shared" si="276"/>
        <v>1</v>
      </c>
      <c r="F2984" s="1">
        <f>_xlfn.XLOOKUP($C2984, 'Instrument Table'!$B:$B, 'Instrument Table'!$A:$A, "")</f>
        <v>50</v>
      </c>
      <c r="G2984" s="1" t="str">
        <f>TEXT(IF($B2984 = "Retail Item", IF((ROW($A2984) - 4504 - _xlfn.XMATCH($C2984, $C$4506:$C$5005, 0, 1)) &lt;= VLOOKUP($C2984, 'Instrument Table'!$B:$D, 3, FALSE), ROW($A2984) - 4504 - _xlfn.XMATCH($C2984, $C$4506:$C$5005, 0, 1), 0), 0), "00")</f>
        <v>00</v>
      </c>
      <c r="H2984" s="1" t="str">
        <f t="shared" si="277"/>
        <v>178</v>
      </c>
      <c r="I2984" s="1" t="str">
        <f t="shared" si="278"/>
        <v>15000-178</v>
      </c>
      <c r="J2984" s="1" t="str">
        <f t="shared" si="279"/>
        <v>Snare drum production item #178</v>
      </c>
      <c r="K2984" s="1" t="str">
        <f>IF(SUM(COUNTIFS(I:I, I2984)) &gt; 1, "DUPLICATE", "UNIQUE")</f>
        <v>UNIQUE</v>
      </c>
      <c r="L2984" s="18">
        <v>8</v>
      </c>
      <c r="M2984" s="28">
        <v>61</v>
      </c>
      <c r="N2984" s="6">
        <v>121</v>
      </c>
      <c r="O2984" s="30">
        <f t="shared" si="280"/>
        <v>488</v>
      </c>
      <c r="P2984" s="30">
        <f t="shared" si="281"/>
        <v>7381</v>
      </c>
      <c r="Q2984" s="1">
        <f>COUNTIFS($P:$P, "&gt;" &amp; $P2984) + 1</f>
        <v>2090</v>
      </c>
      <c r="R2984" s="63">
        <f>(COUNTIFS($P:$P, "&gt;" &amp; $P2984) + 1) / (COUNTA($I:$I) - 1)</f>
        <v>0.41799999999999998</v>
      </c>
      <c r="S2984" s="23">
        <f>SUMIFS($P:$P, $Q:$Q, "&lt;" &amp; $Q2984)</f>
        <v>180685441</v>
      </c>
    </row>
    <row r="2985" spans="1:19" x14ac:dyDescent="0.25">
      <c r="A2985" s="1">
        <v>2980</v>
      </c>
      <c r="B2985" s="1" t="s">
        <v>2</v>
      </c>
      <c r="C2985" s="1" t="str">
        <f>IF($B2985 = "Production Item", _xlfn.XLOOKUP($A2985, 'Instrument Table'!$J:$J, 'Instrument Table'!$B:$B, $C2984), IF($B2985 = "Service Item", _xlfn.XLOOKUP($A2985, 'Instrument Table'!$I:$I, 'Instrument Table'!$B:$B, $C2984), _xlfn.XLOOKUP($A2985, 'Instrument Table'!$H:$H, 'Instrument Table'!$B:$B, $C2984)))</f>
        <v>Snare Drum</v>
      </c>
      <c r="D2985" s="1" t="str">
        <f>VLOOKUP($C2985, 'Instrument Table'!$B:$C, 2, FALSE)</f>
        <v>Percussion</v>
      </c>
      <c r="E2985" s="1">
        <f t="shared" si="276"/>
        <v>1</v>
      </c>
      <c r="F2985" s="1">
        <f>_xlfn.XLOOKUP($C2985, 'Instrument Table'!$B:$B, 'Instrument Table'!$A:$A, "")</f>
        <v>50</v>
      </c>
      <c r="G2985" s="1" t="str">
        <f>TEXT(IF($B2985 = "Retail Item", IF((ROW($A2985) - 4504 - _xlfn.XMATCH($C2985, $C$4506:$C$5005, 0, 1)) &lt;= VLOOKUP($C2985, 'Instrument Table'!$B:$D, 3, FALSE), ROW($A2985) - 4504 - _xlfn.XMATCH($C2985, $C$4506:$C$5005, 0, 1), 0), 0), "00")</f>
        <v>00</v>
      </c>
      <c r="H2985" s="1" t="str">
        <f t="shared" si="277"/>
        <v>179</v>
      </c>
      <c r="I2985" s="1" t="str">
        <f t="shared" si="278"/>
        <v>15000-179</v>
      </c>
      <c r="J2985" s="1" t="str">
        <f t="shared" si="279"/>
        <v>Snare drum production item #179</v>
      </c>
      <c r="K2985" s="1" t="str">
        <f>IF(SUM(COUNTIFS(I:I, I2985)) &gt; 1, "DUPLICATE", "UNIQUE")</f>
        <v>UNIQUE</v>
      </c>
      <c r="L2985" s="18">
        <v>0</v>
      </c>
      <c r="M2985" s="28">
        <v>74</v>
      </c>
      <c r="N2985" s="6">
        <v>100</v>
      </c>
      <c r="O2985" s="30">
        <f t="shared" si="280"/>
        <v>0</v>
      </c>
      <c r="P2985" s="30">
        <f t="shared" si="281"/>
        <v>7400</v>
      </c>
      <c r="Q2985" s="1">
        <f>COUNTIFS($P:$P, "&gt;" &amp; $P2985) + 1</f>
        <v>2082</v>
      </c>
      <c r="R2985" s="63">
        <f>(COUNTIFS($P:$P, "&gt;" &amp; $P2985) + 1) / (COUNTA($I:$I) - 1)</f>
        <v>0.41639999999999999</v>
      </c>
      <c r="S2985" s="23">
        <f>SUMIFS($P:$P, $Q:$Q, "&lt;" &amp; $Q2985)</f>
        <v>180626249</v>
      </c>
    </row>
    <row r="2986" spans="1:19" x14ac:dyDescent="0.25">
      <c r="A2986" s="1">
        <v>2981</v>
      </c>
      <c r="B2986" s="1" t="s">
        <v>2</v>
      </c>
      <c r="C2986" s="1" t="str">
        <f>IF($B2986 = "Production Item", _xlfn.XLOOKUP($A2986, 'Instrument Table'!$J:$J, 'Instrument Table'!$B:$B, $C2985), IF($B2986 = "Service Item", _xlfn.XLOOKUP($A2986, 'Instrument Table'!$I:$I, 'Instrument Table'!$B:$B, $C2985), _xlfn.XLOOKUP($A2986, 'Instrument Table'!$H:$H, 'Instrument Table'!$B:$B, $C2985)))</f>
        <v>Snare Drum</v>
      </c>
      <c r="D2986" s="1" t="str">
        <f>VLOOKUP($C2986, 'Instrument Table'!$B:$C, 2, FALSE)</f>
        <v>Percussion</v>
      </c>
      <c r="E2986" s="1">
        <f t="shared" si="276"/>
        <v>1</v>
      </c>
      <c r="F2986" s="1">
        <f>_xlfn.XLOOKUP($C2986, 'Instrument Table'!$B:$B, 'Instrument Table'!$A:$A, "")</f>
        <v>50</v>
      </c>
      <c r="G2986" s="1" t="str">
        <f>TEXT(IF($B2986 = "Retail Item", IF((ROW($A2986) - 4504 - _xlfn.XMATCH($C2986, $C$4506:$C$5005, 0, 1)) &lt;= VLOOKUP($C2986, 'Instrument Table'!$B:$D, 3, FALSE), ROW($A2986) - 4504 - _xlfn.XMATCH($C2986, $C$4506:$C$5005, 0, 1), 0), 0), "00")</f>
        <v>00</v>
      </c>
      <c r="H2986" s="1" t="str">
        <f t="shared" si="277"/>
        <v>180</v>
      </c>
      <c r="I2986" s="1" t="str">
        <f t="shared" si="278"/>
        <v>15000-180</v>
      </c>
      <c r="J2986" s="1" t="str">
        <f t="shared" si="279"/>
        <v>Snare drum production item #180</v>
      </c>
      <c r="K2986" s="1" t="str">
        <f>IF(SUM(COUNTIFS(I:I, I2986)) &gt; 1, "DUPLICATE", "UNIQUE")</f>
        <v>UNIQUE</v>
      </c>
      <c r="L2986" s="18">
        <v>1</v>
      </c>
      <c r="M2986" s="28">
        <v>84</v>
      </c>
      <c r="N2986" s="6">
        <v>64</v>
      </c>
      <c r="O2986" s="30">
        <f t="shared" si="280"/>
        <v>84</v>
      </c>
      <c r="P2986" s="30">
        <f t="shared" si="281"/>
        <v>5376</v>
      </c>
      <c r="Q2986" s="1">
        <f>COUNTIFS($P:$P, "&gt;" &amp; $P2986) + 1</f>
        <v>2375</v>
      </c>
      <c r="R2986" s="63">
        <f>(COUNTIFS($P:$P, "&gt;" &amp; $P2986) + 1) / (COUNTA($I:$I) - 1)</f>
        <v>0.47499999999999998</v>
      </c>
      <c r="S2986" s="23">
        <f>SUMIFS($P:$P, $Q:$Q, "&lt;" &amp; $Q2986)</f>
        <v>182483955</v>
      </c>
    </row>
    <row r="2987" spans="1:19" x14ac:dyDescent="0.25">
      <c r="A2987" s="1">
        <v>2982</v>
      </c>
      <c r="B2987" s="1" t="s">
        <v>2</v>
      </c>
      <c r="C2987" s="1" t="str">
        <f>IF($B2987 = "Production Item", _xlfn.XLOOKUP($A2987, 'Instrument Table'!$J:$J, 'Instrument Table'!$B:$B, $C2986), IF($B2987 = "Service Item", _xlfn.XLOOKUP($A2987, 'Instrument Table'!$I:$I, 'Instrument Table'!$B:$B, $C2986), _xlfn.XLOOKUP($A2987, 'Instrument Table'!$H:$H, 'Instrument Table'!$B:$B, $C2986)))</f>
        <v>Snare Drum</v>
      </c>
      <c r="D2987" s="1" t="str">
        <f>VLOOKUP($C2987, 'Instrument Table'!$B:$C, 2, FALSE)</f>
        <v>Percussion</v>
      </c>
      <c r="E2987" s="1">
        <f t="shared" si="276"/>
        <v>1</v>
      </c>
      <c r="F2987" s="1">
        <f>_xlfn.XLOOKUP($C2987, 'Instrument Table'!$B:$B, 'Instrument Table'!$A:$A, "")</f>
        <v>50</v>
      </c>
      <c r="G2987" s="1" t="str">
        <f>TEXT(IF($B2987 = "Retail Item", IF((ROW($A2987) - 4504 - _xlfn.XMATCH($C2987, $C$4506:$C$5005, 0, 1)) &lt;= VLOOKUP($C2987, 'Instrument Table'!$B:$D, 3, FALSE), ROW($A2987) - 4504 - _xlfn.XMATCH($C2987, $C$4506:$C$5005, 0, 1), 0), 0), "00")</f>
        <v>00</v>
      </c>
      <c r="H2987" s="1" t="str">
        <f t="shared" si="277"/>
        <v>181</v>
      </c>
      <c r="I2987" s="1" t="str">
        <f t="shared" si="278"/>
        <v>15000-181</v>
      </c>
      <c r="J2987" s="1" t="str">
        <f t="shared" si="279"/>
        <v>Snare drum production item #181</v>
      </c>
      <c r="K2987" s="1" t="str">
        <f>IF(SUM(COUNTIFS(I:I, I2987)) &gt; 1, "DUPLICATE", "UNIQUE")</f>
        <v>UNIQUE</v>
      </c>
      <c r="L2987" s="18">
        <v>1</v>
      </c>
      <c r="M2987" s="28">
        <v>99</v>
      </c>
      <c r="N2987" s="6">
        <v>25</v>
      </c>
      <c r="O2987" s="30">
        <f t="shared" si="280"/>
        <v>99</v>
      </c>
      <c r="P2987" s="30">
        <f t="shared" si="281"/>
        <v>2475</v>
      </c>
      <c r="Q2987" s="1">
        <f>COUNTIFS($P:$P, "&gt;" &amp; $P2987) + 1</f>
        <v>3064</v>
      </c>
      <c r="R2987" s="63">
        <f>(COUNTIFS($P:$P, "&gt;" &amp; $P2987) + 1) / (COUNTA($I:$I) - 1)</f>
        <v>0.61280000000000001</v>
      </c>
      <c r="S2987" s="23">
        <f>SUMIFS($P:$P, $Q:$Q, "&lt;" &amp; $Q2987)</f>
        <v>185095466</v>
      </c>
    </row>
    <row r="2988" spans="1:19" x14ac:dyDescent="0.25">
      <c r="A2988" s="1">
        <v>2983</v>
      </c>
      <c r="B2988" s="1" t="s">
        <v>2</v>
      </c>
      <c r="C2988" s="1" t="str">
        <f>IF($B2988 = "Production Item", _xlfn.XLOOKUP($A2988, 'Instrument Table'!$J:$J, 'Instrument Table'!$B:$B, $C2987), IF($B2988 = "Service Item", _xlfn.XLOOKUP($A2988, 'Instrument Table'!$I:$I, 'Instrument Table'!$B:$B, $C2987), _xlfn.XLOOKUP($A2988, 'Instrument Table'!$H:$H, 'Instrument Table'!$B:$B, $C2987)))</f>
        <v>Snare Drum</v>
      </c>
      <c r="D2988" s="1" t="str">
        <f>VLOOKUP($C2988, 'Instrument Table'!$B:$C, 2, FALSE)</f>
        <v>Percussion</v>
      </c>
      <c r="E2988" s="1">
        <f t="shared" si="276"/>
        <v>1</v>
      </c>
      <c r="F2988" s="1">
        <f>_xlfn.XLOOKUP($C2988, 'Instrument Table'!$B:$B, 'Instrument Table'!$A:$A, "")</f>
        <v>50</v>
      </c>
      <c r="G2988" s="1" t="str">
        <f>TEXT(IF($B2988 = "Retail Item", IF((ROW($A2988) - 4504 - _xlfn.XMATCH($C2988, $C$4506:$C$5005, 0, 1)) &lt;= VLOOKUP($C2988, 'Instrument Table'!$B:$D, 3, FALSE), ROW($A2988) - 4504 - _xlfn.XMATCH($C2988, $C$4506:$C$5005, 0, 1), 0), 0), "00")</f>
        <v>00</v>
      </c>
      <c r="H2988" s="1" t="str">
        <f t="shared" si="277"/>
        <v>182</v>
      </c>
      <c r="I2988" s="1" t="str">
        <f t="shared" si="278"/>
        <v>15000-182</v>
      </c>
      <c r="J2988" s="1" t="str">
        <f t="shared" si="279"/>
        <v>Snare drum production item #182</v>
      </c>
      <c r="K2988" s="1" t="str">
        <f>IF(SUM(COUNTIFS(I:I, I2988)) &gt; 1, "DUPLICATE", "UNIQUE")</f>
        <v>UNIQUE</v>
      </c>
      <c r="L2988" s="18">
        <v>1</v>
      </c>
      <c r="M2988" s="28">
        <v>1</v>
      </c>
      <c r="N2988" s="6">
        <v>169</v>
      </c>
      <c r="O2988" s="30">
        <f t="shared" si="280"/>
        <v>1</v>
      </c>
      <c r="P2988" s="30">
        <f t="shared" si="281"/>
        <v>169</v>
      </c>
      <c r="Q2988" s="1">
        <f>COUNTIFS($P:$P, "&gt;" &amp; $P2988) + 1</f>
        <v>4374</v>
      </c>
      <c r="R2988" s="63">
        <f>(COUNTIFS($P:$P, "&gt;" &amp; $P2988) + 1) / (COUNTA($I:$I) - 1)</f>
        <v>0.87480000000000002</v>
      </c>
      <c r="S2988" s="23">
        <f>SUMIFS($P:$P, $Q:$Q, "&lt;" &amp; $Q2988)</f>
        <v>186521853</v>
      </c>
    </row>
    <row r="2989" spans="1:19" x14ac:dyDescent="0.25">
      <c r="A2989" s="1">
        <v>2984</v>
      </c>
      <c r="B2989" s="1" t="s">
        <v>2</v>
      </c>
      <c r="C2989" s="1" t="str">
        <f>IF($B2989 = "Production Item", _xlfn.XLOOKUP($A2989, 'Instrument Table'!$J:$J, 'Instrument Table'!$B:$B, $C2988), IF($B2989 = "Service Item", _xlfn.XLOOKUP($A2989, 'Instrument Table'!$I:$I, 'Instrument Table'!$B:$B, $C2988), _xlfn.XLOOKUP($A2989, 'Instrument Table'!$H:$H, 'Instrument Table'!$B:$B, $C2988)))</f>
        <v>Snare Drum</v>
      </c>
      <c r="D2989" s="1" t="str">
        <f>VLOOKUP($C2989, 'Instrument Table'!$B:$C, 2, FALSE)</f>
        <v>Percussion</v>
      </c>
      <c r="E2989" s="1">
        <f t="shared" si="276"/>
        <v>1</v>
      </c>
      <c r="F2989" s="1">
        <f>_xlfn.XLOOKUP($C2989, 'Instrument Table'!$B:$B, 'Instrument Table'!$A:$A, "")</f>
        <v>50</v>
      </c>
      <c r="G2989" s="1" t="str">
        <f>TEXT(IF($B2989 = "Retail Item", IF((ROW($A2989) - 4504 - _xlfn.XMATCH($C2989, $C$4506:$C$5005, 0, 1)) &lt;= VLOOKUP($C2989, 'Instrument Table'!$B:$D, 3, FALSE), ROW($A2989) - 4504 - _xlfn.XMATCH($C2989, $C$4506:$C$5005, 0, 1), 0), 0), "00")</f>
        <v>00</v>
      </c>
      <c r="H2989" s="1" t="str">
        <f t="shared" si="277"/>
        <v>183</v>
      </c>
      <c r="I2989" s="1" t="str">
        <f t="shared" si="278"/>
        <v>15000-183</v>
      </c>
      <c r="J2989" s="1" t="str">
        <f t="shared" si="279"/>
        <v>Snare drum production item #183</v>
      </c>
      <c r="K2989" s="1" t="str">
        <f>IF(SUM(COUNTIFS(I:I, I2989)) &gt; 1, "DUPLICATE", "UNIQUE")</f>
        <v>UNIQUE</v>
      </c>
      <c r="L2989" s="18">
        <v>8</v>
      </c>
      <c r="M2989" s="28">
        <v>7</v>
      </c>
      <c r="N2989" s="6">
        <v>4</v>
      </c>
      <c r="O2989" s="30">
        <f t="shared" si="280"/>
        <v>56</v>
      </c>
      <c r="P2989" s="30">
        <f t="shared" si="281"/>
        <v>28</v>
      </c>
      <c r="Q2989" s="1">
        <f>COUNTIFS($P:$P, "&gt;" &amp; $P2989) + 1</f>
        <v>4673</v>
      </c>
      <c r="R2989" s="63">
        <f>(COUNTIFS($P:$P, "&gt;" &amp; $P2989) + 1) / (COUNTA($I:$I) - 1)</f>
        <v>0.93459999999999999</v>
      </c>
      <c r="S2989" s="23">
        <f>SUMIFS($P:$P, $Q:$Q, "&lt;" &amp; $Q2989)</f>
        <v>186546776</v>
      </c>
    </row>
    <row r="2990" spans="1:19" x14ac:dyDescent="0.25">
      <c r="A2990" s="1">
        <v>2985</v>
      </c>
      <c r="B2990" s="1" t="s">
        <v>2</v>
      </c>
      <c r="C2990" s="1" t="str">
        <f>IF($B2990 = "Production Item", _xlfn.XLOOKUP($A2990, 'Instrument Table'!$J:$J, 'Instrument Table'!$B:$B, $C2989), IF($B2990 = "Service Item", _xlfn.XLOOKUP($A2990, 'Instrument Table'!$I:$I, 'Instrument Table'!$B:$B, $C2989), _xlfn.XLOOKUP($A2990, 'Instrument Table'!$H:$H, 'Instrument Table'!$B:$B, $C2989)))</f>
        <v>Snare Drum</v>
      </c>
      <c r="D2990" s="1" t="str">
        <f>VLOOKUP($C2990, 'Instrument Table'!$B:$C, 2, FALSE)</f>
        <v>Percussion</v>
      </c>
      <c r="E2990" s="1">
        <f t="shared" si="276"/>
        <v>1</v>
      </c>
      <c r="F2990" s="1">
        <f>_xlfn.XLOOKUP($C2990, 'Instrument Table'!$B:$B, 'Instrument Table'!$A:$A, "")</f>
        <v>50</v>
      </c>
      <c r="G2990" s="1" t="str">
        <f>TEXT(IF($B2990 = "Retail Item", IF((ROW($A2990) - 4504 - _xlfn.XMATCH($C2990, $C$4506:$C$5005, 0, 1)) &lt;= VLOOKUP($C2990, 'Instrument Table'!$B:$D, 3, FALSE), ROW($A2990) - 4504 - _xlfn.XMATCH($C2990, $C$4506:$C$5005, 0, 1), 0), 0), "00")</f>
        <v>00</v>
      </c>
      <c r="H2990" s="1" t="str">
        <f t="shared" si="277"/>
        <v>184</v>
      </c>
      <c r="I2990" s="1" t="str">
        <f t="shared" si="278"/>
        <v>15000-184</v>
      </c>
      <c r="J2990" s="1" t="str">
        <f t="shared" si="279"/>
        <v>Snare drum production item #184</v>
      </c>
      <c r="K2990" s="1" t="str">
        <f>IF(SUM(COUNTIFS(I:I, I2990)) &gt; 1, "DUPLICATE", "UNIQUE")</f>
        <v>UNIQUE</v>
      </c>
      <c r="L2990" s="18">
        <v>0</v>
      </c>
      <c r="M2990" s="28">
        <v>65</v>
      </c>
      <c r="N2990" s="6">
        <v>1</v>
      </c>
      <c r="O2990" s="30">
        <f t="shared" si="280"/>
        <v>0</v>
      </c>
      <c r="P2990" s="30">
        <f t="shared" si="281"/>
        <v>65</v>
      </c>
      <c r="Q2990" s="1">
        <f>COUNTIFS($P:$P, "&gt;" &amp; $P2990) + 1</f>
        <v>4551</v>
      </c>
      <c r="R2990" s="63">
        <f>(COUNTIFS($P:$P, "&gt;" &amp; $P2990) + 1) / (COUNTA($I:$I) - 1)</f>
        <v>0.91020000000000001</v>
      </c>
      <c r="S2990" s="23">
        <f>SUMIFS($P:$P, $Q:$Q, "&lt;" &amp; $Q2990)</f>
        <v>186540720</v>
      </c>
    </row>
    <row r="2991" spans="1:19" x14ac:dyDescent="0.25">
      <c r="A2991" s="1">
        <v>2986</v>
      </c>
      <c r="B2991" s="1" t="s">
        <v>2</v>
      </c>
      <c r="C2991" s="1" t="str">
        <f>IF($B2991 = "Production Item", _xlfn.XLOOKUP($A2991, 'Instrument Table'!$J:$J, 'Instrument Table'!$B:$B, $C2990), IF($B2991 = "Service Item", _xlfn.XLOOKUP($A2991, 'Instrument Table'!$I:$I, 'Instrument Table'!$B:$B, $C2990), _xlfn.XLOOKUP($A2991, 'Instrument Table'!$H:$H, 'Instrument Table'!$B:$B, $C2990)))</f>
        <v>Snare Drum</v>
      </c>
      <c r="D2991" s="1" t="str">
        <f>VLOOKUP($C2991, 'Instrument Table'!$B:$C, 2, FALSE)</f>
        <v>Percussion</v>
      </c>
      <c r="E2991" s="1">
        <f t="shared" si="276"/>
        <v>1</v>
      </c>
      <c r="F2991" s="1">
        <f>_xlfn.XLOOKUP($C2991, 'Instrument Table'!$B:$B, 'Instrument Table'!$A:$A, "")</f>
        <v>50</v>
      </c>
      <c r="G2991" s="1" t="str">
        <f>TEXT(IF($B2991 = "Retail Item", IF((ROW($A2991) - 4504 - _xlfn.XMATCH($C2991, $C$4506:$C$5005, 0, 1)) &lt;= VLOOKUP($C2991, 'Instrument Table'!$B:$D, 3, FALSE), ROW($A2991) - 4504 - _xlfn.XMATCH($C2991, $C$4506:$C$5005, 0, 1), 0), 0), "00")</f>
        <v>00</v>
      </c>
      <c r="H2991" s="1" t="str">
        <f t="shared" si="277"/>
        <v>185</v>
      </c>
      <c r="I2991" s="1" t="str">
        <f t="shared" si="278"/>
        <v>15000-185</v>
      </c>
      <c r="J2991" s="1" t="str">
        <f t="shared" si="279"/>
        <v>Snare drum production item #185</v>
      </c>
      <c r="K2991" s="1" t="str">
        <f>IF(SUM(COUNTIFS(I:I, I2991)) &gt; 1, "DUPLICATE", "UNIQUE")</f>
        <v>UNIQUE</v>
      </c>
      <c r="L2991" s="18">
        <v>0</v>
      </c>
      <c r="M2991" s="28">
        <v>22</v>
      </c>
      <c r="N2991" s="6">
        <v>324</v>
      </c>
      <c r="O2991" s="30">
        <f t="shared" si="280"/>
        <v>0</v>
      </c>
      <c r="P2991" s="30">
        <f t="shared" si="281"/>
        <v>7128</v>
      </c>
      <c r="Q2991" s="1">
        <f>COUNTIFS($P:$P, "&gt;" &amp; $P2991) + 1</f>
        <v>2123</v>
      </c>
      <c r="R2991" s="63">
        <f>(COUNTIFS($P:$P, "&gt;" &amp; $P2991) + 1) / (COUNTA($I:$I) - 1)</f>
        <v>0.42459999999999998</v>
      </c>
      <c r="S2991" s="23">
        <f>SUMIFS($P:$P, $Q:$Q, "&lt;" &amp; $Q2991)</f>
        <v>180924760</v>
      </c>
    </row>
    <row r="2992" spans="1:19" x14ac:dyDescent="0.25">
      <c r="A2992" s="1">
        <v>2987</v>
      </c>
      <c r="B2992" s="1" t="s">
        <v>2</v>
      </c>
      <c r="C2992" s="1" t="str">
        <f>IF($B2992 = "Production Item", _xlfn.XLOOKUP($A2992, 'Instrument Table'!$J:$J, 'Instrument Table'!$B:$B, $C2991), IF($B2992 = "Service Item", _xlfn.XLOOKUP($A2992, 'Instrument Table'!$I:$I, 'Instrument Table'!$B:$B, $C2991), _xlfn.XLOOKUP($A2992, 'Instrument Table'!$H:$H, 'Instrument Table'!$B:$B, $C2991)))</f>
        <v>Snare Drum</v>
      </c>
      <c r="D2992" s="1" t="str">
        <f>VLOOKUP($C2992, 'Instrument Table'!$B:$C, 2, FALSE)</f>
        <v>Percussion</v>
      </c>
      <c r="E2992" s="1">
        <f t="shared" si="276"/>
        <v>1</v>
      </c>
      <c r="F2992" s="1">
        <f>_xlfn.XLOOKUP($C2992, 'Instrument Table'!$B:$B, 'Instrument Table'!$A:$A, "")</f>
        <v>50</v>
      </c>
      <c r="G2992" s="1" t="str">
        <f>TEXT(IF($B2992 = "Retail Item", IF((ROW($A2992) - 4504 - _xlfn.XMATCH($C2992, $C$4506:$C$5005, 0, 1)) &lt;= VLOOKUP($C2992, 'Instrument Table'!$B:$D, 3, FALSE), ROW($A2992) - 4504 - _xlfn.XMATCH($C2992, $C$4506:$C$5005, 0, 1), 0), 0), "00")</f>
        <v>00</v>
      </c>
      <c r="H2992" s="1" t="str">
        <f t="shared" si="277"/>
        <v>186</v>
      </c>
      <c r="I2992" s="1" t="str">
        <f t="shared" si="278"/>
        <v>15000-186</v>
      </c>
      <c r="J2992" s="1" t="str">
        <f t="shared" si="279"/>
        <v>Snare drum production item #186</v>
      </c>
      <c r="K2992" s="1" t="str">
        <f>IF(SUM(COUNTIFS(I:I, I2992)) &gt; 1, "DUPLICATE", "UNIQUE")</f>
        <v>UNIQUE</v>
      </c>
      <c r="L2992" s="18">
        <v>0</v>
      </c>
      <c r="M2992" s="28">
        <v>71</v>
      </c>
      <c r="N2992" s="6">
        <v>324</v>
      </c>
      <c r="O2992" s="30">
        <f t="shared" si="280"/>
        <v>0</v>
      </c>
      <c r="P2992" s="30">
        <f t="shared" si="281"/>
        <v>23004</v>
      </c>
      <c r="Q2992" s="1">
        <f>COUNTIFS($P:$P, "&gt;" &amp; $P2992) + 1</f>
        <v>903</v>
      </c>
      <c r="R2992" s="63">
        <f>(COUNTIFS($P:$P, "&gt;" &amp; $P2992) + 1) / (COUNTA($I:$I) - 1)</f>
        <v>0.18060000000000001</v>
      </c>
      <c r="S2992" s="23">
        <f>SUMIFS($P:$P, $Q:$Q, "&lt;" &amp; $Q2992)</f>
        <v>164350227</v>
      </c>
    </row>
    <row r="2993" spans="1:19" x14ac:dyDescent="0.25">
      <c r="A2993" s="1">
        <v>2988</v>
      </c>
      <c r="B2993" s="1" t="s">
        <v>2</v>
      </c>
      <c r="C2993" s="1" t="str">
        <f>IF($B2993 = "Production Item", _xlfn.XLOOKUP($A2993, 'Instrument Table'!$J:$J, 'Instrument Table'!$B:$B, $C2992), IF($B2993 = "Service Item", _xlfn.XLOOKUP($A2993, 'Instrument Table'!$I:$I, 'Instrument Table'!$B:$B, $C2992), _xlfn.XLOOKUP($A2993, 'Instrument Table'!$H:$H, 'Instrument Table'!$B:$B, $C2992)))</f>
        <v>Snare Drum</v>
      </c>
      <c r="D2993" s="1" t="str">
        <f>VLOOKUP($C2993, 'Instrument Table'!$B:$C, 2, FALSE)</f>
        <v>Percussion</v>
      </c>
      <c r="E2993" s="1">
        <f t="shared" si="276"/>
        <v>1</v>
      </c>
      <c r="F2993" s="1">
        <f>_xlfn.XLOOKUP($C2993, 'Instrument Table'!$B:$B, 'Instrument Table'!$A:$A, "")</f>
        <v>50</v>
      </c>
      <c r="G2993" s="1" t="str">
        <f>TEXT(IF($B2993 = "Retail Item", IF((ROW($A2993) - 4504 - _xlfn.XMATCH($C2993, $C$4506:$C$5005, 0, 1)) &lt;= VLOOKUP($C2993, 'Instrument Table'!$B:$D, 3, FALSE), ROW($A2993) - 4504 - _xlfn.XMATCH($C2993, $C$4506:$C$5005, 0, 1), 0), 0), "00")</f>
        <v>00</v>
      </c>
      <c r="H2993" s="1" t="str">
        <f t="shared" si="277"/>
        <v>187</v>
      </c>
      <c r="I2993" s="1" t="str">
        <f t="shared" si="278"/>
        <v>15000-187</v>
      </c>
      <c r="J2993" s="1" t="str">
        <f t="shared" si="279"/>
        <v>Snare drum production item #187</v>
      </c>
      <c r="K2993" s="1" t="str">
        <f>IF(SUM(COUNTIFS(I:I, I2993)) &gt; 1, "DUPLICATE", "UNIQUE")</f>
        <v>UNIQUE</v>
      </c>
      <c r="L2993" s="18">
        <v>2</v>
      </c>
      <c r="M2993" s="28">
        <v>56</v>
      </c>
      <c r="N2993" s="6">
        <v>289</v>
      </c>
      <c r="O2993" s="30">
        <f t="shared" si="280"/>
        <v>112</v>
      </c>
      <c r="P2993" s="30">
        <f t="shared" si="281"/>
        <v>16184</v>
      </c>
      <c r="Q2993" s="1">
        <f>COUNTIFS($P:$P, "&gt;" &amp; $P2993) + 1</f>
        <v>1268</v>
      </c>
      <c r="R2993" s="63">
        <f>(COUNTIFS($P:$P, "&gt;" &amp; $P2993) + 1) / (COUNTA($I:$I) - 1)</f>
        <v>0.25359999999999999</v>
      </c>
      <c r="S2993" s="23">
        <f>SUMIFS($P:$P, $Q:$Q, "&lt;" &amp; $Q2993)</f>
        <v>171462914</v>
      </c>
    </row>
    <row r="2994" spans="1:19" x14ac:dyDescent="0.25">
      <c r="A2994" s="1">
        <v>2989</v>
      </c>
      <c r="B2994" s="1" t="s">
        <v>2</v>
      </c>
      <c r="C2994" s="1" t="str">
        <f>IF($B2994 = "Production Item", _xlfn.XLOOKUP($A2994, 'Instrument Table'!$J:$J, 'Instrument Table'!$B:$B, $C2993), IF($B2994 = "Service Item", _xlfn.XLOOKUP($A2994, 'Instrument Table'!$I:$I, 'Instrument Table'!$B:$B, $C2993), _xlfn.XLOOKUP($A2994, 'Instrument Table'!$H:$H, 'Instrument Table'!$B:$B, $C2993)))</f>
        <v>Snare Drum</v>
      </c>
      <c r="D2994" s="1" t="str">
        <f>VLOOKUP($C2994, 'Instrument Table'!$B:$C, 2, FALSE)</f>
        <v>Percussion</v>
      </c>
      <c r="E2994" s="1">
        <f t="shared" si="276"/>
        <v>1</v>
      </c>
      <c r="F2994" s="1">
        <f>_xlfn.XLOOKUP($C2994, 'Instrument Table'!$B:$B, 'Instrument Table'!$A:$A, "")</f>
        <v>50</v>
      </c>
      <c r="G2994" s="1" t="str">
        <f>TEXT(IF($B2994 = "Retail Item", IF((ROW($A2994) - 4504 - _xlfn.XMATCH($C2994, $C$4506:$C$5005, 0, 1)) &lt;= VLOOKUP($C2994, 'Instrument Table'!$B:$D, 3, FALSE), ROW($A2994) - 4504 - _xlfn.XMATCH($C2994, $C$4506:$C$5005, 0, 1), 0), 0), "00")</f>
        <v>00</v>
      </c>
      <c r="H2994" s="1" t="str">
        <f t="shared" si="277"/>
        <v>188</v>
      </c>
      <c r="I2994" s="1" t="str">
        <f t="shared" si="278"/>
        <v>15000-188</v>
      </c>
      <c r="J2994" s="1" t="str">
        <f t="shared" si="279"/>
        <v>Snare drum production item #188</v>
      </c>
      <c r="K2994" s="1" t="str">
        <f>IF(SUM(COUNTIFS(I:I, I2994)) &gt; 1, "DUPLICATE", "UNIQUE")</f>
        <v>UNIQUE</v>
      </c>
      <c r="L2994" s="18">
        <v>1</v>
      </c>
      <c r="M2994" s="28">
        <v>21</v>
      </c>
      <c r="N2994" s="6">
        <v>9</v>
      </c>
      <c r="O2994" s="30">
        <f t="shared" si="280"/>
        <v>21</v>
      </c>
      <c r="P2994" s="30">
        <f t="shared" si="281"/>
        <v>189</v>
      </c>
      <c r="Q2994" s="1">
        <f>COUNTIFS($P:$P, "&gt;" &amp; $P2994) + 1</f>
        <v>4347</v>
      </c>
      <c r="R2994" s="63">
        <f>(COUNTIFS($P:$P, "&gt;" &amp; $P2994) + 1) / (COUNTA($I:$I) - 1)</f>
        <v>0.86939999999999995</v>
      </c>
      <c r="S2994" s="23">
        <f>SUMIFS($P:$P, $Q:$Q, "&lt;" &amp; $Q2994)</f>
        <v>186517011</v>
      </c>
    </row>
    <row r="2995" spans="1:19" x14ac:dyDescent="0.25">
      <c r="A2995" s="1">
        <v>2990</v>
      </c>
      <c r="B2995" s="1" t="s">
        <v>2</v>
      </c>
      <c r="C2995" s="1" t="str">
        <f>IF($B2995 = "Production Item", _xlfn.XLOOKUP($A2995, 'Instrument Table'!$J:$J, 'Instrument Table'!$B:$B, $C2994), IF($B2995 = "Service Item", _xlfn.XLOOKUP($A2995, 'Instrument Table'!$I:$I, 'Instrument Table'!$B:$B, $C2994), _xlfn.XLOOKUP($A2995, 'Instrument Table'!$H:$H, 'Instrument Table'!$B:$B, $C2994)))</f>
        <v>Snare Drum</v>
      </c>
      <c r="D2995" s="1" t="str">
        <f>VLOOKUP($C2995, 'Instrument Table'!$B:$C, 2, FALSE)</f>
        <v>Percussion</v>
      </c>
      <c r="E2995" s="1">
        <f t="shared" si="276"/>
        <v>1</v>
      </c>
      <c r="F2995" s="1">
        <f>_xlfn.XLOOKUP($C2995, 'Instrument Table'!$B:$B, 'Instrument Table'!$A:$A, "")</f>
        <v>50</v>
      </c>
      <c r="G2995" s="1" t="str">
        <f>TEXT(IF($B2995 = "Retail Item", IF((ROW($A2995) - 4504 - _xlfn.XMATCH($C2995, $C$4506:$C$5005, 0, 1)) &lt;= VLOOKUP($C2995, 'Instrument Table'!$B:$D, 3, FALSE), ROW($A2995) - 4504 - _xlfn.XMATCH($C2995, $C$4506:$C$5005, 0, 1), 0), 0), "00")</f>
        <v>00</v>
      </c>
      <c r="H2995" s="1" t="str">
        <f t="shared" si="277"/>
        <v>189</v>
      </c>
      <c r="I2995" s="1" t="str">
        <f t="shared" si="278"/>
        <v>15000-189</v>
      </c>
      <c r="J2995" s="1" t="str">
        <f t="shared" si="279"/>
        <v>Snare drum production item #189</v>
      </c>
      <c r="K2995" s="1" t="str">
        <f>IF(SUM(COUNTIFS(I:I, I2995)) &gt; 1, "DUPLICATE", "UNIQUE")</f>
        <v>UNIQUE</v>
      </c>
      <c r="L2995" s="18">
        <v>0</v>
      </c>
      <c r="M2995" s="28">
        <v>84</v>
      </c>
      <c r="N2995" s="6">
        <v>0</v>
      </c>
      <c r="O2995" s="30">
        <f t="shared" si="280"/>
        <v>0</v>
      </c>
      <c r="P2995" s="30">
        <f t="shared" si="281"/>
        <v>0</v>
      </c>
      <c r="Q2995" s="1">
        <f>COUNTIFS($P:$P, "&gt;" &amp; $P2995) + 1</f>
        <v>4746</v>
      </c>
      <c r="R2995" s="63">
        <f>(COUNTIFS($P:$P, "&gt;" &amp; $P2995) + 1) / (COUNTA($I:$I) - 1)</f>
        <v>0.94920000000000004</v>
      </c>
      <c r="S2995" s="23">
        <f>SUMIFS($P:$P, $Q:$Q, "&lt;" &amp; $Q2995)</f>
        <v>186547861</v>
      </c>
    </row>
    <row r="2996" spans="1:19" x14ac:dyDescent="0.25">
      <c r="A2996" s="1">
        <v>2991</v>
      </c>
      <c r="B2996" s="1" t="s">
        <v>2</v>
      </c>
      <c r="C2996" s="1" t="str">
        <f>IF($B2996 = "Production Item", _xlfn.XLOOKUP($A2996, 'Instrument Table'!$J:$J, 'Instrument Table'!$B:$B, $C2995), IF($B2996 = "Service Item", _xlfn.XLOOKUP($A2996, 'Instrument Table'!$I:$I, 'Instrument Table'!$B:$B, $C2995), _xlfn.XLOOKUP($A2996, 'Instrument Table'!$H:$H, 'Instrument Table'!$B:$B, $C2995)))</f>
        <v>Snare Drum</v>
      </c>
      <c r="D2996" s="1" t="str">
        <f>VLOOKUP($C2996, 'Instrument Table'!$B:$C, 2, FALSE)</f>
        <v>Percussion</v>
      </c>
      <c r="E2996" s="1">
        <f t="shared" si="276"/>
        <v>1</v>
      </c>
      <c r="F2996" s="1">
        <f>_xlfn.XLOOKUP($C2996, 'Instrument Table'!$B:$B, 'Instrument Table'!$A:$A, "")</f>
        <v>50</v>
      </c>
      <c r="G2996" s="1" t="str">
        <f>TEXT(IF($B2996 = "Retail Item", IF((ROW($A2996) - 4504 - _xlfn.XMATCH($C2996, $C$4506:$C$5005, 0, 1)) &lt;= VLOOKUP($C2996, 'Instrument Table'!$B:$D, 3, FALSE), ROW($A2996) - 4504 - _xlfn.XMATCH($C2996, $C$4506:$C$5005, 0, 1), 0), 0), "00")</f>
        <v>00</v>
      </c>
      <c r="H2996" s="1" t="str">
        <f t="shared" si="277"/>
        <v>190</v>
      </c>
      <c r="I2996" s="1" t="str">
        <f t="shared" si="278"/>
        <v>15000-190</v>
      </c>
      <c r="J2996" s="1" t="str">
        <f t="shared" si="279"/>
        <v>Snare drum production item #190</v>
      </c>
      <c r="K2996" s="1" t="str">
        <f>IF(SUM(COUNTIFS(I:I, I2996)) &gt; 1, "DUPLICATE", "UNIQUE")</f>
        <v>UNIQUE</v>
      </c>
      <c r="L2996" s="18">
        <v>16</v>
      </c>
      <c r="M2996" s="28">
        <v>46</v>
      </c>
      <c r="N2996" s="6">
        <v>121</v>
      </c>
      <c r="O2996" s="30">
        <f t="shared" si="280"/>
        <v>736</v>
      </c>
      <c r="P2996" s="30">
        <f t="shared" si="281"/>
        <v>5566</v>
      </c>
      <c r="Q2996" s="1">
        <f>COUNTIFS($P:$P, "&gt;" &amp; $P2996) + 1</f>
        <v>2344</v>
      </c>
      <c r="R2996" s="63">
        <f>(COUNTIFS($P:$P, "&gt;" &amp; $P2996) + 1) / (COUNTA($I:$I) - 1)</f>
        <v>0.46879999999999999</v>
      </c>
      <c r="S2996" s="23">
        <f>SUMIFS($P:$P, $Q:$Q, "&lt;" &amp; $Q2996)</f>
        <v>182314385</v>
      </c>
    </row>
    <row r="2997" spans="1:19" x14ac:dyDescent="0.25">
      <c r="A2997" s="1">
        <v>2992</v>
      </c>
      <c r="B2997" s="1" t="s">
        <v>2</v>
      </c>
      <c r="C2997" s="1" t="str">
        <f>IF($B2997 = "Production Item", _xlfn.XLOOKUP($A2997, 'Instrument Table'!$J:$J, 'Instrument Table'!$B:$B, $C2996), IF($B2997 = "Service Item", _xlfn.XLOOKUP($A2997, 'Instrument Table'!$I:$I, 'Instrument Table'!$B:$B, $C2996), _xlfn.XLOOKUP($A2997, 'Instrument Table'!$H:$H, 'Instrument Table'!$B:$B, $C2996)))</f>
        <v>Snare Drum</v>
      </c>
      <c r="D2997" s="1" t="str">
        <f>VLOOKUP($C2997, 'Instrument Table'!$B:$C, 2, FALSE)</f>
        <v>Percussion</v>
      </c>
      <c r="E2997" s="1">
        <f t="shared" si="276"/>
        <v>1</v>
      </c>
      <c r="F2997" s="1">
        <f>_xlfn.XLOOKUP($C2997, 'Instrument Table'!$B:$B, 'Instrument Table'!$A:$A, "")</f>
        <v>50</v>
      </c>
      <c r="G2997" s="1" t="str">
        <f>TEXT(IF($B2997 = "Retail Item", IF((ROW($A2997) - 4504 - _xlfn.XMATCH($C2997, $C$4506:$C$5005, 0, 1)) &lt;= VLOOKUP($C2997, 'Instrument Table'!$B:$D, 3, FALSE), ROW($A2997) - 4504 - _xlfn.XMATCH($C2997, $C$4506:$C$5005, 0, 1), 0), 0), "00")</f>
        <v>00</v>
      </c>
      <c r="H2997" s="1" t="str">
        <f t="shared" si="277"/>
        <v>191</v>
      </c>
      <c r="I2997" s="1" t="str">
        <f t="shared" si="278"/>
        <v>15000-191</v>
      </c>
      <c r="J2997" s="1" t="str">
        <f t="shared" si="279"/>
        <v>Snare drum production item #191</v>
      </c>
      <c r="K2997" s="1" t="str">
        <f>IF(SUM(COUNTIFS(I:I, I2997)) &gt; 1, "DUPLICATE", "UNIQUE")</f>
        <v>UNIQUE</v>
      </c>
      <c r="L2997" s="18">
        <v>32</v>
      </c>
      <c r="M2997" s="28">
        <v>17</v>
      </c>
      <c r="N2997" s="6">
        <v>169</v>
      </c>
      <c r="O2997" s="30">
        <f t="shared" si="280"/>
        <v>544</v>
      </c>
      <c r="P2997" s="30">
        <f t="shared" si="281"/>
        <v>2873</v>
      </c>
      <c r="Q2997" s="1">
        <f>COUNTIFS($P:$P, "&gt;" &amp; $P2997) + 1</f>
        <v>2944</v>
      </c>
      <c r="R2997" s="63">
        <f>(COUNTIFS($P:$P, "&gt;" &amp; $P2997) + 1) / (COUNTA($I:$I) - 1)</f>
        <v>0.58879999999999999</v>
      </c>
      <c r="S2997" s="23">
        <f>SUMIFS($P:$P, $Q:$Q, "&lt;" &amp; $Q2997)</f>
        <v>184777849</v>
      </c>
    </row>
    <row r="2998" spans="1:19" x14ac:dyDescent="0.25">
      <c r="A2998" s="1">
        <v>2993</v>
      </c>
      <c r="B2998" s="1" t="s">
        <v>2</v>
      </c>
      <c r="C2998" s="1" t="str">
        <f>IF($B2998 = "Production Item", _xlfn.XLOOKUP($A2998, 'Instrument Table'!$J:$J, 'Instrument Table'!$B:$B, $C2997), IF($B2998 = "Service Item", _xlfn.XLOOKUP($A2998, 'Instrument Table'!$I:$I, 'Instrument Table'!$B:$B, $C2997), _xlfn.XLOOKUP($A2998, 'Instrument Table'!$H:$H, 'Instrument Table'!$B:$B, $C2997)))</f>
        <v>Snare Drum</v>
      </c>
      <c r="D2998" s="1" t="str">
        <f>VLOOKUP($C2998, 'Instrument Table'!$B:$C, 2, FALSE)</f>
        <v>Percussion</v>
      </c>
      <c r="E2998" s="1">
        <f t="shared" si="276"/>
        <v>1</v>
      </c>
      <c r="F2998" s="1">
        <f>_xlfn.XLOOKUP($C2998, 'Instrument Table'!$B:$B, 'Instrument Table'!$A:$A, "")</f>
        <v>50</v>
      </c>
      <c r="G2998" s="1" t="str">
        <f>TEXT(IF($B2998 = "Retail Item", IF((ROW($A2998) - 4504 - _xlfn.XMATCH($C2998, $C$4506:$C$5005, 0, 1)) &lt;= VLOOKUP($C2998, 'Instrument Table'!$B:$D, 3, FALSE), ROW($A2998) - 4504 - _xlfn.XMATCH($C2998, $C$4506:$C$5005, 0, 1), 0), 0), "00")</f>
        <v>00</v>
      </c>
      <c r="H2998" s="1" t="str">
        <f t="shared" si="277"/>
        <v>192</v>
      </c>
      <c r="I2998" s="1" t="str">
        <f t="shared" si="278"/>
        <v>15000-192</v>
      </c>
      <c r="J2998" s="1" t="str">
        <f t="shared" si="279"/>
        <v>Snare drum production item #192</v>
      </c>
      <c r="K2998" s="1" t="str">
        <f>IF(SUM(COUNTIFS(I:I, I2998)) &gt; 1, "DUPLICATE", "UNIQUE")</f>
        <v>UNIQUE</v>
      </c>
      <c r="L2998" s="18">
        <v>1</v>
      </c>
      <c r="M2998" s="28">
        <v>7</v>
      </c>
      <c r="N2998" s="6">
        <v>36</v>
      </c>
      <c r="O2998" s="30">
        <f t="shared" si="280"/>
        <v>7</v>
      </c>
      <c r="P2998" s="30">
        <f t="shared" si="281"/>
        <v>252</v>
      </c>
      <c r="Q2998" s="1">
        <f>COUNTIFS($P:$P, "&gt;" &amp; $P2998) + 1</f>
        <v>4269</v>
      </c>
      <c r="R2998" s="63">
        <f>(COUNTIFS($P:$P, "&gt;" &amp; $P2998) + 1) / (COUNTA($I:$I) - 1)</f>
        <v>0.8538</v>
      </c>
      <c r="S2998" s="23">
        <f>SUMIFS($P:$P, $Q:$Q, "&lt;" &amp; $Q2998)</f>
        <v>186500011</v>
      </c>
    </row>
    <row r="2999" spans="1:19" x14ac:dyDescent="0.25">
      <c r="A2999" s="1">
        <v>2994</v>
      </c>
      <c r="B2999" s="1" t="s">
        <v>2</v>
      </c>
      <c r="C2999" s="1" t="str">
        <f>IF($B2999 = "Production Item", _xlfn.XLOOKUP($A2999, 'Instrument Table'!$J:$J, 'Instrument Table'!$B:$B, $C2998), IF($B2999 = "Service Item", _xlfn.XLOOKUP($A2999, 'Instrument Table'!$I:$I, 'Instrument Table'!$B:$B, $C2998), _xlfn.XLOOKUP($A2999, 'Instrument Table'!$H:$H, 'Instrument Table'!$B:$B, $C2998)))</f>
        <v>Snare Drum</v>
      </c>
      <c r="D2999" s="1" t="str">
        <f>VLOOKUP($C2999, 'Instrument Table'!$B:$C, 2, FALSE)</f>
        <v>Percussion</v>
      </c>
      <c r="E2999" s="1">
        <f t="shared" si="276"/>
        <v>1</v>
      </c>
      <c r="F2999" s="1">
        <f>_xlfn.XLOOKUP($C2999, 'Instrument Table'!$B:$B, 'Instrument Table'!$A:$A, "")</f>
        <v>50</v>
      </c>
      <c r="G2999" s="1" t="str">
        <f>TEXT(IF($B2999 = "Retail Item", IF((ROW($A2999) - 4504 - _xlfn.XMATCH($C2999, $C$4506:$C$5005, 0, 1)) &lt;= VLOOKUP($C2999, 'Instrument Table'!$B:$D, 3, FALSE), ROW($A2999) - 4504 - _xlfn.XMATCH($C2999, $C$4506:$C$5005, 0, 1), 0), 0), "00")</f>
        <v>00</v>
      </c>
      <c r="H2999" s="1" t="str">
        <f t="shared" si="277"/>
        <v>193</v>
      </c>
      <c r="I2999" s="1" t="str">
        <f t="shared" si="278"/>
        <v>15000-193</v>
      </c>
      <c r="J2999" s="1" t="str">
        <f t="shared" si="279"/>
        <v>Snare drum production item #193</v>
      </c>
      <c r="K2999" s="1" t="str">
        <f>IF(SUM(COUNTIFS(I:I, I2999)) &gt; 1, "DUPLICATE", "UNIQUE")</f>
        <v>UNIQUE</v>
      </c>
      <c r="L2999" s="18">
        <v>2</v>
      </c>
      <c r="M2999" s="28">
        <v>28</v>
      </c>
      <c r="N2999" s="6">
        <v>256</v>
      </c>
      <c r="O2999" s="30">
        <f t="shared" si="280"/>
        <v>56</v>
      </c>
      <c r="P2999" s="30">
        <f t="shared" si="281"/>
        <v>7168</v>
      </c>
      <c r="Q2999" s="1">
        <f>COUNTIFS($P:$P, "&gt;" &amp; $P2999) + 1</f>
        <v>2121</v>
      </c>
      <c r="R2999" s="63">
        <f>(COUNTIFS($P:$P, "&gt;" &amp; $P2999) + 1) / (COUNTA($I:$I) - 1)</f>
        <v>0.42420000000000002</v>
      </c>
      <c r="S2999" s="23">
        <f>SUMIFS($P:$P, $Q:$Q, "&lt;" &amp; $Q2999)</f>
        <v>180910453</v>
      </c>
    </row>
    <row r="3000" spans="1:19" x14ac:dyDescent="0.25">
      <c r="A3000" s="1">
        <v>2995</v>
      </c>
      <c r="B3000" s="1" t="s">
        <v>2</v>
      </c>
      <c r="C3000" s="1" t="str">
        <f>IF($B3000 = "Production Item", _xlfn.XLOOKUP($A3000, 'Instrument Table'!$J:$J, 'Instrument Table'!$B:$B, $C2999), IF($B3000 = "Service Item", _xlfn.XLOOKUP($A3000, 'Instrument Table'!$I:$I, 'Instrument Table'!$B:$B, $C2999), _xlfn.XLOOKUP($A3000, 'Instrument Table'!$H:$H, 'Instrument Table'!$B:$B, $C2999)))</f>
        <v>Snare Drum</v>
      </c>
      <c r="D3000" s="1" t="str">
        <f>VLOOKUP($C3000, 'Instrument Table'!$B:$C, 2, FALSE)</f>
        <v>Percussion</v>
      </c>
      <c r="E3000" s="1">
        <f t="shared" si="276"/>
        <v>1</v>
      </c>
      <c r="F3000" s="1">
        <f>_xlfn.XLOOKUP($C3000, 'Instrument Table'!$B:$B, 'Instrument Table'!$A:$A, "")</f>
        <v>50</v>
      </c>
      <c r="G3000" s="1" t="str">
        <f>TEXT(IF($B3000 = "Retail Item", IF((ROW($A3000) - 4504 - _xlfn.XMATCH($C3000, $C$4506:$C$5005, 0, 1)) &lt;= VLOOKUP($C3000, 'Instrument Table'!$B:$D, 3, FALSE), ROW($A3000) - 4504 - _xlfn.XMATCH($C3000, $C$4506:$C$5005, 0, 1), 0), 0), "00")</f>
        <v>00</v>
      </c>
      <c r="H3000" s="1" t="str">
        <f t="shared" si="277"/>
        <v>194</v>
      </c>
      <c r="I3000" s="1" t="str">
        <f t="shared" si="278"/>
        <v>15000-194</v>
      </c>
      <c r="J3000" s="1" t="str">
        <f t="shared" si="279"/>
        <v>Snare drum production item #194</v>
      </c>
      <c r="K3000" s="1" t="str">
        <f>IF(SUM(COUNTIFS(I:I, I3000)) &gt; 1, "DUPLICATE", "UNIQUE")</f>
        <v>UNIQUE</v>
      </c>
      <c r="L3000" s="18">
        <v>1</v>
      </c>
      <c r="M3000" s="28">
        <v>10</v>
      </c>
      <c r="N3000" s="6">
        <v>0</v>
      </c>
      <c r="O3000" s="30">
        <f t="shared" si="280"/>
        <v>10</v>
      </c>
      <c r="P3000" s="30">
        <f t="shared" si="281"/>
        <v>0</v>
      </c>
      <c r="Q3000" s="1">
        <f>COUNTIFS($P:$P, "&gt;" &amp; $P3000) + 1</f>
        <v>4746</v>
      </c>
      <c r="R3000" s="63">
        <f>(COUNTIFS($P:$P, "&gt;" &amp; $P3000) + 1) / (COUNTA($I:$I) - 1)</f>
        <v>0.94920000000000004</v>
      </c>
      <c r="S3000" s="23">
        <f>SUMIFS($P:$P, $Q:$Q, "&lt;" &amp; $Q3000)</f>
        <v>186547861</v>
      </c>
    </row>
    <row r="3001" spans="1:19" x14ac:dyDescent="0.25">
      <c r="A3001" s="1">
        <v>2996</v>
      </c>
      <c r="B3001" s="1" t="s">
        <v>2</v>
      </c>
      <c r="C3001" s="1" t="str">
        <f>IF($B3001 = "Production Item", _xlfn.XLOOKUP($A3001, 'Instrument Table'!$J:$J, 'Instrument Table'!$B:$B, $C3000), IF($B3001 = "Service Item", _xlfn.XLOOKUP($A3001, 'Instrument Table'!$I:$I, 'Instrument Table'!$B:$B, $C3000), _xlfn.XLOOKUP($A3001, 'Instrument Table'!$H:$H, 'Instrument Table'!$B:$B, $C3000)))</f>
        <v>Snare Drum</v>
      </c>
      <c r="D3001" s="1" t="str">
        <f>VLOOKUP($C3001, 'Instrument Table'!$B:$C, 2, FALSE)</f>
        <v>Percussion</v>
      </c>
      <c r="E3001" s="1">
        <f t="shared" si="276"/>
        <v>1</v>
      </c>
      <c r="F3001" s="1">
        <f>_xlfn.XLOOKUP($C3001, 'Instrument Table'!$B:$B, 'Instrument Table'!$A:$A, "")</f>
        <v>50</v>
      </c>
      <c r="G3001" s="1" t="str">
        <f>TEXT(IF($B3001 = "Retail Item", IF((ROW($A3001) - 4504 - _xlfn.XMATCH($C3001, $C$4506:$C$5005, 0, 1)) &lt;= VLOOKUP($C3001, 'Instrument Table'!$B:$D, 3, FALSE), ROW($A3001) - 4504 - _xlfn.XMATCH($C3001, $C$4506:$C$5005, 0, 1), 0), 0), "00")</f>
        <v>00</v>
      </c>
      <c r="H3001" s="1" t="str">
        <f t="shared" si="277"/>
        <v>195</v>
      </c>
      <c r="I3001" s="1" t="str">
        <f t="shared" si="278"/>
        <v>15000-195</v>
      </c>
      <c r="J3001" s="1" t="str">
        <f t="shared" si="279"/>
        <v>Snare drum production item #195</v>
      </c>
      <c r="K3001" s="1" t="str">
        <f>IF(SUM(COUNTIFS(I:I, I3001)) &gt; 1, "DUPLICATE", "UNIQUE")</f>
        <v>UNIQUE</v>
      </c>
      <c r="L3001" s="18">
        <v>2</v>
      </c>
      <c r="M3001" s="28">
        <v>89</v>
      </c>
      <c r="N3001" s="6">
        <v>169</v>
      </c>
      <c r="O3001" s="30">
        <f t="shared" si="280"/>
        <v>178</v>
      </c>
      <c r="P3001" s="30">
        <f t="shared" si="281"/>
        <v>15041</v>
      </c>
      <c r="Q3001" s="1">
        <f>COUNTIFS($P:$P, "&gt;" &amp; $P3001) + 1</f>
        <v>1348</v>
      </c>
      <c r="R3001" s="63">
        <f>(COUNTIFS($P:$P, "&gt;" &amp; $P3001) + 1) / (COUNTA($I:$I) - 1)</f>
        <v>0.26960000000000001</v>
      </c>
      <c r="S3001" s="23">
        <f>SUMIFS($P:$P, $Q:$Q, "&lt;" &amp; $Q3001)</f>
        <v>172712851</v>
      </c>
    </row>
    <row r="3002" spans="1:19" x14ac:dyDescent="0.25">
      <c r="A3002" s="1">
        <v>2997</v>
      </c>
      <c r="B3002" s="1" t="s">
        <v>2</v>
      </c>
      <c r="C3002" s="1" t="str">
        <f>IF($B3002 = "Production Item", _xlfn.XLOOKUP($A3002, 'Instrument Table'!$J:$J, 'Instrument Table'!$B:$B, $C3001), IF($B3002 = "Service Item", _xlfn.XLOOKUP($A3002, 'Instrument Table'!$I:$I, 'Instrument Table'!$B:$B, $C3001), _xlfn.XLOOKUP($A3002, 'Instrument Table'!$H:$H, 'Instrument Table'!$B:$B, $C3001)))</f>
        <v>Snare Drum</v>
      </c>
      <c r="D3002" s="1" t="str">
        <f>VLOOKUP($C3002, 'Instrument Table'!$B:$C, 2, FALSE)</f>
        <v>Percussion</v>
      </c>
      <c r="E3002" s="1">
        <f t="shared" si="276"/>
        <v>1</v>
      </c>
      <c r="F3002" s="1">
        <f>_xlfn.XLOOKUP($C3002, 'Instrument Table'!$B:$B, 'Instrument Table'!$A:$A, "")</f>
        <v>50</v>
      </c>
      <c r="G3002" s="1" t="str">
        <f>TEXT(IF($B3002 = "Retail Item", IF((ROW($A3002) - 4504 - _xlfn.XMATCH($C3002, $C$4506:$C$5005, 0, 1)) &lt;= VLOOKUP($C3002, 'Instrument Table'!$B:$D, 3, FALSE), ROW($A3002) - 4504 - _xlfn.XMATCH($C3002, $C$4506:$C$5005, 0, 1), 0), 0), "00")</f>
        <v>00</v>
      </c>
      <c r="H3002" s="1" t="str">
        <f t="shared" si="277"/>
        <v>196</v>
      </c>
      <c r="I3002" s="1" t="str">
        <f t="shared" si="278"/>
        <v>15000-196</v>
      </c>
      <c r="J3002" s="1" t="str">
        <f t="shared" si="279"/>
        <v>Snare drum production item #196</v>
      </c>
      <c r="K3002" s="1" t="str">
        <f>IF(SUM(COUNTIFS(I:I, I3002)) &gt; 1, "DUPLICATE", "UNIQUE")</f>
        <v>UNIQUE</v>
      </c>
      <c r="L3002" s="18">
        <v>4</v>
      </c>
      <c r="M3002" s="28">
        <v>55</v>
      </c>
      <c r="N3002" s="6">
        <v>289</v>
      </c>
      <c r="O3002" s="30">
        <f t="shared" si="280"/>
        <v>220</v>
      </c>
      <c r="P3002" s="30">
        <f t="shared" si="281"/>
        <v>15895</v>
      </c>
      <c r="Q3002" s="1">
        <f>COUNTIFS($P:$P, "&gt;" &amp; $P3002) + 1</f>
        <v>1282</v>
      </c>
      <c r="R3002" s="63">
        <f>(COUNTIFS($P:$P, "&gt;" &amp; $P3002) + 1) / (COUNTA($I:$I) - 1)</f>
        <v>0.25640000000000002</v>
      </c>
      <c r="S3002" s="23">
        <f>SUMIFS($P:$P, $Q:$Q, "&lt;" &amp; $Q3002)</f>
        <v>171688855</v>
      </c>
    </row>
    <row r="3003" spans="1:19" x14ac:dyDescent="0.25">
      <c r="A3003" s="1">
        <v>2998</v>
      </c>
      <c r="B3003" s="1" t="s">
        <v>2</v>
      </c>
      <c r="C3003" s="1" t="str">
        <f>IF($B3003 = "Production Item", _xlfn.XLOOKUP($A3003, 'Instrument Table'!$J:$J, 'Instrument Table'!$B:$B, $C3002), IF($B3003 = "Service Item", _xlfn.XLOOKUP($A3003, 'Instrument Table'!$I:$I, 'Instrument Table'!$B:$B, $C3002), _xlfn.XLOOKUP($A3003, 'Instrument Table'!$H:$H, 'Instrument Table'!$B:$B, $C3002)))</f>
        <v>Snare Drum</v>
      </c>
      <c r="D3003" s="1" t="str">
        <f>VLOOKUP($C3003, 'Instrument Table'!$B:$C, 2, FALSE)</f>
        <v>Percussion</v>
      </c>
      <c r="E3003" s="1">
        <f t="shared" si="276"/>
        <v>1</v>
      </c>
      <c r="F3003" s="1">
        <f>_xlfn.XLOOKUP($C3003, 'Instrument Table'!$B:$B, 'Instrument Table'!$A:$A, "")</f>
        <v>50</v>
      </c>
      <c r="G3003" s="1" t="str">
        <f>TEXT(IF($B3003 = "Retail Item", IF((ROW($A3003) - 4504 - _xlfn.XMATCH($C3003, $C$4506:$C$5005, 0, 1)) &lt;= VLOOKUP($C3003, 'Instrument Table'!$B:$D, 3, FALSE), ROW($A3003) - 4504 - _xlfn.XMATCH($C3003, $C$4506:$C$5005, 0, 1), 0), 0), "00")</f>
        <v>00</v>
      </c>
      <c r="H3003" s="1" t="str">
        <f t="shared" si="277"/>
        <v>197</v>
      </c>
      <c r="I3003" s="1" t="str">
        <f t="shared" si="278"/>
        <v>15000-197</v>
      </c>
      <c r="J3003" s="1" t="str">
        <f t="shared" si="279"/>
        <v>Snare drum production item #197</v>
      </c>
      <c r="K3003" s="1" t="str">
        <f>IF(SUM(COUNTIFS(I:I, I3003)) &gt; 1, "DUPLICATE", "UNIQUE")</f>
        <v>UNIQUE</v>
      </c>
      <c r="L3003" s="18">
        <v>2</v>
      </c>
      <c r="M3003" s="28">
        <v>39</v>
      </c>
      <c r="N3003" s="6">
        <v>144</v>
      </c>
      <c r="O3003" s="30">
        <f t="shared" si="280"/>
        <v>78</v>
      </c>
      <c r="P3003" s="30">
        <f t="shared" si="281"/>
        <v>5616</v>
      </c>
      <c r="Q3003" s="1">
        <f>COUNTIFS($P:$P, "&gt;" &amp; $P3003) + 1</f>
        <v>2332</v>
      </c>
      <c r="R3003" s="63">
        <f>(COUNTIFS($P:$P, "&gt;" &amp; $P3003) + 1) / (COUNTA($I:$I) - 1)</f>
        <v>0.46639999999999998</v>
      </c>
      <c r="S3003" s="23">
        <f>SUMIFS($P:$P, $Q:$Q, "&lt;" &amp; $Q3003)</f>
        <v>182247288</v>
      </c>
    </row>
    <row r="3004" spans="1:19" x14ac:dyDescent="0.25">
      <c r="A3004" s="1">
        <v>2999</v>
      </c>
      <c r="B3004" s="1" t="s">
        <v>2</v>
      </c>
      <c r="C3004" s="1" t="str">
        <f>IF($B3004 = "Production Item", _xlfn.XLOOKUP($A3004, 'Instrument Table'!$J:$J, 'Instrument Table'!$B:$B, $C3003), IF($B3004 = "Service Item", _xlfn.XLOOKUP($A3004, 'Instrument Table'!$I:$I, 'Instrument Table'!$B:$B, $C3003), _xlfn.XLOOKUP($A3004, 'Instrument Table'!$H:$H, 'Instrument Table'!$B:$B, $C3003)))</f>
        <v>Snare Drum</v>
      </c>
      <c r="D3004" s="1" t="str">
        <f>VLOOKUP($C3004, 'Instrument Table'!$B:$C, 2, FALSE)</f>
        <v>Percussion</v>
      </c>
      <c r="E3004" s="1">
        <f t="shared" si="276"/>
        <v>1</v>
      </c>
      <c r="F3004" s="1">
        <f>_xlfn.XLOOKUP($C3004, 'Instrument Table'!$B:$B, 'Instrument Table'!$A:$A, "")</f>
        <v>50</v>
      </c>
      <c r="G3004" s="1" t="str">
        <f>TEXT(IF($B3004 = "Retail Item", IF((ROW($A3004) - 4504 - _xlfn.XMATCH($C3004, $C$4506:$C$5005, 0, 1)) &lt;= VLOOKUP($C3004, 'Instrument Table'!$B:$D, 3, FALSE), ROW($A3004) - 4504 - _xlfn.XMATCH($C3004, $C$4506:$C$5005, 0, 1), 0), 0), "00")</f>
        <v>00</v>
      </c>
      <c r="H3004" s="1" t="str">
        <f t="shared" si="277"/>
        <v>198</v>
      </c>
      <c r="I3004" s="1" t="str">
        <f t="shared" si="278"/>
        <v>15000-198</v>
      </c>
      <c r="J3004" s="1" t="str">
        <f t="shared" si="279"/>
        <v>Snare drum production item #198</v>
      </c>
      <c r="K3004" s="1" t="str">
        <f>IF(SUM(COUNTIFS(I:I, I3004)) &gt; 1, "DUPLICATE", "UNIQUE")</f>
        <v>UNIQUE</v>
      </c>
      <c r="L3004" s="18">
        <v>1</v>
      </c>
      <c r="M3004" s="28">
        <v>88</v>
      </c>
      <c r="N3004" s="6">
        <v>169</v>
      </c>
      <c r="O3004" s="30">
        <f t="shared" si="280"/>
        <v>88</v>
      </c>
      <c r="P3004" s="30">
        <f t="shared" si="281"/>
        <v>14872</v>
      </c>
      <c r="Q3004" s="1">
        <f>COUNTIFS($P:$P, "&gt;" &amp; $P3004) + 1</f>
        <v>1359</v>
      </c>
      <c r="R3004" s="63">
        <f>(COUNTIFS($P:$P, "&gt;" &amp; $P3004) + 1) / (COUNTA($I:$I) - 1)</f>
        <v>0.27179999999999999</v>
      </c>
      <c r="S3004" s="23">
        <f>SUMIFS($P:$P, $Q:$Q, "&lt;" &amp; $Q3004)</f>
        <v>172877462</v>
      </c>
    </row>
    <row r="3005" spans="1:19" x14ac:dyDescent="0.25">
      <c r="A3005" s="1">
        <v>3000</v>
      </c>
      <c r="B3005" s="1" t="s">
        <v>2</v>
      </c>
      <c r="C3005" s="1" t="str">
        <f>IF($B3005 = "Production Item", _xlfn.XLOOKUP($A3005, 'Instrument Table'!$J:$J, 'Instrument Table'!$B:$B, $C3004), IF($B3005 = "Service Item", _xlfn.XLOOKUP($A3005, 'Instrument Table'!$I:$I, 'Instrument Table'!$B:$B, $C3004), _xlfn.XLOOKUP($A3005, 'Instrument Table'!$H:$H, 'Instrument Table'!$B:$B, $C3004)))</f>
        <v>Snare Drum</v>
      </c>
      <c r="D3005" s="1" t="str">
        <f>VLOOKUP($C3005, 'Instrument Table'!$B:$C, 2, FALSE)</f>
        <v>Percussion</v>
      </c>
      <c r="E3005" s="1">
        <f t="shared" si="276"/>
        <v>1</v>
      </c>
      <c r="F3005" s="1">
        <f>_xlfn.XLOOKUP($C3005, 'Instrument Table'!$B:$B, 'Instrument Table'!$A:$A, "")</f>
        <v>50</v>
      </c>
      <c r="G3005" s="1" t="str">
        <f>TEXT(IF($B3005 = "Retail Item", IF((ROW($A3005) - 4504 - _xlfn.XMATCH($C3005, $C$4506:$C$5005, 0, 1)) &lt;= VLOOKUP($C3005, 'Instrument Table'!$B:$D, 3, FALSE), ROW($A3005) - 4504 - _xlfn.XMATCH($C3005, $C$4506:$C$5005, 0, 1), 0), 0), "00")</f>
        <v>00</v>
      </c>
      <c r="H3005" s="1" t="str">
        <f t="shared" si="277"/>
        <v>199</v>
      </c>
      <c r="I3005" s="1" t="str">
        <f t="shared" si="278"/>
        <v>15000-199</v>
      </c>
      <c r="J3005" s="1" t="str">
        <f t="shared" si="279"/>
        <v>Snare drum production item #199</v>
      </c>
      <c r="K3005" s="1" t="str">
        <f>IF(SUM(COUNTIFS(I:I, I3005)) &gt; 1, "DUPLICATE", "UNIQUE")</f>
        <v>UNIQUE</v>
      </c>
      <c r="L3005" s="18">
        <v>32</v>
      </c>
      <c r="M3005" s="28">
        <v>15</v>
      </c>
      <c r="N3005" s="6">
        <v>0</v>
      </c>
      <c r="O3005" s="30">
        <f t="shared" si="280"/>
        <v>480</v>
      </c>
      <c r="P3005" s="30">
        <f t="shared" si="281"/>
        <v>0</v>
      </c>
      <c r="Q3005" s="1">
        <f>COUNTIFS($P:$P, "&gt;" &amp; $P3005) + 1</f>
        <v>4746</v>
      </c>
      <c r="R3005" s="63">
        <f>(COUNTIFS($P:$P, "&gt;" &amp; $P3005) + 1) / (COUNTA($I:$I) - 1)</f>
        <v>0.94920000000000004</v>
      </c>
      <c r="S3005" s="23">
        <f>SUMIFS($P:$P, $Q:$Q, "&lt;" &amp; $Q3005)</f>
        <v>186547861</v>
      </c>
    </row>
    <row r="3006" spans="1:19" x14ac:dyDescent="0.25">
      <c r="A3006" s="1">
        <v>3001</v>
      </c>
      <c r="B3006" s="1" t="s">
        <v>2</v>
      </c>
      <c r="C3006" s="1" t="str">
        <f>IF($B3006 = "Production Item", _xlfn.XLOOKUP($A3006, 'Instrument Table'!$J:$J, 'Instrument Table'!$B:$B, $C3005), IF($B3006 = "Service Item", _xlfn.XLOOKUP($A3006, 'Instrument Table'!$I:$I, 'Instrument Table'!$B:$B, $C3005), _xlfn.XLOOKUP($A3006, 'Instrument Table'!$H:$H, 'Instrument Table'!$B:$B, $C3005)))</f>
        <v>Timpani</v>
      </c>
      <c r="D3006" s="1" t="str">
        <f>VLOOKUP($C3006, 'Instrument Table'!$B:$C, 2, FALSE)</f>
        <v>Percussion</v>
      </c>
      <c r="E3006" s="1">
        <f t="shared" si="276"/>
        <v>1</v>
      </c>
      <c r="F3006" s="1">
        <f>_xlfn.XLOOKUP($C3006, 'Instrument Table'!$B:$B, 'Instrument Table'!$A:$A, "")</f>
        <v>51</v>
      </c>
      <c r="G3006" s="1" t="str">
        <f>TEXT(IF($B3006 = "Retail Item", IF((ROW($A3006) - 4504 - _xlfn.XMATCH($C3006, $C$4506:$C$5005, 0, 1)) &lt;= VLOOKUP($C3006, 'Instrument Table'!$B:$D, 3, FALSE), ROW($A3006) - 4504 - _xlfn.XMATCH($C3006, $C$4506:$C$5005, 0, 1), 0), 0), "00")</f>
        <v>00</v>
      </c>
      <c r="H3006" s="1" t="str">
        <f t="shared" si="277"/>
        <v>000</v>
      </c>
      <c r="I3006" s="1" t="str">
        <f t="shared" si="278"/>
        <v>15100-000</v>
      </c>
      <c r="J3006" s="1" t="str">
        <f t="shared" si="279"/>
        <v>Timpani production item #000</v>
      </c>
      <c r="K3006" s="1" t="str">
        <f>IF(SUM(COUNTIFS(I:I, I3006)) &gt; 1, "DUPLICATE", "UNIQUE")</f>
        <v>UNIQUE</v>
      </c>
      <c r="L3006" s="18">
        <v>0</v>
      </c>
      <c r="M3006" s="28">
        <v>87</v>
      </c>
      <c r="N3006" s="6">
        <v>289</v>
      </c>
      <c r="O3006" s="30">
        <f t="shared" si="280"/>
        <v>0</v>
      </c>
      <c r="P3006" s="30">
        <f t="shared" si="281"/>
        <v>25143</v>
      </c>
      <c r="Q3006" s="1">
        <f>COUNTIFS($P:$P, "&gt;" &amp; $P3006) + 1</f>
        <v>822</v>
      </c>
      <c r="R3006" s="63">
        <f>(COUNTIFS($P:$P, "&gt;" &amp; $P3006) + 1) / (COUNTA($I:$I) - 1)</f>
        <v>0.16439999999999999</v>
      </c>
      <c r="S3006" s="23">
        <f>SUMIFS($P:$P, $Q:$Q, "&lt;" &amp; $Q3006)</f>
        <v>162388580</v>
      </c>
    </row>
    <row r="3007" spans="1:19" x14ac:dyDescent="0.25">
      <c r="A3007" s="1">
        <v>3002</v>
      </c>
      <c r="B3007" s="1" t="s">
        <v>2</v>
      </c>
      <c r="C3007" s="1" t="str">
        <f>IF($B3007 = "Production Item", _xlfn.XLOOKUP($A3007, 'Instrument Table'!$J:$J, 'Instrument Table'!$B:$B, $C3006), IF($B3007 = "Service Item", _xlfn.XLOOKUP($A3007, 'Instrument Table'!$I:$I, 'Instrument Table'!$B:$B, $C3006), _xlfn.XLOOKUP($A3007, 'Instrument Table'!$H:$H, 'Instrument Table'!$B:$B, $C3006)))</f>
        <v>Timpani</v>
      </c>
      <c r="D3007" s="1" t="str">
        <f>VLOOKUP($C3007, 'Instrument Table'!$B:$C, 2, FALSE)</f>
        <v>Percussion</v>
      </c>
      <c r="E3007" s="1">
        <f t="shared" si="276"/>
        <v>1</v>
      </c>
      <c r="F3007" s="1">
        <f>_xlfn.XLOOKUP($C3007, 'Instrument Table'!$B:$B, 'Instrument Table'!$A:$A, "")</f>
        <v>51</v>
      </c>
      <c r="G3007" s="1" t="str">
        <f>TEXT(IF($B3007 = "Retail Item", IF((ROW($A3007) - 4504 - _xlfn.XMATCH($C3007, $C$4506:$C$5005, 0, 1)) &lt;= VLOOKUP($C3007, 'Instrument Table'!$B:$D, 3, FALSE), ROW($A3007) - 4504 - _xlfn.XMATCH($C3007, $C$4506:$C$5005, 0, 1), 0), 0), "00")</f>
        <v>00</v>
      </c>
      <c r="H3007" s="1" t="str">
        <f t="shared" si="277"/>
        <v>001</v>
      </c>
      <c r="I3007" s="1" t="str">
        <f t="shared" si="278"/>
        <v>15100-001</v>
      </c>
      <c r="J3007" s="1" t="str">
        <f t="shared" si="279"/>
        <v>Timpani production item #001</v>
      </c>
      <c r="K3007" s="1" t="str">
        <f>IF(SUM(COUNTIFS(I:I, I3007)) &gt; 1, "DUPLICATE", "UNIQUE")</f>
        <v>UNIQUE</v>
      </c>
      <c r="L3007" s="18">
        <v>0</v>
      </c>
      <c r="M3007" s="28">
        <v>28</v>
      </c>
      <c r="N3007" s="6">
        <v>81</v>
      </c>
      <c r="O3007" s="30">
        <f t="shared" si="280"/>
        <v>0</v>
      </c>
      <c r="P3007" s="30">
        <f t="shared" si="281"/>
        <v>2268</v>
      </c>
      <c r="Q3007" s="1">
        <f>COUNTIFS($P:$P, "&gt;" &amp; $P3007) + 1</f>
        <v>3145</v>
      </c>
      <c r="R3007" s="63">
        <f>(COUNTIFS($P:$P, "&gt;" &amp; $P3007) + 1) / (COUNTA($I:$I) - 1)</f>
        <v>0.629</v>
      </c>
      <c r="S3007" s="23">
        <f>SUMIFS($P:$P, $Q:$Q, "&lt;" &amp; $Q3007)</f>
        <v>185286773</v>
      </c>
    </row>
    <row r="3008" spans="1:19" x14ac:dyDescent="0.25">
      <c r="A3008" s="1">
        <v>3003</v>
      </c>
      <c r="B3008" s="1" t="s">
        <v>2</v>
      </c>
      <c r="C3008" s="1" t="str">
        <f>IF($B3008 = "Production Item", _xlfn.XLOOKUP($A3008, 'Instrument Table'!$J:$J, 'Instrument Table'!$B:$B, $C3007), IF($B3008 = "Service Item", _xlfn.XLOOKUP($A3008, 'Instrument Table'!$I:$I, 'Instrument Table'!$B:$B, $C3007), _xlfn.XLOOKUP($A3008, 'Instrument Table'!$H:$H, 'Instrument Table'!$B:$B, $C3007)))</f>
        <v>Timpani</v>
      </c>
      <c r="D3008" s="1" t="str">
        <f>VLOOKUP($C3008, 'Instrument Table'!$B:$C, 2, FALSE)</f>
        <v>Percussion</v>
      </c>
      <c r="E3008" s="1">
        <f t="shared" si="276"/>
        <v>1</v>
      </c>
      <c r="F3008" s="1">
        <f>_xlfn.XLOOKUP($C3008, 'Instrument Table'!$B:$B, 'Instrument Table'!$A:$A, "")</f>
        <v>51</v>
      </c>
      <c r="G3008" s="1" t="str">
        <f>TEXT(IF($B3008 = "Retail Item", IF((ROW($A3008) - 4504 - _xlfn.XMATCH($C3008, $C$4506:$C$5005, 0, 1)) &lt;= VLOOKUP($C3008, 'Instrument Table'!$B:$D, 3, FALSE), ROW($A3008) - 4504 - _xlfn.XMATCH($C3008, $C$4506:$C$5005, 0, 1), 0), 0), "00")</f>
        <v>00</v>
      </c>
      <c r="H3008" s="1" t="str">
        <f t="shared" si="277"/>
        <v>002</v>
      </c>
      <c r="I3008" s="1" t="str">
        <f t="shared" si="278"/>
        <v>15100-002</v>
      </c>
      <c r="J3008" s="1" t="str">
        <f t="shared" si="279"/>
        <v>Timpani production item #002</v>
      </c>
      <c r="K3008" s="1" t="str">
        <f>IF(SUM(COUNTIFS(I:I, I3008)) &gt; 1, "DUPLICATE", "UNIQUE")</f>
        <v>UNIQUE</v>
      </c>
      <c r="L3008" s="18">
        <v>0</v>
      </c>
      <c r="M3008" s="28">
        <v>17</v>
      </c>
      <c r="N3008" s="6">
        <v>16</v>
      </c>
      <c r="O3008" s="30">
        <f t="shared" si="280"/>
        <v>0</v>
      </c>
      <c r="P3008" s="30">
        <f t="shared" si="281"/>
        <v>272</v>
      </c>
      <c r="Q3008" s="1">
        <f>COUNTIFS($P:$P, "&gt;" &amp; $P3008) + 1</f>
        <v>4246</v>
      </c>
      <c r="R3008" s="63">
        <f>(COUNTIFS($P:$P, "&gt;" &amp; $P3008) + 1) / (COUNTA($I:$I) - 1)</f>
        <v>0.84919999999999995</v>
      </c>
      <c r="S3008" s="23">
        <f>SUMIFS($P:$P, $Q:$Q, "&lt;" &amp; $Q3008)</f>
        <v>186494000</v>
      </c>
    </row>
    <row r="3009" spans="1:19" x14ac:dyDescent="0.25">
      <c r="A3009" s="1">
        <v>3004</v>
      </c>
      <c r="B3009" s="1" t="s">
        <v>2</v>
      </c>
      <c r="C3009" s="1" t="str">
        <f>IF($B3009 = "Production Item", _xlfn.XLOOKUP($A3009, 'Instrument Table'!$J:$J, 'Instrument Table'!$B:$B, $C3008), IF($B3009 = "Service Item", _xlfn.XLOOKUP($A3009, 'Instrument Table'!$I:$I, 'Instrument Table'!$B:$B, $C3008), _xlfn.XLOOKUP($A3009, 'Instrument Table'!$H:$H, 'Instrument Table'!$B:$B, $C3008)))</f>
        <v>Timpani</v>
      </c>
      <c r="D3009" s="1" t="str">
        <f>VLOOKUP($C3009, 'Instrument Table'!$B:$C, 2, FALSE)</f>
        <v>Percussion</v>
      </c>
      <c r="E3009" s="1">
        <f t="shared" si="276"/>
        <v>1</v>
      </c>
      <c r="F3009" s="1">
        <f>_xlfn.XLOOKUP($C3009, 'Instrument Table'!$B:$B, 'Instrument Table'!$A:$A, "")</f>
        <v>51</v>
      </c>
      <c r="G3009" s="1" t="str">
        <f>TEXT(IF($B3009 = "Retail Item", IF((ROW($A3009) - 4504 - _xlfn.XMATCH($C3009, $C$4506:$C$5005, 0, 1)) &lt;= VLOOKUP($C3009, 'Instrument Table'!$B:$D, 3, FALSE), ROW($A3009) - 4504 - _xlfn.XMATCH($C3009, $C$4506:$C$5005, 0, 1), 0), 0), "00")</f>
        <v>00</v>
      </c>
      <c r="H3009" s="1" t="str">
        <f t="shared" si="277"/>
        <v>003</v>
      </c>
      <c r="I3009" s="1" t="str">
        <f t="shared" si="278"/>
        <v>15100-003</v>
      </c>
      <c r="J3009" s="1" t="str">
        <f t="shared" si="279"/>
        <v>Timpani production item #003</v>
      </c>
      <c r="K3009" s="1" t="str">
        <f>IF(SUM(COUNTIFS(I:I, I3009)) &gt; 1, "DUPLICATE", "UNIQUE")</f>
        <v>UNIQUE</v>
      </c>
      <c r="L3009" s="18">
        <v>16</v>
      </c>
      <c r="M3009" s="28">
        <v>82</v>
      </c>
      <c r="N3009" s="6">
        <v>36</v>
      </c>
      <c r="O3009" s="30">
        <f t="shared" si="280"/>
        <v>1312</v>
      </c>
      <c r="P3009" s="30">
        <f t="shared" si="281"/>
        <v>2952</v>
      </c>
      <c r="Q3009" s="1">
        <f>COUNTIFS($P:$P, "&gt;" &amp; $P3009) + 1</f>
        <v>2914</v>
      </c>
      <c r="R3009" s="63">
        <f>(COUNTIFS($P:$P, "&gt;" &amp; $P3009) + 1) / (COUNTA($I:$I) - 1)</f>
        <v>0.58279999999999998</v>
      </c>
      <c r="S3009" s="23">
        <f>SUMIFS($P:$P, $Q:$Q, "&lt;" &amp; $Q3009)</f>
        <v>184690403</v>
      </c>
    </row>
    <row r="3010" spans="1:19" x14ac:dyDescent="0.25">
      <c r="A3010" s="1">
        <v>3005</v>
      </c>
      <c r="B3010" s="1" t="s">
        <v>2</v>
      </c>
      <c r="C3010" s="1" t="str">
        <f>IF($B3010 = "Production Item", _xlfn.XLOOKUP($A3010, 'Instrument Table'!$J:$J, 'Instrument Table'!$B:$B, $C3009), IF($B3010 = "Service Item", _xlfn.XLOOKUP($A3010, 'Instrument Table'!$I:$I, 'Instrument Table'!$B:$B, $C3009), _xlfn.XLOOKUP($A3010, 'Instrument Table'!$H:$H, 'Instrument Table'!$B:$B, $C3009)))</f>
        <v>Timpani</v>
      </c>
      <c r="D3010" s="1" t="str">
        <f>VLOOKUP($C3010, 'Instrument Table'!$B:$C, 2, FALSE)</f>
        <v>Percussion</v>
      </c>
      <c r="E3010" s="1">
        <f t="shared" si="276"/>
        <v>1</v>
      </c>
      <c r="F3010" s="1">
        <f>_xlfn.XLOOKUP($C3010, 'Instrument Table'!$B:$B, 'Instrument Table'!$A:$A, "")</f>
        <v>51</v>
      </c>
      <c r="G3010" s="1" t="str">
        <f>TEXT(IF($B3010 = "Retail Item", IF((ROW($A3010) - 4504 - _xlfn.XMATCH($C3010, $C$4506:$C$5005, 0, 1)) &lt;= VLOOKUP($C3010, 'Instrument Table'!$B:$D, 3, FALSE), ROW($A3010) - 4504 - _xlfn.XMATCH($C3010, $C$4506:$C$5005, 0, 1), 0), 0), "00")</f>
        <v>00</v>
      </c>
      <c r="H3010" s="1" t="str">
        <f t="shared" si="277"/>
        <v>004</v>
      </c>
      <c r="I3010" s="1" t="str">
        <f t="shared" si="278"/>
        <v>15100-004</v>
      </c>
      <c r="J3010" s="1" t="str">
        <f t="shared" si="279"/>
        <v>Timpani production item #004</v>
      </c>
      <c r="K3010" s="1" t="str">
        <f>IF(SUM(COUNTIFS(I:I, I3010)) &gt; 1, "DUPLICATE", "UNIQUE")</f>
        <v>UNIQUE</v>
      </c>
      <c r="L3010" s="18">
        <v>32</v>
      </c>
      <c r="M3010" s="28">
        <v>80</v>
      </c>
      <c r="N3010" s="6">
        <v>64</v>
      </c>
      <c r="O3010" s="30">
        <f t="shared" si="280"/>
        <v>2560</v>
      </c>
      <c r="P3010" s="30">
        <f t="shared" si="281"/>
        <v>5120</v>
      </c>
      <c r="Q3010" s="1">
        <f>COUNTIFS($P:$P, "&gt;" &amp; $P3010) + 1</f>
        <v>2421</v>
      </c>
      <c r="R3010" s="63">
        <f>(COUNTIFS($P:$P, "&gt;" &amp; $P3010) + 1) / (COUNTA($I:$I) - 1)</f>
        <v>0.48420000000000002</v>
      </c>
      <c r="S3010" s="23">
        <f>SUMIFS($P:$P, $Q:$Q, "&lt;" &amp; $Q3010)</f>
        <v>182725575</v>
      </c>
    </row>
    <row r="3011" spans="1:19" x14ac:dyDescent="0.25">
      <c r="A3011" s="1">
        <v>3006</v>
      </c>
      <c r="B3011" s="1" t="s">
        <v>2</v>
      </c>
      <c r="C3011" s="1" t="str">
        <f>IF($B3011 = "Production Item", _xlfn.XLOOKUP($A3011, 'Instrument Table'!$J:$J, 'Instrument Table'!$B:$B, $C3010), IF($B3011 = "Service Item", _xlfn.XLOOKUP($A3011, 'Instrument Table'!$I:$I, 'Instrument Table'!$B:$B, $C3010), _xlfn.XLOOKUP($A3011, 'Instrument Table'!$H:$H, 'Instrument Table'!$B:$B, $C3010)))</f>
        <v>Timpani</v>
      </c>
      <c r="D3011" s="1" t="str">
        <f>VLOOKUP($C3011, 'Instrument Table'!$B:$C, 2, FALSE)</f>
        <v>Percussion</v>
      </c>
      <c r="E3011" s="1">
        <f t="shared" si="276"/>
        <v>1</v>
      </c>
      <c r="F3011" s="1">
        <f>_xlfn.XLOOKUP($C3011, 'Instrument Table'!$B:$B, 'Instrument Table'!$A:$A, "")</f>
        <v>51</v>
      </c>
      <c r="G3011" s="1" t="str">
        <f>TEXT(IF($B3011 = "Retail Item", IF((ROW($A3011) - 4504 - _xlfn.XMATCH($C3011, $C$4506:$C$5005, 0, 1)) &lt;= VLOOKUP($C3011, 'Instrument Table'!$B:$D, 3, FALSE), ROW($A3011) - 4504 - _xlfn.XMATCH($C3011, $C$4506:$C$5005, 0, 1), 0), 0), "00")</f>
        <v>00</v>
      </c>
      <c r="H3011" s="1" t="str">
        <f t="shared" si="277"/>
        <v>005</v>
      </c>
      <c r="I3011" s="1" t="str">
        <f t="shared" si="278"/>
        <v>15100-005</v>
      </c>
      <c r="J3011" s="1" t="str">
        <f t="shared" si="279"/>
        <v>Timpani production item #005</v>
      </c>
      <c r="K3011" s="1" t="str">
        <f>IF(SUM(COUNTIFS(I:I, I3011)) &gt; 1, "DUPLICATE", "UNIQUE")</f>
        <v>UNIQUE</v>
      </c>
      <c r="L3011" s="18">
        <v>4</v>
      </c>
      <c r="M3011" s="28">
        <v>13</v>
      </c>
      <c r="N3011" s="6">
        <v>400</v>
      </c>
      <c r="O3011" s="30">
        <f t="shared" si="280"/>
        <v>52</v>
      </c>
      <c r="P3011" s="30">
        <f t="shared" si="281"/>
        <v>5200</v>
      </c>
      <c r="Q3011" s="1">
        <f>COUNTIFS($P:$P, "&gt;" &amp; $P3011) + 1</f>
        <v>2403</v>
      </c>
      <c r="R3011" s="63">
        <f>(COUNTIFS($P:$P, "&gt;" &amp; $P3011) + 1) / (COUNTA($I:$I) - 1)</f>
        <v>0.48060000000000003</v>
      </c>
      <c r="S3011" s="23">
        <f>SUMIFS($P:$P, $Q:$Q, "&lt;" &amp; $Q3011)</f>
        <v>182632128</v>
      </c>
    </row>
    <row r="3012" spans="1:19" x14ac:dyDescent="0.25">
      <c r="A3012" s="1">
        <v>3007</v>
      </c>
      <c r="B3012" s="1" t="s">
        <v>2</v>
      </c>
      <c r="C3012" s="1" t="str">
        <f>IF($B3012 = "Production Item", _xlfn.XLOOKUP($A3012, 'Instrument Table'!$J:$J, 'Instrument Table'!$B:$B, $C3011), IF($B3012 = "Service Item", _xlfn.XLOOKUP($A3012, 'Instrument Table'!$I:$I, 'Instrument Table'!$B:$B, $C3011), _xlfn.XLOOKUP($A3012, 'Instrument Table'!$H:$H, 'Instrument Table'!$B:$B, $C3011)))</f>
        <v>Timpani</v>
      </c>
      <c r="D3012" s="1" t="str">
        <f>VLOOKUP($C3012, 'Instrument Table'!$B:$C, 2, FALSE)</f>
        <v>Percussion</v>
      </c>
      <c r="E3012" s="1">
        <f t="shared" si="276"/>
        <v>1</v>
      </c>
      <c r="F3012" s="1">
        <f>_xlfn.XLOOKUP($C3012, 'Instrument Table'!$B:$B, 'Instrument Table'!$A:$A, "")</f>
        <v>51</v>
      </c>
      <c r="G3012" s="1" t="str">
        <f>TEXT(IF($B3012 = "Retail Item", IF((ROW($A3012) - 4504 - _xlfn.XMATCH($C3012, $C$4506:$C$5005, 0, 1)) &lt;= VLOOKUP($C3012, 'Instrument Table'!$B:$D, 3, FALSE), ROW($A3012) - 4504 - _xlfn.XMATCH($C3012, $C$4506:$C$5005, 0, 1), 0), 0), "00")</f>
        <v>00</v>
      </c>
      <c r="H3012" s="1" t="str">
        <f t="shared" si="277"/>
        <v>006</v>
      </c>
      <c r="I3012" s="1" t="str">
        <f t="shared" si="278"/>
        <v>15100-006</v>
      </c>
      <c r="J3012" s="1" t="str">
        <f t="shared" si="279"/>
        <v>Timpani production item #006</v>
      </c>
      <c r="K3012" s="1" t="str">
        <f>IF(SUM(COUNTIFS(I:I, I3012)) &gt; 1, "DUPLICATE", "UNIQUE")</f>
        <v>UNIQUE</v>
      </c>
      <c r="L3012" s="18">
        <v>1</v>
      </c>
      <c r="M3012" s="28">
        <v>43</v>
      </c>
      <c r="N3012" s="6">
        <v>361</v>
      </c>
      <c r="O3012" s="30">
        <f t="shared" si="280"/>
        <v>43</v>
      </c>
      <c r="P3012" s="30">
        <f t="shared" si="281"/>
        <v>15523</v>
      </c>
      <c r="Q3012" s="1">
        <f>COUNTIFS($P:$P, "&gt;" &amp; $P3012) + 1</f>
        <v>1317</v>
      </c>
      <c r="R3012" s="63">
        <f>(COUNTIFS($P:$P, "&gt;" &amp; $P3012) + 1) / (COUNTA($I:$I) - 1)</f>
        <v>0.26340000000000002</v>
      </c>
      <c r="S3012" s="23">
        <f>SUMIFS($P:$P, $Q:$Q, "&lt;" &amp; $Q3012)</f>
        <v>172238990</v>
      </c>
    </row>
    <row r="3013" spans="1:19" x14ac:dyDescent="0.25">
      <c r="A3013" s="1">
        <v>3008</v>
      </c>
      <c r="B3013" s="1" t="s">
        <v>2</v>
      </c>
      <c r="C3013" s="1" t="str">
        <f>IF($B3013 = "Production Item", _xlfn.XLOOKUP($A3013, 'Instrument Table'!$J:$J, 'Instrument Table'!$B:$B, $C3012), IF($B3013 = "Service Item", _xlfn.XLOOKUP($A3013, 'Instrument Table'!$I:$I, 'Instrument Table'!$B:$B, $C3012), _xlfn.XLOOKUP($A3013, 'Instrument Table'!$H:$H, 'Instrument Table'!$B:$B, $C3012)))</f>
        <v>Timpani</v>
      </c>
      <c r="D3013" s="1" t="str">
        <f>VLOOKUP($C3013, 'Instrument Table'!$B:$C, 2, FALSE)</f>
        <v>Percussion</v>
      </c>
      <c r="E3013" s="1">
        <f t="shared" si="276"/>
        <v>1</v>
      </c>
      <c r="F3013" s="1">
        <f>_xlfn.XLOOKUP($C3013, 'Instrument Table'!$B:$B, 'Instrument Table'!$A:$A, "")</f>
        <v>51</v>
      </c>
      <c r="G3013" s="1" t="str">
        <f>TEXT(IF($B3013 = "Retail Item", IF((ROW($A3013) - 4504 - _xlfn.XMATCH($C3013, $C$4506:$C$5005, 0, 1)) &lt;= VLOOKUP($C3013, 'Instrument Table'!$B:$D, 3, FALSE), ROW($A3013) - 4504 - _xlfn.XMATCH($C3013, $C$4506:$C$5005, 0, 1), 0), 0), "00")</f>
        <v>00</v>
      </c>
      <c r="H3013" s="1" t="str">
        <f t="shared" si="277"/>
        <v>007</v>
      </c>
      <c r="I3013" s="1" t="str">
        <f t="shared" si="278"/>
        <v>15100-007</v>
      </c>
      <c r="J3013" s="1" t="str">
        <f t="shared" si="279"/>
        <v>Timpani production item #007</v>
      </c>
      <c r="K3013" s="1" t="str">
        <f>IF(SUM(COUNTIFS(I:I, I3013)) &gt; 1, "DUPLICATE", "UNIQUE")</f>
        <v>UNIQUE</v>
      </c>
      <c r="L3013" s="18">
        <v>1</v>
      </c>
      <c r="M3013" s="28">
        <v>13</v>
      </c>
      <c r="N3013" s="6">
        <v>36</v>
      </c>
      <c r="O3013" s="30">
        <f t="shared" si="280"/>
        <v>13</v>
      </c>
      <c r="P3013" s="30">
        <f t="shared" si="281"/>
        <v>468</v>
      </c>
      <c r="Q3013" s="1">
        <f>COUNTIFS($P:$P, "&gt;" &amp; $P3013) + 1</f>
        <v>4049</v>
      </c>
      <c r="R3013" s="63">
        <f>(COUNTIFS($P:$P, "&gt;" &amp; $P3013) + 1) / (COUNTA($I:$I) - 1)</f>
        <v>0.80979999999999996</v>
      </c>
      <c r="S3013" s="23">
        <f>SUMIFS($P:$P, $Q:$Q, "&lt;" &amp; $Q3013)</f>
        <v>186422918</v>
      </c>
    </row>
    <row r="3014" spans="1:19" x14ac:dyDescent="0.25">
      <c r="A3014" s="1">
        <v>3009</v>
      </c>
      <c r="B3014" s="1" t="s">
        <v>2</v>
      </c>
      <c r="C3014" s="1" t="str">
        <f>IF($B3014 = "Production Item", _xlfn.XLOOKUP($A3014, 'Instrument Table'!$J:$J, 'Instrument Table'!$B:$B, $C3013), IF($B3014 = "Service Item", _xlfn.XLOOKUP($A3014, 'Instrument Table'!$I:$I, 'Instrument Table'!$B:$B, $C3013), _xlfn.XLOOKUP($A3014, 'Instrument Table'!$H:$H, 'Instrument Table'!$B:$B, $C3013)))</f>
        <v>Timpani</v>
      </c>
      <c r="D3014" s="1" t="str">
        <f>VLOOKUP($C3014, 'Instrument Table'!$B:$C, 2, FALSE)</f>
        <v>Percussion</v>
      </c>
      <c r="E3014" s="1">
        <f t="shared" si="276"/>
        <v>1</v>
      </c>
      <c r="F3014" s="1">
        <f>_xlfn.XLOOKUP($C3014, 'Instrument Table'!$B:$B, 'Instrument Table'!$A:$A, "")</f>
        <v>51</v>
      </c>
      <c r="G3014" s="1" t="str">
        <f>TEXT(IF($B3014 = "Retail Item", IF((ROW($A3014) - 4504 - _xlfn.XMATCH($C3014, $C$4506:$C$5005, 0, 1)) &lt;= VLOOKUP($C3014, 'Instrument Table'!$B:$D, 3, FALSE), ROW($A3014) - 4504 - _xlfn.XMATCH($C3014, $C$4506:$C$5005, 0, 1), 0), 0), "00")</f>
        <v>00</v>
      </c>
      <c r="H3014" s="1" t="str">
        <f t="shared" si="277"/>
        <v>008</v>
      </c>
      <c r="I3014" s="1" t="str">
        <f t="shared" si="278"/>
        <v>15100-008</v>
      </c>
      <c r="J3014" s="1" t="str">
        <f t="shared" si="279"/>
        <v>Timpani production item #008</v>
      </c>
      <c r="K3014" s="1" t="str">
        <f>IF(SUM(COUNTIFS(I:I, I3014)) &gt; 1, "DUPLICATE", "UNIQUE")</f>
        <v>UNIQUE</v>
      </c>
      <c r="L3014" s="18">
        <v>1</v>
      </c>
      <c r="M3014" s="28">
        <v>77</v>
      </c>
      <c r="N3014" s="6">
        <v>100</v>
      </c>
      <c r="O3014" s="30">
        <f t="shared" si="280"/>
        <v>77</v>
      </c>
      <c r="P3014" s="30">
        <f t="shared" si="281"/>
        <v>7700</v>
      </c>
      <c r="Q3014" s="1">
        <f>COUNTIFS($P:$P, "&gt;" &amp; $P3014) + 1</f>
        <v>2034</v>
      </c>
      <c r="R3014" s="63">
        <f>(COUNTIFS($P:$P, "&gt;" &amp; $P3014) + 1) / (COUNTA($I:$I) - 1)</f>
        <v>0.40679999999999999</v>
      </c>
      <c r="S3014" s="23">
        <f>SUMIFS($P:$P, $Q:$Q, "&lt;" &amp; $Q3014)</f>
        <v>180262179</v>
      </c>
    </row>
    <row r="3015" spans="1:19" x14ac:dyDescent="0.25">
      <c r="A3015" s="1">
        <v>3010</v>
      </c>
      <c r="B3015" s="1" t="s">
        <v>2</v>
      </c>
      <c r="C3015" s="1" t="str">
        <f>IF($B3015 = "Production Item", _xlfn.XLOOKUP($A3015, 'Instrument Table'!$J:$J, 'Instrument Table'!$B:$B, $C3014), IF($B3015 = "Service Item", _xlfn.XLOOKUP($A3015, 'Instrument Table'!$I:$I, 'Instrument Table'!$B:$B, $C3014), _xlfn.XLOOKUP($A3015, 'Instrument Table'!$H:$H, 'Instrument Table'!$B:$B, $C3014)))</f>
        <v>Timpani</v>
      </c>
      <c r="D3015" s="1" t="str">
        <f>VLOOKUP($C3015, 'Instrument Table'!$B:$C, 2, FALSE)</f>
        <v>Percussion</v>
      </c>
      <c r="E3015" s="1">
        <f t="shared" ref="E3015:E3078" si="282">IF($B3015 = "Production Item", 1, IF($B3015 = "Service Item", 2, IF($B3015 = "Retail Item", 3, "")))</f>
        <v>1</v>
      </c>
      <c r="F3015" s="1">
        <f>_xlfn.XLOOKUP($C3015, 'Instrument Table'!$B:$B, 'Instrument Table'!$A:$A, "")</f>
        <v>51</v>
      </c>
      <c r="G3015" s="1" t="str">
        <f>TEXT(IF($B3015 = "Retail Item", IF((ROW($A3015) - 4504 - _xlfn.XMATCH($C3015, $C$4506:$C$5005, 0, 1)) &lt;= VLOOKUP($C3015, 'Instrument Table'!$B:$D, 3, FALSE), ROW($A3015) - 4504 - _xlfn.XMATCH($C3015, $C$4506:$C$5005, 0, 1), 0), 0), "00")</f>
        <v>00</v>
      </c>
      <c r="H3015" s="1" t="str">
        <f t="shared" ref="H3015:H3078" si="283">TEXT(IF($E3015 &amp; $F3015 &amp; $G3015 = $E3014 &amp; $F3014 &amp; $G3014, 1 + H3014, 0), "000")</f>
        <v>009</v>
      </c>
      <c r="I3015" s="1" t="str">
        <f t="shared" ref="I3015:I3078" si="284" xml:space="preserve"> _xlfn.CONCAT($E3015, $F3015, $G3015, "-", H3015)</f>
        <v>15100-009</v>
      </c>
      <c r="J3015" s="1" t="str">
        <f t="shared" ref="J3015:J3078" si="285">LEFT($C3015, 1) &amp; LOWER(RIGHT($C3015, LEN($C3015) - 1)) &amp; IF(AND($G3015 &lt;&gt; "00", $B3015 = "Retail Item"), " model #" &amp; $G3015, " " &amp; LOWER($B3015) &amp; " #" &amp; $H3015)</f>
        <v>Timpani production item #009</v>
      </c>
      <c r="K3015" s="1" t="str">
        <f>IF(SUM(COUNTIFS(I:I, I3015)) &gt; 1, "DUPLICATE", "UNIQUE")</f>
        <v>UNIQUE</v>
      </c>
      <c r="L3015" s="18">
        <v>32</v>
      </c>
      <c r="M3015" s="28">
        <v>38</v>
      </c>
      <c r="N3015" s="6">
        <v>121</v>
      </c>
      <c r="O3015" s="30">
        <f t="shared" ref="O3015:O3078" si="286">$L3015 * $M3015</f>
        <v>1216</v>
      </c>
      <c r="P3015" s="30">
        <f t="shared" ref="P3015:P3078" si="287">$N3015 * $M3015</f>
        <v>4598</v>
      </c>
      <c r="Q3015" s="1">
        <f>COUNTIFS($P:$P, "&gt;" &amp; $P3015) + 1</f>
        <v>2530</v>
      </c>
      <c r="R3015" s="63">
        <f>(COUNTIFS($P:$P, "&gt;" &amp; $P3015) + 1) / (COUNTA($I:$I) - 1)</f>
        <v>0.50600000000000001</v>
      </c>
      <c r="S3015" s="23">
        <f>SUMIFS($P:$P, $Q:$Q, "&lt;" &amp; $Q3015)</f>
        <v>183254441</v>
      </c>
    </row>
    <row r="3016" spans="1:19" x14ac:dyDescent="0.25">
      <c r="A3016" s="1">
        <v>3011</v>
      </c>
      <c r="B3016" s="1" t="s">
        <v>2</v>
      </c>
      <c r="C3016" s="1" t="str">
        <f>IF($B3016 = "Production Item", _xlfn.XLOOKUP($A3016, 'Instrument Table'!$J:$J, 'Instrument Table'!$B:$B, $C3015), IF($B3016 = "Service Item", _xlfn.XLOOKUP($A3016, 'Instrument Table'!$I:$I, 'Instrument Table'!$B:$B, $C3015), _xlfn.XLOOKUP($A3016, 'Instrument Table'!$H:$H, 'Instrument Table'!$B:$B, $C3015)))</f>
        <v>Timpani</v>
      </c>
      <c r="D3016" s="1" t="str">
        <f>VLOOKUP($C3016, 'Instrument Table'!$B:$C, 2, FALSE)</f>
        <v>Percussion</v>
      </c>
      <c r="E3016" s="1">
        <f t="shared" si="282"/>
        <v>1</v>
      </c>
      <c r="F3016" s="1">
        <f>_xlfn.XLOOKUP($C3016, 'Instrument Table'!$B:$B, 'Instrument Table'!$A:$A, "")</f>
        <v>51</v>
      </c>
      <c r="G3016" s="1" t="str">
        <f>TEXT(IF($B3016 = "Retail Item", IF((ROW($A3016) - 4504 - _xlfn.XMATCH($C3016, $C$4506:$C$5005, 0, 1)) &lt;= VLOOKUP($C3016, 'Instrument Table'!$B:$D, 3, FALSE), ROW($A3016) - 4504 - _xlfn.XMATCH($C3016, $C$4506:$C$5005, 0, 1), 0), 0), "00")</f>
        <v>00</v>
      </c>
      <c r="H3016" s="1" t="str">
        <f t="shared" si="283"/>
        <v>010</v>
      </c>
      <c r="I3016" s="1" t="str">
        <f t="shared" si="284"/>
        <v>15100-010</v>
      </c>
      <c r="J3016" s="1" t="str">
        <f t="shared" si="285"/>
        <v>Timpani production item #010</v>
      </c>
      <c r="K3016" s="1" t="str">
        <f>IF(SUM(COUNTIFS(I:I, I3016)) &gt; 1, "DUPLICATE", "UNIQUE")</f>
        <v>UNIQUE</v>
      </c>
      <c r="L3016" s="18">
        <v>1</v>
      </c>
      <c r="M3016" s="28">
        <v>88</v>
      </c>
      <c r="N3016" s="6">
        <v>361</v>
      </c>
      <c r="O3016" s="30">
        <f t="shared" si="286"/>
        <v>88</v>
      </c>
      <c r="P3016" s="30">
        <f t="shared" si="287"/>
        <v>31768</v>
      </c>
      <c r="Q3016" s="1">
        <f>COUNTIFS($P:$P, "&gt;" &amp; $P3016) + 1</f>
        <v>652</v>
      </c>
      <c r="R3016" s="63">
        <f>(COUNTIFS($P:$P, "&gt;" &amp; $P3016) + 1) / (COUNTA($I:$I) - 1)</f>
        <v>0.13039999999999999</v>
      </c>
      <c r="S3016" s="23">
        <f>SUMIFS($P:$P, $Q:$Q, "&lt;" &amp; $Q3016)</f>
        <v>157609685</v>
      </c>
    </row>
    <row r="3017" spans="1:19" x14ac:dyDescent="0.25">
      <c r="A3017" s="1">
        <v>3012</v>
      </c>
      <c r="B3017" s="1" t="s">
        <v>2</v>
      </c>
      <c r="C3017" s="1" t="str">
        <f>IF($B3017 = "Production Item", _xlfn.XLOOKUP($A3017, 'Instrument Table'!$J:$J, 'Instrument Table'!$B:$B, $C3016), IF($B3017 = "Service Item", _xlfn.XLOOKUP($A3017, 'Instrument Table'!$I:$I, 'Instrument Table'!$B:$B, $C3016), _xlfn.XLOOKUP($A3017, 'Instrument Table'!$H:$H, 'Instrument Table'!$B:$B, $C3016)))</f>
        <v>Timpani</v>
      </c>
      <c r="D3017" s="1" t="str">
        <f>VLOOKUP($C3017, 'Instrument Table'!$B:$C, 2, FALSE)</f>
        <v>Percussion</v>
      </c>
      <c r="E3017" s="1">
        <f t="shared" si="282"/>
        <v>1</v>
      </c>
      <c r="F3017" s="1">
        <f>_xlfn.XLOOKUP($C3017, 'Instrument Table'!$B:$B, 'Instrument Table'!$A:$A, "")</f>
        <v>51</v>
      </c>
      <c r="G3017" s="1" t="str">
        <f>TEXT(IF($B3017 = "Retail Item", IF((ROW($A3017) - 4504 - _xlfn.XMATCH($C3017, $C$4506:$C$5005, 0, 1)) &lt;= VLOOKUP($C3017, 'Instrument Table'!$B:$D, 3, FALSE), ROW($A3017) - 4504 - _xlfn.XMATCH($C3017, $C$4506:$C$5005, 0, 1), 0), 0), "00")</f>
        <v>00</v>
      </c>
      <c r="H3017" s="1" t="str">
        <f t="shared" si="283"/>
        <v>011</v>
      </c>
      <c r="I3017" s="1" t="str">
        <f t="shared" si="284"/>
        <v>15100-011</v>
      </c>
      <c r="J3017" s="1" t="str">
        <f t="shared" si="285"/>
        <v>Timpani production item #011</v>
      </c>
      <c r="K3017" s="1" t="str">
        <f>IF(SUM(COUNTIFS(I:I, I3017)) &gt; 1, "DUPLICATE", "UNIQUE")</f>
        <v>UNIQUE</v>
      </c>
      <c r="L3017" s="18">
        <v>1</v>
      </c>
      <c r="M3017" s="28">
        <v>7</v>
      </c>
      <c r="N3017" s="6">
        <v>144</v>
      </c>
      <c r="O3017" s="30">
        <f t="shared" si="286"/>
        <v>7</v>
      </c>
      <c r="P3017" s="30">
        <f t="shared" si="287"/>
        <v>1008</v>
      </c>
      <c r="Q3017" s="1">
        <f>COUNTIFS($P:$P, "&gt;" &amp; $P3017) + 1</f>
        <v>3673</v>
      </c>
      <c r="R3017" s="63">
        <f>(COUNTIFS($P:$P, "&gt;" &amp; $P3017) + 1) / (COUNTA($I:$I) - 1)</f>
        <v>0.73460000000000003</v>
      </c>
      <c r="S3017" s="23">
        <f>SUMIFS($P:$P, $Q:$Q, "&lt;" &amp; $Q3017)</f>
        <v>186152095</v>
      </c>
    </row>
    <row r="3018" spans="1:19" x14ac:dyDescent="0.25">
      <c r="A3018" s="1">
        <v>3013</v>
      </c>
      <c r="B3018" s="1" t="s">
        <v>2</v>
      </c>
      <c r="C3018" s="1" t="str">
        <f>IF($B3018 = "Production Item", _xlfn.XLOOKUP($A3018, 'Instrument Table'!$J:$J, 'Instrument Table'!$B:$B, $C3017), IF($B3018 = "Service Item", _xlfn.XLOOKUP($A3018, 'Instrument Table'!$I:$I, 'Instrument Table'!$B:$B, $C3017), _xlfn.XLOOKUP($A3018, 'Instrument Table'!$H:$H, 'Instrument Table'!$B:$B, $C3017)))</f>
        <v>Timpani</v>
      </c>
      <c r="D3018" s="1" t="str">
        <f>VLOOKUP($C3018, 'Instrument Table'!$B:$C, 2, FALSE)</f>
        <v>Percussion</v>
      </c>
      <c r="E3018" s="1">
        <f t="shared" si="282"/>
        <v>1</v>
      </c>
      <c r="F3018" s="1">
        <f>_xlfn.XLOOKUP($C3018, 'Instrument Table'!$B:$B, 'Instrument Table'!$A:$A, "")</f>
        <v>51</v>
      </c>
      <c r="G3018" s="1" t="str">
        <f>TEXT(IF($B3018 = "Retail Item", IF((ROW($A3018) - 4504 - _xlfn.XMATCH($C3018, $C$4506:$C$5005, 0, 1)) &lt;= VLOOKUP($C3018, 'Instrument Table'!$B:$D, 3, FALSE), ROW($A3018) - 4504 - _xlfn.XMATCH($C3018, $C$4506:$C$5005, 0, 1), 0), 0), "00")</f>
        <v>00</v>
      </c>
      <c r="H3018" s="1" t="str">
        <f t="shared" si="283"/>
        <v>012</v>
      </c>
      <c r="I3018" s="1" t="str">
        <f t="shared" si="284"/>
        <v>15100-012</v>
      </c>
      <c r="J3018" s="1" t="str">
        <f t="shared" si="285"/>
        <v>Timpani production item #012</v>
      </c>
      <c r="K3018" s="1" t="str">
        <f>IF(SUM(COUNTIFS(I:I, I3018)) &gt; 1, "DUPLICATE", "UNIQUE")</f>
        <v>UNIQUE</v>
      </c>
      <c r="L3018" s="18">
        <v>16</v>
      </c>
      <c r="M3018" s="28">
        <v>71</v>
      </c>
      <c r="N3018" s="6">
        <v>169</v>
      </c>
      <c r="O3018" s="30">
        <f t="shared" si="286"/>
        <v>1136</v>
      </c>
      <c r="P3018" s="30">
        <f t="shared" si="287"/>
        <v>11999</v>
      </c>
      <c r="Q3018" s="1">
        <f>COUNTIFS($P:$P, "&gt;" &amp; $P3018) + 1</f>
        <v>1580</v>
      </c>
      <c r="R3018" s="63">
        <f>(COUNTIFS($P:$P, "&gt;" &amp; $P3018) + 1) / (COUNTA($I:$I) - 1)</f>
        <v>0.316</v>
      </c>
      <c r="S3018" s="23">
        <f>SUMIFS($P:$P, $Q:$Q, "&lt;" &amp; $Q3018)</f>
        <v>175840377</v>
      </c>
    </row>
    <row r="3019" spans="1:19" x14ac:dyDescent="0.25">
      <c r="A3019" s="1">
        <v>3014</v>
      </c>
      <c r="B3019" s="1" t="s">
        <v>2</v>
      </c>
      <c r="C3019" s="1" t="str">
        <f>IF($B3019 = "Production Item", _xlfn.XLOOKUP($A3019, 'Instrument Table'!$J:$J, 'Instrument Table'!$B:$B, $C3018), IF($B3019 = "Service Item", _xlfn.XLOOKUP($A3019, 'Instrument Table'!$I:$I, 'Instrument Table'!$B:$B, $C3018), _xlfn.XLOOKUP($A3019, 'Instrument Table'!$H:$H, 'Instrument Table'!$B:$B, $C3018)))</f>
        <v>Timpani</v>
      </c>
      <c r="D3019" s="1" t="str">
        <f>VLOOKUP($C3019, 'Instrument Table'!$B:$C, 2, FALSE)</f>
        <v>Percussion</v>
      </c>
      <c r="E3019" s="1">
        <f t="shared" si="282"/>
        <v>1</v>
      </c>
      <c r="F3019" s="1">
        <f>_xlfn.XLOOKUP($C3019, 'Instrument Table'!$B:$B, 'Instrument Table'!$A:$A, "")</f>
        <v>51</v>
      </c>
      <c r="G3019" s="1" t="str">
        <f>TEXT(IF($B3019 = "Retail Item", IF((ROW($A3019) - 4504 - _xlfn.XMATCH($C3019, $C$4506:$C$5005, 0, 1)) &lt;= VLOOKUP($C3019, 'Instrument Table'!$B:$D, 3, FALSE), ROW($A3019) - 4504 - _xlfn.XMATCH($C3019, $C$4506:$C$5005, 0, 1), 0), 0), "00")</f>
        <v>00</v>
      </c>
      <c r="H3019" s="1" t="str">
        <f t="shared" si="283"/>
        <v>013</v>
      </c>
      <c r="I3019" s="1" t="str">
        <f t="shared" si="284"/>
        <v>15100-013</v>
      </c>
      <c r="J3019" s="1" t="str">
        <f t="shared" si="285"/>
        <v>Timpani production item #013</v>
      </c>
      <c r="K3019" s="1" t="str">
        <f>IF(SUM(COUNTIFS(I:I, I3019)) &gt; 1, "DUPLICATE", "UNIQUE")</f>
        <v>UNIQUE</v>
      </c>
      <c r="L3019" s="18">
        <v>0</v>
      </c>
      <c r="M3019" s="28">
        <v>43</v>
      </c>
      <c r="N3019" s="6">
        <v>289</v>
      </c>
      <c r="O3019" s="30">
        <f t="shared" si="286"/>
        <v>0</v>
      </c>
      <c r="P3019" s="30">
        <f t="shared" si="287"/>
        <v>12427</v>
      </c>
      <c r="Q3019" s="1">
        <f>COUNTIFS($P:$P, "&gt;" &amp; $P3019) + 1</f>
        <v>1542</v>
      </c>
      <c r="R3019" s="63">
        <f>(COUNTIFS($P:$P, "&gt;" &amp; $P3019) + 1) / (COUNTA($I:$I) - 1)</f>
        <v>0.30840000000000001</v>
      </c>
      <c r="S3019" s="23">
        <f>SUMIFS($P:$P, $Q:$Q, "&lt;" &amp; $Q3019)</f>
        <v>175375767</v>
      </c>
    </row>
    <row r="3020" spans="1:19" x14ac:dyDescent="0.25">
      <c r="A3020" s="1">
        <v>3015</v>
      </c>
      <c r="B3020" s="1" t="s">
        <v>2</v>
      </c>
      <c r="C3020" s="1" t="str">
        <f>IF($B3020 = "Production Item", _xlfn.XLOOKUP($A3020, 'Instrument Table'!$J:$J, 'Instrument Table'!$B:$B, $C3019), IF($B3020 = "Service Item", _xlfn.XLOOKUP($A3020, 'Instrument Table'!$I:$I, 'Instrument Table'!$B:$B, $C3019), _xlfn.XLOOKUP($A3020, 'Instrument Table'!$H:$H, 'Instrument Table'!$B:$B, $C3019)))</f>
        <v>Timpani</v>
      </c>
      <c r="D3020" s="1" t="str">
        <f>VLOOKUP($C3020, 'Instrument Table'!$B:$C, 2, FALSE)</f>
        <v>Percussion</v>
      </c>
      <c r="E3020" s="1">
        <f t="shared" si="282"/>
        <v>1</v>
      </c>
      <c r="F3020" s="1">
        <f>_xlfn.XLOOKUP($C3020, 'Instrument Table'!$B:$B, 'Instrument Table'!$A:$A, "")</f>
        <v>51</v>
      </c>
      <c r="G3020" s="1" t="str">
        <f>TEXT(IF($B3020 = "Retail Item", IF((ROW($A3020) - 4504 - _xlfn.XMATCH($C3020, $C$4506:$C$5005, 0, 1)) &lt;= VLOOKUP($C3020, 'Instrument Table'!$B:$D, 3, FALSE), ROW($A3020) - 4504 - _xlfn.XMATCH($C3020, $C$4506:$C$5005, 0, 1), 0), 0), "00")</f>
        <v>00</v>
      </c>
      <c r="H3020" s="1" t="str">
        <f t="shared" si="283"/>
        <v>014</v>
      </c>
      <c r="I3020" s="1" t="str">
        <f t="shared" si="284"/>
        <v>15100-014</v>
      </c>
      <c r="J3020" s="1" t="str">
        <f t="shared" si="285"/>
        <v>Timpani production item #014</v>
      </c>
      <c r="K3020" s="1" t="str">
        <f>IF(SUM(COUNTIFS(I:I, I3020)) &gt; 1, "DUPLICATE", "UNIQUE")</f>
        <v>UNIQUE</v>
      </c>
      <c r="L3020" s="18">
        <v>2</v>
      </c>
      <c r="M3020" s="28">
        <v>63</v>
      </c>
      <c r="N3020" s="6">
        <v>121</v>
      </c>
      <c r="O3020" s="30">
        <f t="shared" si="286"/>
        <v>126</v>
      </c>
      <c r="P3020" s="30">
        <f t="shared" si="287"/>
        <v>7623</v>
      </c>
      <c r="Q3020" s="1">
        <f>COUNTIFS($P:$P, "&gt;" &amp; $P3020) + 1</f>
        <v>2053</v>
      </c>
      <c r="R3020" s="63">
        <f>(COUNTIFS($P:$P, "&gt;" &amp; $P3020) + 1) / (COUNTA($I:$I) - 1)</f>
        <v>0.41060000000000002</v>
      </c>
      <c r="S3020" s="23">
        <f>SUMIFS($P:$P, $Q:$Q, "&lt;" &amp; $Q3020)</f>
        <v>180407949</v>
      </c>
    </row>
    <row r="3021" spans="1:19" x14ac:dyDescent="0.25">
      <c r="A3021" s="1">
        <v>3016</v>
      </c>
      <c r="B3021" s="1" t="s">
        <v>2</v>
      </c>
      <c r="C3021" s="1" t="str">
        <f>IF($B3021 = "Production Item", _xlfn.XLOOKUP($A3021, 'Instrument Table'!$J:$J, 'Instrument Table'!$B:$B, $C3020), IF($B3021 = "Service Item", _xlfn.XLOOKUP($A3021, 'Instrument Table'!$I:$I, 'Instrument Table'!$B:$B, $C3020), _xlfn.XLOOKUP($A3021, 'Instrument Table'!$H:$H, 'Instrument Table'!$B:$B, $C3020)))</f>
        <v>Timpani</v>
      </c>
      <c r="D3021" s="1" t="str">
        <f>VLOOKUP($C3021, 'Instrument Table'!$B:$C, 2, FALSE)</f>
        <v>Percussion</v>
      </c>
      <c r="E3021" s="1">
        <f t="shared" si="282"/>
        <v>1</v>
      </c>
      <c r="F3021" s="1">
        <f>_xlfn.XLOOKUP($C3021, 'Instrument Table'!$B:$B, 'Instrument Table'!$A:$A, "")</f>
        <v>51</v>
      </c>
      <c r="G3021" s="1" t="str">
        <f>TEXT(IF($B3021 = "Retail Item", IF((ROW($A3021) - 4504 - _xlfn.XMATCH($C3021, $C$4506:$C$5005, 0, 1)) &lt;= VLOOKUP($C3021, 'Instrument Table'!$B:$D, 3, FALSE), ROW($A3021) - 4504 - _xlfn.XMATCH($C3021, $C$4506:$C$5005, 0, 1), 0), 0), "00")</f>
        <v>00</v>
      </c>
      <c r="H3021" s="1" t="str">
        <f t="shared" si="283"/>
        <v>015</v>
      </c>
      <c r="I3021" s="1" t="str">
        <f t="shared" si="284"/>
        <v>15100-015</v>
      </c>
      <c r="J3021" s="1" t="str">
        <f t="shared" si="285"/>
        <v>Timpani production item #015</v>
      </c>
      <c r="K3021" s="1" t="str">
        <f>IF(SUM(COUNTIFS(I:I, I3021)) &gt; 1, "DUPLICATE", "UNIQUE")</f>
        <v>UNIQUE</v>
      </c>
      <c r="L3021" s="18">
        <v>4</v>
      </c>
      <c r="M3021" s="28">
        <v>16</v>
      </c>
      <c r="N3021" s="6">
        <v>81</v>
      </c>
      <c r="O3021" s="30">
        <f t="shared" si="286"/>
        <v>64</v>
      </c>
      <c r="P3021" s="30">
        <f t="shared" si="287"/>
        <v>1296</v>
      </c>
      <c r="Q3021" s="1">
        <f>COUNTIFS($P:$P, "&gt;" &amp; $P3021) + 1</f>
        <v>3564</v>
      </c>
      <c r="R3021" s="63">
        <f>(COUNTIFS($P:$P, "&gt;" &amp; $P3021) + 1) / (COUNTA($I:$I) - 1)</f>
        <v>0.71279999999999999</v>
      </c>
      <c r="S3021" s="23">
        <f>SUMIFS($P:$P, $Q:$Q, "&lt;" &amp; $Q3021)</f>
        <v>186024528</v>
      </c>
    </row>
    <row r="3022" spans="1:19" x14ac:dyDescent="0.25">
      <c r="A3022" s="1">
        <v>3017</v>
      </c>
      <c r="B3022" s="1" t="s">
        <v>2</v>
      </c>
      <c r="C3022" s="1" t="str">
        <f>IF($B3022 = "Production Item", _xlfn.XLOOKUP($A3022, 'Instrument Table'!$J:$J, 'Instrument Table'!$B:$B, $C3021), IF($B3022 = "Service Item", _xlfn.XLOOKUP($A3022, 'Instrument Table'!$I:$I, 'Instrument Table'!$B:$B, $C3021), _xlfn.XLOOKUP($A3022, 'Instrument Table'!$H:$H, 'Instrument Table'!$B:$B, $C3021)))</f>
        <v>Timpani</v>
      </c>
      <c r="D3022" s="1" t="str">
        <f>VLOOKUP($C3022, 'Instrument Table'!$B:$C, 2, FALSE)</f>
        <v>Percussion</v>
      </c>
      <c r="E3022" s="1">
        <f t="shared" si="282"/>
        <v>1</v>
      </c>
      <c r="F3022" s="1">
        <f>_xlfn.XLOOKUP($C3022, 'Instrument Table'!$B:$B, 'Instrument Table'!$A:$A, "")</f>
        <v>51</v>
      </c>
      <c r="G3022" s="1" t="str">
        <f>TEXT(IF($B3022 = "Retail Item", IF((ROW($A3022) - 4504 - _xlfn.XMATCH($C3022, $C$4506:$C$5005, 0, 1)) &lt;= VLOOKUP($C3022, 'Instrument Table'!$B:$D, 3, FALSE), ROW($A3022) - 4504 - _xlfn.XMATCH($C3022, $C$4506:$C$5005, 0, 1), 0), 0), "00")</f>
        <v>00</v>
      </c>
      <c r="H3022" s="1" t="str">
        <f t="shared" si="283"/>
        <v>016</v>
      </c>
      <c r="I3022" s="1" t="str">
        <f t="shared" si="284"/>
        <v>15100-016</v>
      </c>
      <c r="J3022" s="1" t="str">
        <f t="shared" si="285"/>
        <v>Timpani production item #016</v>
      </c>
      <c r="K3022" s="1" t="str">
        <f>IF(SUM(COUNTIFS(I:I, I3022)) &gt; 1, "DUPLICATE", "UNIQUE")</f>
        <v>UNIQUE</v>
      </c>
      <c r="L3022" s="18">
        <v>1</v>
      </c>
      <c r="M3022" s="28">
        <v>76</v>
      </c>
      <c r="N3022" s="6">
        <v>144</v>
      </c>
      <c r="O3022" s="30">
        <f t="shared" si="286"/>
        <v>76</v>
      </c>
      <c r="P3022" s="30">
        <f t="shared" si="287"/>
        <v>10944</v>
      </c>
      <c r="Q3022" s="1">
        <f>COUNTIFS($P:$P, "&gt;" &amp; $P3022) + 1</f>
        <v>1690</v>
      </c>
      <c r="R3022" s="63">
        <f>(COUNTIFS($P:$P, "&gt;" &amp; $P3022) + 1) / (COUNTA($I:$I) - 1)</f>
        <v>0.33800000000000002</v>
      </c>
      <c r="S3022" s="23">
        <f>SUMIFS($P:$P, $Q:$Q, "&lt;" &amp; $Q3022)</f>
        <v>177104550</v>
      </c>
    </row>
    <row r="3023" spans="1:19" x14ac:dyDescent="0.25">
      <c r="A3023" s="1">
        <v>3018</v>
      </c>
      <c r="B3023" s="1" t="s">
        <v>2</v>
      </c>
      <c r="C3023" s="1" t="str">
        <f>IF($B3023 = "Production Item", _xlfn.XLOOKUP($A3023, 'Instrument Table'!$J:$J, 'Instrument Table'!$B:$B, $C3022), IF($B3023 = "Service Item", _xlfn.XLOOKUP($A3023, 'Instrument Table'!$I:$I, 'Instrument Table'!$B:$B, $C3022), _xlfn.XLOOKUP($A3023, 'Instrument Table'!$H:$H, 'Instrument Table'!$B:$B, $C3022)))</f>
        <v>Timpani</v>
      </c>
      <c r="D3023" s="1" t="str">
        <f>VLOOKUP($C3023, 'Instrument Table'!$B:$C, 2, FALSE)</f>
        <v>Percussion</v>
      </c>
      <c r="E3023" s="1">
        <f t="shared" si="282"/>
        <v>1</v>
      </c>
      <c r="F3023" s="1">
        <f>_xlfn.XLOOKUP($C3023, 'Instrument Table'!$B:$B, 'Instrument Table'!$A:$A, "")</f>
        <v>51</v>
      </c>
      <c r="G3023" s="1" t="str">
        <f>TEXT(IF($B3023 = "Retail Item", IF((ROW($A3023) - 4504 - _xlfn.XMATCH($C3023, $C$4506:$C$5005, 0, 1)) &lt;= VLOOKUP($C3023, 'Instrument Table'!$B:$D, 3, FALSE), ROW($A3023) - 4504 - _xlfn.XMATCH($C3023, $C$4506:$C$5005, 0, 1), 0), 0), "00")</f>
        <v>00</v>
      </c>
      <c r="H3023" s="1" t="str">
        <f t="shared" si="283"/>
        <v>017</v>
      </c>
      <c r="I3023" s="1" t="str">
        <f t="shared" si="284"/>
        <v>15100-017</v>
      </c>
      <c r="J3023" s="1" t="str">
        <f t="shared" si="285"/>
        <v>Timpani production item #017</v>
      </c>
      <c r="K3023" s="1" t="str">
        <f>IF(SUM(COUNTIFS(I:I, I3023)) &gt; 1, "DUPLICATE", "UNIQUE")</f>
        <v>UNIQUE</v>
      </c>
      <c r="L3023" s="18">
        <v>1</v>
      </c>
      <c r="M3023" s="28">
        <v>31</v>
      </c>
      <c r="N3023" s="6">
        <v>0</v>
      </c>
      <c r="O3023" s="30">
        <f t="shared" si="286"/>
        <v>31</v>
      </c>
      <c r="P3023" s="30">
        <f t="shared" si="287"/>
        <v>0</v>
      </c>
      <c r="Q3023" s="1">
        <f>COUNTIFS($P:$P, "&gt;" &amp; $P3023) + 1</f>
        <v>4746</v>
      </c>
      <c r="R3023" s="63">
        <f>(COUNTIFS($P:$P, "&gt;" &amp; $P3023) + 1) / (COUNTA($I:$I) - 1)</f>
        <v>0.94920000000000004</v>
      </c>
      <c r="S3023" s="23">
        <f>SUMIFS($P:$P, $Q:$Q, "&lt;" &amp; $Q3023)</f>
        <v>186547861</v>
      </c>
    </row>
    <row r="3024" spans="1:19" x14ac:dyDescent="0.25">
      <c r="A3024" s="1">
        <v>3019</v>
      </c>
      <c r="B3024" s="1" t="s">
        <v>2</v>
      </c>
      <c r="C3024" s="1" t="str">
        <f>IF($B3024 = "Production Item", _xlfn.XLOOKUP($A3024, 'Instrument Table'!$J:$J, 'Instrument Table'!$B:$B, $C3023), IF($B3024 = "Service Item", _xlfn.XLOOKUP($A3024, 'Instrument Table'!$I:$I, 'Instrument Table'!$B:$B, $C3023), _xlfn.XLOOKUP($A3024, 'Instrument Table'!$H:$H, 'Instrument Table'!$B:$B, $C3023)))</f>
        <v>Timpani</v>
      </c>
      <c r="D3024" s="1" t="str">
        <f>VLOOKUP($C3024, 'Instrument Table'!$B:$C, 2, FALSE)</f>
        <v>Percussion</v>
      </c>
      <c r="E3024" s="1">
        <f t="shared" si="282"/>
        <v>1</v>
      </c>
      <c r="F3024" s="1">
        <f>_xlfn.XLOOKUP($C3024, 'Instrument Table'!$B:$B, 'Instrument Table'!$A:$A, "")</f>
        <v>51</v>
      </c>
      <c r="G3024" s="1" t="str">
        <f>TEXT(IF($B3024 = "Retail Item", IF((ROW($A3024) - 4504 - _xlfn.XMATCH($C3024, $C$4506:$C$5005, 0, 1)) &lt;= VLOOKUP($C3024, 'Instrument Table'!$B:$D, 3, FALSE), ROW($A3024) - 4504 - _xlfn.XMATCH($C3024, $C$4506:$C$5005, 0, 1), 0), 0), "00")</f>
        <v>00</v>
      </c>
      <c r="H3024" s="1" t="str">
        <f t="shared" si="283"/>
        <v>018</v>
      </c>
      <c r="I3024" s="1" t="str">
        <f t="shared" si="284"/>
        <v>15100-018</v>
      </c>
      <c r="J3024" s="1" t="str">
        <f t="shared" si="285"/>
        <v>Timpani production item #018</v>
      </c>
      <c r="K3024" s="1" t="str">
        <f>IF(SUM(COUNTIFS(I:I, I3024)) &gt; 1, "DUPLICATE", "UNIQUE")</f>
        <v>UNIQUE</v>
      </c>
      <c r="L3024" s="18">
        <v>0</v>
      </c>
      <c r="M3024" s="28">
        <v>72</v>
      </c>
      <c r="N3024" s="6">
        <v>49</v>
      </c>
      <c r="O3024" s="30">
        <f t="shared" si="286"/>
        <v>0</v>
      </c>
      <c r="P3024" s="30">
        <f t="shared" si="287"/>
        <v>3528</v>
      </c>
      <c r="Q3024" s="1">
        <f>COUNTIFS($P:$P, "&gt;" &amp; $P3024) + 1</f>
        <v>2761</v>
      </c>
      <c r="R3024" s="63">
        <f>(COUNTIFS($P:$P, "&gt;" &amp; $P3024) + 1) / (COUNTA($I:$I) - 1)</f>
        <v>0.55220000000000002</v>
      </c>
      <c r="S3024" s="23">
        <f>SUMIFS($P:$P, $Q:$Q, "&lt;" &amp; $Q3024)</f>
        <v>184189975</v>
      </c>
    </row>
    <row r="3025" spans="1:19" x14ac:dyDescent="0.25">
      <c r="A3025" s="1">
        <v>3020</v>
      </c>
      <c r="B3025" s="1" t="s">
        <v>2</v>
      </c>
      <c r="C3025" s="1" t="str">
        <f>IF($B3025 = "Production Item", _xlfn.XLOOKUP($A3025, 'Instrument Table'!$J:$J, 'Instrument Table'!$B:$B, $C3024), IF($B3025 = "Service Item", _xlfn.XLOOKUP($A3025, 'Instrument Table'!$I:$I, 'Instrument Table'!$B:$B, $C3024), _xlfn.XLOOKUP($A3025, 'Instrument Table'!$H:$H, 'Instrument Table'!$B:$B, $C3024)))</f>
        <v>Timpani</v>
      </c>
      <c r="D3025" s="1" t="str">
        <f>VLOOKUP($C3025, 'Instrument Table'!$B:$C, 2, FALSE)</f>
        <v>Percussion</v>
      </c>
      <c r="E3025" s="1">
        <f t="shared" si="282"/>
        <v>1</v>
      </c>
      <c r="F3025" s="1">
        <f>_xlfn.XLOOKUP($C3025, 'Instrument Table'!$B:$B, 'Instrument Table'!$A:$A, "")</f>
        <v>51</v>
      </c>
      <c r="G3025" s="1" t="str">
        <f>TEXT(IF($B3025 = "Retail Item", IF((ROW($A3025) - 4504 - _xlfn.XMATCH($C3025, $C$4506:$C$5005, 0, 1)) &lt;= VLOOKUP($C3025, 'Instrument Table'!$B:$D, 3, FALSE), ROW($A3025) - 4504 - _xlfn.XMATCH($C3025, $C$4506:$C$5005, 0, 1), 0), 0), "00")</f>
        <v>00</v>
      </c>
      <c r="H3025" s="1" t="str">
        <f t="shared" si="283"/>
        <v>019</v>
      </c>
      <c r="I3025" s="1" t="str">
        <f t="shared" si="284"/>
        <v>15100-019</v>
      </c>
      <c r="J3025" s="1" t="str">
        <f t="shared" si="285"/>
        <v>Timpani production item #019</v>
      </c>
      <c r="K3025" s="1" t="str">
        <f>IF(SUM(COUNTIFS(I:I, I3025)) &gt; 1, "DUPLICATE", "UNIQUE")</f>
        <v>UNIQUE</v>
      </c>
      <c r="L3025" s="18">
        <v>32</v>
      </c>
      <c r="M3025" s="28">
        <v>86</v>
      </c>
      <c r="N3025" s="6">
        <v>81</v>
      </c>
      <c r="O3025" s="30">
        <f t="shared" si="286"/>
        <v>2752</v>
      </c>
      <c r="P3025" s="30">
        <f t="shared" si="287"/>
        <v>6966</v>
      </c>
      <c r="Q3025" s="1">
        <f>COUNTIFS($P:$P, "&gt;" &amp; $P3025) + 1</f>
        <v>2138</v>
      </c>
      <c r="R3025" s="63">
        <f>(COUNTIFS($P:$P, "&gt;" &amp; $P3025) + 1) / (COUNTA($I:$I) - 1)</f>
        <v>0.42759999999999998</v>
      </c>
      <c r="S3025" s="23">
        <f>SUMIFS($P:$P, $Q:$Q, "&lt;" &amp; $Q3025)</f>
        <v>181030428</v>
      </c>
    </row>
    <row r="3026" spans="1:19" x14ac:dyDescent="0.25">
      <c r="A3026" s="1">
        <v>3021</v>
      </c>
      <c r="B3026" s="1" t="s">
        <v>2</v>
      </c>
      <c r="C3026" s="1" t="str">
        <f>IF($B3026 = "Production Item", _xlfn.XLOOKUP($A3026, 'Instrument Table'!$J:$J, 'Instrument Table'!$B:$B, $C3025), IF($B3026 = "Service Item", _xlfn.XLOOKUP($A3026, 'Instrument Table'!$I:$I, 'Instrument Table'!$B:$B, $C3025), _xlfn.XLOOKUP($A3026, 'Instrument Table'!$H:$H, 'Instrument Table'!$B:$B, $C3025)))</f>
        <v>Timpani</v>
      </c>
      <c r="D3026" s="1" t="str">
        <f>VLOOKUP($C3026, 'Instrument Table'!$B:$C, 2, FALSE)</f>
        <v>Percussion</v>
      </c>
      <c r="E3026" s="1">
        <f t="shared" si="282"/>
        <v>1</v>
      </c>
      <c r="F3026" s="1">
        <f>_xlfn.XLOOKUP($C3026, 'Instrument Table'!$B:$B, 'Instrument Table'!$A:$A, "")</f>
        <v>51</v>
      </c>
      <c r="G3026" s="1" t="str">
        <f>TEXT(IF($B3026 = "Retail Item", IF((ROW($A3026) - 4504 - _xlfn.XMATCH($C3026, $C$4506:$C$5005, 0, 1)) &lt;= VLOOKUP($C3026, 'Instrument Table'!$B:$D, 3, FALSE), ROW($A3026) - 4504 - _xlfn.XMATCH($C3026, $C$4506:$C$5005, 0, 1), 0), 0), "00")</f>
        <v>00</v>
      </c>
      <c r="H3026" s="1" t="str">
        <f t="shared" si="283"/>
        <v>020</v>
      </c>
      <c r="I3026" s="1" t="str">
        <f t="shared" si="284"/>
        <v>15100-020</v>
      </c>
      <c r="J3026" s="1" t="str">
        <f t="shared" si="285"/>
        <v>Timpani production item #020</v>
      </c>
      <c r="K3026" s="1" t="str">
        <f>IF(SUM(COUNTIFS(I:I, I3026)) &gt; 1, "DUPLICATE", "UNIQUE")</f>
        <v>UNIQUE</v>
      </c>
      <c r="L3026" s="18">
        <v>0</v>
      </c>
      <c r="M3026" s="28">
        <v>36</v>
      </c>
      <c r="N3026" s="6">
        <v>324</v>
      </c>
      <c r="O3026" s="30">
        <f t="shared" si="286"/>
        <v>0</v>
      </c>
      <c r="P3026" s="30">
        <f t="shared" si="287"/>
        <v>11664</v>
      </c>
      <c r="Q3026" s="1">
        <f>COUNTIFS($P:$P, "&gt;" &amp; $P3026) + 1</f>
        <v>1607</v>
      </c>
      <c r="R3026" s="63">
        <f>(COUNTIFS($P:$P, "&gt;" &amp; $P3026) + 1) / (COUNTA($I:$I) - 1)</f>
        <v>0.32140000000000002</v>
      </c>
      <c r="S3026" s="23">
        <f>SUMIFS($P:$P, $Q:$Q, "&lt;" &amp; $Q3026)</f>
        <v>176160715</v>
      </c>
    </row>
    <row r="3027" spans="1:19" x14ac:dyDescent="0.25">
      <c r="A3027" s="1">
        <v>3022</v>
      </c>
      <c r="B3027" s="1" t="s">
        <v>2</v>
      </c>
      <c r="C3027" s="1" t="str">
        <f>IF($B3027 = "Production Item", _xlfn.XLOOKUP($A3027, 'Instrument Table'!$J:$J, 'Instrument Table'!$B:$B, $C3026), IF($B3027 = "Service Item", _xlfn.XLOOKUP($A3027, 'Instrument Table'!$I:$I, 'Instrument Table'!$B:$B, $C3026), _xlfn.XLOOKUP($A3027, 'Instrument Table'!$H:$H, 'Instrument Table'!$B:$B, $C3026)))</f>
        <v>Timpani</v>
      </c>
      <c r="D3027" s="1" t="str">
        <f>VLOOKUP($C3027, 'Instrument Table'!$B:$C, 2, FALSE)</f>
        <v>Percussion</v>
      </c>
      <c r="E3027" s="1">
        <f t="shared" si="282"/>
        <v>1</v>
      </c>
      <c r="F3027" s="1">
        <f>_xlfn.XLOOKUP($C3027, 'Instrument Table'!$B:$B, 'Instrument Table'!$A:$A, "")</f>
        <v>51</v>
      </c>
      <c r="G3027" s="1" t="str">
        <f>TEXT(IF($B3027 = "Retail Item", IF((ROW($A3027) - 4504 - _xlfn.XMATCH($C3027, $C$4506:$C$5005, 0, 1)) &lt;= VLOOKUP($C3027, 'Instrument Table'!$B:$D, 3, FALSE), ROW($A3027) - 4504 - _xlfn.XMATCH($C3027, $C$4506:$C$5005, 0, 1), 0), 0), "00")</f>
        <v>00</v>
      </c>
      <c r="H3027" s="1" t="str">
        <f t="shared" si="283"/>
        <v>021</v>
      </c>
      <c r="I3027" s="1" t="str">
        <f t="shared" si="284"/>
        <v>15100-021</v>
      </c>
      <c r="J3027" s="1" t="str">
        <f t="shared" si="285"/>
        <v>Timpani production item #021</v>
      </c>
      <c r="K3027" s="1" t="str">
        <f>IF(SUM(COUNTIFS(I:I, I3027)) &gt; 1, "DUPLICATE", "UNIQUE")</f>
        <v>UNIQUE</v>
      </c>
      <c r="L3027" s="18">
        <v>0</v>
      </c>
      <c r="M3027" s="28">
        <v>58</v>
      </c>
      <c r="N3027" s="6">
        <v>25</v>
      </c>
      <c r="O3027" s="30">
        <f t="shared" si="286"/>
        <v>0</v>
      </c>
      <c r="P3027" s="30">
        <f t="shared" si="287"/>
        <v>1450</v>
      </c>
      <c r="Q3027" s="1">
        <f>COUNTIFS($P:$P, "&gt;" &amp; $P3027) + 1</f>
        <v>3487</v>
      </c>
      <c r="R3027" s="63">
        <f>(COUNTIFS($P:$P, "&gt;" &amp; $P3027) + 1) / (COUNTA($I:$I) - 1)</f>
        <v>0.69740000000000002</v>
      </c>
      <c r="S3027" s="23">
        <f>SUMIFS($P:$P, $Q:$Q, "&lt;" &amp; $Q3027)</f>
        <v>185918722</v>
      </c>
    </row>
    <row r="3028" spans="1:19" x14ac:dyDescent="0.25">
      <c r="A3028" s="1">
        <v>3023</v>
      </c>
      <c r="B3028" s="1" t="s">
        <v>2</v>
      </c>
      <c r="C3028" s="1" t="str">
        <f>IF($B3028 = "Production Item", _xlfn.XLOOKUP($A3028, 'Instrument Table'!$J:$J, 'Instrument Table'!$B:$B, $C3027), IF($B3028 = "Service Item", _xlfn.XLOOKUP($A3028, 'Instrument Table'!$I:$I, 'Instrument Table'!$B:$B, $C3027), _xlfn.XLOOKUP($A3028, 'Instrument Table'!$H:$H, 'Instrument Table'!$B:$B, $C3027)))</f>
        <v>Timpani</v>
      </c>
      <c r="D3028" s="1" t="str">
        <f>VLOOKUP($C3028, 'Instrument Table'!$B:$C, 2, FALSE)</f>
        <v>Percussion</v>
      </c>
      <c r="E3028" s="1">
        <f t="shared" si="282"/>
        <v>1</v>
      </c>
      <c r="F3028" s="1">
        <f>_xlfn.XLOOKUP($C3028, 'Instrument Table'!$B:$B, 'Instrument Table'!$A:$A, "")</f>
        <v>51</v>
      </c>
      <c r="G3028" s="1" t="str">
        <f>TEXT(IF($B3028 = "Retail Item", IF((ROW($A3028) - 4504 - _xlfn.XMATCH($C3028, $C$4506:$C$5005, 0, 1)) &lt;= VLOOKUP($C3028, 'Instrument Table'!$B:$D, 3, FALSE), ROW($A3028) - 4504 - _xlfn.XMATCH($C3028, $C$4506:$C$5005, 0, 1), 0), 0), "00")</f>
        <v>00</v>
      </c>
      <c r="H3028" s="1" t="str">
        <f t="shared" si="283"/>
        <v>022</v>
      </c>
      <c r="I3028" s="1" t="str">
        <f t="shared" si="284"/>
        <v>15100-022</v>
      </c>
      <c r="J3028" s="1" t="str">
        <f t="shared" si="285"/>
        <v>Timpani production item #022</v>
      </c>
      <c r="K3028" s="1" t="str">
        <f>IF(SUM(COUNTIFS(I:I, I3028)) &gt; 1, "DUPLICATE", "UNIQUE")</f>
        <v>UNIQUE</v>
      </c>
      <c r="L3028" s="18">
        <v>16</v>
      </c>
      <c r="M3028" s="28">
        <v>48</v>
      </c>
      <c r="N3028" s="6">
        <v>324</v>
      </c>
      <c r="O3028" s="30">
        <f t="shared" si="286"/>
        <v>768</v>
      </c>
      <c r="P3028" s="30">
        <f t="shared" si="287"/>
        <v>15552</v>
      </c>
      <c r="Q3028" s="1">
        <f>COUNTIFS($P:$P, "&gt;" &amp; $P3028) + 1</f>
        <v>1310</v>
      </c>
      <c r="R3028" s="63">
        <f>(COUNTIFS($P:$P, "&gt;" &amp; $P3028) + 1) / (COUNTA($I:$I) - 1)</f>
        <v>0.26200000000000001</v>
      </c>
      <c r="S3028" s="23">
        <f>SUMIFS($P:$P, $Q:$Q, "&lt;" &amp; $Q3028)</f>
        <v>172130215</v>
      </c>
    </row>
    <row r="3029" spans="1:19" x14ac:dyDescent="0.25">
      <c r="A3029" s="1">
        <v>3024</v>
      </c>
      <c r="B3029" s="1" t="s">
        <v>2</v>
      </c>
      <c r="C3029" s="1" t="str">
        <f>IF($B3029 = "Production Item", _xlfn.XLOOKUP($A3029, 'Instrument Table'!$J:$J, 'Instrument Table'!$B:$B, $C3028), IF($B3029 = "Service Item", _xlfn.XLOOKUP($A3029, 'Instrument Table'!$I:$I, 'Instrument Table'!$B:$B, $C3028), _xlfn.XLOOKUP($A3029, 'Instrument Table'!$H:$H, 'Instrument Table'!$B:$B, $C3028)))</f>
        <v>Timpani</v>
      </c>
      <c r="D3029" s="1" t="str">
        <f>VLOOKUP($C3029, 'Instrument Table'!$B:$C, 2, FALSE)</f>
        <v>Percussion</v>
      </c>
      <c r="E3029" s="1">
        <f t="shared" si="282"/>
        <v>1</v>
      </c>
      <c r="F3029" s="1">
        <f>_xlfn.XLOOKUP($C3029, 'Instrument Table'!$B:$B, 'Instrument Table'!$A:$A, "")</f>
        <v>51</v>
      </c>
      <c r="G3029" s="1" t="str">
        <f>TEXT(IF($B3029 = "Retail Item", IF((ROW($A3029) - 4504 - _xlfn.XMATCH($C3029, $C$4506:$C$5005, 0, 1)) &lt;= VLOOKUP($C3029, 'Instrument Table'!$B:$D, 3, FALSE), ROW($A3029) - 4504 - _xlfn.XMATCH($C3029, $C$4506:$C$5005, 0, 1), 0), 0), "00")</f>
        <v>00</v>
      </c>
      <c r="H3029" s="1" t="str">
        <f t="shared" si="283"/>
        <v>023</v>
      </c>
      <c r="I3029" s="1" t="str">
        <f t="shared" si="284"/>
        <v>15100-023</v>
      </c>
      <c r="J3029" s="1" t="str">
        <f t="shared" si="285"/>
        <v>Timpani production item #023</v>
      </c>
      <c r="K3029" s="1" t="str">
        <f>IF(SUM(COUNTIFS(I:I, I3029)) &gt; 1, "DUPLICATE", "UNIQUE")</f>
        <v>UNIQUE</v>
      </c>
      <c r="L3029" s="18">
        <v>0</v>
      </c>
      <c r="M3029" s="28">
        <v>13</v>
      </c>
      <c r="N3029" s="6">
        <v>25</v>
      </c>
      <c r="O3029" s="30">
        <f t="shared" si="286"/>
        <v>0</v>
      </c>
      <c r="P3029" s="30">
        <f t="shared" si="287"/>
        <v>325</v>
      </c>
      <c r="Q3029" s="1">
        <f>COUNTIFS($P:$P, "&gt;" &amp; $P3029) + 1</f>
        <v>4178</v>
      </c>
      <c r="R3029" s="63">
        <f>(COUNTIFS($P:$P, "&gt;" &amp; $P3029) + 1) / (COUNTA($I:$I) - 1)</f>
        <v>0.83560000000000001</v>
      </c>
      <c r="S3029" s="23">
        <f>SUMIFS($P:$P, $Q:$Q, "&lt;" &amp; $Q3029)</f>
        <v>186473300</v>
      </c>
    </row>
    <row r="3030" spans="1:19" x14ac:dyDescent="0.25">
      <c r="A3030" s="1">
        <v>3025</v>
      </c>
      <c r="B3030" s="1" t="s">
        <v>2</v>
      </c>
      <c r="C3030" s="1" t="str">
        <f>IF($B3030 = "Production Item", _xlfn.XLOOKUP($A3030, 'Instrument Table'!$J:$J, 'Instrument Table'!$B:$B, $C3029), IF($B3030 = "Service Item", _xlfn.XLOOKUP($A3030, 'Instrument Table'!$I:$I, 'Instrument Table'!$B:$B, $C3029), _xlfn.XLOOKUP($A3030, 'Instrument Table'!$H:$H, 'Instrument Table'!$B:$B, $C3029)))</f>
        <v>Timpani</v>
      </c>
      <c r="D3030" s="1" t="str">
        <f>VLOOKUP($C3030, 'Instrument Table'!$B:$C, 2, FALSE)</f>
        <v>Percussion</v>
      </c>
      <c r="E3030" s="1">
        <f t="shared" si="282"/>
        <v>1</v>
      </c>
      <c r="F3030" s="1">
        <f>_xlfn.XLOOKUP($C3030, 'Instrument Table'!$B:$B, 'Instrument Table'!$A:$A, "")</f>
        <v>51</v>
      </c>
      <c r="G3030" s="1" t="str">
        <f>TEXT(IF($B3030 = "Retail Item", IF((ROW($A3030) - 4504 - _xlfn.XMATCH($C3030, $C$4506:$C$5005, 0, 1)) &lt;= VLOOKUP($C3030, 'Instrument Table'!$B:$D, 3, FALSE), ROW($A3030) - 4504 - _xlfn.XMATCH($C3030, $C$4506:$C$5005, 0, 1), 0), 0), "00")</f>
        <v>00</v>
      </c>
      <c r="H3030" s="1" t="str">
        <f t="shared" si="283"/>
        <v>024</v>
      </c>
      <c r="I3030" s="1" t="str">
        <f t="shared" si="284"/>
        <v>15100-024</v>
      </c>
      <c r="J3030" s="1" t="str">
        <f t="shared" si="285"/>
        <v>Timpani production item #024</v>
      </c>
      <c r="K3030" s="1" t="str">
        <f>IF(SUM(COUNTIFS(I:I, I3030)) &gt; 1, "DUPLICATE", "UNIQUE")</f>
        <v>UNIQUE</v>
      </c>
      <c r="L3030" s="18">
        <v>8</v>
      </c>
      <c r="M3030" s="28">
        <v>98</v>
      </c>
      <c r="N3030" s="6">
        <v>1</v>
      </c>
      <c r="O3030" s="30">
        <f t="shared" si="286"/>
        <v>784</v>
      </c>
      <c r="P3030" s="30">
        <f t="shared" si="287"/>
        <v>98</v>
      </c>
      <c r="Q3030" s="1">
        <f>COUNTIFS($P:$P, "&gt;" &amp; $P3030) + 1</f>
        <v>4460</v>
      </c>
      <c r="R3030" s="63">
        <f>(COUNTIFS($P:$P, "&gt;" &amp; $P3030) + 1) / (COUNTA($I:$I) - 1)</f>
        <v>0.89200000000000002</v>
      </c>
      <c r="S3030" s="23">
        <f>SUMIFS($P:$P, $Q:$Q, "&lt;" &amp; $Q3030)</f>
        <v>186533215</v>
      </c>
    </row>
    <row r="3031" spans="1:19" x14ac:dyDescent="0.25">
      <c r="A3031" s="1">
        <v>3026</v>
      </c>
      <c r="B3031" s="1" t="s">
        <v>2</v>
      </c>
      <c r="C3031" s="1" t="str">
        <f>IF($B3031 = "Production Item", _xlfn.XLOOKUP($A3031, 'Instrument Table'!$J:$J, 'Instrument Table'!$B:$B, $C3030), IF($B3031 = "Service Item", _xlfn.XLOOKUP($A3031, 'Instrument Table'!$I:$I, 'Instrument Table'!$B:$B, $C3030), _xlfn.XLOOKUP($A3031, 'Instrument Table'!$H:$H, 'Instrument Table'!$B:$B, $C3030)))</f>
        <v>Timpani</v>
      </c>
      <c r="D3031" s="1" t="str">
        <f>VLOOKUP($C3031, 'Instrument Table'!$B:$C, 2, FALSE)</f>
        <v>Percussion</v>
      </c>
      <c r="E3031" s="1">
        <f t="shared" si="282"/>
        <v>1</v>
      </c>
      <c r="F3031" s="1">
        <f>_xlfn.XLOOKUP($C3031, 'Instrument Table'!$B:$B, 'Instrument Table'!$A:$A, "")</f>
        <v>51</v>
      </c>
      <c r="G3031" s="1" t="str">
        <f>TEXT(IF($B3031 = "Retail Item", IF((ROW($A3031) - 4504 - _xlfn.XMATCH($C3031, $C$4506:$C$5005, 0, 1)) &lt;= VLOOKUP($C3031, 'Instrument Table'!$B:$D, 3, FALSE), ROW($A3031) - 4504 - _xlfn.XMATCH($C3031, $C$4506:$C$5005, 0, 1), 0), 0), "00")</f>
        <v>00</v>
      </c>
      <c r="H3031" s="1" t="str">
        <f t="shared" si="283"/>
        <v>025</v>
      </c>
      <c r="I3031" s="1" t="str">
        <f t="shared" si="284"/>
        <v>15100-025</v>
      </c>
      <c r="J3031" s="1" t="str">
        <f t="shared" si="285"/>
        <v>Timpani production item #025</v>
      </c>
      <c r="K3031" s="1" t="str">
        <f>IF(SUM(COUNTIFS(I:I, I3031)) &gt; 1, "DUPLICATE", "UNIQUE")</f>
        <v>UNIQUE</v>
      </c>
      <c r="L3031" s="18">
        <v>4</v>
      </c>
      <c r="M3031" s="28">
        <v>46</v>
      </c>
      <c r="N3031" s="6">
        <v>196</v>
      </c>
      <c r="O3031" s="30">
        <f t="shared" si="286"/>
        <v>184</v>
      </c>
      <c r="P3031" s="30">
        <f t="shared" si="287"/>
        <v>9016</v>
      </c>
      <c r="Q3031" s="1">
        <f>COUNTIFS($P:$P, "&gt;" &amp; $P3031) + 1</f>
        <v>1867</v>
      </c>
      <c r="R3031" s="63">
        <f>(COUNTIFS($P:$P, "&gt;" &amp; $P3031) + 1) / (COUNTA($I:$I) - 1)</f>
        <v>0.37340000000000001</v>
      </c>
      <c r="S3031" s="23">
        <f>SUMIFS($P:$P, $Q:$Q, "&lt;" &amp; $Q3031)</f>
        <v>178869397</v>
      </c>
    </row>
    <row r="3032" spans="1:19" x14ac:dyDescent="0.25">
      <c r="A3032" s="1">
        <v>3027</v>
      </c>
      <c r="B3032" s="1" t="s">
        <v>2</v>
      </c>
      <c r="C3032" s="1" t="str">
        <f>IF($B3032 = "Production Item", _xlfn.XLOOKUP($A3032, 'Instrument Table'!$J:$J, 'Instrument Table'!$B:$B, $C3031), IF($B3032 = "Service Item", _xlfn.XLOOKUP($A3032, 'Instrument Table'!$I:$I, 'Instrument Table'!$B:$B, $C3031), _xlfn.XLOOKUP($A3032, 'Instrument Table'!$H:$H, 'Instrument Table'!$B:$B, $C3031)))</f>
        <v>Timpani</v>
      </c>
      <c r="D3032" s="1" t="str">
        <f>VLOOKUP($C3032, 'Instrument Table'!$B:$C, 2, FALSE)</f>
        <v>Percussion</v>
      </c>
      <c r="E3032" s="1">
        <f t="shared" si="282"/>
        <v>1</v>
      </c>
      <c r="F3032" s="1">
        <f>_xlfn.XLOOKUP($C3032, 'Instrument Table'!$B:$B, 'Instrument Table'!$A:$A, "")</f>
        <v>51</v>
      </c>
      <c r="G3032" s="1" t="str">
        <f>TEXT(IF($B3032 = "Retail Item", IF((ROW($A3032) - 4504 - _xlfn.XMATCH($C3032, $C$4506:$C$5005, 0, 1)) &lt;= VLOOKUP($C3032, 'Instrument Table'!$B:$D, 3, FALSE), ROW($A3032) - 4504 - _xlfn.XMATCH($C3032, $C$4506:$C$5005, 0, 1), 0), 0), "00")</f>
        <v>00</v>
      </c>
      <c r="H3032" s="1" t="str">
        <f t="shared" si="283"/>
        <v>026</v>
      </c>
      <c r="I3032" s="1" t="str">
        <f t="shared" si="284"/>
        <v>15100-026</v>
      </c>
      <c r="J3032" s="1" t="str">
        <f t="shared" si="285"/>
        <v>Timpani production item #026</v>
      </c>
      <c r="K3032" s="1" t="str">
        <f>IF(SUM(COUNTIFS(I:I, I3032)) &gt; 1, "DUPLICATE", "UNIQUE")</f>
        <v>UNIQUE</v>
      </c>
      <c r="L3032" s="18">
        <v>1</v>
      </c>
      <c r="M3032" s="28">
        <v>75</v>
      </c>
      <c r="N3032" s="6">
        <v>9</v>
      </c>
      <c r="O3032" s="30">
        <f t="shared" si="286"/>
        <v>75</v>
      </c>
      <c r="P3032" s="30">
        <f t="shared" si="287"/>
        <v>675</v>
      </c>
      <c r="Q3032" s="1">
        <f>COUNTIFS($P:$P, "&gt;" &amp; $P3032) + 1</f>
        <v>3894</v>
      </c>
      <c r="R3032" s="63">
        <f>(COUNTIFS($P:$P, "&gt;" &amp; $P3032) + 1) / (COUNTA($I:$I) - 1)</f>
        <v>0.77880000000000005</v>
      </c>
      <c r="S3032" s="23">
        <f>SUMIFS($P:$P, $Q:$Q, "&lt;" &amp; $Q3032)</f>
        <v>186334804</v>
      </c>
    </row>
    <row r="3033" spans="1:19" x14ac:dyDescent="0.25">
      <c r="A3033" s="1">
        <v>3028</v>
      </c>
      <c r="B3033" s="1" t="s">
        <v>2</v>
      </c>
      <c r="C3033" s="1" t="str">
        <f>IF($B3033 = "Production Item", _xlfn.XLOOKUP($A3033, 'Instrument Table'!$J:$J, 'Instrument Table'!$B:$B, $C3032), IF($B3033 = "Service Item", _xlfn.XLOOKUP($A3033, 'Instrument Table'!$I:$I, 'Instrument Table'!$B:$B, $C3032), _xlfn.XLOOKUP($A3033, 'Instrument Table'!$H:$H, 'Instrument Table'!$B:$B, $C3032)))</f>
        <v>Timpani</v>
      </c>
      <c r="D3033" s="1" t="str">
        <f>VLOOKUP($C3033, 'Instrument Table'!$B:$C, 2, FALSE)</f>
        <v>Percussion</v>
      </c>
      <c r="E3033" s="1">
        <f t="shared" si="282"/>
        <v>1</v>
      </c>
      <c r="F3033" s="1">
        <f>_xlfn.XLOOKUP($C3033, 'Instrument Table'!$B:$B, 'Instrument Table'!$A:$A, "")</f>
        <v>51</v>
      </c>
      <c r="G3033" s="1" t="str">
        <f>TEXT(IF($B3033 = "Retail Item", IF((ROW($A3033) - 4504 - _xlfn.XMATCH($C3033, $C$4506:$C$5005, 0, 1)) &lt;= VLOOKUP($C3033, 'Instrument Table'!$B:$D, 3, FALSE), ROW($A3033) - 4504 - _xlfn.XMATCH($C3033, $C$4506:$C$5005, 0, 1), 0), 0), "00")</f>
        <v>00</v>
      </c>
      <c r="H3033" s="1" t="str">
        <f t="shared" si="283"/>
        <v>027</v>
      </c>
      <c r="I3033" s="1" t="str">
        <f t="shared" si="284"/>
        <v>15100-027</v>
      </c>
      <c r="J3033" s="1" t="str">
        <f t="shared" si="285"/>
        <v>Timpani production item #027</v>
      </c>
      <c r="K3033" s="1" t="str">
        <f>IF(SUM(COUNTIFS(I:I, I3033)) &gt; 1, "DUPLICATE", "UNIQUE")</f>
        <v>UNIQUE</v>
      </c>
      <c r="L3033" s="18">
        <v>0</v>
      </c>
      <c r="M3033" s="28">
        <v>91</v>
      </c>
      <c r="N3033" s="6">
        <v>25</v>
      </c>
      <c r="O3033" s="30">
        <f t="shared" si="286"/>
        <v>0</v>
      </c>
      <c r="P3033" s="30">
        <f t="shared" si="287"/>
        <v>2275</v>
      </c>
      <c r="Q3033" s="1">
        <f>COUNTIFS($P:$P, "&gt;" &amp; $P3033) + 1</f>
        <v>3144</v>
      </c>
      <c r="R3033" s="63">
        <f>(COUNTIFS($P:$P, "&gt;" &amp; $P3033) + 1) / (COUNTA($I:$I) - 1)</f>
        <v>0.62880000000000003</v>
      </c>
      <c r="S3033" s="23">
        <f>SUMIFS($P:$P, $Q:$Q, "&lt;" &amp; $Q3033)</f>
        <v>185284498</v>
      </c>
    </row>
    <row r="3034" spans="1:19" x14ac:dyDescent="0.25">
      <c r="A3034" s="1">
        <v>3029</v>
      </c>
      <c r="B3034" s="1" t="s">
        <v>2</v>
      </c>
      <c r="C3034" s="1" t="str">
        <f>IF($B3034 = "Production Item", _xlfn.XLOOKUP($A3034, 'Instrument Table'!$J:$J, 'Instrument Table'!$B:$B, $C3033), IF($B3034 = "Service Item", _xlfn.XLOOKUP($A3034, 'Instrument Table'!$I:$I, 'Instrument Table'!$B:$B, $C3033), _xlfn.XLOOKUP($A3034, 'Instrument Table'!$H:$H, 'Instrument Table'!$B:$B, $C3033)))</f>
        <v>Timpani</v>
      </c>
      <c r="D3034" s="1" t="str">
        <f>VLOOKUP($C3034, 'Instrument Table'!$B:$C, 2, FALSE)</f>
        <v>Percussion</v>
      </c>
      <c r="E3034" s="1">
        <f t="shared" si="282"/>
        <v>1</v>
      </c>
      <c r="F3034" s="1">
        <f>_xlfn.XLOOKUP($C3034, 'Instrument Table'!$B:$B, 'Instrument Table'!$A:$A, "")</f>
        <v>51</v>
      </c>
      <c r="G3034" s="1" t="str">
        <f>TEXT(IF($B3034 = "Retail Item", IF((ROW($A3034) - 4504 - _xlfn.XMATCH($C3034, $C$4506:$C$5005, 0, 1)) &lt;= VLOOKUP($C3034, 'Instrument Table'!$B:$D, 3, FALSE), ROW($A3034) - 4504 - _xlfn.XMATCH($C3034, $C$4506:$C$5005, 0, 1), 0), 0), "00")</f>
        <v>00</v>
      </c>
      <c r="H3034" s="1" t="str">
        <f t="shared" si="283"/>
        <v>028</v>
      </c>
      <c r="I3034" s="1" t="str">
        <f t="shared" si="284"/>
        <v>15100-028</v>
      </c>
      <c r="J3034" s="1" t="str">
        <f t="shared" si="285"/>
        <v>Timpani production item #028</v>
      </c>
      <c r="K3034" s="1" t="str">
        <f>IF(SUM(COUNTIFS(I:I, I3034)) &gt; 1, "DUPLICATE", "UNIQUE")</f>
        <v>UNIQUE</v>
      </c>
      <c r="L3034" s="18">
        <v>0</v>
      </c>
      <c r="M3034" s="28">
        <v>61</v>
      </c>
      <c r="N3034" s="6">
        <v>169</v>
      </c>
      <c r="O3034" s="30">
        <f t="shared" si="286"/>
        <v>0</v>
      </c>
      <c r="P3034" s="30">
        <f t="shared" si="287"/>
        <v>10309</v>
      </c>
      <c r="Q3034" s="1">
        <f>COUNTIFS($P:$P, "&gt;" &amp; $P3034) + 1</f>
        <v>1750</v>
      </c>
      <c r="R3034" s="63">
        <f>(COUNTIFS($P:$P, "&gt;" &amp; $P3034) + 1) / (COUNTA($I:$I) - 1)</f>
        <v>0.35</v>
      </c>
      <c r="S3034" s="23">
        <f>SUMIFS($P:$P, $Q:$Q, "&lt;" &amp; $Q3034)</f>
        <v>177742202</v>
      </c>
    </row>
    <row r="3035" spans="1:19" x14ac:dyDescent="0.25">
      <c r="A3035" s="1">
        <v>3030</v>
      </c>
      <c r="B3035" s="1" t="s">
        <v>2</v>
      </c>
      <c r="C3035" s="1" t="str">
        <f>IF($B3035 = "Production Item", _xlfn.XLOOKUP($A3035, 'Instrument Table'!$J:$J, 'Instrument Table'!$B:$B, $C3034), IF($B3035 = "Service Item", _xlfn.XLOOKUP($A3035, 'Instrument Table'!$I:$I, 'Instrument Table'!$B:$B, $C3034), _xlfn.XLOOKUP($A3035, 'Instrument Table'!$H:$H, 'Instrument Table'!$B:$B, $C3034)))</f>
        <v>Timpani</v>
      </c>
      <c r="D3035" s="1" t="str">
        <f>VLOOKUP($C3035, 'Instrument Table'!$B:$C, 2, FALSE)</f>
        <v>Percussion</v>
      </c>
      <c r="E3035" s="1">
        <f t="shared" si="282"/>
        <v>1</v>
      </c>
      <c r="F3035" s="1">
        <f>_xlfn.XLOOKUP($C3035, 'Instrument Table'!$B:$B, 'Instrument Table'!$A:$A, "")</f>
        <v>51</v>
      </c>
      <c r="G3035" s="1" t="str">
        <f>TEXT(IF($B3035 = "Retail Item", IF((ROW($A3035) - 4504 - _xlfn.XMATCH($C3035, $C$4506:$C$5005, 0, 1)) &lt;= VLOOKUP($C3035, 'Instrument Table'!$B:$D, 3, FALSE), ROW($A3035) - 4504 - _xlfn.XMATCH($C3035, $C$4506:$C$5005, 0, 1), 0), 0), "00")</f>
        <v>00</v>
      </c>
      <c r="H3035" s="1" t="str">
        <f t="shared" si="283"/>
        <v>029</v>
      </c>
      <c r="I3035" s="1" t="str">
        <f t="shared" si="284"/>
        <v>15100-029</v>
      </c>
      <c r="J3035" s="1" t="str">
        <f t="shared" si="285"/>
        <v>Timpani production item #029</v>
      </c>
      <c r="K3035" s="1" t="str">
        <f>IF(SUM(COUNTIFS(I:I, I3035)) &gt; 1, "DUPLICATE", "UNIQUE")</f>
        <v>UNIQUE</v>
      </c>
      <c r="L3035" s="18">
        <v>0</v>
      </c>
      <c r="M3035" s="28">
        <v>87</v>
      </c>
      <c r="N3035" s="6">
        <v>169</v>
      </c>
      <c r="O3035" s="30">
        <f t="shared" si="286"/>
        <v>0</v>
      </c>
      <c r="P3035" s="30">
        <f t="shared" si="287"/>
        <v>14703</v>
      </c>
      <c r="Q3035" s="1">
        <f>COUNTIFS($P:$P, "&gt;" &amp; $P3035) + 1</f>
        <v>1370</v>
      </c>
      <c r="R3035" s="63">
        <f>(COUNTIFS($P:$P, "&gt;" &amp; $P3035) + 1) / (COUNTA($I:$I) - 1)</f>
        <v>0.27400000000000002</v>
      </c>
      <c r="S3035" s="23">
        <f>SUMIFS($P:$P, $Q:$Q, "&lt;" &amp; $Q3035)</f>
        <v>173040250</v>
      </c>
    </row>
    <row r="3036" spans="1:19" x14ac:dyDescent="0.25">
      <c r="A3036" s="1">
        <v>3031</v>
      </c>
      <c r="B3036" s="1" t="s">
        <v>2</v>
      </c>
      <c r="C3036" s="1" t="str">
        <f>IF($B3036 = "Production Item", _xlfn.XLOOKUP($A3036, 'Instrument Table'!$J:$J, 'Instrument Table'!$B:$B, $C3035), IF($B3036 = "Service Item", _xlfn.XLOOKUP($A3036, 'Instrument Table'!$I:$I, 'Instrument Table'!$B:$B, $C3035), _xlfn.XLOOKUP($A3036, 'Instrument Table'!$H:$H, 'Instrument Table'!$B:$B, $C3035)))</f>
        <v>Timpani</v>
      </c>
      <c r="D3036" s="1" t="str">
        <f>VLOOKUP($C3036, 'Instrument Table'!$B:$C, 2, FALSE)</f>
        <v>Percussion</v>
      </c>
      <c r="E3036" s="1">
        <f t="shared" si="282"/>
        <v>1</v>
      </c>
      <c r="F3036" s="1">
        <f>_xlfn.XLOOKUP($C3036, 'Instrument Table'!$B:$B, 'Instrument Table'!$A:$A, "")</f>
        <v>51</v>
      </c>
      <c r="G3036" s="1" t="str">
        <f>TEXT(IF($B3036 = "Retail Item", IF((ROW($A3036) - 4504 - _xlfn.XMATCH($C3036, $C$4506:$C$5005, 0, 1)) &lt;= VLOOKUP($C3036, 'Instrument Table'!$B:$D, 3, FALSE), ROW($A3036) - 4504 - _xlfn.XMATCH($C3036, $C$4506:$C$5005, 0, 1), 0), 0), "00")</f>
        <v>00</v>
      </c>
      <c r="H3036" s="1" t="str">
        <f t="shared" si="283"/>
        <v>030</v>
      </c>
      <c r="I3036" s="1" t="str">
        <f t="shared" si="284"/>
        <v>15100-030</v>
      </c>
      <c r="J3036" s="1" t="str">
        <f t="shared" si="285"/>
        <v>Timpani production item #030</v>
      </c>
      <c r="K3036" s="1" t="str">
        <f>IF(SUM(COUNTIFS(I:I, I3036)) &gt; 1, "DUPLICATE", "UNIQUE")</f>
        <v>UNIQUE</v>
      </c>
      <c r="L3036" s="18">
        <v>1</v>
      </c>
      <c r="M3036" s="28">
        <v>65</v>
      </c>
      <c r="N3036" s="6">
        <v>100</v>
      </c>
      <c r="O3036" s="30">
        <f t="shared" si="286"/>
        <v>65</v>
      </c>
      <c r="P3036" s="30">
        <f t="shared" si="287"/>
        <v>6500</v>
      </c>
      <c r="Q3036" s="1">
        <f>COUNTIFS($P:$P, "&gt;" &amp; $P3036) + 1</f>
        <v>2204</v>
      </c>
      <c r="R3036" s="63">
        <f>(COUNTIFS($P:$P, "&gt;" &amp; $P3036) + 1) / (COUNTA($I:$I) - 1)</f>
        <v>0.44080000000000003</v>
      </c>
      <c r="S3036" s="23">
        <f>SUMIFS($P:$P, $Q:$Q, "&lt;" &amp; $Q3036)</f>
        <v>181477594</v>
      </c>
    </row>
    <row r="3037" spans="1:19" x14ac:dyDescent="0.25">
      <c r="A3037" s="1">
        <v>3032</v>
      </c>
      <c r="B3037" s="1" t="s">
        <v>2</v>
      </c>
      <c r="C3037" s="1" t="str">
        <f>IF($B3037 = "Production Item", _xlfn.XLOOKUP($A3037, 'Instrument Table'!$J:$J, 'Instrument Table'!$B:$B, $C3036), IF($B3037 = "Service Item", _xlfn.XLOOKUP($A3037, 'Instrument Table'!$I:$I, 'Instrument Table'!$B:$B, $C3036), _xlfn.XLOOKUP($A3037, 'Instrument Table'!$H:$H, 'Instrument Table'!$B:$B, $C3036)))</f>
        <v>Timpani</v>
      </c>
      <c r="D3037" s="1" t="str">
        <f>VLOOKUP($C3037, 'Instrument Table'!$B:$C, 2, FALSE)</f>
        <v>Percussion</v>
      </c>
      <c r="E3037" s="1">
        <f t="shared" si="282"/>
        <v>1</v>
      </c>
      <c r="F3037" s="1">
        <f>_xlfn.XLOOKUP($C3037, 'Instrument Table'!$B:$B, 'Instrument Table'!$A:$A, "")</f>
        <v>51</v>
      </c>
      <c r="G3037" s="1" t="str">
        <f>TEXT(IF($B3037 = "Retail Item", IF((ROW($A3037) - 4504 - _xlfn.XMATCH($C3037, $C$4506:$C$5005, 0, 1)) &lt;= VLOOKUP($C3037, 'Instrument Table'!$B:$D, 3, FALSE), ROW($A3037) - 4504 - _xlfn.XMATCH($C3037, $C$4506:$C$5005, 0, 1), 0), 0), "00")</f>
        <v>00</v>
      </c>
      <c r="H3037" s="1" t="str">
        <f t="shared" si="283"/>
        <v>031</v>
      </c>
      <c r="I3037" s="1" t="str">
        <f t="shared" si="284"/>
        <v>15100-031</v>
      </c>
      <c r="J3037" s="1" t="str">
        <f t="shared" si="285"/>
        <v>Timpani production item #031</v>
      </c>
      <c r="K3037" s="1" t="str">
        <f>IF(SUM(COUNTIFS(I:I, I3037)) &gt; 1, "DUPLICATE", "UNIQUE")</f>
        <v>UNIQUE</v>
      </c>
      <c r="L3037" s="18">
        <v>1</v>
      </c>
      <c r="M3037" s="28">
        <v>53</v>
      </c>
      <c r="N3037" s="6">
        <v>1</v>
      </c>
      <c r="O3037" s="30">
        <f t="shared" si="286"/>
        <v>53</v>
      </c>
      <c r="P3037" s="30">
        <f t="shared" si="287"/>
        <v>53</v>
      </c>
      <c r="Q3037" s="1">
        <f>COUNTIFS($P:$P, "&gt;" &amp; $P3037) + 1</f>
        <v>4606</v>
      </c>
      <c r="R3037" s="63">
        <f>(COUNTIFS($P:$P, "&gt;" &amp; $P3037) + 1) / (COUNTA($I:$I) - 1)</f>
        <v>0.92120000000000002</v>
      </c>
      <c r="S3037" s="23">
        <f>SUMIFS($P:$P, $Q:$Q, "&lt;" &amp; $Q3037)</f>
        <v>186544018</v>
      </c>
    </row>
    <row r="3038" spans="1:19" x14ac:dyDescent="0.25">
      <c r="A3038" s="1">
        <v>3033</v>
      </c>
      <c r="B3038" s="1" t="s">
        <v>2</v>
      </c>
      <c r="C3038" s="1" t="str">
        <f>IF($B3038 = "Production Item", _xlfn.XLOOKUP($A3038, 'Instrument Table'!$J:$J, 'Instrument Table'!$B:$B, $C3037), IF($B3038 = "Service Item", _xlfn.XLOOKUP($A3038, 'Instrument Table'!$I:$I, 'Instrument Table'!$B:$B, $C3037), _xlfn.XLOOKUP($A3038, 'Instrument Table'!$H:$H, 'Instrument Table'!$B:$B, $C3037)))</f>
        <v>Timpani</v>
      </c>
      <c r="D3038" s="1" t="str">
        <f>VLOOKUP($C3038, 'Instrument Table'!$B:$C, 2, FALSE)</f>
        <v>Percussion</v>
      </c>
      <c r="E3038" s="1">
        <f t="shared" si="282"/>
        <v>1</v>
      </c>
      <c r="F3038" s="1">
        <f>_xlfn.XLOOKUP($C3038, 'Instrument Table'!$B:$B, 'Instrument Table'!$A:$A, "")</f>
        <v>51</v>
      </c>
      <c r="G3038" s="1" t="str">
        <f>TEXT(IF($B3038 = "Retail Item", IF((ROW($A3038) - 4504 - _xlfn.XMATCH($C3038, $C$4506:$C$5005, 0, 1)) &lt;= VLOOKUP($C3038, 'Instrument Table'!$B:$D, 3, FALSE), ROW($A3038) - 4504 - _xlfn.XMATCH($C3038, $C$4506:$C$5005, 0, 1), 0), 0), "00")</f>
        <v>00</v>
      </c>
      <c r="H3038" s="1" t="str">
        <f t="shared" si="283"/>
        <v>032</v>
      </c>
      <c r="I3038" s="1" t="str">
        <f t="shared" si="284"/>
        <v>15100-032</v>
      </c>
      <c r="J3038" s="1" t="str">
        <f t="shared" si="285"/>
        <v>Timpani production item #032</v>
      </c>
      <c r="K3038" s="1" t="str">
        <f>IF(SUM(COUNTIFS(I:I, I3038)) &gt; 1, "DUPLICATE", "UNIQUE")</f>
        <v>UNIQUE</v>
      </c>
      <c r="L3038" s="18">
        <v>0</v>
      </c>
      <c r="M3038" s="28">
        <v>93</v>
      </c>
      <c r="N3038" s="6">
        <v>169</v>
      </c>
      <c r="O3038" s="30">
        <f t="shared" si="286"/>
        <v>0</v>
      </c>
      <c r="P3038" s="30">
        <f t="shared" si="287"/>
        <v>15717</v>
      </c>
      <c r="Q3038" s="1">
        <f>COUNTIFS($P:$P, "&gt;" &amp; $P3038) + 1</f>
        <v>1298</v>
      </c>
      <c r="R3038" s="63">
        <f>(COUNTIFS($P:$P, "&gt;" &amp; $P3038) + 1) / (COUNTA($I:$I) - 1)</f>
        <v>0.2596</v>
      </c>
      <c r="S3038" s="23">
        <f>SUMIFS($P:$P, $Q:$Q, "&lt;" &amp; $Q3038)</f>
        <v>171942454</v>
      </c>
    </row>
    <row r="3039" spans="1:19" x14ac:dyDescent="0.25">
      <c r="A3039" s="1">
        <v>3034</v>
      </c>
      <c r="B3039" s="1" t="s">
        <v>2</v>
      </c>
      <c r="C3039" s="1" t="str">
        <f>IF($B3039 = "Production Item", _xlfn.XLOOKUP($A3039, 'Instrument Table'!$J:$J, 'Instrument Table'!$B:$B, $C3038), IF($B3039 = "Service Item", _xlfn.XLOOKUP($A3039, 'Instrument Table'!$I:$I, 'Instrument Table'!$B:$B, $C3038), _xlfn.XLOOKUP($A3039, 'Instrument Table'!$H:$H, 'Instrument Table'!$B:$B, $C3038)))</f>
        <v>Timpani</v>
      </c>
      <c r="D3039" s="1" t="str">
        <f>VLOOKUP($C3039, 'Instrument Table'!$B:$C, 2, FALSE)</f>
        <v>Percussion</v>
      </c>
      <c r="E3039" s="1">
        <f t="shared" si="282"/>
        <v>1</v>
      </c>
      <c r="F3039" s="1">
        <f>_xlfn.XLOOKUP($C3039, 'Instrument Table'!$B:$B, 'Instrument Table'!$A:$A, "")</f>
        <v>51</v>
      </c>
      <c r="G3039" s="1" t="str">
        <f>TEXT(IF($B3039 = "Retail Item", IF((ROW($A3039) - 4504 - _xlfn.XMATCH($C3039, $C$4506:$C$5005, 0, 1)) &lt;= VLOOKUP($C3039, 'Instrument Table'!$B:$D, 3, FALSE), ROW($A3039) - 4504 - _xlfn.XMATCH($C3039, $C$4506:$C$5005, 0, 1), 0), 0), "00")</f>
        <v>00</v>
      </c>
      <c r="H3039" s="1" t="str">
        <f t="shared" si="283"/>
        <v>033</v>
      </c>
      <c r="I3039" s="1" t="str">
        <f t="shared" si="284"/>
        <v>15100-033</v>
      </c>
      <c r="J3039" s="1" t="str">
        <f t="shared" si="285"/>
        <v>Timpani production item #033</v>
      </c>
      <c r="K3039" s="1" t="str">
        <f>IF(SUM(COUNTIFS(I:I, I3039)) &gt; 1, "DUPLICATE", "UNIQUE")</f>
        <v>UNIQUE</v>
      </c>
      <c r="L3039" s="18">
        <v>1</v>
      </c>
      <c r="M3039" s="28">
        <v>24</v>
      </c>
      <c r="N3039" s="6">
        <v>196</v>
      </c>
      <c r="O3039" s="30">
        <f t="shared" si="286"/>
        <v>24</v>
      </c>
      <c r="P3039" s="30">
        <f t="shared" si="287"/>
        <v>4704</v>
      </c>
      <c r="Q3039" s="1">
        <f>COUNTIFS($P:$P, "&gt;" &amp; $P3039) + 1</f>
        <v>2500</v>
      </c>
      <c r="R3039" s="63">
        <f>(COUNTIFS($P:$P, "&gt;" &amp; $P3039) + 1) / (COUNTA($I:$I) - 1)</f>
        <v>0.5</v>
      </c>
      <c r="S3039" s="23">
        <f>SUMIFS($P:$P, $Q:$Q, "&lt;" &amp; $Q3039)</f>
        <v>183115244</v>
      </c>
    </row>
    <row r="3040" spans="1:19" x14ac:dyDescent="0.25">
      <c r="A3040" s="1">
        <v>3035</v>
      </c>
      <c r="B3040" s="1" t="s">
        <v>2</v>
      </c>
      <c r="C3040" s="1" t="str">
        <f>IF($B3040 = "Production Item", _xlfn.XLOOKUP($A3040, 'Instrument Table'!$J:$J, 'Instrument Table'!$B:$B, $C3039), IF($B3040 = "Service Item", _xlfn.XLOOKUP($A3040, 'Instrument Table'!$I:$I, 'Instrument Table'!$B:$B, $C3039), _xlfn.XLOOKUP($A3040, 'Instrument Table'!$H:$H, 'Instrument Table'!$B:$B, $C3039)))</f>
        <v>Timpani</v>
      </c>
      <c r="D3040" s="1" t="str">
        <f>VLOOKUP($C3040, 'Instrument Table'!$B:$C, 2, FALSE)</f>
        <v>Percussion</v>
      </c>
      <c r="E3040" s="1">
        <f t="shared" si="282"/>
        <v>1</v>
      </c>
      <c r="F3040" s="1">
        <f>_xlfn.XLOOKUP($C3040, 'Instrument Table'!$B:$B, 'Instrument Table'!$A:$A, "")</f>
        <v>51</v>
      </c>
      <c r="G3040" s="1" t="str">
        <f>TEXT(IF($B3040 = "Retail Item", IF((ROW($A3040) - 4504 - _xlfn.XMATCH($C3040, $C$4506:$C$5005, 0, 1)) &lt;= VLOOKUP($C3040, 'Instrument Table'!$B:$D, 3, FALSE), ROW($A3040) - 4504 - _xlfn.XMATCH($C3040, $C$4506:$C$5005, 0, 1), 0), 0), "00")</f>
        <v>00</v>
      </c>
      <c r="H3040" s="1" t="str">
        <f t="shared" si="283"/>
        <v>034</v>
      </c>
      <c r="I3040" s="1" t="str">
        <f t="shared" si="284"/>
        <v>15100-034</v>
      </c>
      <c r="J3040" s="1" t="str">
        <f t="shared" si="285"/>
        <v>Timpani production item #034</v>
      </c>
      <c r="K3040" s="1" t="str">
        <f>IF(SUM(COUNTIFS(I:I, I3040)) &gt; 1, "DUPLICATE", "UNIQUE")</f>
        <v>UNIQUE</v>
      </c>
      <c r="L3040" s="18">
        <v>0</v>
      </c>
      <c r="M3040" s="28">
        <v>18</v>
      </c>
      <c r="N3040" s="6">
        <v>196</v>
      </c>
      <c r="O3040" s="30">
        <f t="shared" si="286"/>
        <v>0</v>
      </c>
      <c r="P3040" s="30">
        <f t="shared" si="287"/>
        <v>3528</v>
      </c>
      <c r="Q3040" s="1">
        <f>COUNTIFS($P:$P, "&gt;" &amp; $P3040) + 1</f>
        <v>2761</v>
      </c>
      <c r="R3040" s="63">
        <f>(COUNTIFS($P:$P, "&gt;" &amp; $P3040) + 1) / (COUNTA($I:$I) - 1)</f>
        <v>0.55220000000000002</v>
      </c>
      <c r="S3040" s="23">
        <f>SUMIFS($P:$P, $Q:$Q, "&lt;" &amp; $Q3040)</f>
        <v>184189975</v>
      </c>
    </row>
    <row r="3041" spans="1:19" x14ac:dyDescent="0.25">
      <c r="A3041" s="1">
        <v>3036</v>
      </c>
      <c r="B3041" s="1" t="s">
        <v>2</v>
      </c>
      <c r="C3041" s="1" t="str">
        <f>IF($B3041 = "Production Item", _xlfn.XLOOKUP($A3041, 'Instrument Table'!$J:$J, 'Instrument Table'!$B:$B, $C3040), IF($B3041 = "Service Item", _xlfn.XLOOKUP($A3041, 'Instrument Table'!$I:$I, 'Instrument Table'!$B:$B, $C3040), _xlfn.XLOOKUP($A3041, 'Instrument Table'!$H:$H, 'Instrument Table'!$B:$B, $C3040)))</f>
        <v>Timpani</v>
      </c>
      <c r="D3041" s="1" t="str">
        <f>VLOOKUP($C3041, 'Instrument Table'!$B:$C, 2, FALSE)</f>
        <v>Percussion</v>
      </c>
      <c r="E3041" s="1">
        <f t="shared" si="282"/>
        <v>1</v>
      </c>
      <c r="F3041" s="1">
        <f>_xlfn.XLOOKUP($C3041, 'Instrument Table'!$B:$B, 'Instrument Table'!$A:$A, "")</f>
        <v>51</v>
      </c>
      <c r="G3041" s="1" t="str">
        <f>TEXT(IF($B3041 = "Retail Item", IF((ROW($A3041) - 4504 - _xlfn.XMATCH($C3041, $C$4506:$C$5005, 0, 1)) &lt;= VLOOKUP($C3041, 'Instrument Table'!$B:$D, 3, FALSE), ROW($A3041) - 4504 - _xlfn.XMATCH($C3041, $C$4506:$C$5005, 0, 1), 0), 0), "00")</f>
        <v>00</v>
      </c>
      <c r="H3041" s="1" t="str">
        <f t="shared" si="283"/>
        <v>035</v>
      </c>
      <c r="I3041" s="1" t="str">
        <f t="shared" si="284"/>
        <v>15100-035</v>
      </c>
      <c r="J3041" s="1" t="str">
        <f t="shared" si="285"/>
        <v>Timpani production item #035</v>
      </c>
      <c r="K3041" s="1" t="str">
        <f>IF(SUM(COUNTIFS(I:I, I3041)) &gt; 1, "DUPLICATE", "UNIQUE")</f>
        <v>UNIQUE</v>
      </c>
      <c r="L3041" s="18">
        <v>4</v>
      </c>
      <c r="M3041" s="28">
        <v>5</v>
      </c>
      <c r="N3041" s="6">
        <v>361</v>
      </c>
      <c r="O3041" s="30">
        <f t="shared" si="286"/>
        <v>20</v>
      </c>
      <c r="P3041" s="30">
        <f t="shared" si="287"/>
        <v>1805</v>
      </c>
      <c r="Q3041" s="1">
        <f>COUNTIFS($P:$P, "&gt;" &amp; $P3041) + 1</f>
        <v>3328</v>
      </c>
      <c r="R3041" s="63">
        <f>(COUNTIFS($P:$P, "&gt;" &amp; $P3041) + 1) / (COUNTA($I:$I) - 1)</f>
        <v>0.66559999999999997</v>
      </c>
      <c r="S3041" s="23">
        <f>SUMIFS($P:$P, $Q:$Q, "&lt;" &amp; $Q3041)</f>
        <v>185660956</v>
      </c>
    </row>
    <row r="3042" spans="1:19" x14ac:dyDescent="0.25">
      <c r="A3042" s="1">
        <v>3037</v>
      </c>
      <c r="B3042" s="1" t="s">
        <v>2</v>
      </c>
      <c r="C3042" s="1" t="str">
        <f>IF($B3042 = "Production Item", _xlfn.XLOOKUP($A3042, 'Instrument Table'!$J:$J, 'Instrument Table'!$B:$B, $C3041), IF($B3042 = "Service Item", _xlfn.XLOOKUP($A3042, 'Instrument Table'!$I:$I, 'Instrument Table'!$B:$B, $C3041), _xlfn.XLOOKUP($A3042, 'Instrument Table'!$H:$H, 'Instrument Table'!$B:$B, $C3041)))</f>
        <v>Timpani</v>
      </c>
      <c r="D3042" s="1" t="str">
        <f>VLOOKUP($C3042, 'Instrument Table'!$B:$C, 2, FALSE)</f>
        <v>Percussion</v>
      </c>
      <c r="E3042" s="1">
        <f t="shared" si="282"/>
        <v>1</v>
      </c>
      <c r="F3042" s="1">
        <f>_xlfn.XLOOKUP($C3042, 'Instrument Table'!$B:$B, 'Instrument Table'!$A:$A, "")</f>
        <v>51</v>
      </c>
      <c r="G3042" s="1" t="str">
        <f>TEXT(IF($B3042 = "Retail Item", IF((ROW($A3042) - 4504 - _xlfn.XMATCH($C3042, $C$4506:$C$5005, 0, 1)) &lt;= VLOOKUP($C3042, 'Instrument Table'!$B:$D, 3, FALSE), ROW($A3042) - 4504 - _xlfn.XMATCH($C3042, $C$4506:$C$5005, 0, 1), 0), 0), "00")</f>
        <v>00</v>
      </c>
      <c r="H3042" s="1" t="str">
        <f t="shared" si="283"/>
        <v>036</v>
      </c>
      <c r="I3042" s="1" t="str">
        <f t="shared" si="284"/>
        <v>15100-036</v>
      </c>
      <c r="J3042" s="1" t="str">
        <f t="shared" si="285"/>
        <v>Timpani production item #036</v>
      </c>
      <c r="K3042" s="1" t="str">
        <f>IF(SUM(COUNTIFS(I:I, I3042)) &gt; 1, "DUPLICATE", "UNIQUE")</f>
        <v>UNIQUE</v>
      </c>
      <c r="L3042" s="18">
        <v>0</v>
      </c>
      <c r="M3042" s="28">
        <v>24</v>
      </c>
      <c r="N3042" s="6">
        <v>0</v>
      </c>
      <c r="O3042" s="30">
        <f t="shared" si="286"/>
        <v>0</v>
      </c>
      <c r="P3042" s="30">
        <f t="shared" si="287"/>
        <v>0</v>
      </c>
      <c r="Q3042" s="1">
        <f>COUNTIFS($P:$P, "&gt;" &amp; $P3042) + 1</f>
        <v>4746</v>
      </c>
      <c r="R3042" s="63">
        <f>(COUNTIFS($P:$P, "&gt;" &amp; $P3042) + 1) / (COUNTA($I:$I) - 1)</f>
        <v>0.94920000000000004</v>
      </c>
      <c r="S3042" s="23">
        <f>SUMIFS($P:$P, $Q:$Q, "&lt;" &amp; $Q3042)</f>
        <v>186547861</v>
      </c>
    </row>
    <row r="3043" spans="1:19" x14ac:dyDescent="0.25">
      <c r="A3043" s="1">
        <v>3038</v>
      </c>
      <c r="B3043" s="1" t="s">
        <v>2</v>
      </c>
      <c r="C3043" s="1" t="str">
        <f>IF($B3043 = "Production Item", _xlfn.XLOOKUP($A3043, 'Instrument Table'!$J:$J, 'Instrument Table'!$B:$B, $C3042), IF($B3043 = "Service Item", _xlfn.XLOOKUP($A3043, 'Instrument Table'!$I:$I, 'Instrument Table'!$B:$B, $C3042), _xlfn.XLOOKUP($A3043, 'Instrument Table'!$H:$H, 'Instrument Table'!$B:$B, $C3042)))</f>
        <v>Timpani</v>
      </c>
      <c r="D3043" s="1" t="str">
        <f>VLOOKUP($C3043, 'Instrument Table'!$B:$C, 2, FALSE)</f>
        <v>Percussion</v>
      </c>
      <c r="E3043" s="1">
        <f t="shared" si="282"/>
        <v>1</v>
      </c>
      <c r="F3043" s="1">
        <f>_xlfn.XLOOKUP($C3043, 'Instrument Table'!$B:$B, 'Instrument Table'!$A:$A, "")</f>
        <v>51</v>
      </c>
      <c r="G3043" s="1" t="str">
        <f>TEXT(IF($B3043 = "Retail Item", IF((ROW($A3043) - 4504 - _xlfn.XMATCH($C3043, $C$4506:$C$5005, 0, 1)) &lt;= VLOOKUP($C3043, 'Instrument Table'!$B:$D, 3, FALSE), ROW($A3043) - 4504 - _xlfn.XMATCH($C3043, $C$4506:$C$5005, 0, 1), 0), 0), "00")</f>
        <v>00</v>
      </c>
      <c r="H3043" s="1" t="str">
        <f t="shared" si="283"/>
        <v>037</v>
      </c>
      <c r="I3043" s="1" t="str">
        <f t="shared" si="284"/>
        <v>15100-037</v>
      </c>
      <c r="J3043" s="1" t="str">
        <f t="shared" si="285"/>
        <v>Timpani production item #037</v>
      </c>
      <c r="K3043" s="1" t="str">
        <f>IF(SUM(COUNTIFS(I:I, I3043)) &gt; 1, "DUPLICATE", "UNIQUE")</f>
        <v>UNIQUE</v>
      </c>
      <c r="L3043" s="18">
        <v>32</v>
      </c>
      <c r="M3043" s="28">
        <v>97</v>
      </c>
      <c r="N3043" s="6">
        <v>0</v>
      </c>
      <c r="O3043" s="30">
        <f t="shared" si="286"/>
        <v>3104</v>
      </c>
      <c r="P3043" s="30">
        <f t="shared" si="287"/>
        <v>0</v>
      </c>
      <c r="Q3043" s="1">
        <f>COUNTIFS($P:$P, "&gt;" &amp; $P3043) + 1</f>
        <v>4746</v>
      </c>
      <c r="R3043" s="63">
        <f>(COUNTIFS($P:$P, "&gt;" &amp; $P3043) + 1) / (COUNTA($I:$I) - 1)</f>
        <v>0.94920000000000004</v>
      </c>
      <c r="S3043" s="23">
        <f>SUMIFS($P:$P, $Q:$Q, "&lt;" &amp; $Q3043)</f>
        <v>186547861</v>
      </c>
    </row>
    <row r="3044" spans="1:19" x14ac:dyDescent="0.25">
      <c r="A3044" s="1">
        <v>3039</v>
      </c>
      <c r="B3044" s="1" t="s">
        <v>2</v>
      </c>
      <c r="C3044" s="1" t="str">
        <f>IF($B3044 = "Production Item", _xlfn.XLOOKUP($A3044, 'Instrument Table'!$J:$J, 'Instrument Table'!$B:$B, $C3043), IF($B3044 = "Service Item", _xlfn.XLOOKUP($A3044, 'Instrument Table'!$I:$I, 'Instrument Table'!$B:$B, $C3043), _xlfn.XLOOKUP($A3044, 'Instrument Table'!$H:$H, 'Instrument Table'!$B:$B, $C3043)))</f>
        <v>Timpani</v>
      </c>
      <c r="D3044" s="1" t="str">
        <f>VLOOKUP($C3044, 'Instrument Table'!$B:$C, 2, FALSE)</f>
        <v>Percussion</v>
      </c>
      <c r="E3044" s="1">
        <f t="shared" si="282"/>
        <v>1</v>
      </c>
      <c r="F3044" s="1">
        <f>_xlfn.XLOOKUP($C3044, 'Instrument Table'!$B:$B, 'Instrument Table'!$A:$A, "")</f>
        <v>51</v>
      </c>
      <c r="G3044" s="1" t="str">
        <f>TEXT(IF($B3044 = "Retail Item", IF((ROW($A3044) - 4504 - _xlfn.XMATCH($C3044, $C$4506:$C$5005, 0, 1)) &lt;= VLOOKUP($C3044, 'Instrument Table'!$B:$D, 3, FALSE), ROW($A3044) - 4504 - _xlfn.XMATCH($C3044, $C$4506:$C$5005, 0, 1), 0), 0), "00")</f>
        <v>00</v>
      </c>
      <c r="H3044" s="1" t="str">
        <f t="shared" si="283"/>
        <v>038</v>
      </c>
      <c r="I3044" s="1" t="str">
        <f t="shared" si="284"/>
        <v>15100-038</v>
      </c>
      <c r="J3044" s="1" t="str">
        <f t="shared" si="285"/>
        <v>Timpani production item #038</v>
      </c>
      <c r="K3044" s="1" t="str">
        <f>IF(SUM(COUNTIFS(I:I, I3044)) &gt; 1, "DUPLICATE", "UNIQUE")</f>
        <v>UNIQUE</v>
      </c>
      <c r="L3044" s="18">
        <v>2</v>
      </c>
      <c r="M3044" s="28">
        <v>37</v>
      </c>
      <c r="N3044" s="6">
        <v>81</v>
      </c>
      <c r="O3044" s="30">
        <f t="shared" si="286"/>
        <v>74</v>
      </c>
      <c r="P3044" s="30">
        <f t="shared" si="287"/>
        <v>2997</v>
      </c>
      <c r="Q3044" s="1">
        <f>COUNTIFS($P:$P, "&gt;" &amp; $P3044) + 1</f>
        <v>2909</v>
      </c>
      <c r="R3044" s="63">
        <f>(COUNTIFS($P:$P, "&gt;" &amp; $P3044) + 1) / (COUNTA($I:$I) - 1)</f>
        <v>0.58179999999999998</v>
      </c>
      <c r="S3044" s="23">
        <f>SUMIFS($P:$P, $Q:$Q, "&lt;" &amp; $Q3044)</f>
        <v>184675418</v>
      </c>
    </row>
    <row r="3045" spans="1:19" x14ac:dyDescent="0.25">
      <c r="A3045" s="1">
        <v>3040</v>
      </c>
      <c r="B3045" s="1" t="s">
        <v>2</v>
      </c>
      <c r="C3045" s="1" t="str">
        <f>IF($B3045 = "Production Item", _xlfn.XLOOKUP($A3045, 'Instrument Table'!$J:$J, 'Instrument Table'!$B:$B, $C3044), IF($B3045 = "Service Item", _xlfn.XLOOKUP($A3045, 'Instrument Table'!$I:$I, 'Instrument Table'!$B:$B, $C3044), _xlfn.XLOOKUP($A3045, 'Instrument Table'!$H:$H, 'Instrument Table'!$B:$B, $C3044)))</f>
        <v>Timpani</v>
      </c>
      <c r="D3045" s="1" t="str">
        <f>VLOOKUP($C3045, 'Instrument Table'!$B:$C, 2, FALSE)</f>
        <v>Percussion</v>
      </c>
      <c r="E3045" s="1">
        <f t="shared" si="282"/>
        <v>1</v>
      </c>
      <c r="F3045" s="1">
        <f>_xlfn.XLOOKUP($C3045, 'Instrument Table'!$B:$B, 'Instrument Table'!$A:$A, "")</f>
        <v>51</v>
      </c>
      <c r="G3045" s="1" t="str">
        <f>TEXT(IF($B3045 = "Retail Item", IF((ROW($A3045) - 4504 - _xlfn.XMATCH($C3045, $C$4506:$C$5005, 0, 1)) &lt;= VLOOKUP($C3045, 'Instrument Table'!$B:$D, 3, FALSE), ROW($A3045) - 4504 - _xlfn.XMATCH($C3045, $C$4506:$C$5005, 0, 1), 0), 0), "00")</f>
        <v>00</v>
      </c>
      <c r="H3045" s="1" t="str">
        <f t="shared" si="283"/>
        <v>039</v>
      </c>
      <c r="I3045" s="1" t="str">
        <f t="shared" si="284"/>
        <v>15100-039</v>
      </c>
      <c r="J3045" s="1" t="str">
        <f t="shared" si="285"/>
        <v>Timpani production item #039</v>
      </c>
      <c r="K3045" s="1" t="str">
        <f>IF(SUM(COUNTIFS(I:I, I3045)) &gt; 1, "DUPLICATE", "UNIQUE")</f>
        <v>UNIQUE</v>
      </c>
      <c r="L3045" s="18">
        <v>16</v>
      </c>
      <c r="M3045" s="28">
        <v>10</v>
      </c>
      <c r="N3045" s="6">
        <v>324</v>
      </c>
      <c r="O3045" s="30">
        <f t="shared" si="286"/>
        <v>160</v>
      </c>
      <c r="P3045" s="30">
        <f t="shared" si="287"/>
        <v>3240</v>
      </c>
      <c r="Q3045" s="1">
        <f>COUNTIFS($P:$P, "&gt;" &amp; $P3045) + 1</f>
        <v>2839</v>
      </c>
      <c r="R3045" s="63">
        <f>(COUNTIFS($P:$P, "&gt;" &amp; $P3045) + 1) / (COUNTA($I:$I) - 1)</f>
        <v>0.56779999999999997</v>
      </c>
      <c r="S3045" s="23">
        <f>SUMIFS($P:$P, $Q:$Q, "&lt;" &amp; $Q3045)</f>
        <v>184456190</v>
      </c>
    </row>
    <row r="3046" spans="1:19" x14ac:dyDescent="0.25">
      <c r="A3046" s="1">
        <v>3041</v>
      </c>
      <c r="B3046" s="1" t="s">
        <v>2</v>
      </c>
      <c r="C3046" s="1" t="str">
        <f>IF($B3046 = "Production Item", _xlfn.XLOOKUP($A3046, 'Instrument Table'!$J:$J, 'Instrument Table'!$B:$B, $C3045), IF($B3046 = "Service Item", _xlfn.XLOOKUP($A3046, 'Instrument Table'!$I:$I, 'Instrument Table'!$B:$B, $C3045), _xlfn.XLOOKUP($A3046, 'Instrument Table'!$H:$H, 'Instrument Table'!$B:$B, $C3045)))</f>
        <v>Timpani</v>
      </c>
      <c r="D3046" s="1" t="str">
        <f>VLOOKUP($C3046, 'Instrument Table'!$B:$C, 2, FALSE)</f>
        <v>Percussion</v>
      </c>
      <c r="E3046" s="1">
        <f t="shared" si="282"/>
        <v>1</v>
      </c>
      <c r="F3046" s="1">
        <f>_xlfn.XLOOKUP($C3046, 'Instrument Table'!$B:$B, 'Instrument Table'!$A:$A, "")</f>
        <v>51</v>
      </c>
      <c r="G3046" s="1" t="str">
        <f>TEXT(IF($B3046 = "Retail Item", IF((ROW($A3046) - 4504 - _xlfn.XMATCH($C3046, $C$4506:$C$5005, 0, 1)) &lt;= VLOOKUP($C3046, 'Instrument Table'!$B:$D, 3, FALSE), ROW($A3046) - 4504 - _xlfn.XMATCH($C3046, $C$4506:$C$5005, 0, 1), 0), 0), "00")</f>
        <v>00</v>
      </c>
      <c r="H3046" s="1" t="str">
        <f t="shared" si="283"/>
        <v>040</v>
      </c>
      <c r="I3046" s="1" t="str">
        <f t="shared" si="284"/>
        <v>15100-040</v>
      </c>
      <c r="J3046" s="1" t="str">
        <f t="shared" si="285"/>
        <v>Timpani production item #040</v>
      </c>
      <c r="K3046" s="1" t="str">
        <f>IF(SUM(COUNTIFS(I:I, I3046)) &gt; 1, "DUPLICATE", "UNIQUE")</f>
        <v>UNIQUE</v>
      </c>
      <c r="L3046" s="18">
        <v>16</v>
      </c>
      <c r="M3046" s="28">
        <v>47</v>
      </c>
      <c r="N3046" s="6">
        <v>25</v>
      </c>
      <c r="O3046" s="30">
        <f t="shared" si="286"/>
        <v>752</v>
      </c>
      <c r="P3046" s="30">
        <f t="shared" si="287"/>
        <v>1175</v>
      </c>
      <c r="Q3046" s="1">
        <f>COUNTIFS($P:$P, "&gt;" &amp; $P3046) + 1</f>
        <v>3617</v>
      </c>
      <c r="R3046" s="63">
        <f>(COUNTIFS($P:$P, "&gt;" &amp; $P3046) + 1) / (COUNTA($I:$I) - 1)</f>
        <v>0.72340000000000004</v>
      </c>
      <c r="S3046" s="23">
        <f>SUMIFS($P:$P, $Q:$Q, "&lt;" &amp; $Q3046)</f>
        <v>186090194</v>
      </c>
    </row>
    <row r="3047" spans="1:19" x14ac:dyDescent="0.25">
      <c r="A3047" s="1">
        <v>3042</v>
      </c>
      <c r="B3047" s="1" t="s">
        <v>2</v>
      </c>
      <c r="C3047" s="1" t="str">
        <f>IF($B3047 = "Production Item", _xlfn.XLOOKUP($A3047, 'Instrument Table'!$J:$J, 'Instrument Table'!$B:$B, $C3046), IF($B3047 = "Service Item", _xlfn.XLOOKUP($A3047, 'Instrument Table'!$I:$I, 'Instrument Table'!$B:$B, $C3046), _xlfn.XLOOKUP($A3047, 'Instrument Table'!$H:$H, 'Instrument Table'!$B:$B, $C3046)))</f>
        <v>Timpani</v>
      </c>
      <c r="D3047" s="1" t="str">
        <f>VLOOKUP($C3047, 'Instrument Table'!$B:$C, 2, FALSE)</f>
        <v>Percussion</v>
      </c>
      <c r="E3047" s="1">
        <f t="shared" si="282"/>
        <v>1</v>
      </c>
      <c r="F3047" s="1">
        <f>_xlfn.XLOOKUP($C3047, 'Instrument Table'!$B:$B, 'Instrument Table'!$A:$A, "")</f>
        <v>51</v>
      </c>
      <c r="G3047" s="1" t="str">
        <f>TEXT(IF($B3047 = "Retail Item", IF((ROW($A3047) - 4504 - _xlfn.XMATCH($C3047, $C$4506:$C$5005, 0, 1)) &lt;= VLOOKUP($C3047, 'Instrument Table'!$B:$D, 3, FALSE), ROW($A3047) - 4504 - _xlfn.XMATCH($C3047, $C$4506:$C$5005, 0, 1), 0), 0), "00")</f>
        <v>00</v>
      </c>
      <c r="H3047" s="1" t="str">
        <f t="shared" si="283"/>
        <v>041</v>
      </c>
      <c r="I3047" s="1" t="str">
        <f t="shared" si="284"/>
        <v>15100-041</v>
      </c>
      <c r="J3047" s="1" t="str">
        <f t="shared" si="285"/>
        <v>Timpani production item #041</v>
      </c>
      <c r="K3047" s="1" t="str">
        <f>IF(SUM(COUNTIFS(I:I, I3047)) &gt; 1, "DUPLICATE", "UNIQUE")</f>
        <v>UNIQUE</v>
      </c>
      <c r="L3047" s="18">
        <v>4</v>
      </c>
      <c r="M3047" s="28">
        <v>25</v>
      </c>
      <c r="N3047" s="6">
        <v>256</v>
      </c>
      <c r="O3047" s="30">
        <f t="shared" si="286"/>
        <v>100</v>
      </c>
      <c r="P3047" s="30">
        <f t="shared" si="287"/>
        <v>6400</v>
      </c>
      <c r="Q3047" s="1">
        <f>COUNTIFS($P:$P, "&gt;" &amp; $P3047) + 1</f>
        <v>2216</v>
      </c>
      <c r="R3047" s="63">
        <f>(COUNTIFS($P:$P, "&gt;" &amp; $P3047) + 1) / (COUNTA($I:$I) - 1)</f>
        <v>0.44319999999999998</v>
      </c>
      <c r="S3047" s="23">
        <f>SUMIFS($P:$P, $Q:$Q, "&lt;" &amp; $Q3047)</f>
        <v>181555271</v>
      </c>
    </row>
    <row r="3048" spans="1:19" x14ac:dyDescent="0.25">
      <c r="A3048" s="1">
        <v>3043</v>
      </c>
      <c r="B3048" s="1" t="s">
        <v>2</v>
      </c>
      <c r="C3048" s="1" t="str">
        <f>IF($B3048 = "Production Item", _xlfn.XLOOKUP($A3048, 'Instrument Table'!$J:$J, 'Instrument Table'!$B:$B, $C3047), IF($B3048 = "Service Item", _xlfn.XLOOKUP($A3048, 'Instrument Table'!$I:$I, 'Instrument Table'!$B:$B, $C3047), _xlfn.XLOOKUP($A3048, 'Instrument Table'!$H:$H, 'Instrument Table'!$B:$B, $C3047)))</f>
        <v>Timpani</v>
      </c>
      <c r="D3048" s="1" t="str">
        <f>VLOOKUP($C3048, 'Instrument Table'!$B:$C, 2, FALSE)</f>
        <v>Percussion</v>
      </c>
      <c r="E3048" s="1">
        <f t="shared" si="282"/>
        <v>1</v>
      </c>
      <c r="F3048" s="1">
        <f>_xlfn.XLOOKUP($C3048, 'Instrument Table'!$B:$B, 'Instrument Table'!$A:$A, "")</f>
        <v>51</v>
      </c>
      <c r="G3048" s="1" t="str">
        <f>TEXT(IF($B3048 = "Retail Item", IF((ROW($A3048) - 4504 - _xlfn.XMATCH($C3048, $C$4506:$C$5005, 0, 1)) &lt;= VLOOKUP($C3048, 'Instrument Table'!$B:$D, 3, FALSE), ROW($A3048) - 4504 - _xlfn.XMATCH($C3048, $C$4506:$C$5005, 0, 1), 0), 0), "00")</f>
        <v>00</v>
      </c>
      <c r="H3048" s="1" t="str">
        <f t="shared" si="283"/>
        <v>042</v>
      </c>
      <c r="I3048" s="1" t="str">
        <f t="shared" si="284"/>
        <v>15100-042</v>
      </c>
      <c r="J3048" s="1" t="str">
        <f t="shared" si="285"/>
        <v>Timpani production item #042</v>
      </c>
      <c r="K3048" s="1" t="str">
        <f>IF(SUM(COUNTIFS(I:I, I3048)) &gt; 1, "DUPLICATE", "UNIQUE")</f>
        <v>UNIQUE</v>
      </c>
      <c r="L3048" s="18">
        <v>0</v>
      </c>
      <c r="M3048" s="28">
        <v>3</v>
      </c>
      <c r="N3048" s="6">
        <v>36</v>
      </c>
      <c r="O3048" s="30">
        <f t="shared" si="286"/>
        <v>0</v>
      </c>
      <c r="P3048" s="30">
        <f t="shared" si="287"/>
        <v>108</v>
      </c>
      <c r="Q3048" s="1">
        <f>COUNTIFS($P:$P, "&gt;" &amp; $P3048) + 1</f>
        <v>4438</v>
      </c>
      <c r="R3048" s="63">
        <f>(COUNTIFS($P:$P, "&gt;" &amp; $P3048) + 1) / (COUNTA($I:$I) - 1)</f>
        <v>0.88759999999999994</v>
      </c>
      <c r="S3048" s="23">
        <f>SUMIFS($P:$P, $Q:$Q, "&lt;" &amp; $Q3048)</f>
        <v>186530920</v>
      </c>
    </row>
    <row r="3049" spans="1:19" x14ac:dyDescent="0.25">
      <c r="A3049" s="1">
        <v>3044</v>
      </c>
      <c r="B3049" s="1" t="s">
        <v>2</v>
      </c>
      <c r="C3049" s="1" t="str">
        <f>IF($B3049 = "Production Item", _xlfn.XLOOKUP($A3049, 'Instrument Table'!$J:$J, 'Instrument Table'!$B:$B, $C3048), IF($B3049 = "Service Item", _xlfn.XLOOKUP($A3049, 'Instrument Table'!$I:$I, 'Instrument Table'!$B:$B, $C3048), _xlfn.XLOOKUP($A3049, 'Instrument Table'!$H:$H, 'Instrument Table'!$B:$B, $C3048)))</f>
        <v>Timpani</v>
      </c>
      <c r="D3049" s="1" t="str">
        <f>VLOOKUP($C3049, 'Instrument Table'!$B:$C, 2, FALSE)</f>
        <v>Percussion</v>
      </c>
      <c r="E3049" s="1">
        <f t="shared" si="282"/>
        <v>1</v>
      </c>
      <c r="F3049" s="1">
        <f>_xlfn.XLOOKUP($C3049, 'Instrument Table'!$B:$B, 'Instrument Table'!$A:$A, "")</f>
        <v>51</v>
      </c>
      <c r="G3049" s="1" t="str">
        <f>TEXT(IF($B3049 = "Retail Item", IF((ROW($A3049) - 4504 - _xlfn.XMATCH($C3049, $C$4506:$C$5005, 0, 1)) &lt;= VLOOKUP($C3049, 'Instrument Table'!$B:$D, 3, FALSE), ROW($A3049) - 4504 - _xlfn.XMATCH($C3049, $C$4506:$C$5005, 0, 1), 0), 0), "00")</f>
        <v>00</v>
      </c>
      <c r="H3049" s="1" t="str">
        <f t="shared" si="283"/>
        <v>043</v>
      </c>
      <c r="I3049" s="1" t="str">
        <f t="shared" si="284"/>
        <v>15100-043</v>
      </c>
      <c r="J3049" s="1" t="str">
        <f t="shared" si="285"/>
        <v>Timpani production item #043</v>
      </c>
      <c r="K3049" s="1" t="str">
        <f>IF(SUM(COUNTIFS(I:I, I3049)) &gt; 1, "DUPLICATE", "UNIQUE")</f>
        <v>UNIQUE</v>
      </c>
      <c r="L3049" s="18">
        <v>4</v>
      </c>
      <c r="M3049" s="28">
        <v>91</v>
      </c>
      <c r="N3049" s="6">
        <v>169</v>
      </c>
      <c r="O3049" s="30">
        <f t="shared" si="286"/>
        <v>364</v>
      </c>
      <c r="P3049" s="30">
        <f t="shared" si="287"/>
        <v>15379</v>
      </c>
      <c r="Q3049" s="1">
        <f>COUNTIFS($P:$P, "&gt;" &amp; $P3049) + 1</f>
        <v>1325</v>
      </c>
      <c r="R3049" s="63">
        <f>(COUNTIFS($P:$P, "&gt;" &amp; $P3049) + 1) / (COUNTA($I:$I) - 1)</f>
        <v>0.26500000000000001</v>
      </c>
      <c r="S3049" s="23">
        <f>SUMIFS($P:$P, $Q:$Q, "&lt;" &amp; $Q3049)</f>
        <v>172363050</v>
      </c>
    </row>
    <row r="3050" spans="1:19" x14ac:dyDescent="0.25">
      <c r="A3050" s="1">
        <v>3045</v>
      </c>
      <c r="B3050" s="1" t="s">
        <v>2</v>
      </c>
      <c r="C3050" s="1" t="str">
        <f>IF($B3050 = "Production Item", _xlfn.XLOOKUP($A3050, 'Instrument Table'!$J:$J, 'Instrument Table'!$B:$B, $C3049), IF($B3050 = "Service Item", _xlfn.XLOOKUP($A3050, 'Instrument Table'!$I:$I, 'Instrument Table'!$B:$B, $C3049), _xlfn.XLOOKUP($A3050, 'Instrument Table'!$H:$H, 'Instrument Table'!$B:$B, $C3049)))</f>
        <v>Timpani</v>
      </c>
      <c r="D3050" s="1" t="str">
        <f>VLOOKUP($C3050, 'Instrument Table'!$B:$C, 2, FALSE)</f>
        <v>Percussion</v>
      </c>
      <c r="E3050" s="1">
        <f t="shared" si="282"/>
        <v>1</v>
      </c>
      <c r="F3050" s="1">
        <f>_xlfn.XLOOKUP($C3050, 'Instrument Table'!$B:$B, 'Instrument Table'!$A:$A, "")</f>
        <v>51</v>
      </c>
      <c r="G3050" s="1" t="str">
        <f>TEXT(IF($B3050 = "Retail Item", IF((ROW($A3050) - 4504 - _xlfn.XMATCH($C3050, $C$4506:$C$5005, 0, 1)) &lt;= VLOOKUP($C3050, 'Instrument Table'!$B:$D, 3, FALSE), ROW($A3050) - 4504 - _xlfn.XMATCH($C3050, $C$4506:$C$5005, 0, 1), 0), 0), "00")</f>
        <v>00</v>
      </c>
      <c r="H3050" s="1" t="str">
        <f t="shared" si="283"/>
        <v>044</v>
      </c>
      <c r="I3050" s="1" t="str">
        <f t="shared" si="284"/>
        <v>15100-044</v>
      </c>
      <c r="J3050" s="1" t="str">
        <f t="shared" si="285"/>
        <v>Timpani production item #044</v>
      </c>
      <c r="K3050" s="1" t="str">
        <f>IF(SUM(COUNTIFS(I:I, I3050)) &gt; 1, "DUPLICATE", "UNIQUE")</f>
        <v>UNIQUE</v>
      </c>
      <c r="L3050" s="18">
        <v>1</v>
      </c>
      <c r="M3050" s="28">
        <v>8</v>
      </c>
      <c r="N3050" s="6">
        <v>1</v>
      </c>
      <c r="O3050" s="30">
        <f t="shared" si="286"/>
        <v>8</v>
      </c>
      <c r="P3050" s="30">
        <f t="shared" si="287"/>
        <v>8</v>
      </c>
      <c r="Q3050" s="1">
        <f>COUNTIFS($P:$P, "&gt;" &amp; $P3050) + 1</f>
        <v>4729</v>
      </c>
      <c r="R3050" s="63">
        <f>(COUNTIFS($P:$P, "&gt;" &amp; $P3050) + 1) / (COUNTA($I:$I) - 1)</f>
        <v>0.94579999999999997</v>
      </c>
      <c r="S3050" s="23">
        <f>SUMIFS($P:$P, $Q:$Q, "&lt;" &amp; $Q3050)</f>
        <v>186547777</v>
      </c>
    </row>
    <row r="3051" spans="1:19" x14ac:dyDescent="0.25">
      <c r="A3051" s="1">
        <v>3046</v>
      </c>
      <c r="B3051" s="1" t="s">
        <v>2</v>
      </c>
      <c r="C3051" s="1" t="str">
        <f>IF($B3051 = "Production Item", _xlfn.XLOOKUP($A3051, 'Instrument Table'!$J:$J, 'Instrument Table'!$B:$B, $C3050), IF($B3051 = "Service Item", _xlfn.XLOOKUP($A3051, 'Instrument Table'!$I:$I, 'Instrument Table'!$B:$B, $C3050), _xlfn.XLOOKUP($A3051, 'Instrument Table'!$H:$H, 'Instrument Table'!$B:$B, $C3050)))</f>
        <v>Timpani</v>
      </c>
      <c r="D3051" s="1" t="str">
        <f>VLOOKUP($C3051, 'Instrument Table'!$B:$C, 2, FALSE)</f>
        <v>Percussion</v>
      </c>
      <c r="E3051" s="1">
        <f t="shared" si="282"/>
        <v>1</v>
      </c>
      <c r="F3051" s="1">
        <f>_xlfn.XLOOKUP($C3051, 'Instrument Table'!$B:$B, 'Instrument Table'!$A:$A, "")</f>
        <v>51</v>
      </c>
      <c r="G3051" s="1" t="str">
        <f>TEXT(IF($B3051 = "Retail Item", IF((ROW($A3051) - 4504 - _xlfn.XMATCH($C3051, $C$4506:$C$5005, 0, 1)) &lt;= VLOOKUP($C3051, 'Instrument Table'!$B:$D, 3, FALSE), ROW($A3051) - 4504 - _xlfn.XMATCH($C3051, $C$4506:$C$5005, 0, 1), 0), 0), "00")</f>
        <v>00</v>
      </c>
      <c r="H3051" s="1" t="str">
        <f t="shared" si="283"/>
        <v>045</v>
      </c>
      <c r="I3051" s="1" t="str">
        <f t="shared" si="284"/>
        <v>15100-045</v>
      </c>
      <c r="J3051" s="1" t="str">
        <f t="shared" si="285"/>
        <v>Timpani production item #045</v>
      </c>
      <c r="K3051" s="1" t="str">
        <f>IF(SUM(COUNTIFS(I:I, I3051)) &gt; 1, "DUPLICATE", "UNIQUE")</f>
        <v>UNIQUE</v>
      </c>
      <c r="L3051" s="18">
        <v>1</v>
      </c>
      <c r="M3051" s="28">
        <v>55</v>
      </c>
      <c r="N3051" s="6">
        <v>0</v>
      </c>
      <c r="O3051" s="30">
        <f t="shared" si="286"/>
        <v>55</v>
      </c>
      <c r="P3051" s="30">
        <f t="shared" si="287"/>
        <v>0</v>
      </c>
      <c r="Q3051" s="1">
        <f>COUNTIFS($P:$P, "&gt;" &amp; $P3051) + 1</f>
        <v>4746</v>
      </c>
      <c r="R3051" s="63">
        <f>(COUNTIFS($P:$P, "&gt;" &amp; $P3051) + 1) / (COUNTA($I:$I) - 1)</f>
        <v>0.94920000000000004</v>
      </c>
      <c r="S3051" s="23">
        <f>SUMIFS($P:$P, $Q:$Q, "&lt;" &amp; $Q3051)</f>
        <v>186547861</v>
      </c>
    </row>
    <row r="3052" spans="1:19" x14ac:dyDescent="0.25">
      <c r="A3052" s="1">
        <v>3047</v>
      </c>
      <c r="B3052" s="1" t="s">
        <v>2</v>
      </c>
      <c r="C3052" s="1" t="str">
        <f>IF($B3052 = "Production Item", _xlfn.XLOOKUP($A3052, 'Instrument Table'!$J:$J, 'Instrument Table'!$B:$B, $C3051), IF($B3052 = "Service Item", _xlfn.XLOOKUP($A3052, 'Instrument Table'!$I:$I, 'Instrument Table'!$B:$B, $C3051), _xlfn.XLOOKUP($A3052, 'Instrument Table'!$H:$H, 'Instrument Table'!$B:$B, $C3051)))</f>
        <v>Timpani</v>
      </c>
      <c r="D3052" s="1" t="str">
        <f>VLOOKUP($C3052, 'Instrument Table'!$B:$C, 2, FALSE)</f>
        <v>Percussion</v>
      </c>
      <c r="E3052" s="1">
        <f t="shared" si="282"/>
        <v>1</v>
      </c>
      <c r="F3052" s="1">
        <f>_xlfn.XLOOKUP($C3052, 'Instrument Table'!$B:$B, 'Instrument Table'!$A:$A, "")</f>
        <v>51</v>
      </c>
      <c r="G3052" s="1" t="str">
        <f>TEXT(IF($B3052 = "Retail Item", IF((ROW($A3052) - 4504 - _xlfn.XMATCH($C3052, $C$4506:$C$5005, 0, 1)) &lt;= VLOOKUP($C3052, 'Instrument Table'!$B:$D, 3, FALSE), ROW($A3052) - 4504 - _xlfn.XMATCH($C3052, $C$4506:$C$5005, 0, 1), 0), 0), "00")</f>
        <v>00</v>
      </c>
      <c r="H3052" s="1" t="str">
        <f t="shared" si="283"/>
        <v>046</v>
      </c>
      <c r="I3052" s="1" t="str">
        <f t="shared" si="284"/>
        <v>15100-046</v>
      </c>
      <c r="J3052" s="1" t="str">
        <f t="shared" si="285"/>
        <v>Timpani production item #046</v>
      </c>
      <c r="K3052" s="1" t="str">
        <f>IF(SUM(COUNTIFS(I:I, I3052)) &gt; 1, "DUPLICATE", "UNIQUE")</f>
        <v>UNIQUE</v>
      </c>
      <c r="L3052" s="18">
        <v>1</v>
      </c>
      <c r="M3052" s="28">
        <v>22</v>
      </c>
      <c r="N3052" s="6">
        <v>16</v>
      </c>
      <c r="O3052" s="30">
        <f t="shared" si="286"/>
        <v>22</v>
      </c>
      <c r="P3052" s="30">
        <f t="shared" si="287"/>
        <v>352</v>
      </c>
      <c r="Q3052" s="1">
        <f>COUNTIFS($P:$P, "&gt;" &amp; $P3052) + 1</f>
        <v>4147</v>
      </c>
      <c r="R3052" s="63">
        <f>(COUNTIFS($P:$P, "&gt;" &amp; $P3052) + 1) / (COUNTA($I:$I) - 1)</f>
        <v>0.82940000000000003</v>
      </c>
      <c r="S3052" s="23">
        <f>SUMIFS($P:$P, $Q:$Q, "&lt;" &amp; $Q3052)</f>
        <v>186462669</v>
      </c>
    </row>
    <row r="3053" spans="1:19" x14ac:dyDescent="0.25">
      <c r="A3053" s="1">
        <v>3048</v>
      </c>
      <c r="B3053" s="1" t="s">
        <v>2</v>
      </c>
      <c r="C3053" s="1" t="str">
        <f>IF($B3053 = "Production Item", _xlfn.XLOOKUP($A3053, 'Instrument Table'!$J:$J, 'Instrument Table'!$B:$B, $C3052), IF($B3053 = "Service Item", _xlfn.XLOOKUP($A3053, 'Instrument Table'!$I:$I, 'Instrument Table'!$B:$B, $C3052), _xlfn.XLOOKUP($A3053, 'Instrument Table'!$H:$H, 'Instrument Table'!$B:$B, $C3052)))</f>
        <v>Timpani</v>
      </c>
      <c r="D3053" s="1" t="str">
        <f>VLOOKUP($C3053, 'Instrument Table'!$B:$C, 2, FALSE)</f>
        <v>Percussion</v>
      </c>
      <c r="E3053" s="1">
        <f t="shared" si="282"/>
        <v>1</v>
      </c>
      <c r="F3053" s="1">
        <f>_xlfn.XLOOKUP($C3053, 'Instrument Table'!$B:$B, 'Instrument Table'!$A:$A, "")</f>
        <v>51</v>
      </c>
      <c r="G3053" s="1" t="str">
        <f>TEXT(IF($B3053 = "Retail Item", IF((ROW($A3053) - 4504 - _xlfn.XMATCH($C3053, $C$4506:$C$5005, 0, 1)) &lt;= VLOOKUP($C3053, 'Instrument Table'!$B:$D, 3, FALSE), ROW($A3053) - 4504 - _xlfn.XMATCH($C3053, $C$4506:$C$5005, 0, 1), 0), 0), "00")</f>
        <v>00</v>
      </c>
      <c r="H3053" s="1" t="str">
        <f t="shared" si="283"/>
        <v>047</v>
      </c>
      <c r="I3053" s="1" t="str">
        <f t="shared" si="284"/>
        <v>15100-047</v>
      </c>
      <c r="J3053" s="1" t="str">
        <f t="shared" si="285"/>
        <v>Timpani production item #047</v>
      </c>
      <c r="K3053" s="1" t="str">
        <f>IF(SUM(COUNTIFS(I:I, I3053)) &gt; 1, "DUPLICATE", "UNIQUE")</f>
        <v>UNIQUE</v>
      </c>
      <c r="L3053" s="18">
        <v>1</v>
      </c>
      <c r="M3053" s="28">
        <v>67</v>
      </c>
      <c r="N3053" s="6">
        <v>36</v>
      </c>
      <c r="O3053" s="30">
        <f t="shared" si="286"/>
        <v>67</v>
      </c>
      <c r="P3053" s="30">
        <f t="shared" si="287"/>
        <v>2412</v>
      </c>
      <c r="Q3053" s="1">
        <f>COUNTIFS($P:$P, "&gt;" &amp; $P3053) + 1</f>
        <v>3081</v>
      </c>
      <c r="R3053" s="63">
        <f>(COUNTIFS($P:$P, "&gt;" &amp; $P3053) + 1) / (COUNTA($I:$I) - 1)</f>
        <v>0.61619999999999997</v>
      </c>
      <c r="S3053" s="23">
        <f>SUMIFS($P:$P, $Q:$Q, "&lt;" &amp; $Q3053)</f>
        <v>185136940</v>
      </c>
    </row>
    <row r="3054" spans="1:19" x14ac:dyDescent="0.25">
      <c r="A3054" s="1">
        <v>3049</v>
      </c>
      <c r="B3054" s="1" t="s">
        <v>2</v>
      </c>
      <c r="C3054" s="1" t="str">
        <f>IF($B3054 = "Production Item", _xlfn.XLOOKUP($A3054, 'Instrument Table'!$J:$J, 'Instrument Table'!$B:$B, $C3053), IF($B3054 = "Service Item", _xlfn.XLOOKUP($A3054, 'Instrument Table'!$I:$I, 'Instrument Table'!$B:$B, $C3053), _xlfn.XLOOKUP($A3054, 'Instrument Table'!$H:$H, 'Instrument Table'!$B:$B, $C3053)))</f>
        <v>Timpani</v>
      </c>
      <c r="D3054" s="1" t="str">
        <f>VLOOKUP($C3054, 'Instrument Table'!$B:$C, 2, FALSE)</f>
        <v>Percussion</v>
      </c>
      <c r="E3054" s="1">
        <f t="shared" si="282"/>
        <v>1</v>
      </c>
      <c r="F3054" s="1">
        <f>_xlfn.XLOOKUP($C3054, 'Instrument Table'!$B:$B, 'Instrument Table'!$A:$A, "")</f>
        <v>51</v>
      </c>
      <c r="G3054" s="1" t="str">
        <f>TEXT(IF($B3054 = "Retail Item", IF((ROW($A3054) - 4504 - _xlfn.XMATCH($C3054, $C$4506:$C$5005, 0, 1)) &lt;= VLOOKUP($C3054, 'Instrument Table'!$B:$D, 3, FALSE), ROW($A3054) - 4504 - _xlfn.XMATCH($C3054, $C$4506:$C$5005, 0, 1), 0), 0), "00")</f>
        <v>00</v>
      </c>
      <c r="H3054" s="1" t="str">
        <f t="shared" si="283"/>
        <v>048</v>
      </c>
      <c r="I3054" s="1" t="str">
        <f t="shared" si="284"/>
        <v>15100-048</v>
      </c>
      <c r="J3054" s="1" t="str">
        <f t="shared" si="285"/>
        <v>Timpani production item #048</v>
      </c>
      <c r="K3054" s="1" t="str">
        <f>IF(SUM(COUNTIFS(I:I, I3054)) &gt; 1, "DUPLICATE", "UNIQUE")</f>
        <v>UNIQUE</v>
      </c>
      <c r="L3054" s="18">
        <v>1</v>
      </c>
      <c r="M3054" s="28">
        <v>95</v>
      </c>
      <c r="N3054" s="6">
        <v>400</v>
      </c>
      <c r="O3054" s="30">
        <f t="shared" si="286"/>
        <v>95</v>
      </c>
      <c r="P3054" s="30">
        <f t="shared" si="287"/>
        <v>38000</v>
      </c>
      <c r="Q3054" s="1">
        <f>COUNTIFS($P:$P, "&gt;" &amp; $P3054) + 1</f>
        <v>572</v>
      </c>
      <c r="R3054" s="63">
        <f>(COUNTIFS($P:$P, "&gt;" &amp; $P3054) + 1) / (COUNTA($I:$I) - 1)</f>
        <v>0.1144</v>
      </c>
      <c r="S3054" s="23">
        <f>SUMIFS($P:$P, $Q:$Q, "&lt;" &amp; $Q3054)</f>
        <v>154844325</v>
      </c>
    </row>
    <row r="3055" spans="1:19" x14ac:dyDescent="0.25">
      <c r="A3055" s="1">
        <v>3050</v>
      </c>
      <c r="B3055" s="1" t="s">
        <v>2</v>
      </c>
      <c r="C3055" s="1" t="str">
        <f>IF($B3055 = "Production Item", _xlfn.XLOOKUP($A3055, 'Instrument Table'!$J:$J, 'Instrument Table'!$B:$B, $C3054), IF($B3055 = "Service Item", _xlfn.XLOOKUP($A3055, 'Instrument Table'!$I:$I, 'Instrument Table'!$B:$B, $C3054), _xlfn.XLOOKUP($A3055, 'Instrument Table'!$H:$H, 'Instrument Table'!$B:$B, $C3054)))</f>
        <v>Timpani</v>
      </c>
      <c r="D3055" s="1" t="str">
        <f>VLOOKUP($C3055, 'Instrument Table'!$B:$C, 2, FALSE)</f>
        <v>Percussion</v>
      </c>
      <c r="E3055" s="1">
        <f t="shared" si="282"/>
        <v>1</v>
      </c>
      <c r="F3055" s="1">
        <f>_xlfn.XLOOKUP($C3055, 'Instrument Table'!$B:$B, 'Instrument Table'!$A:$A, "")</f>
        <v>51</v>
      </c>
      <c r="G3055" s="1" t="str">
        <f>TEXT(IF($B3055 = "Retail Item", IF((ROW($A3055) - 4504 - _xlfn.XMATCH($C3055, $C$4506:$C$5005, 0, 1)) &lt;= VLOOKUP($C3055, 'Instrument Table'!$B:$D, 3, FALSE), ROW($A3055) - 4504 - _xlfn.XMATCH($C3055, $C$4506:$C$5005, 0, 1), 0), 0), "00")</f>
        <v>00</v>
      </c>
      <c r="H3055" s="1" t="str">
        <f t="shared" si="283"/>
        <v>049</v>
      </c>
      <c r="I3055" s="1" t="str">
        <f t="shared" si="284"/>
        <v>15100-049</v>
      </c>
      <c r="J3055" s="1" t="str">
        <f t="shared" si="285"/>
        <v>Timpani production item #049</v>
      </c>
      <c r="K3055" s="1" t="str">
        <f>IF(SUM(COUNTIFS(I:I, I3055)) &gt; 1, "DUPLICATE", "UNIQUE")</f>
        <v>UNIQUE</v>
      </c>
      <c r="L3055" s="18">
        <v>0</v>
      </c>
      <c r="M3055" s="28">
        <v>2</v>
      </c>
      <c r="N3055" s="6">
        <v>49</v>
      </c>
      <c r="O3055" s="30">
        <f t="shared" si="286"/>
        <v>0</v>
      </c>
      <c r="P3055" s="30">
        <f t="shared" si="287"/>
        <v>98</v>
      </c>
      <c r="Q3055" s="1">
        <f>COUNTIFS($P:$P, "&gt;" &amp; $P3055) + 1</f>
        <v>4460</v>
      </c>
      <c r="R3055" s="63">
        <f>(COUNTIFS($P:$P, "&gt;" &amp; $P3055) + 1) / (COUNTA($I:$I) - 1)</f>
        <v>0.89200000000000002</v>
      </c>
      <c r="S3055" s="23">
        <f>SUMIFS($P:$P, $Q:$Q, "&lt;" &amp; $Q3055)</f>
        <v>186533215</v>
      </c>
    </row>
    <row r="3056" spans="1:19" x14ac:dyDescent="0.25">
      <c r="A3056" s="1">
        <v>3051</v>
      </c>
      <c r="B3056" s="1" t="s">
        <v>2</v>
      </c>
      <c r="C3056" s="1" t="str">
        <f>IF($B3056 = "Production Item", _xlfn.XLOOKUP($A3056, 'Instrument Table'!$J:$J, 'Instrument Table'!$B:$B, $C3055), IF($B3056 = "Service Item", _xlfn.XLOOKUP($A3056, 'Instrument Table'!$I:$I, 'Instrument Table'!$B:$B, $C3055), _xlfn.XLOOKUP($A3056, 'Instrument Table'!$H:$H, 'Instrument Table'!$B:$B, $C3055)))</f>
        <v>Bass Drum</v>
      </c>
      <c r="D3056" s="1" t="str">
        <f>VLOOKUP($C3056, 'Instrument Table'!$B:$C, 2, FALSE)</f>
        <v>Percussion</v>
      </c>
      <c r="E3056" s="1">
        <f t="shared" si="282"/>
        <v>1</v>
      </c>
      <c r="F3056" s="1">
        <f>_xlfn.XLOOKUP($C3056, 'Instrument Table'!$B:$B, 'Instrument Table'!$A:$A, "")</f>
        <v>52</v>
      </c>
      <c r="G3056" s="1" t="str">
        <f>TEXT(IF($B3056 = "Retail Item", IF((ROW($A3056) - 4504 - _xlfn.XMATCH($C3056, $C$4506:$C$5005, 0, 1)) &lt;= VLOOKUP($C3056, 'Instrument Table'!$B:$D, 3, FALSE), ROW($A3056) - 4504 - _xlfn.XMATCH($C3056, $C$4506:$C$5005, 0, 1), 0), 0), "00")</f>
        <v>00</v>
      </c>
      <c r="H3056" s="1" t="str">
        <f t="shared" si="283"/>
        <v>000</v>
      </c>
      <c r="I3056" s="1" t="str">
        <f t="shared" si="284"/>
        <v>15200-000</v>
      </c>
      <c r="J3056" s="1" t="str">
        <f t="shared" si="285"/>
        <v>Bass drum production item #000</v>
      </c>
      <c r="K3056" s="1" t="str">
        <f>IF(SUM(COUNTIFS(I:I, I3056)) &gt; 1, "DUPLICATE", "UNIQUE")</f>
        <v>UNIQUE</v>
      </c>
      <c r="L3056" s="18">
        <v>16</v>
      </c>
      <c r="M3056" s="28">
        <v>76</v>
      </c>
      <c r="N3056" s="6">
        <v>0</v>
      </c>
      <c r="O3056" s="30">
        <f t="shared" si="286"/>
        <v>1216</v>
      </c>
      <c r="P3056" s="30">
        <f t="shared" si="287"/>
        <v>0</v>
      </c>
      <c r="Q3056" s="1">
        <f>COUNTIFS($P:$P, "&gt;" &amp; $P3056) + 1</f>
        <v>4746</v>
      </c>
      <c r="R3056" s="63">
        <f>(COUNTIFS($P:$P, "&gt;" &amp; $P3056) + 1) / (COUNTA($I:$I) - 1)</f>
        <v>0.94920000000000004</v>
      </c>
      <c r="S3056" s="23">
        <f>SUMIFS($P:$P, $Q:$Q, "&lt;" &amp; $Q3056)</f>
        <v>186547861</v>
      </c>
    </row>
    <row r="3057" spans="1:19" x14ac:dyDescent="0.25">
      <c r="A3057" s="1">
        <v>3052</v>
      </c>
      <c r="B3057" s="1" t="s">
        <v>2</v>
      </c>
      <c r="C3057" s="1" t="str">
        <f>IF($B3057 = "Production Item", _xlfn.XLOOKUP($A3057, 'Instrument Table'!$J:$J, 'Instrument Table'!$B:$B, $C3056), IF($B3057 = "Service Item", _xlfn.XLOOKUP($A3057, 'Instrument Table'!$I:$I, 'Instrument Table'!$B:$B, $C3056), _xlfn.XLOOKUP($A3057, 'Instrument Table'!$H:$H, 'Instrument Table'!$B:$B, $C3056)))</f>
        <v>Bass Drum</v>
      </c>
      <c r="D3057" s="1" t="str">
        <f>VLOOKUP($C3057, 'Instrument Table'!$B:$C, 2, FALSE)</f>
        <v>Percussion</v>
      </c>
      <c r="E3057" s="1">
        <f t="shared" si="282"/>
        <v>1</v>
      </c>
      <c r="F3057" s="1">
        <f>_xlfn.XLOOKUP($C3057, 'Instrument Table'!$B:$B, 'Instrument Table'!$A:$A, "")</f>
        <v>52</v>
      </c>
      <c r="G3057" s="1" t="str">
        <f>TEXT(IF($B3057 = "Retail Item", IF((ROW($A3057) - 4504 - _xlfn.XMATCH($C3057, $C$4506:$C$5005, 0, 1)) &lt;= VLOOKUP($C3057, 'Instrument Table'!$B:$D, 3, FALSE), ROW($A3057) - 4504 - _xlfn.XMATCH($C3057, $C$4506:$C$5005, 0, 1), 0), 0), "00")</f>
        <v>00</v>
      </c>
      <c r="H3057" s="1" t="str">
        <f t="shared" si="283"/>
        <v>001</v>
      </c>
      <c r="I3057" s="1" t="str">
        <f t="shared" si="284"/>
        <v>15200-001</v>
      </c>
      <c r="J3057" s="1" t="str">
        <f t="shared" si="285"/>
        <v>Bass drum production item #001</v>
      </c>
      <c r="K3057" s="1" t="str">
        <f>IF(SUM(COUNTIFS(I:I, I3057)) &gt; 1, "DUPLICATE", "UNIQUE")</f>
        <v>UNIQUE</v>
      </c>
      <c r="L3057" s="18">
        <v>4</v>
      </c>
      <c r="M3057" s="28">
        <v>88</v>
      </c>
      <c r="N3057" s="6">
        <v>16</v>
      </c>
      <c r="O3057" s="30">
        <f t="shared" si="286"/>
        <v>352</v>
      </c>
      <c r="P3057" s="30">
        <f t="shared" si="287"/>
        <v>1408</v>
      </c>
      <c r="Q3057" s="1">
        <f>COUNTIFS($P:$P, "&gt;" &amp; $P3057) + 1</f>
        <v>3501</v>
      </c>
      <c r="R3057" s="63">
        <f>(COUNTIFS($P:$P, "&gt;" &amp; $P3057) + 1) / (COUNTA($I:$I) - 1)</f>
        <v>0.70020000000000004</v>
      </c>
      <c r="S3057" s="23">
        <f>SUMIFS($P:$P, $Q:$Q, "&lt;" &amp; $Q3057)</f>
        <v>185938879</v>
      </c>
    </row>
    <row r="3058" spans="1:19" x14ac:dyDescent="0.25">
      <c r="A3058" s="1">
        <v>3053</v>
      </c>
      <c r="B3058" s="1" t="s">
        <v>2</v>
      </c>
      <c r="C3058" s="1" t="str">
        <f>IF($B3058 = "Production Item", _xlfn.XLOOKUP($A3058, 'Instrument Table'!$J:$J, 'Instrument Table'!$B:$B, $C3057), IF($B3058 = "Service Item", _xlfn.XLOOKUP($A3058, 'Instrument Table'!$I:$I, 'Instrument Table'!$B:$B, $C3057), _xlfn.XLOOKUP($A3058, 'Instrument Table'!$H:$H, 'Instrument Table'!$B:$B, $C3057)))</f>
        <v>Bass Drum</v>
      </c>
      <c r="D3058" s="1" t="str">
        <f>VLOOKUP($C3058, 'Instrument Table'!$B:$C, 2, FALSE)</f>
        <v>Percussion</v>
      </c>
      <c r="E3058" s="1">
        <f t="shared" si="282"/>
        <v>1</v>
      </c>
      <c r="F3058" s="1">
        <f>_xlfn.XLOOKUP($C3058, 'Instrument Table'!$B:$B, 'Instrument Table'!$A:$A, "")</f>
        <v>52</v>
      </c>
      <c r="G3058" s="1" t="str">
        <f>TEXT(IF($B3058 = "Retail Item", IF((ROW($A3058) - 4504 - _xlfn.XMATCH($C3058, $C$4506:$C$5005, 0, 1)) &lt;= VLOOKUP($C3058, 'Instrument Table'!$B:$D, 3, FALSE), ROW($A3058) - 4504 - _xlfn.XMATCH($C3058, $C$4506:$C$5005, 0, 1), 0), 0), "00")</f>
        <v>00</v>
      </c>
      <c r="H3058" s="1" t="str">
        <f t="shared" si="283"/>
        <v>002</v>
      </c>
      <c r="I3058" s="1" t="str">
        <f t="shared" si="284"/>
        <v>15200-002</v>
      </c>
      <c r="J3058" s="1" t="str">
        <f t="shared" si="285"/>
        <v>Bass drum production item #002</v>
      </c>
      <c r="K3058" s="1" t="str">
        <f>IF(SUM(COUNTIFS(I:I, I3058)) &gt; 1, "DUPLICATE", "UNIQUE")</f>
        <v>UNIQUE</v>
      </c>
      <c r="L3058" s="18">
        <v>1</v>
      </c>
      <c r="M3058" s="28">
        <v>82</v>
      </c>
      <c r="N3058" s="6">
        <v>49</v>
      </c>
      <c r="O3058" s="30">
        <f t="shared" si="286"/>
        <v>82</v>
      </c>
      <c r="P3058" s="30">
        <f t="shared" si="287"/>
        <v>4018</v>
      </c>
      <c r="Q3058" s="1">
        <f>COUNTIFS($P:$P, "&gt;" &amp; $P3058) + 1</f>
        <v>2651</v>
      </c>
      <c r="R3058" s="63">
        <f>(COUNTIFS($P:$P, "&gt;" &amp; $P3058) + 1) / (COUNTA($I:$I) - 1)</f>
        <v>0.5302</v>
      </c>
      <c r="S3058" s="23">
        <f>SUMIFS($P:$P, $Q:$Q, "&lt;" &amp; $Q3058)</f>
        <v>183775022</v>
      </c>
    </row>
    <row r="3059" spans="1:19" x14ac:dyDescent="0.25">
      <c r="A3059" s="1">
        <v>3054</v>
      </c>
      <c r="B3059" s="1" t="s">
        <v>2</v>
      </c>
      <c r="C3059" s="1" t="str">
        <f>IF($B3059 = "Production Item", _xlfn.XLOOKUP($A3059, 'Instrument Table'!$J:$J, 'Instrument Table'!$B:$B, $C3058), IF($B3059 = "Service Item", _xlfn.XLOOKUP($A3059, 'Instrument Table'!$I:$I, 'Instrument Table'!$B:$B, $C3058), _xlfn.XLOOKUP($A3059, 'Instrument Table'!$H:$H, 'Instrument Table'!$B:$B, $C3058)))</f>
        <v>Bass Drum</v>
      </c>
      <c r="D3059" s="1" t="str">
        <f>VLOOKUP($C3059, 'Instrument Table'!$B:$C, 2, FALSE)</f>
        <v>Percussion</v>
      </c>
      <c r="E3059" s="1">
        <f t="shared" si="282"/>
        <v>1</v>
      </c>
      <c r="F3059" s="1">
        <f>_xlfn.XLOOKUP($C3059, 'Instrument Table'!$B:$B, 'Instrument Table'!$A:$A, "")</f>
        <v>52</v>
      </c>
      <c r="G3059" s="1" t="str">
        <f>TEXT(IF($B3059 = "Retail Item", IF((ROW($A3059) - 4504 - _xlfn.XMATCH($C3059, $C$4506:$C$5005, 0, 1)) &lt;= VLOOKUP($C3059, 'Instrument Table'!$B:$D, 3, FALSE), ROW($A3059) - 4504 - _xlfn.XMATCH($C3059, $C$4506:$C$5005, 0, 1), 0), 0), "00")</f>
        <v>00</v>
      </c>
      <c r="H3059" s="1" t="str">
        <f t="shared" si="283"/>
        <v>003</v>
      </c>
      <c r="I3059" s="1" t="str">
        <f t="shared" si="284"/>
        <v>15200-003</v>
      </c>
      <c r="J3059" s="1" t="str">
        <f t="shared" si="285"/>
        <v>Bass drum production item #003</v>
      </c>
      <c r="K3059" s="1" t="str">
        <f>IF(SUM(COUNTIFS(I:I, I3059)) &gt; 1, "DUPLICATE", "UNIQUE")</f>
        <v>UNIQUE</v>
      </c>
      <c r="L3059" s="18">
        <v>0</v>
      </c>
      <c r="M3059" s="28">
        <v>4</v>
      </c>
      <c r="N3059" s="6">
        <v>4</v>
      </c>
      <c r="O3059" s="30">
        <f t="shared" si="286"/>
        <v>0</v>
      </c>
      <c r="P3059" s="30">
        <f t="shared" si="287"/>
        <v>16</v>
      </c>
      <c r="Q3059" s="1">
        <f>COUNTIFS($P:$P, "&gt;" &amp; $P3059) + 1</f>
        <v>4705</v>
      </c>
      <c r="R3059" s="63">
        <f>(COUNTIFS($P:$P, "&gt;" &amp; $P3059) + 1) / (COUNTA($I:$I) - 1)</f>
        <v>0.94099999999999995</v>
      </c>
      <c r="S3059" s="23">
        <f>SUMIFS($P:$P, $Q:$Q, "&lt;" &amp; $Q3059)</f>
        <v>186547483</v>
      </c>
    </row>
    <row r="3060" spans="1:19" x14ac:dyDescent="0.25">
      <c r="A3060" s="1">
        <v>3055</v>
      </c>
      <c r="B3060" s="1" t="s">
        <v>2</v>
      </c>
      <c r="C3060" s="1" t="str">
        <f>IF($B3060 = "Production Item", _xlfn.XLOOKUP($A3060, 'Instrument Table'!$J:$J, 'Instrument Table'!$B:$B, $C3059), IF($B3060 = "Service Item", _xlfn.XLOOKUP($A3060, 'Instrument Table'!$I:$I, 'Instrument Table'!$B:$B, $C3059), _xlfn.XLOOKUP($A3060, 'Instrument Table'!$H:$H, 'Instrument Table'!$B:$B, $C3059)))</f>
        <v>Bass Drum</v>
      </c>
      <c r="D3060" s="1" t="str">
        <f>VLOOKUP($C3060, 'Instrument Table'!$B:$C, 2, FALSE)</f>
        <v>Percussion</v>
      </c>
      <c r="E3060" s="1">
        <f t="shared" si="282"/>
        <v>1</v>
      </c>
      <c r="F3060" s="1">
        <f>_xlfn.XLOOKUP($C3060, 'Instrument Table'!$B:$B, 'Instrument Table'!$A:$A, "")</f>
        <v>52</v>
      </c>
      <c r="G3060" s="1" t="str">
        <f>TEXT(IF($B3060 = "Retail Item", IF((ROW($A3060) - 4504 - _xlfn.XMATCH($C3060, $C$4506:$C$5005, 0, 1)) &lt;= VLOOKUP($C3060, 'Instrument Table'!$B:$D, 3, FALSE), ROW($A3060) - 4504 - _xlfn.XMATCH($C3060, $C$4506:$C$5005, 0, 1), 0), 0), "00")</f>
        <v>00</v>
      </c>
      <c r="H3060" s="1" t="str">
        <f t="shared" si="283"/>
        <v>004</v>
      </c>
      <c r="I3060" s="1" t="str">
        <f t="shared" si="284"/>
        <v>15200-004</v>
      </c>
      <c r="J3060" s="1" t="str">
        <f t="shared" si="285"/>
        <v>Bass drum production item #004</v>
      </c>
      <c r="K3060" s="1" t="str">
        <f>IF(SUM(COUNTIFS(I:I, I3060)) &gt; 1, "DUPLICATE", "UNIQUE")</f>
        <v>UNIQUE</v>
      </c>
      <c r="L3060" s="18">
        <v>0</v>
      </c>
      <c r="M3060" s="28">
        <v>62</v>
      </c>
      <c r="N3060" s="6">
        <v>81</v>
      </c>
      <c r="O3060" s="30">
        <f t="shared" si="286"/>
        <v>0</v>
      </c>
      <c r="P3060" s="30">
        <f t="shared" si="287"/>
        <v>5022</v>
      </c>
      <c r="Q3060" s="1">
        <f>COUNTIFS($P:$P, "&gt;" &amp; $P3060) + 1</f>
        <v>2446</v>
      </c>
      <c r="R3060" s="63">
        <f>(COUNTIFS($P:$P, "&gt;" &amp; $P3060) + 1) / (COUNTA($I:$I) - 1)</f>
        <v>0.48920000000000002</v>
      </c>
      <c r="S3060" s="23">
        <f>SUMIFS($P:$P, $Q:$Q, "&lt;" &amp; $Q3060)</f>
        <v>182852513</v>
      </c>
    </row>
    <row r="3061" spans="1:19" x14ac:dyDescent="0.25">
      <c r="A3061" s="1">
        <v>3056</v>
      </c>
      <c r="B3061" s="1" t="s">
        <v>2</v>
      </c>
      <c r="C3061" s="1" t="str">
        <f>IF($B3061 = "Production Item", _xlfn.XLOOKUP($A3061, 'Instrument Table'!$J:$J, 'Instrument Table'!$B:$B, $C3060), IF($B3061 = "Service Item", _xlfn.XLOOKUP($A3061, 'Instrument Table'!$I:$I, 'Instrument Table'!$B:$B, $C3060), _xlfn.XLOOKUP($A3061, 'Instrument Table'!$H:$H, 'Instrument Table'!$B:$B, $C3060)))</f>
        <v>Bass Drum</v>
      </c>
      <c r="D3061" s="1" t="str">
        <f>VLOOKUP($C3061, 'Instrument Table'!$B:$C, 2, FALSE)</f>
        <v>Percussion</v>
      </c>
      <c r="E3061" s="1">
        <f t="shared" si="282"/>
        <v>1</v>
      </c>
      <c r="F3061" s="1">
        <f>_xlfn.XLOOKUP($C3061, 'Instrument Table'!$B:$B, 'Instrument Table'!$A:$A, "")</f>
        <v>52</v>
      </c>
      <c r="G3061" s="1" t="str">
        <f>TEXT(IF($B3061 = "Retail Item", IF((ROW($A3061) - 4504 - _xlfn.XMATCH($C3061, $C$4506:$C$5005, 0, 1)) &lt;= VLOOKUP($C3061, 'Instrument Table'!$B:$D, 3, FALSE), ROW($A3061) - 4504 - _xlfn.XMATCH($C3061, $C$4506:$C$5005, 0, 1), 0), 0), "00")</f>
        <v>00</v>
      </c>
      <c r="H3061" s="1" t="str">
        <f t="shared" si="283"/>
        <v>005</v>
      </c>
      <c r="I3061" s="1" t="str">
        <f t="shared" si="284"/>
        <v>15200-005</v>
      </c>
      <c r="J3061" s="1" t="str">
        <f t="shared" si="285"/>
        <v>Bass drum production item #005</v>
      </c>
      <c r="K3061" s="1" t="str">
        <f>IF(SUM(COUNTIFS(I:I, I3061)) &gt; 1, "DUPLICATE", "UNIQUE")</f>
        <v>UNIQUE</v>
      </c>
      <c r="L3061" s="18">
        <v>0</v>
      </c>
      <c r="M3061" s="28">
        <v>95</v>
      </c>
      <c r="N3061" s="6">
        <v>361</v>
      </c>
      <c r="O3061" s="30">
        <f t="shared" si="286"/>
        <v>0</v>
      </c>
      <c r="P3061" s="30">
        <f t="shared" si="287"/>
        <v>34295</v>
      </c>
      <c r="Q3061" s="1">
        <f>COUNTIFS($P:$P, "&gt;" &amp; $P3061) + 1</f>
        <v>615</v>
      </c>
      <c r="R3061" s="63">
        <f>(COUNTIFS($P:$P, "&gt;" &amp; $P3061) + 1) / (COUNTA($I:$I) - 1)</f>
        <v>0.123</v>
      </c>
      <c r="S3061" s="23">
        <f>SUMIFS($P:$P, $Q:$Q, "&lt;" &amp; $Q3061)</f>
        <v>156391640</v>
      </c>
    </row>
    <row r="3062" spans="1:19" x14ac:dyDescent="0.25">
      <c r="A3062" s="1">
        <v>3057</v>
      </c>
      <c r="B3062" s="1" t="s">
        <v>2</v>
      </c>
      <c r="C3062" s="1" t="str">
        <f>IF($B3062 = "Production Item", _xlfn.XLOOKUP($A3062, 'Instrument Table'!$J:$J, 'Instrument Table'!$B:$B, $C3061), IF($B3062 = "Service Item", _xlfn.XLOOKUP($A3062, 'Instrument Table'!$I:$I, 'Instrument Table'!$B:$B, $C3061), _xlfn.XLOOKUP($A3062, 'Instrument Table'!$H:$H, 'Instrument Table'!$B:$B, $C3061)))</f>
        <v>Bass Drum</v>
      </c>
      <c r="D3062" s="1" t="str">
        <f>VLOOKUP($C3062, 'Instrument Table'!$B:$C, 2, FALSE)</f>
        <v>Percussion</v>
      </c>
      <c r="E3062" s="1">
        <f t="shared" si="282"/>
        <v>1</v>
      </c>
      <c r="F3062" s="1">
        <f>_xlfn.XLOOKUP($C3062, 'Instrument Table'!$B:$B, 'Instrument Table'!$A:$A, "")</f>
        <v>52</v>
      </c>
      <c r="G3062" s="1" t="str">
        <f>TEXT(IF($B3062 = "Retail Item", IF((ROW($A3062) - 4504 - _xlfn.XMATCH($C3062, $C$4506:$C$5005, 0, 1)) &lt;= VLOOKUP($C3062, 'Instrument Table'!$B:$D, 3, FALSE), ROW($A3062) - 4504 - _xlfn.XMATCH($C3062, $C$4506:$C$5005, 0, 1), 0), 0), "00")</f>
        <v>00</v>
      </c>
      <c r="H3062" s="1" t="str">
        <f t="shared" si="283"/>
        <v>006</v>
      </c>
      <c r="I3062" s="1" t="str">
        <f t="shared" si="284"/>
        <v>15200-006</v>
      </c>
      <c r="J3062" s="1" t="str">
        <f t="shared" si="285"/>
        <v>Bass drum production item #006</v>
      </c>
      <c r="K3062" s="1" t="str">
        <f>IF(SUM(COUNTIFS(I:I, I3062)) &gt; 1, "DUPLICATE", "UNIQUE")</f>
        <v>UNIQUE</v>
      </c>
      <c r="L3062" s="18">
        <v>1</v>
      </c>
      <c r="M3062" s="28">
        <v>45</v>
      </c>
      <c r="N3062" s="6">
        <v>324</v>
      </c>
      <c r="O3062" s="30">
        <f t="shared" si="286"/>
        <v>45</v>
      </c>
      <c r="P3062" s="30">
        <f t="shared" si="287"/>
        <v>14580</v>
      </c>
      <c r="Q3062" s="1">
        <f>COUNTIFS($P:$P, "&gt;" &amp; $P3062) + 1</f>
        <v>1381</v>
      </c>
      <c r="R3062" s="63">
        <f>(COUNTIFS($P:$P, "&gt;" &amp; $P3062) + 1) / (COUNTA($I:$I) - 1)</f>
        <v>0.2762</v>
      </c>
      <c r="S3062" s="23">
        <f>SUMIFS($P:$P, $Q:$Q, "&lt;" &amp; $Q3062)</f>
        <v>173201440</v>
      </c>
    </row>
    <row r="3063" spans="1:19" x14ac:dyDescent="0.25">
      <c r="A3063" s="1">
        <v>3058</v>
      </c>
      <c r="B3063" s="1" t="s">
        <v>2</v>
      </c>
      <c r="C3063" s="1" t="str">
        <f>IF($B3063 = "Production Item", _xlfn.XLOOKUP($A3063, 'Instrument Table'!$J:$J, 'Instrument Table'!$B:$B, $C3062), IF($B3063 = "Service Item", _xlfn.XLOOKUP($A3063, 'Instrument Table'!$I:$I, 'Instrument Table'!$B:$B, $C3062), _xlfn.XLOOKUP($A3063, 'Instrument Table'!$H:$H, 'Instrument Table'!$B:$B, $C3062)))</f>
        <v>Bass Drum</v>
      </c>
      <c r="D3063" s="1" t="str">
        <f>VLOOKUP($C3063, 'Instrument Table'!$B:$C, 2, FALSE)</f>
        <v>Percussion</v>
      </c>
      <c r="E3063" s="1">
        <f t="shared" si="282"/>
        <v>1</v>
      </c>
      <c r="F3063" s="1">
        <f>_xlfn.XLOOKUP($C3063, 'Instrument Table'!$B:$B, 'Instrument Table'!$A:$A, "")</f>
        <v>52</v>
      </c>
      <c r="G3063" s="1" t="str">
        <f>TEXT(IF($B3063 = "Retail Item", IF((ROW($A3063) - 4504 - _xlfn.XMATCH($C3063, $C$4506:$C$5005, 0, 1)) &lt;= VLOOKUP($C3063, 'Instrument Table'!$B:$D, 3, FALSE), ROW($A3063) - 4504 - _xlfn.XMATCH($C3063, $C$4506:$C$5005, 0, 1), 0), 0), "00")</f>
        <v>00</v>
      </c>
      <c r="H3063" s="1" t="str">
        <f t="shared" si="283"/>
        <v>007</v>
      </c>
      <c r="I3063" s="1" t="str">
        <f t="shared" si="284"/>
        <v>15200-007</v>
      </c>
      <c r="J3063" s="1" t="str">
        <f t="shared" si="285"/>
        <v>Bass drum production item #007</v>
      </c>
      <c r="K3063" s="1" t="str">
        <f>IF(SUM(COUNTIFS(I:I, I3063)) &gt; 1, "DUPLICATE", "UNIQUE")</f>
        <v>UNIQUE</v>
      </c>
      <c r="L3063" s="18">
        <v>0</v>
      </c>
      <c r="M3063" s="28">
        <v>91</v>
      </c>
      <c r="N3063" s="6">
        <v>225</v>
      </c>
      <c r="O3063" s="30">
        <f t="shared" si="286"/>
        <v>0</v>
      </c>
      <c r="P3063" s="30">
        <f t="shared" si="287"/>
        <v>20475</v>
      </c>
      <c r="Q3063" s="1">
        <f>COUNTIFS($P:$P, "&gt;" &amp; $P3063) + 1</f>
        <v>1034</v>
      </c>
      <c r="R3063" s="63">
        <f>(COUNTIFS($P:$P, "&gt;" &amp; $P3063) + 1) / (COUNTA($I:$I) - 1)</f>
        <v>0.20680000000000001</v>
      </c>
      <c r="S3063" s="23">
        <f>SUMIFS($P:$P, $Q:$Q, "&lt;" &amp; $Q3063)</f>
        <v>167197006</v>
      </c>
    </row>
    <row r="3064" spans="1:19" x14ac:dyDescent="0.25">
      <c r="A3064" s="1">
        <v>3059</v>
      </c>
      <c r="B3064" s="1" t="s">
        <v>2</v>
      </c>
      <c r="C3064" s="1" t="str">
        <f>IF($B3064 = "Production Item", _xlfn.XLOOKUP($A3064, 'Instrument Table'!$J:$J, 'Instrument Table'!$B:$B, $C3063), IF($B3064 = "Service Item", _xlfn.XLOOKUP($A3064, 'Instrument Table'!$I:$I, 'Instrument Table'!$B:$B, $C3063), _xlfn.XLOOKUP($A3064, 'Instrument Table'!$H:$H, 'Instrument Table'!$B:$B, $C3063)))</f>
        <v>Bass Drum</v>
      </c>
      <c r="D3064" s="1" t="str">
        <f>VLOOKUP($C3064, 'Instrument Table'!$B:$C, 2, FALSE)</f>
        <v>Percussion</v>
      </c>
      <c r="E3064" s="1">
        <f t="shared" si="282"/>
        <v>1</v>
      </c>
      <c r="F3064" s="1">
        <f>_xlfn.XLOOKUP($C3064, 'Instrument Table'!$B:$B, 'Instrument Table'!$A:$A, "")</f>
        <v>52</v>
      </c>
      <c r="G3064" s="1" t="str">
        <f>TEXT(IF($B3064 = "Retail Item", IF((ROW($A3064) - 4504 - _xlfn.XMATCH($C3064, $C$4506:$C$5005, 0, 1)) &lt;= VLOOKUP($C3064, 'Instrument Table'!$B:$D, 3, FALSE), ROW($A3064) - 4504 - _xlfn.XMATCH($C3064, $C$4506:$C$5005, 0, 1), 0), 0), "00")</f>
        <v>00</v>
      </c>
      <c r="H3064" s="1" t="str">
        <f t="shared" si="283"/>
        <v>008</v>
      </c>
      <c r="I3064" s="1" t="str">
        <f t="shared" si="284"/>
        <v>15200-008</v>
      </c>
      <c r="J3064" s="1" t="str">
        <f t="shared" si="285"/>
        <v>Bass drum production item #008</v>
      </c>
      <c r="K3064" s="1" t="str">
        <f>IF(SUM(COUNTIFS(I:I, I3064)) &gt; 1, "DUPLICATE", "UNIQUE")</f>
        <v>UNIQUE</v>
      </c>
      <c r="L3064" s="18">
        <v>1</v>
      </c>
      <c r="M3064" s="28">
        <v>83</v>
      </c>
      <c r="N3064" s="6">
        <v>49</v>
      </c>
      <c r="O3064" s="30">
        <f t="shared" si="286"/>
        <v>83</v>
      </c>
      <c r="P3064" s="30">
        <f t="shared" si="287"/>
        <v>4067</v>
      </c>
      <c r="Q3064" s="1">
        <f>COUNTIFS($P:$P, "&gt;" &amp; $P3064) + 1</f>
        <v>2642</v>
      </c>
      <c r="R3064" s="63">
        <f>(COUNTIFS($P:$P, "&gt;" &amp; $P3064) + 1) / (COUNTA($I:$I) - 1)</f>
        <v>0.52839999999999998</v>
      </c>
      <c r="S3064" s="23">
        <f>SUMIFS($P:$P, $Q:$Q, "&lt;" &amp; $Q3064)</f>
        <v>183738615</v>
      </c>
    </row>
    <row r="3065" spans="1:19" x14ac:dyDescent="0.25">
      <c r="A3065" s="1">
        <v>3060</v>
      </c>
      <c r="B3065" s="1" t="s">
        <v>2</v>
      </c>
      <c r="C3065" s="1" t="str">
        <f>IF($B3065 = "Production Item", _xlfn.XLOOKUP($A3065, 'Instrument Table'!$J:$J, 'Instrument Table'!$B:$B, $C3064), IF($B3065 = "Service Item", _xlfn.XLOOKUP($A3065, 'Instrument Table'!$I:$I, 'Instrument Table'!$B:$B, $C3064), _xlfn.XLOOKUP($A3065, 'Instrument Table'!$H:$H, 'Instrument Table'!$B:$B, $C3064)))</f>
        <v>Bass Drum</v>
      </c>
      <c r="D3065" s="1" t="str">
        <f>VLOOKUP($C3065, 'Instrument Table'!$B:$C, 2, FALSE)</f>
        <v>Percussion</v>
      </c>
      <c r="E3065" s="1">
        <f t="shared" si="282"/>
        <v>1</v>
      </c>
      <c r="F3065" s="1">
        <f>_xlfn.XLOOKUP($C3065, 'Instrument Table'!$B:$B, 'Instrument Table'!$A:$A, "")</f>
        <v>52</v>
      </c>
      <c r="G3065" s="1" t="str">
        <f>TEXT(IF($B3065 = "Retail Item", IF((ROW($A3065) - 4504 - _xlfn.XMATCH($C3065, $C$4506:$C$5005, 0, 1)) &lt;= VLOOKUP($C3065, 'Instrument Table'!$B:$D, 3, FALSE), ROW($A3065) - 4504 - _xlfn.XMATCH($C3065, $C$4506:$C$5005, 0, 1), 0), 0), "00")</f>
        <v>00</v>
      </c>
      <c r="H3065" s="1" t="str">
        <f t="shared" si="283"/>
        <v>009</v>
      </c>
      <c r="I3065" s="1" t="str">
        <f t="shared" si="284"/>
        <v>15200-009</v>
      </c>
      <c r="J3065" s="1" t="str">
        <f t="shared" si="285"/>
        <v>Bass drum production item #009</v>
      </c>
      <c r="K3065" s="1" t="str">
        <f>IF(SUM(COUNTIFS(I:I, I3065)) &gt; 1, "DUPLICATE", "UNIQUE")</f>
        <v>UNIQUE</v>
      </c>
      <c r="L3065" s="18">
        <v>4</v>
      </c>
      <c r="M3065" s="28">
        <v>15</v>
      </c>
      <c r="N3065" s="6">
        <v>289</v>
      </c>
      <c r="O3065" s="30">
        <f t="shared" si="286"/>
        <v>60</v>
      </c>
      <c r="P3065" s="30">
        <f t="shared" si="287"/>
        <v>4335</v>
      </c>
      <c r="Q3065" s="1">
        <f>COUNTIFS($P:$P, "&gt;" &amp; $P3065) + 1</f>
        <v>2578</v>
      </c>
      <c r="R3065" s="63">
        <f>(COUNTIFS($P:$P, "&gt;" &amp; $P3065) + 1) / (COUNTA($I:$I) - 1)</f>
        <v>0.51559999999999995</v>
      </c>
      <c r="S3065" s="23">
        <f>SUMIFS($P:$P, $Q:$Q, "&lt;" &amp; $Q3065)</f>
        <v>183468790</v>
      </c>
    </row>
    <row r="3066" spans="1:19" x14ac:dyDescent="0.25">
      <c r="A3066" s="1">
        <v>3061</v>
      </c>
      <c r="B3066" s="1" t="s">
        <v>2</v>
      </c>
      <c r="C3066" s="1" t="str">
        <f>IF($B3066 = "Production Item", _xlfn.XLOOKUP($A3066, 'Instrument Table'!$J:$J, 'Instrument Table'!$B:$B, $C3065), IF($B3066 = "Service Item", _xlfn.XLOOKUP($A3066, 'Instrument Table'!$I:$I, 'Instrument Table'!$B:$B, $C3065), _xlfn.XLOOKUP($A3066, 'Instrument Table'!$H:$H, 'Instrument Table'!$B:$B, $C3065)))</f>
        <v>Bass Drum</v>
      </c>
      <c r="D3066" s="1" t="str">
        <f>VLOOKUP($C3066, 'Instrument Table'!$B:$C, 2, FALSE)</f>
        <v>Percussion</v>
      </c>
      <c r="E3066" s="1">
        <f t="shared" si="282"/>
        <v>1</v>
      </c>
      <c r="F3066" s="1">
        <f>_xlfn.XLOOKUP($C3066, 'Instrument Table'!$B:$B, 'Instrument Table'!$A:$A, "")</f>
        <v>52</v>
      </c>
      <c r="G3066" s="1" t="str">
        <f>TEXT(IF($B3066 = "Retail Item", IF((ROW($A3066) - 4504 - _xlfn.XMATCH($C3066, $C$4506:$C$5005, 0, 1)) &lt;= VLOOKUP($C3066, 'Instrument Table'!$B:$D, 3, FALSE), ROW($A3066) - 4504 - _xlfn.XMATCH($C3066, $C$4506:$C$5005, 0, 1), 0), 0), "00")</f>
        <v>00</v>
      </c>
      <c r="H3066" s="1" t="str">
        <f t="shared" si="283"/>
        <v>010</v>
      </c>
      <c r="I3066" s="1" t="str">
        <f t="shared" si="284"/>
        <v>15200-010</v>
      </c>
      <c r="J3066" s="1" t="str">
        <f t="shared" si="285"/>
        <v>Bass drum production item #010</v>
      </c>
      <c r="K3066" s="1" t="str">
        <f>IF(SUM(COUNTIFS(I:I, I3066)) &gt; 1, "DUPLICATE", "UNIQUE")</f>
        <v>UNIQUE</v>
      </c>
      <c r="L3066" s="18">
        <v>32</v>
      </c>
      <c r="M3066" s="28">
        <v>86</v>
      </c>
      <c r="N3066" s="6">
        <v>256</v>
      </c>
      <c r="O3066" s="30">
        <f t="shared" si="286"/>
        <v>2752</v>
      </c>
      <c r="P3066" s="30">
        <f t="shared" si="287"/>
        <v>22016</v>
      </c>
      <c r="Q3066" s="1">
        <f>COUNTIFS($P:$P, "&gt;" &amp; $P3066) + 1</f>
        <v>956</v>
      </c>
      <c r="R3066" s="63">
        <f>(COUNTIFS($P:$P, "&gt;" &amp; $P3066) + 1) / (COUNTA($I:$I) - 1)</f>
        <v>0.19120000000000001</v>
      </c>
      <c r="S3066" s="23">
        <f>SUMIFS($P:$P, $Q:$Q, "&lt;" &amp; $Q3066)</f>
        <v>165541660</v>
      </c>
    </row>
    <row r="3067" spans="1:19" x14ac:dyDescent="0.25">
      <c r="A3067" s="1">
        <v>3062</v>
      </c>
      <c r="B3067" s="1" t="s">
        <v>2</v>
      </c>
      <c r="C3067" s="1" t="str">
        <f>IF($B3067 = "Production Item", _xlfn.XLOOKUP($A3067, 'Instrument Table'!$J:$J, 'Instrument Table'!$B:$B, $C3066), IF($B3067 = "Service Item", _xlfn.XLOOKUP($A3067, 'Instrument Table'!$I:$I, 'Instrument Table'!$B:$B, $C3066), _xlfn.XLOOKUP($A3067, 'Instrument Table'!$H:$H, 'Instrument Table'!$B:$B, $C3066)))</f>
        <v>Bass Drum</v>
      </c>
      <c r="D3067" s="1" t="str">
        <f>VLOOKUP($C3067, 'Instrument Table'!$B:$C, 2, FALSE)</f>
        <v>Percussion</v>
      </c>
      <c r="E3067" s="1">
        <f t="shared" si="282"/>
        <v>1</v>
      </c>
      <c r="F3067" s="1">
        <f>_xlfn.XLOOKUP($C3067, 'Instrument Table'!$B:$B, 'Instrument Table'!$A:$A, "")</f>
        <v>52</v>
      </c>
      <c r="G3067" s="1" t="str">
        <f>TEXT(IF($B3067 = "Retail Item", IF((ROW($A3067) - 4504 - _xlfn.XMATCH($C3067, $C$4506:$C$5005, 0, 1)) &lt;= VLOOKUP($C3067, 'Instrument Table'!$B:$D, 3, FALSE), ROW($A3067) - 4504 - _xlfn.XMATCH($C3067, $C$4506:$C$5005, 0, 1), 0), 0), "00")</f>
        <v>00</v>
      </c>
      <c r="H3067" s="1" t="str">
        <f t="shared" si="283"/>
        <v>011</v>
      </c>
      <c r="I3067" s="1" t="str">
        <f t="shared" si="284"/>
        <v>15200-011</v>
      </c>
      <c r="J3067" s="1" t="str">
        <f t="shared" si="285"/>
        <v>Bass drum production item #011</v>
      </c>
      <c r="K3067" s="1" t="str">
        <f>IF(SUM(COUNTIFS(I:I, I3067)) &gt; 1, "DUPLICATE", "UNIQUE")</f>
        <v>UNIQUE</v>
      </c>
      <c r="L3067" s="18">
        <v>16</v>
      </c>
      <c r="M3067" s="28">
        <v>87</v>
      </c>
      <c r="N3067" s="6">
        <v>400</v>
      </c>
      <c r="O3067" s="30">
        <f t="shared" si="286"/>
        <v>1392</v>
      </c>
      <c r="P3067" s="30">
        <f t="shared" si="287"/>
        <v>34800</v>
      </c>
      <c r="Q3067" s="1">
        <f>COUNTIFS($P:$P, "&gt;" &amp; $P3067) + 1</f>
        <v>606</v>
      </c>
      <c r="R3067" s="63">
        <f>(COUNTIFS($P:$P, "&gt;" &amp; $P3067) + 1) / (COUNTA($I:$I) - 1)</f>
        <v>0.1212</v>
      </c>
      <c r="S3067" s="23">
        <f>SUMIFS($P:$P, $Q:$Q, "&lt;" &amp; $Q3067)</f>
        <v>156081020</v>
      </c>
    </row>
    <row r="3068" spans="1:19" x14ac:dyDescent="0.25">
      <c r="A3068" s="1">
        <v>3063</v>
      </c>
      <c r="B3068" s="1" t="s">
        <v>2</v>
      </c>
      <c r="C3068" s="1" t="str">
        <f>IF($B3068 = "Production Item", _xlfn.XLOOKUP($A3068, 'Instrument Table'!$J:$J, 'Instrument Table'!$B:$B, $C3067), IF($B3068 = "Service Item", _xlfn.XLOOKUP($A3068, 'Instrument Table'!$I:$I, 'Instrument Table'!$B:$B, $C3067), _xlfn.XLOOKUP($A3068, 'Instrument Table'!$H:$H, 'Instrument Table'!$B:$B, $C3067)))</f>
        <v>Bass Drum</v>
      </c>
      <c r="D3068" s="1" t="str">
        <f>VLOOKUP($C3068, 'Instrument Table'!$B:$C, 2, FALSE)</f>
        <v>Percussion</v>
      </c>
      <c r="E3068" s="1">
        <f t="shared" si="282"/>
        <v>1</v>
      </c>
      <c r="F3068" s="1">
        <f>_xlfn.XLOOKUP($C3068, 'Instrument Table'!$B:$B, 'Instrument Table'!$A:$A, "")</f>
        <v>52</v>
      </c>
      <c r="G3068" s="1" t="str">
        <f>TEXT(IF($B3068 = "Retail Item", IF((ROW($A3068) - 4504 - _xlfn.XMATCH($C3068, $C$4506:$C$5005, 0, 1)) &lt;= VLOOKUP($C3068, 'Instrument Table'!$B:$D, 3, FALSE), ROW($A3068) - 4504 - _xlfn.XMATCH($C3068, $C$4506:$C$5005, 0, 1), 0), 0), "00")</f>
        <v>00</v>
      </c>
      <c r="H3068" s="1" t="str">
        <f t="shared" si="283"/>
        <v>012</v>
      </c>
      <c r="I3068" s="1" t="str">
        <f t="shared" si="284"/>
        <v>15200-012</v>
      </c>
      <c r="J3068" s="1" t="str">
        <f t="shared" si="285"/>
        <v>Bass drum production item #012</v>
      </c>
      <c r="K3068" s="1" t="str">
        <f>IF(SUM(COUNTIFS(I:I, I3068)) &gt; 1, "DUPLICATE", "UNIQUE")</f>
        <v>UNIQUE</v>
      </c>
      <c r="L3068" s="18">
        <v>32</v>
      </c>
      <c r="M3068" s="28">
        <v>37</v>
      </c>
      <c r="N3068" s="6">
        <v>256</v>
      </c>
      <c r="O3068" s="30">
        <f t="shared" si="286"/>
        <v>1184</v>
      </c>
      <c r="P3068" s="30">
        <f t="shared" si="287"/>
        <v>9472</v>
      </c>
      <c r="Q3068" s="1">
        <f>COUNTIFS($P:$P, "&gt;" &amp; $P3068) + 1</f>
        <v>1821</v>
      </c>
      <c r="R3068" s="63">
        <f>(COUNTIFS($P:$P, "&gt;" &amp; $P3068) + 1) / (COUNTA($I:$I) - 1)</f>
        <v>0.36420000000000002</v>
      </c>
      <c r="S3068" s="23">
        <f>SUMIFS($P:$P, $Q:$Q, "&lt;" &amp; $Q3068)</f>
        <v>178442393</v>
      </c>
    </row>
    <row r="3069" spans="1:19" x14ac:dyDescent="0.25">
      <c r="A3069" s="1">
        <v>3064</v>
      </c>
      <c r="B3069" s="1" t="s">
        <v>2</v>
      </c>
      <c r="C3069" s="1" t="str">
        <f>IF($B3069 = "Production Item", _xlfn.XLOOKUP($A3069, 'Instrument Table'!$J:$J, 'Instrument Table'!$B:$B, $C3068), IF($B3069 = "Service Item", _xlfn.XLOOKUP($A3069, 'Instrument Table'!$I:$I, 'Instrument Table'!$B:$B, $C3068), _xlfn.XLOOKUP($A3069, 'Instrument Table'!$H:$H, 'Instrument Table'!$B:$B, $C3068)))</f>
        <v>Bass Drum</v>
      </c>
      <c r="D3069" s="1" t="str">
        <f>VLOOKUP($C3069, 'Instrument Table'!$B:$C, 2, FALSE)</f>
        <v>Percussion</v>
      </c>
      <c r="E3069" s="1">
        <f t="shared" si="282"/>
        <v>1</v>
      </c>
      <c r="F3069" s="1">
        <f>_xlfn.XLOOKUP($C3069, 'Instrument Table'!$B:$B, 'Instrument Table'!$A:$A, "")</f>
        <v>52</v>
      </c>
      <c r="G3069" s="1" t="str">
        <f>TEXT(IF($B3069 = "Retail Item", IF((ROW($A3069) - 4504 - _xlfn.XMATCH($C3069, $C$4506:$C$5005, 0, 1)) &lt;= VLOOKUP($C3069, 'Instrument Table'!$B:$D, 3, FALSE), ROW($A3069) - 4504 - _xlfn.XMATCH($C3069, $C$4506:$C$5005, 0, 1), 0), 0), "00")</f>
        <v>00</v>
      </c>
      <c r="H3069" s="1" t="str">
        <f t="shared" si="283"/>
        <v>013</v>
      </c>
      <c r="I3069" s="1" t="str">
        <f t="shared" si="284"/>
        <v>15200-013</v>
      </c>
      <c r="J3069" s="1" t="str">
        <f t="shared" si="285"/>
        <v>Bass drum production item #013</v>
      </c>
      <c r="K3069" s="1" t="str">
        <f>IF(SUM(COUNTIFS(I:I, I3069)) &gt; 1, "DUPLICATE", "UNIQUE")</f>
        <v>UNIQUE</v>
      </c>
      <c r="L3069" s="18">
        <v>1</v>
      </c>
      <c r="M3069" s="28">
        <v>3</v>
      </c>
      <c r="N3069" s="6">
        <v>36</v>
      </c>
      <c r="O3069" s="30">
        <f t="shared" si="286"/>
        <v>3</v>
      </c>
      <c r="P3069" s="30">
        <f t="shared" si="287"/>
        <v>108</v>
      </c>
      <c r="Q3069" s="1">
        <f>COUNTIFS($P:$P, "&gt;" &amp; $P3069) + 1</f>
        <v>4438</v>
      </c>
      <c r="R3069" s="63">
        <f>(COUNTIFS($P:$P, "&gt;" &amp; $P3069) + 1) / (COUNTA($I:$I) - 1)</f>
        <v>0.88759999999999994</v>
      </c>
      <c r="S3069" s="23">
        <f>SUMIFS($P:$P, $Q:$Q, "&lt;" &amp; $Q3069)</f>
        <v>186530920</v>
      </c>
    </row>
    <row r="3070" spans="1:19" x14ac:dyDescent="0.25">
      <c r="A3070" s="1">
        <v>3065</v>
      </c>
      <c r="B3070" s="1" t="s">
        <v>2</v>
      </c>
      <c r="C3070" s="1" t="str">
        <f>IF($B3070 = "Production Item", _xlfn.XLOOKUP($A3070, 'Instrument Table'!$J:$J, 'Instrument Table'!$B:$B, $C3069), IF($B3070 = "Service Item", _xlfn.XLOOKUP($A3070, 'Instrument Table'!$I:$I, 'Instrument Table'!$B:$B, $C3069), _xlfn.XLOOKUP($A3070, 'Instrument Table'!$H:$H, 'Instrument Table'!$B:$B, $C3069)))</f>
        <v>Bass Drum</v>
      </c>
      <c r="D3070" s="1" t="str">
        <f>VLOOKUP($C3070, 'Instrument Table'!$B:$C, 2, FALSE)</f>
        <v>Percussion</v>
      </c>
      <c r="E3070" s="1">
        <f t="shared" si="282"/>
        <v>1</v>
      </c>
      <c r="F3070" s="1">
        <f>_xlfn.XLOOKUP($C3070, 'Instrument Table'!$B:$B, 'Instrument Table'!$A:$A, "")</f>
        <v>52</v>
      </c>
      <c r="G3070" s="1" t="str">
        <f>TEXT(IF($B3070 = "Retail Item", IF((ROW($A3070) - 4504 - _xlfn.XMATCH($C3070, $C$4506:$C$5005, 0, 1)) &lt;= VLOOKUP($C3070, 'Instrument Table'!$B:$D, 3, FALSE), ROW($A3070) - 4504 - _xlfn.XMATCH($C3070, $C$4506:$C$5005, 0, 1), 0), 0), "00")</f>
        <v>00</v>
      </c>
      <c r="H3070" s="1" t="str">
        <f t="shared" si="283"/>
        <v>014</v>
      </c>
      <c r="I3070" s="1" t="str">
        <f t="shared" si="284"/>
        <v>15200-014</v>
      </c>
      <c r="J3070" s="1" t="str">
        <f t="shared" si="285"/>
        <v>Bass drum production item #014</v>
      </c>
      <c r="K3070" s="1" t="str">
        <f>IF(SUM(COUNTIFS(I:I, I3070)) &gt; 1, "DUPLICATE", "UNIQUE")</f>
        <v>UNIQUE</v>
      </c>
      <c r="L3070" s="18">
        <v>0</v>
      </c>
      <c r="M3070" s="28">
        <v>99</v>
      </c>
      <c r="N3070" s="6">
        <v>361</v>
      </c>
      <c r="O3070" s="30">
        <f t="shared" si="286"/>
        <v>0</v>
      </c>
      <c r="P3070" s="30">
        <f t="shared" si="287"/>
        <v>35739</v>
      </c>
      <c r="Q3070" s="1">
        <f>COUNTIFS($P:$P, "&gt;" &amp; $P3070) + 1</f>
        <v>595</v>
      </c>
      <c r="R3070" s="63">
        <f>(COUNTIFS($P:$P, "&gt;" &amp; $P3070) + 1) / (COUNTA($I:$I) - 1)</f>
        <v>0.11899999999999999</v>
      </c>
      <c r="S3070" s="23">
        <f>SUMIFS($P:$P, $Q:$Q, "&lt;" &amp; $Q3070)</f>
        <v>155692607</v>
      </c>
    </row>
    <row r="3071" spans="1:19" x14ac:dyDescent="0.25">
      <c r="A3071" s="1">
        <v>3066</v>
      </c>
      <c r="B3071" s="1" t="s">
        <v>2</v>
      </c>
      <c r="C3071" s="1" t="str">
        <f>IF($B3071 = "Production Item", _xlfn.XLOOKUP($A3071, 'Instrument Table'!$J:$J, 'Instrument Table'!$B:$B, $C3070), IF($B3071 = "Service Item", _xlfn.XLOOKUP($A3071, 'Instrument Table'!$I:$I, 'Instrument Table'!$B:$B, $C3070), _xlfn.XLOOKUP($A3071, 'Instrument Table'!$H:$H, 'Instrument Table'!$B:$B, $C3070)))</f>
        <v>Bass Drum</v>
      </c>
      <c r="D3071" s="1" t="str">
        <f>VLOOKUP($C3071, 'Instrument Table'!$B:$C, 2, FALSE)</f>
        <v>Percussion</v>
      </c>
      <c r="E3071" s="1">
        <f t="shared" si="282"/>
        <v>1</v>
      </c>
      <c r="F3071" s="1">
        <f>_xlfn.XLOOKUP($C3071, 'Instrument Table'!$B:$B, 'Instrument Table'!$A:$A, "")</f>
        <v>52</v>
      </c>
      <c r="G3071" s="1" t="str">
        <f>TEXT(IF($B3071 = "Retail Item", IF((ROW($A3071) - 4504 - _xlfn.XMATCH($C3071, $C$4506:$C$5005, 0, 1)) &lt;= VLOOKUP($C3071, 'Instrument Table'!$B:$D, 3, FALSE), ROW($A3071) - 4504 - _xlfn.XMATCH($C3071, $C$4506:$C$5005, 0, 1), 0), 0), "00")</f>
        <v>00</v>
      </c>
      <c r="H3071" s="1" t="str">
        <f t="shared" si="283"/>
        <v>015</v>
      </c>
      <c r="I3071" s="1" t="str">
        <f t="shared" si="284"/>
        <v>15200-015</v>
      </c>
      <c r="J3071" s="1" t="str">
        <f t="shared" si="285"/>
        <v>Bass drum production item #015</v>
      </c>
      <c r="K3071" s="1" t="str">
        <f>IF(SUM(COUNTIFS(I:I, I3071)) &gt; 1, "DUPLICATE", "UNIQUE")</f>
        <v>UNIQUE</v>
      </c>
      <c r="L3071" s="18">
        <v>0</v>
      </c>
      <c r="M3071" s="28">
        <v>58</v>
      </c>
      <c r="N3071" s="6">
        <v>121</v>
      </c>
      <c r="O3071" s="30">
        <f t="shared" si="286"/>
        <v>0</v>
      </c>
      <c r="P3071" s="30">
        <f t="shared" si="287"/>
        <v>7018</v>
      </c>
      <c r="Q3071" s="1">
        <f>COUNTIFS($P:$P, "&gt;" &amp; $P3071) + 1</f>
        <v>2134</v>
      </c>
      <c r="R3071" s="63">
        <f>(COUNTIFS($P:$P, "&gt;" &amp; $P3071) + 1) / (COUNTA($I:$I) - 1)</f>
        <v>0.42680000000000001</v>
      </c>
      <c r="S3071" s="23">
        <f>SUMIFS($P:$P, $Q:$Q, "&lt;" &amp; $Q3071)</f>
        <v>181002460</v>
      </c>
    </row>
    <row r="3072" spans="1:19" x14ac:dyDescent="0.25">
      <c r="A3072" s="1">
        <v>3067</v>
      </c>
      <c r="B3072" s="1" t="s">
        <v>2</v>
      </c>
      <c r="C3072" s="1" t="str">
        <f>IF($B3072 = "Production Item", _xlfn.XLOOKUP($A3072, 'Instrument Table'!$J:$J, 'Instrument Table'!$B:$B, $C3071), IF($B3072 = "Service Item", _xlfn.XLOOKUP($A3072, 'Instrument Table'!$I:$I, 'Instrument Table'!$B:$B, $C3071), _xlfn.XLOOKUP($A3072, 'Instrument Table'!$H:$H, 'Instrument Table'!$B:$B, $C3071)))</f>
        <v>Bass Drum</v>
      </c>
      <c r="D3072" s="1" t="str">
        <f>VLOOKUP($C3072, 'Instrument Table'!$B:$C, 2, FALSE)</f>
        <v>Percussion</v>
      </c>
      <c r="E3072" s="1">
        <f t="shared" si="282"/>
        <v>1</v>
      </c>
      <c r="F3072" s="1">
        <f>_xlfn.XLOOKUP($C3072, 'Instrument Table'!$B:$B, 'Instrument Table'!$A:$A, "")</f>
        <v>52</v>
      </c>
      <c r="G3072" s="1" t="str">
        <f>TEXT(IF($B3072 = "Retail Item", IF((ROW($A3072) - 4504 - _xlfn.XMATCH($C3072, $C$4506:$C$5005, 0, 1)) &lt;= VLOOKUP($C3072, 'Instrument Table'!$B:$D, 3, FALSE), ROW($A3072) - 4504 - _xlfn.XMATCH($C3072, $C$4506:$C$5005, 0, 1), 0), 0), "00")</f>
        <v>00</v>
      </c>
      <c r="H3072" s="1" t="str">
        <f t="shared" si="283"/>
        <v>016</v>
      </c>
      <c r="I3072" s="1" t="str">
        <f t="shared" si="284"/>
        <v>15200-016</v>
      </c>
      <c r="J3072" s="1" t="str">
        <f t="shared" si="285"/>
        <v>Bass drum production item #016</v>
      </c>
      <c r="K3072" s="1" t="str">
        <f>IF(SUM(COUNTIFS(I:I, I3072)) &gt; 1, "DUPLICATE", "UNIQUE")</f>
        <v>UNIQUE</v>
      </c>
      <c r="L3072" s="18">
        <v>0</v>
      </c>
      <c r="M3072" s="28">
        <v>48</v>
      </c>
      <c r="N3072" s="6">
        <v>25</v>
      </c>
      <c r="O3072" s="30">
        <f t="shared" si="286"/>
        <v>0</v>
      </c>
      <c r="P3072" s="30">
        <f t="shared" si="287"/>
        <v>1200</v>
      </c>
      <c r="Q3072" s="1">
        <f>COUNTIFS($P:$P, "&gt;" &amp; $P3072) + 1</f>
        <v>3608</v>
      </c>
      <c r="R3072" s="63">
        <f>(COUNTIFS($P:$P, "&gt;" &amp; $P3072) + 1) / (COUNTA($I:$I) - 1)</f>
        <v>0.72160000000000002</v>
      </c>
      <c r="S3072" s="23">
        <f>SUMIFS($P:$P, $Q:$Q, "&lt;" &amp; $Q3072)</f>
        <v>186079438</v>
      </c>
    </row>
    <row r="3073" spans="1:19" x14ac:dyDescent="0.25">
      <c r="A3073" s="1">
        <v>3068</v>
      </c>
      <c r="B3073" s="1" t="s">
        <v>2</v>
      </c>
      <c r="C3073" s="1" t="str">
        <f>IF($B3073 = "Production Item", _xlfn.XLOOKUP($A3073, 'Instrument Table'!$J:$J, 'Instrument Table'!$B:$B, $C3072), IF($B3073 = "Service Item", _xlfn.XLOOKUP($A3073, 'Instrument Table'!$I:$I, 'Instrument Table'!$B:$B, $C3072), _xlfn.XLOOKUP($A3073, 'Instrument Table'!$H:$H, 'Instrument Table'!$B:$B, $C3072)))</f>
        <v>Bass Drum</v>
      </c>
      <c r="D3073" s="1" t="str">
        <f>VLOOKUP($C3073, 'Instrument Table'!$B:$C, 2, FALSE)</f>
        <v>Percussion</v>
      </c>
      <c r="E3073" s="1">
        <f t="shared" si="282"/>
        <v>1</v>
      </c>
      <c r="F3073" s="1">
        <f>_xlfn.XLOOKUP($C3073, 'Instrument Table'!$B:$B, 'Instrument Table'!$A:$A, "")</f>
        <v>52</v>
      </c>
      <c r="G3073" s="1" t="str">
        <f>TEXT(IF($B3073 = "Retail Item", IF((ROW($A3073) - 4504 - _xlfn.XMATCH($C3073, $C$4506:$C$5005, 0, 1)) &lt;= VLOOKUP($C3073, 'Instrument Table'!$B:$D, 3, FALSE), ROW($A3073) - 4504 - _xlfn.XMATCH($C3073, $C$4506:$C$5005, 0, 1), 0), 0), "00")</f>
        <v>00</v>
      </c>
      <c r="H3073" s="1" t="str">
        <f t="shared" si="283"/>
        <v>017</v>
      </c>
      <c r="I3073" s="1" t="str">
        <f t="shared" si="284"/>
        <v>15200-017</v>
      </c>
      <c r="J3073" s="1" t="str">
        <f t="shared" si="285"/>
        <v>Bass drum production item #017</v>
      </c>
      <c r="K3073" s="1" t="str">
        <f>IF(SUM(COUNTIFS(I:I, I3073)) &gt; 1, "DUPLICATE", "UNIQUE")</f>
        <v>UNIQUE</v>
      </c>
      <c r="L3073" s="18">
        <v>0</v>
      </c>
      <c r="M3073" s="28">
        <v>64</v>
      </c>
      <c r="N3073" s="6">
        <v>36</v>
      </c>
      <c r="O3073" s="30">
        <f t="shared" si="286"/>
        <v>0</v>
      </c>
      <c r="P3073" s="30">
        <f t="shared" si="287"/>
        <v>2304</v>
      </c>
      <c r="Q3073" s="1">
        <f>COUNTIFS($P:$P, "&gt;" &amp; $P3073) + 1</f>
        <v>3118</v>
      </c>
      <c r="R3073" s="63">
        <f>(COUNTIFS($P:$P, "&gt;" &amp; $P3073) + 1) / (COUNTA($I:$I) - 1)</f>
        <v>0.62360000000000004</v>
      </c>
      <c r="S3073" s="23">
        <f>SUMIFS($P:$P, $Q:$Q, "&lt;" &amp; $Q3073)</f>
        <v>185224654</v>
      </c>
    </row>
    <row r="3074" spans="1:19" x14ac:dyDescent="0.25">
      <c r="A3074" s="1">
        <v>3069</v>
      </c>
      <c r="B3074" s="1" t="s">
        <v>2</v>
      </c>
      <c r="C3074" s="1" t="str">
        <f>IF($B3074 = "Production Item", _xlfn.XLOOKUP($A3074, 'Instrument Table'!$J:$J, 'Instrument Table'!$B:$B, $C3073), IF($B3074 = "Service Item", _xlfn.XLOOKUP($A3074, 'Instrument Table'!$I:$I, 'Instrument Table'!$B:$B, $C3073), _xlfn.XLOOKUP($A3074, 'Instrument Table'!$H:$H, 'Instrument Table'!$B:$B, $C3073)))</f>
        <v>Bass Drum</v>
      </c>
      <c r="D3074" s="1" t="str">
        <f>VLOOKUP($C3074, 'Instrument Table'!$B:$C, 2, FALSE)</f>
        <v>Percussion</v>
      </c>
      <c r="E3074" s="1">
        <f t="shared" si="282"/>
        <v>1</v>
      </c>
      <c r="F3074" s="1">
        <f>_xlfn.XLOOKUP($C3074, 'Instrument Table'!$B:$B, 'Instrument Table'!$A:$A, "")</f>
        <v>52</v>
      </c>
      <c r="G3074" s="1" t="str">
        <f>TEXT(IF($B3074 = "Retail Item", IF((ROW($A3074) - 4504 - _xlfn.XMATCH($C3074, $C$4506:$C$5005, 0, 1)) &lt;= VLOOKUP($C3074, 'Instrument Table'!$B:$D, 3, FALSE), ROW($A3074) - 4504 - _xlfn.XMATCH($C3074, $C$4506:$C$5005, 0, 1), 0), 0), "00")</f>
        <v>00</v>
      </c>
      <c r="H3074" s="1" t="str">
        <f t="shared" si="283"/>
        <v>018</v>
      </c>
      <c r="I3074" s="1" t="str">
        <f t="shared" si="284"/>
        <v>15200-018</v>
      </c>
      <c r="J3074" s="1" t="str">
        <f t="shared" si="285"/>
        <v>Bass drum production item #018</v>
      </c>
      <c r="K3074" s="1" t="str">
        <f>IF(SUM(COUNTIFS(I:I, I3074)) &gt; 1, "DUPLICATE", "UNIQUE")</f>
        <v>UNIQUE</v>
      </c>
      <c r="L3074" s="18">
        <v>1</v>
      </c>
      <c r="M3074" s="28">
        <v>23</v>
      </c>
      <c r="N3074" s="6">
        <v>9</v>
      </c>
      <c r="O3074" s="30">
        <f t="shared" si="286"/>
        <v>23</v>
      </c>
      <c r="P3074" s="30">
        <f t="shared" si="287"/>
        <v>207</v>
      </c>
      <c r="Q3074" s="1">
        <f>COUNTIFS($P:$P, "&gt;" &amp; $P3074) + 1</f>
        <v>4315</v>
      </c>
      <c r="R3074" s="63">
        <f>(COUNTIFS($P:$P, "&gt;" &amp; $P3074) + 1) / (COUNTA($I:$I) - 1)</f>
        <v>0.86299999999999999</v>
      </c>
      <c r="S3074" s="23">
        <f>SUMIFS($P:$P, $Q:$Q, "&lt;" &amp; $Q3074)</f>
        <v>186510654</v>
      </c>
    </row>
    <row r="3075" spans="1:19" x14ac:dyDescent="0.25">
      <c r="A3075" s="1">
        <v>3070</v>
      </c>
      <c r="B3075" s="1" t="s">
        <v>2</v>
      </c>
      <c r="C3075" s="1" t="str">
        <f>IF($B3075 = "Production Item", _xlfn.XLOOKUP($A3075, 'Instrument Table'!$J:$J, 'Instrument Table'!$B:$B, $C3074), IF($B3075 = "Service Item", _xlfn.XLOOKUP($A3075, 'Instrument Table'!$I:$I, 'Instrument Table'!$B:$B, $C3074), _xlfn.XLOOKUP($A3075, 'Instrument Table'!$H:$H, 'Instrument Table'!$B:$B, $C3074)))</f>
        <v>Bass Drum</v>
      </c>
      <c r="D3075" s="1" t="str">
        <f>VLOOKUP($C3075, 'Instrument Table'!$B:$C, 2, FALSE)</f>
        <v>Percussion</v>
      </c>
      <c r="E3075" s="1">
        <f t="shared" si="282"/>
        <v>1</v>
      </c>
      <c r="F3075" s="1">
        <f>_xlfn.XLOOKUP($C3075, 'Instrument Table'!$B:$B, 'Instrument Table'!$A:$A, "")</f>
        <v>52</v>
      </c>
      <c r="G3075" s="1" t="str">
        <f>TEXT(IF($B3075 = "Retail Item", IF((ROW($A3075) - 4504 - _xlfn.XMATCH($C3075, $C$4506:$C$5005, 0, 1)) &lt;= VLOOKUP($C3075, 'Instrument Table'!$B:$D, 3, FALSE), ROW($A3075) - 4504 - _xlfn.XMATCH($C3075, $C$4506:$C$5005, 0, 1), 0), 0), "00")</f>
        <v>00</v>
      </c>
      <c r="H3075" s="1" t="str">
        <f t="shared" si="283"/>
        <v>019</v>
      </c>
      <c r="I3075" s="1" t="str">
        <f t="shared" si="284"/>
        <v>15200-019</v>
      </c>
      <c r="J3075" s="1" t="str">
        <f t="shared" si="285"/>
        <v>Bass drum production item #019</v>
      </c>
      <c r="K3075" s="1" t="str">
        <f>IF(SUM(COUNTIFS(I:I, I3075)) &gt; 1, "DUPLICATE", "UNIQUE")</f>
        <v>UNIQUE</v>
      </c>
      <c r="L3075" s="18">
        <v>1</v>
      </c>
      <c r="M3075" s="28">
        <v>33</v>
      </c>
      <c r="N3075" s="6">
        <v>169</v>
      </c>
      <c r="O3075" s="30">
        <f t="shared" si="286"/>
        <v>33</v>
      </c>
      <c r="P3075" s="30">
        <f t="shared" si="287"/>
        <v>5577</v>
      </c>
      <c r="Q3075" s="1">
        <f>COUNTIFS($P:$P, "&gt;" &amp; $P3075) + 1</f>
        <v>2340</v>
      </c>
      <c r="R3075" s="63">
        <f>(COUNTIFS($P:$P, "&gt;" &amp; $P3075) + 1) / (COUNTA($I:$I) - 1)</f>
        <v>0.46800000000000003</v>
      </c>
      <c r="S3075" s="23">
        <f>SUMIFS($P:$P, $Q:$Q, "&lt;" &amp; $Q3075)</f>
        <v>182292087</v>
      </c>
    </row>
    <row r="3076" spans="1:19" x14ac:dyDescent="0.25">
      <c r="A3076" s="1">
        <v>3071</v>
      </c>
      <c r="B3076" s="1" t="s">
        <v>2</v>
      </c>
      <c r="C3076" s="1" t="str">
        <f>IF($B3076 = "Production Item", _xlfn.XLOOKUP($A3076, 'Instrument Table'!$J:$J, 'Instrument Table'!$B:$B, $C3075), IF($B3076 = "Service Item", _xlfn.XLOOKUP($A3076, 'Instrument Table'!$I:$I, 'Instrument Table'!$B:$B, $C3075), _xlfn.XLOOKUP($A3076, 'Instrument Table'!$H:$H, 'Instrument Table'!$B:$B, $C3075)))</f>
        <v>Bass Drum</v>
      </c>
      <c r="D3076" s="1" t="str">
        <f>VLOOKUP($C3076, 'Instrument Table'!$B:$C, 2, FALSE)</f>
        <v>Percussion</v>
      </c>
      <c r="E3076" s="1">
        <f t="shared" si="282"/>
        <v>1</v>
      </c>
      <c r="F3076" s="1">
        <f>_xlfn.XLOOKUP($C3076, 'Instrument Table'!$B:$B, 'Instrument Table'!$A:$A, "")</f>
        <v>52</v>
      </c>
      <c r="G3076" s="1" t="str">
        <f>TEXT(IF($B3076 = "Retail Item", IF((ROW($A3076) - 4504 - _xlfn.XMATCH($C3076, $C$4506:$C$5005, 0, 1)) &lt;= VLOOKUP($C3076, 'Instrument Table'!$B:$D, 3, FALSE), ROW($A3076) - 4504 - _xlfn.XMATCH($C3076, $C$4506:$C$5005, 0, 1), 0), 0), "00")</f>
        <v>00</v>
      </c>
      <c r="H3076" s="1" t="str">
        <f t="shared" si="283"/>
        <v>020</v>
      </c>
      <c r="I3076" s="1" t="str">
        <f t="shared" si="284"/>
        <v>15200-020</v>
      </c>
      <c r="J3076" s="1" t="str">
        <f t="shared" si="285"/>
        <v>Bass drum production item #020</v>
      </c>
      <c r="K3076" s="1" t="str">
        <f>IF(SUM(COUNTIFS(I:I, I3076)) &gt; 1, "DUPLICATE", "UNIQUE")</f>
        <v>UNIQUE</v>
      </c>
      <c r="L3076" s="18">
        <v>8</v>
      </c>
      <c r="M3076" s="28">
        <v>86</v>
      </c>
      <c r="N3076" s="6">
        <v>16</v>
      </c>
      <c r="O3076" s="30">
        <f t="shared" si="286"/>
        <v>688</v>
      </c>
      <c r="P3076" s="30">
        <f t="shared" si="287"/>
        <v>1376</v>
      </c>
      <c r="Q3076" s="1">
        <f>COUNTIFS($P:$P, "&gt;" &amp; $P3076) + 1</f>
        <v>3517</v>
      </c>
      <c r="R3076" s="63">
        <f>(COUNTIFS($P:$P, "&gt;" &amp; $P3076) + 1) / (COUNTA($I:$I) - 1)</f>
        <v>0.70340000000000003</v>
      </c>
      <c r="S3076" s="23">
        <f>SUMIFS($P:$P, $Q:$Q, "&lt;" &amp; $Q3076)</f>
        <v>185961339</v>
      </c>
    </row>
    <row r="3077" spans="1:19" x14ac:dyDescent="0.25">
      <c r="A3077" s="1">
        <v>3072</v>
      </c>
      <c r="B3077" s="1" t="s">
        <v>2</v>
      </c>
      <c r="C3077" s="1" t="str">
        <f>IF($B3077 = "Production Item", _xlfn.XLOOKUP($A3077, 'Instrument Table'!$J:$J, 'Instrument Table'!$B:$B, $C3076), IF($B3077 = "Service Item", _xlfn.XLOOKUP($A3077, 'Instrument Table'!$I:$I, 'Instrument Table'!$B:$B, $C3076), _xlfn.XLOOKUP($A3077, 'Instrument Table'!$H:$H, 'Instrument Table'!$B:$B, $C3076)))</f>
        <v>Bass Drum</v>
      </c>
      <c r="D3077" s="1" t="str">
        <f>VLOOKUP($C3077, 'Instrument Table'!$B:$C, 2, FALSE)</f>
        <v>Percussion</v>
      </c>
      <c r="E3077" s="1">
        <f t="shared" si="282"/>
        <v>1</v>
      </c>
      <c r="F3077" s="1">
        <f>_xlfn.XLOOKUP($C3077, 'Instrument Table'!$B:$B, 'Instrument Table'!$A:$A, "")</f>
        <v>52</v>
      </c>
      <c r="G3077" s="1" t="str">
        <f>TEXT(IF($B3077 = "Retail Item", IF((ROW($A3077) - 4504 - _xlfn.XMATCH($C3077, $C$4506:$C$5005, 0, 1)) &lt;= VLOOKUP($C3077, 'Instrument Table'!$B:$D, 3, FALSE), ROW($A3077) - 4504 - _xlfn.XMATCH($C3077, $C$4506:$C$5005, 0, 1), 0), 0), "00")</f>
        <v>00</v>
      </c>
      <c r="H3077" s="1" t="str">
        <f t="shared" si="283"/>
        <v>021</v>
      </c>
      <c r="I3077" s="1" t="str">
        <f t="shared" si="284"/>
        <v>15200-021</v>
      </c>
      <c r="J3077" s="1" t="str">
        <f t="shared" si="285"/>
        <v>Bass drum production item #021</v>
      </c>
      <c r="K3077" s="1" t="str">
        <f>IF(SUM(COUNTIFS(I:I, I3077)) &gt; 1, "DUPLICATE", "UNIQUE")</f>
        <v>UNIQUE</v>
      </c>
      <c r="L3077" s="18">
        <v>1</v>
      </c>
      <c r="M3077" s="28">
        <v>39</v>
      </c>
      <c r="N3077" s="6">
        <v>49</v>
      </c>
      <c r="O3077" s="30">
        <f t="shared" si="286"/>
        <v>39</v>
      </c>
      <c r="P3077" s="30">
        <f t="shared" si="287"/>
        <v>1911</v>
      </c>
      <c r="Q3077" s="1">
        <f>COUNTIFS($P:$P, "&gt;" &amp; $P3077) + 1</f>
        <v>3291</v>
      </c>
      <c r="R3077" s="63">
        <f>(COUNTIFS($P:$P, "&gt;" &amp; $P3077) + 1) / (COUNTA($I:$I) - 1)</f>
        <v>0.65820000000000001</v>
      </c>
      <c r="S3077" s="23">
        <f>SUMIFS($P:$P, $Q:$Q, "&lt;" &amp; $Q3077)</f>
        <v>185591898</v>
      </c>
    </row>
    <row r="3078" spans="1:19" x14ac:dyDescent="0.25">
      <c r="A3078" s="1">
        <v>3073</v>
      </c>
      <c r="B3078" s="1" t="s">
        <v>2</v>
      </c>
      <c r="C3078" s="1" t="str">
        <f>IF($B3078 = "Production Item", _xlfn.XLOOKUP($A3078, 'Instrument Table'!$J:$J, 'Instrument Table'!$B:$B, $C3077), IF($B3078 = "Service Item", _xlfn.XLOOKUP($A3078, 'Instrument Table'!$I:$I, 'Instrument Table'!$B:$B, $C3077), _xlfn.XLOOKUP($A3078, 'Instrument Table'!$H:$H, 'Instrument Table'!$B:$B, $C3077)))</f>
        <v>Bass Drum</v>
      </c>
      <c r="D3078" s="1" t="str">
        <f>VLOOKUP($C3078, 'Instrument Table'!$B:$C, 2, FALSE)</f>
        <v>Percussion</v>
      </c>
      <c r="E3078" s="1">
        <f t="shared" si="282"/>
        <v>1</v>
      </c>
      <c r="F3078" s="1">
        <f>_xlfn.XLOOKUP($C3078, 'Instrument Table'!$B:$B, 'Instrument Table'!$A:$A, "")</f>
        <v>52</v>
      </c>
      <c r="G3078" s="1" t="str">
        <f>TEXT(IF($B3078 = "Retail Item", IF((ROW($A3078) - 4504 - _xlfn.XMATCH($C3078, $C$4506:$C$5005, 0, 1)) &lt;= VLOOKUP($C3078, 'Instrument Table'!$B:$D, 3, FALSE), ROW($A3078) - 4504 - _xlfn.XMATCH($C3078, $C$4506:$C$5005, 0, 1), 0), 0), "00")</f>
        <v>00</v>
      </c>
      <c r="H3078" s="1" t="str">
        <f t="shared" si="283"/>
        <v>022</v>
      </c>
      <c r="I3078" s="1" t="str">
        <f t="shared" si="284"/>
        <v>15200-022</v>
      </c>
      <c r="J3078" s="1" t="str">
        <f t="shared" si="285"/>
        <v>Bass drum production item #022</v>
      </c>
      <c r="K3078" s="1" t="str">
        <f>IF(SUM(COUNTIFS(I:I, I3078)) &gt; 1, "DUPLICATE", "UNIQUE")</f>
        <v>UNIQUE</v>
      </c>
      <c r="L3078" s="18">
        <v>32</v>
      </c>
      <c r="M3078" s="28">
        <v>89</v>
      </c>
      <c r="N3078" s="6">
        <v>121</v>
      </c>
      <c r="O3078" s="30">
        <f t="shared" si="286"/>
        <v>2848</v>
      </c>
      <c r="P3078" s="30">
        <f t="shared" si="287"/>
        <v>10769</v>
      </c>
      <c r="Q3078" s="1">
        <f>COUNTIFS($P:$P, "&gt;" &amp; $P3078) + 1</f>
        <v>1711</v>
      </c>
      <c r="R3078" s="63">
        <f>(COUNTIFS($P:$P, "&gt;" &amp; $P3078) + 1) / (COUNTA($I:$I) - 1)</f>
        <v>0.3422</v>
      </c>
      <c r="S3078" s="23">
        <f>SUMIFS($P:$P, $Q:$Q, "&lt;" &amp; $Q3078)</f>
        <v>177332292</v>
      </c>
    </row>
    <row r="3079" spans="1:19" x14ac:dyDescent="0.25">
      <c r="A3079" s="1">
        <v>3074</v>
      </c>
      <c r="B3079" s="1" t="s">
        <v>2</v>
      </c>
      <c r="C3079" s="1" t="str">
        <f>IF($B3079 = "Production Item", _xlfn.XLOOKUP($A3079, 'Instrument Table'!$J:$J, 'Instrument Table'!$B:$B, $C3078), IF($B3079 = "Service Item", _xlfn.XLOOKUP($A3079, 'Instrument Table'!$I:$I, 'Instrument Table'!$B:$B, $C3078), _xlfn.XLOOKUP($A3079, 'Instrument Table'!$H:$H, 'Instrument Table'!$B:$B, $C3078)))</f>
        <v>Bass Drum</v>
      </c>
      <c r="D3079" s="1" t="str">
        <f>VLOOKUP($C3079, 'Instrument Table'!$B:$C, 2, FALSE)</f>
        <v>Percussion</v>
      </c>
      <c r="E3079" s="1">
        <f t="shared" ref="E3079:E3142" si="288">IF($B3079 = "Production Item", 1, IF($B3079 = "Service Item", 2, IF($B3079 = "Retail Item", 3, "")))</f>
        <v>1</v>
      </c>
      <c r="F3079" s="1">
        <f>_xlfn.XLOOKUP($C3079, 'Instrument Table'!$B:$B, 'Instrument Table'!$A:$A, "")</f>
        <v>52</v>
      </c>
      <c r="G3079" s="1" t="str">
        <f>TEXT(IF($B3079 = "Retail Item", IF((ROW($A3079) - 4504 - _xlfn.XMATCH($C3079, $C$4506:$C$5005, 0, 1)) &lt;= VLOOKUP($C3079, 'Instrument Table'!$B:$D, 3, FALSE), ROW($A3079) - 4504 - _xlfn.XMATCH($C3079, $C$4506:$C$5005, 0, 1), 0), 0), "00")</f>
        <v>00</v>
      </c>
      <c r="H3079" s="1" t="str">
        <f t="shared" ref="H3079:H3142" si="289">TEXT(IF($E3079 &amp; $F3079 &amp; $G3079 = $E3078 &amp; $F3078 &amp; $G3078, 1 + H3078, 0), "000")</f>
        <v>023</v>
      </c>
      <c r="I3079" s="1" t="str">
        <f t="shared" ref="I3079:I3142" si="290" xml:space="preserve"> _xlfn.CONCAT($E3079, $F3079, $G3079, "-", H3079)</f>
        <v>15200-023</v>
      </c>
      <c r="J3079" s="1" t="str">
        <f t="shared" ref="J3079:J3142" si="291">LEFT($C3079, 1) &amp; LOWER(RIGHT($C3079, LEN($C3079) - 1)) &amp; IF(AND($G3079 &lt;&gt; "00", $B3079 = "Retail Item"), " model #" &amp; $G3079, " " &amp; LOWER($B3079) &amp; " #" &amp; $H3079)</f>
        <v>Bass drum production item #023</v>
      </c>
      <c r="K3079" s="1" t="str">
        <f>IF(SUM(COUNTIFS(I:I, I3079)) &gt; 1, "DUPLICATE", "UNIQUE")</f>
        <v>UNIQUE</v>
      </c>
      <c r="L3079" s="18">
        <v>1</v>
      </c>
      <c r="M3079" s="28">
        <v>27</v>
      </c>
      <c r="N3079" s="6">
        <v>64</v>
      </c>
      <c r="O3079" s="30">
        <f t="shared" ref="O3079:O3142" si="292">$L3079 * $M3079</f>
        <v>27</v>
      </c>
      <c r="P3079" s="30">
        <f t="shared" ref="P3079:P3142" si="293">$N3079 * $M3079</f>
        <v>1728</v>
      </c>
      <c r="Q3079" s="1">
        <f>COUNTIFS($P:$P, "&gt;" &amp; $P3079) + 1</f>
        <v>3360</v>
      </c>
      <c r="R3079" s="63">
        <f>(COUNTIFS($P:$P, "&gt;" &amp; $P3079) + 1) / (COUNTA($I:$I) - 1)</f>
        <v>0.67200000000000004</v>
      </c>
      <c r="S3079" s="23">
        <f>SUMIFS($P:$P, $Q:$Q, "&lt;" &amp; $Q3079)</f>
        <v>185718037</v>
      </c>
    </row>
    <row r="3080" spans="1:19" x14ac:dyDescent="0.25">
      <c r="A3080" s="1">
        <v>3075</v>
      </c>
      <c r="B3080" s="1" t="s">
        <v>2</v>
      </c>
      <c r="C3080" s="1" t="str">
        <f>IF($B3080 = "Production Item", _xlfn.XLOOKUP($A3080, 'Instrument Table'!$J:$J, 'Instrument Table'!$B:$B, $C3079), IF($B3080 = "Service Item", _xlfn.XLOOKUP($A3080, 'Instrument Table'!$I:$I, 'Instrument Table'!$B:$B, $C3079), _xlfn.XLOOKUP($A3080, 'Instrument Table'!$H:$H, 'Instrument Table'!$B:$B, $C3079)))</f>
        <v>Bass Drum</v>
      </c>
      <c r="D3080" s="1" t="str">
        <f>VLOOKUP($C3080, 'Instrument Table'!$B:$C, 2, FALSE)</f>
        <v>Percussion</v>
      </c>
      <c r="E3080" s="1">
        <f t="shared" si="288"/>
        <v>1</v>
      </c>
      <c r="F3080" s="1">
        <f>_xlfn.XLOOKUP($C3080, 'Instrument Table'!$B:$B, 'Instrument Table'!$A:$A, "")</f>
        <v>52</v>
      </c>
      <c r="G3080" s="1" t="str">
        <f>TEXT(IF($B3080 = "Retail Item", IF((ROW($A3080) - 4504 - _xlfn.XMATCH($C3080, $C$4506:$C$5005, 0, 1)) &lt;= VLOOKUP($C3080, 'Instrument Table'!$B:$D, 3, FALSE), ROW($A3080) - 4504 - _xlfn.XMATCH($C3080, $C$4506:$C$5005, 0, 1), 0), 0), "00")</f>
        <v>00</v>
      </c>
      <c r="H3080" s="1" t="str">
        <f t="shared" si="289"/>
        <v>024</v>
      </c>
      <c r="I3080" s="1" t="str">
        <f t="shared" si="290"/>
        <v>15200-024</v>
      </c>
      <c r="J3080" s="1" t="str">
        <f t="shared" si="291"/>
        <v>Bass drum production item #024</v>
      </c>
      <c r="K3080" s="1" t="str">
        <f>IF(SUM(COUNTIFS(I:I, I3080)) &gt; 1, "DUPLICATE", "UNIQUE")</f>
        <v>UNIQUE</v>
      </c>
      <c r="L3080" s="18">
        <v>32</v>
      </c>
      <c r="M3080" s="28">
        <v>76</v>
      </c>
      <c r="N3080" s="6">
        <v>36</v>
      </c>
      <c r="O3080" s="30">
        <f t="shared" si="292"/>
        <v>2432</v>
      </c>
      <c r="P3080" s="30">
        <f t="shared" si="293"/>
        <v>2736</v>
      </c>
      <c r="Q3080" s="1">
        <f>COUNTIFS($P:$P, "&gt;" &amp; $P3080) + 1</f>
        <v>2976</v>
      </c>
      <c r="R3080" s="63">
        <f>(COUNTIFS($P:$P, "&gt;" &amp; $P3080) + 1) / (COUNTA($I:$I) - 1)</f>
        <v>0.59519999999999995</v>
      </c>
      <c r="S3080" s="23">
        <f>SUMIFS($P:$P, $Q:$Q, "&lt;" &amp; $Q3080)</f>
        <v>184867590</v>
      </c>
    </row>
    <row r="3081" spans="1:19" x14ac:dyDescent="0.25">
      <c r="A3081" s="1">
        <v>3076</v>
      </c>
      <c r="B3081" s="1" t="s">
        <v>2</v>
      </c>
      <c r="C3081" s="1" t="str">
        <f>IF($B3081 = "Production Item", _xlfn.XLOOKUP($A3081, 'Instrument Table'!$J:$J, 'Instrument Table'!$B:$B, $C3080), IF($B3081 = "Service Item", _xlfn.XLOOKUP($A3081, 'Instrument Table'!$I:$I, 'Instrument Table'!$B:$B, $C3080), _xlfn.XLOOKUP($A3081, 'Instrument Table'!$H:$H, 'Instrument Table'!$B:$B, $C3080)))</f>
        <v>Bass Drum</v>
      </c>
      <c r="D3081" s="1" t="str">
        <f>VLOOKUP($C3081, 'Instrument Table'!$B:$C, 2, FALSE)</f>
        <v>Percussion</v>
      </c>
      <c r="E3081" s="1">
        <f t="shared" si="288"/>
        <v>1</v>
      </c>
      <c r="F3081" s="1">
        <f>_xlfn.XLOOKUP($C3081, 'Instrument Table'!$B:$B, 'Instrument Table'!$A:$A, "")</f>
        <v>52</v>
      </c>
      <c r="G3081" s="1" t="str">
        <f>TEXT(IF($B3081 = "Retail Item", IF((ROW($A3081) - 4504 - _xlfn.XMATCH($C3081, $C$4506:$C$5005, 0, 1)) &lt;= VLOOKUP($C3081, 'Instrument Table'!$B:$D, 3, FALSE), ROW($A3081) - 4504 - _xlfn.XMATCH($C3081, $C$4506:$C$5005, 0, 1), 0), 0), "00")</f>
        <v>00</v>
      </c>
      <c r="H3081" s="1" t="str">
        <f t="shared" si="289"/>
        <v>025</v>
      </c>
      <c r="I3081" s="1" t="str">
        <f t="shared" si="290"/>
        <v>15200-025</v>
      </c>
      <c r="J3081" s="1" t="str">
        <f t="shared" si="291"/>
        <v>Bass drum production item #025</v>
      </c>
      <c r="K3081" s="1" t="str">
        <f>IF(SUM(COUNTIFS(I:I, I3081)) &gt; 1, "DUPLICATE", "UNIQUE")</f>
        <v>UNIQUE</v>
      </c>
      <c r="L3081" s="18">
        <v>1</v>
      </c>
      <c r="M3081" s="28">
        <v>66</v>
      </c>
      <c r="N3081" s="6">
        <v>36</v>
      </c>
      <c r="O3081" s="30">
        <f t="shared" si="292"/>
        <v>66</v>
      </c>
      <c r="P3081" s="30">
        <f t="shared" si="293"/>
        <v>2376</v>
      </c>
      <c r="Q3081" s="1">
        <f>COUNTIFS($P:$P, "&gt;" &amp; $P3081) + 1</f>
        <v>3094</v>
      </c>
      <c r="R3081" s="63">
        <f>(COUNTIFS($P:$P, "&gt;" &amp; $P3081) + 1) / (COUNTA($I:$I) - 1)</f>
        <v>0.61880000000000002</v>
      </c>
      <c r="S3081" s="23">
        <f>SUMIFS($P:$P, $Q:$Q, "&lt;" &amp; $Q3081)</f>
        <v>185168222</v>
      </c>
    </row>
    <row r="3082" spans="1:19" x14ac:dyDescent="0.25">
      <c r="A3082" s="1">
        <v>3077</v>
      </c>
      <c r="B3082" s="1" t="s">
        <v>2</v>
      </c>
      <c r="C3082" s="1" t="str">
        <f>IF($B3082 = "Production Item", _xlfn.XLOOKUP($A3082, 'Instrument Table'!$J:$J, 'Instrument Table'!$B:$B, $C3081), IF($B3082 = "Service Item", _xlfn.XLOOKUP($A3082, 'Instrument Table'!$I:$I, 'Instrument Table'!$B:$B, $C3081), _xlfn.XLOOKUP($A3082, 'Instrument Table'!$H:$H, 'Instrument Table'!$B:$B, $C3081)))</f>
        <v>Bass Drum</v>
      </c>
      <c r="D3082" s="1" t="str">
        <f>VLOOKUP($C3082, 'Instrument Table'!$B:$C, 2, FALSE)</f>
        <v>Percussion</v>
      </c>
      <c r="E3082" s="1">
        <f t="shared" si="288"/>
        <v>1</v>
      </c>
      <c r="F3082" s="1">
        <f>_xlfn.XLOOKUP($C3082, 'Instrument Table'!$B:$B, 'Instrument Table'!$A:$A, "")</f>
        <v>52</v>
      </c>
      <c r="G3082" s="1" t="str">
        <f>TEXT(IF($B3082 = "Retail Item", IF((ROW($A3082) - 4504 - _xlfn.XMATCH($C3082, $C$4506:$C$5005, 0, 1)) &lt;= VLOOKUP($C3082, 'Instrument Table'!$B:$D, 3, FALSE), ROW($A3082) - 4504 - _xlfn.XMATCH($C3082, $C$4506:$C$5005, 0, 1), 0), 0), "00")</f>
        <v>00</v>
      </c>
      <c r="H3082" s="1" t="str">
        <f t="shared" si="289"/>
        <v>026</v>
      </c>
      <c r="I3082" s="1" t="str">
        <f t="shared" si="290"/>
        <v>15200-026</v>
      </c>
      <c r="J3082" s="1" t="str">
        <f t="shared" si="291"/>
        <v>Bass drum production item #026</v>
      </c>
      <c r="K3082" s="1" t="str">
        <f>IF(SUM(COUNTIFS(I:I, I3082)) &gt; 1, "DUPLICATE", "UNIQUE")</f>
        <v>UNIQUE</v>
      </c>
      <c r="L3082" s="18">
        <v>0</v>
      </c>
      <c r="M3082" s="28">
        <v>82</v>
      </c>
      <c r="N3082" s="6">
        <v>100</v>
      </c>
      <c r="O3082" s="30">
        <f t="shared" si="292"/>
        <v>0</v>
      </c>
      <c r="P3082" s="30">
        <f t="shared" si="293"/>
        <v>8200</v>
      </c>
      <c r="Q3082" s="1">
        <f>COUNTIFS($P:$P, "&gt;" &amp; $P3082) + 1</f>
        <v>1961</v>
      </c>
      <c r="R3082" s="63">
        <f>(COUNTIFS($P:$P, "&gt;" &amp; $P3082) + 1) / (COUNTA($I:$I) - 1)</f>
        <v>0.39219999999999999</v>
      </c>
      <c r="S3082" s="23">
        <f>SUMIFS($P:$P, $Q:$Q, "&lt;" &amp; $Q3082)</f>
        <v>179682141</v>
      </c>
    </row>
    <row r="3083" spans="1:19" x14ac:dyDescent="0.25">
      <c r="A3083" s="1">
        <v>3078</v>
      </c>
      <c r="B3083" s="1" t="s">
        <v>2</v>
      </c>
      <c r="C3083" s="1" t="str">
        <f>IF($B3083 = "Production Item", _xlfn.XLOOKUP($A3083, 'Instrument Table'!$J:$J, 'Instrument Table'!$B:$B, $C3082), IF($B3083 = "Service Item", _xlfn.XLOOKUP($A3083, 'Instrument Table'!$I:$I, 'Instrument Table'!$B:$B, $C3082), _xlfn.XLOOKUP($A3083, 'Instrument Table'!$H:$H, 'Instrument Table'!$B:$B, $C3082)))</f>
        <v>Bass Drum</v>
      </c>
      <c r="D3083" s="1" t="str">
        <f>VLOOKUP($C3083, 'Instrument Table'!$B:$C, 2, FALSE)</f>
        <v>Percussion</v>
      </c>
      <c r="E3083" s="1">
        <f t="shared" si="288"/>
        <v>1</v>
      </c>
      <c r="F3083" s="1">
        <f>_xlfn.XLOOKUP($C3083, 'Instrument Table'!$B:$B, 'Instrument Table'!$A:$A, "")</f>
        <v>52</v>
      </c>
      <c r="G3083" s="1" t="str">
        <f>TEXT(IF($B3083 = "Retail Item", IF((ROW($A3083) - 4504 - _xlfn.XMATCH($C3083, $C$4506:$C$5005, 0, 1)) &lt;= VLOOKUP($C3083, 'Instrument Table'!$B:$D, 3, FALSE), ROW($A3083) - 4504 - _xlfn.XMATCH($C3083, $C$4506:$C$5005, 0, 1), 0), 0), "00")</f>
        <v>00</v>
      </c>
      <c r="H3083" s="1" t="str">
        <f t="shared" si="289"/>
        <v>027</v>
      </c>
      <c r="I3083" s="1" t="str">
        <f t="shared" si="290"/>
        <v>15200-027</v>
      </c>
      <c r="J3083" s="1" t="str">
        <f t="shared" si="291"/>
        <v>Bass drum production item #027</v>
      </c>
      <c r="K3083" s="1" t="str">
        <f>IF(SUM(COUNTIFS(I:I, I3083)) &gt; 1, "DUPLICATE", "UNIQUE")</f>
        <v>UNIQUE</v>
      </c>
      <c r="L3083" s="18">
        <v>0</v>
      </c>
      <c r="M3083" s="28">
        <v>44</v>
      </c>
      <c r="N3083" s="6">
        <v>16</v>
      </c>
      <c r="O3083" s="30">
        <f t="shared" si="292"/>
        <v>0</v>
      </c>
      <c r="P3083" s="30">
        <f t="shared" si="293"/>
        <v>704</v>
      </c>
      <c r="Q3083" s="1">
        <f>COUNTIFS($P:$P, "&gt;" &amp; $P3083) + 1</f>
        <v>3876</v>
      </c>
      <c r="R3083" s="63">
        <f>(COUNTIFS($P:$P, "&gt;" &amp; $P3083) + 1) / (COUNTA($I:$I) - 1)</f>
        <v>0.7752</v>
      </c>
      <c r="S3083" s="23">
        <f>SUMIFS($P:$P, $Q:$Q, "&lt;" &amp; $Q3083)</f>
        <v>186322273</v>
      </c>
    </row>
    <row r="3084" spans="1:19" x14ac:dyDescent="0.25">
      <c r="A3084" s="1">
        <v>3079</v>
      </c>
      <c r="B3084" s="1" t="s">
        <v>2</v>
      </c>
      <c r="C3084" s="1" t="str">
        <f>IF($B3084 = "Production Item", _xlfn.XLOOKUP($A3084, 'Instrument Table'!$J:$J, 'Instrument Table'!$B:$B, $C3083), IF($B3084 = "Service Item", _xlfn.XLOOKUP($A3084, 'Instrument Table'!$I:$I, 'Instrument Table'!$B:$B, $C3083), _xlfn.XLOOKUP($A3084, 'Instrument Table'!$H:$H, 'Instrument Table'!$B:$B, $C3083)))</f>
        <v>Bass Drum</v>
      </c>
      <c r="D3084" s="1" t="str">
        <f>VLOOKUP($C3084, 'Instrument Table'!$B:$C, 2, FALSE)</f>
        <v>Percussion</v>
      </c>
      <c r="E3084" s="1">
        <f t="shared" si="288"/>
        <v>1</v>
      </c>
      <c r="F3084" s="1">
        <f>_xlfn.XLOOKUP($C3084, 'Instrument Table'!$B:$B, 'Instrument Table'!$A:$A, "")</f>
        <v>52</v>
      </c>
      <c r="G3084" s="1" t="str">
        <f>TEXT(IF($B3084 = "Retail Item", IF((ROW($A3084) - 4504 - _xlfn.XMATCH($C3084, $C$4506:$C$5005, 0, 1)) &lt;= VLOOKUP($C3084, 'Instrument Table'!$B:$D, 3, FALSE), ROW($A3084) - 4504 - _xlfn.XMATCH($C3084, $C$4506:$C$5005, 0, 1), 0), 0), "00")</f>
        <v>00</v>
      </c>
      <c r="H3084" s="1" t="str">
        <f t="shared" si="289"/>
        <v>028</v>
      </c>
      <c r="I3084" s="1" t="str">
        <f t="shared" si="290"/>
        <v>15200-028</v>
      </c>
      <c r="J3084" s="1" t="str">
        <f t="shared" si="291"/>
        <v>Bass drum production item #028</v>
      </c>
      <c r="K3084" s="1" t="str">
        <f>IF(SUM(COUNTIFS(I:I, I3084)) &gt; 1, "DUPLICATE", "UNIQUE")</f>
        <v>UNIQUE</v>
      </c>
      <c r="L3084" s="18">
        <v>1</v>
      </c>
      <c r="M3084" s="28">
        <v>42</v>
      </c>
      <c r="N3084" s="6">
        <v>4</v>
      </c>
      <c r="O3084" s="30">
        <f t="shared" si="292"/>
        <v>42</v>
      </c>
      <c r="P3084" s="30">
        <f t="shared" si="293"/>
        <v>168</v>
      </c>
      <c r="Q3084" s="1">
        <f>COUNTIFS($P:$P, "&gt;" &amp; $P3084) + 1</f>
        <v>4376</v>
      </c>
      <c r="R3084" s="63">
        <f>(COUNTIFS($P:$P, "&gt;" &amp; $P3084) + 1) / (COUNTA($I:$I) - 1)</f>
        <v>0.87519999999999998</v>
      </c>
      <c r="S3084" s="23">
        <f>SUMIFS($P:$P, $Q:$Q, "&lt;" &amp; $Q3084)</f>
        <v>186522191</v>
      </c>
    </row>
    <row r="3085" spans="1:19" x14ac:dyDescent="0.25">
      <c r="A3085" s="1">
        <v>3080</v>
      </c>
      <c r="B3085" s="1" t="s">
        <v>2</v>
      </c>
      <c r="C3085" s="1" t="str">
        <f>IF($B3085 = "Production Item", _xlfn.XLOOKUP($A3085, 'Instrument Table'!$J:$J, 'Instrument Table'!$B:$B, $C3084), IF($B3085 = "Service Item", _xlfn.XLOOKUP($A3085, 'Instrument Table'!$I:$I, 'Instrument Table'!$B:$B, $C3084), _xlfn.XLOOKUP($A3085, 'Instrument Table'!$H:$H, 'Instrument Table'!$B:$B, $C3084)))</f>
        <v>Bass Drum</v>
      </c>
      <c r="D3085" s="1" t="str">
        <f>VLOOKUP($C3085, 'Instrument Table'!$B:$C, 2, FALSE)</f>
        <v>Percussion</v>
      </c>
      <c r="E3085" s="1">
        <f t="shared" si="288"/>
        <v>1</v>
      </c>
      <c r="F3085" s="1">
        <f>_xlfn.XLOOKUP($C3085, 'Instrument Table'!$B:$B, 'Instrument Table'!$A:$A, "")</f>
        <v>52</v>
      </c>
      <c r="G3085" s="1" t="str">
        <f>TEXT(IF($B3085 = "Retail Item", IF((ROW($A3085) - 4504 - _xlfn.XMATCH($C3085, $C$4506:$C$5005, 0, 1)) &lt;= VLOOKUP($C3085, 'Instrument Table'!$B:$D, 3, FALSE), ROW($A3085) - 4504 - _xlfn.XMATCH($C3085, $C$4506:$C$5005, 0, 1), 0), 0), "00")</f>
        <v>00</v>
      </c>
      <c r="H3085" s="1" t="str">
        <f t="shared" si="289"/>
        <v>029</v>
      </c>
      <c r="I3085" s="1" t="str">
        <f t="shared" si="290"/>
        <v>15200-029</v>
      </c>
      <c r="J3085" s="1" t="str">
        <f t="shared" si="291"/>
        <v>Bass drum production item #029</v>
      </c>
      <c r="K3085" s="1" t="str">
        <f>IF(SUM(COUNTIFS(I:I, I3085)) &gt; 1, "DUPLICATE", "UNIQUE")</f>
        <v>UNIQUE</v>
      </c>
      <c r="L3085" s="18">
        <v>8</v>
      </c>
      <c r="M3085" s="28">
        <v>19</v>
      </c>
      <c r="N3085" s="6">
        <v>169</v>
      </c>
      <c r="O3085" s="30">
        <f t="shared" si="292"/>
        <v>152</v>
      </c>
      <c r="P3085" s="30">
        <f t="shared" si="293"/>
        <v>3211</v>
      </c>
      <c r="Q3085" s="1">
        <f>COUNTIFS($P:$P, "&gt;" &amp; $P3085) + 1</f>
        <v>2850</v>
      </c>
      <c r="R3085" s="63">
        <f>(COUNTIFS($P:$P, "&gt;" &amp; $P3085) + 1) / (COUNTA($I:$I) - 1)</f>
        <v>0.56999999999999995</v>
      </c>
      <c r="S3085" s="23">
        <f>SUMIFS($P:$P, $Q:$Q, "&lt;" &amp; $Q3085)</f>
        <v>184491810</v>
      </c>
    </row>
    <row r="3086" spans="1:19" x14ac:dyDescent="0.25">
      <c r="A3086" s="1">
        <v>3081</v>
      </c>
      <c r="B3086" s="1" t="s">
        <v>2</v>
      </c>
      <c r="C3086" s="1" t="str">
        <f>IF($B3086 = "Production Item", _xlfn.XLOOKUP($A3086, 'Instrument Table'!$J:$J, 'Instrument Table'!$B:$B, $C3085), IF($B3086 = "Service Item", _xlfn.XLOOKUP($A3086, 'Instrument Table'!$I:$I, 'Instrument Table'!$B:$B, $C3085), _xlfn.XLOOKUP($A3086, 'Instrument Table'!$H:$H, 'Instrument Table'!$B:$B, $C3085)))</f>
        <v>Bass Drum</v>
      </c>
      <c r="D3086" s="1" t="str">
        <f>VLOOKUP($C3086, 'Instrument Table'!$B:$C, 2, FALSE)</f>
        <v>Percussion</v>
      </c>
      <c r="E3086" s="1">
        <f t="shared" si="288"/>
        <v>1</v>
      </c>
      <c r="F3086" s="1">
        <f>_xlfn.XLOOKUP($C3086, 'Instrument Table'!$B:$B, 'Instrument Table'!$A:$A, "")</f>
        <v>52</v>
      </c>
      <c r="G3086" s="1" t="str">
        <f>TEXT(IF($B3086 = "Retail Item", IF((ROW($A3086) - 4504 - _xlfn.XMATCH($C3086, $C$4506:$C$5005, 0, 1)) &lt;= VLOOKUP($C3086, 'Instrument Table'!$B:$D, 3, FALSE), ROW($A3086) - 4504 - _xlfn.XMATCH($C3086, $C$4506:$C$5005, 0, 1), 0), 0), "00")</f>
        <v>00</v>
      </c>
      <c r="H3086" s="1" t="str">
        <f t="shared" si="289"/>
        <v>030</v>
      </c>
      <c r="I3086" s="1" t="str">
        <f t="shared" si="290"/>
        <v>15200-030</v>
      </c>
      <c r="J3086" s="1" t="str">
        <f t="shared" si="291"/>
        <v>Bass drum production item #030</v>
      </c>
      <c r="K3086" s="1" t="str">
        <f>IF(SUM(COUNTIFS(I:I, I3086)) &gt; 1, "DUPLICATE", "UNIQUE")</f>
        <v>UNIQUE</v>
      </c>
      <c r="L3086" s="18">
        <v>0</v>
      </c>
      <c r="M3086" s="28">
        <v>59</v>
      </c>
      <c r="N3086" s="6">
        <v>36</v>
      </c>
      <c r="O3086" s="30">
        <f t="shared" si="292"/>
        <v>0</v>
      </c>
      <c r="P3086" s="30">
        <f t="shared" si="293"/>
        <v>2124</v>
      </c>
      <c r="Q3086" s="1">
        <f>COUNTIFS($P:$P, "&gt;" &amp; $P3086) + 1</f>
        <v>3194</v>
      </c>
      <c r="R3086" s="63">
        <f>(COUNTIFS($P:$P, "&gt;" &amp; $P3086) + 1) / (COUNTA($I:$I) - 1)</f>
        <v>0.63880000000000003</v>
      </c>
      <c r="S3086" s="23">
        <f>SUMIFS($P:$P, $Q:$Q, "&lt;" &amp; $Q3086)</f>
        <v>185394931</v>
      </c>
    </row>
    <row r="3087" spans="1:19" x14ac:dyDescent="0.25">
      <c r="A3087" s="1">
        <v>3082</v>
      </c>
      <c r="B3087" s="1" t="s">
        <v>2</v>
      </c>
      <c r="C3087" s="1" t="str">
        <f>IF($B3087 = "Production Item", _xlfn.XLOOKUP($A3087, 'Instrument Table'!$J:$J, 'Instrument Table'!$B:$B, $C3086), IF($B3087 = "Service Item", _xlfn.XLOOKUP($A3087, 'Instrument Table'!$I:$I, 'Instrument Table'!$B:$B, $C3086), _xlfn.XLOOKUP($A3087, 'Instrument Table'!$H:$H, 'Instrument Table'!$B:$B, $C3086)))</f>
        <v>Bass Drum</v>
      </c>
      <c r="D3087" s="1" t="str">
        <f>VLOOKUP($C3087, 'Instrument Table'!$B:$C, 2, FALSE)</f>
        <v>Percussion</v>
      </c>
      <c r="E3087" s="1">
        <f t="shared" si="288"/>
        <v>1</v>
      </c>
      <c r="F3087" s="1">
        <f>_xlfn.XLOOKUP($C3087, 'Instrument Table'!$B:$B, 'Instrument Table'!$A:$A, "")</f>
        <v>52</v>
      </c>
      <c r="G3087" s="1" t="str">
        <f>TEXT(IF($B3087 = "Retail Item", IF((ROW($A3087) - 4504 - _xlfn.XMATCH($C3087, $C$4506:$C$5005, 0, 1)) &lt;= VLOOKUP($C3087, 'Instrument Table'!$B:$D, 3, FALSE), ROW($A3087) - 4504 - _xlfn.XMATCH($C3087, $C$4506:$C$5005, 0, 1), 0), 0), "00")</f>
        <v>00</v>
      </c>
      <c r="H3087" s="1" t="str">
        <f t="shared" si="289"/>
        <v>031</v>
      </c>
      <c r="I3087" s="1" t="str">
        <f t="shared" si="290"/>
        <v>15200-031</v>
      </c>
      <c r="J3087" s="1" t="str">
        <f t="shared" si="291"/>
        <v>Bass drum production item #031</v>
      </c>
      <c r="K3087" s="1" t="str">
        <f>IF(SUM(COUNTIFS(I:I, I3087)) &gt; 1, "DUPLICATE", "UNIQUE")</f>
        <v>UNIQUE</v>
      </c>
      <c r="L3087" s="18">
        <v>2</v>
      </c>
      <c r="M3087" s="28">
        <v>2</v>
      </c>
      <c r="N3087" s="6">
        <v>81</v>
      </c>
      <c r="O3087" s="30">
        <f t="shared" si="292"/>
        <v>4</v>
      </c>
      <c r="P3087" s="30">
        <f t="shared" si="293"/>
        <v>162</v>
      </c>
      <c r="Q3087" s="1">
        <f>COUNTIFS($P:$P, "&gt;" &amp; $P3087) + 1</f>
        <v>4383</v>
      </c>
      <c r="R3087" s="63">
        <f>(COUNTIFS($P:$P, "&gt;" &amp; $P3087) + 1) / (COUNTA($I:$I) - 1)</f>
        <v>0.87660000000000005</v>
      </c>
      <c r="S3087" s="23">
        <f>SUMIFS($P:$P, $Q:$Q, "&lt;" &amp; $Q3087)</f>
        <v>186523354</v>
      </c>
    </row>
    <row r="3088" spans="1:19" x14ac:dyDescent="0.25">
      <c r="A3088" s="1">
        <v>3083</v>
      </c>
      <c r="B3088" s="1" t="s">
        <v>2</v>
      </c>
      <c r="C3088" s="1" t="str">
        <f>IF($B3088 = "Production Item", _xlfn.XLOOKUP($A3088, 'Instrument Table'!$J:$J, 'Instrument Table'!$B:$B, $C3087), IF($B3088 = "Service Item", _xlfn.XLOOKUP($A3088, 'Instrument Table'!$I:$I, 'Instrument Table'!$B:$B, $C3087), _xlfn.XLOOKUP($A3088, 'Instrument Table'!$H:$H, 'Instrument Table'!$B:$B, $C3087)))</f>
        <v>Bass Drum</v>
      </c>
      <c r="D3088" s="1" t="str">
        <f>VLOOKUP($C3088, 'Instrument Table'!$B:$C, 2, FALSE)</f>
        <v>Percussion</v>
      </c>
      <c r="E3088" s="1">
        <f t="shared" si="288"/>
        <v>1</v>
      </c>
      <c r="F3088" s="1">
        <f>_xlfn.XLOOKUP($C3088, 'Instrument Table'!$B:$B, 'Instrument Table'!$A:$A, "")</f>
        <v>52</v>
      </c>
      <c r="G3088" s="1" t="str">
        <f>TEXT(IF($B3088 = "Retail Item", IF((ROW($A3088) - 4504 - _xlfn.XMATCH($C3088, $C$4506:$C$5005, 0, 1)) &lt;= VLOOKUP($C3088, 'Instrument Table'!$B:$D, 3, FALSE), ROW($A3088) - 4504 - _xlfn.XMATCH($C3088, $C$4506:$C$5005, 0, 1), 0), 0), "00")</f>
        <v>00</v>
      </c>
      <c r="H3088" s="1" t="str">
        <f t="shared" si="289"/>
        <v>032</v>
      </c>
      <c r="I3088" s="1" t="str">
        <f t="shared" si="290"/>
        <v>15200-032</v>
      </c>
      <c r="J3088" s="1" t="str">
        <f t="shared" si="291"/>
        <v>Bass drum production item #032</v>
      </c>
      <c r="K3088" s="1" t="str">
        <f>IF(SUM(COUNTIFS(I:I, I3088)) &gt; 1, "DUPLICATE", "UNIQUE")</f>
        <v>UNIQUE</v>
      </c>
      <c r="L3088" s="18">
        <v>0</v>
      </c>
      <c r="M3088" s="28">
        <v>28</v>
      </c>
      <c r="N3088" s="6">
        <v>16</v>
      </c>
      <c r="O3088" s="30">
        <f t="shared" si="292"/>
        <v>0</v>
      </c>
      <c r="P3088" s="30">
        <f t="shared" si="293"/>
        <v>448</v>
      </c>
      <c r="Q3088" s="1">
        <f>COUNTIFS($P:$P, "&gt;" &amp; $P3088) + 1</f>
        <v>4062</v>
      </c>
      <c r="R3088" s="63">
        <f>(COUNTIFS($P:$P, "&gt;" &amp; $P3088) + 1) / (COUNTA($I:$I) - 1)</f>
        <v>0.81240000000000001</v>
      </c>
      <c r="S3088" s="23">
        <f>SUMIFS($P:$P, $Q:$Q, "&lt;" &amp; $Q3088)</f>
        <v>186428850</v>
      </c>
    </row>
    <row r="3089" spans="1:19" x14ac:dyDescent="0.25">
      <c r="A3089" s="1">
        <v>3084</v>
      </c>
      <c r="B3089" s="1" t="s">
        <v>2</v>
      </c>
      <c r="C3089" s="1" t="str">
        <f>IF($B3089 = "Production Item", _xlfn.XLOOKUP($A3089, 'Instrument Table'!$J:$J, 'Instrument Table'!$B:$B, $C3088), IF($B3089 = "Service Item", _xlfn.XLOOKUP($A3089, 'Instrument Table'!$I:$I, 'Instrument Table'!$B:$B, $C3088), _xlfn.XLOOKUP($A3089, 'Instrument Table'!$H:$H, 'Instrument Table'!$B:$B, $C3088)))</f>
        <v>Bass Drum</v>
      </c>
      <c r="D3089" s="1" t="str">
        <f>VLOOKUP($C3089, 'Instrument Table'!$B:$C, 2, FALSE)</f>
        <v>Percussion</v>
      </c>
      <c r="E3089" s="1">
        <f t="shared" si="288"/>
        <v>1</v>
      </c>
      <c r="F3089" s="1">
        <f>_xlfn.XLOOKUP($C3089, 'Instrument Table'!$B:$B, 'Instrument Table'!$A:$A, "")</f>
        <v>52</v>
      </c>
      <c r="G3089" s="1" t="str">
        <f>TEXT(IF($B3089 = "Retail Item", IF((ROW($A3089) - 4504 - _xlfn.XMATCH($C3089, $C$4506:$C$5005, 0, 1)) &lt;= VLOOKUP($C3089, 'Instrument Table'!$B:$D, 3, FALSE), ROW($A3089) - 4504 - _xlfn.XMATCH($C3089, $C$4506:$C$5005, 0, 1), 0), 0), "00")</f>
        <v>00</v>
      </c>
      <c r="H3089" s="1" t="str">
        <f t="shared" si="289"/>
        <v>033</v>
      </c>
      <c r="I3089" s="1" t="str">
        <f t="shared" si="290"/>
        <v>15200-033</v>
      </c>
      <c r="J3089" s="1" t="str">
        <f t="shared" si="291"/>
        <v>Bass drum production item #033</v>
      </c>
      <c r="K3089" s="1" t="str">
        <f>IF(SUM(COUNTIFS(I:I, I3089)) &gt; 1, "DUPLICATE", "UNIQUE")</f>
        <v>UNIQUE</v>
      </c>
      <c r="L3089" s="18">
        <v>0</v>
      </c>
      <c r="M3089" s="28">
        <v>8</v>
      </c>
      <c r="N3089" s="6">
        <v>81</v>
      </c>
      <c r="O3089" s="30">
        <f t="shared" si="292"/>
        <v>0</v>
      </c>
      <c r="P3089" s="30">
        <f t="shared" si="293"/>
        <v>648</v>
      </c>
      <c r="Q3089" s="1">
        <f>COUNTIFS($P:$P, "&gt;" &amp; $P3089) + 1</f>
        <v>3911</v>
      </c>
      <c r="R3089" s="63">
        <f>(COUNTIFS($P:$P, "&gt;" &amp; $P3089) + 1) / (COUNTA($I:$I) - 1)</f>
        <v>0.78220000000000001</v>
      </c>
      <c r="S3089" s="23">
        <f>SUMIFS($P:$P, $Q:$Q, "&lt;" &amp; $Q3089)</f>
        <v>186346099</v>
      </c>
    </row>
    <row r="3090" spans="1:19" x14ac:dyDescent="0.25">
      <c r="A3090" s="1">
        <v>3085</v>
      </c>
      <c r="B3090" s="1" t="s">
        <v>2</v>
      </c>
      <c r="C3090" s="1" t="str">
        <f>IF($B3090 = "Production Item", _xlfn.XLOOKUP($A3090, 'Instrument Table'!$J:$J, 'Instrument Table'!$B:$B, $C3089), IF($B3090 = "Service Item", _xlfn.XLOOKUP($A3090, 'Instrument Table'!$I:$I, 'Instrument Table'!$B:$B, $C3089), _xlfn.XLOOKUP($A3090, 'Instrument Table'!$H:$H, 'Instrument Table'!$B:$B, $C3089)))</f>
        <v>Bass Drum</v>
      </c>
      <c r="D3090" s="1" t="str">
        <f>VLOOKUP($C3090, 'Instrument Table'!$B:$C, 2, FALSE)</f>
        <v>Percussion</v>
      </c>
      <c r="E3090" s="1">
        <f t="shared" si="288"/>
        <v>1</v>
      </c>
      <c r="F3090" s="1">
        <f>_xlfn.XLOOKUP($C3090, 'Instrument Table'!$B:$B, 'Instrument Table'!$A:$A, "")</f>
        <v>52</v>
      </c>
      <c r="G3090" s="1" t="str">
        <f>TEXT(IF($B3090 = "Retail Item", IF((ROW($A3090) - 4504 - _xlfn.XMATCH($C3090, $C$4506:$C$5005, 0, 1)) &lt;= VLOOKUP($C3090, 'Instrument Table'!$B:$D, 3, FALSE), ROW($A3090) - 4504 - _xlfn.XMATCH($C3090, $C$4506:$C$5005, 0, 1), 0), 0), "00")</f>
        <v>00</v>
      </c>
      <c r="H3090" s="1" t="str">
        <f t="shared" si="289"/>
        <v>034</v>
      </c>
      <c r="I3090" s="1" t="str">
        <f t="shared" si="290"/>
        <v>15200-034</v>
      </c>
      <c r="J3090" s="1" t="str">
        <f t="shared" si="291"/>
        <v>Bass drum production item #034</v>
      </c>
      <c r="K3090" s="1" t="str">
        <f>IF(SUM(COUNTIFS(I:I, I3090)) &gt; 1, "DUPLICATE", "UNIQUE")</f>
        <v>UNIQUE</v>
      </c>
      <c r="L3090" s="18">
        <v>1</v>
      </c>
      <c r="M3090" s="28">
        <v>23</v>
      </c>
      <c r="N3090" s="6">
        <v>25</v>
      </c>
      <c r="O3090" s="30">
        <f t="shared" si="292"/>
        <v>23</v>
      </c>
      <c r="P3090" s="30">
        <f t="shared" si="293"/>
        <v>575</v>
      </c>
      <c r="Q3090" s="1">
        <f>COUNTIFS($P:$P, "&gt;" &amp; $P3090) + 1</f>
        <v>3971</v>
      </c>
      <c r="R3090" s="63">
        <f>(COUNTIFS($P:$P, "&gt;" &amp; $P3090) + 1) / (COUNTA($I:$I) - 1)</f>
        <v>0.79420000000000002</v>
      </c>
      <c r="S3090" s="23">
        <f>SUMIFS($P:$P, $Q:$Q, "&lt;" &amp; $Q3090)</f>
        <v>186382432</v>
      </c>
    </row>
    <row r="3091" spans="1:19" x14ac:dyDescent="0.25">
      <c r="A3091" s="1">
        <v>3086</v>
      </c>
      <c r="B3091" s="1" t="s">
        <v>2</v>
      </c>
      <c r="C3091" s="1" t="str">
        <f>IF($B3091 = "Production Item", _xlfn.XLOOKUP($A3091, 'Instrument Table'!$J:$J, 'Instrument Table'!$B:$B, $C3090), IF($B3091 = "Service Item", _xlfn.XLOOKUP($A3091, 'Instrument Table'!$I:$I, 'Instrument Table'!$B:$B, $C3090), _xlfn.XLOOKUP($A3091, 'Instrument Table'!$H:$H, 'Instrument Table'!$B:$B, $C3090)))</f>
        <v>Bass Drum</v>
      </c>
      <c r="D3091" s="1" t="str">
        <f>VLOOKUP($C3091, 'Instrument Table'!$B:$C, 2, FALSE)</f>
        <v>Percussion</v>
      </c>
      <c r="E3091" s="1">
        <f t="shared" si="288"/>
        <v>1</v>
      </c>
      <c r="F3091" s="1">
        <f>_xlfn.XLOOKUP($C3091, 'Instrument Table'!$B:$B, 'Instrument Table'!$A:$A, "")</f>
        <v>52</v>
      </c>
      <c r="G3091" s="1" t="str">
        <f>TEXT(IF($B3091 = "Retail Item", IF((ROW($A3091) - 4504 - _xlfn.XMATCH($C3091, $C$4506:$C$5005, 0, 1)) &lt;= VLOOKUP($C3091, 'Instrument Table'!$B:$D, 3, FALSE), ROW($A3091) - 4504 - _xlfn.XMATCH($C3091, $C$4506:$C$5005, 0, 1), 0), 0), "00")</f>
        <v>00</v>
      </c>
      <c r="H3091" s="1" t="str">
        <f t="shared" si="289"/>
        <v>035</v>
      </c>
      <c r="I3091" s="1" t="str">
        <f t="shared" si="290"/>
        <v>15200-035</v>
      </c>
      <c r="J3091" s="1" t="str">
        <f t="shared" si="291"/>
        <v>Bass drum production item #035</v>
      </c>
      <c r="K3091" s="1" t="str">
        <f>IF(SUM(COUNTIFS(I:I, I3091)) &gt; 1, "DUPLICATE", "UNIQUE")</f>
        <v>UNIQUE</v>
      </c>
      <c r="L3091" s="18">
        <v>0</v>
      </c>
      <c r="M3091" s="28">
        <v>14</v>
      </c>
      <c r="N3091" s="6">
        <v>100</v>
      </c>
      <c r="O3091" s="30">
        <f t="shared" si="292"/>
        <v>0</v>
      </c>
      <c r="P3091" s="30">
        <f t="shared" si="293"/>
        <v>1400</v>
      </c>
      <c r="Q3091" s="1">
        <f>COUNTIFS($P:$P, "&gt;" &amp; $P3091) + 1</f>
        <v>3510</v>
      </c>
      <c r="R3091" s="63">
        <f>(COUNTIFS($P:$P, "&gt;" &amp; $P3091) + 1) / (COUNTA($I:$I) - 1)</f>
        <v>0.70199999999999996</v>
      </c>
      <c r="S3091" s="23">
        <f>SUMIFS($P:$P, $Q:$Q, "&lt;" &amp; $Q3091)</f>
        <v>185951547</v>
      </c>
    </row>
    <row r="3092" spans="1:19" x14ac:dyDescent="0.25">
      <c r="A3092" s="1">
        <v>3087</v>
      </c>
      <c r="B3092" s="1" t="s">
        <v>2</v>
      </c>
      <c r="C3092" s="1" t="str">
        <f>IF($B3092 = "Production Item", _xlfn.XLOOKUP($A3092, 'Instrument Table'!$J:$J, 'Instrument Table'!$B:$B, $C3091), IF($B3092 = "Service Item", _xlfn.XLOOKUP($A3092, 'Instrument Table'!$I:$I, 'Instrument Table'!$B:$B, $C3091), _xlfn.XLOOKUP($A3092, 'Instrument Table'!$H:$H, 'Instrument Table'!$B:$B, $C3091)))</f>
        <v>Bass Drum</v>
      </c>
      <c r="D3092" s="1" t="str">
        <f>VLOOKUP($C3092, 'Instrument Table'!$B:$C, 2, FALSE)</f>
        <v>Percussion</v>
      </c>
      <c r="E3092" s="1">
        <f t="shared" si="288"/>
        <v>1</v>
      </c>
      <c r="F3092" s="1">
        <f>_xlfn.XLOOKUP($C3092, 'Instrument Table'!$B:$B, 'Instrument Table'!$A:$A, "")</f>
        <v>52</v>
      </c>
      <c r="G3092" s="1" t="str">
        <f>TEXT(IF($B3092 = "Retail Item", IF((ROW($A3092) - 4504 - _xlfn.XMATCH($C3092, $C$4506:$C$5005, 0, 1)) &lt;= VLOOKUP($C3092, 'Instrument Table'!$B:$D, 3, FALSE), ROW($A3092) - 4504 - _xlfn.XMATCH($C3092, $C$4506:$C$5005, 0, 1), 0), 0), "00")</f>
        <v>00</v>
      </c>
      <c r="H3092" s="1" t="str">
        <f t="shared" si="289"/>
        <v>036</v>
      </c>
      <c r="I3092" s="1" t="str">
        <f t="shared" si="290"/>
        <v>15200-036</v>
      </c>
      <c r="J3092" s="1" t="str">
        <f t="shared" si="291"/>
        <v>Bass drum production item #036</v>
      </c>
      <c r="K3092" s="1" t="str">
        <f>IF(SUM(COUNTIFS(I:I, I3092)) &gt; 1, "DUPLICATE", "UNIQUE")</f>
        <v>UNIQUE</v>
      </c>
      <c r="L3092" s="18">
        <v>0</v>
      </c>
      <c r="M3092" s="28">
        <v>45</v>
      </c>
      <c r="N3092" s="6">
        <v>324</v>
      </c>
      <c r="O3092" s="30">
        <f t="shared" si="292"/>
        <v>0</v>
      </c>
      <c r="P3092" s="30">
        <f t="shared" si="293"/>
        <v>14580</v>
      </c>
      <c r="Q3092" s="1">
        <f>COUNTIFS($P:$P, "&gt;" &amp; $P3092) + 1</f>
        <v>1381</v>
      </c>
      <c r="R3092" s="63">
        <f>(COUNTIFS($P:$P, "&gt;" &amp; $P3092) + 1) / (COUNTA($I:$I) - 1)</f>
        <v>0.2762</v>
      </c>
      <c r="S3092" s="23">
        <f>SUMIFS($P:$P, $Q:$Q, "&lt;" &amp; $Q3092)</f>
        <v>173201440</v>
      </c>
    </row>
    <row r="3093" spans="1:19" x14ac:dyDescent="0.25">
      <c r="A3093" s="1">
        <v>3088</v>
      </c>
      <c r="B3093" s="1" t="s">
        <v>2</v>
      </c>
      <c r="C3093" s="1" t="str">
        <f>IF($B3093 = "Production Item", _xlfn.XLOOKUP($A3093, 'Instrument Table'!$J:$J, 'Instrument Table'!$B:$B, $C3092), IF($B3093 = "Service Item", _xlfn.XLOOKUP($A3093, 'Instrument Table'!$I:$I, 'Instrument Table'!$B:$B, $C3092), _xlfn.XLOOKUP($A3093, 'Instrument Table'!$H:$H, 'Instrument Table'!$B:$B, $C3092)))</f>
        <v>Bass Drum</v>
      </c>
      <c r="D3093" s="1" t="str">
        <f>VLOOKUP($C3093, 'Instrument Table'!$B:$C, 2, FALSE)</f>
        <v>Percussion</v>
      </c>
      <c r="E3093" s="1">
        <f t="shared" si="288"/>
        <v>1</v>
      </c>
      <c r="F3093" s="1">
        <f>_xlfn.XLOOKUP($C3093, 'Instrument Table'!$B:$B, 'Instrument Table'!$A:$A, "")</f>
        <v>52</v>
      </c>
      <c r="G3093" s="1" t="str">
        <f>TEXT(IF($B3093 = "Retail Item", IF((ROW($A3093) - 4504 - _xlfn.XMATCH($C3093, $C$4506:$C$5005, 0, 1)) &lt;= VLOOKUP($C3093, 'Instrument Table'!$B:$D, 3, FALSE), ROW($A3093) - 4504 - _xlfn.XMATCH($C3093, $C$4506:$C$5005, 0, 1), 0), 0), "00")</f>
        <v>00</v>
      </c>
      <c r="H3093" s="1" t="str">
        <f t="shared" si="289"/>
        <v>037</v>
      </c>
      <c r="I3093" s="1" t="str">
        <f t="shared" si="290"/>
        <v>15200-037</v>
      </c>
      <c r="J3093" s="1" t="str">
        <f t="shared" si="291"/>
        <v>Bass drum production item #037</v>
      </c>
      <c r="K3093" s="1" t="str">
        <f>IF(SUM(COUNTIFS(I:I, I3093)) &gt; 1, "DUPLICATE", "UNIQUE")</f>
        <v>UNIQUE</v>
      </c>
      <c r="L3093" s="18">
        <v>4</v>
      </c>
      <c r="M3093" s="28">
        <v>9</v>
      </c>
      <c r="N3093" s="6">
        <v>169</v>
      </c>
      <c r="O3093" s="30">
        <f t="shared" si="292"/>
        <v>36</v>
      </c>
      <c r="P3093" s="30">
        <f t="shared" si="293"/>
        <v>1521</v>
      </c>
      <c r="Q3093" s="1">
        <f>COUNTIFS($P:$P, "&gt;" &amp; $P3093) + 1</f>
        <v>3451</v>
      </c>
      <c r="R3093" s="63">
        <f>(COUNTIFS($P:$P, "&gt;" &amp; $P3093) + 1) / (COUNTA($I:$I) - 1)</f>
        <v>0.69020000000000004</v>
      </c>
      <c r="S3093" s="23">
        <f>SUMIFS($P:$P, $Q:$Q, "&lt;" &amp; $Q3093)</f>
        <v>185865347</v>
      </c>
    </row>
    <row r="3094" spans="1:19" x14ac:dyDescent="0.25">
      <c r="A3094" s="1">
        <v>3089</v>
      </c>
      <c r="B3094" s="1" t="s">
        <v>2</v>
      </c>
      <c r="C3094" s="1" t="str">
        <f>IF($B3094 = "Production Item", _xlfn.XLOOKUP($A3094, 'Instrument Table'!$J:$J, 'Instrument Table'!$B:$B, $C3093), IF($B3094 = "Service Item", _xlfn.XLOOKUP($A3094, 'Instrument Table'!$I:$I, 'Instrument Table'!$B:$B, $C3093), _xlfn.XLOOKUP($A3094, 'Instrument Table'!$H:$H, 'Instrument Table'!$B:$B, $C3093)))</f>
        <v>Bass Drum</v>
      </c>
      <c r="D3094" s="1" t="str">
        <f>VLOOKUP($C3094, 'Instrument Table'!$B:$C, 2, FALSE)</f>
        <v>Percussion</v>
      </c>
      <c r="E3094" s="1">
        <f t="shared" si="288"/>
        <v>1</v>
      </c>
      <c r="F3094" s="1">
        <f>_xlfn.XLOOKUP($C3094, 'Instrument Table'!$B:$B, 'Instrument Table'!$A:$A, "")</f>
        <v>52</v>
      </c>
      <c r="G3094" s="1" t="str">
        <f>TEXT(IF($B3094 = "Retail Item", IF((ROW($A3094) - 4504 - _xlfn.XMATCH($C3094, $C$4506:$C$5005, 0, 1)) &lt;= VLOOKUP($C3094, 'Instrument Table'!$B:$D, 3, FALSE), ROW($A3094) - 4504 - _xlfn.XMATCH($C3094, $C$4506:$C$5005, 0, 1), 0), 0), "00")</f>
        <v>00</v>
      </c>
      <c r="H3094" s="1" t="str">
        <f t="shared" si="289"/>
        <v>038</v>
      </c>
      <c r="I3094" s="1" t="str">
        <f t="shared" si="290"/>
        <v>15200-038</v>
      </c>
      <c r="J3094" s="1" t="str">
        <f t="shared" si="291"/>
        <v>Bass drum production item #038</v>
      </c>
      <c r="K3094" s="1" t="str">
        <f>IF(SUM(COUNTIFS(I:I, I3094)) &gt; 1, "DUPLICATE", "UNIQUE")</f>
        <v>UNIQUE</v>
      </c>
      <c r="L3094" s="18">
        <v>1</v>
      </c>
      <c r="M3094" s="28">
        <v>13</v>
      </c>
      <c r="N3094" s="6">
        <v>16</v>
      </c>
      <c r="O3094" s="30">
        <f t="shared" si="292"/>
        <v>13</v>
      </c>
      <c r="P3094" s="30">
        <f t="shared" si="293"/>
        <v>208</v>
      </c>
      <c r="Q3094" s="1">
        <f>COUNTIFS($P:$P, "&gt;" &amp; $P3094) + 1</f>
        <v>4309</v>
      </c>
      <c r="R3094" s="63">
        <f>(COUNTIFS($P:$P, "&gt;" &amp; $P3094) + 1) / (COUNTA($I:$I) - 1)</f>
        <v>0.86180000000000001</v>
      </c>
      <c r="S3094" s="23">
        <f>SUMIFS($P:$P, $Q:$Q, "&lt;" &amp; $Q3094)</f>
        <v>186509406</v>
      </c>
    </row>
    <row r="3095" spans="1:19" x14ac:dyDescent="0.25">
      <c r="A3095" s="1">
        <v>3090</v>
      </c>
      <c r="B3095" s="1" t="s">
        <v>2</v>
      </c>
      <c r="C3095" s="1" t="str">
        <f>IF($B3095 = "Production Item", _xlfn.XLOOKUP($A3095, 'Instrument Table'!$J:$J, 'Instrument Table'!$B:$B, $C3094), IF($B3095 = "Service Item", _xlfn.XLOOKUP($A3095, 'Instrument Table'!$I:$I, 'Instrument Table'!$B:$B, $C3094), _xlfn.XLOOKUP($A3095, 'Instrument Table'!$H:$H, 'Instrument Table'!$B:$B, $C3094)))</f>
        <v>Bass Drum</v>
      </c>
      <c r="D3095" s="1" t="str">
        <f>VLOOKUP($C3095, 'Instrument Table'!$B:$C, 2, FALSE)</f>
        <v>Percussion</v>
      </c>
      <c r="E3095" s="1">
        <f t="shared" si="288"/>
        <v>1</v>
      </c>
      <c r="F3095" s="1">
        <f>_xlfn.XLOOKUP($C3095, 'Instrument Table'!$B:$B, 'Instrument Table'!$A:$A, "")</f>
        <v>52</v>
      </c>
      <c r="G3095" s="1" t="str">
        <f>TEXT(IF($B3095 = "Retail Item", IF((ROW($A3095) - 4504 - _xlfn.XMATCH($C3095, $C$4506:$C$5005, 0, 1)) &lt;= VLOOKUP($C3095, 'Instrument Table'!$B:$D, 3, FALSE), ROW($A3095) - 4504 - _xlfn.XMATCH($C3095, $C$4506:$C$5005, 0, 1), 0), 0), "00")</f>
        <v>00</v>
      </c>
      <c r="H3095" s="1" t="str">
        <f t="shared" si="289"/>
        <v>039</v>
      </c>
      <c r="I3095" s="1" t="str">
        <f t="shared" si="290"/>
        <v>15200-039</v>
      </c>
      <c r="J3095" s="1" t="str">
        <f t="shared" si="291"/>
        <v>Bass drum production item #039</v>
      </c>
      <c r="K3095" s="1" t="str">
        <f>IF(SUM(COUNTIFS(I:I, I3095)) &gt; 1, "DUPLICATE", "UNIQUE")</f>
        <v>UNIQUE</v>
      </c>
      <c r="L3095" s="18">
        <v>16</v>
      </c>
      <c r="M3095" s="28">
        <v>3</v>
      </c>
      <c r="N3095" s="6">
        <v>9</v>
      </c>
      <c r="O3095" s="30">
        <f t="shared" si="292"/>
        <v>48</v>
      </c>
      <c r="P3095" s="30">
        <f t="shared" si="293"/>
        <v>27</v>
      </c>
      <c r="Q3095" s="1">
        <f>COUNTIFS($P:$P, "&gt;" &amp; $P3095) + 1</f>
        <v>4677</v>
      </c>
      <c r="R3095" s="63">
        <f>(COUNTIFS($P:$P, "&gt;" &amp; $P3095) + 1) / (COUNTA($I:$I) - 1)</f>
        <v>0.93540000000000001</v>
      </c>
      <c r="S3095" s="23">
        <f>SUMIFS($P:$P, $Q:$Q, "&lt;" &amp; $Q3095)</f>
        <v>186546888</v>
      </c>
    </row>
    <row r="3096" spans="1:19" x14ac:dyDescent="0.25">
      <c r="A3096" s="1">
        <v>3091</v>
      </c>
      <c r="B3096" s="1" t="s">
        <v>2</v>
      </c>
      <c r="C3096" s="1" t="str">
        <f>IF($B3096 = "Production Item", _xlfn.XLOOKUP($A3096, 'Instrument Table'!$J:$J, 'Instrument Table'!$B:$B, $C3095), IF($B3096 = "Service Item", _xlfn.XLOOKUP($A3096, 'Instrument Table'!$I:$I, 'Instrument Table'!$B:$B, $C3095), _xlfn.XLOOKUP($A3096, 'Instrument Table'!$H:$H, 'Instrument Table'!$B:$B, $C3095)))</f>
        <v>Bass Drum</v>
      </c>
      <c r="D3096" s="1" t="str">
        <f>VLOOKUP($C3096, 'Instrument Table'!$B:$C, 2, FALSE)</f>
        <v>Percussion</v>
      </c>
      <c r="E3096" s="1">
        <f t="shared" si="288"/>
        <v>1</v>
      </c>
      <c r="F3096" s="1">
        <f>_xlfn.XLOOKUP($C3096, 'Instrument Table'!$B:$B, 'Instrument Table'!$A:$A, "")</f>
        <v>52</v>
      </c>
      <c r="G3096" s="1" t="str">
        <f>TEXT(IF($B3096 = "Retail Item", IF((ROW($A3096) - 4504 - _xlfn.XMATCH($C3096, $C$4506:$C$5005, 0, 1)) &lt;= VLOOKUP($C3096, 'Instrument Table'!$B:$D, 3, FALSE), ROW($A3096) - 4504 - _xlfn.XMATCH($C3096, $C$4506:$C$5005, 0, 1), 0), 0), "00")</f>
        <v>00</v>
      </c>
      <c r="H3096" s="1" t="str">
        <f t="shared" si="289"/>
        <v>040</v>
      </c>
      <c r="I3096" s="1" t="str">
        <f t="shared" si="290"/>
        <v>15200-040</v>
      </c>
      <c r="J3096" s="1" t="str">
        <f t="shared" si="291"/>
        <v>Bass drum production item #040</v>
      </c>
      <c r="K3096" s="1" t="str">
        <f>IF(SUM(COUNTIFS(I:I, I3096)) &gt; 1, "DUPLICATE", "UNIQUE")</f>
        <v>UNIQUE</v>
      </c>
      <c r="L3096" s="18">
        <v>1</v>
      </c>
      <c r="M3096" s="28">
        <v>4</v>
      </c>
      <c r="N3096" s="6">
        <v>4</v>
      </c>
      <c r="O3096" s="30">
        <f t="shared" si="292"/>
        <v>4</v>
      </c>
      <c r="P3096" s="30">
        <f t="shared" si="293"/>
        <v>16</v>
      </c>
      <c r="Q3096" s="1">
        <f>COUNTIFS($P:$P, "&gt;" &amp; $P3096) + 1</f>
        <v>4705</v>
      </c>
      <c r="R3096" s="63">
        <f>(COUNTIFS($P:$P, "&gt;" &amp; $P3096) + 1) / (COUNTA($I:$I) - 1)</f>
        <v>0.94099999999999995</v>
      </c>
      <c r="S3096" s="23">
        <f>SUMIFS($P:$P, $Q:$Q, "&lt;" &amp; $Q3096)</f>
        <v>186547483</v>
      </c>
    </row>
    <row r="3097" spans="1:19" x14ac:dyDescent="0.25">
      <c r="A3097" s="1">
        <v>3092</v>
      </c>
      <c r="B3097" s="1" t="s">
        <v>2</v>
      </c>
      <c r="C3097" s="1" t="str">
        <f>IF($B3097 = "Production Item", _xlfn.XLOOKUP($A3097, 'Instrument Table'!$J:$J, 'Instrument Table'!$B:$B, $C3096), IF($B3097 = "Service Item", _xlfn.XLOOKUP($A3097, 'Instrument Table'!$I:$I, 'Instrument Table'!$B:$B, $C3096), _xlfn.XLOOKUP($A3097, 'Instrument Table'!$H:$H, 'Instrument Table'!$B:$B, $C3096)))</f>
        <v>Bass Drum</v>
      </c>
      <c r="D3097" s="1" t="str">
        <f>VLOOKUP($C3097, 'Instrument Table'!$B:$C, 2, FALSE)</f>
        <v>Percussion</v>
      </c>
      <c r="E3097" s="1">
        <f t="shared" si="288"/>
        <v>1</v>
      </c>
      <c r="F3097" s="1">
        <f>_xlfn.XLOOKUP($C3097, 'Instrument Table'!$B:$B, 'Instrument Table'!$A:$A, "")</f>
        <v>52</v>
      </c>
      <c r="G3097" s="1" t="str">
        <f>TEXT(IF($B3097 = "Retail Item", IF((ROW($A3097) - 4504 - _xlfn.XMATCH($C3097, $C$4506:$C$5005, 0, 1)) &lt;= VLOOKUP($C3097, 'Instrument Table'!$B:$D, 3, FALSE), ROW($A3097) - 4504 - _xlfn.XMATCH($C3097, $C$4506:$C$5005, 0, 1), 0), 0), "00")</f>
        <v>00</v>
      </c>
      <c r="H3097" s="1" t="str">
        <f t="shared" si="289"/>
        <v>041</v>
      </c>
      <c r="I3097" s="1" t="str">
        <f t="shared" si="290"/>
        <v>15200-041</v>
      </c>
      <c r="J3097" s="1" t="str">
        <f t="shared" si="291"/>
        <v>Bass drum production item #041</v>
      </c>
      <c r="K3097" s="1" t="str">
        <f>IF(SUM(COUNTIFS(I:I, I3097)) &gt; 1, "DUPLICATE", "UNIQUE")</f>
        <v>UNIQUE</v>
      </c>
      <c r="L3097" s="18">
        <v>0</v>
      </c>
      <c r="M3097" s="28">
        <v>3</v>
      </c>
      <c r="N3097" s="6">
        <v>49</v>
      </c>
      <c r="O3097" s="30">
        <f t="shared" si="292"/>
        <v>0</v>
      </c>
      <c r="P3097" s="30">
        <f t="shared" si="293"/>
        <v>147</v>
      </c>
      <c r="Q3097" s="1">
        <f>COUNTIFS($P:$P, "&gt;" &amp; $P3097) + 1</f>
        <v>4398</v>
      </c>
      <c r="R3097" s="63">
        <f>(COUNTIFS($P:$P, "&gt;" &amp; $P3097) + 1) / (COUNTA($I:$I) - 1)</f>
        <v>0.87960000000000005</v>
      </c>
      <c r="S3097" s="23">
        <f>SUMIFS($P:$P, $Q:$Q, "&lt;" &amp; $Q3097)</f>
        <v>186525719</v>
      </c>
    </row>
    <row r="3098" spans="1:19" x14ac:dyDescent="0.25">
      <c r="A3098" s="1">
        <v>3093</v>
      </c>
      <c r="B3098" s="1" t="s">
        <v>2</v>
      </c>
      <c r="C3098" s="1" t="str">
        <f>IF($B3098 = "Production Item", _xlfn.XLOOKUP($A3098, 'Instrument Table'!$J:$J, 'Instrument Table'!$B:$B, $C3097), IF($B3098 = "Service Item", _xlfn.XLOOKUP($A3098, 'Instrument Table'!$I:$I, 'Instrument Table'!$B:$B, $C3097), _xlfn.XLOOKUP($A3098, 'Instrument Table'!$H:$H, 'Instrument Table'!$B:$B, $C3097)))</f>
        <v>Bass Drum</v>
      </c>
      <c r="D3098" s="1" t="str">
        <f>VLOOKUP($C3098, 'Instrument Table'!$B:$C, 2, FALSE)</f>
        <v>Percussion</v>
      </c>
      <c r="E3098" s="1">
        <f t="shared" si="288"/>
        <v>1</v>
      </c>
      <c r="F3098" s="1">
        <f>_xlfn.XLOOKUP($C3098, 'Instrument Table'!$B:$B, 'Instrument Table'!$A:$A, "")</f>
        <v>52</v>
      </c>
      <c r="G3098" s="1" t="str">
        <f>TEXT(IF($B3098 = "Retail Item", IF((ROW($A3098) - 4504 - _xlfn.XMATCH($C3098, $C$4506:$C$5005, 0, 1)) &lt;= VLOOKUP($C3098, 'Instrument Table'!$B:$D, 3, FALSE), ROW($A3098) - 4504 - _xlfn.XMATCH($C3098, $C$4506:$C$5005, 0, 1), 0), 0), "00")</f>
        <v>00</v>
      </c>
      <c r="H3098" s="1" t="str">
        <f t="shared" si="289"/>
        <v>042</v>
      </c>
      <c r="I3098" s="1" t="str">
        <f t="shared" si="290"/>
        <v>15200-042</v>
      </c>
      <c r="J3098" s="1" t="str">
        <f t="shared" si="291"/>
        <v>Bass drum production item #042</v>
      </c>
      <c r="K3098" s="1" t="str">
        <f>IF(SUM(COUNTIFS(I:I, I3098)) &gt; 1, "DUPLICATE", "UNIQUE")</f>
        <v>UNIQUE</v>
      </c>
      <c r="L3098" s="18">
        <v>1</v>
      </c>
      <c r="M3098" s="28">
        <v>8</v>
      </c>
      <c r="N3098" s="6">
        <v>100</v>
      </c>
      <c r="O3098" s="30">
        <f t="shared" si="292"/>
        <v>8</v>
      </c>
      <c r="P3098" s="30">
        <f t="shared" si="293"/>
        <v>800</v>
      </c>
      <c r="Q3098" s="1">
        <f>COUNTIFS($P:$P, "&gt;" &amp; $P3098) + 1</f>
        <v>3790</v>
      </c>
      <c r="R3098" s="63">
        <f>(COUNTIFS($P:$P, "&gt;" &amp; $P3098) + 1) / (COUNTA($I:$I) - 1)</f>
        <v>0.75800000000000001</v>
      </c>
      <c r="S3098" s="23">
        <f>SUMIFS($P:$P, $Q:$Q, "&lt;" &amp; $Q3098)</f>
        <v>186257682</v>
      </c>
    </row>
    <row r="3099" spans="1:19" x14ac:dyDescent="0.25">
      <c r="A3099" s="1">
        <v>3094</v>
      </c>
      <c r="B3099" s="1" t="s">
        <v>2</v>
      </c>
      <c r="C3099" s="1" t="str">
        <f>IF($B3099 = "Production Item", _xlfn.XLOOKUP($A3099, 'Instrument Table'!$J:$J, 'Instrument Table'!$B:$B, $C3098), IF($B3099 = "Service Item", _xlfn.XLOOKUP($A3099, 'Instrument Table'!$I:$I, 'Instrument Table'!$B:$B, $C3098), _xlfn.XLOOKUP($A3099, 'Instrument Table'!$H:$H, 'Instrument Table'!$B:$B, $C3098)))</f>
        <v>Bass Drum</v>
      </c>
      <c r="D3099" s="1" t="str">
        <f>VLOOKUP($C3099, 'Instrument Table'!$B:$C, 2, FALSE)</f>
        <v>Percussion</v>
      </c>
      <c r="E3099" s="1">
        <f t="shared" si="288"/>
        <v>1</v>
      </c>
      <c r="F3099" s="1">
        <f>_xlfn.XLOOKUP($C3099, 'Instrument Table'!$B:$B, 'Instrument Table'!$A:$A, "")</f>
        <v>52</v>
      </c>
      <c r="G3099" s="1" t="str">
        <f>TEXT(IF($B3099 = "Retail Item", IF((ROW($A3099) - 4504 - _xlfn.XMATCH($C3099, $C$4506:$C$5005, 0, 1)) &lt;= VLOOKUP($C3099, 'Instrument Table'!$B:$D, 3, FALSE), ROW($A3099) - 4504 - _xlfn.XMATCH($C3099, $C$4506:$C$5005, 0, 1), 0), 0), "00")</f>
        <v>00</v>
      </c>
      <c r="H3099" s="1" t="str">
        <f t="shared" si="289"/>
        <v>043</v>
      </c>
      <c r="I3099" s="1" t="str">
        <f t="shared" si="290"/>
        <v>15200-043</v>
      </c>
      <c r="J3099" s="1" t="str">
        <f t="shared" si="291"/>
        <v>Bass drum production item #043</v>
      </c>
      <c r="K3099" s="1" t="str">
        <f>IF(SUM(COUNTIFS(I:I, I3099)) &gt; 1, "DUPLICATE", "UNIQUE")</f>
        <v>UNIQUE</v>
      </c>
      <c r="L3099" s="18">
        <v>0</v>
      </c>
      <c r="M3099" s="28">
        <v>25</v>
      </c>
      <c r="N3099" s="6">
        <v>9</v>
      </c>
      <c r="O3099" s="30">
        <f t="shared" si="292"/>
        <v>0</v>
      </c>
      <c r="P3099" s="30">
        <f t="shared" si="293"/>
        <v>225</v>
      </c>
      <c r="Q3099" s="1">
        <f>COUNTIFS($P:$P, "&gt;" &amp; $P3099) + 1</f>
        <v>4292</v>
      </c>
      <c r="R3099" s="63">
        <f>(COUNTIFS($P:$P, "&gt;" &amp; $P3099) + 1) / (COUNTA($I:$I) - 1)</f>
        <v>0.85840000000000005</v>
      </c>
      <c r="S3099" s="23">
        <f>SUMIFS($P:$P, $Q:$Q, "&lt;" &amp; $Q3099)</f>
        <v>186505641</v>
      </c>
    </row>
    <row r="3100" spans="1:19" x14ac:dyDescent="0.25">
      <c r="A3100" s="1">
        <v>3095</v>
      </c>
      <c r="B3100" s="1" t="s">
        <v>2</v>
      </c>
      <c r="C3100" s="1" t="str">
        <f>IF($B3100 = "Production Item", _xlfn.XLOOKUP($A3100, 'Instrument Table'!$J:$J, 'Instrument Table'!$B:$B, $C3099), IF($B3100 = "Service Item", _xlfn.XLOOKUP($A3100, 'Instrument Table'!$I:$I, 'Instrument Table'!$B:$B, $C3099), _xlfn.XLOOKUP($A3100, 'Instrument Table'!$H:$H, 'Instrument Table'!$B:$B, $C3099)))</f>
        <v>Bass Drum</v>
      </c>
      <c r="D3100" s="1" t="str">
        <f>VLOOKUP($C3100, 'Instrument Table'!$B:$C, 2, FALSE)</f>
        <v>Percussion</v>
      </c>
      <c r="E3100" s="1">
        <f t="shared" si="288"/>
        <v>1</v>
      </c>
      <c r="F3100" s="1">
        <f>_xlfn.XLOOKUP($C3100, 'Instrument Table'!$B:$B, 'Instrument Table'!$A:$A, "")</f>
        <v>52</v>
      </c>
      <c r="G3100" s="1" t="str">
        <f>TEXT(IF($B3100 = "Retail Item", IF((ROW($A3100) - 4504 - _xlfn.XMATCH($C3100, $C$4506:$C$5005, 0, 1)) &lt;= VLOOKUP($C3100, 'Instrument Table'!$B:$D, 3, FALSE), ROW($A3100) - 4504 - _xlfn.XMATCH($C3100, $C$4506:$C$5005, 0, 1), 0), 0), "00")</f>
        <v>00</v>
      </c>
      <c r="H3100" s="1" t="str">
        <f t="shared" si="289"/>
        <v>044</v>
      </c>
      <c r="I3100" s="1" t="str">
        <f t="shared" si="290"/>
        <v>15200-044</v>
      </c>
      <c r="J3100" s="1" t="str">
        <f t="shared" si="291"/>
        <v>Bass drum production item #044</v>
      </c>
      <c r="K3100" s="1" t="str">
        <f>IF(SUM(COUNTIFS(I:I, I3100)) &gt; 1, "DUPLICATE", "UNIQUE")</f>
        <v>UNIQUE</v>
      </c>
      <c r="L3100" s="18">
        <v>32</v>
      </c>
      <c r="M3100" s="28">
        <v>43</v>
      </c>
      <c r="N3100" s="6">
        <v>25</v>
      </c>
      <c r="O3100" s="30">
        <f t="shared" si="292"/>
        <v>1376</v>
      </c>
      <c r="P3100" s="30">
        <f t="shared" si="293"/>
        <v>1075</v>
      </c>
      <c r="Q3100" s="1">
        <f>COUNTIFS($P:$P, "&gt;" &amp; $P3100) + 1</f>
        <v>3657</v>
      </c>
      <c r="R3100" s="63">
        <f>(COUNTIFS($P:$P, "&gt;" &amp; $P3100) + 1) / (COUNTA($I:$I) - 1)</f>
        <v>0.73140000000000005</v>
      </c>
      <c r="S3100" s="23">
        <f>SUMIFS($P:$P, $Q:$Q, "&lt;" &amp; $Q3100)</f>
        <v>186135397</v>
      </c>
    </row>
    <row r="3101" spans="1:19" x14ac:dyDescent="0.25">
      <c r="A3101" s="1">
        <v>3096</v>
      </c>
      <c r="B3101" s="1" t="s">
        <v>2</v>
      </c>
      <c r="C3101" s="1" t="str">
        <f>IF($B3101 = "Production Item", _xlfn.XLOOKUP($A3101, 'Instrument Table'!$J:$J, 'Instrument Table'!$B:$B, $C3100), IF($B3101 = "Service Item", _xlfn.XLOOKUP($A3101, 'Instrument Table'!$I:$I, 'Instrument Table'!$B:$B, $C3100), _xlfn.XLOOKUP($A3101, 'Instrument Table'!$H:$H, 'Instrument Table'!$B:$B, $C3100)))</f>
        <v>Bass Drum</v>
      </c>
      <c r="D3101" s="1" t="str">
        <f>VLOOKUP($C3101, 'Instrument Table'!$B:$C, 2, FALSE)</f>
        <v>Percussion</v>
      </c>
      <c r="E3101" s="1">
        <f t="shared" si="288"/>
        <v>1</v>
      </c>
      <c r="F3101" s="1">
        <f>_xlfn.XLOOKUP($C3101, 'Instrument Table'!$B:$B, 'Instrument Table'!$A:$A, "")</f>
        <v>52</v>
      </c>
      <c r="G3101" s="1" t="str">
        <f>TEXT(IF($B3101 = "Retail Item", IF((ROW($A3101) - 4504 - _xlfn.XMATCH($C3101, $C$4506:$C$5005, 0, 1)) &lt;= VLOOKUP($C3101, 'Instrument Table'!$B:$D, 3, FALSE), ROW($A3101) - 4504 - _xlfn.XMATCH($C3101, $C$4506:$C$5005, 0, 1), 0), 0), "00")</f>
        <v>00</v>
      </c>
      <c r="H3101" s="1" t="str">
        <f t="shared" si="289"/>
        <v>045</v>
      </c>
      <c r="I3101" s="1" t="str">
        <f t="shared" si="290"/>
        <v>15200-045</v>
      </c>
      <c r="J3101" s="1" t="str">
        <f t="shared" si="291"/>
        <v>Bass drum production item #045</v>
      </c>
      <c r="K3101" s="1" t="str">
        <f>IF(SUM(COUNTIFS(I:I, I3101)) &gt; 1, "DUPLICATE", "UNIQUE")</f>
        <v>UNIQUE</v>
      </c>
      <c r="L3101" s="18">
        <v>0</v>
      </c>
      <c r="M3101" s="28">
        <v>54</v>
      </c>
      <c r="N3101" s="6">
        <v>121</v>
      </c>
      <c r="O3101" s="30">
        <f t="shared" si="292"/>
        <v>0</v>
      </c>
      <c r="P3101" s="30">
        <f t="shared" si="293"/>
        <v>6534</v>
      </c>
      <c r="Q3101" s="1">
        <f>COUNTIFS($P:$P, "&gt;" &amp; $P3101) + 1</f>
        <v>2201</v>
      </c>
      <c r="R3101" s="63">
        <f>(COUNTIFS($P:$P, "&gt;" &amp; $P3101) + 1) / (COUNTA($I:$I) - 1)</f>
        <v>0.44019999999999998</v>
      </c>
      <c r="S3101" s="23">
        <f>SUMIFS($P:$P, $Q:$Q, "&lt;" &amp; $Q3101)</f>
        <v>181457992</v>
      </c>
    </row>
    <row r="3102" spans="1:19" x14ac:dyDescent="0.25">
      <c r="A3102" s="1">
        <v>3097</v>
      </c>
      <c r="B3102" s="1" t="s">
        <v>2</v>
      </c>
      <c r="C3102" s="1" t="str">
        <f>IF($B3102 = "Production Item", _xlfn.XLOOKUP($A3102, 'Instrument Table'!$J:$J, 'Instrument Table'!$B:$B, $C3101), IF($B3102 = "Service Item", _xlfn.XLOOKUP($A3102, 'Instrument Table'!$I:$I, 'Instrument Table'!$B:$B, $C3101), _xlfn.XLOOKUP($A3102, 'Instrument Table'!$H:$H, 'Instrument Table'!$B:$B, $C3101)))</f>
        <v>Bass Drum</v>
      </c>
      <c r="D3102" s="1" t="str">
        <f>VLOOKUP($C3102, 'Instrument Table'!$B:$C, 2, FALSE)</f>
        <v>Percussion</v>
      </c>
      <c r="E3102" s="1">
        <f t="shared" si="288"/>
        <v>1</v>
      </c>
      <c r="F3102" s="1">
        <f>_xlfn.XLOOKUP($C3102, 'Instrument Table'!$B:$B, 'Instrument Table'!$A:$A, "")</f>
        <v>52</v>
      </c>
      <c r="G3102" s="1" t="str">
        <f>TEXT(IF($B3102 = "Retail Item", IF((ROW($A3102) - 4504 - _xlfn.XMATCH($C3102, $C$4506:$C$5005, 0, 1)) &lt;= VLOOKUP($C3102, 'Instrument Table'!$B:$D, 3, FALSE), ROW($A3102) - 4504 - _xlfn.XMATCH($C3102, $C$4506:$C$5005, 0, 1), 0), 0), "00")</f>
        <v>00</v>
      </c>
      <c r="H3102" s="1" t="str">
        <f t="shared" si="289"/>
        <v>046</v>
      </c>
      <c r="I3102" s="1" t="str">
        <f t="shared" si="290"/>
        <v>15200-046</v>
      </c>
      <c r="J3102" s="1" t="str">
        <f t="shared" si="291"/>
        <v>Bass drum production item #046</v>
      </c>
      <c r="K3102" s="1" t="str">
        <f>IF(SUM(COUNTIFS(I:I, I3102)) &gt; 1, "DUPLICATE", "UNIQUE")</f>
        <v>UNIQUE</v>
      </c>
      <c r="L3102" s="18">
        <v>1</v>
      </c>
      <c r="M3102" s="28">
        <v>55</v>
      </c>
      <c r="N3102" s="6">
        <v>9</v>
      </c>
      <c r="O3102" s="30">
        <f t="shared" si="292"/>
        <v>55</v>
      </c>
      <c r="P3102" s="30">
        <f t="shared" si="293"/>
        <v>495</v>
      </c>
      <c r="Q3102" s="1">
        <f>COUNTIFS($P:$P, "&gt;" &amp; $P3102) + 1</f>
        <v>4032</v>
      </c>
      <c r="R3102" s="63">
        <f>(COUNTIFS($P:$P, "&gt;" &amp; $P3102) + 1) / (COUNTA($I:$I) - 1)</f>
        <v>0.80640000000000001</v>
      </c>
      <c r="S3102" s="23">
        <f>SUMIFS($P:$P, $Q:$Q, "&lt;" &amp; $Q3102)</f>
        <v>186414647</v>
      </c>
    </row>
    <row r="3103" spans="1:19" x14ac:dyDescent="0.25">
      <c r="A3103" s="1">
        <v>3098</v>
      </c>
      <c r="B3103" s="1" t="s">
        <v>2</v>
      </c>
      <c r="C3103" s="1" t="str">
        <f>IF($B3103 = "Production Item", _xlfn.XLOOKUP($A3103, 'Instrument Table'!$J:$J, 'Instrument Table'!$B:$B, $C3102), IF($B3103 = "Service Item", _xlfn.XLOOKUP($A3103, 'Instrument Table'!$I:$I, 'Instrument Table'!$B:$B, $C3102), _xlfn.XLOOKUP($A3103, 'Instrument Table'!$H:$H, 'Instrument Table'!$B:$B, $C3102)))</f>
        <v>Bass Drum</v>
      </c>
      <c r="D3103" s="1" t="str">
        <f>VLOOKUP($C3103, 'Instrument Table'!$B:$C, 2, FALSE)</f>
        <v>Percussion</v>
      </c>
      <c r="E3103" s="1">
        <f t="shared" si="288"/>
        <v>1</v>
      </c>
      <c r="F3103" s="1">
        <f>_xlfn.XLOOKUP($C3103, 'Instrument Table'!$B:$B, 'Instrument Table'!$A:$A, "")</f>
        <v>52</v>
      </c>
      <c r="G3103" s="1" t="str">
        <f>TEXT(IF($B3103 = "Retail Item", IF((ROW($A3103) - 4504 - _xlfn.XMATCH($C3103, $C$4506:$C$5005, 0, 1)) &lt;= VLOOKUP($C3103, 'Instrument Table'!$B:$D, 3, FALSE), ROW($A3103) - 4504 - _xlfn.XMATCH($C3103, $C$4506:$C$5005, 0, 1), 0), 0), "00")</f>
        <v>00</v>
      </c>
      <c r="H3103" s="1" t="str">
        <f t="shared" si="289"/>
        <v>047</v>
      </c>
      <c r="I3103" s="1" t="str">
        <f t="shared" si="290"/>
        <v>15200-047</v>
      </c>
      <c r="J3103" s="1" t="str">
        <f t="shared" si="291"/>
        <v>Bass drum production item #047</v>
      </c>
      <c r="K3103" s="1" t="str">
        <f>IF(SUM(COUNTIFS(I:I, I3103)) &gt; 1, "DUPLICATE", "UNIQUE")</f>
        <v>UNIQUE</v>
      </c>
      <c r="L3103" s="18">
        <v>1</v>
      </c>
      <c r="M3103" s="28">
        <v>60</v>
      </c>
      <c r="N3103" s="6">
        <v>144</v>
      </c>
      <c r="O3103" s="30">
        <f t="shared" si="292"/>
        <v>60</v>
      </c>
      <c r="P3103" s="30">
        <f t="shared" si="293"/>
        <v>8640</v>
      </c>
      <c r="Q3103" s="1">
        <f>COUNTIFS($P:$P, "&gt;" &amp; $P3103) + 1</f>
        <v>1914</v>
      </c>
      <c r="R3103" s="63">
        <f>(COUNTIFS($P:$P, "&gt;" &amp; $P3103) + 1) / (COUNTA($I:$I) - 1)</f>
        <v>0.38279999999999997</v>
      </c>
      <c r="S3103" s="23">
        <f>SUMIFS($P:$P, $Q:$Q, "&lt;" &amp; $Q3103)</f>
        <v>179285817</v>
      </c>
    </row>
    <row r="3104" spans="1:19" x14ac:dyDescent="0.25">
      <c r="A3104" s="1">
        <v>3099</v>
      </c>
      <c r="B3104" s="1" t="s">
        <v>2</v>
      </c>
      <c r="C3104" s="1" t="str">
        <f>IF($B3104 = "Production Item", _xlfn.XLOOKUP($A3104, 'Instrument Table'!$J:$J, 'Instrument Table'!$B:$B, $C3103), IF($B3104 = "Service Item", _xlfn.XLOOKUP($A3104, 'Instrument Table'!$I:$I, 'Instrument Table'!$B:$B, $C3103), _xlfn.XLOOKUP($A3104, 'Instrument Table'!$H:$H, 'Instrument Table'!$B:$B, $C3103)))</f>
        <v>Bass Drum</v>
      </c>
      <c r="D3104" s="1" t="str">
        <f>VLOOKUP($C3104, 'Instrument Table'!$B:$C, 2, FALSE)</f>
        <v>Percussion</v>
      </c>
      <c r="E3104" s="1">
        <f t="shared" si="288"/>
        <v>1</v>
      </c>
      <c r="F3104" s="1">
        <f>_xlfn.XLOOKUP($C3104, 'Instrument Table'!$B:$B, 'Instrument Table'!$A:$A, "")</f>
        <v>52</v>
      </c>
      <c r="G3104" s="1" t="str">
        <f>TEXT(IF($B3104 = "Retail Item", IF((ROW($A3104) - 4504 - _xlfn.XMATCH($C3104, $C$4506:$C$5005, 0, 1)) &lt;= VLOOKUP($C3104, 'Instrument Table'!$B:$D, 3, FALSE), ROW($A3104) - 4504 - _xlfn.XMATCH($C3104, $C$4506:$C$5005, 0, 1), 0), 0), "00")</f>
        <v>00</v>
      </c>
      <c r="H3104" s="1" t="str">
        <f t="shared" si="289"/>
        <v>048</v>
      </c>
      <c r="I3104" s="1" t="str">
        <f t="shared" si="290"/>
        <v>15200-048</v>
      </c>
      <c r="J3104" s="1" t="str">
        <f t="shared" si="291"/>
        <v>Bass drum production item #048</v>
      </c>
      <c r="K3104" s="1" t="str">
        <f>IF(SUM(COUNTIFS(I:I, I3104)) &gt; 1, "DUPLICATE", "UNIQUE")</f>
        <v>UNIQUE</v>
      </c>
      <c r="L3104" s="18">
        <v>0</v>
      </c>
      <c r="M3104" s="28">
        <v>60</v>
      </c>
      <c r="N3104" s="6">
        <v>25</v>
      </c>
      <c r="O3104" s="30">
        <f t="shared" si="292"/>
        <v>0</v>
      </c>
      <c r="P3104" s="30">
        <f t="shared" si="293"/>
        <v>1500</v>
      </c>
      <c r="Q3104" s="1">
        <f>COUNTIFS($P:$P, "&gt;" &amp; $P3104) + 1</f>
        <v>3459</v>
      </c>
      <c r="R3104" s="63">
        <f>(COUNTIFS($P:$P, "&gt;" &amp; $P3104) + 1) / (COUNTA($I:$I) - 1)</f>
        <v>0.69179999999999997</v>
      </c>
      <c r="S3104" s="23">
        <f>SUMIFS($P:$P, $Q:$Q, "&lt;" &amp; $Q3104)</f>
        <v>185877471</v>
      </c>
    </row>
    <row r="3105" spans="1:19" x14ac:dyDescent="0.25">
      <c r="A3105" s="1">
        <v>3100</v>
      </c>
      <c r="B3105" s="1" t="s">
        <v>2</v>
      </c>
      <c r="C3105" s="1" t="str">
        <f>IF($B3105 = "Production Item", _xlfn.XLOOKUP($A3105, 'Instrument Table'!$J:$J, 'Instrument Table'!$B:$B, $C3104), IF($B3105 = "Service Item", _xlfn.XLOOKUP($A3105, 'Instrument Table'!$I:$I, 'Instrument Table'!$B:$B, $C3104), _xlfn.XLOOKUP($A3105, 'Instrument Table'!$H:$H, 'Instrument Table'!$B:$B, $C3104)))</f>
        <v>Bass Drum</v>
      </c>
      <c r="D3105" s="1" t="str">
        <f>VLOOKUP($C3105, 'Instrument Table'!$B:$C, 2, FALSE)</f>
        <v>Percussion</v>
      </c>
      <c r="E3105" s="1">
        <f t="shared" si="288"/>
        <v>1</v>
      </c>
      <c r="F3105" s="1">
        <f>_xlfn.XLOOKUP($C3105, 'Instrument Table'!$B:$B, 'Instrument Table'!$A:$A, "")</f>
        <v>52</v>
      </c>
      <c r="G3105" s="1" t="str">
        <f>TEXT(IF($B3105 = "Retail Item", IF((ROW($A3105) - 4504 - _xlfn.XMATCH($C3105, $C$4506:$C$5005, 0, 1)) &lt;= VLOOKUP($C3105, 'Instrument Table'!$B:$D, 3, FALSE), ROW($A3105) - 4504 - _xlfn.XMATCH($C3105, $C$4506:$C$5005, 0, 1), 0), 0), "00")</f>
        <v>00</v>
      </c>
      <c r="H3105" s="1" t="str">
        <f t="shared" si="289"/>
        <v>049</v>
      </c>
      <c r="I3105" s="1" t="str">
        <f t="shared" si="290"/>
        <v>15200-049</v>
      </c>
      <c r="J3105" s="1" t="str">
        <f t="shared" si="291"/>
        <v>Bass drum production item #049</v>
      </c>
      <c r="K3105" s="1" t="str">
        <f>IF(SUM(COUNTIFS(I:I, I3105)) &gt; 1, "DUPLICATE", "UNIQUE")</f>
        <v>UNIQUE</v>
      </c>
      <c r="L3105" s="18">
        <v>0</v>
      </c>
      <c r="M3105" s="28">
        <v>52</v>
      </c>
      <c r="N3105" s="6">
        <v>100</v>
      </c>
      <c r="O3105" s="30">
        <f t="shared" si="292"/>
        <v>0</v>
      </c>
      <c r="P3105" s="30">
        <f t="shared" si="293"/>
        <v>5200</v>
      </c>
      <c r="Q3105" s="1">
        <f>COUNTIFS($P:$P, "&gt;" &amp; $P3105) + 1</f>
        <v>2403</v>
      </c>
      <c r="R3105" s="63">
        <f>(COUNTIFS($P:$P, "&gt;" &amp; $P3105) + 1) / (COUNTA($I:$I) - 1)</f>
        <v>0.48060000000000003</v>
      </c>
      <c r="S3105" s="23">
        <f>SUMIFS($P:$P, $Q:$Q, "&lt;" &amp; $Q3105)</f>
        <v>182632128</v>
      </c>
    </row>
    <row r="3106" spans="1:19" x14ac:dyDescent="0.25">
      <c r="A3106" s="1">
        <v>3101</v>
      </c>
      <c r="B3106" s="1" t="s">
        <v>2</v>
      </c>
      <c r="C3106" s="1" t="str">
        <f>IF($B3106 = "Production Item", _xlfn.XLOOKUP($A3106, 'Instrument Table'!$J:$J, 'Instrument Table'!$B:$B, $C3105), IF($B3106 = "Service Item", _xlfn.XLOOKUP($A3106, 'Instrument Table'!$I:$I, 'Instrument Table'!$B:$B, $C3105), _xlfn.XLOOKUP($A3106, 'Instrument Table'!$H:$H, 'Instrument Table'!$B:$B, $C3105)))</f>
        <v>Cymbal</v>
      </c>
      <c r="D3106" s="1" t="str">
        <f>VLOOKUP($C3106, 'Instrument Table'!$B:$C, 2, FALSE)</f>
        <v>Percussion</v>
      </c>
      <c r="E3106" s="1">
        <f t="shared" si="288"/>
        <v>1</v>
      </c>
      <c r="F3106" s="1">
        <f>_xlfn.XLOOKUP($C3106, 'Instrument Table'!$B:$B, 'Instrument Table'!$A:$A, "")</f>
        <v>53</v>
      </c>
      <c r="G3106" s="1" t="str">
        <f>TEXT(IF($B3106 = "Retail Item", IF((ROW($A3106) - 4504 - _xlfn.XMATCH($C3106, $C$4506:$C$5005, 0, 1)) &lt;= VLOOKUP($C3106, 'Instrument Table'!$B:$D, 3, FALSE), ROW($A3106) - 4504 - _xlfn.XMATCH($C3106, $C$4506:$C$5005, 0, 1), 0), 0), "00")</f>
        <v>00</v>
      </c>
      <c r="H3106" s="1" t="str">
        <f t="shared" si="289"/>
        <v>000</v>
      </c>
      <c r="I3106" s="1" t="str">
        <f t="shared" si="290"/>
        <v>15300-000</v>
      </c>
      <c r="J3106" s="1" t="str">
        <f t="shared" si="291"/>
        <v>Cymbal production item #000</v>
      </c>
      <c r="K3106" s="1" t="str">
        <f>IF(SUM(COUNTIFS(I:I, I3106)) &gt; 1, "DUPLICATE", "UNIQUE")</f>
        <v>UNIQUE</v>
      </c>
      <c r="L3106" s="18">
        <v>0</v>
      </c>
      <c r="M3106" s="28">
        <v>72</v>
      </c>
      <c r="N3106" s="6">
        <v>0</v>
      </c>
      <c r="O3106" s="30">
        <f t="shared" si="292"/>
        <v>0</v>
      </c>
      <c r="P3106" s="30">
        <f t="shared" si="293"/>
        <v>0</v>
      </c>
      <c r="Q3106" s="1">
        <f>COUNTIFS($P:$P, "&gt;" &amp; $P3106) + 1</f>
        <v>4746</v>
      </c>
      <c r="R3106" s="63">
        <f>(COUNTIFS($P:$P, "&gt;" &amp; $P3106) + 1) / (COUNTA($I:$I) - 1)</f>
        <v>0.94920000000000004</v>
      </c>
      <c r="S3106" s="23">
        <f>SUMIFS($P:$P, $Q:$Q, "&lt;" &amp; $Q3106)</f>
        <v>186547861</v>
      </c>
    </row>
    <row r="3107" spans="1:19" x14ac:dyDescent="0.25">
      <c r="A3107" s="1">
        <v>3102</v>
      </c>
      <c r="B3107" s="1" t="s">
        <v>2</v>
      </c>
      <c r="C3107" s="1" t="str">
        <f>IF($B3107 = "Production Item", _xlfn.XLOOKUP($A3107, 'Instrument Table'!$J:$J, 'Instrument Table'!$B:$B, $C3106), IF($B3107 = "Service Item", _xlfn.XLOOKUP($A3107, 'Instrument Table'!$I:$I, 'Instrument Table'!$B:$B, $C3106), _xlfn.XLOOKUP($A3107, 'Instrument Table'!$H:$H, 'Instrument Table'!$B:$B, $C3106)))</f>
        <v>Cymbal</v>
      </c>
      <c r="D3107" s="1" t="str">
        <f>VLOOKUP($C3107, 'Instrument Table'!$B:$C, 2, FALSE)</f>
        <v>Percussion</v>
      </c>
      <c r="E3107" s="1">
        <f t="shared" si="288"/>
        <v>1</v>
      </c>
      <c r="F3107" s="1">
        <f>_xlfn.XLOOKUP($C3107, 'Instrument Table'!$B:$B, 'Instrument Table'!$A:$A, "")</f>
        <v>53</v>
      </c>
      <c r="G3107" s="1" t="str">
        <f>TEXT(IF($B3107 = "Retail Item", IF((ROW($A3107) - 4504 - _xlfn.XMATCH($C3107, $C$4506:$C$5005, 0, 1)) &lt;= VLOOKUP($C3107, 'Instrument Table'!$B:$D, 3, FALSE), ROW($A3107) - 4504 - _xlfn.XMATCH($C3107, $C$4506:$C$5005, 0, 1), 0), 0), "00")</f>
        <v>00</v>
      </c>
      <c r="H3107" s="1" t="str">
        <f t="shared" si="289"/>
        <v>001</v>
      </c>
      <c r="I3107" s="1" t="str">
        <f t="shared" si="290"/>
        <v>15300-001</v>
      </c>
      <c r="J3107" s="1" t="str">
        <f t="shared" si="291"/>
        <v>Cymbal production item #001</v>
      </c>
      <c r="K3107" s="1" t="str">
        <f>IF(SUM(COUNTIFS(I:I, I3107)) &gt; 1, "DUPLICATE", "UNIQUE")</f>
        <v>UNIQUE</v>
      </c>
      <c r="L3107" s="18">
        <v>1</v>
      </c>
      <c r="M3107" s="28">
        <v>43</v>
      </c>
      <c r="N3107" s="6">
        <v>324</v>
      </c>
      <c r="O3107" s="30">
        <f t="shared" si="292"/>
        <v>43</v>
      </c>
      <c r="P3107" s="30">
        <f t="shared" si="293"/>
        <v>13932</v>
      </c>
      <c r="Q3107" s="1">
        <f>COUNTIFS($P:$P, "&gt;" &amp; $P3107) + 1</f>
        <v>1426</v>
      </c>
      <c r="R3107" s="63">
        <f>(COUNTIFS($P:$P, "&gt;" &amp; $P3107) + 1) / (COUNTA($I:$I) - 1)</f>
        <v>0.28520000000000001</v>
      </c>
      <c r="S3107" s="23">
        <f>SUMIFS($P:$P, $Q:$Q, "&lt;" &amp; $Q3107)</f>
        <v>173842572</v>
      </c>
    </row>
    <row r="3108" spans="1:19" x14ac:dyDescent="0.25">
      <c r="A3108" s="1">
        <v>3103</v>
      </c>
      <c r="B3108" s="1" t="s">
        <v>2</v>
      </c>
      <c r="C3108" s="1" t="str">
        <f>IF($B3108 = "Production Item", _xlfn.XLOOKUP($A3108, 'Instrument Table'!$J:$J, 'Instrument Table'!$B:$B, $C3107), IF($B3108 = "Service Item", _xlfn.XLOOKUP($A3108, 'Instrument Table'!$I:$I, 'Instrument Table'!$B:$B, $C3107), _xlfn.XLOOKUP($A3108, 'Instrument Table'!$H:$H, 'Instrument Table'!$B:$B, $C3107)))</f>
        <v>Cymbal</v>
      </c>
      <c r="D3108" s="1" t="str">
        <f>VLOOKUP($C3108, 'Instrument Table'!$B:$C, 2, FALSE)</f>
        <v>Percussion</v>
      </c>
      <c r="E3108" s="1">
        <f t="shared" si="288"/>
        <v>1</v>
      </c>
      <c r="F3108" s="1">
        <f>_xlfn.XLOOKUP($C3108, 'Instrument Table'!$B:$B, 'Instrument Table'!$A:$A, "")</f>
        <v>53</v>
      </c>
      <c r="G3108" s="1" t="str">
        <f>TEXT(IF($B3108 = "Retail Item", IF((ROW($A3108) - 4504 - _xlfn.XMATCH($C3108, $C$4506:$C$5005, 0, 1)) &lt;= VLOOKUP($C3108, 'Instrument Table'!$B:$D, 3, FALSE), ROW($A3108) - 4504 - _xlfn.XMATCH($C3108, $C$4506:$C$5005, 0, 1), 0), 0), "00")</f>
        <v>00</v>
      </c>
      <c r="H3108" s="1" t="str">
        <f t="shared" si="289"/>
        <v>002</v>
      </c>
      <c r="I3108" s="1" t="str">
        <f t="shared" si="290"/>
        <v>15300-002</v>
      </c>
      <c r="J3108" s="1" t="str">
        <f t="shared" si="291"/>
        <v>Cymbal production item #002</v>
      </c>
      <c r="K3108" s="1" t="str">
        <f>IF(SUM(COUNTIFS(I:I, I3108)) &gt; 1, "DUPLICATE", "UNIQUE")</f>
        <v>UNIQUE</v>
      </c>
      <c r="L3108" s="18">
        <v>1</v>
      </c>
      <c r="M3108" s="28">
        <v>31</v>
      </c>
      <c r="N3108" s="6">
        <v>25</v>
      </c>
      <c r="O3108" s="30">
        <f t="shared" si="292"/>
        <v>31</v>
      </c>
      <c r="P3108" s="30">
        <f t="shared" si="293"/>
        <v>775</v>
      </c>
      <c r="Q3108" s="1">
        <f>COUNTIFS($P:$P, "&gt;" &amp; $P3108) + 1</f>
        <v>3807</v>
      </c>
      <c r="R3108" s="63">
        <f>(COUNTIFS($P:$P, "&gt;" &amp; $P3108) + 1) / (COUNTA($I:$I) - 1)</f>
        <v>0.76139999999999997</v>
      </c>
      <c r="S3108" s="23">
        <f>SUMIFS($P:$P, $Q:$Q, "&lt;" &amp; $Q3108)</f>
        <v>186271130</v>
      </c>
    </row>
    <row r="3109" spans="1:19" x14ac:dyDescent="0.25">
      <c r="A3109" s="1">
        <v>3104</v>
      </c>
      <c r="B3109" s="1" t="s">
        <v>2</v>
      </c>
      <c r="C3109" s="1" t="str">
        <f>IF($B3109 = "Production Item", _xlfn.XLOOKUP($A3109, 'Instrument Table'!$J:$J, 'Instrument Table'!$B:$B, $C3108), IF($B3109 = "Service Item", _xlfn.XLOOKUP($A3109, 'Instrument Table'!$I:$I, 'Instrument Table'!$B:$B, $C3108), _xlfn.XLOOKUP($A3109, 'Instrument Table'!$H:$H, 'Instrument Table'!$B:$B, $C3108)))</f>
        <v>Cymbal</v>
      </c>
      <c r="D3109" s="1" t="str">
        <f>VLOOKUP($C3109, 'Instrument Table'!$B:$C, 2, FALSE)</f>
        <v>Percussion</v>
      </c>
      <c r="E3109" s="1">
        <f t="shared" si="288"/>
        <v>1</v>
      </c>
      <c r="F3109" s="1">
        <f>_xlfn.XLOOKUP($C3109, 'Instrument Table'!$B:$B, 'Instrument Table'!$A:$A, "")</f>
        <v>53</v>
      </c>
      <c r="G3109" s="1" t="str">
        <f>TEXT(IF($B3109 = "Retail Item", IF((ROW($A3109) - 4504 - _xlfn.XMATCH($C3109, $C$4506:$C$5005, 0, 1)) &lt;= VLOOKUP($C3109, 'Instrument Table'!$B:$D, 3, FALSE), ROW($A3109) - 4504 - _xlfn.XMATCH($C3109, $C$4506:$C$5005, 0, 1), 0), 0), "00")</f>
        <v>00</v>
      </c>
      <c r="H3109" s="1" t="str">
        <f t="shared" si="289"/>
        <v>003</v>
      </c>
      <c r="I3109" s="1" t="str">
        <f t="shared" si="290"/>
        <v>15300-003</v>
      </c>
      <c r="J3109" s="1" t="str">
        <f t="shared" si="291"/>
        <v>Cymbal production item #003</v>
      </c>
      <c r="K3109" s="1" t="str">
        <f>IF(SUM(COUNTIFS(I:I, I3109)) &gt; 1, "DUPLICATE", "UNIQUE")</f>
        <v>UNIQUE</v>
      </c>
      <c r="L3109" s="18">
        <v>0</v>
      </c>
      <c r="M3109" s="28">
        <v>87</v>
      </c>
      <c r="N3109" s="6">
        <v>196</v>
      </c>
      <c r="O3109" s="30">
        <f t="shared" si="292"/>
        <v>0</v>
      </c>
      <c r="P3109" s="30">
        <f t="shared" si="293"/>
        <v>17052</v>
      </c>
      <c r="Q3109" s="1">
        <f>COUNTIFS($P:$P, "&gt;" &amp; $P3109) + 1</f>
        <v>1211</v>
      </c>
      <c r="R3109" s="63">
        <f>(COUNTIFS($P:$P, "&gt;" &amp; $P3109) + 1) / (COUNTA($I:$I) - 1)</f>
        <v>0.2422</v>
      </c>
      <c r="S3109" s="23">
        <f>SUMIFS($P:$P, $Q:$Q, "&lt;" &amp; $Q3109)</f>
        <v>170515557</v>
      </c>
    </row>
    <row r="3110" spans="1:19" x14ac:dyDescent="0.25">
      <c r="A3110" s="1">
        <v>3105</v>
      </c>
      <c r="B3110" s="1" t="s">
        <v>2</v>
      </c>
      <c r="C3110" s="1" t="str">
        <f>IF($B3110 = "Production Item", _xlfn.XLOOKUP($A3110, 'Instrument Table'!$J:$J, 'Instrument Table'!$B:$B, $C3109), IF($B3110 = "Service Item", _xlfn.XLOOKUP($A3110, 'Instrument Table'!$I:$I, 'Instrument Table'!$B:$B, $C3109), _xlfn.XLOOKUP($A3110, 'Instrument Table'!$H:$H, 'Instrument Table'!$B:$B, $C3109)))</f>
        <v>Cymbal</v>
      </c>
      <c r="D3110" s="1" t="str">
        <f>VLOOKUP($C3110, 'Instrument Table'!$B:$C, 2, FALSE)</f>
        <v>Percussion</v>
      </c>
      <c r="E3110" s="1">
        <f t="shared" si="288"/>
        <v>1</v>
      </c>
      <c r="F3110" s="1">
        <f>_xlfn.XLOOKUP($C3110, 'Instrument Table'!$B:$B, 'Instrument Table'!$A:$A, "")</f>
        <v>53</v>
      </c>
      <c r="G3110" s="1" t="str">
        <f>TEXT(IF($B3110 = "Retail Item", IF((ROW($A3110) - 4504 - _xlfn.XMATCH($C3110, $C$4506:$C$5005, 0, 1)) &lt;= VLOOKUP($C3110, 'Instrument Table'!$B:$D, 3, FALSE), ROW($A3110) - 4504 - _xlfn.XMATCH($C3110, $C$4506:$C$5005, 0, 1), 0), 0), "00")</f>
        <v>00</v>
      </c>
      <c r="H3110" s="1" t="str">
        <f t="shared" si="289"/>
        <v>004</v>
      </c>
      <c r="I3110" s="1" t="str">
        <f t="shared" si="290"/>
        <v>15300-004</v>
      </c>
      <c r="J3110" s="1" t="str">
        <f t="shared" si="291"/>
        <v>Cymbal production item #004</v>
      </c>
      <c r="K3110" s="1" t="str">
        <f>IF(SUM(COUNTIFS(I:I, I3110)) &gt; 1, "DUPLICATE", "UNIQUE")</f>
        <v>UNIQUE</v>
      </c>
      <c r="L3110" s="18">
        <v>1</v>
      </c>
      <c r="M3110" s="28">
        <v>68</v>
      </c>
      <c r="N3110" s="6">
        <v>9</v>
      </c>
      <c r="O3110" s="30">
        <f t="shared" si="292"/>
        <v>68</v>
      </c>
      <c r="P3110" s="30">
        <f t="shared" si="293"/>
        <v>612</v>
      </c>
      <c r="Q3110" s="1">
        <f>COUNTIFS($P:$P, "&gt;" &amp; $P3110) + 1</f>
        <v>3930</v>
      </c>
      <c r="R3110" s="63">
        <f>(COUNTIFS($P:$P, "&gt;" &amp; $P3110) + 1) / (COUNTA($I:$I) - 1)</f>
        <v>0.78600000000000003</v>
      </c>
      <c r="S3110" s="23">
        <f>SUMIFS($P:$P, $Q:$Q, "&lt;" &amp; $Q3110)</f>
        <v>186358253</v>
      </c>
    </row>
    <row r="3111" spans="1:19" x14ac:dyDescent="0.25">
      <c r="A3111" s="1">
        <v>3106</v>
      </c>
      <c r="B3111" s="1" t="s">
        <v>2</v>
      </c>
      <c r="C3111" s="1" t="str">
        <f>IF($B3111 = "Production Item", _xlfn.XLOOKUP($A3111, 'Instrument Table'!$J:$J, 'Instrument Table'!$B:$B, $C3110), IF($B3111 = "Service Item", _xlfn.XLOOKUP($A3111, 'Instrument Table'!$I:$I, 'Instrument Table'!$B:$B, $C3110), _xlfn.XLOOKUP($A3111, 'Instrument Table'!$H:$H, 'Instrument Table'!$B:$B, $C3110)))</f>
        <v>Cymbal</v>
      </c>
      <c r="D3111" s="1" t="str">
        <f>VLOOKUP($C3111, 'Instrument Table'!$B:$C, 2, FALSE)</f>
        <v>Percussion</v>
      </c>
      <c r="E3111" s="1">
        <f t="shared" si="288"/>
        <v>1</v>
      </c>
      <c r="F3111" s="1">
        <f>_xlfn.XLOOKUP($C3111, 'Instrument Table'!$B:$B, 'Instrument Table'!$A:$A, "")</f>
        <v>53</v>
      </c>
      <c r="G3111" s="1" t="str">
        <f>TEXT(IF($B3111 = "Retail Item", IF((ROW($A3111) - 4504 - _xlfn.XMATCH($C3111, $C$4506:$C$5005, 0, 1)) &lt;= VLOOKUP($C3111, 'Instrument Table'!$B:$D, 3, FALSE), ROW($A3111) - 4504 - _xlfn.XMATCH($C3111, $C$4506:$C$5005, 0, 1), 0), 0), "00")</f>
        <v>00</v>
      </c>
      <c r="H3111" s="1" t="str">
        <f t="shared" si="289"/>
        <v>005</v>
      </c>
      <c r="I3111" s="1" t="str">
        <f t="shared" si="290"/>
        <v>15300-005</v>
      </c>
      <c r="J3111" s="1" t="str">
        <f t="shared" si="291"/>
        <v>Cymbal production item #005</v>
      </c>
      <c r="K3111" s="1" t="str">
        <f>IF(SUM(COUNTIFS(I:I, I3111)) &gt; 1, "DUPLICATE", "UNIQUE")</f>
        <v>UNIQUE</v>
      </c>
      <c r="L3111" s="18">
        <v>1</v>
      </c>
      <c r="M3111" s="28">
        <v>7</v>
      </c>
      <c r="N3111" s="6">
        <v>49</v>
      </c>
      <c r="O3111" s="30">
        <f t="shared" si="292"/>
        <v>7</v>
      </c>
      <c r="P3111" s="30">
        <f t="shared" si="293"/>
        <v>343</v>
      </c>
      <c r="Q3111" s="1">
        <f>COUNTIFS($P:$P, "&gt;" &amp; $P3111) + 1</f>
        <v>4162</v>
      </c>
      <c r="R3111" s="63">
        <f>(COUNTIFS($P:$P, "&gt;" &amp; $P3111) + 1) / (COUNTA($I:$I) - 1)</f>
        <v>0.83240000000000003</v>
      </c>
      <c r="S3111" s="23">
        <f>SUMIFS($P:$P, $Q:$Q, "&lt;" &amp; $Q3111)</f>
        <v>186467915</v>
      </c>
    </row>
    <row r="3112" spans="1:19" x14ac:dyDescent="0.25">
      <c r="A3112" s="1">
        <v>3107</v>
      </c>
      <c r="B3112" s="1" t="s">
        <v>2</v>
      </c>
      <c r="C3112" s="1" t="str">
        <f>IF($B3112 = "Production Item", _xlfn.XLOOKUP($A3112, 'Instrument Table'!$J:$J, 'Instrument Table'!$B:$B, $C3111), IF($B3112 = "Service Item", _xlfn.XLOOKUP($A3112, 'Instrument Table'!$I:$I, 'Instrument Table'!$B:$B, $C3111), _xlfn.XLOOKUP($A3112, 'Instrument Table'!$H:$H, 'Instrument Table'!$B:$B, $C3111)))</f>
        <v>Cymbal</v>
      </c>
      <c r="D3112" s="1" t="str">
        <f>VLOOKUP($C3112, 'Instrument Table'!$B:$C, 2, FALSE)</f>
        <v>Percussion</v>
      </c>
      <c r="E3112" s="1">
        <f t="shared" si="288"/>
        <v>1</v>
      </c>
      <c r="F3112" s="1">
        <f>_xlfn.XLOOKUP($C3112, 'Instrument Table'!$B:$B, 'Instrument Table'!$A:$A, "")</f>
        <v>53</v>
      </c>
      <c r="G3112" s="1" t="str">
        <f>TEXT(IF($B3112 = "Retail Item", IF((ROW($A3112) - 4504 - _xlfn.XMATCH($C3112, $C$4506:$C$5005, 0, 1)) &lt;= VLOOKUP($C3112, 'Instrument Table'!$B:$D, 3, FALSE), ROW($A3112) - 4504 - _xlfn.XMATCH($C3112, $C$4506:$C$5005, 0, 1), 0), 0), "00")</f>
        <v>00</v>
      </c>
      <c r="H3112" s="1" t="str">
        <f t="shared" si="289"/>
        <v>006</v>
      </c>
      <c r="I3112" s="1" t="str">
        <f t="shared" si="290"/>
        <v>15300-006</v>
      </c>
      <c r="J3112" s="1" t="str">
        <f t="shared" si="291"/>
        <v>Cymbal production item #006</v>
      </c>
      <c r="K3112" s="1" t="str">
        <f>IF(SUM(COUNTIFS(I:I, I3112)) &gt; 1, "DUPLICATE", "UNIQUE")</f>
        <v>UNIQUE</v>
      </c>
      <c r="L3112" s="18">
        <v>32</v>
      </c>
      <c r="M3112" s="28">
        <v>81</v>
      </c>
      <c r="N3112" s="6">
        <v>4</v>
      </c>
      <c r="O3112" s="30">
        <f t="shared" si="292"/>
        <v>2592</v>
      </c>
      <c r="P3112" s="30">
        <f t="shared" si="293"/>
        <v>324</v>
      </c>
      <c r="Q3112" s="1">
        <f>COUNTIFS($P:$P, "&gt;" &amp; $P3112) + 1</f>
        <v>4180</v>
      </c>
      <c r="R3112" s="63">
        <f>(COUNTIFS($P:$P, "&gt;" &amp; $P3112) + 1) / (COUNTA($I:$I) - 1)</f>
        <v>0.83599999999999997</v>
      </c>
      <c r="S3112" s="23">
        <f>SUMIFS($P:$P, $Q:$Q, "&lt;" &amp; $Q3112)</f>
        <v>186473950</v>
      </c>
    </row>
    <row r="3113" spans="1:19" x14ac:dyDescent="0.25">
      <c r="A3113" s="1">
        <v>3108</v>
      </c>
      <c r="B3113" s="1" t="s">
        <v>2</v>
      </c>
      <c r="C3113" s="1" t="str">
        <f>IF($B3113 = "Production Item", _xlfn.XLOOKUP($A3113, 'Instrument Table'!$J:$J, 'Instrument Table'!$B:$B, $C3112), IF($B3113 = "Service Item", _xlfn.XLOOKUP($A3113, 'Instrument Table'!$I:$I, 'Instrument Table'!$B:$B, $C3112), _xlfn.XLOOKUP($A3113, 'Instrument Table'!$H:$H, 'Instrument Table'!$B:$B, $C3112)))</f>
        <v>Cymbal</v>
      </c>
      <c r="D3113" s="1" t="str">
        <f>VLOOKUP($C3113, 'Instrument Table'!$B:$C, 2, FALSE)</f>
        <v>Percussion</v>
      </c>
      <c r="E3113" s="1">
        <f t="shared" si="288"/>
        <v>1</v>
      </c>
      <c r="F3113" s="1">
        <f>_xlfn.XLOOKUP($C3113, 'Instrument Table'!$B:$B, 'Instrument Table'!$A:$A, "")</f>
        <v>53</v>
      </c>
      <c r="G3113" s="1" t="str">
        <f>TEXT(IF($B3113 = "Retail Item", IF((ROW($A3113) - 4504 - _xlfn.XMATCH($C3113, $C$4506:$C$5005, 0, 1)) &lt;= VLOOKUP($C3113, 'Instrument Table'!$B:$D, 3, FALSE), ROW($A3113) - 4504 - _xlfn.XMATCH($C3113, $C$4506:$C$5005, 0, 1), 0), 0), "00")</f>
        <v>00</v>
      </c>
      <c r="H3113" s="1" t="str">
        <f t="shared" si="289"/>
        <v>007</v>
      </c>
      <c r="I3113" s="1" t="str">
        <f t="shared" si="290"/>
        <v>15300-007</v>
      </c>
      <c r="J3113" s="1" t="str">
        <f t="shared" si="291"/>
        <v>Cymbal production item #007</v>
      </c>
      <c r="K3113" s="1" t="str">
        <f>IF(SUM(COUNTIFS(I:I, I3113)) &gt; 1, "DUPLICATE", "UNIQUE")</f>
        <v>UNIQUE</v>
      </c>
      <c r="L3113" s="18">
        <v>1</v>
      </c>
      <c r="M3113" s="28">
        <v>5</v>
      </c>
      <c r="N3113" s="6">
        <v>225</v>
      </c>
      <c r="O3113" s="30">
        <f t="shared" si="292"/>
        <v>5</v>
      </c>
      <c r="P3113" s="30">
        <f t="shared" si="293"/>
        <v>1125</v>
      </c>
      <c r="Q3113" s="1">
        <f>COUNTIFS($P:$P, "&gt;" &amp; $P3113) + 1</f>
        <v>3641</v>
      </c>
      <c r="R3113" s="63">
        <f>(COUNTIFS($P:$P, "&gt;" &amp; $P3113) + 1) / (COUNTA($I:$I) - 1)</f>
        <v>0.72819999999999996</v>
      </c>
      <c r="S3113" s="23">
        <f>SUMIFS($P:$P, $Q:$Q, "&lt;" &amp; $Q3113)</f>
        <v>186117768</v>
      </c>
    </row>
    <row r="3114" spans="1:19" x14ac:dyDescent="0.25">
      <c r="A3114" s="1">
        <v>3109</v>
      </c>
      <c r="B3114" s="1" t="s">
        <v>2</v>
      </c>
      <c r="C3114" s="1" t="str">
        <f>IF($B3114 = "Production Item", _xlfn.XLOOKUP($A3114, 'Instrument Table'!$J:$J, 'Instrument Table'!$B:$B, $C3113), IF($B3114 = "Service Item", _xlfn.XLOOKUP($A3114, 'Instrument Table'!$I:$I, 'Instrument Table'!$B:$B, $C3113), _xlfn.XLOOKUP($A3114, 'Instrument Table'!$H:$H, 'Instrument Table'!$B:$B, $C3113)))</f>
        <v>Cymbal</v>
      </c>
      <c r="D3114" s="1" t="str">
        <f>VLOOKUP($C3114, 'Instrument Table'!$B:$C, 2, FALSE)</f>
        <v>Percussion</v>
      </c>
      <c r="E3114" s="1">
        <f t="shared" si="288"/>
        <v>1</v>
      </c>
      <c r="F3114" s="1">
        <f>_xlfn.XLOOKUP($C3114, 'Instrument Table'!$B:$B, 'Instrument Table'!$A:$A, "")</f>
        <v>53</v>
      </c>
      <c r="G3114" s="1" t="str">
        <f>TEXT(IF($B3114 = "Retail Item", IF((ROW($A3114) - 4504 - _xlfn.XMATCH($C3114, $C$4506:$C$5005, 0, 1)) &lt;= VLOOKUP($C3114, 'Instrument Table'!$B:$D, 3, FALSE), ROW($A3114) - 4504 - _xlfn.XMATCH($C3114, $C$4506:$C$5005, 0, 1), 0), 0), "00")</f>
        <v>00</v>
      </c>
      <c r="H3114" s="1" t="str">
        <f t="shared" si="289"/>
        <v>008</v>
      </c>
      <c r="I3114" s="1" t="str">
        <f t="shared" si="290"/>
        <v>15300-008</v>
      </c>
      <c r="J3114" s="1" t="str">
        <f t="shared" si="291"/>
        <v>Cymbal production item #008</v>
      </c>
      <c r="K3114" s="1" t="str">
        <f>IF(SUM(COUNTIFS(I:I, I3114)) &gt; 1, "DUPLICATE", "UNIQUE")</f>
        <v>UNIQUE</v>
      </c>
      <c r="L3114" s="18">
        <v>1</v>
      </c>
      <c r="M3114" s="28">
        <v>7</v>
      </c>
      <c r="N3114" s="6">
        <v>324</v>
      </c>
      <c r="O3114" s="30">
        <f t="shared" si="292"/>
        <v>7</v>
      </c>
      <c r="P3114" s="30">
        <f t="shared" si="293"/>
        <v>2268</v>
      </c>
      <c r="Q3114" s="1">
        <f>COUNTIFS($P:$P, "&gt;" &amp; $P3114) + 1</f>
        <v>3145</v>
      </c>
      <c r="R3114" s="63">
        <f>(COUNTIFS($P:$P, "&gt;" &amp; $P3114) + 1) / (COUNTA($I:$I) - 1)</f>
        <v>0.629</v>
      </c>
      <c r="S3114" s="23">
        <f>SUMIFS($P:$P, $Q:$Q, "&lt;" &amp; $Q3114)</f>
        <v>185286773</v>
      </c>
    </row>
    <row r="3115" spans="1:19" x14ac:dyDescent="0.25">
      <c r="A3115" s="1">
        <v>3110</v>
      </c>
      <c r="B3115" s="1" t="s">
        <v>2</v>
      </c>
      <c r="C3115" s="1" t="str">
        <f>IF($B3115 = "Production Item", _xlfn.XLOOKUP($A3115, 'Instrument Table'!$J:$J, 'Instrument Table'!$B:$B, $C3114), IF($B3115 = "Service Item", _xlfn.XLOOKUP($A3115, 'Instrument Table'!$I:$I, 'Instrument Table'!$B:$B, $C3114), _xlfn.XLOOKUP($A3115, 'Instrument Table'!$H:$H, 'Instrument Table'!$B:$B, $C3114)))</f>
        <v>Cymbal</v>
      </c>
      <c r="D3115" s="1" t="str">
        <f>VLOOKUP($C3115, 'Instrument Table'!$B:$C, 2, FALSE)</f>
        <v>Percussion</v>
      </c>
      <c r="E3115" s="1">
        <f t="shared" si="288"/>
        <v>1</v>
      </c>
      <c r="F3115" s="1">
        <f>_xlfn.XLOOKUP($C3115, 'Instrument Table'!$B:$B, 'Instrument Table'!$A:$A, "")</f>
        <v>53</v>
      </c>
      <c r="G3115" s="1" t="str">
        <f>TEXT(IF($B3115 = "Retail Item", IF((ROW($A3115) - 4504 - _xlfn.XMATCH($C3115, $C$4506:$C$5005, 0, 1)) &lt;= VLOOKUP($C3115, 'Instrument Table'!$B:$D, 3, FALSE), ROW($A3115) - 4504 - _xlfn.XMATCH($C3115, $C$4506:$C$5005, 0, 1), 0), 0), "00")</f>
        <v>00</v>
      </c>
      <c r="H3115" s="1" t="str">
        <f t="shared" si="289"/>
        <v>009</v>
      </c>
      <c r="I3115" s="1" t="str">
        <f t="shared" si="290"/>
        <v>15300-009</v>
      </c>
      <c r="J3115" s="1" t="str">
        <f t="shared" si="291"/>
        <v>Cymbal production item #009</v>
      </c>
      <c r="K3115" s="1" t="str">
        <f>IF(SUM(COUNTIFS(I:I, I3115)) &gt; 1, "DUPLICATE", "UNIQUE")</f>
        <v>UNIQUE</v>
      </c>
      <c r="L3115" s="18">
        <v>32</v>
      </c>
      <c r="M3115" s="28">
        <v>77</v>
      </c>
      <c r="N3115" s="6">
        <v>121</v>
      </c>
      <c r="O3115" s="30">
        <f t="shared" si="292"/>
        <v>2464</v>
      </c>
      <c r="P3115" s="30">
        <f t="shared" si="293"/>
        <v>9317</v>
      </c>
      <c r="Q3115" s="1">
        <f>COUNTIFS($P:$P, "&gt;" &amp; $P3115) + 1</f>
        <v>1839</v>
      </c>
      <c r="R3115" s="63">
        <f>(COUNTIFS($P:$P, "&gt;" &amp; $P3115) + 1) / (COUNTA($I:$I) - 1)</f>
        <v>0.36780000000000002</v>
      </c>
      <c r="S3115" s="23">
        <f>SUMIFS($P:$P, $Q:$Q, "&lt;" &amp; $Q3115)</f>
        <v>178611885</v>
      </c>
    </row>
    <row r="3116" spans="1:19" x14ac:dyDescent="0.25">
      <c r="A3116" s="1">
        <v>3111</v>
      </c>
      <c r="B3116" s="1" t="s">
        <v>2</v>
      </c>
      <c r="C3116" s="1" t="str">
        <f>IF($B3116 = "Production Item", _xlfn.XLOOKUP($A3116, 'Instrument Table'!$J:$J, 'Instrument Table'!$B:$B, $C3115), IF($B3116 = "Service Item", _xlfn.XLOOKUP($A3116, 'Instrument Table'!$I:$I, 'Instrument Table'!$B:$B, $C3115), _xlfn.XLOOKUP($A3116, 'Instrument Table'!$H:$H, 'Instrument Table'!$B:$B, $C3115)))</f>
        <v>Cymbal</v>
      </c>
      <c r="D3116" s="1" t="str">
        <f>VLOOKUP($C3116, 'Instrument Table'!$B:$C, 2, FALSE)</f>
        <v>Percussion</v>
      </c>
      <c r="E3116" s="1">
        <f t="shared" si="288"/>
        <v>1</v>
      </c>
      <c r="F3116" s="1">
        <f>_xlfn.XLOOKUP($C3116, 'Instrument Table'!$B:$B, 'Instrument Table'!$A:$A, "")</f>
        <v>53</v>
      </c>
      <c r="G3116" s="1" t="str">
        <f>TEXT(IF($B3116 = "Retail Item", IF((ROW($A3116) - 4504 - _xlfn.XMATCH($C3116, $C$4506:$C$5005, 0, 1)) &lt;= VLOOKUP($C3116, 'Instrument Table'!$B:$D, 3, FALSE), ROW($A3116) - 4504 - _xlfn.XMATCH($C3116, $C$4506:$C$5005, 0, 1), 0), 0), "00")</f>
        <v>00</v>
      </c>
      <c r="H3116" s="1" t="str">
        <f t="shared" si="289"/>
        <v>010</v>
      </c>
      <c r="I3116" s="1" t="str">
        <f t="shared" si="290"/>
        <v>15300-010</v>
      </c>
      <c r="J3116" s="1" t="str">
        <f t="shared" si="291"/>
        <v>Cymbal production item #010</v>
      </c>
      <c r="K3116" s="1" t="str">
        <f>IF(SUM(COUNTIFS(I:I, I3116)) &gt; 1, "DUPLICATE", "UNIQUE")</f>
        <v>UNIQUE</v>
      </c>
      <c r="L3116" s="18">
        <v>1</v>
      </c>
      <c r="M3116" s="28">
        <v>81</v>
      </c>
      <c r="N3116" s="6">
        <v>361</v>
      </c>
      <c r="O3116" s="30">
        <f t="shared" si="292"/>
        <v>81</v>
      </c>
      <c r="P3116" s="30">
        <f t="shared" si="293"/>
        <v>29241</v>
      </c>
      <c r="Q3116" s="1">
        <f>COUNTIFS($P:$P, "&gt;" &amp; $P3116) + 1</f>
        <v>708</v>
      </c>
      <c r="R3116" s="63">
        <f>(COUNTIFS($P:$P, "&gt;" &amp; $P3116) + 1) / (COUNTA($I:$I) - 1)</f>
        <v>0.1416</v>
      </c>
      <c r="S3116" s="23">
        <f>SUMIFS($P:$P, $Q:$Q, "&lt;" &amp; $Q3116)</f>
        <v>159323089</v>
      </c>
    </row>
    <row r="3117" spans="1:19" x14ac:dyDescent="0.25">
      <c r="A3117" s="1">
        <v>3112</v>
      </c>
      <c r="B3117" s="1" t="s">
        <v>2</v>
      </c>
      <c r="C3117" s="1" t="str">
        <f>IF($B3117 = "Production Item", _xlfn.XLOOKUP($A3117, 'Instrument Table'!$J:$J, 'Instrument Table'!$B:$B, $C3116), IF($B3117 = "Service Item", _xlfn.XLOOKUP($A3117, 'Instrument Table'!$I:$I, 'Instrument Table'!$B:$B, $C3116), _xlfn.XLOOKUP($A3117, 'Instrument Table'!$H:$H, 'Instrument Table'!$B:$B, $C3116)))</f>
        <v>Cymbal</v>
      </c>
      <c r="D3117" s="1" t="str">
        <f>VLOOKUP($C3117, 'Instrument Table'!$B:$C, 2, FALSE)</f>
        <v>Percussion</v>
      </c>
      <c r="E3117" s="1">
        <f t="shared" si="288"/>
        <v>1</v>
      </c>
      <c r="F3117" s="1">
        <f>_xlfn.XLOOKUP($C3117, 'Instrument Table'!$B:$B, 'Instrument Table'!$A:$A, "")</f>
        <v>53</v>
      </c>
      <c r="G3117" s="1" t="str">
        <f>TEXT(IF($B3117 = "Retail Item", IF((ROW($A3117) - 4504 - _xlfn.XMATCH($C3117, $C$4506:$C$5005, 0, 1)) &lt;= VLOOKUP($C3117, 'Instrument Table'!$B:$D, 3, FALSE), ROW($A3117) - 4504 - _xlfn.XMATCH($C3117, $C$4506:$C$5005, 0, 1), 0), 0), "00")</f>
        <v>00</v>
      </c>
      <c r="H3117" s="1" t="str">
        <f t="shared" si="289"/>
        <v>011</v>
      </c>
      <c r="I3117" s="1" t="str">
        <f t="shared" si="290"/>
        <v>15300-011</v>
      </c>
      <c r="J3117" s="1" t="str">
        <f t="shared" si="291"/>
        <v>Cymbal production item #011</v>
      </c>
      <c r="K3117" s="1" t="str">
        <f>IF(SUM(COUNTIFS(I:I, I3117)) &gt; 1, "DUPLICATE", "UNIQUE")</f>
        <v>UNIQUE</v>
      </c>
      <c r="L3117" s="18">
        <v>1</v>
      </c>
      <c r="M3117" s="28">
        <v>83</v>
      </c>
      <c r="N3117" s="6">
        <v>225</v>
      </c>
      <c r="O3117" s="30">
        <f t="shared" si="292"/>
        <v>83</v>
      </c>
      <c r="P3117" s="30">
        <f t="shared" si="293"/>
        <v>18675</v>
      </c>
      <c r="Q3117" s="1">
        <f>COUNTIFS($P:$P, "&gt;" &amp; $P3117) + 1</f>
        <v>1120</v>
      </c>
      <c r="R3117" s="63">
        <f>(COUNTIFS($P:$P, "&gt;" &amp; $P3117) + 1) / (COUNTA($I:$I) - 1)</f>
        <v>0.224</v>
      </c>
      <c r="S3117" s="23">
        <f>SUMIFS($P:$P, $Q:$Q, "&lt;" &amp; $Q3117)</f>
        <v>168881811</v>
      </c>
    </row>
    <row r="3118" spans="1:19" x14ac:dyDescent="0.25">
      <c r="A3118" s="1">
        <v>3113</v>
      </c>
      <c r="B3118" s="1" t="s">
        <v>2</v>
      </c>
      <c r="C3118" s="1" t="str">
        <f>IF($B3118 = "Production Item", _xlfn.XLOOKUP($A3118, 'Instrument Table'!$J:$J, 'Instrument Table'!$B:$B, $C3117), IF($B3118 = "Service Item", _xlfn.XLOOKUP($A3118, 'Instrument Table'!$I:$I, 'Instrument Table'!$B:$B, $C3117), _xlfn.XLOOKUP($A3118, 'Instrument Table'!$H:$H, 'Instrument Table'!$B:$B, $C3117)))</f>
        <v>Cymbal</v>
      </c>
      <c r="D3118" s="1" t="str">
        <f>VLOOKUP($C3118, 'Instrument Table'!$B:$C, 2, FALSE)</f>
        <v>Percussion</v>
      </c>
      <c r="E3118" s="1">
        <f t="shared" si="288"/>
        <v>1</v>
      </c>
      <c r="F3118" s="1">
        <f>_xlfn.XLOOKUP($C3118, 'Instrument Table'!$B:$B, 'Instrument Table'!$A:$A, "")</f>
        <v>53</v>
      </c>
      <c r="G3118" s="1" t="str">
        <f>TEXT(IF($B3118 = "Retail Item", IF((ROW($A3118) - 4504 - _xlfn.XMATCH($C3118, $C$4506:$C$5005, 0, 1)) &lt;= VLOOKUP($C3118, 'Instrument Table'!$B:$D, 3, FALSE), ROW($A3118) - 4504 - _xlfn.XMATCH($C3118, $C$4506:$C$5005, 0, 1), 0), 0), "00")</f>
        <v>00</v>
      </c>
      <c r="H3118" s="1" t="str">
        <f t="shared" si="289"/>
        <v>012</v>
      </c>
      <c r="I3118" s="1" t="str">
        <f t="shared" si="290"/>
        <v>15300-012</v>
      </c>
      <c r="J3118" s="1" t="str">
        <f t="shared" si="291"/>
        <v>Cymbal production item #012</v>
      </c>
      <c r="K3118" s="1" t="str">
        <f>IF(SUM(COUNTIFS(I:I, I3118)) &gt; 1, "DUPLICATE", "UNIQUE")</f>
        <v>UNIQUE</v>
      </c>
      <c r="L3118" s="18">
        <v>0</v>
      </c>
      <c r="M3118" s="28">
        <v>94</v>
      </c>
      <c r="N3118" s="6">
        <v>196</v>
      </c>
      <c r="O3118" s="30">
        <f t="shared" si="292"/>
        <v>0</v>
      </c>
      <c r="P3118" s="30">
        <f t="shared" si="293"/>
        <v>18424</v>
      </c>
      <c r="Q3118" s="1">
        <f>COUNTIFS($P:$P, "&gt;" &amp; $P3118) + 1</f>
        <v>1141</v>
      </c>
      <c r="R3118" s="63">
        <f>(COUNTIFS($P:$P, "&gt;" &amp; $P3118) + 1) / (COUNTA($I:$I) - 1)</f>
        <v>0.22819999999999999</v>
      </c>
      <c r="S3118" s="23">
        <f>SUMIFS($P:$P, $Q:$Q, "&lt;" &amp; $Q3118)</f>
        <v>169271117</v>
      </c>
    </row>
    <row r="3119" spans="1:19" x14ac:dyDescent="0.25">
      <c r="A3119" s="1">
        <v>3114</v>
      </c>
      <c r="B3119" s="1" t="s">
        <v>2</v>
      </c>
      <c r="C3119" s="1" t="str">
        <f>IF($B3119 = "Production Item", _xlfn.XLOOKUP($A3119, 'Instrument Table'!$J:$J, 'Instrument Table'!$B:$B, $C3118), IF($B3119 = "Service Item", _xlfn.XLOOKUP($A3119, 'Instrument Table'!$I:$I, 'Instrument Table'!$B:$B, $C3118), _xlfn.XLOOKUP($A3119, 'Instrument Table'!$H:$H, 'Instrument Table'!$B:$B, $C3118)))</f>
        <v>Cymbal</v>
      </c>
      <c r="D3119" s="1" t="str">
        <f>VLOOKUP($C3119, 'Instrument Table'!$B:$C, 2, FALSE)</f>
        <v>Percussion</v>
      </c>
      <c r="E3119" s="1">
        <f t="shared" si="288"/>
        <v>1</v>
      </c>
      <c r="F3119" s="1">
        <f>_xlfn.XLOOKUP($C3119, 'Instrument Table'!$B:$B, 'Instrument Table'!$A:$A, "")</f>
        <v>53</v>
      </c>
      <c r="G3119" s="1" t="str">
        <f>TEXT(IF($B3119 = "Retail Item", IF((ROW($A3119) - 4504 - _xlfn.XMATCH($C3119, $C$4506:$C$5005, 0, 1)) &lt;= VLOOKUP($C3119, 'Instrument Table'!$B:$D, 3, FALSE), ROW($A3119) - 4504 - _xlfn.XMATCH($C3119, $C$4506:$C$5005, 0, 1), 0), 0), "00")</f>
        <v>00</v>
      </c>
      <c r="H3119" s="1" t="str">
        <f t="shared" si="289"/>
        <v>013</v>
      </c>
      <c r="I3119" s="1" t="str">
        <f t="shared" si="290"/>
        <v>15300-013</v>
      </c>
      <c r="J3119" s="1" t="str">
        <f t="shared" si="291"/>
        <v>Cymbal production item #013</v>
      </c>
      <c r="K3119" s="1" t="str">
        <f>IF(SUM(COUNTIFS(I:I, I3119)) &gt; 1, "DUPLICATE", "UNIQUE")</f>
        <v>UNIQUE</v>
      </c>
      <c r="L3119" s="18">
        <v>1</v>
      </c>
      <c r="M3119" s="28">
        <v>52</v>
      </c>
      <c r="N3119" s="6">
        <v>36</v>
      </c>
      <c r="O3119" s="30">
        <f t="shared" si="292"/>
        <v>52</v>
      </c>
      <c r="P3119" s="30">
        <f t="shared" si="293"/>
        <v>1872</v>
      </c>
      <c r="Q3119" s="1">
        <f>COUNTIFS($P:$P, "&gt;" &amp; $P3119) + 1</f>
        <v>3307</v>
      </c>
      <c r="R3119" s="63">
        <f>(COUNTIFS($P:$P, "&gt;" &amp; $P3119) + 1) / (COUNTA($I:$I) - 1)</f>
        <v>0.66139999999999999</v>
      </c>
      <c r="S3119" s="23">
        <f>SUMIFS($P:$P, $Q:$Q, "&lt;" &amp; $Q3119)</f>
        <v>185622255</v>
      </c>
    </row>
    <row r="3120" spans="1:19" x14ac:dyDescent="0.25">
      <c r="A3120" s="1">
        <v>3115</v>
      </c>
      <c r="B3120" s="1" t="s">
        <v>2</v>
      </c>
      <c r="C3120" s="1" t="str">
        <f>IF($B3120 = "Production Item", _xlfn.XLOOKUP($A3120, 'Instrument Table'!$J:$J, 'Instrument Table'!$B:$B, $C3119), IF($B3120 = "Service Item", _xlfn.XLOOKUP($A3120, 'Instrument Table'!$I:$I, 'Instrument Table'!$B:$B, $C3119), _xlfn.XLOOKUP($A3120, 'Instrument Table'!$H:$H, 'Instrument Table'!$B:$B, $C3119)))</f>
        <v>Cymbal</v>
      </c>
      <c r="D3120" s="1" t="str">
        <f>VLOOKUP($C3120, 'Instrument Table'!$B:$C, 2, FALSE)</f>
        <v>Percussion</v>
      </c>
      <c r="E3120" s="1">
        <f t="shared" si="288"/>
        <v>1</v>
      </c>
      <c r="F3120" s="1">
        <f>_xlfn.XLOOKUP($C3120, 'Instrument Table'!$B:$B, 'Instrument Table'!$A:$A, "")</f>
        <v>53</v>
      </c>
      <c r="G3120" s="1" t="str">
        <f>TEXT(IF($B3120 = "Retail Item", IF((ROW($A3120) - 4504 - _xlfn.XMATCH($C3120, $C$4506:$C$5005, 0, 1)) &lt;= VLOOKUP($C3120, 'Instrument Table'!$B:$D, 3, FALSE), ROW($A3120) - 4504 - _xlfn.XMATCH($C3120, $C$4506:$C$5005, 0, 1), 0), 0), "00")</f>
        <v>00</v>
      </c>
      <c r="H3120" s="1" t="str">
        <f t="shared" si="289"/>
        <v>014</v>
      </c>
      <c r="I3120" s="1" t="str">
        <f t="shared" si="290"/>
        <v>15300-014</v>
      </c>
      <c r="J3120" s="1" t="str">
        <f t="shared" si="291"/>
        <v>Cymbal production item #014</v>
      </c>
      <c r="K3120" s="1" t="str">
        <f>IF(SUM(COUNTIFS(I:I, I3120)) &gt; 1, "DUPLICATE", "UNIQUE")</f>
        <v>UNIQUE</v>
      </c>
      <c r="L3120" s="18">
        <v>8</v>
      </c>
      <c r="M3120" s="28">
        <v>61</v>
      </c>
      <c r="N3120" s="6">
        <v>256</v>
      </c>
      <c r="O3120" s="30">
        <f t="shared" si="292"/>
        <v>488</v>
      </c>
      <c r="P3120" s="30">
        <f t="shared" si="293"/>
        <v>15616</v>
      </c>
      <c r="Q3120" s="1">
        <f>COUNTIFS($P:$P, "&gt;" &amp; $P3120) + 1</f>
        <v>1303</v>
      </c>
      <c r="R3120" s="63">
        <f>(COUNTIFS($P:$P, "&gt;" &amp; $P3120) + 1) / (COUNTA($I:$I) - 1)</f>
        <v>0.2606</v>
      </c>
      <c r="S3120" s="23">
        <f>SUMIFS($P:$P, $Q:$Q, "&lt;" &amp; $Q3120)</f>
        <v>172020965</v>
      </c>
    </row>
    <row r="3121" spans="1:19" x14ac:dyDescent="0.25">
      <c r="A3121" s="1">
        <v>3116</v>
      </c>
      <c r="B3121" s="1" t="s">
        <v>2</v>
      </c>
      <c r="C3121" s="1" t="str">
        <f>IF($B3121 = "Production Item", _xlfn.XLOOKUP($A3121, 'Instrument Table'!$J:$J, 'Instrument Table'!$B:$B, $C3120), IF($B3121 = "Service Item", _xlfn.XLOOKUP($A3121, 'Instrument Table'!$I:$I, 'Instrument Table'!$B:$B, $C3120), _xlfn.XLOOKUP($A3121, 'Instrument Table'!$H:$H, 'Instrument Table'!$B:$B, $C3120)))</f>
        <v>Cymbal</v>
      </c>
      <c r="D3121" s="1" t="str">
        <f>VLOOKUP($C3121, 'Instrument Table'!$B:$C, 2, FALSE)</f>
        <v>Percussion</v>
      </c>
      <c r="E3121" s="1">
        <f t="shared" si="288"/>
        <v>1</v>
      </c>
      <c r="F3121" s="1">
        <f>_xlfn.XLOOKUP($C3121, 'Instrument Table'!$B:$B, 'Instrument Table'!$A:$A, "")</f>
        <v>53</v>
      </c>
      <c r="G3121" s="1" t="str">
        <f>TEXT(IF($B3121 = "Retail Item", IF((ROW($A3121) - 4504 - _xlfn.XMATCH($C3121, $C$4506:$C$5005, 0, 1)) &lt;= VLOOKUP($C3121, 'Instrument Table'!$B:$D, 3, FALSE), ROW($A3121) - 4504 - _xlfn.XMATCH($C3121, $C$4506:$C$5005, 0, 1), 0), 0), "00")</f>
        <v>00</v>
      </c>
      <c r="H3121" s="1" t="str">
        <f t="shared" si="289"/>
        <v>015</v>
      </c>
      <c r="I3121" s="1" t="str">
        <f t="shared" si="290"/>
        <v>15300-015</v>
      </c>
      <c r="J3121" s="1" t="str">
        <f t="shared" si="291"/>
        <v>Cymbal production item #015</v>
      </c>
      <c r="K3121" s="1" t="str">
        <f>IF(SUM(COUNTIFS(I:I, I3121)) &gt; 1, "DUPLICATE", "UNIQUE")</f>
        <v>UNIQUE</v>
      </c>
      <c r="L3121" s="18">
        <v>0</v>
      </c>
      <c r="M3121" s="28">
        <v>35</v>
      </c>
      <c r="N3121" s="6">
        <v>144</v>
      </c>
      <c r="O3121" s="30">
        <f t="shared" si="292"/>
        <v>0</v>
      </c>
      <c r="P3121" s="30">
        <f t="shared" si="293"/>
        <v>5040</v>
      </c>
      <c r="Q3121" s="1">
        <f>COUNTIFS($P:$P, "&gt;" &amp; $P3121) + 1</f>
        <v>2440</v>
      </c>
      <c r="R3121" s="63">
        <f>(COUNTIFS($P:$P, "&gt;" &amp; $P3121) + 1) / (COUNTA($I:$I) - 1)</f>
        <v>0.48799999999999999</v>
      </c>
      <c r="S3121" s="23">
        <f>SUMIFS($P:$P, $Q:$Q, "&lt;" &amp; $Q3121)</f>
        <v>182822281</v>
      </c>
    </row>
    <row r="3122" spans="1:19" x14ac:dyDescent="0.25">
      <c r="A3122" s="1">
        <v>3117</v>
      </c>
      <c r="B3122" s="1" t="s">
        <v>2</v>
      </c>
      <c r="C3122" s="1" t="str">
        <f>IF($B3122 = "Production Item", _xlfn.XLOOKUP($A3122, 'Instrument Table'!$J:$J, 'Instrument Table'!$B:$B, $C3121), IF($B3122 = "Service Item", _xlfn.XLOOKUP($A3122, 'Instrument Table'!$I:$I, 'Instrument Table'!$B:$B, $C3121), _xlfn.XLOOKUP($A3122, 'Instrument Table'!$H:$H, 'Instrument Table'!$B:$B, $C3121)))</f>
        <v>Cymbal</v>
      </c>
      <c r="D3122" s="1" t="str">
        <f>VLOOKUP($C3122, 'Instrument Table'!$B:$C, 2, FALSE)</f>
        <v>Percussion</v>
      </c>
      <c r="E3122" s="1">
        <f t="shared" si="288"/>
        <v>1</v>
      </c>
      <c r="F3122" s="1">
        <f>_xlfn.XLOOKUP($C3122, 'Instrument Table'!$B:$B, 'Instrument Table'!$A:$A, "")</f>
        <v>53</v>
      </c>
      <c r="G3122" s="1" t="str">
        <f>TEXT(IF($B3122 = "Retail Item", IF((ROW($A3122) - 4504 - _xlfn.XMATCH($C3122, $C$4506:$C$5005, 0, 1)) &lt;= VLOOKUP($C3122, 'Instrument Table'!$B:$D, 3, FALSE), ROW($A3122) - 4504 - _xlfn.XMATCH($C3122, $C$4506:$C$5005, 0, 1), 0), 0), "00")</f>
        <v>00</v>
      </c>
      <c r="H3122" s="1" t="str">
        <f t="shared" si="289"/>
        <v>016</v>
      </c>
      <c r="I3122" s="1" t="str">
        <f t="shared" si="290"/>
        <v>15300-016</v>
      </c>
      <c r="J3122" s="1" t="str">
        <f t="shared" si="291"/>
        <v>Cymbal production item #016</v>
      </c>
      <c r="K3122" s="1" t="str">
        <f>IF(SUM(COUNTIFS(I:I, I3122)) &gt; 1, "DUPLICATE", "UNIQUE")</f>
        <v>UNIQUE</v>
      </c>
      <c r="L3122" s="18">
        <v>2</v>
      </c>
      <c r="M3122" s="28">
        <v>56</v>
      </c>
      <c r="N3122" s="6">
        <v>49</v>
      </c>
      <c r="O3122" s="30">
        <f t="shared" si="292"/>
        <v>112</v>
      </c>
      <c r="P3122" s="30">
        <f t="shared" si="293"/>
        <v>2744</v>
      </c>
      <c r="Q3122" s="1">
        <f>COUNTIFS($P:$P, "&gt;" &amp; $P3122) + 1</f>
        <v>2969</v>
      </c>
      <c r="R3122" s="63">
        <f>(COUNTIFS($P:$P, "&gt;" &amp; $P3122) + 1) / (COUNTA($I:$I) - 1)</f>
        <v>0.59379999999999999</v>
      </c>
      <c r="S3122" s="23">
        <f>SUMIFS($P:$P, $Q:$Q, "&lt;" &amp; $Q3122)</f>
        <v>184848382</v>
      </c>
    </row>
    <row r="3123" spans="1:19" x14ac:dyDescent="0.25">
      <c r="A3123" s="1">
        <v>3118</v>
      </c>
      <c r="B3123" s="1" t="s">
        <v>2</v>
      </c>
      <c r="C3123" s="1" t="str">
        <f>IF($B3123 = "Production Item", _xlfn.XLOOKUP($A3123, 'Instrument Table'!$J:$J, 'Instrument Table'!$B:$B, $C3122), IF($B3123 = "Service Item", _xlfn.XLOOKUP($A3123, 'Instrument Table'!$I:$I, 'Instrument Table'!$B:$B, $C3122), _xlfn.XLOOKUP($A3123, 'Instrument Table'!$H:$H, 'Instrument Table'!$B:$B, $C3122)))</f>
        <v>Cymbal</v>
      </c>
      <c r="D3123" s="1" t="str">
        <f>VLOOKUP($C3123, 'Instrument Table'!$B:$C, 2, FALSE)</f>
        <v>Percussion</v>
      </c>
      <c r="E3123" s="1">
        <f t="shared" si="288"/>
        <v>1</v>
      </c>
      <c r="F3123" s="1">
        <f>_xlfn.XLOOKUP($C3123, 'Instrument Table'!$B:$B, 'Instrument Table'!$A:$A, "")</f>
        <v>53</v>
      </c>
      <c r="G3123" s="1" t="str">
        <f>TEXT(IF($B3123 = "Retail Item", IF((ROW($A3123) - 4504 - _xlfn.XMATCH($C3123, $C$4506:$C$5005, 0, 1)) &lt;= VLOOKUP($C3123, 'Instrument Table'!$B:$D, 3, FALSE), ROW($A3123) - 4504 - _xlfn.XMATCH($C3123, $C$4506:$C$5005, 0, 1), 0), 0), "00")</f>
        <v>00</v>
      </c>
      <c r="H3123" s="1" t="str">
        <f t="shared" si="289"/>
        <v>017</v>
      </c>
      <c r="I3123" s="1" t="str">
        <f t="shared" si="290"/>
        <v>15300-017</v>
      </c>
      <c r="J3123" s="1" t="str">
        <f t="shared" si="291"/>
        <v>Cymbal production item #017</v>
      </c>
      <c r="K3123" s="1" t="str">
        <f>IF(SUM(COUNTIFS(I:I, I3123)) &gt; 1, "DUPLICATE", "UNIQUE")</f>
        <v>UNIQUE</v>
      </c>
      <c r="L3123" s="18">
        <v>4</v>
      </c>
      <c r="M3123" s="28">
        <v>40</v>
      </c>
      <c r="N3123" s="6">
        <v>0</v>
      </c>
      <c r="O3123" s="30">
        <f t="shared" si="292"/>
        <v>160</v>
      </c>
      <c r="P3123" s="30">
        <f t="shared" si="293"/>
        <v>0</v>
      </c>
      <c r="Q3123" s="1">
        <f>COUNTIFS($P:$P, "&gt;" &amp; $P3123) + 1</f>
        <v>4746</v>
      </c>
      <c r="R3123" s="63">
        <f>(COUNTIFS($P:$P, "&gt;" &amp; $P3123) + 1) / (COUNTA($I:$I) - 1)</f>
        <v>0.94920000000000004</v>
      </c>
      <c r="S3123" s="23">
        <f>SUMIFS($P:$P, $Q:$Q, "&lt;" &amp; $Q3123)</f>
        <v>186547861</v>
      </c>
    </row>
    <row r="3124" spans="1:19" x14ac:dyDescent="0.25">
      <c r="A3124" s="1">
        <v>3119</v>
      </c>
      <c r="B3124" s="1" t="s">
        <v>2</v>
      </c>
      <c r="C3124" s="1" t="str">
        <f>IF($B3124 = "Production Item", _xlfn.XLOOKUP($A3124, 'Instrument Table'!$J:$J, 'Instrument Table'!$B:$B, $C3123), IF($B3124 = "Service Item", _xlfn.XLOOKUP($A3124, 'Instrument Table'!$I:$I, 'Instrument Table'!$B:$B, $C3123), _xlfn.XLOOKUP($A3124, 'Instrument Table'!$H:$H, 'Instrument Table'!$B:$B, $C3123)))</f>
        <v>Cymbal</v>
      </c>
      <c r="D3124" s="1" t="str">
        <f>VLOOKUP($C3124, 'Instrument Table'!$B:$C, 2, FALSE)</f>
        <v>Percussion</v>
      </c>
      <c r="E3124" s="1">
        <f t="shared" si="288"/>
        <v>1</v>
      </c>
      <c r="F3124" s="1">
        <f>_xlfn.XLOOKUP($C3124, 'Instrument Table'!$B:$B, 'Instrument Table'!$A:$A, "")</f>
        <v>53</v>
      </c>
      <c r="G3124" s="1" t="str">
        <f>TEXT(IF($B3124 = "Retail Item", IF((ROW($A3124) - 4504 - _xlfn.XMATCH($C3124, $C$4506:$C$5005, 0, 1)) &lt;= VLOOKUP($C3124, 'Instrument Table'!$B:$D, 3, FALSE), ROW($A3124) - 4504 - _xlfn.XMATCH($C3124, $C$4506:$C$5005, 0, 1), 0), 0), "00")</f>
        <v>00</v>
      </c>
      <c r="H3124" s="1" t="str">
        <f t="shared" si="289"/>
        <v>018</v>
      </c>
      <c r="I3124" s="1" t="str">
        <f t="shared" si="290"/>
        <v>15300-018</v>
      </c>
      <c r="J3124" s="1" t="str">
        <f t="shared" si="291"/>
        <v>Cymbal production item #018</v>
      </c>
      <c r="K3124" s="1" t="str">
        <f>IF(SUM(COUNTIFS(I:I, I3124)) &gt; 1, "DUPLICATE", "UNIQUE")</f>
        <v>UNIQUE</v>
      </c>
      <c r="L3124" s="18">
        <v>16</v>
      </c>
      <c r="M3124" s="28">
        <v>9</v>
      </c>
      <c r="N3124" s="6">
        <v>225</v>
      </c>
      <c r="O3124" s="30">
        <f t="shared" si="292"/>
        <v>144</v>
      </c>
      <c r="P3124" s="30">
        <f t="shared" si="293"/>
        <v>2025</v>
      </c>
      <c r="Q3124" s="1">
        <f>COUNTIFS($P:$P, "&gt;" &amp; $P3124) + 1</f>
        <v>3241</v>
      </c>
      <c r="R3124" s="63">
        <f>(COUNTIFS($P:$P, "&gt;" &amp; $P3124) + 1) / (COUNTA($I:$I) - 1)</f>
        <v>0.6482</v>
      </c>
      <c r="S3124" s="23">
        <f>SUMIFS($P:$P, $Q:$Q, "&lt;" &amp; $Q3124)</f>
        <v>185492863</v>
      </c>
    </row>
    <row r="3125" spans="1:19" x14ac:dyDescent="0.25">
      <c r="A3125" s="1">
        <v>3120</v>
      </c>
      <c r="B3125" s="1" t="s">
        <v>2</v>
      </c>
      <c r="C3125" s="1" t="str">
        <f>IF($B3125 = "Production Item", _xlfn.XLOOKUP($A3125, 'Instrument Table'!$J:$J, 'Instrument Table'!$B:$B, $C3124), IF($B3125 = "Service Item", _xlfn.XLOOKUP($A3125, 'Instrument Table'!$I:$I, 'Instrument Table'!$B:$B, $C3124), _xlfn.XLOOKUP($A3125, 'Instrument Table'!$H:$H, 'Instrument Table'!$B:$B, $C3124)))</f>
        <v>Cymbal</v>
      </c>
      <c r="D3125" s="1" t="str">
        <f>VLOOKUP($C3125, 'Instrument Table'!$B:$C, 2, FALSE)</f>
        <v>Percussion</v>
      </c>
      <c r="E3125" s="1">
        <f t="shared" si="288"/>
        <v>1</v>
      </c>
      <c r="F3125" s="1">
        <f>_xlfn.XLOOKUP($C3125, 'Instrument Table'!$B:$B, 'Instrument Table'!$A:$A, "")</f>
        <v>53</v>
      </c>
      <c r="G3125" s="1" t="str">
        <f>TEXT(IF($B3125 = "Retail Item", IF((ROW($A3125) - 4504 - _xlfn.XMATCH($C3125, $C$4506:$C$5005, 0, 1)) &lt;= VLOOKUP($C3125, 'Instrument Table'!$B:$D, 3, FALSE), ROW($A3125) - 4504 - _xlfn.XMATCH($C3125, $C$4506:$C$5005, 0, 1), 0), 0), "00")</f>
        <v>00</v>
      </c>
      <c r="H3125" s="1" t="str">
        <f t="shared" si="289"/>
        <v>019</v>
      </c>
      <c r="I3125" s="1" t="str">
        <f t="shared" si="290"/>
        <v>15300-019</v>
      </c>
      <c r="J3125" s="1" t="str">
        <f t="shared" si="291"/>
        <v>Cymbal production item #019</v>
      </c>
      <c r="K3125" s="1" t="str">
        <f>IF(SUM(COUNTIFS(I:I, I3125)) &gt; 1, "DUPLICATE", "UNIQUE")</f>
        <v>UNIQUE</v>
      </c>
      <c r="L3125" s="18">
        <v>0</v>
      </c>
      <c r="M3125" s="28">
        <v>78</v>
      </c>
      <c r="N3125" s="6">
        <v>225</v>
      </c>
      <c r="O3125" s="30">
        <f t="shared" si="292"/>
        <v>0</v>
      </c>
      <c r="P3125" s="30">
        <f t="shared" si="293"/>
        <v>17550</v>
      </c>
      <c r="Q3125" s="1">
        <f>COUNTIFS($P:$P, "&gt;" &amp; $P3125) + 1</f>
        <v>1187</v>
      </c>
      <c r="R3125" s="63">
        <f>(COUNTIFS($P:$P, "&gt;" &amp; $P3125) + 1) / (COUNTA($I:$I) - 1)</f>
        <v>0.2374</v>
      </c>
      <c r="S3125" s="23">
        <f>SUMIFS($P:$P, $Q:$Q, "&lt;" &amp; $Q3125)</f>
        <v>170099245</v>
      </c>
    </row>
    <row r="3126" spans="1:19" x14ac:dyDescent="0.25">
      <c r="A3126" s="1">
        <v>3121</v>
      </c>
      <c r="B3126" s="1" t="s">
        <v>2</v>
      </c>
      <c r="C3126" s="1" t="str">
        <f>IF($B3126 = "Production Item", _xlfn.XLOOKUP($A3126, 'Instrument Table'!$J:$J, 'Instrument Table'!$B:$B, $C3125), IF($B3126 = "Service Item", _xlfn.XLOOKUP($A3126, 'Instrument Table'!$I:$I, 'Instrument Table'!$B:$B, $C3125), _xlfn.XLOOKUP($A3126, 'Instrument Table'!$H:$H, 'Instrument Table'!$B:$B, $C3125)))</f>
        <v>Cymbal</v>
      </c>
      <c r="D3126" s="1" t="str">
        <f>VLOOKUP($C3126, 'Instrument Table'!$B:$C, 2, FALSE)</f>
        <v>Percussion</v>
      </c>
      <c r="E3126" s="1">
        <f t="shared" si="288"/>
        <v>1</v>
      </c>
      <c r="F3126" s="1">
        <f>_xlfn.XLOOKUP($C3126, 'Instrument Table'!$B:$B, 'Instrument Table'!$A:$A, "")</f>
        <v>53</v>
      </c>
      <c r="G3126" s="1" t="str">
        <f>TEXT(IF($B3126 = "Retail Item", IF((ROW($A3126) - 4504 - _xlfn.XMATCH($C3126, $C$4506:$C$5005, 0, 1)) &lt;= VLOOKUP($C3126, 'Instrument Table'!$B:$D, 3, FALSE), ROW($A3126) - 4504 - _xlfn.XMATCH($C3126, $C$4506:$C$5005, 0, 1), 0), 0), "00")</f>
        <v>00</v>
      </c>
      <c r="H3126" s="1" t="str">
        <f t="shared" si="289"/>
        <v>020</v>
      </c>
      <c r="I3126" s="1" t="str">
        <f t="shared" si="290"/>
        <v>15300-020</v>
      </c>
      <c r="J3126" s="1" t="str">
        <f t="shared" si="291"/>
        <v>Cymbal production item #020</v>
      </c>
      <c r="K3126" s="1" t="str">
        <f>IF(SUM(COUNTIFS(I:I, I3126)) &gt; 1, "DUPLICATE", "UNIQUE")</f>
        <v>UNIQUE</v>
      </c>
      <c r="L3126" s="18">
        <v>0</v>
      </c>
      <c r="M3126" s="28">
        <v>14</v>
      </c>
      <c r="N3126" s="6">
        <v>64</v>
      </c>
      <c r="O3126" s="30">
        <f t="shared" si="292"/>
        <v>0</v>
      </c>
      <c r="P3126" s="30">
        <f t="shared" si="293"/>
        <v>896</v>
      </c>
      <c r="Q3126" s="1">
        <f>COUNTIFS($P:$P, "&gt;" &amp; $P3126) + 1</f>
        <v>3728</v>
      </c>
      <c r="R3126" s="63">
        <f>(COUNTIFS($P:$P, "&gt;" &amp; $P3126) + 1) / (COUNTA($I:$I) - 1)</f>
        <v>0.74560000000000004</v>
      </c>
      <c r="S3126" s="23">
        <f>SUMIFS($P:$P, $Q:$Q, "&lt;" &amp; $Q3126)</f>
        <v>186204787</v>
      </c>
    </row>
    <row r="3127" spans="1:19" x14ac:dyDescent="0.25">
      <c r="A3127" s="1">
        <v>3122</v>
      </c>
      <c r="B3127" s="1" t="s">
        <v>2</v>
      </c>
      <c r="C3127" s="1" t="str">
        <f>IF($B3127 = "Production Item", _xlfn.XLOOKUP($A3127, 'Instrument Table'!$J:$J, 'Instrument Table'!$B:$B, $C3126), IF($B3127 = "Service Item", _xlfn.XLOOKUP($A3127, 'Instrument Table'!$I:$I, 'Instrument Table'!$B:$B, $C3126), _xlfn.XLOOKUP($A3127, 'Instrument Table'!$H:$H, 'Instrument Table'!$B:$B, $C3126)))</f>
        <v>Cymbal</v>
      </c>
      <c r="D3127" s="1" t="str">
        <f>VLOOKUP($C3127, 'Instrument Table'!$B:$C, 2, FALSE)</f>
        <v>Percussion</v>
      </c>
      <c r="E3127" s="1">
        <f t="shared" si="288"/>
        <v>1</v>
      </c>
      <c r="F3127" s="1">
        <f>_xlfn.XLOOKUP($C3127, 'Instrument Table'!$B:$B, 'Instrument Table'!$A:$A, "")</f>
        <v>53</v>
      </c>
      <c r="G3127" s="1" t="str">
        <f>TEXT(IF($B3127 = "Retail Item", IF((ROW($A3127) - 4504 - _xlfn.XMATCH($C3127, $C$4506:$C$5005, 0, 1)) &lt;= VLOOKUP($C3127, 'Instrument Table'!$B:$D, 3, FALSE), ROW($A3127) - 4504 - _xlfn.XMATCH($C3127, $C$4506:$C$5005, 0, 1), 0), 0), "00")</f>
        <v>00</v>
      </c>
      <c r="H3127" s="1" t="str">
        <f t="shared" si="289"/>
        <v>021</v>
      </c>
      <c r="I3127" s="1" t="str">
        <f t="shared" si="290"/>
        <v>15300-021</v>
      </c>
      <c r="J3127" s="1" t="str">
        <f t="shared" si="291"/>
        <v>Cymbal production item #021</v>
      </c>
      <c r="K3127" s="1" t="str">
        <f>IF(SUM(COUNTIFS(I:I, I3127)) &gt; 1, "DUPLICATE", "UNIQUE")</f>
        <v>UNIQUE</v>
      </c>
      <c r="L3127" s="18">
        <v>1</v>
      </c>
      <c r="M3127" s="28">
        <v>27</v>
      </c>
      <c r="N3127" s="6">
        <v>400</v>
      </c>
      <c r="O3127" s="30">
        <f t="shared" si="292"/>
        <v>27</v>
      </c>
      <c r="P3127" s="30">
        <f t="shared" si="293"/>
        <v>10800</v>
      </c>
      <c r="Q3127" s="1">
        <f>COUNTIFS($P:$P, "&gt;" &amp; $P3127) + 1</f>
        <v>1703</v>
      </c>
      <c r="R3127" s="63">
        <f>(COUNTIFS($P:$P, "&gt;" &amp; $P3127) + 1) / (COUNTA($I:$I) - 1)</f>
        <v>0.34060000000000001</v>
      </c>
      <c r="S3127" s="23">
        <f>SUMIFS($P:$P, $Q:$Q, "&lt;" &amp; $Q3127)</f>
        <v>177245912</v>
      </c>
    </row>
    <row r="3128" spans="1:19" x14ac:dyDescent="0.25">
      <c r="A3128" s="1">
        <v>3123</v>
      </c>
      <c r="B3128" s="1" t="s">
        <v>2</v>
      </c>
      <c r="C3128" s="1" t="str">
        <f>IF($B3128 = "Production Item", _xlfn.XLOOKUP($A3128, 'Instrument Table'!$J:$J, 'Instrument Table'!$B:$B, $C3127), IF($B3128 = "Service Item", _xlfn.XLOOKUP($A3128, 'Instrument Table'!$I:$I, 'Instrument Table'!$B:$B, $C3127), _xlfn.XLOOKUP($A3128, 'Instrument Table'!$H:$H, 'Instrument Table'!$B:$B, $C3127)))</f>
        <v>Cymbal</v>
      </c>
      <c r="D3128" s="1" t="str">
        <f>VLOOKUP($C3128, 'Instrument Table'!$B:$C, 2, FALSE)</f>
        <v>Percussion</v>
      </c>
      <c r="E3128" s="1">
        <f t="shared" si="288"/>
        <v>1</v>
      </c>
      <c r="F3128" s="1">
        <f>_xlfn.XLOOKUP($C3128, 'Instrument Table'!$B:$B, 'Instrument Table'!$A:$A, "")</f>
        <v>53</v>
      </c>
      <c r="G3128" s="1" t="str">
        <f>TEXT(IF($B3128 = "Retail Item", IF((ROW($A3128) - 4504 - _xlfn.XMATCH($C3128, $C$4506:$C$5005, 0, 1)) &lt;= VLOOKUP($C3128, 'Instrument Table'!$B:$D, 3, FALSE), ROW($A3128) - 4504 - _xlfn.XMATCH($C3128, $C$4506:$C$5005, 0, 1), 0), 0), "00")</f>
        <v>00</v>
      </c>
      <c r="H3128" s="1" t="str">
        <f t="shared" si="289"/>
        <v>022</v>
      </c>
      <c r="I3128" s="1" t="str">
        <f t="shared" si="290"/>
        <v>15300-022</v>
      </c>
      <c r="J3128" s="1" t="str">
        <f t="shared" si="291"/>
        <v>Cymbal production item #022</v>
      </c>
      <c r="K3128" s="1" t="str">
        <f>IF(SUM(COUNTIFS(I:I, I3128)) &gt; 1, "DUPLICATE", "UNIQUE")</f>
        <v>UNIQUE</v>
      </c>
      <c r="L3128" s="18">
        <v>1</v>
      </c>
      <c r="M3128" s="28">
        <v>30</v>
      </c>
      <c r="N3128" s="6">
        <v>64</v>
      </c>
      <c r="O3128" s="30">
        <f t="shared" si="292"/>
        <v>30</v>
      </c>
      <c r="P3128" s="30">
        <f t="shared" si="293"/>
        <v>1920</v>
      </c>
      <c r="Q3128" s="1">
        <f>COUNTIFS($P:$P, "&gt;" &amp; $P3128) + 1</f>
        <v>3290</v>
      </c>
      <c r="R3128" s="63">
        <f>(COUNTIFS($P:$P, "&gt;" &amp; $P3128) + 1) / (COUNTA($I:$I) - 1)</f>
        <v>0.65800000000000003</v>
      </c>
      <c r="S3128" s="23">
        <f>SUMIFS($P:$P, $Q:$Q, "&lt;" &amp; $Q3128)</f>
        <v>185589978</v>
      </c>
    </row>
    <row r="3129" spans="1:19" x14ac:dyDescent="0.25">
      <c r="A3129" s="1">
        <v>3124</v>
      </c>
      <c r="B3129" s="1" t="s">
        <v>2</v>
      </c>
      <c r="C3129" s="1" t="str">
        <f>IF($B3129 = "Production Item", _xlfn.XLOOKUP($A3129, 'Instrument Table'!$J:$J, 'Instrument Table'!$B:$B, $C3128), IF($B3129 = "Service Item", _xlfn.XLOOKUP($A3129, 'Instrument Table'!$I:$I, 'Instrument Table'!$B:$B, $C3128), _xlfn.XLOOKUP($A3129, 'Instrument Table'!$H:$H, 'Instrument Table'!$B:$B, $C3128)))</f>
        <v>Cymbal</v>
      </c>
      <c r="D3129" s="1" t="str">
        <f>VLOOKUP($C3129, 'Instrument Table'!$B:$C, 2, FALSE)</f>
        <v>Percussion</v>
      </c>
      <c r="E3129" s="1">
        <f t="shared" si="288"/>
        <v>1</v>
      </c>
      <c r="F3129" s="1">
        <f>_xlfn.XLOOKUP($C3129, 'Instrument Table'!$B:$B, 'Instrument Table'!$A:$A, "")</f>
        <v>53</v>
      </c>
      <c r="G3129" s="1" t="str">
        <f>TEXT(IF($B3129 = "Retail Item", IF((ROW($A3129) - 4504 - _xlfn.XMATCH($C3129, $C$4506:$C$5005, 0, 1)) &lt;= VLOOKUP($C3129, 'Instrument Table'!$B:$D, 3, FALSE), ROW($A3129) - 4504 - _xlfn.XMATCH($C3129, $C$4506:$C$5005, 0, 1), 0), 0), "00")</f>
        <v>00</v>
      </c>
      <c r="H3129" s="1" t="str">
        <f t="shared" si="289"/>
        <v>023</v>
      </c>
      <c r="I3129" s="1" t="str">
        <f t="shared" si="290"/>
        <v>15300-023</v>
      </c>
      <c r="J3129" s="1" t="str">
        <f t="shared" si="291"/>
        <v>Cymbal production item #023</v>
      </c>
      <c r="K3129" s="1" t="str">
        <f>IF(SUM(COUNTIFS(I:I, I3129)) &gt; 1, "DUPLICATE", "UNIQUE")</f>
        <v>UNIQUE</v>
      </c>
      <c r="L3129" s="18">
        <v>0</v>
      </c>
      <c r="M3129" s="28">
        <v>58</v>
      </c>
      <c r="N3129" s="6">
        <v>64</v>
      </c>
      <c r="O3129" s="30">
        <f t="shared" si="292"/>
        <v>0</v>
      </c>
      <c r="P3129" s="30">
        <f t="shared" si="293"/>
        <v>3712</v>
      </c>
      <c r="Q3129" s="1">
        <f>COUNTIFS($P:$P, "&gt;" &amp; $P3129) + 1</f>
        <v>2720</v>
      </c>
      <c r="R3129" s="63">
        <f>(COUNTIFS($P:$P, "&gt;" &amp; $P3129) + 1) / (COUNTA($I:$I) - 1)</f>
        <v>0.54400000000000004</v>
      </c>
      <c r="S3129" s="23">
        <f>SUMIFS($P:$P, $Q:$Q, "&lt;" &amp; $Q3129)</f>
        <v>184041686</v>
      </c>
    </row>
    <row r="3130" spans="1:19" x14ac:dyDescent="0.25">
      <c r="A3130" s="1">
        <v>3125</v>
      </c>
      <c r="B3130" s="1" t="s">
        <v>2</v>
      </c>
      <c r="C3130" s="1" t="str">
        <f>IF($B3130 = "Production Item", _xlfn.XLOOKUP($A3130, 'Instrument Table'!$J:$J, 'Instrument Table'!$B:$B, $C3129), IF($B3130 = "Service Item", _xlfn.XLOOKUP($A3130, 'Instrument Table'!$I:$I, 'Instrument Table'!$B:$B, $C3129), _xlfn.XLOOKUP($A3130, 'Instrument Table'!$H:$H, 'Instrument Table'!$B:$B, $C3129)))</f>
        <v>Cymbal</v>
      </c>
      <c r="D3130" s="1" t="str">
        <f>VLOOKUP($C3130, 'Instrument Table'!$B:$C, 2, FALSE)</f>
        <v>Percussion</v>
      </c>
      <c r="E3130" s="1">
        <f t="shared" si="288"/>
        <v>1</v>
      </c>
      <c r="F3130" s="1">
        <f>_xlfn.XLOOKUP($C3130, 'Instrument Table'!$B:$B, 'Instrument Table'!$A:$A, "")</f>
        <v>53</v>
      </c>
      <c r="G3130" s="1" t="str">
        <f>TEXT(IF($B3130 = "Retail Item", IF((ROW($A3130) - 4504 - _xlfn.XMATCH($C3130, $C$4506:$C$5005, 0, 1)) &lt;= VLOOKUP($C3130, 'Instrument Table'!$B:$D, 3, FALSE), ROW($A3130) - 4504 - _xlfn.XMATCH($C3130, $C$4506:$C$5005, 0, 1), 0), 0), "00")</f>
        <v>00</v>
      </c>
      <c r="H3130" s="1" t="str">
        <f t="shared" si="289"/>
        <v>024</v>
      </c>
      <c r="I3130" s="1" t="str">
        <f t="shared" si="290"/>
        <v>15300-024</v>
      </c>
      <c r="J3130" s="1" t="str">
        <f t="shared" si="291"/>
        <v>Cymbal production item #024</v>
      </c>
      <c r="K3130" s="1" t="str">
        <f>IF(SUM(COUNTIFS(I:I, I3130)) &gt; 1, "DUPLICATE", "UNIQUE")</f>
        <v>UNIQUE</v>
      </c>
      <c r="L3130" s="18">
        <v>1</v>
      </c>
      <c r="M3130" s="28">
        <v>86</v>
      </c>
      <c r="N3130" s="6">
        <v>169</v>
      </c>
      <c r="O3130" s="30">
        <f t="shared" si="292"/>
        <v>86</v>
      </c>
      <c r="P3130" s="30">
        <f t="shared" si="293"/>
        <v>14534</v>
      </c>
      <c r="Q3130" s="1">
        <f>COUNTIFS($P:$P, "&gt;" &amp; $P3130) + 1</f>
        <v>1384</v>
      </c>
      <c r="R3130" s="63">
        <f>(COUNTIFS($P:$P, "&gt;" &amp; $P3130) + 1) / (COUNTA($I:$I) - 1)</f>
        <v>0.27679999999999999</v>
      </c>
      <c r="S3130" s="23">
        <f>SUMIFS($P:$P, $Q:$Q, "&lt;" &amp; $Q3130)</f>
        <v>173245180</v>
      </c>
    </row>
    <row r="3131" spans="1:19" x14ac:dyDescent="0.25">
      <c r="A3131" s="1">
        <v>3126</v>
      </c>
      <c r="B3131" s="1" t="s">
        <v>2</v>
      </c>
      <c r="C3131" s="1" t="str">
        <f>IF($B3131 = "Production Item", _xlfn.XLOOKUP($A3131, 'Instrument Table'!$J:$J, 'Instrument Table'!$B:$B, $C3130), IF($B3131 = "Service Item", _xlfn.XLOOKUP($A3131, 'Instrument Table'!$I:$I, 'Instrument Table'!$B:$B, $C3130), _xlfn.XLOOKUP($A3131, 'Instrument Table'!$H:$H, 'Instrument Table'!$B:$B, $C3130)))</f>
        <v>Cymbal</v>
      </c>
      <c r="D3131" s="1" t="str">
        <f>VLOOKUP($C3131, 'Instrument Table'!$B:$C, 2, FALSE)</f>
        <v>Percussion</v>
      </c>
      <c r="E3131" s="1">
        <f t="shared" si="288"/>
        <v>1</v>
      </c>
      <c r="F3131" s="1">
        <f>_xlfn.XLOOKUP($C3131, 'Instrument Table'!$B:$B, 'Instrument Table'!$A:$A, "")</f>
        <v>53</v>
      </c>
      <c r="G3131" s="1" t="str">
        <f>TEXT(IF($B3131 = "Retail Item", IF((ROW($A3131) - 4504 - _xlfn.XMATCH($C3131, $C$4506:$C$5005, 0, 1)) &lt;= VLOOKUP($C3131, 'Instrument Table'!$B:$D, 3, FALSE), ROW($A3131) - 4504 - _xlfn.XMATCH($C3131, $C$4506:$C$5005, 0, 1), 0), 0), "00")</f>
        <v>00</v>
      </c>
      <c r="H3131" s="1" t="str">
        <f t="shared" si="289"/>
        <v>025</v>
      </c>
      <c r="I3131" s="1" t="str">
        <f t="shared" si="290"/>
        <v>15300-025</v>
      </c>
      <c r="J3131" s="1" t="str">
        <f t="shared" si="291"/>
        <v>Cymbal production item #025</v>
      </c>
      <c r="K3131" s="1" t="str">
        <f>IF(SUM(COUNTIFS(I:I, I3131)) &gt; 1, "DUPLICATE", "UNIQUE")</f>
        <v>UNIQUE</v>
      </c>
      <c r="L3131" s="18">
        <v>0</v>
      </c>
      <c r="M3131" s="28">
        <v>15</v>
      </c>
      <c r="N3131" s="6">
        <v>169</v>
      </c>
      <c r="O3131" s="30">
        <f t="shared" si="292"/>
        <v>0</v>
      </c>
      <c r="P3131" s="30">
        <f t="shared" si="293"/>
        <v>2535</v>
      </c>
      <c r="Q3131" s="1">
        <f>COUNTIFS($P:$P, "&gt;" &amp; $P3131) + 1</f>
        <v>3040</v>
      </c>
      <c r="R3131" s="63">
        <f>(COUNTIFS($P:$P, "&gt;" &amp; $P3131) + 1) / (COUNTA($I:$I) - 1)</f>
        <v>0.60799999999999998</v>
      </c>
      <c r="S3131" s="23">
        <f>SUMIFS($P:$P, $Q:$Q, "&lt;" &amp; $Q3131)</f>
        <v>185035417</v>
      </c>
    </row>
    <row r="3132" spans="1:19" x14ac:dyDescent="0.25">
      <c r="A3132" s="1">
        <v>3127</v>
      </c>
      <c r="B3132" s="1" t="s">
        <v>2</v>
      </c>
      <c r="C3132" s="1" t="str">
        <f>IF($B3132 = "Production Item", _xlfn.XLOOKUP($A3132, 'Instrument Table'!$J:$J, 'Instrument Table'!$B:$B, $C3131), IF($B3132 = "Service Item", _xlfn.XLOOKUP($A3132, 'Instrument Table'!$I:$I, 'Instrument Table'!$B:$B, $C3131), _xlfn.XLOOKUP($A3132, 'Instrument Table'!$H:$H, 'Instrument Table'!$B:$B, $C3131)))</f>
        <v>Cymbal</v>
      </c>
      <c r="D3132" s="1" t="str">
        <f>VLOOKUP($C3132, 'Instrument Table'!$B:$C, 2, FALSE)</f>
        <v>Percussion</v>
      </c>
      <c r="E3132" s="1">
        <f t="shared" si="288"/>
        <v>1</v>
      </c>
      <c r="F3132" s="1">
        <f>_xlfn.XLOOKUP($C3132, 'Instrument Table'!$B:$B, 'Instrument Table'!$A:$A, "")</f>
        <v>53</v>
      </c>
      <c r="G3132" s="1" t="str">
        <f>TEXT(IF($B3132 = "Retail Item", IF((ROW($A3132) - 4504 - _xlfn.XMATCH($C3132, $C$4506:$C$5005, 0, 1)) &lt;= VLOOKUP($C3132, 'Instrument Table'!$B:$D, 3, FALSE), ROW($A3132) - 4504 - _xlfn.XMATCH($C3132, $C$4506:$C$5005, 0, 1), 0), 0), "00")</f>
        <v>00</v>
      </c>
      <c r="H3132" s="1" t="str">
        <f t="shared" si="289"/>
        <v>026</v>
      </c>
      <c r="I3132" s="1" t="str">
        <f t="shared" si="290"/>
        <v>15300-026</v>
      </c>
      <c r="J3132" s="1" t="str">
        <f t="shared" si="291"/>
        <v>Cymbal production item #026</v>
      </c>
      <c r="K3132" s="1" t="str">
        <f>IF(SUM(COUNTIFS(I:I, I3132)) &gt; 1, "DUPLICATE", "UNIQUE")</f>
        <v>UNIQUE</v>
      </c>
      <c r="L3132" s="18">
        <v>0</v>
      </c>
      <c r="M3132" s="28">
        <v>35</v>
      </c>
      <c r="N3132" s="6">
        <v>324</v>
      </c>
      <c r="O3132" s="30">
        <f t="shared" si="292"/>
        <v>0</v>
      </c>
      <c r="P3132" s="30">
        <f t="shared" si="293"/>
        <v>11340</v>
      </c>
      <c r="Q3132" s="1">
        <f>COUNTIFS($P:$P, "&gt;" &amp; $P3132) + 1</f>
        <v>1651</v>
      </c>
      <c r="R3132" s="63">
        <f>(COUNTIFS($P:$P, "&gt;" &amp; $P3132) + 1) / (COUNTA($I:$I) - 1)</f>
        <v>0.33019999999999999</v>
      </c>
      <c r="S3132" s="23">
        <f>SUMIFS($P:$P, $Q:$Q, "&lt;" &amp; $Q3132)</f>
        <v>176669521</v>
      </c>
    </row>
    <row r="3133" spans="1:19" x14ac:dyDescent="0.25">
      <c r="A3133" s="1">
        <v>3128</v>
      </c>
      <c r="B3133" s="1" t="s">
        <v>2</v>
      </c>
      <c r="C3133" s="1" t="str">
        <f>IF($B3133 = "Production Item", _xlfn.XLOOKUP($A3133, 'Instrument Table'!$J:$J, 'Instrument Table'!$B:$B, $C3132), IF($B3133 = "Service Item", _xlfn.XLOOKUP($A3133, 'Instrument Table'!$I:$I, 'Instrument Table'!$B:$B, $C3132), _xlfn.XLOOKUP($A3133, 'Instrument Table'!$H:$H, 'Instrument Table'!$B:$B, $C3132)))</f>
        <v>Cymbal</v>
      </c>
      <c r="D3133" s="1" t="str">
        <f>VLOOKUP($C3133, 'Instrument Table'!$B:$C, 2, FALSE)</f>
        <v>Percussion</v>
      </c>
      <c r="E3133" s="1">
        <f t="shared" si="288"/>
        <v>1</v>
      </c>
      <c r="F3133" s="1">
        <f>_xlfn.XLOOKUP($C3133, 'Instrument Table'!$B:$B, 'Instrument Table'!$A:$A, "")</f>
        <v>53</v>
      </c>
      <c r="G3133" s="1" t="str">
        <f>TEXT(IF($B3133 = "Retail Item", IF((ROW($A3133) - 4504 - _xlfn.XMATCH($C3133, $C$4506:$C$5005, 0, 1)) &lt;= VLOOKUP($C3133, 'Instrument Table'!$B:$D, 3, FALSE), ROW($A3133) - 4504 - _xlfn.XMATCH($C3133, $C$4506:$C$5005, 0, 1), 0), 0), "00")</f>
        <v>00</v>
      </c>
      <c r="H3133" s="1" t="str">
        <f t="shared" si="289"/>
        <v>027</v>
      </c>
      <c r="I3133" s="1" t="str">
        <f t="shared" si="290"/>
        <v>15300-027</v>
      </c>
      <c r="J3133" s="1" t="str">
        <f t="shared" si="291"/>
        <v>Cymbal production item #027</v>
      </c>
      <c r="K3133" s="1" t="str">
        <f>IF(SUM(COUNTIFS(I:I, I3133)) &gt; 1, "DUPLICATE", "UNIQUE")</f>
        <v>UNIQUE</v>
      </c>
      <c r="L3133" s="18">
        <v>1</v>
      </c>
      <c r="M3133" s="28">
        <v>49</v>
      </c>
      <c r="N3133" s="6">
        <v>289</v>
      </c>
      <c r="O3133" s="30">
        <f t="shared" si="292"/>
        <v>49</v>
      </c>
      <c r="P3133" s="30">
        <f t="shared" si="293"/>
        <v>14161</v>
      </c>
      <c r="Q3133" s="1">
        <f>COUNTIFS($P:$P, "&gt;" &amp; $P3133) + 1</f>
        <v>1408</v>
      </c>
      <c r="R3133" s="63">
        <f>(COUNTIFS($P:$P, "&gt;" &amp; $P3133) + 1) / (COUNTA($I:$I) - 1)</f>
        <v>0.28160000000000002</v>
      </c>
      <c r="S3133" s="23">
        <f>SUMIFS($P:$P, $Q:$Q, "&lt;" &amp; $Q3133)</f>
        <v>173589655</v>
      </c>
    </row>
    <row r="3134" spans="1:19" x14ac:dyDescent="0.25">
      <c r="A3134" s="1">
        <v>3129</v>
      </c>
      <c r="B3134" s="1" t="s">
        <v>2</v>
      </c>
      <c r="C3134" s="1" t="str">
        <f>IF($B3134 = "Production Item", _xlfn.XLOOKUP($A3134, 'Instrument Table'!$J:$J, 'Instrument Table'!$B:$B, $C3133), IF($B3134 = "Service Item", _xlfn.XLOOKUP($A3134, 'Instrument Table'!$I:$I, 'Instrument Table'!$B:$B, $C3133), _xlfn.XLOOKUP($A3134, 'Instrument Table'!$H:$H, 'Instrument Table'!$B:$B, $C3133)))</f>
        <v>Cymbal</v>
      </c>
      <c r="D3134" s="1" t="str">
        <f>VLOOKUP($C3134, 'Instrument Table'!$B:$C, 2, FALSE)</f>
        <v>Percussion</v>
      </c>
      <c r="E3134" s="1">
        <f t="shared" si="288"/>
        <v>1</v>
      </c>
      <c r="F3134" s="1">
        <f>_xlfn.XLOOKUP($C3134, 'Instrument Table'!$B:$B, 'Instrument Table'!$A:$A, "")</f>
        <v>53</v>
      </c>
      <c r="G3134" s="1" t="str">
        <f>TEXT(IF($B3134 = "Retail Item", IF((ROW($A3134) - 4504 - _xlfn.XMATCH($C3134, $C$4506:$C$5005, 0, 1)) &lt;= VLOOKUP($C3134, 'Instrument Table'!$B:$D, 3, FALSE), ROW($A3134) - 4504 - _xlfn.XMATCH($C3134, $C$4506:$C$5005, 0, 1), 0), 0), "00")</f>
        <v>00</v>
      </c>
      <c r="H3134" s="1" t="str">
        <f t="shared" si="289"/>
        <v>028</v>
      </c>
      <c r="I3134" s="1" t="str">
        <f t="shared" si="290"/>
        <v>15300-028</v>
      </c>
      <c r="J3134" s="1" t="str">
        <f t="shared" si="291"/>
        <v>Cymbal production item #028</v>
      </c>
      <c r="K3134" s="1" t="str">
        <f>IF(SUM(COUNTIFS(I:I, I3134)) &gt; 1, "DUPLICATE", "UNIQUE")</f>
        <v>UNIQUE</v>
      </c>
      <c r="L3134" s="18">
        <v>0</v>
      </c>
      <c r="M3134" s="28">
        <v>81</v>
      </c>
      <c r="N3134" s="6">
        <v>36</v>
      </c>
      <c r="O3134" s="30">
        <f t="shared" si="292"/>
        <v>0</v>
      </c>
      <c r="P3134" s="30">
        <f t="shared" si="293"/>
        <v>2916</v>
      </c>
      <c r="Q3134" s="1">
        <f>COUNTIFS($P:$P, "&gt;" &amp; $P3134) + 1</f>
        <v>2925</v>
      </c>
      <c r="R3134" s="63">
        <f>(COUNTIFS($P:$P, "&gt;" &amp; $P3134) + 1) / (COUNTA($I:$I) - 1)</f>
        <v>0.58499999999999996</v>
      </c>
      <c r="S3134" s="23">
        <f>SUMIFS($P:$P, $Q:$Q, "&lt;" &amp; $Q3134)</f>
        <v>184722737</v>
      </c>
    </row>
    <row r="3135" spans="1:19" x14ac:dyDescent="0.25">
      <c r="A3135" s="1">
        <v>3130</v>
      </c>
      <c r="B3135" s="1" t="s">
        <v>2</v>
      </c>
      <c r="C3135" s="1" t="str">
        <f>IF($B3135 = "Production Item", _xlfn.XLOOKUP($A3135, 'Instrument Table'!$J:$J, 'Instrument Table'!$B:$B, $C3134), IF($B3135 = "Service Item", _xlfn.XLOOKUP($A3135, 'Instrument Table'!$I:$I, 'Instrument Table'!$B:$B, $C3134), _xlfn.XLOOKUP($A3135, 'Instrument Table'!$H:$H, 'Instrument Table'!$B:$B, $C3134)))</f>
        <v>Cymbal</v>
      </c>
      <c r="D3135" s="1" t="str">
        <f>VLOOKUP($C3135, 'Instrument Table'!$B:$C, 2, FALSE)</f>
        <v>Percussion</v>
      </c>
      <c r="E3135" s="1">
        <f t="shared" si="288"/>
        <v>1</v>
      </c>
      <c r="F3135" s="1">
        <f>_xlfn.XLOOKUP($C3135, 'Instrument Table'!$B:$B, 'Instrument Table'!$A:$A, "")</f>
        <v>53</v>
      </c>
      <c r="G3135" s="1" t="str">
        <f>TEXT(IF($B3135 = "Retail Item", IF((ROW($A3135) - 4504 - _xlfn.XMATCH($C3135, $C$4506:$C$5005, 0, 1)) &lt;= VLOOKUP($C3135, 'Instrument Table'!$B:$D, 3, FALSE), ROW($A3135) - 4504 - _xlfn.XMATCH($C3135, $C$4506:$C$5005, 0, 1), 0), 0), "00")</f>
        <v>00</v>
      </c>
      <c r="H3135" s="1" t="str">
        <f t="shared" si="289"/>
        <v>029</v>
      </c>
      <c r="I3135" s="1" t="str">
        <f t="shared" si="290"/>
        <v>15300-029</v>
      </c>
      <c r="J3135" s="1" t="str">
        <f t="shared" si="291"/>
        <v>Cymbal production item #029</v>
      </c>
      <c r="K3135" s="1" t="str">
        <f>IF(SUM(COUNTIFS(I:I, I3135)) &gt; 1, "DUPLICATE", "UNIQUE")</f>
        <v>UNIQUE</v>
      </c>
      <c r="L3135" s="18">
        <v>0</v>
      </c>
      <c r="M3135" s="28">
        <v>41</v>
      </c>
      <c r="N3135" s="6">
        <v>16</v>
      </c>
      <c r="O3135" s="30">
        <f t="shared" si="292"/>
        <v>0</v>
      </c>
      <c r="P3135" s="30">
        <f t="shared" si="293"/>
        <v>656</v>
      </c>
      <c r="Q3135" s="1">
        <f>COUNTIFS($P:$P, "&gt;" &amp; $P3135) + 1</f>
        <v>3906</v>
      </c>
      <c r="R3135" s="63">
        <f>(COUNTIFS($P:$P, "&gt;" &amp; $P3135) + 1) / (COUNTA($I:$I) - 1)</f>
        <v>0.78120000000000001</v>
      </c>
      <c r="S3135" s="23">
        <f>SUMIFS($P:$P, $Q:$Q, "&lt;" &amp; $Q3135)</f>
        <v>186342829</v>
      </c>
    </row>
    <row r="3136" spans="1:19" x14ac:dyDescent="0.25">
      <c r="A3136" s="1">
        <v>3131</v>
      </c>
      <c r="B3136" s="1" t="s">
        <v>2</v>
      </c>
      <c r="C3136" s="1" t="str">
        <f>IF($B3136 = "Production Item", _xlfn.XLOOKUP($A3136, 'Instrument Table'!$J:$J, 'Instrument Table'!$B:$B, $C3135), IF($B3136 = "Service Item", _xlfn.XLOOKUP($A3136, 'Instrument Table'!$I:$I, 'Instrument Table'!$B:$B, $C3135), _xlfn.XLOOKUP($A3136, 'Instrument Table'!$H:$H, 'Instrument Table'!$B:$B, $C3135)))</f>
        <v>Cymbal</v>
      </c>
      <c r="D3136" s="1" t="str">
        <f>VLOOKUP($C3136, 'Instrument Table'!$B:$C, 2, FALSE)</f>
        <v>Percussion</v>
      </c>
      <c r="E3136" s="1">
        <f t="shared" si="288"/>
        <v>1</v>
      </c>
      <c r="F3136" s="1">
        <f>_xlfn.XLOOKUP($C3136, 'Instrument Table'!$B:$B, 'Instrument Table'!$A:$A, "")</f>
        <v>53</v>
      </c>
      <c r="G3136" s="1" t="str">
        <f>TEXT(IF($B3136 = "Retail Item", IF((ROW($A3136) - 4504 - _xlfn.XMATCH($C3136, $C$4506:$C$5005, 0, 1)) &lt;= VLOOKUP($C3136, 'Instrument Table'!$B:$D, 3, FALSE), ROW($A3136) - 4504 - _xlfn.XMATCH($C3136, $C$4506:$C$5005, 0, 1), 0), 0), "00")</f>
        <v>00</v>
      </c>
      <c r="H3136" s="1" t="str">
        <f t="shared" si="289"/>
        <v>030</v>
      </c>
      <c r="I3136" s="1" t="str">
        <f t="shared" si="290"/>
        <v>15300-030</v>
      </c>
      <c r="J3136" s="1" t="str">
        <f t="shared" si="291"/>
        <v>Cymbal production item #030</v>
      </c>
      <c r="K3136" s="1" t="str">
        <f>IF(SUM(COUNTIFS(I:I, I3136)) &gt; 1, "DUPLICATE", "UNIQUE")</f>
        <v>UNIQUE</v>
      </c>
      <c r="L3136" s="18">
        <v>1</v>
      </c>
      <c r="M3136" s="28">
        <v>46</v>
      </c>
      <c r="N3136" s="6">
        <v>16</v>
      </c>
      <c r="O3136" s="30">
        <f t="shared" si="292"/>
        <v>46</v>
      </c>
      <c r="P3136" s="30">
        <f t="shared" si="293"/>
        <v>736</v>
      </c>
      <c r="Q3136" s="1">
        <f>COUNTIFS($P:$P, "&gt;" &amp; $P3136) + 1</f>
        <v>3841</v>
      </c>
      <c r="R3136" s="63">
        <f>(COUNTIFS($P:$P, "&gt;" &amp; $P3136) + 1) / (COUNTA($I:$I) - 1)</f>
        <v>0.76819999999999999</v>
      </c>
      <c r="S3136" s="23">
        <f>SUMIFS($P:$P, $Q:$Q, "&lt;" &amp; $Q3136)</f>
        <v>186296955</v>
      </c>
    </row>
    <row r="3137" spans="1:19" x14ac:dyDescent="0.25">
      <c r="A3137" s="1">
        <v>3132</v>
      </c>
      <c r="B3137" s="1" t="s">
        <v>2</v>
      </c>
      <c r="C3137" s="1" t="str">
        <f>IF($B3137 = "Production Item", _xlfn.XLOOKUP($A3137, 'Instrument Table'!$J:$J, 'Instrument Table'!$B:$B, $C3136), IF($B3137 = "Service Item", _xlfn.XLOOKUP($A3137, 'Instrument Table'!$I:$I, 'Instrument Table'!$B:$B, $C3136), _xlfn.XLOOKUP($A3137, 'Instrument Table'!$H:$H, 'Instrument Table'!$B:$B, $C3136)))</f>
        <v>Cymbal</v>
      </c>
      <c r="D3137" s="1" t="str">
        <f>VLOOKUP($C3137, 'Instrument Table'!$B:$C, 2, FALSE)</f>
        <v>Percussion</v>
      </c>
      <c r="E3137" s="1">
        <f t="shared" si="288"/>
        <v>1</v>
      </c>
      <c r="F3137" s="1">
        <f>_xlfn.XLOOKUP($C3137, 'Instrument Table'!$B:$B, 'Instrument Table'!$A:$A, "")</f>
        <v>53</v>
      </c>
      <c r="G3137" s="1" t="str">
        <f>TEXT(IF($B3137 = "Retail Item", IF((ROW($A3137) - 4504 - _xlfn.XMATCH($C3137, $C$4506:$C$5005, 0, 1)) &lt;= VLOOKUP($C3137, 'Instrument Table'!$B:$D, 3, FALSE), ROW($A3137) - 4504 - _xlfn.XMATCH($C3137, $C$4506:$C$5005, 0, 1), 0), 0), "00")</f>
        <v>00</v>
      </c>
      <c r="H3137" s="1" t="str">
        <f t="shared" si="289"/>
        <v>031</v>
      </c>
      <c r="I3137" s="1" t="str">
        <f t="shared" si="290"/>
        <v>15300-031</v>
      </c>
      <c r="J3137" s="1" t="str">
        <f t="shared" si="291"/>
        <v>Cymbal production item #031</v>
      </c>
      <c r="K3137" s="1" t="str">
        <f>IF(SUM(COUNTIFS(I:I, I3137)) &gt; 1, "DUPLICATE", "UNIQUE")</f>
        <v>UNIQUE</v>
      </c>
      <c r="L3137" s="18">
        <v>8</v>
      </c>
      <c r="M3137" s="28">
        <v>35</v>
      </c>
      <c r="N3137" s="6">
        <v>100</v>
      </c>
      <c r="O3137" s="30">
        <f t="shared" si="292"/>
        <v>280</v>
      </c>
      <c r="P3137" s="30">
        <f t="shared" si="293"/>
        <v>3500</v>
      </c>
      <c r="Q3137" s="1">
        <f>COUNTIFS($P:$P, "&gt;" &amp; $P3137) + 1</f>
        <v>2776</v>
      </c>
      <c r="R3137" s="63">
        <f>(COUNTIFS($P:$P, "&gt;" &amp; $P3137) + 1) / (COUNTA($I:$I) - 1)</f>
        <v>0.55520000000000003</v>
      </c>
      <c r="S3137" s="23">
        <f>SUMIFS($P:$P, $Q:$Q, "&lt;" &amp; $Q3137)</f>
        <v>184242852</v>
      </c>
    </row>
    <row r="3138" spans="1:19" x14ac:dyDescent="0.25">
      <c r="A3138" s="1">
        <v>3133</v>
      </c>
      <c r="B3138" s="1" t="s">
        <v>2</v>
      </c>
      <c r="C3138" s="1" t="str">
        <f>IF($B3138 = "Production Item", _xlfn.XLOOKUP($A3138, 'Instrument Table'!$J:$J, 'Instrument Table'!$B:$B, $C3137), IF($B3138 = "Service Item", _xlfn.XLOOKUP($A3138, 'Instrument Table'!$I:$I, 'Instrument Table'!$B:$B, $C3137), _xlfn.XLOOKUP($A3138, 'Instrument Table'!$H:$H, 'Instrument Table'!$B:$B, $C3137)))</f>
        <v>Cymbal</v>
      </c>
      <c r="D3138" s="1" t="str">
        <f>VLOOKUP($C3138, 'Instrument Table'!$B:$C, 2, FALSE)</f>
        <v>Percussion</v>
      </c>
      <c r="E3138" s="1">
        <f t="shared" si="288"/>
        <v>1</v>
      </c>
      <c r="F3138" s="1">
        <f>_xlfn.XLOOKUP($C3138, 'Instrument Table'!$B:$B, 'Instrument Table'!$A:$A, "")</f>
        <v>53</v>
      </c>
      <c r="G3138" s="1" t="str">
        <f>TEXT(IF($B3138 = "Retail Item", IF((ROW($A3138) - 4504 - _xlfn.XMATCH($C3138, $C$4506:$C$5005, 0, 1)) &lt;= VLOOKUP($C3138, 'Instrument Table'!$B:$D, 3, FALSE), ROW($A3138) - 4504 - _xlfn.XMATCH($C3138, $C$4506:$C$5005, 0, 1), 0), 0), "00")</f>
        <v>00</v>
      </c>
      <c r="H3138" s="1" t="str">
        <f t="shared" si="289"/>
        <v>032</v>
      </c>
      <c r="I3138" s="1" t="str">
        <f t="shared" si="290"/>
        <v>15300-032</v>
      </c>
      <c r="J3138" s="1" t="str">
        <f t="shared" si="291"/>
        <v>Cymbal production item #032</v>
      </c>
      <c r="K3138" s="1" t="str">
        <f>IF(SUM(COUNTIFS(I:I, I3138)) &gt; 1, "DUPLICATE", "UNIQUE")</f>
        <v>UNIQUE</v>
      </c>
      <c r="L3138" s="18">
        <v>1</v>
      </c>
      <c r="M3138" s="28">
        <v>18</v>
      </c>
      <c r="N3138" s="6">
        <v>81</v>
      </c>
      <c r="O3138" s="30">
        <f t="shared" si="292"/>
        <v>18</v>
      </c>
      <c r="P3138" s="30">
        <f t="shared" si="293"/>
        <v>1458</v>
      </c>
      <c r="Q3138" s="1">
        <f>COUNTIFS($P:$P, "&gt;" &amp; $P3138) + 1</f>
        <v>3477</v>
      </c>
      <c r="R3138" s="63">
        <f>(COUNTIFS($P:$P, "&gt;" &amp; $P3138) + 1) / (COUNTA($I:$I) - 1)</f>
        <v>0.69540000000000002</v>
      </c>
      <c r="S3138" s="23">
        <f>SUMIFS($P:$P, $Q:$Q, "&lt;" &amp; $Q3138)</f>
        <v>185904150</v>
      </c>
    </row>
    <row r="3139" spans="1:19" x14ac:dyDescent="0.25">
      <c r="A3139" s="1">
        <v>3134</v>
      </c>
      <c r="B3139" s="1" t="s">
        <v>2</v>
      </c>
      <c r="C3139" s="1" t="str">
        <f>IF($B3139 = "Production Item", _xlfn.XLOOKUP($A3139, 'Instrument Table'!$J:$J, 'Instrument Table'!$B:$B, $C3138), IF($B3139 = "Service Item", _xlfn.XLOOKUP($A3139, 'Instrument Table'!$I:$I, 'Instrument Table'!$B:$B, $C3138), _xlfn.XLOOKUP($A3139, 'Instrument Table'!$H:$H, 'Instrument Table'!$B:$B, $C3138)))</f>
        <v>Cymbal</v>
      </c>
      <c r="D3139" s="1" t="str">
        <f>VLOOKUP($C3139, 'Instrument Table'!$B:$C, 2, FALSE)</f>
        <v>Percussion</v>
      </c>
      <c r="E3139" s="1">
        <f t="shared" si="288"/>
        <v>1</v>
      </c>
      <c r="F3139" s="1">
        <f>_xlfn.XLOOKUP($C3139, 'Instrument Table'!$B:$B, 'Instrument Table'!$A:$A, "")</f>
        <v>53</v>
      </c>
      <c r="G3139" s="1" t="str">
        <f>TEXT(IF($B3139 = "Retail Item", IF((ROW($A3139) - 4504 - _xlfn.XMATCH($C3139, $C$4506:$C$5005, 0, 1)) &lt;= VLOOKUP($C3139, 'Instrument Table'!$B:$D, 3, FALSE), ROW($A3139) - 4504 - _xlfn.XMATCH($C3139, $C$4506:$C$5005, 0, 1), 0), 0), "00")</f>
        <v>00</v>
      </c>
      <c r="H3139" s="1" t="str">
        <f t="shared" si="289"/>
        <v>033</v>
      </c>
      <c r="I3139" s="1" t="str">
        <f t="shared" si="290"/>
        <v>15300-033</v>
      </c>
      <c r="J3139" s="1" t="str">
        <f t="shared" si="291"/>
        <v>Cymbal production item #033</v>
      </c>
      <c r="K3139" s="1" t="str">
        <f>IF(SUM(COUNTIFS(I:I, I3139)) &gt; 1, "DUPLICATE", "UNIQUE")</f>
        <v>UNIQUE</v>
      </c>
      <c r="L3139" s="18">
        <v>1</v>
      </c>
      <c r="M3139" s="28">
        <v>48</v>
      </c>
      <c r="N3139" s="6">
        <v>9</v>
      </c>
      <c r="O3139" s="30">
        <f t="shared" si="292"/>
        <v>48</v>
      </c>
      <c r="P3139" s="30">
        <f t="shared" si="293"/>
        <v>432</v>
      </c>
      <c r="Q3139" s="1">
        <f>COUNTIFS($P:$P, "&gt;" &amp; $P3139) + 1</f>
        <v>4071</v>
      </c>
      <c r="R3139" s="63">
        <f>(COUNTIFS($P:$P, "&gt;" &amp; $P3139) + 1) / (COUNTA($I:$I) - 1)</f>
        <v>0.81420000000000003</v>
      </c>
      <c r="S3139" s="23">
        <f>SUMIFS($P:$P, $Q:$Q, "&lt;" &amp; $Q3139)</f>
        <v>186432845</v>
      </c>
    </row>
    <row r="3140" spans="1:19" x14ac:dyDescent="0.25">
      <c r="A3140" s="1">
        <v>3135</v>
      </c>
      <c r="B3140" s="1" t="s">
        <v>2</v>
      </c>
      <c r="C3140" s="1" t="str">
        <f>IF($B3140 = "Production Item", _xlfn.XLOOKUP($A3140, 'Instrument Table'!$J:$J, 'Instrument Table'!$B:$B, $C3139), IF($B3140 = "Service Item", _xlfn.XLOOKUP($A3140, 'Instrument Table'!$I:$I, 'Instrument Table'!$B:$B, $C3139), _xlfn.XLOOKUP($A3140, 'Instrument Table'!$H:$H, 'Instrument Table'!$B:$B, $C3139)))</f>
        <v>Cymbal</v>
      </c>
      <c r="D3140" s="1" t="str">
        <f>VLOOKUP($C3140, 'Instrument Table'!$B:$C, 2, FALSE)</f>
        <v>Percussion</v>
      </c>
      <c r="E3140" s="1">
        <f t="shared" si="288"/>
        <v>1</v>
      </c>
      <c r="F3140" s="1">
        <f>_xlfn.XLOOKUP($C3140, 'Instrument Table'!$B:$B, 'Instrument Table'!$A:$A, "")</f>
        <v>53</v>
      </c>
      <c r="G3140" s="1" t="str">
        <f>TEXT(IF($B3140 = "Retail Item", IF((ROW($A3140) - 4504 - _xlfn.XMATCH($C3140, $C$4506:$C$5005, 0, 1)) &lt;= VLOOKUP($C3140, 'Instrument Table'!$B:$D, 3, FALSE), ROW($A3140) - 4504 - _xlfn.XMATCH($C3140, $C$4506:$C$5005, 0, 1), 0), 0), "00")</f>
        <v>00</v>
      </c>
      <c r="H3140" s="1" t="str">
        <f t="shared" si="289"/>
        <v>034</v>
      </c>
      <c r="I3140" s="1" t="str">
        <f t="shared" si="290"/>
        <v>15300-034</v>
      </c>
      <c r="J3140" s="1" t="str">
        <f t="shared" si="291"/>
        <v>Cymbal production item #034</v>
      </c>
      <c r="K3140" s="1" t="str">
        <f>IF(SUM(COUNTIFS(I:I, I3140)) &gt; 1, "DUPLICATE", "UNIQUE")</f>
        <v>UNIQUE</v>
      </c>
      <c r="L3140" s="18">
        <v>4</v>
      </c>
      <c r="M3140" s="28">
        <v>22</v>
      </c>
      <c r="N3140" s="6">
        <v>36</v>
      </c>
      <c r="O3140" s="30">
        <f t="shared" si="292"/>
        <v>88</v>
      </c>
      <c r="P3140" s="30">
        <f t="shared" si="293"/>
        <v>792</v>
      </c>
      <c r="Q3140" s="1">
        <f>COUNTIFS($P:$P, "&gt;" &amp; $P3140) + 1</f>
        <v>3796</v>
      </c>
      <c r="R3140" s="63">
        <f>(COUNTIFS($P:$P, "&gt;" &amp; $P3140) + 1) / (COUNTA($I:$I) - 1)</f>
        <v>0.75919999999999999</v>
      </c>
      <c r="S3140" s="23">
        <f>SUMIFS($P:$P, $Q:$Q, "&lt;" &amp; $Q3140)</f>
        <v>186262482</v>
      </c>
    </row>
    <row r="3141" spans="1:19" x14ac:dyDescent="0.25">
      <c r="A3141" s="1">
        <v>3136</v>
      </c>
      <c r="B3141" s="1" t="s">
        <v>2</v>
      </c>
      <c r="C3141" s="1" t="str">
        <f>IF($B3141 = "Production Item", _xlfn.XLOOKUP($A3141, 'Instrument Table'!$J:$J, 'Instrument Table'!$B:$B, $C3140), IF($B3141 = "Service Item", _xlfn.XLOOKUP($A3141, 'Instrument Table'!$I:$I, 'Instrument Table'!$B:$B, $C3140), _xlfn.XLOOKUP($A3141, 'Instrument Table'!$H:$H, 'Instrument Table'!$B:$B, $C3140)))</f>
        <v>Cymbal</v>
      </c>
      <c r="D3141" s="1" t="str">
        <f>VLOOKUP($C3141, 'Instrument Table'!$B:$C, 2, FALSE)</f>
        <v>Percussion</v>
      </c>
      <c r="E3141" s="1">
        <f t="shared" si="288"/>
        <v>1</v>
      </c>
      <c r="F3141" s="1">
        <f>_xlfn.XLOOKUP($C3141, 'Instrument Table'!$B:$B, 'Instrument Table'!$A:$A, "")</f>
        <v>53</v>
      </c>
      <c r="G3141" s="1" t="str">
        <f>TEXT(IF($B3141 = "Retail Item", IF((ROW($A3141) - 4504 - _xlfn.XMATCH($C3141, $C$4506:$C$5005, 0, 1)) &lt;= VLOOKUP($C3141, 'Instrument Table'!$B:$D, 3, FALSE), ROW($A3141) - 4504 - _xlfn.XMATCH($C3141, $C$4506:$C$5005, 0, 1), 0), 0), "00")</f>
        <v>00</v>
      </c>
      <c r="H3141" s="1" t="str">
        <f t="shared" si="289"/>
        <v>035</v>
      </c>
      <c r="I3141" s="1" t="str">
        <f t="shared" si="290"/>
        <v>15300-035</v>
      </c>
      <c r="J3141" s="1" t="str">
        <f t="shared" si="291"/>
        <v>Cymbal production item #035</v>
      </c>
      <c r="K3141" s="1" t="str">
        <f>IF(SUM(COUNTIFS(I:I, I3141)) &gt; 1, "DUPLICATE", "UNIQUE")</f>
        <v>UNIQUE</v>
      </c>
      <c r="L3141" s="18">
        <v>0</v>
      </c>
      <c r="M3141" s="28">
        <v>12</v>
      </c>
      <c r="N3141" s="6">
        <v>64</v>
      </c>
      <c r="O3141" s="30">
        <f t="shared" si="292"/>
        <v>0</v>
      </c>
      <c r="P3141" s="30">
        <f t="shared" si="293"/>
        <v>768</v>
      </c>
      <c r="Q3141" s="1">
        <f>COUNTIFS($P:$P, "&gt;" &amp; $P3141) + 1</f>
        <v>3810</v>
      </c>
      <c r="R3141" s="63">
        <f>(COUNTIFS($P:$P, "&gt;" &amp; $P3141) + 1) / (COUNTA($I:$I) - 1)</f>
        <v>0.76200000000000001</v>
      </c>
      <c r="S3141" s="23">
        <f>SUMIFS($P:$P, $Q:$Q, "&lt;" &amp; $Q3141)</f>
        <v>186273454</v>
      </c>
    </row>
    <row r="3142" spans="1:19" x14ac:dyDescent="0.25">
      <c r="A3142" s="1">
        <v>3137</v>
      </c>
      <c r="B3142" s="1" t="s">
        <v>2</v>
      </c>
      <c r="C3142" s="1" t="str">
        <f>IF($B3142 = "Production Item", _xlfn.XLOOKUP($A3142, 'Instrument Table'!$J:$J, 'Instrument Table'!$B:$B, $C3141), IF($B3142 = "Service Item", _xlfn.XLOOKUP($A3142, 'Instrument Table'!$I:$I, 'Instrument Table'!$B:$B, $C3141), _xlfn.XLOOKUP($A3142, 'Instrument Table'!$H:$H, 'Instrument Table'!$B:$B, $C3141)))</f>
        <v>Cymbal</v>
      </c>
      <c r="D3142" s="1" t="str">
        <f>VLOOKUP($C3142, 'Instrument Table'!$B:$C, 2, FALSE)</f>
        <v>Percussion</v>
      </c>
      <c r="E3142" s="1">
        <f t="shared" si="288"/>
        <v>1</v>
      </c>
      <c r="F3142" s="1">
        <f>_xlfn.XLOOKUP($C3142, 'Instrument Table'!$B:$B, 'Instrument Table'!$A:$A, "")</f>
        <v>53</v>
      </c>
      <c r="G3142" s="1" t="str">
        <f>TEXT(IF($B3142 = "Retail Item", IF((ROW($A3142) - 4504 - _xlfn.XMATCH($C3142, $C$4506:$C$5005, 0, 1)) &lt;= VLOOKUP($C3142, 'Instrument Table'!$B:$D, 3, FALSE), ROW($A3142) - 4504 - _xlfn.XMATCH($C3142, $C$4506:$C$5005, 0, 1), 0), 0), "00")</f>
        <v>00</v>
      </c>
      <c r="H3142" s="1" t="str">
        <f t="shared" si="289"/>
        <v>036</v>
      </c>
      <c r="I3142" s="1" t="str">
        <f t="shared" si="290"/>
        <v>15300-036</v>
      </c>
      <c r="J3142" s="1" t="str">
        <f t="shared" si="291"/>
        <v>Cymbal production item #036</v>
      </c>
      <c r="K3142" s="1" t="str">
        <f>IF(SUM(COUNTIFS(I:I, I3142)) &gt; 1, "DUPLICATE", "UNIQUE")</f>
        <v>UNIQUE</v>
      </c>
      <c r="L3142" s="18">
        <v>1</v>
      </c>
      <c r="M3142" s="28">
        <v>43</v>
      </c>
      <c r="N3142" s="6">
        <v>81</v>
      </c>
      <c r="O3142" s="30">
        <f t="shared" si="292"/>
        <v>43</v>
      </c>
      <c r="P3142" s="30">
        <f t="shared" si="293"/>
        <v>3483</v>
      </c>
      <c r="Q3142" s="1">
        <f>COUNTIFS($P:$P, "&gt;" &amp; $P3142) + 1</f>
        <v>2780</v>
      </c>
      <c r="R3142" s="63">
        <f>(COUNTIFS($P:$P, "&gt;" &amp; $P3142) + 1) / (COUNTA($I:$I) - 1)</f>
        <v>0.55600000000000005</v>
      </c>
      <c r="S3142" s="23">
        <f>SUMIFS($P:$P, $Q:$Q, "&lt;" &amp; $Q3142)</f>
        <v>184256836</v>
      </c>
    </row>
    <row r="3143" spans="1:19" x14ac:dyDescent="0.25">
      <c r="A3143" s="1">
        <v>3138</v>
      </c>
      <c r="B3143" s="1" t="s">
        <v>2</v>
      </c>
      <c r="C3143" s="1" t="str">
        <f>IF($B3143 = "Production Item", _xlfn.XLOOKUP($A3143, 'Instrument Table'!$J:$J, 'Instrument Table'!$B:$B, $C3142), IF($B3143 = "Service Item", _xlfn.XLOOKUP($A3143, 'Instrument Table'!$I:$I, 'Instrument Table'!$B:$B, $C3142), _xlfn.XLOOKUP($A3143, 'Instrument Table'!$H:$H, 'Instrument Table'!$B:$B, $C3142)))</f>
        <v>Cymbal</v>
      </c>
      <c r="D3143" s="1" t="str">
        <f>VLOOKUP($C3143, 'Instrument Table'!$B:$C, 2, FALSE)</f>
        <v>Percussion</v>
      </c>
      <c r="E3143" s="1">
        <f t="shared" ref="E3143:E3206" si="294">IF($B3143 = "Production Item", 1, IF($B3143 = "Service Item", 2, IF($B3143 = "Retail Item", 3, "")))</f>
        <v>1</v>
      </c>
      <c r="F3143" s="1">
        <f>_xlfn.XLOOKUP($C3143, 'Instrument Table'!$B:$B, 'Instrument Table'!$A:$A, "")</f>
        <v>53</v>
      </c>
      <c r="G3143" s="1" t="str">
        <f>TEXT(IF($B3143 = "Retail Item", IF((ROW($A3143) - 4504 - _xlfn.XMATCH($C3143, $C$4506:$C$5005, 0, 1)) &lt;= VLOOKUP($C3143, 'Instrument Table'!$B:$D, 3, FALSE), ROW($A3143) - 4504 - _xlfn.XMATCH($C3143, $C$4506:$C$5005, 0, 1), 0), 0), "00")</f>
        <v>00</v>
      </c>
      <c r="H3143" s="1" t="str">
        <f t="shared" ref="H3143:H3206" si="295">TEXT(IF($E3143 &amp; $F3143 &amp; $G3143 = $E3142 &amp; $F3142 &amp; $G3142, 1 + H3142, 0), "000")</f>
        <v>037</v>
      </c>
      <c r="I3143" s="1" t="str">
        <f t="shared" ref="I3143:I3206" si="296" xml:space="preserve"> _xlfn.CONCAT($E3143, $F3143, $G3143, "-", H3143)</f>
        <v>15300-037</v>
      </c>
      <c r="J3143" s="1" t="str">
        <f t="shared" ref="J3143:J3206" si="297">LEFT($C3143, 1) &amp; LOWER(RIGHT($C3143, LEN($C3143) - 1)) &amp; IF(AND($G3143 &lt;&gt; "00", $B3143 = "Retail Item"), " model #" &amp; $G3143, " " &amp; LOWER($B3143) &amp; " #" &amp; $H3143)</f>
        <v>Cymbal production item #037</v>
      </c>
      <c r="K3143" s="1" t="str">
        <f>IF(SUM(COUNTIFS(I:I, I3143)) &gt; 1, "DUPLICATE", "UNIQUE")</f>
        <v>UNIQUE</v>
      </c>
      <c r="L3143" s="18">
        <v>2</v>
      </c>
      <c r="M3143" s="28">
        <v>26</v>
      </c>
      <c r="N3143" s="6">
        <v>256</v>
      </c>
      <c r="O3143" s="30">
        <f t="shared" ref="O3143:O3206" si="298">$L3143 * $M3143</f>
        <v>52</v>
      </c>
      <c r="P3143" s="30">
        <f t="shared" ref="P3143:P3206" si="299">$N3143 * $M3143</f>
        <v>6656</v>
      </c>
      <c r="Q3143" s="1">
        <f>COUNTIFS($P:$P, "&gt;" &amp; $P3143) + 1</f>
        <v>2187</v>
      </c>
      <c r="R3143" s="63">
        <f>(COUNTIFS($P:$P, "&gt;" &amp; $P3143) + 1) / (COUNTA($I:$I) - 1)</f>
        <v>0.43740000000000001</v>
      </c>
      <c r="S3143" s="23">
        <f>SUMIFS($P:$P, $Q:$Q, "&lt;" &amp; $Q3143)</f>
        <v>181365296</v>
      </c>
    </row>
    <row r="3144" spans="1:19" x14ac:dyDescent="0.25">
      <c r="A3144" s="1">
        <v>3139</v>
      </c>
      <c r="B3144" s="1" t="s">
        <v>2</v>
      </c>
      <c r="C3144" s="1" t="str">
        <f>IF($B3144 = "Production Item", _xlfn.XLOOKUP($A3144, 'Instrument Table'!$J:$J, 'Instrument Table'!$B:$B, $C3143), IF($B3144 = "Service Item", _xlfn.XLOOKUP($A3144, 'Instrument Table'!$I:$I, 'Instrument Table'!$B:$B, $C3143), _xlfn.XLOOKUP($A3144, 'Instrument Table'!$H:$H, 'Instrument Table'!$B:$B, $C3143)))</f>
        <v>Cymbal</v>
      </c>
      <c r="D3144" s="1" t="str">
        <f>VLOOKUP($C3144, 'Instrument Table'!$B:$C, 2, FALSE)</f>
        <v>Percussion</v>
      </c>
      <c r="E3144" s="1">
        <f t="shared" si="294"/>
        <v>1</v>
      </c>
      <c r="F3144" s="1">
        <f>_xlfn.XLOOKUP($C3144, 'Instrument Table'!$B:$B, 'Instrument Table'!$A:$A, "")</f>
        <v>53</v>
      </c>
      <c r="G3144" s="1" t="str">
        <f>TEXT(IF($B3144 = "Retail Item", IF((ROW($A3144) - 4504 - _xlfn.XMATCH($C3144, $C$4506:$C$5005, 0, 1)) &lt;= VLOOKUP($C3144, 'Instrument Table'!$B:$D, 3, FALSE), ROW($A3144) - 4504 - _xlfn.XMATCH($C3144, $C$4506:$C$5005, 0, 1), 0), 0), "00")</f>
        <v>00</v>
      </c>
      <c r="H3144" s="1" t="str">
        <f t="shared" si="295"/>
        <v>038</v>
      </c>
      <c r="I3144" s="1" t="str">
        <f t="shared" si="296"/>
        <v>15300-038</v>
      </c>
      <c r="J3144" s="1" t="str">
        <f t="shared" si="297"/>
        <v>Cymbal production item #038</v>
      </c>
      <c r="K3144" s="1" t="str">
        <f>IF(SUM(COUNTIFS(I:I, I3144)) &gt; 1, "DUPLICATE", "UNIQUE")</f>
        <v>UNIQUE</v>
      </c>
      <c r="L3144" s="18">
        <v>0</v>
      </c>
      <c r="M3144" s="28">
        <v>21</v>
      </c>
      <c r="N3144" s="6">
        <v>361</v>
      </c>
      <c r="O3144" s="30">
        <f t="shared" si="298"/>
        <v>0</v>
      </c>
      <c r="P3144" s="30">
        <f t="shared" si="299"/>
        <v>7581</v>
      </c>
      <c r="Q3144" s="1">
        <f>COUNTIFS($P:$P, "&gt;" &amp; $P3144) + 1</f>
        <v>2064</v>
      </c>
      <c r="R3144" s="63">
        <f>(COUNTIFS($P:$P, "&gt;" &amp; $P3144) + 1) / (COUNTA($I:$I) - 1)</f>
        <v>0.4128</v>
      </c>
      <c r="S3144" s="23">
        <f>SUMIFS($P:$P, $Q:$Q, "&lt;" &amp; $Q3144)</f>
        <v>180491706</v>
      </c>
    </row>
    <row r="3145" spans="1:19" x14ac:dyDescent="0.25">
      <c r="A3145" s="1">
        <v>3140</v>
      </c>
      <c r="B3145" s="1" t="s">
        <v>2</v>
      </c>
      <c r="C3145" s="1" t="str">
        <f>IF($B3145 = "Production Item", _xlfn.XLOOKUP($A3145, 'Instrument Table'!$J:$J, 'Instrument Table'!$B:$B, $C3144), IF($B3145 = "Service Item", _xlfn.XLOOKUP($A3145, 'Instrument Table'!$I:$I, 'Instrument Table'!$B:$B, $C3144), _xlfn.XLOOKUP($A3145, 'Instrument Table'!$H:$H, 'Instrument Table'!$B:$B, $C3144)))</f>
        <v>Cymbal</v>
      </c>
      <c r="D3145" s="1" t="str">
        <f>VLOOKUP($C3145, 'Instrument Table'!$B:$C, 2, FALSE)</f>
        <v>Percussion</v>
      </c>
      <c r="E3145" s="1">
        <f t="shared" si="294"/>
        <v>1</v>
      </c>
      <c r="F3145" s="1">
        <f>_xlfn.XLOOKUP($C3145, 'Instrument Table'!$B:$B, 'Instrument Table'!$A:$A, "")</f>
        <v>53</v>
      </c>
      <c r="G3145" s="1" t="str">
        <f>TEXT(IF($B3145 = "Retail Item", IF((ROW($A3145) - 4504 - _xlfn.XMATCH($C3145, $C$4506:$C$5005, 0, 1)) &lt;= VLOOKUP($C3145, 'Instrument Table'!$B:$D, 3, FALSE), ROW($A3145) - 4504 - _xlfn.XMATCH($C3145, $C$4506:$C$5005, 0, 1), 0), 0), "00")</f>
        <v>00</v>
      </c>
      <c r="H3145" s="1" t="str">
        <f t="shared" si="295"/>
        <v>039</v>
      </c>
      <c r="I3145" s="1" t="str">
        <f t="shared" si="296"/>
        <v>15300-039</v>
      </c>
      <c r="J3145" s="1" t="str">
        <f t="shared" si="297"/>
        <v>Cymbal production item #039</v>
      </c>
      <c r="K3145" s="1" t="str">
        <f>IF(SUM(COUNTIFS(I:I, I3145)) &gt; 1, "DUPLICATE", "UNIQUE")</f>
        <v>UNIQUE</v>
      </c>
      <c r="L3145" s="18">
        <v>1</v>
      </c>
      <c r="M3145" s="28">
        <v>53</v>
      </c>
      <c r="N3145" s="6">
        <v>4</v>
      </c>
      <c r="O3145" s="30">
        <f t="shared" si="298"/>
        <v>53</v>
      </c>
      <c r="P3145" s="30">
        <f t="shared" si="299"/>
        <v>212</v>
      </c>
      <c r="Q3145" s="1">
        <f>COUNTIFS($P:$P, "&gt;" &amp; $P3145) + 1</f>
        <v>4308</v>
      </c>
      <c r="R3145" s="63">
        <f>(COUNTIFS($P:$P, "&gt;" &amp; $P3145) + 1) / (COUNTA($I:$I) - 1)</f>
        <v>0.86160000000000003</v>
      </c>
      <c r="S3145" s="23">
        <f>SUMIFS($P:$P, $Q:$Q, "&lt;" &amp; $Q3145)</f>
        <v>186509194</v>
      </c>
    </row>
    <row r="3146" spans="1:19" x14ac:dyDescent="0.25">
      <c r="A3146" s="1">
        <v>3141</v>
      </c>
      <c r="B3146" s="1" t="s">
        <v>2</v>
      </c>
      <c r="C3146" s="1" t="str">
        <f>IF($B3146 = "Production Item", _xlfn.XLOOKUP($A3146, 'Instrument Table'!$J:$J, 'Instrument Table'!$B:$B, $C3145), IF($B3146 = "Service Item", _xlfn.XLOOKUP($A3146, 'Instrument Table'!$I:$I, 'Instrument Table'!$B:$B, $C3145), _xlfn.XLOOKUP($A3146, 'Instrument Table'!$H:$H, 'Instrument Table'!$B:$B, $C3145)))</f>
        <v>Cymbal</v>
      </c>
      <c r="D3146" s="1" t="str">
        <f>VLOOKUP($C3146, 'Instrument Table'!$B:$C, 2, FALSE)</f>
        <v>Percussion</v>
      </c>
      <c r="E3146" s="1">
        <f t="shared" si="294"/>
        <v>1</v>
      </c>
      <c r="F3146" s="1">
        <f>_xlfn.XLOOKUP($C3146, 'Instrument Table'!$B:$B, 'Instrument Table'!$A:$A, "")</f>
        <v>53</v>
      </c>
      <c r="G3146" s="1" t="str">
        <f>TEXT(IF($B3146 = "Retail Item", IF((ROW($A3146) - 4504 - _xlfn.XMATCH($C3146, $C$4506:$C$5005, 0, 1)) &lt;= VLOOKUP($C3146, 'Instrument Table'!$B:$D, 3, FALSE), ROW($A3146) - 4504 - _xlfn.XMATCH($C3146, $C$4506:$C$5005, 0, 1), 0), 0), "00")</f>
        <v>00</v>
      </c>
      <c r="H3146" s="1" t="str">
        <f t="shared" si="295"/>
        <v>040</v>
      </c>
      <c r="I3146" s="1" t="str">
        <f t="shared" si="296"/>
        <v>15300-040</v>
      </c>
      <c r="J3146" s="1" t="str">
        <f t="shared" si="297"/>
        <v>Cymbal production item #040</v>
      </c>
      <c r="K3146" s="1" t="str">
        <f>IF(SUM(COUNTIFS(I:I, I3146)) &gt; 1, "DUPLICATE", "UNIQUE")</f>
        <v>UNIQUE</v>
      </c>
      <c r="L3146" s="18">
        <v>1</v>
      </c>
      <c r="M3146" s="28">
        <v>85</v>
      </c>
      <c r="N3146" s="6">
        <v>289</v>
      </c>
      <c r="O3146" s="30">
        <f t="shared" si="298"/>
        <v>85</v>
      </c>
      <c r="P3146" s="30">
        <f t="shared" si="299"/>
        <v>24565</v>
      </c>
      <c r="Q3146" s="1">
        <f>COUNTIFS($P:$P, "&gt;" &amp; $P3146) + 1</f>
        <v>847</v>
      </c>
      <c r="R3146" s="63">
        <f>(COUNTIFS($P:$P, "&gt;" &amp; $P3146) + 1) / (COUNTA($I:$I) - 1)</f>
        <v>0.1694</v>
      </c>
      <c r="S3146" s="23">
        <f>SUMIFS($P:$P, $Q:$Q, "&lt;" &amp; $Q3146)</f>
        <v>163009892</v>
      </c>
    </row>
    <row r="3147" spans="1:19" x14ac:dyDescent="0.25">
      <c r="A3147" s="1">
        <v>3142</v>
      </c>
      <c r="B3147" s="1" t="s">
        <v>2</v>
      </c>
      <c r="C3147" s="1" t="str">
        <f>IF($B3147 = "Production Item", _xlfn.XLOOKUP($A3147, 'Instrument Table'!$J:$J, 'Instrument Table'!$B:$B, $C3146), IF($B3147 = "Service Item", _xlfn.XLOOKUP($A3147, 'Instrument Table'!$I:$I, 'Instrument Table'!$B:$B, $C3146), _xlfn.XLOOKUP($A3147, 'Instrument Table'!$H:$H, 'Instrument Table'!$B:$B, $C3146)))</f>
        <v>Cymbal</v>
      </c>
      <c r="D3147" s="1" t="str">
        <f>VLOOKUP($C3147, 'Instrument Table'!$B:$C, 2, FALSE)</f>
        <v>Percussion</v>
      </c>
      <c r="E3147" s="1">
        <f t="shared" si="294"/>
        <v>1</v>
      </c>
      <c r="F3147" s="1">
        <f>_xlfn.XLOOKUP($C3147, 'Instrument Table'!$B:$B, 'Instrument Table'!$A:$A, "")</f>
        <v>53</v>
      </c>
      <c r="G3147" s="1" t="str">
        <f>TEXT(IF($B3147 = "Retail Item", IF((ROW($A3147) - 4504 - _xlfn.XMATCH($C3147, $C$4506:$C$5005, 0, 1)) &lt;= VLOOKUP($C3147, 'Instrument Table'!$B:$D, 3, FALSE), ROW($A3147) - 4504 - _xlfn.XMATCH($C3147, $C$4506:$C$5005, 0, 1), 0), 0), "00")</f>
        <v>00</v>
      </c>
      <c r="H3147" s="1" t="str">
        <f t="shared" si="295"/>
        <v>041</v>
      </c>
      <c r="I3147" s="1" t="str">
        <f t="shared" si="296"/>
        <v>15300-041</v>
      </c>
      <c r="J3147" s="1" t="str">
        <f t="shared" si="297"/>
        <v>Cymbal production item #041</v>
      </c>
      <c r="K3147" s="1" t="str">
        <f>IF(SUM(COUNTIFS(I:I, I3147)) &gt; 1, "DUPLICATE", "UNIQUE")</f>
        <v>UNIQUE</v>
      </c>
      <c r="L3147" s="18">
        <v>2</v>
      </c>
      <c r="M3147" s="28">
        <v>68</v>
      </c>
      <c r="N3147" s="6">
        <v>256</v>
      </c>
      <c r="O3147" s="30">
        <f t="shared" si="298"/>
        <v>136</v>
      </c>
      <c r="P3147" s="30">
        <f t="shared" si="299"/>
        <v>17408</v>
      </c>
      <c r="Q3147" s="1">
        <f>COUNTIFS($P:$P, "&gt;" &amp; $P3147) + 1</f>
        <v>1195</v>
      </c>
      <c r="R3147" s="63">
        <f>(COUNTIFS($P:$P, "&gt;" &amp; $P3147) + 1) / (COUNTA($I:$I) - 1)</f>
        <v>0.23899999999999999</v>
      </c>
      <c r="S3147" s="23">
        <f>SUMIFS($P:$P, $Q:$Q, "&lt;" &amp; $Q3147)</f>
        <v>170239325</v>
      </c>
    </row>
    <row r="3148" spans="1:19" x14ac:dyDescent="0.25">
      <c r="A3148" s="1">
        <v>3143</v>
      </c>
      <c r="B3148" s="1" t="s">
        <v>2</v>
      </c>
      <c r="C3148" s="1" t="str">
        <f>IF($B3148 = "Production Item", _xlfn.XLOOKUP($A3148, 'Instrument Table'!$J:$J, 'Instrument Table'!$B:$B, $C3147), IF($B3148 = "Service Item", _xlfn.XLOOKUP($A3148, 'Instrument Table'!$I:$I, 'Instrument Table'!$B:$B, $C3147), _xlfn.XLOOKUP($A3148, 'Instrument Table'!$H:$H, 'Instrument Table'!$B:$B, $C3147)))</f>
        <v>Cymbal</v>
      </c>
      <c r="D3148" s="1" t="str">
        <f>VLOOKUP($C3148, 'Instrument Table'!$B:$C, 2, FALSE)</f>
        <v>Percussion</v>
      </c>
      <c r="E3148" s="1">
        <f t="shared" si="294"/>
        <v>1</v>
      </c>
      <c r="F3148" s="1">
        <f>_xlfn.XLOOKUP($C3148, 'Instrument Table'!$B:$B, 'Instrument Table'!$A:$A, "")</f>
        <v>53</v>
      </c>
      <c r="G3148" s="1" t="str">
        <f>TEXT(IF($B3148 = "Retail Item", IF((ROW($A3148) - 4504 - _xlfn.XMATCH($C3148, $C$4506:$C$5005, 0, 1)) &lt;= VLOOKUP($C3148, 'Instrument Table'!$B:$D, 3, FALSE), ROW($A3148) - 4504 - _xlfn.XMATCH($C3148, $C$4506:$C$5005, 0, 1), 0), 0), "00")</f>
        <v>00</v>
      </c>
      <c r="H3148" s="1" t="str">
        <f t="shared" si="295"/>
        <v>042</v>
      </c>
      <c r="I3148" s="1" t="str">
        <f t="shared" si="296"/>
        <v>15300-042</v>
      </c>
      <c r="J3148" s="1" t="str">
        <f t="shared" si="297"/>
        <v>Cymbal production item #042</v>
      </c>
      <c r="K3148" s="1" t="str">
        <f>IF(SUM(COUNTIFS(I:I, I3148)) &gt; 1, "DUPLICATE", "UNIQUE")</f>
        <v>UNIQUE</v>
      </c>
      <c r="L3148" s="18">
        <v>1</v>
      </c>
      <c r="M3148" s="28">
        <v>1</v>
      </c>
      <c r="N3148" s="6">
        <v>324</v>
      </c>
      <c r="O3148" s="30">
        <f t="shared" si="298"/>
        <v>1</v>
      </c>
      <c r="P3148" s="30">
        <f t="shared" si="299"/>
        <v>324</v>
      </c>
      <c r="Q3148" s="1">
        <f>COUNTIFS($P:$P, "&gt;" &amp; $P3148) + 1</f>
        <v>4180</v>
      </c>
      <c r="R3148" s="63">
        <f>(COUNTIFS($P:$P, "&gt;" &amp; $P3148) + 1) / (COUNTA($I:$I) - 1)</f>
        <v>0.83599999999999997</v>
      </c>
      <c r="S3148" s="23">
        <f>SUMIFS($P:$P, $Q:$Q, "&lt;" &amp; $Q3148)</f>
        <v>186473950</v>
      </c>
    </row>
    <row r="3149" spans="1:19" x14ac:dyDescent="0.25">
      <c r="A3149" s="1">
        <v>3144</v>
      </c>
      <c r="B3149" s="1" t="s">
        <v>2</v>
      </c>
      <c r="C3149" s="1" t="str">
        <f>IF($B3149 = "Production Item", _xlfn.XLOOKUP($A3149, 'Instrument Table'!$J:$J, 'Instrument Table'!$B:$B, $C3148), IF($B3149 = "Service Item", _xlfn.XLOOKUP($A3149, 'Instrument Table'!$I:$I, 'Instrument Table'!$B:$B, $C3148), _xlfn.XLOOKUP($A3149, 'Instrument Table'!$H:$H, 'Instrument Table'!$B:$B, $C3148)))</f>
        <v>Cymbal</v>
      </c>
      <c r="D3149" s="1" t="str">
        <f>VLOOKUP($C3149, 'Instrument Table'!$B:$C, 2, FALSE)</f>
        <v>Percussion</v>
      </c>
      <c r="E3149" s="1">
        <f t="shared" si="294"/>
        <v>1</v>
      </c>
      <c r="F3149" s="1">
        <f>_xlfn.XLOOKUP($C3149, 'Instrument Table'!$B:$B, 'Instrument Table'!$A:$A, "")</f>
        <v>53</v>
      </c>
      <c r="G3149" s="1" t="str">
        <f>TEXT(IF($B3149 = "Retail Item", IF((ROW($A3149) - 4504 - _xlfn.XMATCH($C3149, $C$4506:$C$5005, 0, 1)) &lt;= VLOOKUP($C3149, 'Instrument Table'!$B:$D, 3, FALSE), ROW($A3149) - 4504 - _xlfn.XMATCH($C3149, $C$4506:$C$5005, 0, 1), 0), 0), "00")</f>
        <v>00</v>
      </c>
      <c r="H3149" s="1" t="str">
        <f t="shared" si="295"/>
        <v>043</v>
      </c>
      <c r="I3149" s="1" t="str">
        <f t="shared" si="296"/>
        <v>15300-043</v>
      </c>
      <c r="J3149" s="1" t="str">
        <f t="shared" si="297"/>
        <v>Cymbal production item #043</v>
      </c>
      <c r="K3149" s="1" t="str">
        <f>IF(SUM(COUNTIFS(I:I, I3149)) &gt; 1, "DUPLICATE", "UNIQUE")</f>
        <v>UNIQUE</v>
      </c>
      <c r="L3149" s="18">
        <v>0</v>
      </c>
      <c r="M3149" s="28">
        <v>21</v>
      </c>
      <c r="N3149" s="6">
        <v>196</v>
      </c>
      <c r="O3149" s="30">
        <f t="shared" si="298"/>
        <v>0</v>
      </c>
      <c r="P3149" s="30">
        <f t="shared" si="299"/>
        <v>4116</v>
      </c>
      <c r="Q3149" s="1">
        <f>COUNTIFS($P:$P, "&gt;" &amp; $P3149) + 1</f>
        <v>2630</v>
      </c>
      <c r="R3149" s="63">
        <f>(COUNTIFS($P:$P, "&gt;" &amp; $P3149) + 1) / (COUNTA($I:$I) - 1)</f>
        <v>0.52600000000000002</v>
      </c>
      <c r="S3149" s="23">
        <f>SUMIFS($P:$P, $Q:$Q, "&lt;" &amp; $Q3149)</f>
        <v>183689305</v>
      </c>
    </row>
    <row r="3150" spans="1:19" x14ac:dyDescent="0.25">
      <c r="A3150" s="1">
        <v>3145</v>
      </c>
      <c r="B3150" s="1" t="s">
        <v>2</v>
      </c>
      <c r="C3150" s="1" t="str">
        <f>IF($B3150 = "Production Item", _xlfn.XLOOKUP($A3150, 'Instrument Table'!$J:$J, 'Instrument Table'!$B:$B, $C3149), IF($B3150 = "Service Item", _xlfn.XLOOKUP($A3150, 'Instrument Table'!$I:$I, 'Instrument Table'!$B:$B, $C3149), _xlfn.XLOOKUP($A3150, 'Instrument Table'!$H:$H, 'Instrument Table'!$B:$B, $C3149)))</f>
        <v>Cymbal</v>
      </c>
      <c r="D3150" s="1" t="str">
        <f>VLOOKUP($C3150, 'Instrument Table'!$B:$C, 2, FALSE)</f>
        <v>Percussion</v>
      </c>
      <c r="E3150" s="1">
        <f t="shared" si="294"/>
        <v>1</v>
      </c>
      <c r="F3150" s="1">
        <f>_xlfn.XLOOKUP($C3150, 'Instrument Table'!$B:$B, 'Instrument Table'!$A:$A, "")</f>
        <v>53</v>
      </c>
      <c r="G3150" s="1" t="str">
        <f>TEXT(IF($B3150 = "Retail Item", IF((ROW($A3150) - 4504 - _xlfn.XMATCH($C3150, $C$4506:$C$5005, 0, 1)) &lt;= VLOOKUP($C3150, 'Instrument Table'!$B:$D, 3, FALSE), ROW($A3150) - 4504 - _xlfn.XMATCH($C3150, $C$4506:$C$5005, 0, 1), 0), 0), "00")</f>
        <v>00</v>
      </c>
      <c r="H3150" s="1" t="str">
        <f t="shared" si="295"/>
        <v>044</v>
      </c>
      <c r="I3150" s="1" t="str">
        <f t="shared" si="296"/>
        <v>15300-044</v>
      </c>
      <c r="J3150" s="1" t="str">
        <f t="shared" si="297"/>
        <v>Cymbal production item #044</v>
      </c>
      <c r="K3150" s="1" t="str">
        <f>IF(SUM(COUNTIFS(I:I, I3150)) &gt; 1, "DUPLICATE", "UNIQUE")</f>
        <v>UNIQUE</v>
      </c>
      <c r="L3150" s="18">
        <v>1</v>
      </c>
      <c r="M3150" s="28">
        <v>13</v>
      </c>
      <c r="N3150" s="6">
        <v>169</v>
      </c>
      <c r="O3150" s="30">
        <f t="shared" si="298"/>
        <v>13</v>
      </c>
      <c r="P3150" s="30">
        <f t="shared" si="299"/>
        <v>2197</v>
      </c>
      <c r="Q3150" s="1">
        <f>COUNTIFS($P:$P, "&gt;" &amp; $P3150) + 1</f>
        <v>3172</v>
      </c>
      <c r="R3150" s="63">
        <f>(COUNTIFS($P:$P, "&gt;" &amp; $P3150) + 1) / (COUNTA($I:$I) - 1)</f>
        <v>0.63439999999999996</v>
      </c>
      <c r="S3150" s="23">
        <f>SUMIFS($P:$P, $Q:$Q, "&lt;" &amp; $Q3150)</f>
        <v>185347395</v>
      </c>
    </row>
    <row r="3151" spans="1:19" x14ac:dyDescent="0.25">
      <c r="A3151" s="1">
        <v>3146</v>
      </c>
      <c r="B3151" s="1" t="s">
        <v>2</v>
      </c>
      <c r="C3151" s="1" t="str">
        <f>IF($B3151 = "Production Item", _xlfn.XLOOKUP($A3151, 'Instrument Table'!$J:$J, 'Instrument Table'!$B:$B, $C3150), IF($B3151 = "Service Item", _xlfn.XLOOKUP($A3151, 'Instrument Table'!$I:$I, 'Instrument Table'!$B:$B, $C3150), _xlfn.XLOOKUP($A3151, 'Instrument Table'!$H:$H, 'Instrument Table'!$B:$B, $C3150)))</f>
        <v>Cymbal</v>
      </c>
      <c r="D3151" s="1" t="str">
        <f>VLOOKUP($C3151, 'Instrument Table'!$B:$C, 2, FALSE)</f>
        <v>Percussion</v>
      </c>
      <c r="E3151" s="1">
        <f t="shared" si="294"/>
        <v>1</v>
      </c>
      <c r="F3151" s="1">
        <f>_xlfn.XLOOKUP($C3151, 'Instrument Table'!$B:$B, 'Instrument Table'!$A:$A, "")</f>
        <v>53</v>
      </c>
      <c r="G3151" s="1" t="str">
        <f>TEXT(IF($B3151 = "Retail Item", IF((ROW($A3151) - 4504 - _xlfn.XMATCH($C3151, $C$4506:$C$5005, 0, 1)) &lt;= VLOOKUP($C3151, 'Instrument Table'!$B:$D, 3, FALSE), ROW($A3151) - 4504 - _xlfn.XMATCH($C3151, $C$4506:$C$5005, 0, 1), 0), 0), "00")</f>
        <v>00</v>
      </c>
      <c r="H3151" s="1" t="str">
        <f t="shared" si="295"/>
        <v>045</v>
      </c>
      <c r="I3151" s="1" t="str">
        <f t="shared" si="296"/>
        <v>15300-045</v>
      </c>
      <c r="J3151" s="1" t="str">
        <f t="shared" si="297"/>
        <v>Cymbal production item #045</v>
      </c>
      <c r="K3151" s="1" t="str">
        <f>IF(SUM(COUNTIFS(I:I, I3151)) &gt; 1, "DUPLICATE", "UNIQUE")</f>
        <v>UNIQUE</v>
      </c>
      <c r="L3151" s="18">
        <v>1</v>
      </c>
      <c r="M3151" s="28">
        <v>95</v>
      </c>
      <c r="N3151" s="6">
        <v>169</v>
      </c>
      <c r="O3151" s="30">
        <f t="shared" si="298"/>
        <v>95</v>
      </c>
      <c r="P3151" s="30">
        <f t="shared" si="299"/>
        <v>16055</v>
      </c>
      <c r="Q3151" s="1">
        <f>COUNTIFS($P:$P, "&gt;" &amp; $P3151) + 1</f>
        <v>1279</v>
      </c>
      <c r="R3151" s="63">
        <f>(COUNTIFS($P:$P, "&gt;" &amp; $P3151) + 1) / (COUNTA($I:$I) - 1)</f>
        <v>0.25580000000000003</v>
      </c>
      <c r="S3151" s="23">
        <f>SUMIFS($P:$P, $Q:$Q, "&lt;" &amp; $Q3151)</f>
        <v>171640770</v>
      </c>
    </row>
    <row r="3152" spans="1:19" x14ac:dyDescent="0.25">
      <c r="A3152" s="1">
        <v>3147</v>
      </c>
      <c r="B3152" s="1" t="s">
        <v>2</v>
      </c>
      <c r="C3152" s="1" t="str">
        <f>IF($B3152 = "Production Item", _xlfn.XLOOKUP($A3152, 'Instrument Table'!$J:$J, 'Instrument Table'!$B:$B, $C3151), IF($B3152 = "Service Item", _xlfn.XLOOKUP($A3152, 'Instrument Table'!$I:$I, 'Instrument Table'!$B:$B, $C3151), _xlfn.XLOOKUP($A3152, 'Instrument Table'!$H:$H, 'Instrument Table'!$B:$B, $C3151)))</f>
        <v>Cymbal</v>
      </c>
      <c r="D3152" s="1" t="str">
        <f>VLOOKUP($C3152, 'Instrument Table'!$B:$C, 2, FALSE)</f>
        <v>Percussion</v>
      </c>
      <c r="E3152" s="1">
        <f t="shared" si="294"/>
        <v>1</v>
      </c>
      <c r="F3152" s="1">
        <f>_xlfn.XLOOKUP($C3152, 'Instrument Table'!$B:$B, 'Instrument Table'!$A:$A, "")</f>
        <v>53</v>
      </c>
      <c r="G3152" s="1" t="str">
        <f>TEXT(IF($B3152 = "Retail Item", IF((ROW($A3152) - 4504 - _xlfn.XMATCH($C3152, $C$4506:$C$5005, 0, 1)) &lt;= VLOOKUP($C3152, 'Instrument Table'!$B:$D, 3, FALSE), ROW($A3152) - 4504 - _xlfn.XMATCH($C3152, $C$4506:$C$5005, 0, 1), 0), 0), "00")</f>
        <v>00</v>
      </c>
      <c r="H3152" s="1" t="str">
        <f t="shared" si="295"/>
        <v>046</v>
      </c>
      <c r="I3152" s="1" t="str">
        <f t="shared" si="296"/>
        <v>15300-046</v>
      </c>
      <c r="J3152" s="1" t="str">
        <f t="shared" si="297"/>
        <v>Cymbal production item #046</v>
      </c>
      <c r="K3152" s="1" t="str">
        <f>IF(SUM(COUNTIFS(I:I, I3152)) &gt; 1, "DUPLICATE", "UNIQUE")</f>
        <v>UNIQUE</v>
      </c>
      <c r="L3152" s="18">
        <v>1</v>
      </c>
      <c r="M3152" s="28">
        <v>56</v>
      </c>
      <c r="N3152" s="6">
        <v>1</v>
      </c>
      <c r="O3152" s="30">
        <f t="shared" si="298"/>
        <v>56</v>
      </c>
      <c r="P3152" s="30">
        <f t="shared" si="299"/>
        <v>56</v>
      </c>
      <c r="Q3152" s="1">
        <f>COUNTIFS($P:$P, "&gt;" &amp; $P3152) + 1</f>
        <v>4589</v>
      </c>
      <c r="R3152" s="63">
        <f>(COUNTIFS($P:$P, "&gt;" &amp; $P3152) + 1) / (COUNTA($I:$I) - 1)</f>
        <v>0.91779999999999995</v>
      </c>
      <c r="S3152" s="23">
        <f>SUMIFS($P:$P, $Q:$Q, "&lt;" &amp; $Q3152)</f>
        <v>186543088</v>
      </c>
    </row>
    <row r="3153" spans="1:19" x14ac:dyDescent="0.25">
      <c r="A3153" s="1">
        <v>3148</v>
      </c>
      <c r="B3153" s="1" t="s">
        <v>2</v>
      </c>
      <c r="C3153" s="1" t="str">
        <f>IF($B3153 = "Production Item", _xlfn.XLOOKUP($A3153, 'Instrument Table'!$J:$J, 'Instrument Table'!$B:$B, $C3152), IF($B3153 = "Service Item", _xlfn.XLOOKUP($A3153, 'Instrument Table'!$I:$I, 'Instrument Table'!$B:$B, $C3152), _xlfn.XLOOKUP($A3153, 'Instrument Table'!$H:$H, 'Instrument Table'!$B:$B, $C3152)))</f>
        <v>Cymbal</v>
      </c>
      <c r="D3153" s="1" t="str">
        <f>VLOOKUP($C3153, 'Instrument Table'!$B:$C, 2, FALSE)</f>
        <v>Percussion</v>
      </c>
      <c r="E3153" s="1">
        <f t="shared" si="294"/>
        <v>1</v>
      </c>
      <c r="F3153" s="1">
        <f>_xlfn.XLOOKUP($C3153, 'Instrument Table'!$B:$B, 'Instrument Table'!$A:$A, "")</f>
        <v>53</v>
      </c>
      <c r="G3153" s="1" t="str">
        <f>TEXT(IF($B3153 = "Retail Item", IF((ROW($A3153) - 4504 - _xlfn.XMATCH($C3153, $C$4506:$C$5005, 0, 1)) &lt;= VLOOKUP($C3153, 'Instrument Table'!$B:$D, 3, FALSE), ROW($A3153) - 4504 - _xlfn.XMATCH($C3153, $C$4506:$C$5005, 0, 1), 0), 0), "00")</f>
        <v>00</v>
      </c>
      <c r="H3153" s="1" t="str">
        <f t="shared" si="295"/>
        <v>047</v>
      </c>
      <c r="I3153" s="1" t="str">
        <f t="shared" si="296"/>
        <v>15300-047</v>
      </c>
      <c r="J3153" s="1" t="str">
        <f t="shared" si="297"/>
        <v>Cymbal production item #047</v>
      </c>
      <c r="K3153" s="1" t="str">
        <f>IF(SUM(COUNTIFS(I:I, I3153)) &gt; 1, "DUPLICATE", "UNIQUE")</f>
        <v>UNIQUE</v>
      </c>
      <c r="L3153" s="18">
        <v>0</v>
      </c>
      <c r="M3153" s="28">
        <v>93</v>
      </c>
      <c r="N3153" s="6">
        <v>225</v>
      </c>
      <c r="O3153" s="30">
        <f t="shared" si="298"/>
        <v>0</v>
      </c>
      <c r="P3153" s="30">
        <f t="shared" si="299"/>
        <v>20925</v>
      </c>
      <c r="Q3153" s="1">
        <f>COUNTIFS($P:$P, "&gt;" &amp; $P3153) + 1</f>
        <v>1010</v>
      </c>
      <c r="R3153" s="63">
        <f>(COUNTIFS($P:$P, "&gt;" &amp; $P3153) + 1) / (COUNTA($I:$I) - 1)</f>
        <v>0.20200000000000001</v>
      </c>
      <c r="S3153" s="23">
        <f>SUMIFS($P:$P, $Q:$Q, "&lt;" &amp; $Q3153)</f>
        <v>166701394</v>
      </c>
    </row>
    <row r="3154" spans="1:19" x14ac:dyDescent="0.25">
      <c r="A3154" s="1">
        <v>3149</v>
      </c>
      <c r="B3154" s="1" t="s">
        <v>2</v>
      </c>
      <c r="C3154" s="1" t="str">
        <f>IF($B3154 = "Production Item", _xlfn.XLOOKUP($A3154, 'Instrument Table'!$J:$J, 'Instrument Table'!$B:$B, $C3153), IF($B3154 = "Service Item", _xlfn.XLOOKUP($A3154, 'Instrument Table'!$I:$I, 'Instrument Table'!$B:$B, $C3153), _xlfn.XLOOKUP($A3154, 'Instrument Table'!$H:$H, 'Instrument Table'!$B:$B, $C3153)))</f>
        <v>Cymbal</v>
      </c>
      <c r="D3154" s="1" t="str">
        <f>VLOOKUP($C3154, 'Instrument Table'!$B:$C, 2, FALSE)</f>
        <v>Percussion</v>
      </c>
      <c r="E3154" s="1">
        <f t="shared" si="294"/>
        <v>1</v>
      </c>
      <c r="F3154" s="1">
        <f>_xlfn.XLOOKUP($C3154, 'Instrument Table'!$B:$B, 'Instrument Table'!$A:$A, "")</f>
        <v>53</v>
      </c>
      <c r="G3154" s="1" t="str">
        <f>TEXT(IF($B3154 = "Retail Item", IF((ROW($A3154) - 4504 - _xlfn.XMATCH($C3154, $C$4506:$C$5005, 0, 1)) &lt;= VLOOKUP($C3154, 'Instrument Table'!$B:$D, 3, FALSE), ROW($A3154) - 4504 - _xlfn.XMATCH($C3154, $C$4506:$C$5005, 0, 1), 0), 0), "00")</f>
        <v>00</v>
      </c>
      <c r="H3154" s="1" t="str">
        <f t="shared" si="295"/>
        <v>048</v>
      </c>
      <c r="I3154" s="1" t="str">
        <f t="shared" si="296"/>
        <v>15300-048</v>
      </c>
      <c r="J3154" s="1" t="str">
        <f t="shared" si="297"/>
        <v>Cymbal production item #048</v>
      </c>
      <c r="K3154" s="1" t="str">
        <f>IF(SUM(COUNTIFS(I:I, I3154)) &gt; 1, "DUPLICATE", "UNIQUE")</f>
        <v>UNIQUE</v>
      </c>
      <c r="L3154" s="18">
        <v>16</v>
      </c>
      <c r="M3154" s="28">
        <v>36</v>
      </c>
      <c r="N3154" s="6">
        <v>25</v>
      </c>
      <c r="O3154" s="30">
        <f t="shared" si="298"/>
        <v>576</v>
      </c>
      <c r="P3154" s="30">
        <f t="shared" si="299"/>
        <v>900</v>
      </c>
      <c r="Q3154" s="1">
        <f>COUNTIFS($P:$P, "&gt;" &amp; $P3154) + 1</f>
        <v>3722</v>
      </c>
      <c r="R3154" s="63">
        <f>(COUNTIFS($P:$P, "&gt;" &amp; $P3154) + 1) / (COUNTA($I:$I) - 1)</f>
        <v>0.74439999999999995</v>
      </c>
      <c r="S3154" s="23">
        <f>SUMIFS($P:$P, $Q:$Q, "&lt;" &amp; $Q3154)</f>
        <v>186199390</v>
      </c>
    </row>
    <row r="3155" spans="1:19" x14ac:dyDescent="0.25">
      <c r="A3155" s="1">
        <v>3150</v>
      </c>
      <c r="B3155" s="1" t="s">
        <v>2</v>
      </c>
      <c r="C3155" s="1" t="str">
        <f>IF($B3155 = "Production Item", _xlfn.XLOOKUP($A3155, 'Instrument Table'!$J:$J, 'Instrument Table'!$B:$B, $C3154), IF($B3155 = "Service Item", _xlfn.XLOOKUP($A3155, 'Instrument Table'!$I:$I, 'Instrument Table'!$B:$B, $C3154), _xlfn.XLOOKUP($A3155, 'Instrument Table'!$H:$H, 'Instrument Table'!$B:$B, $C3154)))</f>
        <v>Cymbal</v>
      </c>
      <c r="D3155" s="1" t="str">
        <f>VLOOKUP($C3155, 'Instrument Table'!$B:$C, 2, FALSE)</f>
        <v>Percussion</v>
      </c>
      <c r="E3155" s="1">
        <f t="shared" si="294"/>
        <v>1</v>
      </c>
      <c r="F3155" s="1">
        <f>_xlfn.XLOOKUP($C3155, 'Instrument Table'!$B:$B, 'Instrument Table'!$A:$A, "")</f>
        <v>53</v>
      </c>
      <c r="G3155" s="1" t="str">
        <f>TEXT(IF($B3155 = "Retail Item", IF((ROW($A3155) - 4504 - _xlfn.XMATCH($C3155, $C$4506:$C$5005, 0, 1)) &lt;= VLOOKUP($C3155, 'Instrument Table'!$B:$D, 3, FALSE), ROW($A3155) - 4504 - _xlfn.XMATCH($C3155, $C$4506:$C$5005, 0, 1), 0), 0), "00")</f>
        <v>00</v>
      </c>
      <c r="H3155" s="1" t="str">
        <f t="shared" si="295"/>
        <v>049</v>
      </c>
      <c r="I3155" s="1" t="str">
        <f t="shared" si="296"/>
        <v>15300-049</v>
      </c>
      <c r="J3155" s="1" t="str">
        <f t="shared" si="297"/>
        <v>Cymbal production item #049</v>
      </c>
      <c r="K3155" s="1" t="str">
        <f>IF(SUM(COUNTIFS(I:I, I3155)) &gt; 1, "DUPLICATE", "UNIQUE")</f>
        <v>UNIQUE</v>
      </c>
      <c r="L3155" s="18">
        <v>1</v>
      </c>
      <c r="M3155" s="28">
        <v>23</v>
      </c>
      <c r="N3155" s="6">
        <v>64</v>
      </c>
      <c r="O3155" s="30">
        <f t="shared" si="298"/>
        <v>23</v>
      </c>
      <c r="P3155" s="30">
        <f t="shared" si="299"/>
        <v>1472</v>
      </c>
      <c r="Q3155" s="1">
        <f>COUNTIFS($P:$P, "&gt;" &amp; $P3155) + 1</f>
        <v>3470</v>
      </c>
      <c r="R3155" s="63">
        <f>(COUNTIFS($P:$P, "&gt;" &amp; $P3155) + 1) / (COUNTA($I:$I) - 1)</f>
        <v>0.69399999999999995</v>
      </c>
      <c r="S3155" s="23">
        <f>SUMIFS($P:$P, $Q:$Q, "&lt;" &amp; $Q3155)</f>
        <v>185893854</v>
      </c>
    </row>
    <row r="3156" spans="1:19" x14ac:dyDescent="0.25">
      <c r="A3156" s="1">
        <v>3151</v>
      </c>
      <c r="B3156" s="1" t="s">
        <v>2</v>
      </c>
      <c r="C3156" s="1" t="str">
        <f>IF($B3156 = "Production Item", _xlfn.XLOOKUP($A3156, 'Instrument Table'!$J:$J, 'Instrument Table'!$B:$B, $C3155), IF($B3156 = "Service Item", _xlfn.XLOOKUP($A3156, 'Instrument Table'!$I:$I, 'Instrument Table'!$B:$B, $C3155), _xlfn.XLOOKUP($A3156, 'Instrument Table'!$H:$H, 'Instrument Table'!$B:$B, $C3155)))</f>
        <v>Theremin</v>
      </c>
      <c r="D3156" s="1" t="str">
        <f>VLOOKUP($C3156, 'Instrument Table'!$B:$C, 2, FALSE)</f>
        <v>Other</v>
      </c>
      <c r="E3156" s="1">
        <f t="shared" si="294"/>
        <v>1</v>
      </c>
      <c r="F3156" s="1">
        <f>_xlfn.XLOOKUP($C3156, 'Instrument Table'!$B:$B, 'Instrument Table'!$A:$A, "")</f>
        <v>60</v>
      </c>
      <c r="G3156" s="1" t="str">
        <f>TEXT(IF($B3156 = "Retail Item", IF((ROW($A3156) - 4504 - _xlfn.XMATCH($C3156, $C$4506:$C$5005, 0, 1)) &lt;= VLOOKUP($C3156, 'Instrument Table'!$B:$D, 3, FALSE), ROW($A3156) - 4504 - _xlfn.XMATCH($C3156, $C$4506:$C$5005, 0, 1), 0), 0), "00")</f>
        <v>00</v>
      </c>
      <c r="H3156" s="1" t="str">
        <f t="shared" si="295"/>
        <v>000</v>
      </c>
      <c r="I3156" s="1" t="str">
        <f t="shared" si="296"/>
        <v>16000-000</v>
      </c>
      <c r="J3156" s="1" t="str">
        <f t="shared" si="297"/>
        <v>Theremin production item #000</v>
      </c>
      <c r="K3156" s="1" t="str">
        <f>IF(SUM(COUNTIFS(I:I, I3156)) &gt; 1, "DUPLICATE", "UNIQUE")</f>
        <v>UNIQUE</v>
      </c>
      <c r="L3156" s="18">
        <v>1</v>
      </c>
      <c r="M3156" s="28">
        <v>4</v>
      </c>
      <c r="N3156" s="6">
        <v>400</v>
      </c>
      <c r="O3156" s="30">
        <f t="shared" si="298"/>
        <v>4</v>
      </c>
      <c r="P3156" s="30">
        <f t="shared" si="299"/>
        <v>1600</v>
      </c>
      <c r="Q3156" s="1">
        <f>COUNTIFS($P:$P, "&gt;" &amp; $P3156) + 1</f>
        <v>3401</v>
      </c>
      <c r="R3156" s="63">
        <f>(COUNTIFS($P:$P, "&gt;" &amp; $P3156) + 1) / (COUNTA($I:$I) - 1)</f>
        <v>0.68020000000000003</v>
      </c>
      <c r="S3156" s="23">
        <f>SUMIFS($P:$P, $Q:$Q, "&lt;" &amp; $Q3156)</f>
        <v>185786623</v>
      </c>
    </row>
    <row r="3157" spans="1:19" x14ac:dyDescent="0.25">
      <c r="A3157" s="1">
        <v>3152</v>
      </c>
      <c r="B3157" s="1" t="s">
        <v>2</v>
      </c>
      <c r="C3157" s="1" t="str">
        <f>IF($B3157 = "Production Item", _xlfn.XLOOKUP($A3157, 'Instrument Table'!$J:$J, 'Instrument Table'!$B:$B, $C3156), IF($B3157 = "Service Item", _xlfn.XLOOKUP($A3157, 'Instrument Table'!$I:$I, 'Instrument Table'!$B:$B, $C3156), _xlfn.XLOOKUP($A3157, 'Instrument Table'!$H:$H, 'Instrument Table'!$B:$B, $C3156)))</f>
        <v>Theremin</v>
      </c>
      <c r="D3157" s="1" t="str">
        <f>VLOOKUP($C3157, 'Instrument Table'!$B:$C, 2, FALSE)</f>
        <v>Other</v>
      </c>
      <c r="E3157" s="1">
        <f t="shared" si="294"/>
        <v>1</v>
      </c>
      <c r="F3157" s="1">
        <f>_xlfn.XLOOKUP($C3157, 'Instrument Table'!$B:$B, 'Instrument Table'!$A:$A, "")</f>
        <v>60</v>
      </c>
      <c r="G3157" s="1" t="str">
        <f>TEXT(IF($B3157 = "Retail Item", IF((ROW($A3157) - 4504 - _xlfn.XMATCH($C3157, $C$4506:$C$5005, 0, 1)) &lt;= VLOOKUP($C3157, 'Instrument Table'!$B:$D, 3, FALSE), ROW($A3157) - 4504 - _xlfn.XMATCH($C3157, $C$4506:$C$5005, 0, 1), 0), 0), "00")</f>
        <v>00</v>
      </c>
      <c r="H3157" s="1" t="str">
        <f t="shared" si="295"/>
        <v>001</v>
      </c>
      <c r="I3157" s="1" t="str">
        <f t="shared" si="296"/>
        <v>16000-001</v>
      </c>
      <c r="J3157" s="1" t="str">
        <f t="shared" si="297"/>
        <v>Theremin production item #001</v>
      </c>
      <c r="K3157" s="1" t="str">
        <f>IF(SUM(COUNTIFS(I:I, I3157)) &gt; 1, "DUPLICATE", "UNIQUE")</f>
        <v>UNIQUE</v>
      </c>
      <c r="L3157" s="18">
        <v>4</v>
      </c>
      <c r="M3157" s="28">
        <v>93</v>
      </c>
      <c r="N3157" s="6">
        <v>4</v>
      </c>
      <c r="O3157" s="30">
        <f t="shared" si="298"/>
        <v>372</v>
      </c>
      <c r="P3157" s="30">
        <f t="shared" si="299"/>
        <v>372</v>
      </c>
      <c r="Q3157" s="1">
        <f>COUNTIFS($P:$P, "&gt;" &amp; $P3157) + 1</f>
        <v>4130</v>
      </c>
      <c r="R3157" s="63">
        <f>(COUNTIFS($P:$P, "&gt;" &amp; $P3157) + 1) / (COUNTA($I:$I) - 1)</f>
        <v>0.82599999999999996</v>
      </c>
      <c r="S3157" s="23">
        <f>SUMIFS($P:$P, $Q:$Q, "&lt;" &amp; $Q3157)</f>
        <v>186456508</v>
      </c>
    </row>
    <row r="3158" spans="1:19" x14ac:dyDescent="0.25">
      <c r="A3158" s="1">
        <v>3153</v>
      </c>
      <c r="B3158" s="1" t="s">
        <v>2</v>
      </c>
      <c r="C3158" s="1" t="str">
        <f>IF($B3158 = "Production Item", _xlfn.XLOOKUP($A3158, 'Instrument Table'!$J:$J, 'Instrument Table'!$B:$B, $C3157), IF($B3158 = "Service Item", _xlfn.XLOOKUP($A3158, 'Instrument Table'!$I:$I, 'Instrument Table'!$B:$B, $C3157), _xlfn.XLOOKUP($A3158, 'Instrument Table'!$H:$H, 'Instrument Table'!$B:$B, $C3157)))</f>
        <v>Theremin</v>
      </c>
      <c r="D3158" s="1" t="str">
        <f>VLOOKUP($C3158, 'Instrument Table'!$B:$C, 2, FALSE)</f>
        <v>Other</v>
      </c>
      <c r="E3158" s="1">
        <f t="shared" si="294"/>
        <v>1</v>
      </c>
      <c r="F3158" s="1">
        <f>_xlfn.XLOOKUP($C3158, 'Instrument Table'!$B:$B, 'Instrument Table'!$A:$A, "")</f>
        <v>60</v>
      </c>
      <c r="G3158" s="1" t="str">
        <f>TEXT(IF($B3158 = "Retail Item", IF((ROW($A3158) - 4504 - _xlfn.XMATCH($C3158, $C$4506:$C$5005, 0, 1)) &lt;= VLOOKUP($C3158, 'Instrument Table'!$B:$D, 3, FALSE), ROW($A3158) - 4504 - _xlfn.XMATCH($C3158, $C$4506:$C$5005, 0, 1), 0), 0), "00")</f>
        <v>00</v>
      </c>
      <c r="H3158" s="1" t="str">
        <f t="shared" si="295"/>
        <v>002</v>
      </c>
      <c r="I3158" s="1" t="str">
        <f t="shared" si="296"/>
        <v>16000-002</v>
      </c>
      <c r="J3158" s="1" t="str">
        <f t="shared" si="297"/>
        <v>Theremin production item #002</v>
      </c>
      <c r="K3158" s="1" t="str">
        <f>IF(SUM(COUNTIFS(I:I, I3158)) &gt; 1, "DUPLICATE", "UNIQUE")</f>
        <v>UNIQUE</v>
      </c>
      <c r="L3158" s="18">
        <v>0</v>
      </c>
      <c r="M3158" s="28">
        <v>66</v>
      </c>
      <c r="N3158" s="6">
        <v>4</v>
      </c>
      <c r="O3158" s="30">
        <f t="shared" si="298"/>
        <v>0</v>
      </c>
      <c r="P3158" s="30">
        <f t="shared" si="299"/>
        <v>264</v>
      </c>
      <c r="Q3158" s="1">
        <f>COUNTIFS($P:$P, "&gt;" &amp; $P3158) + 1</f>
        <v>4251</v>
      </c>
      <c r="R3158" s="63">
        <f>(COUNTIFS($P:$P, "&gt;" &amp; $P3158) + 1) / (COUNTA($I:$I) - 1)</f>
        <v>0.85019999999999996</v>
      </c>
      <c r="S3158" s="23">
        <f>SUMIFS($P:$P, $Q:$Q, "&lt;" &amp; $Q3158)</f>
        <v>186495358</v>
      </c>
    </row>
    <row r="3159" spans="1:19" x14ac:dyDescent="0.25">
      <c r="A3159" s="1">
        <v>3154</v>
      </c>
      <c r="B3159" s="1" t="s">
        <v>2</v>
      </c>
      <c r="C3159" s="1" t="str">
        <f>IF($B3159 = "Production Item", _xlfn.XLOOKUP($A3159, 'Instrument Table'!$J:$J, 'Instrument Table'!$B:$B, $C3158), IF($B3159 = "Service Item", _xlfn.XLOOKUP($A3159, 'Instrument Table'!$I:$I, 'Instrument Table'!$B:$B, $C3158), _xlfn.XLOOKUP($A3159, 'Instrument Table'!$H:$H, 'Instrument Table'!$B:$B, $C3158)))</f>
        <v>Theremin</v>
      </c>
      <c r="D3159" s="1" t="str">
        <f>VLOOKUP($C3159, 'Instrument Table'!$B:$C, 2, FALSE)</f>
        <v>Other</v>
      </c>
      <c r="E3159" s="1">
        <f t="shared" si="294"/>
        <v>1</v>
      </c>
      <c r="F3159" s="1">
        <f>_xlfn.XLOOKUP($C3159, 'Instrument Table'!$B:$B, 'Instrument Table'!$A:$A, "")</f>
        <v>60</v>
      </c>
      <c r="G3159" s="1" t="str">
        <f>TEXT(IF($B3159 = "Retail Item", IF((ROW($A3159) - 4504 - _xlfn.XMATCH($C3159, $C$4506:$C$5005, 0, 1)) &lt;= VLOOKUP($C3159, 'Instrument Table'!$B:$D, 3, FALSE), ROW($A3159) - 4504 - _xlfn.XMATCH($C3159, $C$4506:$C$5005, 0, 1), 0), 0), "00")</f>
        <v>00</v>
      </c>
      <c r="H3159" s="1" t="str">
        <f t="shared" si="295"/>
        <v>003</v>
      </c>
      <c r="I3159" s="1" t="str">
        <f t="shared" si="296"/>
        <v>16000-003</v>
      </c>
      <c r="J3159" s="1" t="str">
        <f t="shared" si="297"/>
        <v>Theremin production item #003</v>
      </c>
      <c r="K3159" s="1" t="str">
        <f>IF(SUM(COUNTIFS(I:I, I3159)) &gt; 1, "DUPLICATE", "UNIQUE")</f>
        <v>UNIQUE</v>
      </c>
      <c r="L3159" s="18">
        <v>1</v>
      </c>
      <c r="M3159" s="28">
        <v>6</v>
      </c>
      <c r="N3159" s="6">
        <v>25</v>
      </c>
      <c r="O3159" s="30">
        <f t="shared" si="298"/>
        <v>6</v>
      </c>
      <c r="P3159" s="30">
        <f t="shared" si="299"/>
        <v>150</v>
      </c>
      <c r="Q3159" s="1">
        <f>COUNTIFS($P:$P, "&gt;" &amp; $P3159) + 1</f>
        <v>4395</v>
      </c>
      <c r="R3159" s="63">
        <f>(COUNTIFS($P:$P, "&gt;" &amp; $P3159) + 1) / (COUNTA($I:$I) - 1)</f>
        <v>0.879</v>
      </c>
      <c r="S3159" s="23">
        <f>SUMIFS($P:$P, $Q:$Q, "&lt;" &amp; $Q3159)</f>
        <v>186525273</v>
      </c>
    </row>
    <row r="3160" spans="1:19" x14ac:dyDescent="0.25">
      <c r="A3160" s="1">
        <v>3155</v>
      </c>
      <c r="B3160" s="1" t="s">
        <v>2</v>
      </c>
      <c r="C3160" s="1" t="str">
        <f>IF($B3160 = "Production Item", _xlfn.XLOOKUP($A3160, 'Instrument Table'!$J:$J, 'Instrument Table'!$B:$B, $C3159), IF($B3160 = "Service Item", _xlfn.XLOOKUP($A3160, 'Instrument Table'!$I:$I, 'Instrument Table'!$B:$B, $C3159), _xlfn.XLOOKUP($A3160, 'Instrument Table'!$H:$H, 'Instrument Table'!$B:$B, $C3159)))</f>
        <v>Theremin</v>
      </c>
      <c r="D3160" s="1" t="str">
        <f>VLOOKUP($C3160, 'Instrument Table'!$B:$C, 2, FALSE)</f>
        <v>Other</v>
      </c>
      <c r="E3160" s="1">
        <f t="shared" si="294"/>
        <v>1</v>
      </c>
      <c r="F3160" s="1">
        <f>_xlfn.XLOOKUP($C3160, 'Instrument Table'!$B:$B, 'Instrument Table'!$A:$A, "")</f>
        <v>60</v>
      </c>
      <c r="G3160" s="1" t="str">
        <f>TEXT(IF($B3160 = "Retail Item", IF((ROW($A3160) - 4504 - _xlfn.XMATCH($C3160, $C$4506:$C$5005, 0, 1)) &lt;= VLOOKUP($C3160, 'Instrument Table'!$B:$D, 3, FALSE), ROW($A3160) - 4504 - _xlfn.XMATCH($C3160, $C$4506:$C$5005, 0, 1), 0), 0), "00")</f>
        <v>00</v>
      </c>
      <c r="H3160" s="1" t="str">
        <f t="shared" si="295"/>
        <v>004</v>
      </c>
      <c r="I3160" s="1" t="str">
        <f t="shared" si="296"/>
        <v>16000-004</v>
      </c>
      <c r="J3160" s="1" t="str">
        <f t="shared" si="297"/>
        <v>Theremin production item #004</v>
      </c>
      <c r="K3160" s="1" t="str">
        <f>IF(SUM(COUNTIFS(I:I, I3160)) &gt; 1, "DUPLICATE", "UNIQUE")</f>
        <v>UNIQUE</v>
      </c>
      <c r="L3160" s="18">
        <v>0</v>
      </c>
      <c r="M3160" s="28">
        <v>30</v>
      </c>
      <c r="N3160" s="6">
        <v>324</v>
      </c>
      <c r="O3160" s="30">
        <f t="shared" si="298"/>
        <v>0</v>
      </c>
      <c r="P3160" s="30">
        <f t="shared" si="299"/>
        <v>9720</v>
      </c>
      <c r="Q3160" s="1">
        <f>COUNTIFS($P:$P, "&gt;" &amp; $P3160) + 1</f>
        <v>1795</v>
      </c>
      <c r="R3160" s="63">
        <f>(COUNTIFS($P:$P, "&gt;" &amp; $P3160) + 1) / (COUNTA($I:$I) - 1)</f>
        <v>0.35899999999999999</v>
      </c>
      <c r="S3160" s="23">
        <f>SUMIFS($P:$P, $Q:$Q, "&lt;" &amp; $Q3160)</f>
        <v>178192728</v>
      </c>
    </row>
    <row r="3161" spans="1:19" x14ac:dyDescent="0.25">
      <c r="A3161" s="1">
        <v>3156</v>
      </c>
      <c r="B3161" s="1" t="s">
        <v>2</v>
      </c>
      <c r="C3161" s="1" t="str">
        <f>IF($B3161 = "Production Item", _xlfn.XLOOKUP($A3161, 'Instrument Table'!$J:$J, 'Instrument Table'!$B:$B, $C3160), IF($B3161 = "Service Item", _xlfn.XLOOKUP($A3161, 'Instrument Table'!$I:$I, 'Instrument Table'!$B:$B, $C3160), _xlfn.XLOOKUP($A3161, 'Instrument Table'!$H:$H, 'Instrument Table'!$B:$B, $C3160)))</f>
        <v>Theremin</v>
      </c>
      <c r="D3161" s="1" t="str">
        <f>VLOOKUP($C3161, 'Instrument Table'!$B:$C, 2, FALSE)</f>
        <v>Other</v>
      </c>
      <c r="E3161" s="1">
        <f t="shared" si="294"/>
        <v>1</v>
      </c>
      <c r="F3161" s="1">
        <f>_xlfn.XLOOKUP($C3161, 'Instrument Table'!$B:$B, 'Instrument Table'!$A:$A, "")</f>
        <v>60</v>
      </c>
      <c r="G3161" s="1" t="str">
        <f>TEXT(IF($B3161 = "Retail Item", IF((ROW($A3161) - 4504 - _xlfn.XMATCH($C3161, $C$4506:$C$5005, 0, 1)) &lt;= VLOOKUP($C3161, 'Instrument Table'!$B:$D, 3, FALSE), ROW($A3161) - 4504 - _xlfn.XMATCH($C3161, $C$4506:$C$5005, 0, 1), 0), 0), "00")</f>
        <v>00</v>
      </c>
      <c r="H3161" s="1" t="str">
        <f t="shared" si="295"/>
        <v>005</v>
      </c>
      <c r="I3161" s="1" t="str">
        <f t="shared" si="296"/>
        <v>16000-005</v>
      </c>
      <c r="J3161" s="1" t="str">
        <f t="shared" si="297"/>
        <v>Theremin production item #005</v>
      </c>
      <c r="K3161" s="1" t="str">
        <f>IF(SUM(COUNTIFS(I:I, I3161)) &gt; 1, "DUPLICATE", "UNIQUE")</f>
        <v>UNIQUE</v>
      </c>
      <c r="L3161" s="18">
        <v>0</v>
      </c>
      <c r="M3161" s="28">
        <v>50</v>
      </c>
      <c r="N3161" s="6">
        <v>169</v>
      </c>
      <c r="O3161" s="30">
        <f t="shared" si="298"/>
        <v>0</v>
      </c>
      <c r="P3161" s="30">
        <f t="shared" si="299"/>
        <v>8450</v>
      </c>
      <c r="Q3161" s="1">
        <f>COUNTIFS($P:$P, "&gt;" &amp; $P3161) + 1</f>
        <v>1932</v>
      </c>
      <c r="R3161" s="63">
        <f>(COUNTIFS($P:$P, "&gt;" &amp; $P3161) + 1) / (COUNTA($I:$I) - 1)</f>
        <v>0.38640000000000002</v>
      </c>
      <c r="S3161" s="23">
        <f>SUMIFS($P:$P, $Q:$Q, "&lt;" &amp; $Q3161)</f>
        <v>179440155</v>
      </c>
    </row>
    <row r="3162" spans="1:19" x14ac:dyDescent="0.25">
      <c r="A3162" s="1">
        <v>3157</v>
      </c>
      <c r="B3162" s="1" t="s">
        <v>2</v>
      </c>
      <c r="C3162" s="1" t="str">
        <f>IF($B3162 = "Production Item", _xlfn.XLOOKUP($A3162, 'Instrument Table'!$J:$J, 'Instrument Table'!$B:$B, $C3161), IF($B3162 = "Service Item", _xlfn.XLOOKUP($A3162, 'Instrument Table'!$I:$I, 'Instrument Table'!$B:$B, $C3161), _xlfn.XLOOKUP($A3162, 'Instrument Table'!$H:$H, 'Instrument Table'!$B:$B, $C3161)))</f>
        <v>Theremin</v>
      </c>
      <c r="D3162" s="1" t="str">
        <f>VLOOKUP($C3162, 'Instrument Table'!$B:$C, 2, FALSE)</f>
        <v>Other</v>
      </c>
      <c r="E3162" s="1">
        <f t="shared" si="294"/>
        <v>1</v>
      </c>
      <c r="F3162" s="1">
        <f>_xlfn.XLOOKUP($C3162, 'Instrument Table'!$B:$B, 'Instrument Table'!$A:$A, "")</f>
        <v>60</v>
      </c>
      <c r="G3162" s="1" t="str">
        <f>TEXT(IF($B3162 = "Retail Item", IF((ROW($A3162) - 4504 - _xlfn.XMATCH($C3162, $C$4506:$C$5005, 0, 1)) &lt;= VLOOKUP($C3162, 'Instrument Table'!$B:$D, 3, FALSE), ROW($A3162) - 4504 - _xlfn.XMATCH($C3162, $C$4506:$C$5005, 0, 1), 0), 0), "00")</f>
        <v>00</v>
      </c>
      <c r="H3162" s="1" t="str">
        <f t="shared" si="295"/>
        <v>006</v>
      </c>
      <c r="I3162" s="1" t="str">
        <f t="shared" si="296"/>
        <v>16000-006</v>
      </c>
      <c r="J3162" s="1" t="str">
        <f t="shared" si="297"/>
        <v>Theremin production item #006</v>
      </c>
      <c r="K3162" s="1" t="str">
        <f>IF(SUM(COUNTIFS(I:I, I3162)) &gt; 1, "DUPLICATE", "UNIQUE")</f>
        <v>UNIQUE</v>
      </c>
      <c r="L3162" s="18">
        <v>1</v>
      </c>
      <c r="M3162" s="28">
        <v>44</v>
      </c>
      <c r="N3162" s="6">
        <v>121</v>
      </c>
      <c r="O3162" s="30">
        <f t="shared" si="298"/>
        <v>44</v>
      </c>
      <c r="P3162" s="30">
        <f t="shared" si="299"/>
        <v>5324</v>
      </c>
      <c r="Q3162" s="1">
        <f>COUNTIFS($P:$P, "&gt;" &amp; $P3162) + 1</f>
        <v>2384</v>
      </c>
      <c r="R3162" s="63">
        <f>(COUNTIFS($P:$P, "&gt;" &amp; $P3162) + 1) / (COUNTA($I:$I) - 1)</f>
        <v>0.4768</v>
      </c>
      <c r="S3162" s="23">
        <f>SUMIFS($P:$P, $Q:$Q, "&lt;" &amp; $Q3162)</f>
        <v>182532105</v>
      </c>
    </row>
    <row r="3163" spans="1:19" x14ac:dyDescent="0.25">
      <c r="A3163" s="1">
        <v>3158</v>
      </c>
      <c r="B3163" s="1" t="s">
        <v>2</v>
      </c>
      <c r="C3163" s="1" t="str">
        <f>IF($B3163 = "Production Item", _xlfn.XLOOKUP($A3163, 'Instrument Table'!$J:$J, 'Instrument Table'!$B:$B, $C3162), IF($B3163 = "Service Item", _xlfn.XLOOKUP($A3163, 'Instrument Table'!$I:$I, 'Instrument Table'!$B:$B, $C3162), _xlfn.XLOOKUP($A3163, 'Instrument Table'!$H:$H, 'Instrument Table'!$B:$B, $C3162)))</f>
        <v>Theremin</v>
      </c>
      <c r="D3163" s="1" t="str">
        <f>VLOOKUP($C3163, 'Instrument Table'!$B:$C, 2, FALSE)</f>
        <v>Other</v>
      </c>
      <c r="E3163" s="1">
        <f t="shared" si="294"/>
        <v>1</v>
      </c>
      <c r="F3163" s="1">
        <f>_xlfn.XLOOKUP($C3163, 'Instrument Table'!$B:$B, 'Instrument Table'!$A:$A, "")</f>
        <v>60</v>
      </c>
      <c r="G3163" s="1" t="str">
        <f>TEXT(IF($B3163 = "Retail Item", IF((ROW($A3163) - 4504 - _xlfn.XMATCH($C3163, $C$4506:$C$5005, 0, 1)) &lt;= VLOOKUP($C3163, 'Instrument Table'!$B:$D, 3, FALSE), ROW($A3163) - 4504 - _xlfn.XMATCH($C3163, $C$4506:$C$5005, 0, 1), 0), 0), "00")</f>
        <v>00</v>
      </c>
      <c r="H3163" s="1" t="str">
        <f t="shared" si="295"/>
        <v>007</v>
      </c>
      <c r="I3163" s="1" t="str">
        <f t="shared" si="296"/>
        <v>16000-007</v>
      </c>
      <c r="J3163" s="1" t="str">
        <f t="shared" si="297"/>
        <v>Theremin production item #007</v>
      </c>
      <c r="K3163" s="1" t="str">
        <f>IF(SUM(COUNTIFS(I:I, I3163)) &gt; 1, "DUPLICATE", "UNIQUE")</f>
        <v>UNIQUE</v>
      </c>
      <c r="L3163" s="18">
        <v>1</v>
      </c>
      <c r="M3163" s="28">
        <v>84</v>
      </c>
      <c r="N3163" s="6">
        <v>49</v>
      </c>
      <c r="O3163" s="30">
        <f t="shared" si="298"/>
        <v>84</v>
      </c>
      <c r="P3163" s="30">
        <f t="shared" si="299"/>
        <v>4116</v>
      </c>
      <c r="Q3163" s="1">
        <f>COUNTIFS($P:$P, "&gt;" &amp; $P3163) + 1</f>
        <v>2630</v>
      </c>
      <c r="R3163" s="63">
        <f>(COUNTIFS($P:$P, "&gt;" &amp; $P3163) + 1) / (COUNTA($I:$I) - 1)</f>
        <v>0.52600000000000002</v>
      </c>
      <c r="S3163" s="23">
        <f>SUMIFS($P:$P, $Q:$Q, "&lt;" &amp; $Q3163)</f>
        <v>183689305</v>
      </c>
    </row>
    <row r="3164" spans="1:19" x14ac:dyDescent="0.25">
      <c r="A3164" s="1">
        <v>3159</v>
      </c>
      <c r="B3164" s="1" t="s">
        <v>2</v>
      </c>
      <c r="C3164" s="1" t="str">
        <f>IF($B3164 = "Production Item", _xlfn.XLOOKUP($A3164, 'Instrument Table'!$J:$J, 'Instrument Table'!$B:$B, $C3163), IF($B3164 = "Service Item", _xlfn.XLOOKUP($A3164, 'Instrument Table'!$I:$I, 'Instrument Table'!$B:$B, $C3163), _xlfn.XLOOKUP($A3164, 'Instrument Table'!$H:$H, 'Instrument Table'!$B:$B, $C3163)))</f>
        <v>Theremin</v>
      </c>
      <c r="D3164" s="1" t="str">
        <f>VLOOKUP($C3164, 'Instrument Table'!$B:$C, 2, FALSE)</f>
        <v>Other</v>
      </c>
      <c r="E3164" s="1">
        <f t="shared" si="294"/>
        <v>1</v>
      </c>
      <c r="F3164" s="1">
        <f>_xlfn.XLOOKUP($C3164, 'Instrument Table'!$B:$B, 'Instrument Table'!$A:$A, "")</f>
        <v>60</v>
      </c>
      <c r="G3164" s="1" t="str">
        <f>TEXT(IF($B3164 = "Retail Item", IF((ROW($A3164) - 4504 - _xlfn.XMATCH($C3164, $C$4506:$C$5005, 0, 1)) &lt;= VLOOKUP($C3164, 'Instrument Table'!$B:$D, 3, FALSE), ROW($A3164) - 4504 - _xlfn.XMATCH($C3164, $C$4506:$C$5005, 0, 1), 0), 0), "00")</f>
        <v>00</v>
      </c>
      <c r="H3164" s="1" t="str">
        <f t="shared" si="295"/>
        <v>008</v>
      </c>
      <c r="I3164" s="1" t="str">
        <f t="shared" si="296"/>
        <v>16000-008</v>
      </c>
      <c r="J3164" s="1" t="str">
        <f t="shared" si="297"/>
        <v>Theremin production item #008</v>
      </c>
      <c r="K3164" s="1" t="str">
        <f>IF(SUM(COUNTIFS(I:I, I3164)) &gt; 1, "DUPLICATE", "UNIQUE")</f>
        <v>UNIQUE</v>
      </c>
      <c r="L3164" s="18">
        <v>0</v>
      </c>
      <c r="M3164" s="28">
        <v>32</v>
      </c>
      <c r="N3164" s="6">
        <v>361</v>
      </c>
      <c r="O3164" s="30">
        <f t="shared" si="298"/>
        <v>0</v>
      </c>
      <c r="P3164" s="30">
        <f t="shared" si="299"/>
        <v>11552</v>
      </c>
      <c r="Q3164" s="1">
        <f>COUNTIFS($P:$P, "&gt;" &amp; $P3164) + 1</f>
        <v>1631</v>
      </c>
      <c r="R3164" s="63">
        <f>(COUNTIFS($P:$P, "&gt;" &amp; $P3164) + 1) / (COUNTA($I:$I) - 1)</f>
        <v>0.32619999999999999</v>
      </c>
      <c r="S3164" s="23">
        <f>SUMIFS($P:$P, $Q:$Q, "&lt;" &amp; $Q3164)</f>
        <v>176439819</v>
      </c>
    </row>
    <row r="3165" spans="1:19" x14ac:dyDescent="0.25">
      <c r="A3165" s="1">
        <v>3160</v>
      </c>
      <c r="B3165" s="1" t="s">
        <v>2</v>
      </c>
      <c r="C3165" s="1" t="str">
        <f>IF($B3165 = "Production Item", _xlfn.XLOOKUP($A3165, 'Instrument Table'!$J:$J, 'Instrument Table'!$B:$B, $C3164), IF($B3165 = "Service Item", _xlfn.XLOOKUP($A3165, 'Instrument Table'!$I:$I, 'Instrument Table'!$B:$B, $C3164), _xlfn.XLOOKUP($A3165, 'Instrument Table'!$H:$H, 'Instrument Table'!$B:$B, $C3164)))</f>
        <v>Theremin</v>
      </c>
      <c r="D3165" s="1" t="str">
        <f>VLOOKUP($C3165, 'Instrument Table'!$B:$C, 2, FALSE)</f>
        <v>Other</v>
      </c>
      <c r="E3165" s="1">
        <f t="shared" si="294"/>
        <v>1</v>
      </c>
      <c r="F3165" s="1">
        <f>_xlfn.XLOOKUP($C3165, 'Instrument Table'!$B:$B, 'Instrument Table'!$A:$A, "")</f>
        <v>60</v>
      </c>
      <c r="G3165" s="1" t="str">
        <f>TEXT(IF($B3165 = "Retail Item", IF((ROW($A3165) - 4504 - _xlfn.XMATCH($C3165, $C$4506:$C$5005, 0, 1)) &lt;= VLOOKUP($C3165, 'Instrument Table'!$B:$D, 3, FALSE), ROW($A3165) - 4504 - _xlfn.XMATCH($C3165, $C$4506:$C$5005, 0, 1), 0), 0), "00")</f>
        <v>00</v>
      </c>
      <c r="H3165" s="1" t="str">
        <f t="shared" si="295"/>
        <v>009</v>
      </c>
      <c r="I3165" s="1" t="str">
        <f t="shared" si="296"/>
        <v>16000-009</v>
      </c>
      <c r="J3165" s="1" t="str">
        <f t="shared" si="297"/>
        <v>Theremin production item #009</v>
      </c>
      <c r="K3165" s="1" t="str">
        <f>IF(SUM(COUNTIFS(I:I, I3165)) &gt; 1, "DUPLICATE", "UNIQUE")</f>
        <v>UNIQUE</v>
      </c>
      <c r="L3165" s="18">
        <v>1</v>
      </c>
      <c r="M3165" s="28">
        <v>58</v>
      </c>
      <c r="N3165" s="6">
        <v>36</v>
      </c>
      <c r="O3165" s="30">
        <f t="shared" si="298"/>
        <v>58</v>
      </c>
      <c r="P3165" s="30">
        <f t="shared" si="299"/>
        <v>2088</v>
      </c>
      <c r="Q3165" s="1">
        <f>COUNTIFS($P:$P, "&gt;" &amp; $P3165) + 1</f>
        <v>3213</v>
      </c>
      <c r="R3165" s="63">
        <f>(COUNTIFS($P:$P, "&gt;" &amp; $P3165) + 1) / (COUNTA($I:$I) - 1)</f>
        <v>0.64259999999999995</v>
      </c>
      <c r="S3165" s="23">
        <f>SUMIFS($P:$P, $Q:$Q, "&lt;" &amp; $Q3165)</f>
        <v>185435050</v>
      </c>
    </row>
    <row r="3166" spans="1:19" x14ac:dyDescent="0.25">
      <c r="A3166" s="1">
        <v>3161</v>
      </c>
      <c r="B3166" s="1" t="s">
        <v>2</v>
      </c>
      <c r="C3166" s="1" t="str">
        <f>IF($B3166 = "Production Item", _xlfn.XLOOKUP($A3166, 'Instrument Table'!$J:$J, 'Instrument Table'!$B:$B, $C3165), IF($B3166 = "Service Item", _xlfn.XLOOKUP($A3166, 'Instrument Table'!$I:$I, 'Instrument Table'!$B:$B, $C3165), _xlfn.XLOOKUP($A3166, 'Instrument Table'!$H:$H, 'Instrument Table'!$B:$B, $C3165)))</f>
        <v>Theremin</v>
      </c>
      <c r="D3166" s="1" t="str">
        <f>VLOOKUP($C3166, 'Instrument Table'!$B:$C, 2, FALSE)</f>
        <v>Other</v>
      </c>
      <c r="E3166" s="1">
        <f t="shared" si="294"/>
        <v>1</v>
      </c>
      <c r="F3166" s="1">
        <f>_xlfn.XLOOKUP($C3166, 'Instrument Table'!$B:$B, 'Instrument Table'!$A:$A, "")</f>
        <v>60</v>
      </c>
      <c r="G3166" s="1" t="str">
        <f>TEXT(IF($B3166 = "Retail Item", IF((ROW($A3166) - 4504 - _xlfn.XMATCH($C3166, $C$4506:$C$5005, 0, 1)) &lt;= VLOOKUP($C3166, 'Instrument Table'!$B:$D, 3, FALSE), ROW($A3166) - 4504 - _xlfn.XMATCH($C3166, $C$4506:$C$5005, 0, 1), 0), 0), "00")</f>
        <v>00</v>
      </c>
      <c r="H3166" s="1" t="str">
        <f t="shared" si="295"/>
        <v>010</v>
      </c>
      <c r="I3166" s="1" t="str">
        <f t="shared" si="296"/>
        <v>16000-010</v>
      </c>
      <c r="J3166" s="1" t="str">
        <f t="shared" si="297"/>
        <v>Theremin production item #010</v>
      </c>
      <c r="K3166" s="1" t="str">
        <f>IF(SUM(COUNTIFS(I:I, I3166)) &gt; 1, "DUPLICATE", "UNIQUE")</f>
        <v>UNIQUE</v>
      </c>
      <c r="L3166" s="18">
        <v>32</v>
      </c>
      <c r="M3166" s="28">
        <v>86</v>
      </c>
      <c r="N3166" s="6">
        <v>64</v>
      </c>
      <c r="O3166" s="30">
        <f t="shared" si="298"/>
        <v>2752</v>
      </c>
      <c r="P3166" s="30">
        <f t="shared" si="299"/>
        <v>5504</v>
      </c>
      <c r="Q3166" s="1">
        <f>COUNTIFS($P:$P, "&gt;" &amp; $P3166) + 1</f>
        <v>2350</v>
      </c>
      <c r="R3166" s="63">
        <f>(COUNTIFS($P:$P, "&gt;" &amp; $P3166) + 1) / (COUNTA($I:$I) - 1)</f>
        <v>0.47</v>
      </c>
      <c r="S3166" s="23">
        <f>SUMIFS($P:$P, $Q:$Q, "&lt;" &amp; $Q3166)</f>
        <v>182347545</v>
      </c>
    </row>
    <row r="3167" spans="1:19" x14ac:dyDescent="0.25">
      <c r="A3167" s="1">
        <v>3162</v>
      </c>
      <c r="B3167" s="1" t="s">
        <v>2</v>
      </c>
      <c r="C3167" s="1" t="str">
        <f>IF($B3167 = "Production Item", _xlfn.XLOOKUP($A3167, 'Instrument Table'!$J:$J, 'Instrument Table'!$B:$B, $C3166), IF($B3167 = "Service Item", _xlfn.XLOOKUP($A3167, 'Instrument Table'!$I:$I, 'Instrument Table'!$B:$B, $C3166), _xlfn.XLOOKUP($A3167, 'Instrument Table'!$H:$H, 'Instrument Table'!$B:$B, $C3166)))</f>
        <v>Theremin</v>
      </c>
      <c r="D3167" s="1" t="str">
        <f>VLOOKUP($C3167, 'Instrument Table'!$B:$C, 2, FALSE)</f>
        <v>Other</v>
      </c>
      <c r="E3167" s="1">
        <f t="shared" si="294"/>
        <v>1</v>
      </c>
      <c r="F3167" s="1">
        <f>_xlfn.XLOOKUP($C3167, 'Instrument Table'!$B:$B, 'Instrument Table'!$A:$A, "")</f>
        <v>60</v>
      </c>
      <c r="G3167" s="1" t="str">
        <f>TEXT(IF($B3167 = "Retail Item", IF((ROW($A3167) - 4504 - _xlfn.XMATCH($C3167, $C$4506:$C$5005, 0, 1)) &lt;= VLOOKUP($C3167, 'Instrument Table'!$B:$D, 3, FALSE), ROW($A3167) - 4504 - _xlfn.XMATCH($C3167, $C$4506:$C$5005, 0, 1), 0), 0), "00")</f>
        <v>00</v>
      </c>
      <c r="H3167" s="1" t="str">
        <f t="shared" si="295"/>
        <v>011</v>
      </c>
      <c r="I3167" s="1" t="str">
        <f t="shared" si="296"/>
        <v>16000-011</v>
      </c>
      <c r="J3167" s="1" t="str">
        <f t="shared" si="297"/>
        <v>Theremin production item #011</v>
      </c>
      <c r="K3167" s="1" t="str">
        <f>IF(SUM(COUNTIFS(I:I, I3167)) &gt; 1, "DUPLICATE", "UNIQUE")</f>
        <v>UNIQUE</v>
      </c>
      <c r="L3167" s="18">
        <v>1</v>
      </c>
      <c r="M3167" s="28">
        <v>32</v>
      </c>
      <c r="N3167" s="6">
        <v>49</v>
      </c>
      <c r="O3167" s="30">
        <f t="shared" si="298"/>
        <v>32</v>
      </c>
      <c r="P3167" s="30">
        <f t="shared" si="299"/>
        <v>1568</v>
      </c>
      <c r="Q3167" s="1">
        <f>COUNTIFS($P:$P, "&gt;" &amp; $P3167) + 1</f>
        <v>3434</v>
      </c>
      <c r="R3167" s="63">
        <f>(COUNTIFS($P:$P, "&gt;" &amp; $P3167) + 1) / (COUNTA($I:$I) - 1)</f>
        <v>0.68679999999999997</v>
      </c>
      <c r="S3167" s="23">
        <f>SUMIFS($P:$P, $Q:$Q, "&lt;" &amp; $Q3167)</f>
        <v>185839021</v>
      </c>
    </row>
    <row r="3168" spans="1:19" x14ac:dyDescent="0.25">
      <c r="A3168" s="1">
        <v>3163</v>
      </c>
      <c r="B3168" s="1" t="s">
        <v>2</v>
      </c>
      <c r="C3168" s="1" t="str">
        <f>IF($B3168 = "Production Item", _xlfn.XLOOKUP($A3168, 'Instrument Table'!$J:$J, 'Instrument Table'!$B:$B, $C3167), IF($B3168 = "Service Item", _xlfn.XLOOKUP($A3168, 'Instrument Table'!$I:$I, 'Instrument Table'!$B:$B, $C3167), _xlfn.XLOOKUP($A3168, 'Instrument Table'!$H:$H, 'Instrument Table'!$B:$B, $C3167)))</f>
        <v>Theremin</v>
      </c>
      <c r="D3168" s="1" t="str">
        <f>VLOOKUP($C3168, 'Instrument Table'!$B:$C, 2, FALSE)</f>
        <v>Other</v>
      </c>
      <c r="E3168" s="1">
        <f t="shared" si="294"/>
        <v>1</v>
      </c>
      <c r="F3168" s="1">
        <f>_xlfn.XLOOKUP($C3168, 'Instrument Table'!$B:$B, 'Instrument Table'!$A:$A, "")</f>
        <v>60</v>
      </c>
      <c r="G3168" s="1" t="str">
        <f>TEXT(IF($B3168 = "Retail Item", IF((ROW($A3168) - 4504 - _xlfn.XMATCH($C3168, $C$4506:$C$5005, 0, 1)) &lt;= VLOOKUP($C3168, 'Instrument Table'!$B:$D, 3, FALSE), ROW($A3168) - 4504 - _xlfn.XMATCH($C3168, $C$4506:$C$5005, 0, 1), 0), 0), "00")</f>
        <v>00</v>
      </c>
      <c r="H3168" s="1" t="str">
        <f t="shared" si="295"/>
        <v>012</v>
      </c>
      <c r="I3168" s="1" t="str">
        <f t="shared" si="296"/>
        <v>16000-012</v>
      </c>
      <c r="J3168" s="1" t="str">
        <f t="shared" si="297"/>
        <v>Theremin production item #012</v>
      </c>
      <c r="K3168" s="1" t="str">
        <f>IF(SUM(COUNTIFS(I:I, I3168)) &gt; 1, "DUPLICATE", "UNIQUE")</f>
        <v>UNIQUE</v>
      </c>
      <c r="L3168" s="18">
        <v>1</v>
      </c>
      <c r="M3168" s="28">
        <v>32</v>
      </c>
      <c r="N3168" s="6">
        <v>36</v>
      </c>
      <c r="O3168" s="30">
        <f t="shared" si="298"/>
        <v>32</v>
      </c>
      <c r="P3168" s="30">
        <f t="shared" si="299"/>
        <v>1152</v>
      </c>
      <c r="Q3168" s="1">
        <f>COUNTIFS($P:$P, "&gt;" &amp; $P3168) + 1</f>
        <v>3621</v>
      </c>
      <c r="R3168" s="63">
        <f>(COUNTIFS($P:$P, "&gt;" &amp; $P3168) + 1) / (COUNTA($I:$I) - 1)</f>
        <v>0.72419999999999995</v>
      </c>
      <c r="S3168" s="23">
        <f>SUMIFS($P:$P, $Q:$Q, "&lt;" &amp; $Q3168)</f>
        <v>186094880</v>
      </c>
    </row>
    <row r="3169" spans="1:19" x14ac:dyDescent="0.25">
      <c r="A3169" s="1">
        <v>3164</v>
      </c>
      <c r="B3169" s="1" t="s">
        <v>2</v>
      </c>
      <c r="C3169" s="1" t="str">
        <f>IF($B3169 = "Production Item", _xlfn.XLOOKUP($A3169, 'Instrument Table'!$J:$J, 'Instrument Table'!$B:$B, $C3168), IF($B3169 = "Service Item", _xlfn.XLOOKUP($A3169, 'Instrument Table'!$I:$I, 'Instrument Table'!$B:$B, $C3168), _xlfn.XLOOKUP($A3169, 'Instrument Table'!$H:$H, 'Instrument Table'!$B:$B, $C3168)))</f>
        <v>Theremin</v>
      </c>
      <c r="D3169" s="1" t="str">
        <f>VLOOKUP($C3169, 'Instrument Table'!$B:$C, 2, FALSE)</f>
        <v>Other</v>
      </c>
      <c r="E3169" s="1">
        <f t="shared" si="294"/>
        <v>1</v>
      </c>
      <c r="F3169" s="1">
        <f>_xlfn.XLOOKUP($C3169, 'Instrument Table'!$B:$B, 'Instrument Table'!$A:$A, "")</f>
        <v>60</v>
      </c>
      <c r="G3169" s="1" t="str">
        <f>TEXT(IF($B3169 = "Retail Item", IF((ROW($A3169) - 4504 - _xlfn.XMATCH($C3169, $C$4506:$C$5005, 0, 1)) &lt;= VLOOKUP($C3169, 'Instrument Table'!$B:$D, 3, FALSE), ROW($A3169) - 4504 - _xlfn.XMATCH($C3169, $C$4506:$C$5005, 0, 1), 0), 0), "00")</f>
        <v>00</v>
      </c>
      <c r="H3169" s="1" t="str">
        <f t="shared" si="295"/>
        <v>013</v>
      </c>
      <c r="I3169" s="1" t="str">
        <f t="shared" si="296"/>
        <v>16000-013</v>
      </c>
      <c r="J3169" s="1" t="str">
        <f t="shared" si="297"/>
        <v>Theremin production item #013</v>
      </c>
      <c r="K3169" s="1" t="str">
        <f>IF(SUM(COUNTIFS(I:I, I3169)) &gt; 1, "DUPLICATE", "UNIQUE")</f>
        <v>UNIQUE</v>
      </c>
      <c r="L3169" s="18">
        <v>0</v>
      </c>
      <c r="M3169" s="28">
        <v>8</v>
      </c>
      <c r="N3169" s="6">
        <v>144</v>
      </c>
      <c r="O3169" s="30">
        <f t="shared" si="298"/>
        <v>0</v>
      </c>
      <c r="P3169" s="30">
        <f t="shared" si="299"/>
        <v>1152</v>
      </c>
      <c r="Q3169" s="1">
        <f>COUNTIFS($P:$P, "&gt;" &amp; $P3169) + 1</f>
        <v>3621</v>
      </c>
      <c r="R3169" s="63">
        <f>(COUNTIFS($P:$P, "&gt;" &amp; $P3169) + 1) / (COUNTA($I:$I) - 1)</f>
        <v>0.72419999999999995</v>
      </c>
      <c r="S3169" s="23">
        <f>SUMIFS($P:$P, $Q:$Q, "&lt;" &amp; $Q3169)</f>
        <v>186094880</v>
      </c>
    </row>
    <row r="3170" spans="1:19" x14ac:dyDescent="0.25">
      <c r="A3170" s="1">
        <v>3165</v>
      </c>
      <c r="B3170" s="1" t="s">
        <v>2</v>
      </c>
      <c r="C3170" s="1" t="str">
        <f>IF($B3170 = "Production Item", _xlfn.XLOOKUP($A3170, 'Instrument Table'!$J:$J, 'Instrument Table'!$B:$B, $C3169), IF($B3170 = "Service Item", _xlfn.XLOOKUP($A3170, 'Instrument Table'!$I:$I, 'Instrument Table'!$B:$B, $C3169), _xlfn.XLOOKUP($A3170, 'Instrument Table'!$H:$H, 'Instrument Table'!$B:$B, $C3169)))</f>
        <v>Theremin</v>
      </c>
      <c r="D3170" s="1" t="str">
        <f>VLOOKUP($C3170, 'Instrument Table'!$B:$C, 2, FALSE)</f>
        <v>Other</v>
      </c>
      <c r="E3170" s="1">
        <f t="shared" si="294"/>
        <v>1</v>
      </c>
      <c r="F3170" s="1">
        <f>_xlfn.XLOOKUP($C3170, 'Instrument Table'!$B:$B, 'Instrument Table'!$A:$A, "")</f>
        <v>60</v>
      </c>
      <c r="G3170" s="1" t="str">
        <f>TEXT(IF($B3170 = "Retail Item", IF((ROW($A3170) - 4504 - _xlfn.XMATCH($C3170, $C$4506:$C$5005, 0, 1)) &lt;= VLOOKUP($C3170, 'Instrument Table'!$B:$D, 3, FALSE), ROW($A3170) - 4504 - _xlfn.XMATCH($C3170, $C$4506:$C$5005, 0, 1), 0), 0), "00")</f>
        <v>00</v>
      </c>
      <c r="H3170" s="1" t="str">
        <f t="shared" si="295"/>
        <v>014</v>
      </c>
      <c r="I3170" s="1" t="str">
        <f t="shared" si="296"/>
        <v>16000-014</v>
      </c>
      <c r="J3170" s="1" t="str">
        <f t="shared" si="297"/>
        <v>Theremin production item #014</v>
      </c>
      <c r="K3170" s="1" t="str">
        <f>IF(SUM(COUNTIFS(I:I, I3170)) &gt; 1, "DUPLICATE", "UNIQUE")</f>
        <v>UNIQUE</v>
      </c>
      <c r="L3170" s="18">
        <v>0</v>
      </c>
      <c r="M3170" s="28">
        <v>59</v>
      </c>
      <c r="N3170" s="6">
        <v>361</v>
      </c>
      <c r="O3170" s="30">
        <f t="shared" si="298"/>
        <v>0</v>
      </c>
      <c r="P3170" s="30">
        <f t="shared" si="299"/>
        <v>21299</v>
      </c>
      <c r="Q3170" s="1">
        <f>COUNTIFS($P:$P, "&gt;" &amp; $P3170) + 1</f>
        <v>991</v>
      </c>
      <c r="R3170" s="63">
        <f>(COUNTIFS($P:$P, "&gt;" &amp; $P3170) + 1) / (COUNTA($I:$I) - 1)</f>
        <v>0.19819999999999999</v>
      </c>
      <c r="S3170" s="23">
        <f>SUMIFS($P:$P, $Q:$Q, "&lt;" &amp; $Q3170)</f>
        <v>166300051</v>
      </c>
    </row>
    <row r="3171" spans="1:19" x14ac:dyDescent="0.25">
      <c r="A3171" s="1">
        <v>3166</v>
      </c>
      <c r="B3171" s="1" t="s">
        <v>2</v>
      </c>
      <c r="C3171" s="1" t="str">
        <f>IF($B3171 = "Production Item", _xlfn.XLOOKUP($A3171, 'Instrument Table'!$J:$J, 'Instrument Table'!$B:$B, $C3170), IF($B3171 = "Service Item", _xlfn.XLOOKUP($A3171, 'Instrument Table'!$I:$I, 'Instrument Table'!$B:$B, $C3170), _xlfn.XLOOKUP($A3171, 'Instrument Table'!$H:$H, 'Instrument Table'!$B:$B, $C3170)))</f>
        <v>Theremin</v>
      </c>
      <c r="D3171" s="1" t="str">
        <f>VLOOKUP($C3171, 'Instrument Table'!$B:$C, 2, FALSE)</f>
        <v>Other</v>
      </c>
      <c r="E3171" s="1">
        <f t="shared" si="294"/>
        <v>1</v>
      </c>
      <c r="F3171" s="1">
        <f>_xlfn.XLOOKUP($C3171, 'Instrument Table'!$B:$B, 'Instrument Table'!$A:$A, "")</f>
        <v>60</v>
      </c>
      <c r="G3171" s="1" t="str">
        <f>TEXT(IF($B3171 = "Retail Item", IF((ROW($A3171) - 4504 - _xlfn.XMATCH($C3171, $C$4506:$C$5005, 0, 1)) &lt;= VLOOKUP($C3171, 'Instrument Table'!$B:$D, 3, FALSE), ROW($A3171) - 4504 - _xlfn.XMATCH($C3171, $C$4506:$C$5005, 0, 1), 0), 0), "00")</f>
        <v>00</v>
      </c>
      <c r="H3171" s="1" t="str">
        <f t="shared" si="295"/>
        <v>015</v>
      </c>
      <c r="I3171" s="1" t="str">
        <f t="shared" si="296"/>
        <v>16000-015</v>
      </c>
      <c r="J3171" s="1" t="str">
        <f t="shared" si="297"/>
        <v>Theremin production item #015</v>
      </c>
      <c r="K3171" s="1" t="str">
        <f>IF(SUM(COUNTIFS(I:I, I3171)) &gt; 1, "DUPLICATE", "UNIQUE")</f>
        <v>UNIQUE</v>
      </c>
      <c r="L3171" s="18">
        <v>0</v>
      </c>
      <c r="M3171" s="28">
        <v>61</v>
      </c>
      <c r="N3171" s="6">
        <v>256</v>
      </c>
      <c r="O3171" s="30">
        <f t="shared" si="298"/>
        <v>0</v>
      </c>
      <c r="P3171" s="30">
        <f t="shared" si="299"/>
        <v>15616</v>
      </c>
      <c r="Q3171" s="1">
        <f>COUNTIFS($P:$P, "&gt;" &amp; $P3171) + 1</f>
        <v>1303</v>
      </c>
      <c r="R3171" s="63">
        <f>(COUNTIFS($P:$P, "&gt;" &amp; $P3171) + 1) / (COUNTA($I:$I) - 1)</f>
        <v>0.2606</v>
      </c>
      <c r="S3171" s="23">
        <f>SUMIFS($P:$P, $Q:$Q, "&lt;" &amp; $Q3171)</f>
        <v>172020965</v>
      </c>
    </row>
    <row r="3172" spans="1:19" x14ac:dyDescent="0.25">
      <c r="A3172" s="1">
        <v>3167</v>
      </c>
      <c r="B3172" s="1" t="s">
        <v>2</v>
      </c>
      <c r="C3172" s="1" t="str">
        <f>IF($B3172 = "Production Item", _xlfn.XLOOKUP($A3172, 'Instrument Table'!$J:$J, 'Instrument Table'!$B:$B, $C3171), IF($B3172 = "Service Item", _xlfn.XLOOKUP($A3172, 'Instrument Table'!$I:$I, 'Instrument Table'!$B:$B, $C3171), _xlfn.XLOOKUP($A3172, 'Instrument Table'!$H:$H, 'Instrument Table'!$B:$B, $C3171)))</f>
        <v>Theremin</v>
      </c>
      <c r="D3172" s="1" t="str">
        <f>VLOOKUP($C3172, 'Instrument Table'!$B:$C, 2, FALSE)</f>
        <v>Other</v>
      </c>
      <c r="E3172" s="1">
        <f t="shared" si="294"/>
        <v>1</v>
      </c>
      <c r="F3172" s="1">
        <f>_xlfn.XLOOKUP($C3172, 'Instrument Table'!$B:$B, 'Instrument Table'!$A:$A, "")</f>
        <v>60</v>
      </c>
      <c r="G3172" s="1" t="str">
        <f>TEXT(IF($B3172 = "Retail Item", IF((ROW($A3172) - 4504 - _xlfn.XMATCH($C3172, $C$4506:$C$5005, 0, 1)) &lt;= VLOOKUP($C3172, 'Instrument Table'!$B:$D, 3, FALSE), ROW($A3172) - 4504 - _xlfn.XMATCH($C3172, $C$4506:$C$5005, 0, 1), 0), 0), "00")</f>
        <v>00</v>
      </c>
      <c r="H3172" s="1" t="str">
        <f t="shared" si="295"/>
        <v>016</v>
      </c>
      <c r="I3172" s="1" t="str">
        <f t="shared" si="296"/>
        <v>16000-016</v>
      </c>
      <c r="J3172" s="1" t="str">
        <f t="shared" si="297"/>
        <v>Theremin production item #016</v>
      </c>
      <c r="K3172" s="1" t="str">
        <f>IF(SUM(COUNTIFS(I:I, I3172)) &gt; 1, "DUPLICATE", "UNIQUE")</f>
        <v>UNIQUE</v>
      </c>
      <c r="L3172" s="18">
        <v>2</v>
      </c>
      <c r="M3172" s="28">
        <v>17</v>
      </c>
      <c r="N3172" s="6">
        <v>169</v>
      </c>
      <c r="O3172" s="30">
        <f t="shared" si="298"/>
        <v>34</v>
      </c>
      <c r="P3172" s="30">
        <f t="shared" si="299"/>
        <v>2873</v>
      </c>
      <c r="Q3172" s="1">
        <f>COUNTIFS($P:$P, "&gt;" &amp; $P3172) + 1</f>
        <v>2944</v>
      </c>
      <c r="R3172" s="63">
        <f>(COUNTIFS($P:$P, "&gt;" &amp; $P3172) + 1) / (COUNTA($I:$I) - 1)</f>
        <v>0.58879999999999999</v>
      </c>
      <c r="S3172" s="23">
        <f>SUMIFS($P:$P, $Q:$Q, "&lt;" &amp; $Q3172)</f>
        <v>184777849</v>
      </c>
    </row>
    <row r="3173" spans="1:19" x14ac:dyDescent="0.25">
      <c r="A3173" s="1">
        <v>3168</v>
      </c>
      <c r="B3173" s="1" t="s">
        <v>2</v>
      </c>
      <c r="C3173" s="1" t="str">
        <f>IF($B3173 = "Production Item", _xlfn.XLOOKUP($A3173, 'Instrument Table'!$J:$J, 'Instrument Table'!$B:$B, $C3172), IF($B3173 = "Service Item", _xlfn.XLOOKUP($A3173, 'Instrument Table'!$I:$I, 'Instrument Table'!$B:$B, $C3172), _xlfn.XLOOKUP($A3173, 'Instrument Table'!$H:$H, 'Instrument Table'!$B:$B, $C3172)))</f>
        <v>Theremin</v>
      </c>
      <c r="D3173" s="1" t="str">
        <f>VLOOKUP($C3173, 'Instrument Table'!$B:$C, 2, FALSE)</f>
        <v>Other</v>
      </c>
      <c r="E3173" s="1">
        <f t="shared" si="294"/>
        <v>1</v>
      </c>
      <c r="F3173" s="1">
        <f>_xlfn.XLOOKUP($C3173, 'Instrument Table'!$B:$B, 'Instrument Table'!$A:$A, "")</f>
        <v>60</v>
      </c>
      <c r="G3173" s="1" t="str">
        <f>TEXT(IF($B3173 = "Retail Item", IF((ROW($A3173) - 4504 - _xlfn.XMATCH($C3173, $C$4506:$C$5005, 0, 1)) &lt;= VLOOKUP($C3173, 'Instrument Table'!$B:$D, 3, FALSE), ROW($A3173) - 4504 - _xlfn.XMATCH($C3173, $C$4506:$C$5005, 0, 1), 0), 0), "00")</f>
        <v>00</v>
      </c>
      <c r="H3173" s="1" t="str">
        <f t="shared" si="295"/>
        <v>017</v>
      </c>
      <c r="I3173" s="1" t="str">
        <f t="shared" si="296"/>
        <v>16000-017</v>
      </c>
      <c r="J3173" s="1" t="str">
        <f t="shared" si="297"/>
        <v>Theremin production item #017</v>
      </c>
      <c r="K3173" s="1" t="str">
        <f>IF(SUM(COUNTIFS(I:I, I3173)) &gt; 1, "DUPLICATE", "UNIQUE")</f>
        <v>UNIQUE</v>
      </c>
      <c r="L3173" s="18">
        <v>16</v>
      </c>
      <c r="M3173" s="28">
        <v>15</v>
      </c>
      <c r="N3173" s="6">
        <v>196</v>
      </c>
      <c r="O3173" s="30">
        <f t="shared" si="298"/>
        <v>240</v>
      </c>
      <c r="P3173" s="30">
        <f t="shared" si="299"/>
        <v>2940</v>
      </c>
      <c r="Q3173" s="1">
        <f>COUNTIFS($P:$P, "&gt;" &amp; $P3173) + 1</f>
        <v>2917</v>
      </c>
      <c r="R3173" s="63">
        <f>(COUNTIFS($P:$P, "&gt;" &amp; $P3173) + 1) / (COUNTA($I:$I) - 1)</f>
        <v>0.58340000000000003</v>
      </c>
      <c r="S3173" s="23">
        <f>SUMIFS($P:$P, $Q:$Q, "&lt;" &amp; $Q3173)</f>
        <v>184699259</v>
      </c>
    </row>
    <row r="3174" spans="1:19" x14ac:dyDescent="0.25">
      <c r="A3174" s="1">
        <v>3169</v>
      </c>
      <c r="B3174" s="1" t="s">
        <v>2</v>
      </c>
      <c r="C3174" s="1" t="str">
        <f>IF($B3174 = "Production Item", _xlfn.XLOOKUP($A3174, 'Instrument Table'!$J:$J, 'Instrument Table'!$B:$B, $C3173), IF($B3174 = "Service Item", _xlfn.XLOOKUP($A3174, 'Instrument Table'!$I:$I, 'Instrument Table'!$B:$B, $C3173), _xlfn.XLOOKUP($A3174, 'Instrument Table'!$H:$H, 'Instrument Table'!$B:$B, $C3173)))</f>
        <v>Theremin</v>
      </c>
      <c r="D3174" s="1" t="str">
        <f>VLOOKUP($C3174, 'Instrument Table'!$B:$C, 2, FALSE)</f>
        <v>Other</v>
      </c>
      <c r="E3174" s="1">
        <f t="shared" si="294"/>
        <v>1</v>
      </c>
      <c r="F3174" s="1">
        <f>_xlfn.XLOOKUP($C3174, 'Instrument Table'!$B:$B, 'Instrument Table'!$A:$A, "")</f>
        <v>60</v>
      </c>
      <c r="G3174" s="1" t="str">
        <f>TEXT(IF($B3174 = "Retail Item", IF((ROW($A3174) - 4504 - _xlfn.XMATCH($C3174, $C$4506:$C$5005, 0, 1)) &lt;= VLOOKUP($C3174, 'Instrument Table'!$B:$D, 3, FALSE), ROW($A3174) - 4504 - _xlfn.XMATCH($C3174, $C$4506:$C$5005, 0, 1), 0), 0), "00")</f>
        <v>00</v>
      </c>
      <c r="H3174" s="1" t="str">
        <f t="shared" si="295"/>
        <v>018</v>
      </c>
      <c r="I3174" s="1" t="str">
        <f t="shared" si="296"/>
        <v>16000-018</v>
      </c>
      <c r="J3174" s="1" t="str">
        <f t="shared" si="297"/>
        <v>Theremin production item #018</v>
      </c>
      <c r="K3174" s="1" t="str">
        <f>IF(SUM(COUNTIFS(I:I, I3174)) &gt; 1, "DUPLICATE", "UNIQUE")</f>
        <v>UNIQUE</v>
      </c>
      <c r="L3174" s="18">
        <v>1</v>
      </c>
      <c r="M3174" s="28">
        <v>71</v>
      </c>
      <c r="N3174" s="6">
        <v>1</v>
      </c>
      <c r="O3174" s="30">
        <f t="shared" si="298"/>
        <v>71</v>
      </c>
      <c r="P3174" s="30">
        <f t="shared" si="299"/>
        <v>71</v>
      </c>
      <c r="Q3174" s="1">
        <f>COUNTIFS($P:$P, "&gt;" &amp; $P3174) + 1</f>
        <v>4540</v>
      </c>
      <c r="R3174" s="63">
        <f>(COUNTIFS($P:$P, "&gt;" &amp; $P3174) + 1) / (COUNTA($I:$I) - 1)</f>
        <v>0.90800000000000003</v>
      </c>
      <c r="S3174" s="23">
        <f>SUMIFS($P:$P, $Q:$Q, "&lt;" &amp; $Q3174)</f>
        <v>186539970</v>
      </c>
    </row>
    <row r="3175" spans="1:19" x14ac:dyDescent="0.25">
      <c r="A3175" s="1">
        <v>3170</v>
      </c>
      <c r="B3175" s="1" t="s">
        <v>2</v>
      </c>
      <c r="C3175" s="1" t="str">
        <f>IF($B3175 = "Production Item", _xlfn.XLOOKUP($A3175, 'Instrument Table'!$J:$J, 'Instrument Table'!$B:$B, $C3174), IF($B3175 = "Service Item", _xlfn.XLOOKUP($A3175, 'Instrument Table'!$I:$I, 'Instrument Table'!$B:$B, $C3174), _xlfn.XLOOKUP($A3175, 'Instrument Table'!$H:$H, 'Instrument Table'!$B:$B, $C3174)))</f>
        <v>Theremin</v>
      </c>
      <c r="D3175" s="1" t="str">
        <f>VLOOKUP($C3175, 'Instrument Table'!$B:$C, 2, FALSE)</f>
        <v>Other</v>
      </c>
      <c r="E3175" s="1">
        <f t="shared" si="294"/>
        <v>1</v>
      </c>
      <c r="F3175" s="1">
        <f>_xlfn.XLOOKUP($C3175, 'Instrument Table'!$B:$B, 'Instrument Table'!$A:$A, "")</f>
        <v>60</v>
      </c>
      <c r="G3175" s="1" t="str">
        <f>TEXT(IF($B3175 = "Retail Item", IF((ROW($A3175) - 4504 - _xlfn.XMATCH($C3175, $C$4506:$C$5005, 0, 1)) &lt;= VLOOKUP($C3175, 'Instrument Table'!$B:$D, 3, FALSE), ROW($A3175) - 4504 - _xlfn.XMATCH($C3175, $C$4506:$C$5005, 0, 1), 0), 0), "00")</f>
        <v>00</v>
      </c>
      <c r="H3175" s="1" t="str">
        <f t="shared" si="295"/>
        <v>019</v>
      </c>
      <c r="I3175" s="1" t="str">
        <f t="shared" si="296"/>
        <v>16000-019</v>
      </c>
      <c r="J3175" s="1" t="str">
        <f t="shared" si="297"/>
        <v>Theremin production item #019</v>
      </c>
      <c r="K3175" s="1" t="str">
        <f>IF(SUM(COUNTIFS(I:I, I3175)) &gt; 1, "DUPLICATE", "UNIQUE")</f>
        <v>UNIQUE</v>
      </c>
      <c r="L3175" s="18">
        <v>1</v>
      </c>
      <c r="M3175" s="28">
        <v>55</v>
      </c>
      <c r="N3175" s="6">
        <v>144</v>
      </c>
      <c r="O3175" s="30">
        <f t="shared" si="298"/>
        <v>55</v>
      </c>
      <c r="P3175" s="30">
        <f t="shared" si="299"/>
        <v>7920</v>
      </c>
      <c r="Q3175" s="1">
        <f>COUNTIFS($P:$P, "&gt;" &amp; $P3175) + 1</f>
        <v>1999</v>
      </c>
      <c r="R3175" s="63">
        <f>(COUNTIFS($P:$P, "&gt;" &amp; $P3175) + 1) / (COUNTA($I:$I) - 1)</f>
        <v>0.39979999999999999</v>
      </c>
      <c r="S3175" s="23">
        <f>SUMIFS($P:$P, $Q:$Q, "&lt;" &amp; $Q3175)</f>
        <v>179988535</v>
      </c>
    </row>
    <row r="3176" spans="1:19" x14ac:dyDescent="0.25">
      <c r="A3176" s="1">
        <v>3171</v>
      </c>
      <c r="B3176" s="1" t="s">
        <v>2</v>
      </c>
      <c r="C3176" s="1" t="str">
        <f>IF($B3176 = "Production Item", _xlfn.XLOOKUP($A3176, 'Instrument Table'!$J:$J, 'Instrument Table'!$B:$B, $C3175), IF($B3176 = "Service Item", _xlfn.XLOOKUP($A3176, 'Instrument Table'!$I:$I, 'Instrument Table'!$B:$B, $C3175), _xlfn.XLOOKUP($A3176, 'Instrument Table'!$H:$H, 'Instrument Table'!$B:$B, $C3175)))</f>
        <v>Theremin</v>
      </c>
      <c r="D3176" s="1" t="str">
        <f>VLOOKUP($C3176, 'Instrument Table'!$B:$C, 2, FALSE)</f>
        <v>Other</v>
      </c>
      <c r="E3176" s="1">
        <f t="shared" si="294"/>
        <v>1</v>
      </c>
      <c r="F3176" s="1">
        <f>_xlfn.XLOOKUP($C3176, 'Instrument Table'!$B:$B, 'Instrument Table'!$A:$A, "")</f>
        <v>60</v>
      </c>
      <c r="G3176" s="1" t="str">
        <f>TEXT(IF($B3176 = "Retail Item", IF((ROW($A3176) - 4504 - _xlfn.XMATCH($C3176, $C$4506:$C$5005, 0, 1)) &lt;= VLOOKUP($C3176, 'Instrument Table'!$B:$D, 3, FALSE), ROW($A3176) - 4504 - _xlfn.XMATCH($C3176, $C$4506:$C$5005, 0, 1), 0), 0), "00")</f>
        <v>00</v>
      </c>
      <c r="H3176" s="1" t="str">
        <f t="shared" si="295"/>
        <v>020</v>
      </c>
      <c r="I3176" s="1" t="str">
        <f t="shared" si="296"/>
        <v>16000-020</v>
      </c>
      <c r="J3176" s="1" t="str">
        <f t="shared" si="297"/>
        <v>Theremin production item #020</v>
      </c>
      <c r="K3176" s="1" t="str">
        <f>IF(SUM(COUNTIFS(I:I, I3176)) &gt; 1, "DUPLICATE", "UNIQUE")</f>
        <v>UNIQUE</v>
      </c>
      <c r="L3176" s="18">
        <v>2</v>
      </c>
      <c r="M3176" s="28">
        <v>67</v>
      </c>
      <c r="N3176" s="6">
        <v>36</v>
      </c>
      <c r="O3176" s="30">
        <f t="shared" si="298"/>
        <v>134</v>
      </c>
      <c r="P3176" s="30">
        <f t="shared" si="299"/>
        <v>2412</v>
      </c>
      <c r="Q3176" s="1">
        <f>COUNTIFS($P:$P, "&gt;" &amp; $P3176) + 1</f>
        <v>3081</v>
      </c>
      <c r="R3176" s="63">
        <f>(COUNTIFS($P:$P, "&gt;" &amp; $P3176) + 1) / (COUNTA($I:$I) - 1)</f>
        <v>0.61619999999999997</v>
      </c>
      <c r="S3176" s="23">
        <f>SUMIFS($P:$P, $Q:$Q, "&lt;" &amp; $Q3176)</f>
        <v>185136940</v>
      </c>
    </row>
    <row r="3177" spans="1:19" x14ac:dyDescent="0.25">
      <c r="A3177" s="1">
        <v>3172</v>
      </c>
      <c r="B3177" s="1" t="s">
        <v>2</v>
      </c>
      <c r="C3177" s="1" t="str">
        <f>IF($B3177 = "Production Item", _xlfn.XLOOKUP($A3177, 'Instrument Table'!$J:$J, 'Instrument Table'!$B:$B, $C3176), IF($B3177 = "Service Item", _xlfn.XLOOKUP($A3177, 'Instrument Table'!$I:$I, 'Instrument Table'!$B:$B, $C3176), _xlfn.XLOOKUP($A3177, 'Instrument Table'!$H:$H, 'Instrument Table'!$B:$B, $C3176)))</f>
        <v>Theremin</v>
      </c>
      <c r="D3177" s="1" t="str">
        <f>VLOOKUP($C3177, 'Instrument Table'!$B:$C, 2, FALSE)</f>
        <v>Other</v>
      </c>
      <c r="E3177" s="1">
        <f t="shared" si="294"/>
        <v>1</v>
      </c>
      <c r="F3177" s="1">
        <f>_xlfn.XLOOKUP($C3177, 'Instrument Table'!$B:$B, 'Instrument Table'!$A:$A, "")</f>
        <v>60</v>
      </c>
      <c r="G3177" s="1" t="str">
        <f>TEXT(IF($B3177 = "Retail Item", IF((ROW($A3177) - 4504 - _xlfn.XMATCH($C3177, $C$4506:$C$5005, 0, 1)) &lt;= VLOOKUP($C3177, 'Instrument Table'!$B:$D, 3, FALSE), ROW($A3177) - 4504 - _xlfn.XMATCH($C3177, $C$4506:$C$5005, 0, 1), 0), 0), "00")</f>
        <v>00</v>
      </c>
      <c r="H3177" s="1" t="str">
        <f t="shared" si="295"/>
        <v>021</v>
      </c>
      <c r="I3177" s="1" t="str">
        <f t="shared" si="296"/>
        <v>16000-021</v>
      </c>
      <c r="J3177" s="1" t="str">
        <f t="shared" si="297"/>
        <v>Theremin production item #021</v>
      </c>
      <c r="K3177" s="1" t="str">
        <f>IF(SUM(COUNTIFS(I:I, I3177)) &gt; 1, "DUPLICATE", "UNIQUE")</f>
        <v>UNIQUE</v>
      </c>
      <c r="L3177" s="18">
        <v>32</v>
      </c>
      <c r="M3177" s="28">
        <v>8</v>
      </c>
      <c r="N3177" s="6">
        <v>25</v>
      </c>
      <c r="O3177" s="30">
        <f t="shared" si="298"/>
        <v>256</v>
      </c>
      <c r="P3177" s="30">
        <f t="shared" si="299"/>
        <v>200</v>
      </c>
      <c r="Q3177" s="1">
        <f>COUNTIFS($P:$P, "&gt;" &amp; $P3177) + 1</f>
        <v>4322</v>
      </c>
      <c r="R3177" s="63">
        <f>(COUNTIFS($P:$P, "&gt;" &amp; $P3177) + 1) / (COUNTA($I:$I) - 1)</f>
        <v>0.86439999999999995</v>
      </c>
      <c r="S3177" s="23">
        <f>SUMIFS($P:$P, $Q:$Q, "&lt;" &amp; $Q3177)</f>
        <v>186512097</v>
      </c>
    </row>
    <row r="3178" spans="1:19" x14ac:dyDescent="0.25">
      <c r="A3178" s="1">
        <v>3173</v>
      </c>
      <c r="B3178" s="1" t="s">
        <v>2</v>
      </c>
      <c r="C3178" s="1" t="str">
        <f>IF($B3178 = "Production Item", _xlfn.XLOOKUP($A3178, 'Instrument Table'!$J:$J, 'Instrument Table'!$B:$B, $C3177), IF($B3178 = "Service Item", _xlfn.XLOOKUP($A3178, 'Instrument Table'!$I:$I, 'Instrument Table'!$B:$B, $C3177), _xlfn.XLOOKUP($A3178, 'Instrument Table'!$H:$H, 'Instrument Table'!$B:$B, $C3177)))</f>
        <v>Theremin</v>
      </c>
      <c r="D3178" s="1" t="str">
        <f>VLOOKUP($C3178, 'Instrument Table'!$B:$C, 2, FALSE)</f>
        <v>Other</v>
      </c>
      <c r="E3178" s="1">
        <f t="shared" si="294"/>
        <v>1</v>
      </c>
      <c r="F3178" s="1">
        <f>_xlfn.XLOOKUP($C3178, 'Instrument Table'!$B:$B, 'Instrument Table'!$A:$A, "")</f>
        <v>60</v>
      </c>
      <c r="G3178" s="1" t="str">
        <f>TEXT(IF($B3178 = "Retail Item", IF((ROW($A3178) - 4504 - _xlfn.XMATCH($C3178, $C$4506:$C$5005, 0, 1)) &lt;= VLOOKUP($C3178, 'Instrument Table'!$B:$D, 3, FALSE), ROW($A3178) - 4504 - _xlfn.XMATCH($C3178, $C$4506:$C$5005, 0, 1), 0), 0), "00")</f>
        <v>00</v>
      </c>
      <c r="H3178" s="1" t="str">
        <f t="shared" si="295"/>
        <v>022</v>
      </c>
      <c r="I3178" s="1" t="str">
        <f t="shared" si="296"/>
        <v>16000-022</v>
      </c>
      <c r="J3178" s="1" t="str">
        <f t="shared" si="297"/>
        <v>Theremin production item #022</v>
      </c>
      <c r="K3178" s="1" t="str">
        <f>IF(SUM(COUNTIFS(I:I, I3178)) &gt; 1, "DUPLICATE", "UNIQUE")</f>
        <v>UNIQUE</v>
      </c>
      <c r="L3178" s="18">
        <v>8</v>
      </c>
      <c r="M3178" s="28">
        <v>82</v>
      </c>
      <c r="N3178" s="6">
        <v>225</v>
      </c>
      <c r="O3178" s="30">
        <f t="shared" si="298"/>
        <v>656</v>
      </c>
      <c r="P3178" s="30">
        <f t="shared" si="299"/>
        <v>18450</v>
      </c>
      <c r="Q3178" s="1">
        <f>COUNTIFS($P:$P, "&gt;" &amp; $P3178) + 1</f>
        <v>1134</v>
      </c>
      <c r="R3178" s="63">
        <f>(COUNTIFS($P:$P, "&gt;" &amp; $P3178) + 1) / (COUNTA($I:$I) - 1)</f>
        <v>0.2268</v>
      </c>
      <c r="S3178" s="23">
        <f>SUMIFS($P:$P, $Q:$Q, "&lt;" &amp; $Q3178)</f>
        <v>169142039</v>
      </c>
    </row>
    <row r="3179" spans="1:19" x14ac:dyDescent="0.25">
      <c r="A3179" s="1">
        <v>3174</v>
      </c>
      <c r="B3179" s="1" t="s">
        <v>2</v>
      </c>
      <c r="C3179" s="1" t="str">
        <f>IF($B3179 = "Production Item", _xlfn.XLOOKUP($A3179, 'Instrument Table'!$J:$J, 'Instrument Table'!$B:$B, $C3178), IF($B3179 = "Service Item", _xlfn.XLOOKUP($A3179, 'Instrument Table'!$I:$I, 'Instrument Table'!$B:$B, $C3178), _xlfn.XLOOKUP($A3179, 'Instrument Table'!$H:$H, 'Instrument Table'!$B:$B, $C3178)))</f>
        <v>Theremin</v>
      </c>
      <c r="D3179" s="1" t="str">
        <f>VLOOKUP($C3179, 'Instrument Table'!$B:$C, 2, FALSE)</f>
        <v>Other</v>
      </c>
      <c r="E3179" s="1">
        <f t="shared" si="294"/>
        <v>1</v>
      </c>
      <c r="F3179" s="1">
        <f>_xlfn.XLOOKUP($C3179, 'Instrument Table'!$B:$B, 'Instrument Table'!$A:$A, "")</f>
        <v>60</v>
      </c>
      <c r="G3179" s="1" t="str">
        <f>TEXT(IF($B3179 = "Retail Item", IF((ROW($A3179) - 4504 - _xlfn.XMATCH($C3179, $C$4506:$C$5005, 0, 1)) &lt;= VLOOKUP($C3179, 'Instrument Table'!$B:$D, 3, FALSE), ROW($A3179) - 4504 - _xlfn.XMATCH($C3179, $C$4506:$C$5005, 0, 1), 0), 0), "00")</f>
        <v>00</v>
      </c>
      <c r="H3179" s="1" t="str">
        <f t="shared" si="295"/>
        <v>023</v>
      </c>
      <c r="I3179" s="1" t="str">
        <f t="shared" si="296"/>
        <v>16000-023</v>
      </c>
      <c r="J3179" s="1" t="str">
        <f t="shared" si="297"/>
        <v>Theremin production item #023</v>
      </c>
      <c r="K3179" s="1" t="str">
        <f>IF(SUM(COUNTIFS(I:I, I3179)) &gt; 1, "DUPLICATE", "UNIQUE")</f>
        <v>UNIQUE</v>
      </c>
      <c r="L3179" s="18">
        <v>0</v>
      </c>
      <c r="M3179" s="28">
        <v>81</v>
      </c>
      <c r="N3179" s="6">
        <v>0</v>
      </c>
      <c r="O3179" s="30">
        <f t="shared" si="298"/>
        <v>0</v>
      </c>
      <c r="P3179" s="30">
        <f t="shared" si="299"/>
        <v>0</v>
      </c>
      <c r="Q3179" s="1">
        <f>COUNTIFS($P:$P, "&gt;" &amp; $P3179) + 1</f>
        <v>4746</v>
      </c>
      <c r="R3179" s="63">
        <f>(COUNTIFS($P:$P, "&gt;" &amp; $P3179) + 1) / (COUNTA($I:$I) - 1)</f>
        <v>0.94920000000000004</v>
      </c>
      <c r="S3179" s="23">
        <f>SUMIFS($P:$P, $Q:$Q, "&lt;" &amp; $Q3179)</f>
        <v>186547861</v>
      </c>
    </row>
    <row r="3180" spans="1:19" x14ac:dyDescent="0.25">
      <c r="A3180" s="1">
        <v>3175</v>
      </c>
      <c r="B3180" s="1" t="s">
        <v>2</v>
      </c>
      <c r="C3180" s="1" t="str">
        <f>IF($B3180 = "Production Item", _xlfn.XLOOKUP($A3180, 'Instrument Table'!$J:$J, 'Instrument Table'!$B:$B, $C3179), IF($B3180 = "Service Item", _xlfn.XLOOKUP($A3180, 'Instrument Table'!$I:$I, 'Instrument Table'!$B:$B, $C3179), _xlfn.XLOOKUP($A3180, 'Instrument Table'!$H:$H, 'Instrument Table'!$B:$B, $C3179)))</f>
        <v>Theremin</v>
      </c>
      <c r="D3180" s="1" t="str">
        <f>VLOOKUP($C3180, 'Instrument Table'!$B:$C, 2, FALSE)</f>
        <v>Other</v>
      </c>
      <c r="E3180" s="1">
        <f t="shared" si="294"/>
        <v>1</v>
      </c>
      <c r="F3180" s="1">
        <f>_xlfn.XLOOKUP($C3180, 'Instrument Table'!$B:$B, 'Instrument Table'!$A:$A, "")</f>
        <v>60</v>
      </c>
      <c r="G3180" s="1" t="str">
        <f>TEXT(IF($B3180 = "Retail Item", IF((ROW($A3180) - 4504 - _xlfn.XMATCH($C3180, $C$4506:$C$5005, 0, 1)) &lt;= VLOOKUP($C3180, 'Instrument Table'!$B:$D, 3, FALSE), ROW($A3180) - 4504 - _xlfn.XMATCH($C3180, $C$4506:$C$5005, 0, 1), 0), 0), "00")</f>
        <v>00</v>
      </c>
      <c r="H3180" s="1" t="str">
        <f t="shared" si="295"/>
        <v>024</v>
      </c>
      <c r="I3180" s="1" t="str">
        <f t="shared" si="296"/>
        <v>16000-024</v>
      </c>
      <c r="J3180" s="1" t="str">
        <f t="shared" si="297"/>
        <v>Theremin production item #024</v>
      </c>
      <c r="K3180" s="1" t="str">
        <f>IF(SUM(COUNTIFS(I:I, I3180)) &gt; 1, "DUPLICATE", "UNIQUE")</f>
        <v>UNIQUE</v>
      </c>
      <c r="L3180" s="18">
        <v>32</v>
      </c>
      <c r="M3180" s="28">
        <v>46</v>
      </c>
      <c r="N3180" s="6">
        <v>361</v>
      </c>
      <c r="O3180" s="30">
        <f t="shared" si="298"/>
        <v>1472</v>
      </c>
      <c r="P3180" s="30">
        <f t="shared" si="299"/>
        <v>16606</v>
      </c>
      <c r="Q3180" s="1">
        <f>COUNTIFS($P:$P, "&gt;" &amp; $P3180) + 1</f>
        <v>1241</v>
      </c>
      <c r="R3180" s="63">
        <f>(COUNTIFS($P:$P, "&gt;" &amp; $P3180) + 1) / (COUNTA($I:$I) - 1)</f>
        <v>0.2482</v>
      </c>
      <c r="S3180" s="23">
        <f>SUMIFS($P:$P, $Q:$Q, "&lt;" &amp; $Q3180)</f>
        <v>171020664</v>
      </c>
    </row>
    <row r="3181" spans="1:19" x14ac:dyDescent="0.25">
      <c r="A3181" s="1">
        <v>3176</v>
      </c>
      <c r="B3181" s="1" t="s">
        <v>2</v>
      </c>
      <c r="C3181" s="1" t="str">
        <f>IF($B3181 = "Production Item", _xlfn.XLOOKUP($A3181, 'Instrument Table'!$J:$J, 'Instrument Table'!$B:$B, $C3180), IF($B3181 = "Service Item", _xlfn.XLOOKUP($A3181, 'Instrument Table'!$I:$I, 'Instrument Table'!$B:$B, $C3180), _xlfn.XLOOKUP($A3181, 'Instrument Table'!$H:$H, 'Instrument Table'!$B:$B, $C3180)))</f>
        <v>Theremin</v>
      </c>
      <c r="D3181" s="1" t="str">
        <f>VLOOKUP($C3181, 'Instrument Table'!$B:$C, 2, FALSE)</f>
        <v>Other</v>
      </c>
      <c r="E3181" s="1">
        <f t="shared" si="294"/>
        <v>1</v>
      </c>
      <c r="F3181" s="1">
        <f>_xlfn.XLOOKUP($C3181, 'Instrument Table'!$B:$B, 'Instrument Table'!$A:$A, "")</f>
        <v>60</v>
      </c>
      <c r="G3181" s="1" t="str">
        <f>TEXT(IF($B3181 = "Retail Item", IF((ROW($A3181) - 4504 - _xlfn.XMATCH($C3181, $C$4506:$C$5005, 0, 1)) &lt;= VLOOKUP($C3181, 'Instrument Table'!$B:$D, 3, FALSE), ROW($A3181) - 4504 - _xlfn.XMATCH($C3181, $C$4506:$C$5005, 0, 1), 0), 0), "00")</f>
        <v>00</v>
      </c>
      <c r="H3181" s="1" t="str">
        <f t="shared" si="295"/>
        <v>025</v>
      </c>
      <c r="I3181" s="1" t="str">
        <f t="shared" si="296"/>
        <v>16000-025</v>
      </c>
      <c r="J3181" s="1" t="str">
        <f t="shared" si="297"/>
        <v>Theremin production item #025</v>
      </c>
      <c r="K3181" s="1" t="str">
        <f>IF(SUM(COUNTIFS(I:I, I3181)) &gt; 1, "DUPLICATE", "UNIQUE")</f>
        <v>UNIQUE</v>
      </c>
      <c r="L3181" s="18">
        <v>1</v>
      </c>
      <c r="M3181" s="28">
        <v>64</v>
      </c>
      <c r="N3181" s="6">
        <v>64</v>
      </c>
      <c r="O3181" s="30">
        <f t="shared" si="298"/>
        <v>64</v>
      </c>
      <c r="P3181" s="30">
        <f t="shared" si="299"/>
        <v>4096</v>
      </c>
      <c r="Q3181" s="1">
        <f>COUNTIFS($P:$P, "&gt;" &amp; $P3181) + 1</f>
        <v>2638</v>
      </c>
      <c r="R3181" s="63">
        <f>(COUNTIFS($P:$P, "&gt;" &amp; $P3181) + 1) / (COUNTA($I:$I) - 1)</f>
        <v>0.52759999999999996</v>
      </c>
      <c r="S3181" s="23">
        <f>SUMIFS($P:$P, $Q:$Q, "&lt;" &amp; $Q3181)</f>
        <v>183722231</v>
      </c>
    </row>
    <row r="3182" spans="1:19" x14ac:dyDescent="0.25">
      <c r="A3182" s="1">
        <v>3177</v>
      </c>
      <c r="B3182" s="1" t="s">
        <v>2</v>
      </c>
      <c r="C3182" s="1" t="str">
        <f>IF($B3182 = "Production Item", _xlfn.XLOOKUP($A3182, 'Instrument Table'!$J:$J, 'Instrument Table'!$B:$B, $C3181), IF($B3182 = "Service Item", _xlfn.XLOOKUP($A3182, 'Instrument Table'!$I:$I, 'Instrument Table'!$B:$B, $C3181), _xlfn.XLOOKUP($A3182, 'Instrument Table'!$H:$H, 'Instrument Table'!$B:$B, $C3181)))</f>
        <v>Theremin</v>
      </c>
      <c r="D3182" s="1" t="str">
        <f>VLOOKUP($C3182, 'Instrument Table'!$B:$C, 2, FALSE)</f>
        <v>Other</v>
      </c>
      <c r="E3182" s="1">
        <f t="shared" si="294"/>
        <v>1</v>
      </c>
      <c r="F3182" s="1">
        <f>_xlfn.XLOOKUP($C3182, 'Instrument Table'!$B:$B, 'Instrument Table'!$A:$A, "")</f>
        <v>60</v>
      </c>
      <c r="G3182" s="1" t="str">
        <f>TEXT(IF($B3182 = "Retail Item", IF((ROW($A3182) - 4504 - _xlfn.XMATCH($C3182, $C$4506:$C$5005, 0, 1)) &lt;= VLOOKUP($C3182, 'Instrument Table'!$B:$D, 3, FALSE), ROW($A3182) - 4504 - _xlfn.XMATCH($C3182, $C$4506:$C$5005, 0, 1), 0), 0), "00")</f>
        <v>00</v>
      </c>
      <c r="H3182" s="1" t="str">
        <f t="shared" si="295"/>
        <v>026</v>
      </c>
      <c r="I3182" s="1" t="str">
        <f t="shared" si="296"/>
        <v>16000-026</v>
      </c>
      <c r="J3182" s="1" t="str">
        <f t="shared" si="297"/>
        <v>Theremin production item #026</v>
      </c>
      <c r="K3182" s="1" t="str">
        <f>IF(SUM(COUNTIFS(I:I, I3182)) &gt; 1, "DUPLICATE", "UNIQUE")</f>
        <v>UNIQUE</v>
      </c>
      <c r="L3182" s="18">
        <v>0</v>
      </c>
      <c r="M3182" s="28">
        <v>43</v>
      </c>
      <c r="N3182" s="6">
        <v>289</v>
      </c>
      <c r="O3182" s="30">
        <f t="shared" si="298"/>
        <v>0</v>
      </c>
      <c r="P3182" s="30">
        <f t="shared" si="299"/>
        <v>12427</v>
      </c>
      <c r="Q3182" s="1">
        <f>COUNTIFS($P:$P, "&gt;" &amp; $P3182) + 1</f>
        <v>1542</v>
      </c>
      <c r="R3182" s="63">
        <f>(COUNTIFS($P:$P, "&gt;" &amp; $P3182) + 1) / (COUNTA($I:$I) - 1)</f>
        <v>0.30840000000000001</v>
      </c>
      <c r="S3182" s="23">
        <f>SUMIFS($P:$P, $Q:$Q, "&lt;" &amp; $Q3182)</f>
        <v>175375767</v>
      </c>
    </row>
    <row r="3183" spans="1:19" x14ac:dyDescent="0.25">
      <c r="A3183" s="1">
        <v>3178</v>
      </c>
      <c r="B3183" s="1" t="s">
        <v>2</v>
      </c>
      <c r="C3183" s="1" t="str">
        <f>IF($B3183 = "Production Item", _xlfn.XLOOKUP($A3183, 'Instrument Table'!$J:$J, 'Instrument Table'!$B:$B, $C3182), IF($B3183 = "Service Item", _xlfn.XLOOKUP($A3183, 'Instrument Table'!$I:$I, 'Instrument Table'!$B:$B, $C3182), _xlfn.XLOOKUP($A3183, 'Instrument Table'!$H:$H, 'Instrument Table'!$B:$B, $C3182)))</f>
        <v>Theremin</v>
      </c>
      <c r="D3183" s="1" t="str">
        <f>VLOOKUP($C3183, 'Instrument Table'!$B:$C, 2, FALSE)</f>
        <v>Other</v>
      </c>
      <c r="E3183" s="1">
        <f t="shared" si="294"/>
        <v>1</v>
      </c>
      <c r="F3183" s="1">
        <f>_xlfn.XLOOKUP($C3183, 'Instrument Table'!$B:$B, 'Instrument Table'!$A:$A, "")</f>
        <v>60</v>
      </c>
      <c r="G3183" s="1" t="str">
        <f>TEXT(IF($B3183 = "Retail Item", IF((ROW($A3183) - 4504 - _xlfn.XMATCH($C3183, $C$4506:$C$5005, 0, 1)) &lt;= VLOOKUP($C3183, 'Instrument Table'!$B:$D, 3, FALSE), ROW($A3183) - 4504 - _xlfn.XMATCH($C3183, $C$4506:$C$5005, 0, 1), 0), 0), "00")</f>
        <v>00</v>
      </c>
      <c r="H3183" s="1" t="str">
        <f t="shared" si="295"/>
        <v>027</v>
      </c>
      <c r="I3183" s="1" t="str">
        <f t="shared" si="296"/>
        <v>16000-027</v>
      </c>
      <c r="J3183" s="1" t="str">
        <f t="shared" si="297"/>
        <v>Theremin production item #027</v>
      </c>
      <c r="K3183" s="1" t="str">
        <f>IF(SUM(COUNTIFS(I:I, I3183)) &gt; 1, "DUPLICATE", "UNIQUE")</f>
        <v>UNIQUE</v>
      </c>
      <c r="L3183" s="18">
        <v>0</v>
      </c>
      <c r="M3183" s="28">
        <v>7</v>
      </c>
      <c r="N3183" s="6">
        <v>0</v>
      </c>
      <c r="O3183" s="30">
        <f t="shared" si="298"/>
        <v>0</v>
      </c>
      <c r="P3183" s="30">
        <f t="shared" si="299"/>
        <v>0</v>
      </c>
      <c r="Q3183" s="1">
        <f>COUNTIFS($P:$P, "&gt;" &amp; $P3183) + 1</f>
        <v>4746</v>
      </c>
      <c r="R3183" s="63">
        <f>(COUNTIFS($P:$P, "&gt;" &amp; $P3183) + 1) / (COUNTA($I:$I) - 1)</f>
        <v>0.94920000000000004</v>
      </c>
      <c r="S3183" s="23">
        <f>SUMIFS($P:$P, $Q:$Q, "&lt;" &amp; $Q3183)</f>
        <v>186547861</v>
      </c>
    </row>
    <row r="3184" spans="1:19" x14ac:dyDescent="0.25">
      <c r="A3184" s="1">
        <v>3179</v>
      </c>
      <c r="B3184" s="1" t="s">
        <v>2</v>
      </c>
      <c r="C3184" s="1" t="str">
        <f>IF($B3184 = "Production Item", _xlfn.XLOOKUP($A3184, 'Instrument Table'!$J:$J, 'Instrument Table'!$B:$B, $C3183), IF($B3184 = "Service Item", _xlfn.XLOOKUP($A3184, 'Instrument Table'!$I:$I, 'Instrument Table'!$B:$B, $C3183), _xlfn.XLOOKUP($A3184, 'Instrument Table'!$H:$H, 'Instrument Table'!$B:$B, $C3183)))</f>
        <v>Theremin</v>
      </c>
      <c r="D3184" s="1" t="str">
        <f>VLOOKUP($C3184, 'Instrument Table'!$B:$C, 2, FALSE)</f>
        <v>Other</v>
      </c>
      <c r="E3184" s="1">
        <f t="shared" si="294"/>
        <v>1</v>
      </c>
      <c r="F3184" s="1">
        <f>_xlfn.XLOOKUP($C3184, 'Instrument Table'!$B:$B, 'Instrument Table'!$A:$A, "")</f>
        <v>60</v>
      </c>
      <c r="G3184" s="1" t="str">
        <f>TEXT(IF($B3184 = "Retail Item", IF((ROW($A3184) - 4504 - _xlfn.XMATCH($C3184, $C$4506:$C$5005, 0, 1)) &lt;= VLOOKUP($C3184, 'Instrument Table'!$B:$D, 3, FALSE), ROW($A3184) - 4504 - _xlfn.XMATCH($C3184, $C$4506:$C$5005, 0, 1), 0), 0), "00")</f>
        <v>00</v>
      </c>
      <c r="H3184" s="1" t="str">
        <f t="shared" si="295"/>
        <v>028</v>
      </c>
      <c r="I3184" s="1" t="str">
        <f t="shared" si="296"/>
        <v>16000-028</v>
      </c>
      <c r="J3184" s="1" t="str">
        <f t="shared" si="297"/>
        <v>Theremin production item #028</v>
      </c>
      <c r="K3184" s="1" t="str">
        <f>IF(SUM(COUNTIFS(I:I, I3184)) &gt; 1, "DUPLICATE", "UNIQUE")</f>
        <v>UNIQUE</v>
      </c>
      <c r="L3184" s="18">
        <v>0</v>
      </c>
      <c r="M3184" s="28">
        <v>87</v>
      </c>
      <c r="N3184" s="6">
        <v>100</v>
      </c>
      <c r="O3184" s="30">
        <f t="shared" si="298"/>
        <v>0</v>
      </c>
      <c r="P3184" s="30">
        <f t="shared" si="299"/>
        <v>8700</v>
      </c>
      <c r="Q3184" s="1">
        <f>COUNTIFS($P:$P, "&gt;" &amp; $P3184) + 1</f>
        <v>1910</v>
      </c>
      <c r="R3184" s="63">
        <f>(COUNTIFS($P:$P, "&gt;" &amp; $P3184) + 1) / (COUNTA($I:$I) - 1)</f>
        <v>0.38200000000000001</v>
      </c>
      <c r="S3184" s="23">
        <f>SUMIFS($P:$P, $Q:$Q, "&lt;" &amp; $Q3184)</f>
        <v>179251125</v>
      </c>
    </row>
    <row r="3185" spans="1:19" x14ac:dyDescent="0.25">
      <c r="A3185" s="1">
        <v>3180</v>
      </c>
      <c r="B3185" s="1" t="s">
        <v>2</v>
      </c>
      <c r="C3185" s="1" t="str">
        <f>IF($B3185 = "Production Item", _xlfn.XLOOKUP($A3185, 'Instrument Table'!$J:$J, 'Instrument Table'!$B:$B, $C3184), IF($B3185 = "Service Item", _xlfn.XLOOKUP($A3185, 'Instrument Table'!$I:$I, 'Instrument Table'!$B:$B, $C3184), _xlfn.XLOOKUP($A3185, 'Instrument Table'!$H:$H, 'Instrument Table'!$B:$B, $C3184)))</f>
        <v>Theremin</v>
      </c>
      <c r="D3185" s="1" t="str">
        <f>VLOOKUP($C3185, 'Instrument Table'!$B:$C, 2, FALSE)</f>
        <v>Other</v>
      </c>
      <c r="E3185" s="1">
        <f t="shared" si="294"/>
        <v>1</v>
      </c>
      <c r="F3185" s="1">
        <f>_xlfn.XLOOKUP($C3185, 'Instrument Table'!$B:$B, 'Instrument Table'!$A:$A, "")</f>
        <v>60</v>
      </c>
      <c r="G3185" s="1" t="str">
        <f>TEXT(IF($B3185 = "Retail Item", IF((ROW($A3185) - 4504 - _xlfn.XMATCH($C3185, $C$4506:$C$5005, 0, 1)) &lt;= VLOOKUP($C3185, 'Instrument Table'!$B:$D, 3, FALSE), ROW($A3185) - 4504 - _xlfn.XMATCH($C3185, $C$4506:$C$5005, 0, 1), 0), 0), "00")</f>
        <v>00</v>
      </c>
      <c r="H3185" s="1" t="str">
        <f t="shared" si="295"/>
        <v>029</v>
      </c>
      <c r="I3185" s="1" t="str">
        <f t="shared" si="296"/>
        <v>16000-029</v>
      </c>
      <c r="J3185" s="1" t="str">
        <f t="shared" si="297"/>
        <v>Theremin production item #029</v>
      </c>
      <c r="K3185" s="1" t="str">
        <f>IF(SUM(COUNTIFS(I:I, I3185)) &gt; 1, "DUPLICATE", "UNIQUE")</f>
        <v>UNIQUE</v>
      </c>
      <c r="L3185" s="18">
        <v>1</v>
      </c>
      <c r="M3185" s="28">
        <v>70</v>
      </c>
      <c r="N3185" s="6">
        <v>289</v>
      </c>
      <c r="O3185" s="30">
        <f t="shared" si="298"/>
        <v>70</v>
      </c>
      <c r="P3185" s="30">
        <f t="shared" si="299"/>
        <v>20230</v>
      </c>
      <c r="Q3185" s="1">
        <f>COUNTIFS($P:$P, "&gt;" &amp; $P3185) + 1</f>
        <v>1043</v>
      </c>
      <c r="R3185" s="63">
        <f>(COUNTIFS($P:$P, "&gt;" &amp; $P3185) + 1) / (COUNTA($I:$I) - 1)</f>
        <v>0.20860000000000001</v>
      </c>
      <c r="S3185" s="23">
        <f>SUMIFS($P:$P, $Q:$Q, "&lt;" &amp; $Q3185)</f>
        <v>167380806</v>
      </c>
    </row>
    <row r="3186" spans="1:19" x14ac:dyDescent="0.25">
      <c r="A3186" s="1">
        <v>3181</v>
      </c>
      <c r="B3186" s="1" t="s">
        <v>2</v>
      </c>
      <c r="C3186" s="1" t="str">
        <f>IF($B3186 = "Production Item", _xlfn.XLOOKUP($A3186, 'Instrument Table'!$J:$J, 'Instrument Table'!$B:$B, $C3185), IF($B3186 = "Service Item", _xlfn.XLOOKUP($A3186, 'Instrument Table'!$I:$I, 'Instrument Table'!$B:$B, $C3185), _xlfn.XLOOKUP($A3186, 'Instrument Table'!$H:$H, 'Instrument Table'!$B:$B, $C3185)))</f>
        <v>Theremin</v>
      </c>
      <c r="D3186" s="1" t="str">
        <f>VLOOKUP($C3186, 'Instrument Table'!$B:$C, 2, FALSE)</f>
        <v>Other</v>
      </c>
      <c r="E3186" s="1">
        <f t="shared" si="294"/>
        <v>1</v>
      </c>
      <c r="F3186" s="1">
        <f>_xlfn.XLOOKUP($C3186, 'Instrument Table'!$B:$B, 'Instrument Table'!$A:$A, "")</f>
        <v>60</v>
      </c>
      <c r="G3186" s="1" t="str">
        <f>TEXT(IF($B3186 = "Retail Item", IF((ROW($A3186) - 4504 - _xlfn.XMATCH($C3186, $C$4506:$C$5005, 0, 1)) &lt;= VLOOKUP($C3186, 'Instrument Table'!$B:$D, 3, FALSE), ROW($A3186) - 4504 - _xlfn.XMATCH($C3186, $C$4506:$C$5005, 0, 1), 0), 0), "00")</f>
        <v>00</v>
      </c>
      <c r="H3186" s="1" t="str">
        <f t="shared" si="295"/>
        <v>030</v>
      </c>
      <c r="I3186" s="1" t="str">
        <f t="shared" si="296"/>
        <v>16000-030</v>
      </c>
      <c r="J3186" s="1" t="str">
        <f t="shared" si="297"/>
        <v>Theremin production item #030</v>
      </c>
      <c r="K3186" s="1" t="str">
        <f>IF(SUM(COUNTIFS(I:I, I3186)) &gt; 1, "DUPLICATE", "UNIQUE")</f>
        <v>UNIQUE</v>
      </c>
      <c r="L3186" s="18">
        <v>1</v>
      </c>
      <c r="M3186" s="28">
        <v>10</v>
      </c>
      <c r="N3186" s="6">
        <v>256</v>
      </c>
      <c r="O3186" s="30">
        <f t="shared" si="298"/>
        <v>10</v>
      </c>
      <c r="P3186" s="30">
        <f t="shared" si="299"/>
        <v>2560</v>
      </c>
      <c r="Q3186" s="1">
        <f>COUNTIFS($P:$P, "&gt;" &amp; $P3186) + 1</f>
        <v>3025</v>
      </c>
      <c r="R3186" s="63">
        <f>(COUNTIFS($P:$P, "&gt;" &amp; $P3186) + 1) / (COUNTA($I:$I) - 1)</f>
        <v>0.60499999999999998</v>
      </c>
      <c r="S3186" s="23">
        <f>SUMIFS($P:$P, $Q:$Q, "&lt;" &amp; $Q3186)</f>
        <v>184997138</v>
      </c>
    </row>
    <row r="3187" spans="1:19" x14ac:dyDescent="0.25">
      <c r="A3187" s="1">
        <v>3182</v>
      </c>
      <c r="B3187" s="1" t="s">
        <v>2</v>
      </c>
      <c r="C3187" s="1" t="str">
        <f>IF($B3187 = "Production Item", _xlfn.XLOOKUP($A3187, 'Instrument Table'!$J:$J, 'Instrument Table'!$B:$B, $C3186), IF($B3187 = "Service Item", _xlfn.XLOOKUP($A3187, 'Instrument Table'!$I:$I, 'Instrument Table'!$B:$B, $C3186), _xlfn.XLOOKUP($A3187, 'Instrument Table'!$H:$H, 'Instrument Table'!$B:$B, $C3186)))</f>
        <v>Theremin</v>
      </c>
      <c r="D3187" s="1" t="str">
        <f>VLOOKUP($C3187, 'Instrument Table'!$B:$C, 2, FALSE)</f>
        <v>Other</v>
      </c>
      <c r="E3187" s="1">
        <f t="shared" si="294"/>
        <v>1</v>
      </c>
      <c r="F3187" s="1">
        <f>_xlfn.XLOOKUP($C3187, 'Instrument Table'!$B:$B, 'Instrument Table'!$A:$A, "")</f>
        <v>60</v>
      </c>
      <c r="G3187" s="1" t="str">
        <f>TEXT(IF($B3187 = "Retail Item", IF((ROW($A3187) - 4504 - _xlfn.XMATCH($C3187, $C$4506:$C$5005, 0, 1)) &lt;= VLOOKUP($C3187, 'Instrument Table'!$B:$D, 3, FALSE), ROW($A3187) - 4504 - _xlfn.XMATCH($C3187, $C$4506:$C$5005, 0, 1), 0), 0), "00")</f>
        <v>00</v>
      </c>
      <c r="H3187" s="1" t="str">
        <f t="shared" si="295"/>
        <v>031</v>
      </c>
      <c r="I3187" s="1" t="str">
        <f t="shared" si="296"/>
        <v>16000-031</v>
      </c>
      <c r="J3187" s="1" t="str">
        <f t="shared" si="297"/>
        <v>Theremin production item #031</v>
      </c>
      <c r="K3187" s="1" t="str">
        <f>IF(SUM(COUNTIFS(I:I, I3187)) &gt; 1, "DUPLICATE", "UNIQUE")</f>
        <v>UNIQUE</v>
      </c>
      <c r="L3187" s="18">
        <v>4</v>
      </c>
      <c r="M3187" s="28">
        <v>57</v>
      </c>
      <c r="N3187" s="6">
        <v>64</v>
      </c>
      <c r="O3187" s="30">
        <f t="shared" si="298"/>
        <v>228</v>
      </c>
      <c r="P3187" s="30">
        <f t="shared" si="299"/>
        <v>3648</v>
      </c>
      <c r="Q3187" s="1">
        <f>COUNTIFS($P:$P, "&gt;" &amp; $P3187) + 1</f>
        <v>2729</v>
      </c>
      <c r="R3187" s="63">
        <f>(COUNTIFS($P:$P, "&gt;" &amp; $P3187) + 1) / (COUNTA($I:$I) - 1)</f>
        <v>0.54579999999999995</v>
      </c>
      <c r="S3187" s="23">
        <f>SUMIFS($P:$P, $Q:$Q, "&lt;" &amp; $Q3187)</f>
        <v>184074962</v>
      </c>
    </row>
    <row r="3188" spans="1:19" x14ac:dyDescent="0.25">
      <c r="A3188" s="1">
        <v>3183</v>
      </c>
      <c r="B3188" s="1" t="s">
        <v>2</v>
      </c>
      <c r="C3188" s="1" t="str">
        <f>IF($B3188 = "Production Item", _xlfn.XLOOKUP($A3188, 'Instrument Table'!$J:$J, 'Instrument Table'!$B:$B, $C3187), IF($B3188 = "Service Item", _xlfn.XLOOKUP($A3188, 'Instrument Table'!$I:$I, 'Instrument Table'!$B:$B, $C3187), _xlfn.XLOOKUP($A3188, 'Instrument Table'!$H:$H, 'Instrument Table'!$B:$B, $C3187)))</f>
        <v>Theremin</v>
      </c>
      <c r="D3188" s="1" t="str">
        <f>VLOOKUP($C3188, 'Instrument Table'!$B:$C, 2, FALSE)</f>
        <v>Other</v>
      </c>
      <c r="E3188" s="1">
        <f t="shared" si="294"/>
        <v>1</v>
      </c>
      <c r="F3188" s="1">
        <f>_xlfn.XLOOKUP($C3188, 'Instrument Table'!$B:$B, 'Instrument Table'!$A:$A, "")</f>
        <v>60</v>
      </c>
      <c r="G3188" s="1" t="str">
        <f>TEXT(IF($B3188 = "Retail Item", IF((ROW($A3188) - 4504 - _xlfn.XMATCH($C3188, $C$4506:$C$5005, 0, 1)) &lt;= VLOOKUP($C3188, 'Instrument Table'!$B:$D, 3, FALSE), ROW($A3188) - 4504 - _xlfn.XMATCH($C3188, $C$4506:$C$5005, 0, 1), 0), 0), "00")</f>
        <v>00</v>
      </c>
      <c r="H3188" s="1" t="str">
        <f t="shared" si="295"/>
        <v>032</v>
      </c>
      <c r="I3188" s="1" t="str">
        <f t="shared" si="296"/>
        <v>16000-032</v>
      </c>
      <c r="J3188" s="1" t="str">
        <f t="shared" si="297"/>
        <v>Theremin production item #032</v>
      </c>
      <c r="K3188" s="1" t="str">
        <f>IF(SUM(COUNTIFS(I:I, I3188)) &gt; 1, "DUPLICATE", "UNIQUE")</f>
        <v>UNIQUE</v>
      </c>
      <c r="L3188" s="18">
        <v>0</v>
      </c>
      <c r="M3188" s="28">
        <v>89</v>
      </c>
      <c r="N3188" s="6">
        <v>1</v>
      </c>
      <c r="O3188" s="30">
        <f t="shared" si="298"/>
        <v>0</v>
      </c>
      <c r="P3188" s="30">
        <f t="shared" si="299"/>
        <v>89</v>
      </c>
      <c r="Q3188" s="1">
        <f>COUNTIFS($P:$P, "&gt;" &amp; $P3188) + 1</f>
        <v>4482</v>
      </c>
      <c r="R3188" s="63">
        <f>(COUNTIFS($P:$P, "&gt;" &amp; $P3188) + 1) / (COUNTA($I:$I) - 1)</f>
        <v>0.89639999999999997</v>
      </c>
      <c r="S3188" s="23">
        <f>SUMIFS($P:$P, $Q:$Q, "&lt;" &amp; $Q3188)</f>
        <v>186535298</v>
      </c>
    </row>
    <row r="3189" spans="1:19" x14ac:dyDescent="0.25">
      <c r="A3189" s="1">
        <v>3184</v>
      </c>
      <c r="B3189" s="1" t="s">
        <v>2</v>
      </c>
      <c r="C3189" s="1" t="str">
        <f>IF($B3189 = "Production Item", _xlfn.XLOOKUP($A3189, 'Instrument Table'!$J:$J, 'Instrument Table'!$B:$B, $C3188), IF($B3189 = "Service Item", _xlfn.XLOOKUP($A3189, 'Instrument Table'!$I:$I, 'Instrument Table'!$B:$B, $C3188), _xlfn.XLOOKUP($A3189, 'Instrument Table'!$H:$H, 'Instrument Table'!$B:$B, $C3188)))</f>
        <v>Theremin</v>
      </c>
      <c r="D3189" s="1" t="str">
        <f>VLOOKUP($C3189, 'Instrument Table'!$B:$C, 2, FALSE)</f>
        <v>Other</v>
      </c>
      <c r="E3189" s="1">
        <f t="shared" si="294"/>
        <v>1</v>
      </c>
      <c r="F3189" s="1">
        <f>_xlfn.XLOOKUP($C3189, 'Instrument Table'!$B:$B, 'Instrument Table'!$A:$A, "")</f>
        <v>60</v>
      </c>
      <c r="G3189" s="1" t="str">
        <f>TEXT(IF($B3189 = "Retail Item", IF((ROW($A3189) - 4504 - _xlfn.XMATCH($C3189, $C$4506:$C$5005, 0, 1)) &lt;= VLOOKUP($C3189, 'Instrument Table'!$B:$D, 3, FALSE), ROW($A3189) - 4504 - _xlfn.XMATCH($C3189, $C$4506:$C$5005, 0, 1), 0), 0), "00")</f>
        <v>00</v>
      </c>
      <c r="H3189" s="1" t="str">
        <f t="shared" si="295"/>
        <v>033</v>
      </c>
      <c r="I3189" s="1" t="str">
        <f t="shared" si="296"/>
        <v>16000-033</v>
      </c>
      <c r="J3189" s="1" t="str">
        <f t="shared" si="297"/>
        <v>Theremin production item #033</v>
      </c>
      <c r="K3189" s="1" t="str">
        <f>IF(SUM(COUNTIFS(I:I, I3189)) &gt; 1, "DUPLICATE", "UNIQUE")</f>
        <v>UNIQUE</v>
      </c>
      <c r="L3189" s="18">
        <v>1</v>
      </c>
      <c r="M3189" s="28">
        <v>35</v>
      </c>
      <c r="N3189" s="6">
        <v>400</v>
      </c>
      <c r="O3189" s="30">
        <f t="shared" si="298"/>
        <v>35</v>
      </c>
      <c r="P3189" s="30">
        <f t="shared" si="299"/>
        <v>14000</v>
      </c>
      <c r="Q3189" s="1">
        <f>COUNTIFS($P:$P, "&gt;" &amp; $P3189) + 1</f>
        <v>1417</v>
      </c>
      <c r="R3189" s="63">
        <f>(COUNTIFS($P:$P, "&gt;" &amp; $P3189) + 1) / (COUNTA($I:$I) - 1)</f>
        <v>0.28339999999999999</v>
      </c>
      <c r="S3189" s="23">
        <f>SUMIFS($P:$P, $Q:$Q, "&lt;" &amp; $Q3189)</f>
        <v>173716659</v>
      </c>
    </row>
    <row r="3190" spans="1:19" x14ac:dyDescent="0.25">
      <c r="A3190" s="1">
        <v>3185</v>
      </c>
      <c r="B3190" s="1" t="s">
        <v>2</v>
      </c>
      <c r="C3190" s="1" t="str">
        <f>IF($B3190 = "Production Item", _xlfn.XLOOKUP($A3190, 'Instrument Table'!$J:$J, 'Instrument Table'!$B:$B, $C3189), IF($B3190 = "Service Item", _xlfn.XLOOKUP($A3190, 'Instrument Table'!$I:$I, 'Instrument Table'!$B:$B, $C3189), _xlfn.XLOOKUP($A3190, 'Instrument Table'!$H:$H, 'Instrument Table'!$B:$B, $C3189)))</f>
        <v>Theremin</v>
      </c>
      <c r="D3190" s="1" t="str">
        <f>VLOOKUP($C3190, 'Instrument Table'!$B:$C, 2, FALSE)</f>
        <v>Other</v>
      </c>
      <c r="E3190" s="1">
        <f t="shared" si="294"/>
        <v>1</v>
      </c>
      <c r="F3190" s="1">
        <f>_xlfn.XLOOKUP($C3190, 'Instrument Table'!$B:$B, 'Instrument Table'!$A:$A, "")</f>
        <v>60</v>
      </c>
      <c r="G3190" s="1" t="str">
        <f>TEXT(IF($B3190 = "Retail Item", IF((ROW($A3190) - 4504 - _xlfn.XMATCH($C3190, $C$4506:$C$5005, 0, 1)) &lt;= VLOOKUP($C3190, 'Instrument Table'!$B:$D, 3, FALSE), ROW($A3190) - 4504 - _xlfn.XMATCH($C3190, $C$4506:$C$5005, 0, 1), 0), 0), "00")</f>
        <v>00</v>
      </c>
      <c r="H3190" s="1" t="str">
        <f t="shared" si="295"/>
        <v>034</v>
      </c>
      <c r="I3190" s="1" t="str">
        <f t="shared" si="296"/>
        <v>16000-034</v>
      </c>
      <c r="J3190" s="1" t="str">
        <f t="shared" si="297"/>
        <v>Theremin production item #034</v>
      </c>
      <c r="K3190" s="1" t="str">
        <f>IF(SUM(COUNTIFS(I:I, I3190)) &gt; 1, "DUPLICATE", "UNIQUE")</f>
        <v>UNIQUE</v>
      </c>
      <c r="L3190" s="18">
        <v>4</v>
      </c>
      <c r="M3190" s="28">
        <v>44</v>
      </c>
      <c r="N3190" s="6">
        <v>196</v>
      </c>
      <c r="O3190" s="30">
        <f t="shared" si="298"/>
        <v>176</v>
      </c>
      <c r="P3190" s="30">
        <f t="shared" si="299"/>
        <v>8624</v>
      </c>
      <c r="Q3190" s="1">
        <f>COUNTIFS($P:$P, "&gt;" &amp; $P3190) + 1</f>
        <v>1916</v>
      </c>
      <c r="R3190" s="63">
        <f>(COUNTIFS($P:$P, "&gt;" &amp; $P3190) + 1) / (COUNTA($I:$I) - 1)</f>
        <v>0.38319999999999999</v>
      </c>
      <c r="S3190" s="23">
        <f>SUMIFS($P:$P, $Q:$Q, "&lt;" &amp; $Q3190)</f>
        <v>179303097</v>
      </c>
    </row>
    <row r="3191" spans="1:19" x14ac:dyDescent="0.25">
      <c r="A3191" s="1">
        <v>3186</v>
      </c>
      <c r="B3191" s="1" t="s">
        <v>2</v>
      </c>
      <c r="C3191" s="1" t="str">
        <f>IF($B3191 = "Production Item", _xlfn.XLOOKUP($A3191, 'Instrument Table'!$J:$J, 'Instrument Table'!$B:$B, $C3190), IF($B3191 = "Service Item", _xlfn.XLOOKUP($A3191, 'Instrument Table'!$I:$I, 'Instrument Table'!$B:$B, $C3190), _xlfn.XLOOKUP($A3191, 'Instrument Table'!$H:$H, 'Instrument Table'!$B:$B, $C3190)))</f>
        <v>Theremin</v>
      </c>
      <c r="D3191" s="1" t="str">
        <f>VLOOKUP($C3191, 'Instrument Table'!$B:$C, 2, FALSE)</f>
        <v>Other</v>
      </c>
      <c r="E3191" s="1">
        <f t="shared" si="294"/>
        <v>1</v>
      </c>
      <c r="F3191" s="1">
        <f>_xlfn.XLOOKUP($C3191, 'Instrument Table'!$B:$B, 'Instrument Table'!$A:$A, "")</f>
        <v>60</v>
      </c>
      <c r="G3191" s="1" t="str">
        <f>TEXT(IF($B3191 = "Retail Item", IF((ROW($A3191) - 4504 - _xlfn.XMATCH($C3191, $C$4506:$C$5005, 0, 1)) &lt;= VLOOKUP($C3191, 'Instrument Table'!$B:$D, 3, FALSE), ROW($A3191) - 4504 - _xlfn.XMATCH($C3191, $C$4506:$C$5005, 0, 1), 0), 0), "00")</f>
        <v>00</v>
      </c>
      <c r="H3191" s="1" t="str">
        <f t="shared" si="295"/>
        <v>035</v>
      </c>
      <c r="I3191" s="1" t="str">
        <f t="shared" si="296"/>
        <v>16000-035</v>
      </c>
      <c r="J3191" s="1" t="str">
        <f t="shared" si="297"/>
        <v>Theremin production item #035</v>
      </c>
      <c r="K3191" s="1" t="str">
        <f>IF(SUM(COUNTIFS(I:I, I3191)) &gt; 1, "DUPLICATE", "UNIQUE")</f>
        <v>UNIQUE</v>
      </c>
      <c r="L3191" s="18">
        <v>0</v>
      </c>
      <c r="M3191" s="28">
        <v>28</v>
      </c>
      <c r="N3191" s="6">
        <v>0</v>
      </c>
      <c r="O3191" s="30">
        <f t="shared" si="298"/>
        <v>0</v>
      </c>
      <c r="P3191" s="30">
        <f t="shared" si="299"/>
        <v>0</v>
      </c>
      <c r="Q3191" s="1">
        <f>COUNTIFS($P:$P, "&gt;" &amp; $P3191) + 1</f>
        <v>4746</v>
      </c>
      <c r="R3191" s="63">
        <f>(COUNTIFS($P:$P, "&gt;" &amp; $P3191) + 1) / (COUNTA($I:$I) - 1)</f>
        <v>0.94920000000000004</v>
      </c>
      <c r="S3191" s="23">
        <f>SUMIFS($P:$P, $Q:$Q, "&lt;" &amp; $Q3191)</f>
        <v>186547861</v>
      </c>
    </row>
    <row r="3192" spans="1:19" x14ac:dyDescent="0.25">
      <c r="A3192" s="1">
        <v>3187</v>
      </c>
      <c r="B3192" s="1" t="s">
        <v>2</v>
      </c>
      <c r="C3192" s="1" t="str">
        <f>IF($B3192 = "Production Item", _xlfn.XLOOKUP($A3192, 'Instrument Table'!$J:$J, 'Instrument Table'!$B:$B, $C3191), IF($B3192 = "Service Item", _xlfn.XLOOKUP($A3192, 'Instrument Table'!$I:$I, 'Instrument Table'!$B:$B, $C3191), _xlfn.XLOOKUP($A3192, 'Instrument Table'!$H:$H, 'Instrument Table'!$B:$B, $C3191)))</f>
        <v>Theremin</v>
      </c>
      <c r="D3192" s="1" t="str">
        <f>VLOOKUP($C3192, 'Instrument Table'!$B:$C, 2, FALSE)</f>
        <v>Other</v>
      </c>
      <c r="E3192" s="1">
        <f t="shared" si="294"/>
        <v>1</v>
      </c>
      <c r="F3192" s="1">
        <f>_xlfn.XLOOKUP($C3192, 'Instrument Table'!$B:$B, 'Instrument Table'!$A:$A, "")</f>
        <v>60</v>
      </c>
      <c r="G3192" s="1" t="str">
        <f>TEXT(IF($B3192 = "Retail Item", IF((ROW($A3192) - 4504 - _xlfn.XMATCH($C3192, $C$4506:$C$5005, 0, 1)) &lt;= VLOOKUP($C3192, 'Instrument Table'!$B:$D, 3, FALSE), ROW($A3192) - 4504 - _xlfn.XMATCH($C3192, $C$4506:$C$5005, 0, 1), 0), 0), "00")</f>
        <v>00</v>
      </c>
      <c r="H3192" s="1" t="str">
        <f t="shared" si="295"/>
        <v>036</v>
      </c>
      <c r="I3192" s="1" t="str">
        <f t="shared" si="296"/>
        <v>16000-036</v>
      </c>
      <c r="J3192" s="1" t="str">
        <f t="shared" si="297"/>
        <v>Theremin production item #036</v>
      </c>
      <c r="K3192" s="1" t="str">
        <f>IF(SUM(COUNTIFS(I:I, I3192)) &gt; 1, "DUPLICATE", "UNIQUE")</f>
        <v>UNIQUE</v>
      </c>
      <c r="L3192" s="18">
        <v>1</v>
      </c>
      <c r="M3192" s="28">
        <v>16</v>
      </c>
      <c r="N3192" s="6">
        <v>4</v>
      </c>
      <c r="O3192" s="30">
        <f t="shared" si="298"/>
        <v>16</v>
      </c>
      <c r="P3192" s="30">
        <f t="shared" si="299"/>
        <v>64</v>
      </c>
      <c r="Q3192" s="1">
        <f>COUNTIFS($P:$P, "&gt;" &amp; $P3192) + 1</f>
        <v>4553</v>
      </c>
      <c r="R3192" s="63">
        <f>(COUNTIFS($P:$P, "&gt;" &amp; $P3192) + 1) / (COUNTA($I:$I) - 1)</f>
        <v>0.91059999999999997</v>
      </c>
      <c r="S3192" s="23">
        <f>SUMIFS($P:$P, $Q:$Q, "&lt;" &amp; $Q3192)</f>
        <v>186540850</v>
      </c>
    </row>
    <row r="3193" spans="1:19" x14ac:dyDescent="0.25">
      <c r="A3193" s="1">
        <v>3188</v>
      </c>
      <c r="B3193" s="1" t="s">
        <v>2</v>
      </c>
      <c r="C3193" s="1" t="str">
        <f>IF($B3193 = "Production Item", _xlfn.XLOOKUP($A3193, 'Instrument Table'!$J:$J, 'Instrument Table'!$B:$B, $C3192), IF($B3193 = "Service Item", _xlfn.XLOOKUP($A3193, 'Instrument Table'!$I:$I, 'Instrument Table'!$B:$B, $C3192), _xlfn.XLOOKUP($A3193, 'Instrument Table'!$H:$H, 'Instrument Table'!$B:$B, $C3192)))</f>
        <v>Theremin</v>
      </c>
      <c r="D3193" s="1" t="str">
        <f>VLOOKUP($C3193, 'Instrument Table'!$B:$C, 2, FALSE)</f>
        <v>Other</v>
      </c>
      <c r="E3193" s="1">
        <f t="shared" si="294"/>
        <v>1</v>
      </c>
      <c r="F3193" s="1">
        <f>_xlfn.XLOOKUP($C3193, 'Instrument Table'!$B:$B, 'Instrument Table'!$A:$A, "")</f>
        <v>60</v>
      </c>
      <c r="G3193" s="1" t="str">
        <f>TEXT(IF($B3193 = "Retail Item", IF((ROW($A3193) - 4504 - _xlfn.XMATCH($C3193, $C$4506:$C$5005, 0, 1)) &lt;= VLOOKUP($C3193, 'Instrument Table'!$B:$D, 3, FALSE), ROW($A3193) - 4504 - _xlfn.XMATCH($C3193, $C$4506:$C$5005, 0, 1), 0), 0), "00")</f>
        <v>00</v>
      </c>
      <c r="H3193" s="1" t="str">
        <f t="shared" si="295"/>
        <v>037</v>
      </c>
      <c r="I3193" s="1" t="str">
        <f t="shared" si="296"/>
        <v>16000-037</v>
      </c>
      <c r="J3193" s="1" t="str">
        <f t="shared" si="297"/>
        <v>Theremin production item #037</v>
      </c>
      <c r="K3193" s="1" t="str">
        <f>IF(SUM(COUNTIFS(I:I, I3193)) &gt; 1, "DUPLICATE", "UNIQUE")</f>
        <v>UNIQUE</v>
      </c>
      <c r="L3193" s="18">
        <v>0</v>
      </c>
      <c r="M3193" s="28">
        <v>28</v>
      </c>
      <c r="N3193" s="6">
        <v>36</v>
      </c>
      <c r="O3193" s="30">
        <f t="shared" si="298"/>
        <v>0</v>
      </c>
      <c r="P3193" s="30">
        <f t="shared" si="299"/>
        <v>1008</v>
      </c>
      <c r="Q3193" s="1">
        <f>COUNTIFS($P:$P, "&gt;" &amp; $P3193) + 1</f>
        <v>3673</v>
      </c>
      <c r="R3193" s="63">
        <f>(COUNTIFS($P:$P, "&gt;" &amp; $P3193) + 1) / (COUNTA($I:$I) - 1)</f>
        <v>0.73460000000000003</v>
      </c>
      <c r="S3193" s="23">
        <f>SUMIFS($P:$P, $Q:$Q, "&lt;" &amp; $Q3193)</f>
        <v>186152095</v>
      </c>
    </row>
    <row r="3194" spans="1:19" x14ac:dyDescent="0.25">
      <c r="A3194" s="1">
        <v>3189</v>
      </c>
      <c r="B3194" s="1" t="s">
        <v>2</v>
      </c>
      <c r="C3194" s="1" t="str">
        <f>IF($B3194 = "Production Item", _xlfn.XLOOKUP($A3194, 'Instrument Table'!$J:$J, 'Instrument Table'!$B:$B, $C3193), IF($B3194 = "Service Item", _xlfn.XLOOKUP($A3194, 'Instrument Table'!$I:$I, 'Instrument Table'!$B:$B, $C3193), _xlfn.XLOOKUP($A3194, 'Instrument Table'!$H:$H, 'Instrument Table'!$B:$B, $C3193)))</f>
        <v>Theremin</v>
      </c>
      <c r="D3194" s="1" t="str">
        <f>VLOOKUP($C3194, 'Instrument Table'!$B:$C, 2, FALSE)</f>
        <v>Other</v>
      </c>
      <c r="E3194" s="1">
        <f t="shared" si="294"/>
        <v>1</v>
      </c>
      <c r="F3194" s="1">
        <f>_xlfn.XLOOKUP($C3194, 'Instrument Table'!$B:$B, 'Instrument Table'!$A:$A, "")</f>
        <v>60</v>
      </c>
      <c r="G3194" s="1" t="str">
        <f>TEXT(IF($B3194 = "Retail Item", IF((ROW($A3194) - 4504 - _xlfn.XMATCH($C3194, $C$4506:$C$5005, 0, 1)) &lt;= VLOOKUP($C3194, 'Instrument Table'!$B:$D, 3, FALSE), ROW($A3194) - 4504 - _xlfn.XMATCH($C3194, $C$4506:$C$5005, 0, 1), 0), 0), "00")</f>
        <v>00</v>
      </c>
      <c r="H3194" s="1" t="str">
        <f t="shared" si="295"/>
        <v>038</v>
      </c>
      <c r="I3194" s="1" t="str">
        <f t="shared" si="296"/>
        <v>16000-038</v>
      </c>
      <c r="J3194" s="1" t="str">
        <f t="shared" si="297"/>
        <v>Theremin production item #038</v>
      </c>
      <c r="K3194" s="1" t="str">
        <f>IF(SUM(COUNTIFS(I:I, I3194)) &gt; 1, "DUPLICATE", "UNIQUE")</f>
        <v>UNIQUE</v>
      </c>
      <c r="L3194" s="18">
        <v>0</v>
      </c>
      <c r="M3194" s="28">
        <v>83</v>
      </c>
      <c r="N3194" s="6">
        <v>81</v>
      </c>
      <c r="O3194" s="30">
        <f t="shared" si="298"/>
        <v>0</v>
      </c>
      <c r="P3194" s="30">
        <f t="shared" si="299"/>
        <v>6723</v>
      </c>
      <c r="Q3194" s="1">
        <f>COUNTIFS($P:$P, "&gt;" &amp; $P3194) + 1</f>
        <v>2180</v>
      </c>
      <c r="R3194" s="63">
        <f>(COUNTIFS($P:$P, "&gt;" &amp; $P3194) + 1) / (COUNTA($I:$I) - 1)</f>
        <v>0.436</v>
      </c>
      <c r="S3194" s="23">
        <f>SUMIFS($P:$P, $Q:$Q, "&lt;" &amp; $Q3194)</f>
        <v>181318402</v>
      </c>
    </row>
    <row r="3195" spans="1:19" x14ac:dyDescent="0.25">
      <c r="A3195" s="1">
        <v>3190</v>
      </c>
      <c r="B3195" s="1" t="s">
        <v>2</v>
      </c>
      <c r="C3195" s="1" t="str">
        <f>IF($B3195 = "Production Item", _xlfn.XLOOKUP($A3195, 'Instrument Table'!$J:$J, 'Instrument Table'!$B:$B, $C3194), IF($B3195 = "Service Item", _xlfn.XLOOKUP($A3195, 'Instrument Table'!$I:$I, 'Instrument Table'!$B:$B, $C3194), _xlfn.XLOOKUP($A3195, 'Instrument Table'!$H:$H, 'Instrument Table'!$B:$B, $C3194)))</f>
        <v>Theremin</v>
      </c>
      <c r="D3195" s="1" t="str">
        <f>VLOOKUP($C3195, 'Instrument Table'!$B:$C, 2, FALSE)</f>
        <v>Other</v>
      </c>
      <c r="E3195" s="1">
        <f t="shared" si="294"/>
        <v>1</v>
      </c>
      <c r="F3195" s="1">
        <f>_xlfn.XLOOKUP($C3195, 'Instrument Table'!$B:$B, 'Instrument Table'!$A:$A, "")</f>
        <v>60</v>
      </c>
      <c r="G3195" s="1" t="str">
        <f>TEXT(IF($B3195 = "Retail Item", IF((ROW($A3195) - 4504 - _xlfn.XMATCH($C3195, $C$4506:$C$5005, 0, 1)) &lt;= VLOOKUP($C3195, 'Instrument Table'!$B:$D, 3, FALSE), ROW($A3195) - 4504 - _xlfn.XMATCH($C3195, $C$4506:$C$5005, 0, 1), 0), 0), "00")</f>
        <v>00</v>
      </c>
      <c r="H3195" s="1" t="str">
        <f t="shared" si="295"/>
        <v>039</v>
      </c>
      <c r="I3195" s="1" t="str">
        <f t="shared" si="296"/>
        <v>16000-039</v>
      </c>
      <c r="J3195" s="1" t="str">
        <f t="shared" si="297"/>
        <v>Theremin production item #039</v>
      </c>
      <c r="K3195" s="1" t="str">
        <f>IF(SUM(COUNTIFS(I:I, I3195)) &gt; 1, "DUPLICATE", "UNIQUE")</f>
        <v>UNIQUE</v>
      </c>
      <c r="L3195" s="18">
        <v>16</v>
      </c>
      <c r="M3195" s="28">
        <v>2</v>
      </c>
      <c r="N3195" s="6">
        <v>225</v>
      </c>
      <c r="O3195" s="30">
        <f t="shared" si="298"/>
        <v>32</v>
      </c>
      <c r="P3195" s="30">
        <f t="shared" si="299"/>
        <v>450</v>
      </c>
      <c r="Q3195" s="1">
        <f>COUNTIFS($P:$P, "&gt;" &amp; $P3195) + 1</f>
        <v>4054</v>
      </c>
      <c r="R3195" s="63">
        <f>(COUNTIFS($P:$P, "&gt;" &amp; $P3195) + 1) / (COUNTA($I:$I) - 1)</f>
        <v>0.81079999999999997</v>
      </c>
      <c r="S3195" s="23">
        <f>SUMIFS($P:$P, $Q:$Q, "&lt;" &amp; $Q3195)</f>
        <v>186425250</v>
      </c>
    </row>
    <row r="3196" spans="1:19" x14ac:dyDescent="0.25">
      <c r="A3196" s="1">
        <v>3191</v>
      </c>
      <c r="B3196" s="1" t="s">
        <v>2</v>
      </c>
      <c r="C3196" s="1" t="str">
        <f>IF($B3196 = "Production Item", _xlfn.XLOOKUP($A3196, 'Instrument Table'!$J:$J, 'Instrument Table'!$B:$B, $C3195), IF($B3196 = "Service Item", _xlfn.XLOOKUP($A3196, 'Instrument Table'!$I:$I, 'Instrument Table'!$B:$B, $C3195), _xlfn.XLOOKUP($A3196, 'Instrument Table'!$H:$H, 'Instrument Table'!$B:$B, $C3195)))</f>
        <v>Theremin</v>
      </c>
      <c r="D3196" s="1" t="str">
        <f>VLOOKUP($C3196, 'Instrument Table'!$B:$C, 2, FALSE)</f>
        <v>Other</v>
      </c>
      <c r="E3196" s="1">
        <f t="shared" si="294"/>
        <v>1</v>
      </c>
      <c r="F3196" s="1">
        <f>_xlfn.XLOOKUP($C3196, 'Instrument Table'!$B:$B, 'Instrument Table'!$A:$A, "")</f>
        <v>60</v>
      </c>
      <c r="G3196" s="1" t="str">
        <f>TEXT(IF($B3196 = "Retail Item", IF((ROW($A3196) - 4504 - _xlfn.XMATCH($C3196, $C$4506:$C$5005, 0, 1)) &lt;= VLOOKUP($C3196, 'Instrument Table'!$B:$D, 3, FALSE), ROW($A3196) - 4504 - _xlfn.XMATCH($C3196, $C$4506:$C$5005, 0, 1), 0), 0), "00")</f>
        <v>00</v>
      </c>
      <c r="H3196" s="1" t="str">
        <f t="shared" si="295"/>
        <v>040</v>
      </c>
      <c r="I3196" s="1" t="str">
        <f t="shared" si="296"/>
        <v>16000-040</v>
      </c>
      <c r="J3196" s="1" t="str">
        <f t="shared" si="297"/>
        <v>Theremin production item #040</v>
      </c>
      <c r="K3196" s="1" t="str">
        <f>IF(SUM(COUNTIFS(I:I, I3196)) &gt; 1, "DUPLICATE", "UNIQUE")</f>
        <v>UNIQUE</v>
      </c>
      <c r="L3196" s="18">
        <v>4</v>
      </c>
      <c r="M3196" s="28">
        <v>65</v>
      </c>
      <c r="N3196" s="6">
        <v>324</v>
      </c>
      <c r="O3196" s="30">
        <f t="shared" si="298"/>
        <v>260</v>
      </c>
      <c r="P3196" s="30">
        <f t="shared" si="299"/>
        <v>21060</v>
      </c>
      <c r="Q3196" s="1">
        <f>COUNTIFS($P:$P, "&gt;" &amp; $P3196) + 1</f>
        <v>1003</v>
      </c>
      <c r="R3196" s="63">
        <f>(COUNTIFS($P:$P, "&gt;" &amp; $P3196) + 1) / (COUNTA($I:$I) - 1)</f>
        <v>0.2006</v>
      </c>
      <c r="S3196" s="23">
        <f>SUMIFS($P:$P, $Q:$Q, "&lt;" &amp; $Q3196)</f>
        <v>166554236</v>
      </c>
    </row>
    <row r="3197" spans="1:19" x14ac:dyDescent="0.25">
      <c r="A3197" s="1">
        <v>3192</v>
      </c>
      <c r="B3197" s="1" t="s">
        <v>2</v>
      </c>
      <c r="C3197" s="1" t="str">
        <f>IF($B3197 = "Production Item", _xlfn.XLOOKUP($A3197, 'Instrument Table'!$J:$J, 'Instrument Table'!$B:$B, $C3196), IF($B3197 = "Service Item", _xlfn.XLOOKUP($A3197, 'Instrument Table'!$I:$I, 'Instrument Table'!$B:$B, $C3196), _xlfn.XLOOKUP($A3197, 'Instrument Table'!$H:$H, 'Instrument Table'!$B:$B, $C3196)))</f>
        <v>Theremin</v>
      </c>
      <c r="D3197" s="1" t="str">
        <f>VLOOKUP($C3197, 'Instrument Table'!$B:$C, 2, FALSE)</f>
        <v>Other</v>
      </c>
      <c r="E3197" s="1">
        <f t="shared" si="294"/>
        <v>1</v>
      </c>
      <c r="F3197" s="1">
        <f>_xlfn.XLOOKUP($C3197, 'Instrument Table'!$B:$B, 'Instrument Table'!$A:$A, "")</f>
        <v>60</v>
      </c>
      <c r="G3197" s="1" t="str">
        <f>TEXT(IF($B3197 = "Retail Item", IF((ROW($A3197) - 4504 - _xlfn.XMATCH($C3197, $C$4506:$C$5005, 0, 1)) &lt;= VLOOKUP($C3197, 'Instrument Table'!$B:$D, 3, FALSE), ROW($A3197) - 4504 - _xlfn.XMATCH($C3197, $C$4506:$C$5005, 0, 1), 0), 0), "00")</f>
        <v>00</v>
      </c>
      <c r="H3197" s="1" t="str">
        <f t="shared" si="295"/>
        <v>041</v>
      </c>
      <c r="I3197" s="1" t="str">
        <f t="shared" si="296"/>
        <v>16000-041</v>
      </c>
      <c r="J3197" s="1" t="str">
        <f t="shared" si="297"/>
        <v>Theremin production item #041</v>
      </c>
      <c r="K3197" s="1" t="str">
        <f>IF(SUM(COUNTIFS(I:I, I3197)) &gt; 1, "DUPLICATE", "UNIQUE")</f>
        <v>UNIQUE</v>
      </c>
      <c r="L3197" s="18">
        <v>1</v>
      </c>
      <c r="M3197" s="28">
        <v>43</v>
      </c>
      <c r="N3197" s="6">
        <v>324</v>
      </c>
      <c r="O3197" s="30">
        <f t="shared" si="298"/>
        <v>43</v>
      </c>
      <c r="P3197" s="30">
        <f t="shared" si="299"/>
        <v>13932</v>
      </c>
      <c r="Q3197" s="1">
        <f>COUNTIFS($P:$P, "&gt;" &amp; $P3197) + 1</f>
        <v>1426</v>
      </c>
      <c r="R3197" s="63">
        <f>(COUNTIFS($P:$P, "&gt;" &amp; $P3197) + 1) / (COUNTA($I:$I) - 1)</f>
        <v>0.28520000000000001</v>
      </c>
      <c r="S3197" s="23">
        <f>SUMIFS($P:$P, $Q:$Q, "&lt;" &amp; $Q3197)</f>
        <v>173842572</v>
      </c>
    </row>
    <row r="3198" spans="1:19" x14ac:dyDescent="0.25">
      <c r="A3198" s="1">
        <v>3193</v>
      </c>
      <c r="B3198" s="1" t="s">
        <v>2</v>
      </c>
      <c r="C3198" s="1" t="str">
        <f>IF($B3198 = "Production Item", _xlfn.XLOOKUP($A3198, 'Instrument Table'!$J:$J, 'Instrument Table'!$B:$B, $C3197), IF($B3198 = "Service Item", _xlfn.XLOOKUP($A3198, 'Instrument Table'!$I:$I, 'Instrument Table'!$B:$B, $C3197), _xlfn.XLOOKUP($A3198, 'Instrument Table'!$H:$H, 'Instrument Table'!$B:$B, $C3197)))</f>
        <v>Theremin</v>
      </c>
      <c r="D3198" s="1" t="str">
        <f>VLOOKUP($C3198, 'Instrument Table'!$B:$C, 2, FALSE)</f>
        <v>Other</v>
      </c>
      <c r="E3198" s="1">
        <f t="shared" si="294"/>
        <v>1</v>
      </c>
      <c r="F3198" s="1">
        <f>_xlfn.XLOOKUP($C3198, 'Instrument Table'!$B:$B, 'Instrument Table'!$A:$A, "")</f>
        <v>60</v>
      </c>
      <c r="G3198" s="1" t="str">
        <f>TEXT(IF($B3198 = "Retail Item", IF((ROW($A3198) - 4504 - _xlfn.XMATCH($C3198, $C$4506:$C$5005, 0, 1)) &lt;= VLOOKUP($C3198, 'Instrument Table'!$B:$D, 3, FALSE), ROW($A3198) - 4504 - _xlfn.XMATCH($C3198, $C$4506:$C$5005, 0, 1), 0), 0), "00")</f>
        <v>00</v>
      </c>
      <c r="H3198" s="1" t="str">
        <f t="shared" si="295"/>
        <v>042</v>
      </c>
      <c r="I3198" s="1" t="str">
        <f t="shared" si="296"/>
        <v>16000-042</v>
      </c>
      <c r="J3198" s="1" t="str">
        <f t="shared" si="297"/>
        <v>Theremin production item #042</v>
      </c>
      <c r="K3198" s="1" t="str">
        <f>IF(SUM(COUNTIFS(I:I, I3198)) &gt; 1, "DUPLICATE", "UNIQUE")</f>
        <v>UNIQUE</v>
      </c>
      <c r="L3198" s="18">
        <v>16</v>
      </c>
      <c r="M3198" s="28">
        <v>23</v>
      </c>
      <c r="N3198" s="6">
        <v>144</v>
      </c>
      <c r="O3198" s="30">
        <f t="shared" si="298"/>
        <v>368</v>
      </c>
      <c r="P3198" s="30">
        <f t="shared" si="299"/>
        <v>3312</v>
      </c>
      <c r="Q3198" s="1">
        <f>COUNTIFS($P:$P, "&gt;" &amp; $P3198) + 1</f>
        <v>2826</v>
      </c>
      <c r="R3198" s="63">
        <f>(COUNTIFS($P:$P, "&gt;" &amp; $P3198) + 1) / (COUNTA($I:$I) - 1)</f>
        <v>0.56520000000000004</v>
      </c>
      <c r="S3198" s="23">
        <f>SUMIFS($P:$P, $Q:$Q, "&lt;" &amp; $Q3198)</f>
        <v>184413337</v>
      </c>
    </row>
    <row r="3199" spans="1:19" x14ac:dyDescent="0.25">
      <c r="A3199" s="1">
        <v>3194</v>
      </c>
      <c r="B3199" s="1" t="s">
        <v>2</v>
      </c>
      <c r="C3199" s="1" t="str">
        <f>IF($B3199 = "Production Item", _xlfn.XLOOKUP($A3199, 'Instrument Table'!$J:$J, 'Instrument Table'!$B:$B, $C3198), IF($B3199 = "Service Item", _xlfn.XLOOKUP($A3199, 'Instrument Table'!$I:$I, 'Instrument Table'!$B:$B, $C3198), _xlfn.XLOOKUP($A3199, 'Instrument Table'!$H:$H, 'Instrument Table'!$B:$B, $C3198)))</f>
        <v>Theremin</v>
      </c>
      <c r="D3199" s="1" t="str">
        <f>VLOOKUP($C3199, 'Instrument Table'!$B:$C, 2, FALSE)</f>
        <v>Other</v>
      </c>
      <c r="E3199" s="1">
        <f t="shared" si="294"/>
        <v>1</v>
      </c>
      <c r="F3199" s="1">
        <f>_xlfn.XLOOKUP($C3199, 'Instrument Table'!$B:$B, 'Instrument Table'!$A:$A, "")</f>
        <v>60</v>
      </c>
      <c r="G3199" s="1" t="str">
        <f>TEXT(IF($B3199 = "Retail Item", IF((ROW($A3199) - 4504 - _xlfn.XMATCH($C3199, $C$4506:$C$5005, 0, 1)) &lt;= VLOOKUP($C3199, 'Instrument Table'!$B:$D, 3, FALSE), ROW($A3199) - 4504 - _xlfn.XMATCH($C3199, $C$4506:$C$5005, 0, 1), 0), 0), "00")</f>
        <v>00</v>
      </c>
      <c r="H3199" s="1" t="str">
        <f t="shared" si="295"/>
        <v>043</v>
      </c>
      <c r="I3199" s="1" t="str">
        <f t="shared" si="296"/>
        <v>16000-043</v>
      </c>
      <c r="J3199" s="1" t="str">
        <f t="shared" si="297"/>
        <v>Theremin production item #043</v>
      </c>
      <c r="K3199" s="1" t="str">
        <f>IF(SUM(COUNTIFS(I:I, I3199)) &gt; 1, "DUPLICATE", "UNIQUE")</f>
        <v>UNIQUE</v>
      </c>
      <c r="L3199" s="18">
        <v>0</v>
      </c>
      <c r="M3199" s="28">
        <v>14</v>
      </c>
      <c r="N3199" s="6">
        <v>144</v>
      </c>
      <c r="O3199" s="30">
        <f t="shared" si="298"/>
        <v>0</v>
      </c>
      <c r="P3199" s="30">
        <f t="shared" si="299"/>
        <v>2016</v>
      </c>
      <c r="Q3199" s="1">
        <f>COUNTIFS($P:$P, "&gt;" &amp; $P3199) + 1</f>
        <v>3252</v>
      </c>
      <c r="R3199" s="63">
        <f>(COUNTIFS($P:$P, "&gt;" &amp; $P3199) + 1) / (COUNTA($I:$I) - 1)</f>
        <v>0.65039999999999998</v>
      </c>
      <c r="S3199" s="23">
        <f>SUMIFS($P:$P, $Q:$Q, "&lt;" &amp; $Q3199)</f>
        <v>185515132</v>
      </c>
    </row>
    <row r="3200" spans="1:19" x14ac:dyDescent="0.25">
      <c r="A3200" s="1">
        <v>3195</v>
      </c>
      <c r="B3200" s="1" t="s">
        <v>2</v>
      </c>
      <c r="C3200" s="1" t="str">
        <f>IF($B3200 = "Production Item", _xlfn.XLOOKUP($A3200, 'Instrument Table'!$J:$J, 'Instrument Table'!$B:$B, $C3199), IF($B3200 = "Service Item", _xlfn.XLOOKUP($A3200, 'Instrument Table'!$I:$I, 'Instrument Table'!$B:$B, $C3199), _xlfn.XLOOKUP($A3200, 'Instrument Table'!$H:$H, 'Instrument Table'!$B:$B, $C3199)))</f>
        <v>Theremin</v>
      </c>
      <c r="D3200" s="1" t="str">
        <f>VLOOKUP($C3200, 'Instrument Table'!$B:$C, 2, FALSE)</f>
        <v>Other</v>
      </c>
      <c r="E3200" s="1">
        <f t="shared" si="294"/>
        <v>1</v>
      </c>
      <c r="F3200" s="1">
        <f>_xlfn.XLOOKUP($C3200, 'Instrument Table'!$B:$B, 'Instrument Table'!$A:$A, "")</f>
        <v>60</v>
      </c>
      <c r="G3200" s="1" t="str">
        <f>TEXT(IF($B3200 = "Retail Item", IF((ROW($A3200) - 4504 - _xlfn.XMATCH($C3200, $C$4506:$C$5005, 0, 1)) &lt;= VLOOKUP($C3200, 'Instrument Table'!$B:$D, 3, FALSE), ROW($A3200) - 4504 - _xlfn.XMATCH($C3200, $C$4506:$C$5005, 0, 1), 0), 0), "00")</f>
        <v>00</v>
      </c>
      <c r="H3200" s="1" t="str">
        <f t="shared" si="295"/>
        <v>044</v>
      </c>
      <c r="I3200" s="1" t="str">
        <f t="shared" si="296"/>
        <v>16000-044</v>
      </c>
      <c r="J3200" s="1" t="str">
        <f t="shared" si="297"/>
        <v>Theremin production item #044</v>
      </c>
      <c r="K3200" s="1" t="str">
        <f>IF(SUM(COUNTIFS(I:I, I3200)) &gt; 1, "DUPLICATE", "UNIQUE")</f>
        <v>UNIQUE</v>
      </c>
      <c r="L3200" s="18">
        <v>0</v>
      </c>
      <c r="M3200" s="28">
        <v>21</v>
      </c>
      <c r="N3200" s="6">
        <v>16</v>
      </c>
      <c r="O3200" s="30">
        <f t="shared" si="298"/>
        <v>0</v>
      </c>
      <c r="P3200" s="30">
        <f t="shared" si="299"/>
        <v>336</v>
      </c>
      <c r="Q3200" s="1">
        <f>COUNTIFS($P:$P, "&gt;" &amp; $P3200) + 1</f>
        <v>4170</v>
      </c>
      <c r="R3200" s="63">
        <f>(COUNTIFS($P:$P, "&gt;" &amp; $P3200) + 1) / (COUNTA($I:$I) - 1)</f>
        <v>0.83399999999999996</v>
      </c>
      <c r="S3200" s="23">
        <f>SUMIFS($P:$P, $Q:$Q, "&lt;" &amp; $Q3200)</f>
        <v>186470639</v>
      </c>
    </row>
    <row r="3201" spans="1:19" x14ac:dyDescent="0.25">
      <c r="A3201" s="1">
        <v>3196</v>
      </c>
      <c r="B3201" s="1" t="s">
        <v>2</v>
      </c>
      <c r="C3201" s="1" t="str">
        <f>IF($B3201 = "Production Item", _xlfn.XLOOKUP($A3201, 'Instrument Table'!$J:$J, 'Instrument Table'!$B:$B, $C3200), IF($B3201 = "Service Item", _xlfn.XLOOKUP($A3201, 'Instrument Table'!$I:$I, 'Instrument Table'!$B:$B, $C3200), _xlfn.XLOOKUP($A3201, 'Instrument Table'!$H:$H, 'Instrument Table'!$B:$B, $C3200)))</f>
        <v>Theremin</v>
      </c>
      <c r="D3201" s="1" t="str">
        <f>VLOOKUP($C3201, 'Instrument Table'!$B:$C, 2, FALSE)</f>
        <v>Other</v>
      </c>
      <c r="E3201" s="1">
        <f t="shared" si="294"/>
        <v>1</v>
      </c>
      <c r="F3201" s="1">
        <f>_xlfn.XLOOKUP($C3201, 'Instrument Table'!$B:$B, 'Instrument Table'!$A:$A, "")</f>
        <v>60</v>
      </c>
      <c r="G3201" s="1" t="str">
        <f>TEXT(IF($B3201 = "Retail Item", IF((ROW($A3201) - 4504 - _xlfn.XMATCH($C3201, $C$4506:$C$5005, 0, 1)) &lt;= VLOOKUP($C3201, 'Instrument Table'!$B:$D, 3, FALSE), ROW($A3201) - 4504 - _xlfn.XMATCH($C3201, $C$4506:$C$5005, 0, 1), 0), 0), "00")</f>
        <v>00</v>
      </c>
      <c r="H3201" s="1" t="str">
        <f t="shared" si="295"/>
        <v>045</v>
      </c>
      <c r="I3201" s="1" t="str">
        <f t="shared" si="296"/>
        <v>16000-045</v>
      </c>
      <c r="J3201" s="1" t="str">
        <f t="shared" si="297"/>
        <v>Theremin production item #045</v>
      </c>
      <c r="K3201" s="1" t="str">
        <f>IF(SUM(COUNTIFS(I:I, I3201)) &gt; 1, "DUPLICATE", "UNIQUE")</f>
        <v>UNIQUE</v>
      </c>
      <c r="L3201" s="18">
        <v>0</v>
      </c>
      <c r="M3201" s="28">
        <v>19</v>
      </c>
      <c r="N3201" s="6">
        <v>289</v>
      </c>
      <c r="O3201" s="30">
        <f t="shared" si="298"/>
        <v>0</v>
      </c>
      <c r="P3201" s="30">
        <f t="shared" si="299"/>
        <v>5491</v>
      </c>
      <c r="Q3201" s="1">
        <f>COUNTIFS($P:$P, "&gt;" &amp; $P3201) + 1</f>
        <v>2355</v>
      </c>
      <c r="R3201" s="63">
        <f>(COUNTIFS($P:$P, "&gt;" &amp; $P3201) + 1) / (COUNTA($I:$I) - 1)</f>
        <v>0.47099999999999997</v>
      </c>
      <c r="S3201" s="23">
        <f>SUMIFS($P:$P, $Q:$Q, "&lt;" &amp; $Q3201)</f>
        <v>182375049</v>
      </c>
    </row>
    <row r="3202" spans="1:19" x14ac:dyDescent="0.25">
      <c r="A3202" s="1">
        <v>3197</v>
      </c>
      <c r="B3202" s="1" t="s">
        <v>2</v>
      </c>
      <c r="C3202" s="1" t="str">
        <f>IF($B3202 = "Production Item", _xlfn.XLOOKUP($A3202, 'Instrument Table'!$J:$J, 'Instrument Table'!$B:$B, $C3201), IF($B3202 = "Service Item", _xlfn.XLOOKUP($A3202, 'Instrument Table'!$I:$I, 'Instrument Table'!$B:$B, $C3201), _xlfn.XLOOKUP($A3202, 'Instrument Table'!$H:$H, 'Instrument Table'!$B:$B, $C3201)))</f>
        <v>Theremin</v>
      </c>
      <c r="D3202" s="1" t="str">
        <f>VLOOKUP($C3202, 'Instrument Table'!$B:$C, 2, FALSE)</f>
        <v>Other</v>
      </c>
      <c r="E3202" s="1">
        <f t="shared" si="294"/>
        <v>1</v>
      </c>
      <c r="F3202" s="1">
        <f>_xlfn.XLOOKUP($C3202, 'Instrument Table'!$B:$B, 'Instrument Table'!$A:$A, "")</f>
        <v>60</v>
      </c>
      <c r="G3202" s="1" t="str">
        <f>TEXT(IF($B3202 = "Retail Item", IF((ROW($A3202) - 4504 - _xlfn.XMATCH($C3202, $C$4506:$C$5005, 0, 1)) &lt;= VLOOKUP($C3202, 'Instrument Table'!$B:$D, 3, FALSE), ROW($A3202) - 4504 - _xlfn.XMATCH($C3202, $C$4506:$C$5005, 0, 1), 0), 0), "00")</f>
        <v>00</v>
      </c>
      <c r="H3202" s="1" t="str">
        <f t="shared" si="295"/>
        <v>046</v>
      </c>
      <c r="I3202" s="1" t="str">
        <f t="shared" si="296"/>
        <v>16000-046</v>
      </c>
      <c r="J3202" s="1" t="str">
        <f t="shared" si="297"/>
        <v>Theremin production item #046</v>
      </c>
      <c r="K3202" s="1" t="str">
        <f>IF(SUM(COUNTIFS(I:I, I3202)) &gt; 1, "DUPLICATE", "UNIQUE")</f>
        <v>UNIQUE</v>
      </c>
      <c r="L3202" s="18">
        <v>2</v>
      </c>
      <c r="M3202" s="28">
        <v>97</v>
      </c>
      <c r="N3202" s="6">
        <v>324</v>
      </c>
      <c r="O3202" s="30">
        <f t="shared" si="298"/>
        <v>194</v>
      </c>
      <c r="P3202" s="30">
        <f t="shared" si="299"/>
        <v>31428</v>
      </c>
      <c r="Q3202" s="1">
        <f>COUNTIFS($P:$P, "&gt;" &amp; $P3202) + 1</f>
        <v>659</v>
      </c>
      <c r="R3202" s="63">
        <f>(COUNTIFS($P:$P, "&gt;" &amp; $P3202) + 1) / (COUNTA($I:$I) - 1)</f>
        <v>0.1318</v>
      </c>
      <c r="S3202" s="23">
        <f>SUMIFS($P:$P, $Q:$Q, "&lt;" &amp; $Q3202)</f>
        <v>157831783</v>
      </c>
    </row>
    <row r="3203" spans="1:19" x14ac:dyDescent="0.25">
      <c r="A3203" s="1">
        <v>3198</v>
      </c>
      <c r="B3203" s="1" t="s">
        <v>2</v>
      </c>
      <c r="C3203" s="1" t="str">
        <f>IF($B3203 = "Production Item", _xlfn.XLOOKUP($A3203, 'Instrument Table'!$J:$J, 'Instrument Table'!$B:$B, $C3202), IF($B3203 = "Service Item", _xlfn.XLOOKUP($A3203, 'Instrument Table'!$I:$I, 'Instrument Table'!$B:$B, $C3202), _xlfn.XLOOKUP($A3203, 'Instrument Table'!$H:$H, 'Instrument Table'!$B:$B, $C3202)))</f>
        <v>Theremin</v>
      </c>
      <c r="D3203" s="1" t="str">
        <f>VLOOKUP($C3203, 'Instrument Table'!$B:$C, 2, FALSE)</f>
        <v>Other</v>
      </c>
      <c r="E3203" s="1">
        <f t="shared" si="294"/>
        <v>1</v>
      </c>
      <c r="F3203" s="1">
        <f>_xlfn.XLOOKUP($C3203, 'Instrument Table'!$B:$B, 'Instrument Table'!$A:$A, "")</f>
        <v>60</v>
      </c>
      <c r="G3203" s="1" t="str">
        <f>TEXT(IF($B3203 = "Retail Item", IF((ROW($A3203) - 4504 - _xlfn.XMATCH($C3203, $C$4506:$C$5005, 0, 1)) &lt;= VLOOKUP($C3203, 'Instrument Table'!$B:$D, 3, FALSE), ROW($A3203) - 4504 - _xlfn.XMATCH($C3203, $C$4506:$C$5005, 0, 1), 0), 0), "00")</f>
        <v>00</v>
      </c>
      <c r="H3203" s="1" t="str">
        <f t="shared" si="295"/>
        <v>047</v>
      </c>
      <c r="I3203" s="1" t="str">
        <f t="shared" si="296"/>
        <v>16000-047</v>
      </c>
      <c r="J3203" s="1" t="str">
        <f t="shared" si="297"/>
        <v>Theremin production item #047</v>
      </c>
      <c r="K3203" s="1" t="str">
        <f>IF(SUM(COUNTIFS(I:I, I3203)) &gt; 1, "DUPLICATE", "UNIQUE")</f>
        <v>UNIQUE</v>
      </c>
      <c r="L3203" s="18">
        <v>0</v>
      </c>
      <c r="M3203" s="28">
        <v>5</v>
      </c>
      <c r="N3203" s="6">
        <v>400</v>
      </c>
      <c r="O3203" s="30">
        <f t="shared" si="298"/>
        <v>0</v>
      </c>
      <c r="P3203" s="30">
        <f t="shared" si="299"/>
        <v>2000</v>
      </c>
      <c r="Q3203" s="1">
        <f>COUNTIFS($P:$P, "&gt;" &amp; $P3203) + 1</f>
        <v>3257</v>
      </c>
      <c r="R3203" s="63">
        <f>(COUNTIFS($P:$P, "&gt;" &amp; $P3203) + 1) / (COUNTA($I:$I) - 1)</f>
        <v>0.65139999999999998</v>
      </c>
      <c r="S3203" s="23">
        <f>SUMIFS($P:$P, $Q:$Q, "&lt;" &amp; $Q3203)</f>
        <v>185525191</v>
      </c>
    </row>
    <row r="3204" spans="1:19" x14ac:dyDescent="0.25">
      <c r="A3204" s="1">
        <v>3199</v>
      </c>
      <c r="B3204" s="1" t="s">
        <v>2</v>
      </c>
      <c r="C3204" s="1" t="str">
        <f>IF($B3204 = "Production Item", _xlfn.XLOOKUP($A3204, 'Instrument Table'!$J:$J, 'Instrument Table'!$B:$B, $C3203), IF($B3204 = "Service Item", _xlfn.XLOOKUP($A3204, 'Instrument Table'!$I:$I, 'Instrument Table'!$B:$B, $C3203), _xlfn.XLOOKUP($A3204, 'Instrument Table'!$H:$H, 'Instrument Table'!$B:$B, $C3203)))</f>
        <v>Theremin</v>
      </c>
      <c r="D3204" s="1" t="str">
        <f>VLOOKUP($C3204, 'Instrument Table'!$B:$C, 2, FALSE)</f>
        <v>Other</v>
      </c>
      <c r="E3204" s="1">
        <f t="shared" si="294"/>
        <v>1</v>
      </c>
      <c r="F3204" s="1">
        <f>_xlfn.XLOOKUP($C3204, 'Instrument Table'!$B:$B, 'Instrument Table'!$A:$A, "")</f>
        <v>60</v>
      </c>
      <c r="G3204" s="1" t="str">
        <f>TEXT(IF($B3204 = "Retail Item", IF((ROW($A3204) - 4504 - _xlfn.XMATCH($C3204, $C$4506:$C$5005, 0, 1)) &lt;= VLOOKUP($C3204, 'Instrument Table'!$B:$D, 3, FALSE), ROW($A3204) - 4504 - _xlfn.XMATCH($C3204, $C$4506:$C$5005, 0, 1), 0), 0), "00")</f>
        <v>00</v>
      </c>
      <c r="H3204" s="1" t="str">
        <f t="shared" si="295"/>
        <v>048</v>
      </c>
      <c r="I3204" s="1" t="str">
        <f t="shared" si="296"/>
        <v>16000-048</v>
      </c>
      <c r="J3204" s="1" t="str">
        <f t="shared" si="297"/>
        <v>Theremin production item #048</v>
      </c>
      <c r="K3204" s="1" t="str">
        <f>IF(SUM(COUNTIFS(I:I, I3204)) &gt; 1, "DUPLICATE", "UNIQUE")</f>
        <v>UNIQUE</v>
      </c>
      <c r="L3204" s="18">
        <v>16</v>
      </c>
      <c r="M3204" s="28">
        <v>53</v>
      </c>
      <c r="N3204" s="6">
        <v>169</v>
      </c>
      <c r="O3204" s="30">
        <f t="shared" si="298"/>
        <v>848</v>
      </c>
      <c r="P3204" s="30">
        <f t="shared" si="299"/>
        <v>8957</v>
      </c>
      <c r="Q3204" s="1">
        <f>COUNTIFS($P:$P, "&gt;" &amp; $P3204) + 1</f>
        <v>1875</v>
      </c>
      <c r="R3204" s="63">
        <f>(COUNTIFS($P:$P, "&gt;" &amp; $P3204) + 1) / (COUNTA($I:$I) - 1)</f>
        <v>0.375</v>
      </c>
      <c r="S3204" s="23">
        <f>SUMIFS($P:$P, $Q:$Q, "&lt;" &amp; $Q3204)</f>
        <v>178941127</v>
      </c>
    </row>
    <row r="3205" spans="1:19" x14ac:dyDescent="0.25">
      <c r="A3205" s="1">
        <v>3200</v>
      </c>
      <c r="B3205" s="1" t="s">
        <v>2</v>
      </c>
      <c r="C3205" s="1" t="str">
        <f>IF($B3205 = "Production Item", _xlfn.XLOOKUP($A3205, 'Instrument Table'!$J:$J, 'Instrument Table'!$B:$B, $C3204), IF($B3205 = "Service Item", _xlfn.XLOOKUP($A3205, 'Instrument Table'!$I:$I, 'Instrument Table'!$B:$B, $C3204), _xlfn.XLOOKUP($A3205, 'Instrument Table'!$H:$H, 'Instrument Table'!$B:$B, $C3204)))</f>
        <v>Theremin</v>
      </c>
      <c r="D3205" s="1" t="str">
        <f>VLOOKUP($C3205, 'Instrument Table'!$B:$C, 2, FALSE)</f>
        <v>Other</v>
      </c>
      <c r="E3205" s="1">
        <f t="shared" si="294"/>
        <v>1</v>
      </c>
      <c r="F3205" s="1">
        <f>_xlfn.XLOOKUP($C3205, 'Instrument Table'!$B:$B, 'Instrument Table'!$A:$A, "")</f>
        <v>60</v>
      </c>
      <c r="G3205" s="1" t="str">
        <f>TEXT(IF($B3205 = "Retail Item", IF((ROW($A3205) - 4504 - _xlfn.XMATCH($C3205, $C$4506:$C$5005, 0, 1)) &lt;= VLOOKUP($C3205, 'Instrument Table'!$B:$D, 3, FALSE), ROW($A3205) - 4504 - _xlfn.XMATCH($C3205, $C$4506:$C$5005, 0, 1), 0), 0), "00")</f>
        <v>00</v>
      </c>
      <c r="H3205" s="1" t="str">
        <f t="shared" si="295"/>
        <v>049</v>
      </c>
      <c r="I3205" s="1" t="str">
        <f t="shared" si="296"/>
        <v>16000-049</v>
      </c>
      <c r="J3205" s="1" t="str">
        <f t="shared" si="297"/>
        <v>Theremin production item #049</v>
      </c>
      <c r="K3205" s="1" t="str">
        <f>IF(SUM(COUNTIFS(I:I, I3205)) &gt; 1, "DUPLICATE", "UNIQUE")</f>
        <v>UNIQUE</v>
      </c>
      <c r="L3205" s="18">
        <v>0</v>
      </c>
      <c r="M3205" s="28">
        <v>72</v>
      </c>
      <c r="N3205" s="6">
        <v>25</v>
      </c>
      <c r="O3205" s="30">
        <f t="shared" si="298"/>
        <v>0</v>
      </c>
      <c r="P3205" s="30">
        <f t="shared" si="299"/>
        <v>1800</v>
      </c>
      <c r="Q3205" s="1">
        <f>COUNTIFS($P:$P, "&gt;" &amp; $P3205) + 1</f>
        <v>3333</v>
      </c>
      <c r="R3205" s="63">
        <f>(COUNTIFS($P:$P, "&gt;" &amp; $P3205) + 1) / (COUNTA($I:$I) - 1)</f>
        <v>0.66659999999999997</v>
      </c>
      <c r="S3205" s="23">
        <f>SUMIFS($P:$P, $Q:$Q, "&lt;" &amp; $Q3205)</f>
        <v>185669981</v>
      </c>
    </row>
    <row r="3206" spans="1:19" x14ac:dyDescent="0.25">
      <c r="A3206" s="1">
        <v>3201</v>
      </c>
      <c r="B3206" s="1" t="s">
        <v>2</v>
      </c>
      <c r="C3206" s="1" t="str">
        <f>IF($B3206 = "Production Item", _xlfn.XLOOKUP($A3206, 'Instrument Table'!$J:$J, 'Instrument Table'!$B:$B, $C3205), IF($B3206 = "Service Item", _xlfn.XLOOKUP($A3206, 'Instrument Table'!$I:$I, 'Instrument Table'!$B:$B, $C3205), _xlfn.XLOOKUP($A3206, 'Instrument Table'!$H:$H, 'Instrument Table'!$B:$B, $C3205)))</f>
        <v>Theremin</v>
      </c>
      <c r="D3206" s="1" t="str">
        <f>VLOOKUP($C3206, 'Instrument Table'!$B:$C, 2, FALSE)</f>
        <v>Other</v>
      </c>
      <c r="E3206" s="1">
        <f t="shared" si="294"/>
        <v>1</v>
      </c>
      <c r="F3206" s="1">
        <f>_xlfn.XLOOKUP($C3206, 'Instrument Table'!$B:$B, 'Instrument Table'!$A:$A, "")</f>
        <v>60</v>
      </c>
      <c r="G3206" s="1" t="str">
        <f>TEXT(IF($B3206 = "Retail Item", IF((ROW($A3206) - 4504 - _xlfn.XMATCH($C3206, $C$4506:$C$5005, 0, 1)) &lt;= VLOOKUP($C3206, 'Instrument Table'!$B:$D, 3, FALSE), ROW($A3206) - 4504 - _xlfn.XMATCH($C3206, $C$4506:$C$5005, 0, 1), 0), 0), "00")</f>
        <v>00</v>
      </c>
      <c r="H3206" s="1" t="str">
        <f t="shared" si="295"/>
        <v>050</v>
      </c>
      <c r="I3206" s="1" t="str">
        <f t="shared" si="296"/>
        <v>16000-050</v>
      </c>
      <c r="J3206" s="1" t="str">
        <f t="shared" si="297"/>
        <v>Theremin production item #050</v>
      </c>
      <c r="K3206" s="1" t="str">
        <f>IF(SUM(COUNTIFS(I:I, I3206)) &gt; 1, "DUPLICATE", "UNIQUE")</f>
        <v>UNIQUE</v>
      </c>
      <c r="L3206" s="18">
        <v>0</v>
      </c>
      <c r="M3206" s="28">
        <v>16</v>
      </c>
      <c r="N3206" s="6">
        <v>289</v>
      </c>
      <c r="O3206" s="30">
        <f t="shared" si="298"/>
        <v>0</v>
      </c>
      <c r="P3206" s="30">
        <f t="shared" si="299"/>
        <v>4624</v>
      </c>
      <c r="Q3206" s="1">
        <f>COUNTIFS($P:$P, "&gt;" &amp; $P3206) + 1</f>
        <v>2511</v>
      </c>
      <c r="R3206" s="63">
        <f>(COUNTIFS($P:$P, "&gt;" &amp; $P3206) + 1) / (COUNTA($I:$I) - 1)</f>
        <v>0.50219999999999998</v>
      </c>
      <c r="S3206" s="23">
        <f>SUMIFS($P:$P, $Q:$Q, "&lt;" &amp; $Q3206)</f>
        <v>183166893</v>
      </c>
    </row>
    <row r="3207" spans="1:19" x14ac:dyDescent="0.25">
      <c r="A3207" s="1">
        <v>3202</v>
      </c>
      <c r="B3207" s="1" t="s">
        <v>2</v>
      </c>
      <c r="C3207" s="1" t="str">
        <f>IF($B3207 = "Production Item", _xlfn.XLOOKUP($A3207, 'Instrument Table'!$J:$J, 'Instrument Table'!$B:$B, $C3206), IF($B3207 = "Service Item", _xlfn.XLOOKUP($A3207, 'Instrument Table'!$I:$I, 'Instrument Table'!$B:$B, $C3206), _xlfn.XLOOKUP($A3207, 'Instrument Table'!$H:$H, 'Instrument Table'!$B:$B, $C3206)))</f>
        <v>Theremin</v>
      </c>
      <c r="D3207" s="1" t="str">
        <f>VLOOKUP($C3207, 'Instrument Table'!$B:$C, 2, FALSE)</f>
        <v>Other</v>
      </c>
      <c r="E3207" s="1">
        <f t="shared" ref="E3207:E3270" si="300">IF($B3207 = "Production Item", 1, IF($B3207 = "Service Item", 2, IF($B3207 = "Retail Item", 3, "")))</f>
        <v>1</v>
      </c>
      <c r="F3207" s="1">
        <f>_xlfn.XLOOKUP($C3207, 'Instrument Table'!$B:$B, 'Instrument Table'!$A:$A, "")</f>
        <v>60</v>
      </c>
      <c r="G3207" s="1" t="str">
        <f>TEXT(IF($B3207 = "Retail Item", IF((ROW($A3207) - 4504 - _xlfn.XMATCH($C3207, $C$4506:$C$5005, 0, 1)) &lt;= VLOOKUP($C3207, 'Instrument Table'!$B:$D, 3, FALSE), ROW($A3207) - 4504 - _xlfn.XMATCH($C3207, $C$4506:$C$5005, 0, 1), 0), 0), "00")</f>
        <v>00</v>
      </c>
      <c r="H3207" s="1" t="str">
        <f t="shared" ref="H3207:H3270" si="301">TEXT(IF($E3207 &amp; $F3207 &amp; $G3207 = $E3206 &amp; $F3206 &amp; $G3206, 1 + H3206, 0), "000")</f>
        <v>051</v>
      </c>
      <c r="I3207" s="1" t="str">
        <f t="shared" ref="I3207:I3270" si="302" xml:space="preserve"> _xlfn.CONCAT($E3207, $F3207, $G3207, "-", H3207)</f>
        <v>16000-051</v>
      </c>
      <c r="J3207" s="1" t="str">
        <f t="shared" ref="J3207:J3270" si="303">LEFT($C3207, 1) &amp; LOWER(RIGHT($C3207, LEN($C3207) - 1)) &amp; IF(AND($G3207 &lt;&gt; "00", $B3207 = "Retail Item"), " model #" &amp; $G3207, " " &amp; LOWER($B3207) &amp; " #" &amp; $H3207)</f>
        <v>Theremin production item #051</v>
      </c>
      <c r="K3207" s="1" t="str">
        <f>IF(SUM(COUNTIFS(I:I, I3207)) &gt; 1, "DUPLICATE", "UNIQUE")</f>
        <v>UNIQUE</v>
      </c>
      <c r="L3207" s="18">
        <v>4</v>
      </c>
      <c r="M3207" s="28">
        <v>80</v>
      </c>
      <c r="N3207" s="6">
        <v>225</v>
      </c>
      <c r="O3207" s="30">
        <f t="shared" ref="O3207:O3270" si="304">$L3207 * $M3207</f>
        <v>320</v>
      </c>
      <c r="P3207" s="30">
        <f t="shared" ref="P3207:P3270" si="305">$N3207 * $M3207</f>
        <v>18000</v>
      </c>
      <c r="Q3207" s="1">
        <f>COUNTIFS($P:$P, "&gt;" &amp; $P3207) + 1</f>
        <v>1164</v>
      </c>
      <c r="R3207" s="63">
        <f>(COUNTIFS($P:$P, "&gt;" &amp; $P3207) + 1) / (COUNTA($I:$I) - 1)</f>
        <v>0.23280000000000001</v>
      </c>
      <c r="S3207" s="23">
        <f>SUMIFS($P:$P, $Q:$Q, "&lt;" &amp; $Q3207)</f>
        <v>169690778</v>
      </c>
    </row>
    <row r="3208" spans="1:19" x14ac:dyDescent="0.25">
      <c r="A3208" s="1">
        <v>3203</v>
      </c>
      <c r="B3208" s="1" t="s">
        <v>2</v>
      </c>
      <c r="C3208" s="1" t="str">
        <f>IF($B3208 = "Production Item", _xlfn.XLOOKUP($A3208, 'Instrument Table'!$J:$J, 'Instrument Table'!$B:$B, $C3207), IF($B3208 = "Service Item", _xlfn.XLOOKUP($A3208, 'Instrument Table'!$I:$I, 'Instrument Table'!$B:$B, $C3207), _xlfn.XLOOKUP($A3208, 'Instrument Table'!$H:$H, 'Instrument Table'!$B:$B, $C3207)))</f>
        <v>Theremin</v>
      </c>
      <c r="D3208" s="1" t="str">
        <f>VLOOKUP($C3208, 'Instrument Table'!$B:$C, 2, FALSE)</f>
        <v>Other</v>
      </c>
      <c r="E3208" s="1">
        <f t="shared" si="300"/>
        <v>1</v>
      </c>
      <c r="F3208" s="1">
        <f>_xlfn.XLOOKUP($C3208, 'Instrument Table'!$B:$B, 'Instrument Table'!$A:$A, "")</f>
        <v>60</v>
      </c>
      <c r="G3208" s="1" t="str">
        <f>TEXT(IF($B3208 = "Retail Item", IF((ROW($A3208) - 4504 - _xlfn.XMATCH($C3208, $C$4506:$C$5005, 0, 1)) &lt;= VLOOKUP($C3208, 'Instrument Table'!$B:$D, 3, FALSE), ROW($A3208) - 4504 - _xlfn.XMATCH($C3208, $C$4506:$C$5005, 0, 1), 0), 0), "00")</f>
        <v>00</v>
      </c>
      <c r="H3208" s="1" t="str">
        <f t="shared" si="301"/>
        <v>052</v>
      </c>
      <c r="I3208" s="1" t="str">
        <f t="shared" si="302"/>
        <v>16000-052</v>
      </c>
      <c r="J3208" s="1" t="str">
        <f t="shared" si="303"/>
        <v>Theremin production item #052</v>
      </c>
      <c r="K3208" s="1" t="str">
        <f>IF(SUM(COUNTIFS(I:I, I3208)) &gt; 1, "DUPLICATE", "UNIQUE")</f>
        <v>UNIQUE</v>
      </c>
      <c r="L3208" s="18">
        <v>1</v>
      </c>
      <c r="M3208" s="28">
        <v>57</v>
      </c>
      <c r="N3208" s="6">
        <v>36</v>
      </c>
      <c r="O3208" s="30">
        <f t="shared" si="304"/>
        <v>57</v>
      </c>
      <c r="P3208" s="30">
        <f t="shared" si="305"/>
        <v>2052</v>
      </c>
      <c r="Q3208" s="1">
        <f>COUNTIFS($P:$P, "&gt;" &amp; $P3208) + 1</f>
        <v>3232</v>
      </c>
      <c r="R3208" s="63">
        <f>(COUNTIFS($P:$P, "&gt;" &amp; $P3208) + 1) / (COUNTA($I:$I) - 1)</f>
        <v>0.64639999999999997</v>
      </c>
      <c r="S3208" s="23">
        <f>SUMIFS($P:$P, $Q:$Q, "&lt;" &amp; $Q3208)</f>
        <v>185474453</v>
      </c>
    </row>
    <row r="3209" spans="1:19" x14ac:dyDescent="0.25">
      <c r="A3209" s="1">
        <v>3204</v>
      </c>
      <c r="B3209" s="1" t="s">
        <v>2</v>
      </c>
      <c r="C3209" s="1" t="str">
        <f>IF($B3209 = "Production Item", _xlfn.XLOOKUP($A3209, 'Instrument Table'!$J:$J, 'Instrument Table'!$B:$B, $C3208), IF($B3209 = "Service Item", _xlfn.XLOOKUP($A3209, 'Instrument Table'!$I:$I, 'Instrument Table'!$B:$B, $C3208), _xlfn.XLOOKUP($A3209, 'Instrument Table'!$H:$H, 'Instrument Table'!$B:$B, $C3208)))</f>
        <v>Theremin</v>
      </c>
      <c r="D3209" s="1" t="str">
        <f>VLOOKUP($C3209, 'Instrument Table'!$B:$C, 2, FALSE)</f>
        <v>Other</v>
      </c>
      <c r="E3209" s="1">
        <f t="shared" si="300"/>
        <v>1</v>
      </c>
      <c r="F3209" s="1">
        <f>_xlfn.XLOOKUP($C3209, 'Instrument Table'!$B:$B, 'Instrument Table'!$A:$A, "")</f>
        <v>60</v>
      </c>
      <c r="G3209" s="1" t="str">
        <f>TEXT(IF($B3209 = "Retail Item", IF((ROW($A3209) - 4504 - _xlfn.XMATCH($C3209, $C$4506:$C$5005, 0, 1)) &lt;= VLOOKUP($C3209, 'Instrument Table'!$B:$D, 3, FALSE), ROW($A3209) - 4504 - _xlfn.XMATCH($C3209, $C$4506:$C$5005, 0, 1), 0), 0), "00")</f>
        <v>00</v>
      </c>
      <c r="H3209" s="1" t="str">
        <f t="shared" si="301"/>
        <v>053</v>
      </c>
      <c r="I3209" s="1" t="str">
        <f t="shared" si="302"/>
        <v>16000-053</v>
      </c>
      <c r="J3209" s="1" t="str">
        <f t="shared" si="303"/>
        <v>Theremin production item #053</v>
      </c>
      <c r="K3209" s="1" t="str">
        <f>IF(SUM(COUNTIFS(I:I, I3209)) &gt; 1, "DUPLICATE", "UNIQUE")</f>
        <v>UNIQUE</v>
      </c>
      <c r="L3209" s="18">
        <v>1</v>
      </c>
      <c r="M3209" s="28">
        <v>20</v>
      </c>
      <c r="N3209" s="6">
        <v>400</v>
      </c>
      <c r="O3209" s="30">
        <f t="shared" si="304"/>
        <v>20</v>
      </c>
      <c r="P3209" s="30">
        <f t="shared" si="305"/>
        <v>8000</v>
      </c>
      <c r="Q3209" s="1">
        <f>COUNTIFS($P:$P, "&gt;" &amp; $P3209) + 1</f>
        <v>1985</v>
      </c>
      <c r="R3209" s="63">
        <f>(COUNTIFS($P:$P, "&gt;" &amp; $P3209) + 1) / (COUNTA($I:$I) - 1)</f>
        <v>0.39700000000000002</v>
      </c>
      <c r="S3209" s="23">
        <f>SUMIFS($P:$P, $Q:$Q, "&lt;" &amp; $Q3209)</f>
        <v>179876921</v>
      </c>
    </row>
    <row r="3210" spans="1:19" x14ac:dyDescent="0.25">
      <c r="A3210" s="1">
        <v>3205</v>
      </c>
      <c r="B3210" s="1" t="s">
        <v>2</v>
      </c>
      <c r="C3210" s="1" t="str">
        <f>IF($B3210 = "Production Item", _xlfn.XLOOKUP($A3210, 'Instrument Table'!$J:$J, 'Instrument Table'!$B:$B, $C3209), IF($B3210 = "Service Item", _xlfn.XLOOKUP($A3210, 'Instrument Table'!$I:$I, 'Instrument Table'!$B:$B, $C3209), _xlfn.XLOOKUP($A3210, 'Instrument Table'!$H:$H, 'Instrument Table'!$B:$B, $C3209)))</f>
        <v>Theremin</v>
      </c>
      <c r="D3210" s="1" t="str">
        <f>VLOOKUP($C3210, 'Instrument Table'!$B:$C, 2, FALSE)</f>
        <v>Other</v>
      </c>
      <c r="E3210" s="1">
        <f t="shared" si="300"/>
        <v>1</v>
      </c>
      <c r="F3210" s="1">
        <f>_xlfn.XLOOKUP($C3210, 'Instrument Table'!$B:$B, 'Instrument Table'!$A:$A, "")</f>
        <v>60</v>
      </c>
      <c r="G3210" s="1" t="str">
        <f>TEXT(IF($B3210 = "Retail Item", IF((ROW($A3210) - 4504 - _xlfn.XMATCH($C3210, $C$4506:$C$5005, 0, 1)) &lt;= VLOOKUP($C3210, 'Instrument Table'!$B:$D, 3, FALSE), ROW($A3210) - 4504 - _xlfn.XMATCH($C3210, $C$4506:$C$5005, 0, 1), 0), 0), "00")</f>
        <v>00</v>
      </c>
      <c r="H3210" s="1" t="str">
        <f t="shared" si="301"/>
        <v>054</v>
      </c>
      <c r="I3210" s="1" t="str">
        <f t="shared" si="302"/>
        <v>16000-054</v>
      </c>
      <c r="J3210" s="1" t="str">
        <f t="shared" si="303"/>
        <v>Theremin production item #054</v>
      </c>
      <c r="K3210" s="1" t="str">
        <f>IF(SUM(COUNTIFS(I:I, I3210)) &gt; 1, "DUPLICATE", "UNIQUE")</f>
        <v>UNIQUE</v>
      </c>
      <c r="L3210" s="18">
        <v>2</v>
      </c>
      <c r="M3210" s="28">
        <v>74</v>
      </c>
      <c r="N3210" s="6">
        <v>169</v>
      </c>
      <c r="O3210" s="30">
        <f t="shared" si="304"/>
        <v>148</v>
      </c>
      <c r="P3210" s="30">
        <f t="shared" si="305"/>
        <v>12506</v>
      </c>
      <c r="Q3210" s="1">
        <f>COUNTIFS($P:$P, "&gt;" &amp; $P3210) + 1</f>
        <v>1541</v>
      </c>
      <c r="R3210" s="63">
        <f>(COUNTIFS($P:$P, "&gt;" &amp; $P3210) + 1) / (COUNTA($I:$I) - 1)</f>
        <v>0.30819999999999997</v>
      </c>
      <c r="S3210" s="23">
        <f>SUMIFS($P:$P, $Q:$Q, "&lt;" &amp; $Q3210)</f>
        <v>175363261</v>
      </c>
    </row>
    <row r="3211" spans="1:19" x14ac:dyDescent="0.25">
      <c r="A3211" s="1">
        <v>3206</v>
      </c>
      <c r="B3211" s="1" t="s">
        <v>2</v>
      </c>
      <c r="C3211" s="1" t="str">
        <f>IF($B3211 = "Production Item", _xlfn.XLOOKUP($A3211, 'Instrument Table'!$J:$J, 'Instrument Table'!$B:$B, $C3210), IF($B3211 = "Service Item", _xlfn.XLOOKUP($A3211, 'Instrument Table'!$I:$I, 'Instrument Table'!$B:$B, $C3210), _xlfn.XLOOKUP($A3211, 'Instrument Table'!$H:$H, 'Instrument Table'!$B:$B, $C3210)))</f>
        <v>Theremin</v>
      </c>
      <c r="D3211" s="1" t="str">
        <f>VLOOKUP($C3211, 'Instrument Table'!$B:$C, 2, FALSE)</f>
        <v>Other</v>
      </c>
      <c r="E3211" s="1">
        <f t="shared" si="300"/>
        <v>1</v>
      </c>
      <c r="F3211" s="1">
        <f>_xlfn.XLOOKUP($C3211, 'Instrument Table'!$B:$B, 'Instrument Table'!$A:$A, "")</f>
        <v>60</v>
      </c>
      <c r="G3211" s="1" t="str">
        <f>TEXT(IF($B3211 = "Retail Item", IF((ROW($A3211) - 4504 - _xlfn.XMATCH($C3211, $C$4506:$C$5005, 0, 1)) &lt;= VLOOKUP($C3211, 'Instrument Table'!$B:$D, 3, FALSE), ROW($A3211) - 4504 - _xlfn.XMATCH($C3211, $C$4506:$C$5005, 0, 1), 0), 0), "00")</f>
        <v>00</v>
      </c>
      <c r="H3211" s="1" t="str">
        <f t="shared" si="301"/>
        <v>055</v>
      </c>
      <c r="I3211" s="1" t="str">
        <f t="shared" si="302"/>
        <v>16000-055</v>
      </c>
      <c r="J3211" s="1" t="str">
        <f t="shared" si="303"/>
        <v>Theremin production item #055</v>
      </c>
      <c r="K3211" s="1" t="str">
        <f>IF(SUM(COUNTIFS(I:I, I3211)) &gt; 1, "DUPLICATE", "UNIQUE")</f>
        <v>UNIQUE</v>
      </c>
      <c r="L3211" s="18">
        <v>16</v>
      </c>
      <c r="M3211" s="28">
        <v>34</v>
      </c>
      <c r="N3211" s="6">
        <v>400</v>
      </c>
      <c r="O3211" s="30">
        <f t="shared" si="304"/>
        <v>544</v>
      </c>
      <c r="P3211" s="30">
        <f t="shared" si="305"/>
        <v>13600</v>
      </c>
      <c r="Q3211" s="1">
        <f>COUNTIFS($P:$P, "&gt;" &amp; $P3211) + 1</f>
        <v>1450</v>
      </c>
      <c r="R3211" s="63">
        <f>(COUNTIFS($P:$P, "&gt;" &amp; $P3211) + 1) / (COUNTA($I:$I) - 1)</f>
        <v>0.28999999999999998</v>
      </c>
      <c r="S3211" s="23">
        <f>SUMIFS($P:$P, $Q:$Q, "&lt;" &amp; $Q3211)</f>
        <v>174173105</v>
      </c>
    </row>
    <row r="3212" spans="1:19" x14ac:dyDescent="0.25">
      <c r="A3212" s="1">
        <v>3207</v>
      </c>
      <c r="B3212" s="1" t="s">
        <v>2</v>
      </c>
      <c r="C3212" s="1" t="str">
        <f>IF($B3212 = "Production Item", _xlfn.XLOOKUP($A3212, 'Instrument Table'!$J:$J, 'Instrument Table'!$B:$B, $C3211), IF($B3212 = "Service Item", _xlfn.XLOOKUP($A3212, 'Instrument Table'!$I:$I, 'Instrument Table'!$B:$B, $C3211), _xlfn.XLOOKUP($A3212, 'Instrument Table'!$H:$H, 'Instrument Table'!$B:$B, $C3211)))</f>
        <v>Theremin</v>
      </c>
      <c r="D3212" s="1" t="str">
        <f>VLOOKUP($C3212, 'Instrument Table'!$B:$C, 2, FALSE)</f>
        <v>Other</v>
      </c>
      <c r="E3212" s="1">
        <f t="shared" si="300"/>
        <v>1</v>
      </c>
      <c r="F3212" s="1">
        <f>_xlfn.XLOOKUP($C3212, 'Instrument Table'!$B:$B, 'Instrument Table'!$A:$A, "")</f>
        <v>60</v>
      </c>
      <c r="G3212" s="1" t="str">
        <f>TEXT(IF($B3212 = "Retail Item", IF((ROW($A3212) - 4504 - _xlfn.XMATCH($C3212, $C$4506:$C$5005, 0, 1)) &lt;= VLOOKUP($C3212, 'Instrument Table'!$B:$D, 3, FALSE), ROW($A3212) - 4504 - _xlfn.XMATCH($C3212, $C$4506:$C$5005, 0, 1), 0), 0), "00")</f>
        <v>00</v>
      </c>
      <c r="H3212" s="1" t="str">
        <f t="shared" si="301"/>
        <v>056</v>
      </c>
      <c r="I3212" s="1" t="str">
        <f t="shared" si="302"/>
        <v>16000-056</v>
      </c>
      <c r="J3212" s="1" t="str">
        <f t="shared" si="303"/>
        <v>Theremin production item #056</v>
      </c>
      <c r="K3212" s="1" t="str">
        <f>IF(SUM(COUNTIFS(I:I, I3212)) &gt; 1, "DUPLICATE", "UNIQUE")</f>
        <v>UNIQUE</v>
      </c>
      <c r="L3212" s="18">
        <v>32</v>
      </c>
      <c r="M3212" s="28">
        <v>38</v>
      </c>
      <c r="N3212" s="6">
        <v>0</v>
      </c>
      <c r="O3212" s="30">
        <f t="shared" si="304"/>
        <v>1216</v>
      </c>
      <c r="P3212" s="30">
        <f t="shared" si="305"/>
        <v>0</v>
      </c>
      <c r="Q3212" s="1">
        <f>COUNTIFS($P:$P, "&gt;" &amp; $P3212) + 1</f>
        <v>4746</v>
      </c>
      <c r="R3212" s="63">
        <f>(COUNTIFS($P:$P, "&gt;" &amp; $P3212) + 1) / (COUNTA($I:$I) - 1)</f>
        <v>0.94920000000000004</v>
      </c>
      <c r="S3212" s="23">
        <f>SUMIFS($P:$P, $Q:$Q, "&lt;" &amp; $Q3212)</f>
        <v>186547861</v>
      </c>
    </row>
    <row r="3213" spans="1:19" x14ac:dyDescent="0.25">
      <c r="A3213" s="1">
        <v>3208</v>
      </c>
      <c r="B3213" s="1" t="s">
        <v>2</v>
      </c>
      <c r="C3213" s="1" t="str">
        <f>IF($B3213 = "Production Item", _xlfn.XLOOKUP($A3213, 'Instrument Table'!$J:$J, 'Instrument Table'!$B:$B, $C3212), IF($B3213 = "Service Item", _xlfn.XLOOKUP($A3213, 'Instrument Table'!$I:$I, 'Instrument Table'!$B:$B, $C3212), _xlfn.XLOOKUP($A3213, 'Instrument Table'!$H:$H, 'Instrument Table'!$B:$B, $C3212)))</f>
        <v>Theremin</v>
      </c>
      <c r="D3213" s="1" t="str">
        <f>VLOOKUP($C3213, 'Instrument Table'!$B:$C, 2, FALSE)</f>
        <v>Other</v>
      </c>
      <c r="E3213" s="1">
        <f t="shared" si="300"/>
        <v>1</v>
      </c>
      <c r="F3213" s="1">
        <f>_xlfn.XLOOKUP($C3213, 'Instrument Table'!$B:$B, 'Instrument Table'!$A:$A, "")</f>
        <v>60</v>
      </c>
      <c r="G3213" s="1" t="str">
        <f>TEXT(IF($B3213 = "Retail Item", IF((ROW($A3213) - 4504 - _xlfn.XMATCH($C3213, $C$4506:$C$5005, 0, 1)) &lt;= VLOOKUP($C3213, 'Instrument Table'!$B:$D, 3, FALSE), ROW($A3213) - 4504 - _xlfn.XMATCH($C3213, $C$4506:$C$5005, 0, 1), 0), 0), "00")</f>
        <v>00</v>
      </c>
      <c r="H3213" s="1" t="str">
        <f t="shared" si="301"/>
        <v>057</v>
      </c>
      <c r="I3213" s="1" t="str">
        <f t="shared" si="302"/>
        <v>16000-057</v>
      </c>
      <c r="J3213" s="1" t="str">
        <f t="shared" si="303"/>
        <v>Theremin production item #057</v>
      </c>
      <c r="K3213" s="1" t="str">
        <f>IF(SUM(COUNTIFS(I:I, I3213)) &gt; 1, "DUPLICATE", "UNIQUE")</f>
        <v>UNIQUE</v>
      </c>
      <c r="L3213" s="18">
        <v>0</v>
      </c>
      <c r="M3213" s="28">
        <v>56</v>
      </c>
      <c r="N3213" s="6">
        <v>100</v>
      </c>
      <c r="O3213" s="30">
        <f t="shared" si="304"/>
        <v>0</v>
      </c>
      <c r="P3213" s="30">
        <f t="shared" si="305"/>
        <v>5600</v>
      </c>
      <c r="Q3213" s="1">
        <f>COUNTIFS($P:$P, "&gt;" &amp; $P3213) + 1</f>
        <v>2334</v>
      </c>
      <c r="R3213" s="63">
        <f>(COUNTIFS($P:$P, "&gt;" &amp; $P3213) + 1) / (COUNTA($I:$I) - 1)</f>
        <v>0.46679999999999999</v>
      </c>
      <c r="S3213" s="23">
        <f>SUMIFS($P:$P, $Q:$Q, "&lt;" &amp; $Q3213)</f>
        <v>182258520</v>
      </c>
    </row>
    <row r="3214" spans="1:19" x14ac:dyDescent="0.25">
      <c r="A3214" s="1">
        <v>3209</v>
      </c>
      <c r="B3214" s="1" t="s">
        <v>2</v>
      </c>
      <c r="C3214" s="1" t="str">
        <f>IF($B3214 = "Production Item", _xlfn.XLOOKUP($A3214, 'Instrument Table'!$J:$J, 'Instrument Table'!$B:$B, $C3213), IF($B3214 = "Service Item", _xlfn.XLOOKUP($A3214, 'Instrument Table'!$I:$I, 'Instrument Table'!$B:$B, $C3213), _xlfn.XLOOKUP($A3214, 'Instrument Table'!$H:$H, 'Instrument Table'!$B:$B, $C3213)))</f>
        <v>Theremin</v>
      </c>
      <c r="D3214" s="1" t="str">
        <f>VLOOKUP($C3214, 'Instrument Table'!$B:$C, 2, FALSE)</f>
        <v>Other</v>
      </c>
      <c r="E3214" s="1">
        <f t="shared" si="300"/>
        <v>1</v>
      </c>
      <c r="F3214" s="1">
        <f>_xlfn.XLOOKUP($C3214, 'Instrument Table'!$B:$B, 'Instrument Table'!$A:$A, "")</f>
        <v>60</v>
      </c>
      <c r="G3214" s="1" t="str">
        <f>TEXT(IF($B3214 = "Retail Item", IF((ROW($A3214) - 4504 - _xlfn.XMATCH($C3214, $C$4506:$C$5005, 0, 1)) &lt;= VLOOKUP($C3214, 'Instrument Table'!$B:$D, 3, FALSE), ROW($A3214) - 4504 - _xlfn.XMATCH($C3214, $C$4506:$C$5005, 0, 1), 0), 0), "00")</f>
        <v>00</v>
      </c>
      <c r="H3214" s="1" t="str">
        <f t="shared" si="301"/>
        <v>058</v>
      </c>
      <c r="I3214" s="1" t="str">
        <f t="shared" si="302"/>
        <v>16000-058</v>
      </c>
      <c r="J3214" s="1" t="str">
        <f t="shared" si="303"/>
        <v>Theremin production item #058</v>
      </c>
      <c r="K3214" s="1" t="str">
        <f>IF(SUM(COUNTIFS(I:I, I3214)) &gt; 1, "DUPLICATE", "UNIQUE")</f>
        <v>UNIQUE</v>
      </c>
      <c r="L3214" s="18">
        <v>2</v>
      </c>
      <c r="M3214" s="28">
        <v>4</v>
      </c>
      <c r="N3214" s="6">
        <v>81</v>
      </c>
      <c r="O3214" s="30">
        <f t="shared" si="304"/>
        <v>8</v>
      </c>
      <c r="P3214" s="30">
        <f t="shared" si="305"/>
        <v>324</v>
      </c>
      <c r="Q3214" s="1">
        <f>COUNTIFS($P:$P, "&gt;" &amp; $P3214) + 1</f>
        <v>4180</v>
      </c>
      <c r="R3214" s="63">
        <f>(COUNTIFS($P:$P, "&gt;" &amp; $P3214) + 1) / (COUNTA($I:$I) - 1)</f>
        <v>0.83599999999999997</v>
      </c>
      <c r="S3214" s="23">
        <f>SUMIFS($P:$P, $Q:$Q, "&lt;" &amp; $Q3214)</f>
        <v>186473950</v>
      </c>
    </row>
    <row r="3215" spans="1:19" x14ac:dyDescent="0.25">
      <c r="A3215" s="1">
        <v>3210</v>
      </c>
      <c r="B3215" s="1" t="s">
        <v>2</v>
      </c>
      <c r="C3215" s="1" t="str">
        <f>IF($B3215 = "Production Item", _xlfn.XLOOKUP($A3215, 'Instrument Table'!$J:$J, 'Instrument Table'!$B:$B, $C3214), IF($B3215 = "Service Item", _xlfn.XLOOKUP($A3215, 'Instrument Table'!$I:$I, 'Instrument Table'!$B:$B, $C3214), _xlfn.XLOOKUP($A3215, 'Instrument Table'!$H:$H, 'Instrument Table'!$B:$B, $C3214)))</f>
        <v>Theremin</v>
      </c>
      <c r="D3215" s="1" t="str">
        <f>VLOOKUP($C3215, 'Instrument Table'!$B:$C, 2, FALSE)</f>
        <v>Other</v>
      </c>
      <c r="E3215" s="1">
        <f t="shared" si="300"/>
        <v>1</v>
      </c>
      <c r="F3215" s="1">
        <f>_xlfn.XLOOKUP($C3215, 'Instrument Table'!$B:$B, 'Instrument Table'!$A:$A, "")</f>
        <v>60</v>
      </c>
      <c r="G3215" s="1" t="str">
        <f>TEXT(IF($B3215 = "Retail Item", IF((ROW($A3215) - 4504 - _xlfn.XMATCH($C3215, $C$4506:$C$5005, 0, 1)) &lt;= VLOOKUP($C3215, 'Instrument Table'!$B:$D, 3, FALSE), ROW($A3215) - 4504 - _xlfn.XMATCH($C3215, $C$4506:$C$5005, 0, 1), 0), 0), "00")</f>
        <v>00</v>
      </c>
      <c r="H3215" s="1" t="str">
        <f t="shared" si="301"/>
        <v>059</v>
      </c>
      <c r="I3215" s="1" t="str">
        <f t="shared" si="302"/>
        <v>16000-059</v>
      </c>
      <c r="J3215" s="1" t="str">
        <f t="shared" si="303"/>
        <v>Theremin production item #059</v>
      </c>
      <c r="K3215" s="1" t="str">
        <f>IF(SUM(COUNTIFS(I:I, I3215)) &gt; 1, "DUPLICATE", "UNIQUE")</f>
        <v>UNIQUE</v>
      </c>
      <c r="L3215" s="18">
        <v>0</v>
      </c>
      <c r="M3215" s="28">
        <v>17</v>
      </c>
      <c r="N3215" s="6">
        <v>196</v>
      </c>
      <c r="O3215" s="30">
        <f t="shared" si="304"/>
        <v>0</v>
      </c>
      <c r="P3215" s="30">
        <f t="shared" si="305"/>
        <v>3332</v>
      </c>
      <c r="Q3215" s="1">
        <f>COUNTIFS($P:$P, "&gt;" &amp; $P3215) + 1</f>
        <v>2815</v>
      </c>
      <c r="R3215" s="63">
        <f>(COUNTIFS($P:$P, "&gt;" &amp; $P3215) + 1) / (COUNTA($I:$I) - 1)</f>
        <v>0.56299999999999994</v>
      </c>
      <c r="S3215" s="23">
        <f>SUMIFS($P:$P, $Q:$Q, "&lt;" &amp; $Q3215)</f>
        <v>184376723</v>
      </c>
    </row>
    <row r="3216" spans="1:19" x14ac:dyDescent="0.25">
      <c r="A3216" s="1">
        <v>3211</v>
      </c>
      <c r="B3216" s="1" t="s">
        <v>2</v>
      </c>
      <c r="C3216" s="1" t="str">
        <f>IF($B3216 = "Production Item", _xlfn.XLOOKUP($A3216, 'Instrument Table'!$J:$J, 'Instrument Table'!$B:$B, $C3215), IF($B3216 = "Service Item", _xlfn.XLOOKUP($A3216, 'Instrument Table'!$I:$I, 'Instrument Table'!$B:$B, $C3215), _xlfn.XLOOKUP($A3216, 'Instrument Table'!$H:$H, 'Instrument Table'!$B:$B, $C3215)))</f>
        <v>Theremin</v>
      </c>
      <c r="D3216" s="1" t="str">
        <f>VLOOKUP($C3216, 'Instrument Table'!$B:$C, 2, FALSE)</f>
        <v>Other</v>
      </c>
      <c r="E3216" s="1">
        <f t="shared" si="300"/>
        <v>1</v>
      </c>
      <c r="F3216" s="1">
        <f>_xlfn.XLOOKUP($C3216, 'Instrument Table'!$B:$B, 'Instrument Table'!$A:$A, "")</f>
        <v>60</v>
      </c>
      <c r="G3216" s="1" t="str">
        <f>TEXT(IF($B3216 = "Retail Item", IF((ROW($A3216) - 4504 - _xlfn.XMATCH($C3216, $C$4506:$C$5005, 0, 1)) &lt;= VLOOKUP($C3216, 'Instrument Table'!$B:$D, 3, FALSE), ROW($A3216) - 4504 - _xlfn.XMATCH($C3216, $C$4506:$C$5005, 0, 1), 0), 0), "00")</f>
        <v>00</v>
      </c>
      <c r="H3216" s="1" t="str">
        <f t="shared" si="301"/>
        <v>060</v>
      </c>
      <c r="I3216" s="1" t="str">
        <f t="shared" si="302"/>
        <v>16000-060</v>
      </c>
      <c r="J3216" s="1" t="str">
        <f t="shared" si="303"/>
        <v>Theremin production item #060</v>
      </c>
      <c r="K3216" s="1" t="str">
        <f>IF(SUM(COUNTIFS(I:I, I3216)) &gt; 1, "DUPLICATE", "UNIQUE")</f>
        <v>UNIQUE</v>
      </c>
      <c r="L3216" s="18">
        <v>1</v>
      </c>
      <c r="M3216" s="28">
        <v>100</v>
      </c>
      <c r="N3216" s="6">
        <v>361</v>
      </c>
      <c r="O3216" s="30">
        <f t="shared" si="304"/>
        <v>100</v>
      </c>
      <c r="P3216" s="30">
        <f t="shared" si="305"/>
        <v>36100</v>
      </c>
      <c r="Q3216" s="1">
        <f>COUNTIFS($P:$P, "&gt;" &amp; $P3216) + 1</f>
        <v>587</v>
      </c>
      <c r="R3216" s="63">
        <f>(COUNTIFS($P:$P, "&gt;" &amp; $P3216) + 1) / (COUNTA($I:$I) - 1)</f>
        <v>0.1174</v>
      </c>
      <c r="S3216" s="23">
        <f>SUMIFS($P:$P, $Q:$Q, "&lt;" &amp; $Q3216)</f>
        <v>155404269</v>
      </c>
    </row>
    <row r="3217" spans="1:19" x14ac:dyDescent="0.25">
      <c r="A3217" s="1">
        <v>3212</v>
      </c>
      <c r="B3217" s="1" t="s">
        <v>2</v>
      </c>
      <c r="C3217" s="1" t="str">
        <f>IF($B3217 = "Production Item", _xlfn.XLOOKUP($A3217, 'Instrument Table'!$J:$J, 'Instrument Table'!$B:$B, $C3216), IF($B3217 = "Service Item", _xlfn.XLOOKUP($A3217, 'Instrument Table'!$I:$I, 'Instrument Table'!$B:$B, $C3216), _xlfn.XLOOKUP($A3217, 'Instrument Table'!$H:$H, 'Instrument Table'!$B:$B, $C3216)))</f>
        <v>Theremin</v>
      </c>
      <c r="D3217" s="1" t="str">
        <f>VLOOKUP($C3217, 'Instrument Table'!$B:$C, 2, FALSE)</f>
        <v>Other</v>
      </c>
      <c r="E3217" s="1">
        <f t="shared" si="300"/>
        <v>1</v>
      </c>
      <c r="F3217" s="1">
        <f>_xlfn.XLOOKUP($C3217, 'Instrument Table'!$B:$B, 'Instrument Table'!$A:$A, "")</f>
        <v>60</v>
      </c>
      <c r="G3217" s="1" t="str">
        <f>TEXT(IF($B3217 = "Retail Item", IF((ROW($A3217) - 4504 - _xlfn.XMATCH($C3217, $C$4506:$C$5005, 0, 1)) &lt;= VLOOKUP($C3217, 'Instrument Table'!$B:$D, 3, FALSE), ROW($A3217) - 4504 - _xlfn.XMATCH($C3217, $C$4506:$C$5005, 0, 1), 0), 0), "00")</f>
        <v>00</v>
      </c>
      <c r="H3217" s="1" t="str">
        <f t="shared" si="301"/>
        <v>061</v>
      </c>
      <c r="I3217" s="1" t="str">
        <f t="shared" si="302"/>
        <v>16000-061</v>
      </c>
      <c r="J3217" s="1" t="str">
        <f t="shared" si="303"/>
        <v>Theremin production item #061</v>
      </c>
      <c r="K3217" s="1" t="str">
        <f>IF(SUM(COUNTIFS(I:I, I3217)) &gt; 1, "DUPLICATE", "UNIQUE")</f>
        <v>UNIQUE</v>
      </c>
      <c r="L3217" s="18">
        <v>1</v>
      </c>
      <c r="M3217" s="28">
        <v>3</v>
      </c>
      <c r="N3217" s="6">
        <v>100</v>
      </c>
      <c r="O3217" s="30">
        <f t="shared" si="304"/>
        <v>3</v>
      </c>
      <c r="P3217" s="30">
        <f t="shared" si="305"/>
        <v>300</v>
      </c>
      <c r="Q3217" s="1">
        <f>COUNTIFS($P:$P, "&gt;" &amp; $P3217) + 1</f>
        <v>4215</v>
      </c>
      <c r="R3217" s="63">
        <f>(COUNTIFS($P:$P, "&gt;" &amp; $P3217) + 1) / (COUNTA($I:$I) - 1)</f>
        <v>0.84299999999999997</v>
      </c>
      <c r="S3217" s="23">
        <f>SUMIFS($P:$P, $Q:$Q, "&lt;" &amp; $Q3217)</f>
        <v>186485027</v>
      </c>
    </row>
    <row r="3218" spans="1:19" x14ac:dyDescent="0.25">
      <c r="A3218" s="1">
        <v>3213</v>
      </c>
      <c r="B3218" s="1" t="s">
        <v>2</v>
      </c>
      <c r="C3218" s="1" t="str">
        <f>IF($B3218 = "Production Item", _xlfn.XLOOKUP($A3218, 'Instrument Table'!$J:$J, 'Instrument Table'!$B:$B, $C3217), IF($B3218 = "Service Item", _xlfn.XLOOKUP($A3218, 'Instrument Table'!$I:$I, 'Instrument Table'!$B:$B, $C3217), _xlfn.XLOOKUP($A3218, 'Instrument Table'!$H:$H, 'Instrument Table'!$B:$B, $C3217)))</f>
        <v>Theremin</v>
      </c>
      <c r="D3218" s="1" t="str">
        <f>VLOOKUP($C3218, 'Instrument Table'!$B:$C, 2, FALSE)</f>
        <v>Other</v>
      </c>
      <c r="E3218" s="1">
        <f t="shared" si="300"/>
        <v>1</v>
      </c>
      <c r="F3218" s="1">
        <f>_xlfn.XLOOKUP($C3218, 'Instrument Table'!$B:$B, 'Instrument Table'!$A:$A, "")</f>
        <v>60</v>
      </c>
      <c r="G3218" s="1" t="str">
        <f>TEXT(IF($B3218 = "Retail Item", IF((ROW($A3218) - 4504 - _xlfn.XMATCH($C3218, $C$4506:$C$5005, 0, 1)) &lt;= VLOOKUP($C3218, 'Instrument Table'!$B:$D, 3, FALSE), ROW($A3218) - 4504 - _xlfn.XMATCH($C3218, $C$4506:$C$5005, 0, 1), 0), 0), "00")</f>
        <v>00</v>
      </c>
      <c r="H3218" s="1" t="str">
        <f t="shared" si="301"/>
        <v>062</v>
      </c>
      <c r="I3218" s="1" t="str">
        <f t="shared" si="302"/>
        <v>16000-062</v>
      </c>
      <c r="J3218" s="1" t="str">
        <f t="shared" si="303"/>
        <v>Theremin production item #062</v>
      </c>
      <c r="K3218" s="1" t="str">
        <f>IF(SUM(COUNTIFS(I:I, I3218)) &gt; 1, "DUPLICATE", "UNIQUE")</f>
        <v>UNIQUE</v>
      </c>
      <c r="L3218" s="18">
        <v>1</v>
      </c>
      <c r="M3218" s="28">
        <v>68</v>
      </c>
      <c r="N3218" s="6">
        <v>64</v>
      </c>
      <c r="O3218" s="30">
        <f t="shared" si="304"/>
        <v>68</v>
      </c>
      <c r="P3218" s="30">
        <f t="shared" si="305"/>
        <v>4352</v>
      </c>
      <c r="Q3218" s="1">
        <f>COUNTIFS($P:$P, "&gt;" &amp; $P3218) + 1</f>
        <v>2576</v>
      </c>
      <c r="R3218" s="63">
        <f>(COUNTIFS($P:$P, "&gt;" &amp; $P3218) + 1) / (COUNTA($I:$I) - 1)</f>
        <v>0.51519999999999999</v>
      </c>
      <c r="S3218" s="23">
        <f>SUMIFS($P:$P, $Q:$Q, "&lt;" &amp; $Q3218)</f>
        <v>183460086</v>
      </c>
    </row>
    <row r="3219" spans="1:19" x14ac:dyDescent="0.25">
      <c r="A3219" s="1">
        <v>3214</v>
      </c>
      <c r="B3219" s="1" t="s">
        <v>2</v>
      </c>
      <c r="C3219" s="1" t="str">
        <f>IF($B3219 = "Production Item", _xlfn.XLOOKUP($A3219, 'Instrument Table'!$J:$J, 'Instrument Table'!$B:$B, $C3218), IF($B3219 = "Service Item", _xlfn.XLOOKUP($A3219, 'Instrument Table'!$I:$I, 'Instrument Table'!$B:$B, $C3218), _xlfn.XLOOKUP($A3219, 'Instrument Table'!$H:$H, 'Instrument Table'!$B:$B, $C3218)))</f>
        <v>Theremin</v>
      </c>
      <c r="D3219" s="1" t="str">
        <f>VLOOKUP($C3219, 'Instrument Table'!$B:$C, 2, FALSE)</f>
        <v>Other</v>
      </c>
      <c r="E3219" s="1">
        <f t="shared" si="300"/>
        <v>1</v>
      </c>
      <c r="F3219" s="1">
        <f>_xlfn.XLOOKUP($C3219, 'Instrument Table'!$B:$B, 'Instrument Table'!$A:$A, "")</f>
        <v>60</v>
      </c>
      <c r="G3219" s="1" t="str">
        <f>TEXT(IF($B3219 = "Retail Item", IF((ROW($A3219) - 4504 - _xlfn.XMATCH($C3219, $C$4506:$C$5005, 0, 1)) &lt;= VLOOKUP($C3219, 'Instrument Table'!$B:$D, 3, FALSE), ROW($A3219) - 4504 - _xlfn.XMATCH($C3219, $C$4506:$C$5005, 0, 1), 0), 0), "00")</f>
        <v>00</v>
      </c>
      <c r="H3219" s="1" t="str">
        <f t="shared" si="301"/>
        <v>063</v>
      </c>
      <c r="I3219" s="1" t="str">
        <f t="shared" si="302"/>
        <v>16000-063</v>
      </c>
      <c r="J3219" s="1" t="str">
        <f t="shared" si="303"/>
        <v>Theremin production item #063</v>
      </c>
      <c r="K3219" s="1" t="str">
        <f>IF(SUM(COUNTIFS(I:I, I3219)) &gt; 1, "DUPLICATE", "UNIQUE")</f>
        <v>UNIQUE</v>
      </c>
      <c r="L3219" s="18">
        <v>4</v>
      </c>
      <c r="M3219" s="28">
        <v>61</v>
      </c>
      <c r="N3219" s="6">
        <v>196</v>
      </c>
      <c r="O3219" s="30">
        <f t="shared" si="304"/>
        <v>244</v>
      </c>
      <c r="P3219" s="30">
        <f t="shared" si="305"/>
        <v>11956</v>
      </c>
      <c r="Q3219" s="1">
        <f>COUNTIFS($P:$P, "&gt;" &amp; $P3219) + 1</f>
        <v>1586</v>
      </c>
      <c r="R3219" s="63">
        <f>(COUNTIFS($P:$P, "&gt;" &amp; $P3219) + 1) / (COUNTA($I:$I) - 1)</f>
        <v>0.31719999999999998</v>
      </c>
      <c r="S3219" s="23">
        <f>SUMIFS($P:$P, $Q:$Q, "&lt;" &amp; $Q3219)</f>
        <v>175912338</v>
      </c>
    </row>
    <row r="3220" spans="1:19" x14ac:dyDescent="0.25">
      <c r="A3220" s="1">
        <v>3215</v>
      </c>
      <c r="B3220" s="1" t="s">
        <v>2</v>
      </c>
      <c r="C3220" s="1" t="str">
        <f>IF($B3220 = "Production Item", _xlfn.XLOOKUP($A3220, 'Instrument Table'!$J:$J, 'Instrument Table'!$B:$B, $C3219), IF($B3220 = "Service Item", _xlfn.XLOOKUP($A3220, 'Instrument Table'!$I:$I, 'Instrument Table'!$B:$B, $C3219), _xlfn.XLOOKUP($A3220, 'Instrument Table'!$H:$H, 'Instrument Table'!$B:$B, $C3219)))</f>
        <v>Theremin</v>
      </c>
      <c r="D3220" s="1" t="str">
        <f>VLOOKUP($C3220, 'Instrument Table'!$B:$C, 2, FALSE)</f>
        <v>Other</v>
      </c>
      <c r="E3220" s="1">
        <f t="shared" si="300"/>
        <v>1</v>
      </c>
      <c r="F3220" s="1">
        <f>_xlfn.XLOOKUP($C3220, 'Instrument Table'!$B:$B, 'Instrument Table'!$A:$A, "")</f>
        <v>60</v>
      </c>
      <c r="G3220" s="1" t="str">
        <f>TEXT(IF($B3220 = "Retail Item", IF((ROW($A3220) - 4504 - _xlfn.XMATCH($C3220, $C$4506:$C$5005, 0, 1)) &lt;= VLOOKUP($C3220, 'Instrument Table'!$B:$D, 3, FALSE), ROW($A3220) - 4504 - _xlfn.XMATCH($C3220, $C$4506:$C$5005, 0, 1), 0), 0), "00")</f>
        <v>00</v>
      </c>
      <c r="H3220" s="1" t="str">
        <f t="shared" si="301"/>
        <v>064</v>
      </c>
      <c r="I3220" s="1" t="str">
        <f t="shared" si="302"/>
        <v>16000-064</v>
      </c>
      <c r="J3220" s="1" t="str">
        <f t="shared" si="303"/>
        <v>Theremin production item #064</v>
      </c>
      <c r="K3220" s="1" t="str">
        <f>IF(SUM(COUNTIFS(I:I, I3220)) &gt; 1, "DUPLICATE", "UNIQUE")</f>
        <v>UNIQUE</v>
      </c>
      <c r="L3220" s="18">
        <v>0</v>
      </c>
      <c r="M3220" s="28">
        <v>99</v>
      </c>
      <c r="N3220" s="6">
        <v>256</v>
      </c>
      <c r="O3220" s="30">
        <f t="shared" si="304"/>
        <v>0</v>
      </c>
      <c r="P3220" s="30">
        <f t="shared" si="305"/>
        <v>25344</v>
      </c>
      <c r="Q3220" s="1">
        <f>COUNTIFS($P:$P, "&gt;" &amp; $P3220) + 1</f>
        <v>814</v>
      </c>
      <c r="R3220" s="63">
        <f>(COUNTIFS($P:$P, "&gt;" &amp; $P3220) + 1) / (COUNTA($I:$I) - 1)</f>
        <v>0.1628</v>
      </c>
      <c r="S3220" s="23">
        <f>SUMIFS($P:$P, $Q:$Q, "&lt;" &amp; $Q3220)</f>
        <v>162186561</v>
      </c>
    </row>
    <row r="3221" spans="1:19" x14ac:dyDescent="0.25">
      <c r="A3221" s="1">
        <v>3216</v>
      </c>
      <c r="B3221" s="1" t="s">
        <v>2</v>
      </c>
      <c r="C3221" s="1" t="str">
        <f>IF($B3221 = "Production Item", _xlfn.XLOOKUP($A3221, 'Instrument Table'!$J:$J, 'Instrument Table'!$B:$B, $C3220), IF($B3221 = "Service Item", _xlfn.XLOOKUP($A3221, 'Instrument Table'!$I:$I, 'Instrument Table'!$B:$B, $C3220), _xlfn.XLOOKUP($A3221, 'Instrument Table'!$H:$H, 'Instrument Table'!$B:$B, $C3220)))</f>
        <v>Theremin</v>
      </c>
      <c r="D3221" s="1" t="str">
        <f>VLOOKUP($C3221, 'Instrument Table'!$B:$C, 2, FALSE)</f>
        <v>Other</v>
      </c>
      <c r="E3221" s="1">
        <f t="shared" si="300"/>
        <v>1</v>
      </c>
      <c r="F3221" s="1">
        <f>_xlfn.XLOOKUP($C3221, 'Instrument Table'!$B:$B, 'Instrument Table'!$A:$A, "")</f>
        <v>60</v>
      </c>
      <c r="G3221" s="1" t="str">
        <f>TEXT(IF($B3221 = "Retail Item", IF((ROW($A3221) - 4504 - _xlfn.XMATCH($C3221, $C$4506:$C$5005, 0, 1)) &lt;= VLOOKUP($C3221, 'Instrument Table'!$B:$D, 3, FALSE), ROW($A3221) - 4504 - _xlfn.XMATCH($C3221, $C$4506:$C$5005, 0, 1), 0), 0), "00")</f>
        <v>00</v>
      </c>
      <c r="H3221" s="1" t="str">
        <f t="shared" si="301"/>
        <v>065</v>
      </c>
      <c r="I3221" s="1" t="str">
        <f t="shared" si="302"/>
        <v>16000-065</v>
      </c>
      <c r="J3221" s="1" t="str">
        <f t="shared" si="303"/>
        <v>Theremin production item #065</v>
      </c>
      <c r="K3221" s="1" t="str">
        <f>IF(SUM(COUNTIFS(I:I, I3221)) &gt; 1, "DUPLICATE", "UNIQUE")</f>
        <v>UNIQUE</v>
      </c>
      <c r="L3221" s="18">
        <v>0</v>
      </c>
      <c r="M3221" s="28">
        <v>44</v>
      </c>
      <c r="N3221" s="6">
        <v>361</v>
      </c>
      <c r="O3221" s="30">
        <f t="shared" si="304"/>
        <v>0</v>
      </c>
      <c r="P3221" s="30">
        <f t="shared" si="305"/>
        <v>15884</v>
      </c>
      <c r="Q3221" s="1">
        <f>COUNTIFS($P:$P, "&gt;" &amp; $P3221) + 1</f>
        <v>1284</v>
      </c>
      <c r="R3221" s="63">
        <f>(COUNTIFS($P:$P, "&gt;" &amp; $P3221) + 1) / (COUNTA($I:$I) - 1)</f>
        <v>0.25679999999999997</v>
      </c>
      <c r="S3221" s="23">
        <f>SUMIFS($P:$P, $Q:$Q, "&lt;" &amp; $Q3221)</f>
        <v>171720645</v>
      </c>
    </row>
    <row r="3222" spans="1:19" x14ac:dyDescent="0.25">
      <c r="A3222" s="1">
        <v>3217</v>
      </c>
      <c r="B3222" s="1" t="s">
        <v>2</v>
      </c>
      <c r="C3222" s="1" t="str">
        <f>IF($B3222 = "Production Item", _xlfn.XLOOKUP($A3222, 'Instrument Table'!$J:$J, 'Instrument Table'!$B:$B, $C3221), IF($B3222 = "Service Item", _xlfn.XLOOKUP($A3222, 'Instrument Table'!$I:$I, 'Instrument Table'!$B:$B, $C3221), _xlfn.XLOOKUP($A3222, 'Instrument Table'!$H:$H, 'Instrument Table'!$B:$B, $C3221)))</f>
        <v>Theremin</v>
      </c>
      <c r="D3222" s="1" t="str">
        <f>VLOOKUP($C3222, 'Instrument Table'!$B:$C, 2, FALSE)</f>
        <v>Other</v>
      </c>
      <c r="E3222" s="1">
        <f t="shared" si="300"/>
        <v>1</v>
      </c>
      <c r="F3222" s="1">
        <f>_xlfn.XLOOKUP($C3222, 'Instrument Table'!$B:$B, 'Instrument Table'!$A:$A, "")</f>
        <v>60</v>
      </c>
      <c r="G3222" s="1" t="str">
        <f>TEXT(IF($B3222 = "Retail Item", IF((ROW($A3222) - 4504 - _xlfn.XMATCH($C3222, $C$4506:$C$5005, 0, 1)) &lt;= VLOOKUP($C3222, 'Instrument Table'!$B:$D, 3, FALSE), ROW($A3222) - 4504 - _xlfn.XMATCH($C3222, $C$4506:$C$5005, 0, 1), 0), 0), "00")</f>
        <v>00</v>
      </c>
      <c r="H3222" s="1" t="str">
        <f t="shared" si="301"/>
        <v>066</v>
      </c>
      <c r="I3222" s="1" t="str">
        <f t="shared" si="302"/>
        <v>16000-066</v>
      </c>
      <c r="J3222" s="1" t="str">
        <f t="shared" si="303"/>
        <v>Theremin production item #066</v>
      </c>
      <c r="K3222" s="1" t="str">
        <f>IF(SUM(COUNTIFS(I:I, I3222)) &gt; 1, "DUPLICATE", "UNIQUE")</f>
        <v>UNIQUE</v>
      </c>
      <c r="L3222" s="18">
        <v>0</v>
      </c>
      <c r="M3222" s="28">
        <v>84</v>
      </c>
      <c r="N3222" s="6">
        <v>169</v>
      </c>
      <c r="O3222" s="30">
        <f t="shared" si="304"/>
        <v>0</v>
      </c>
      <c r="P3222" s="30">
        <f t="shared" si="305"/>
        <v>14196</v>
      </c>
      <c r="Q3222" s="1">
        <f>COUNTIFS($P:$P, "&gt;" &amp; $P3222) + 1</f>
        <v>1403</v>
      </c>
      <c r="R3222" s="63">
        <f>(COUNTIFS($P:$P, "&gt;" &amp; $P3222) + 1) / (COUNTA($I:$I) - 1)</f>
        <v>0.28060000000000002</v>
      </c>
      <c r="S3222" s="23">
        <f>SUMIFS($P:$P, $Q:$Q, "&lt;" &amp; $Q3222)</f>
        <v>173518717</v>
      </c>
    </row>
    <row r="3223" spans="1:19" x14ac:dyDescent="0.25">
      <c r="A3223" s="1">
        <v>3218</v>
      </c>
      <c r="B3223" s="1" t="s">
        <v>2</v>
      </c>
      <c r="C3223" s="1" t="str">
        <f>IF($B3223 = "Production Item", _xlfn.XLOOKUP($A3223, 'Instrument Table'!$J:$J, 'Instrument Table'!$B:$B, $C3222), IF($B3223 = "Service Item", _xlfn.XLOOKUP($A3223, 'Instrument Table'!$I:$I, 'Instrument Table'!$B:$B, $C3222), _xlfn.XLOOKUP($A3223, 'Instrument Table'!$H:$H, 'Instrument Table'!$B:$B, $C3222)))</f>
        <v>Theremin</v>
      </c>
      <c r="D3223" s="1" t="str">
        <f>VLOOKUP($C3223, 'Instrument Table'!$B:$C, 2, FALSE)</f>
        <v>Other</v>
      </c>
      <c r="E3223" s="1">
        <f t="shared" si="300"/>
        <v>1</v>
      </c>
      <c r="F3223" s="1">
        <f>_xlfn.XLOOKUP($C3223, 'Instrument Table'!$B:$B, 'Instrument Table'!$A:$A, "")</f>
        <v>60</v>
      </c>
      <c r="G3223" s="1" t="str">
        <f>TEXT(IF($B3223 = "Retail Item", IF((ROW($A3223) - 4504 - _xlfn.XMATCH($C3223, $C$4506:$C$5005, 0, 1)) &lt;= VLOOKUP($C3223, 'Instrument Table'!$B:$D, 3, FALSE), ROW($A3223) - 4504 - _xlfn.XMATCH($C3223, $C$4506:$C$5005, 0, 1), 0), 0), "00")</f>
        <v>00</v>
      </c>
      <c r="H3223" s="1" t="str">
        <f t="shared" si="301"/>
        <v>067</v>
      </c>
      <c r="I3223" s="1" t="str">
        <f t="shared" si="302"/>
        <v>16000-067</v>
      </c>
      <c r="J3223" s="1" t="str">
        <f t="shared" si="303"/>
        <v>Theremin production item #067</v>
      </c>
      <c r="K3223" s="1" t="str">
        <f>IF(SUM(COUNTIFS(I:I, I3223)) &gt; 1, "DUPLICATE", "UNIQUE")</f>
        <v>UNIQUE</v>
      </c>
      <c r="L3223" s="18">
        <v>1</v>
      </c>
      <c r="M3223" s="28">
        <v>62</v>
      </c>
      <c r="N3223" s="6">
        <v>324</v>
      </c>
      <c r="O3223" s="30">
        <f t="shared" si="304"/>
        <v>62</v>
      </c>
      <c r="P3223" s="30">
        <f t="shared" si="305"/>
        <v>20088</v>
      </c>
      <c r="Q3223" s="1">
        <f>COUNTIFS($P:$P, "&gt;" &amp; $P3223) + 1</f>
        <v>1053</v>
      </c>
      <c r="R3223" s="63">
        <f>(COUNTIFS($P:$P, "&gt;" &amp; $P3223) + 1) / (COUNTA($I:$I) - 1)</f>
        <v>0.21060000000000001</v>
      </c>
      <c r="S3223" s="23">
        <f>SUMIFS($P:$P, $Q:$Q, "&lt;" &amp; $Q3223)</f>
        <v>167583060</v>
      </c>
    </row>
    <row r="3224" spans="1:19" x14ac:dyDescent="0.25">
      <c r="A3224" s="1">
        <v>3219</v>
      </c>
      <c r="B3224" s="1" t="s">
        <v>2</v>
      </c>
      <c r="C3224" s="1" t="str">
        <f>IF($B3224 = "Production Item", _xlfn.XLOOKUP($A3224, 'Instrument Table'!$J:$J, 'Instrument Table'!$B:$B, $C3223), IF($B3224 = "Service Item", _xlfn.XLOOKUP($A3224, 'Instrument Table'!$I:$I, 'Instrument Table'!$B:$B, $C3223), _xlfn.XLOOKUP($A3224, 'Instrument Table'!$H:$H, 'Instrument Table'!$B:$B, $C3223)))</f>
        <v>Theremin</v>
      </c>
      <c r="D3224" s="1" t="str">
        <f>VLOOKUP($C3224, 'Instrument Table'!$B:$C, 2, FALSE)</f>
        <v>Other</v>
      </c>
      <c r="E3224" s="1">
        <f t="shared" si="300"/>
        <v>1</v>
      </c>
      <c r="F3224" s="1">
        <f>_xlfn.XLOOKUP($C3224, 'Instrument Table'!$B:$B, 'Instrument Table'!$A:$A, "")</f>
        <v>60</v>
      </c>
      <c r="G3224" s="1" t="str">
        <f>TEXT(IF($B3224 = "Retail Item", IF((ROW($A3224) - 4504 - _xlfn.XMATCH($C3224, $C$4506:$C$5005, 0, 1)) &lt;= VLOOKUP($C3224, 'Instrument Table'!$B:$D, 3, FALSE), ROW($A3224) - 4504 - _xlfn.XMATCH($C3224, $C$4506:$C$5005, 0, 1), 0), 0), "00")</f>
        <v>00</v>
      </c>
      <c r="H3224" s="1" t="str">
        <f t="shared" si="301"/>
        <v>068</v>
      </c>
      <c r="I3224" s="1" t="str">
        <f t="shared" si="302"/>
        <v>16000-068</v>
      </c>
      <c r="J3224" s="1" t="str">
        <f t="shared" si="303"/>
        <v>Theremin production item #068</v>
      </c>
      <c r="K3224" s="1" t="str">
        <f>IF(SUM(COUNTIFS(I:I, I3224)) &gt; 1, "DUPLICATE", "UNIQUE")</f>
        <v>UNIQUE</v>
      </c>
      <c r="L3224" s="18">
        <v>16</v>
      </c>
      <c r="M3224" s="28">
        <v>22</v>
      </c>
      <c r="N3224" s="6">
        <v>81</v>
      </c>
      <c r="O3224" s="30">
        <f t="shared" si="304"/>
        <v>352</v>
      </c>
      <c r="P3224" s="30">
        <f t="shared" si="305"/>
        <v>1782</v>
      </c>
      <c r="Q3224" s="1">
        <f>COUNTIFS($P:$P, "&gt;" &amp; $P3224) + 1</f>
        <v>3346</v>
      </c>
      <c r="R3224" s="63">
        <f>(COUNTIFS($P:$P, "&gt;" &amp; $P3224) + 1) / (COUNTA($I:$I) - 1)</f>
        <v>0.66920000000000002</v>
      </c>
      <c r="S3224" s="23">
        <f>SUMIFS($P:$P, $Q:$Q, "&lt;" &amp; $Q3224)</f>
        <v>185693325</v>
      </c>
    </row>
    <row r="3225" spans="1:19" x14ac:dyDescent="0.25">
      <c r="A3225" s="1">
        <v>3220</v>
      </c>
      <c r="B3225" s="1" t="s">
        <v>2</v>
      </c>
      <c r="C3225" s="1" t="str">
        <f>IF($B3225 = "Production Item", _xlfn.XLOOKUP($A3225, 'Instrument Table'!$J:$J, 'Instrument Table'!$B:$B, $C3224), IF($B3225 = "Service Item", _xlfn.XLOOKUP($A3225, 'Instrument Table'!$I:$I, 'Instrument Table'!$B:$B, $C3224), _xlfn.XLOOKUP($A3225, 'Instrument Table'!$H:$H, 'Instrument Table'!$B:$B, $C3224)))</f>
        <v>Theremin</v>
      </c>
      <c r="D3225" s="1" t="str">
        <f>VLOOKUP($C3225, 'Instrument Table'!$B:$C, 2, FALSE)</f>
        <v>Other</v>
      </c>
      <c r="E3225" s="1">
        <f t="shared" si="300"/>
        <v>1</v>
      </c>
      <c r="F3225" s="1">
        <f>_xlfn.XLOOKUP($C3225, 'Instrument Table'!$B:$B, 'Instrument Table'!$A:$A, "")</f>
        <v>60</v>
      </c>
      <c r="G3225" s="1" t="str">
        <f>TEXT(IF($B3225 = "Retail Item", IF((ROW($A3225) - 4504 - _xlfn.XMATCH($C3225, $C$4506:$C$5005, 0, 1)) &lt;= VLOOKUP($C3225, 'Instrument Table'!$B:$D, 3, FALSE), ROW($A3225) - 4504 - _xlfn.XMATCH($C3225, $C$4506:$C$5005, 0, 1), 0), 0), "00")</f>
        <v>00</v>
      </c>
      <c r="H3225" s="1" t="str">
        <f t="shared" si="301"/>
        <v>069</v>
      </c>
      <c r="I3225" s="1" t="str">
        <f t="shared" si="302"/>
        <v>16000-069</v>
      </c>
      <c r="J3225" s="1" t="str">
        <f t="shared" si="303"/>
        <v>Theremin production item #069</v>
      </c>
      <c r="K3225" s="1" t="str">
        <f>IF(SUM(COUNTIFS(I:I, I3225)) &gt; 1, "DUPLICATE", "UNIQUE")</f>
        <v>UNIQUE</v>
      </c>
      <c r="L3225" s="18">
        <v>4</v>
      </c>
      <c r="M3225" s="28">
        <v>100</v>
      </c>
      <c r="N3225" s="6">
        <v>4</v>
      </c>
      <c r="O3225" s="30">
        <f t="shared" si="304"/>
        <v>400</v>
      </c>
      <c r="P3225" s="30">
        <f t="shared" si="305"/>
        <v>400</v>
      </c>
      <c r="Q3225" s="1">
        <f>COUNTIFS($P:$P, "&gt;" &amp; $P3225) + 1</f>
        <v>4090</v>
      </c>
      <c r="R3225" s="63">
        <f>(COUNTIFS($P:$P, "&gt;" &amp; $P3225) + 1) / (COUNTA($I:$I) - 1)</f>
        <v>0.81799999999999995</v>
      </c>
      <c r="S3225" s="23">
        <f>SUMIFS($P:$P, $Q:$Q, "&lt;" &amp; $Q3225)</f>
        <v>186440882</v>
      </c>
    </row>
    <row r="3226" spans="1:19" x14ac:dyDescent="0.25">
      <c r="A3226" s="1">
        <v>3221</v>
      </c>
      <c r="B3226" s="1" t="s">
        <v>2</v>
      </c>
      <c r="C3226" s="1" t="str">
        <f>IF($B3226 = "Production Item", _xlfn.XLOOKUP($A3226, 'Instrument Table'!$J:$J, 'Instrument Table'!$B:$B, $C3225), IF($B3226 = "Service Item", _xlfn.XLOOKUP($A3226, 'Instrument Table'!$I:$I, 'Instrument Table'!$B:$B, $C3225), _xlfn.XLOOKUP($A3226, 'Instrument Table'!$H:$H, 'Instrument Table'!$B:$B, $C3225)))</f>
        <v>Theremin</v>
      </c>
      <c r="D3226" s="1" t="str">
        <f>VLOOKUP($C3226, 'Instrument Table'!$B:$C, 2, FALSE)</f>
        <v>Other</v>
      </c>
      <c r="E3226" s="1">
        <f t="shared" si="300"/>
        <v>1</v>
      </c>
      <c r="F3226" s="1">
        <f>_xlfn.XLOOKUP($C3226, 'Instrument Table'!$B:$B, 'Instrument Table'!$A:$A, "")</f>
        <v>60</v>
      </c>
      <c r="G3226" s="1" t="str">
        <f>TEXT(IF($B3226 = "Retail Item", IF((ROW($A3226) - 4504 - _xlfn.XMATCH($C3226, $C$4506:$C$5005, 0, 1)) &lt;= VLOOKUP($C3226, 'Instrument Table'!$B:$D, 3, FALSE), ROW($A3226) - 4504 - _xlfn.XMATCH($C3226, $C$4506:$C$5005, 0, 1), 0), 0), "00")</f>
        <v>00</v>
      </c>
      <c r="H3226" s="1" t="str">
        <f t="shared" si="301"/>
        <v>070</v>
      </c>
      <c r="I3226" s="1" t="str">
        <f t="shared" si="302"/>
        <v>16000-070</v>
      </c>
      <c r="J3226" s="1" t="str">
        <f t="shared" si="303"/>
        <v>Theremin production item #070</v>
      </c>
      <c r="K3226" s="1" t="str">
        <f>IF(SUM(COUNTIFS(I:I, I3226)) &gt; 1, "DUPLICATE", "UNIQUE")</f>
        <v>UNIQUE</v>
      </c>
      <c r="L3226" s="18">
        <v>1</v>
      </c>
      <c r="M3226" s="28">
        <v>52</v>
      </c>
      <c r="N3226" s="6">
        <v>1</v>
      </c>
      <c r="O3226" s="30">
        <f t="shared" si="304"/>
        <v>52</v>
      </c>
      <c r="P3226" s="30">
        <f t="shared" si="305"/>
        <v>52</v>
      </c>
      <c r="Q3226" s="1">
        <f>COUNTIFS($P:$P, "&gt;" &amp; $P3226) + 1</f>
        <v>4609</v>
      </c>
      <c r="R3226" s="63">
        <f>(COUNTIFS($P:$P, "&gt;" &amp; $P3226) + 1) / (COUNTA($I:$I) - 1)</f>
        <v>0.92179999999999995</v>
      </c>
      <c r="S3226" s="23">
        <f>SUMIFS($P:$P, $Q:$Q, "&lt;" &amp; $Q3226)</f>
        <v>186544177</v>
      </c>
    </row>
    <row r="3227" spans="1:19" x14ac:dyDescent="0.25">
      <c r="A3227" s="1">
        <v>3222</v>
      </c>
      <c r="B3227" s="1" t="s">
        <v>2</v>
      </c>
      <c r="C3227" s="1" t="str">
        <f>IF($B3227 = "Production Item", _xlfn.XLOOKUP($A3227, 'Instrument Table'!$J:$J, 'Instrument Table'!$B:$B, $C3226), IF($B3227 = "Service Item", _xlfn.XLOOKUP($A3227, 'Instrument Table'!$I:$I, 'Instrument Table'!$B:$B, $C3226), _xlfn.XLOOKUP($A3227, 'Instrument Table'!$H:$H, 'Instrument Table'!$B:$B, $C3226)))</f>
        <v>Theremin</v>
      </c>
      <c r="D3227" s="1" t="str">
        <f>VLOOKUP($C3227, 'Instrument Table'!$B:$C, 2, FALSE)</f>
        <v>Other</v>
      </c>
      <c r="E3227" s="1">
        <f t="shared" si="300"/>
        <v>1</v>
      </c>
      <c r="F3227" s="1">
        <f>_xlfn.XLOOKUP($C3227, 'Instrument Table'!$B:$B, 'Instrument Table'!$A:$A, "")</f>
        <v>60</v>
      </c>
      <c r="G3227" s="1" t="str">
        <f>TEXT(IF($B3227 = "Retail Item", IF((ROW($A3227) - 4504 - _xlfn.XMATCH($C3227, $C$4506:$C$5005, 0, 1)) &lt;= VLOOKUP($C3227, 'Instrument Table'!$B:$D, 3, FALSE), ROW($A3227) - 4504 - _xlfn.XMATCH($C3227, $C$4506:$C$5005, 0, 1), 0), 0), "00")</f>
        <v>00</v>
      </c>
      <c r="H3227" s="1" t="str">
        <f t="shared" si="301"/>
        <v>071</v>
      </c>
      <c r="I3227" s="1" t="str">
        <f t="shared" si="302"/>
        <v>16000-071</v>
      </c>
      <c r="J3227" s="1" t="str">
        <f t="shared" si="303"/>
        <v>Theremin production item #071</v>
      </c>
      <c r="K3227" s="1" t="str">
        <f>IF(SUM(COUNTIFS(I:I, I3227)) &gt; 1, "DUPLICATE", "UNIQUE")</f>
        <v>UNIQUE</v>
      </c>
      <c r="L3227" s="18">
        <v>1</v>
      </c>
      <c r="M3227" s="28">
        <v>43</v>
      </c>
      <c r="N3227" s="6">
        <v>100</v>
      </c>
      <c r="O3227" s="30">
        <f t="shared" si="304"/>
        <v>43</v>
      </c>
      <c r="P3227" s="30">
        <f t="shared" si="305"/>
        <v>4300</v>
      </c>
      <c r="Q3227" s="1">
        <f>COUNTIFS($P:$P, "&gt;" &amp; $P3227) + 1</f>
        <v>2587</v>
      </c>
      <c r="R3227" s="63">
        <f>(COUNTIFS($P:$P, "&gt;" &amp; $P3227) + 1) / (COUNTA($I:$I) - 1)</f>
        <v>0.51739999999999997</v>
      </c>
      <c r="S3227" s="23">
        <f>SUMIFS($P:$P, $Q:$Q, "&lt;" &amp; $Q3227)</f>
        <v>183507738</v>
      </c>
    </row>
    <row r="3228" spans="1:19" x14ac:dyDescent="0.25">
      <c r="A3228" s="1">
        <v>3223</v>
      </c>
      <c r="B3228" s="1" t="s">
        <v>2</v>
      </c>
      <c r="C3228" s="1" t="str">
        <f>IF($B3228 = "Production Item", _xlfn.XLOOKUP($A3228, 'Instrument Table'!$J:$J, 'Instrument Table'!$B:$B, $C3227), IF($B3228 = "Service Item", _xlfn.XLOOKUP($A3228, 'Instrument Table'!$I:$I, 'Instrument Table'!$B:$B, $C3227), _xlfn.XLOOKUP($A3228, 'Instrument Table'!$H:$H, 'Instrument Table'!$B:$B, $C3227)))</f>
        <v>Theremin</v>
      </c>
      <c r="D3228" s="1" t="str">
        <f>VLOOKUP($C3228, 'Instrument Table'!$B:$C, 2, FALSE)</f>
        <v>Other</v>
      </c>
      <c r="E3228" s="1">
        <f t="shared" si="300"/>
        <v>1</v>
      </c>
      <c r="F3228" s="1">
        <f>_xlfn.XLOOKUP($C3228, 'Instrument Table'!$B:$B, 'Instrument Table'!$A:$A, "")</f>
        <v>60</v>
      </c>
      <c r="G3228" s="1" t="str">
        <f>TEXT(IF($B3228 = "Retail Item", IF((ROW($A3228) - 4504 - _xlfn.XMATCH($C3228, $C$4506:$C$5005, 0, 1)) &lt;= VLOOKUP($C3228, 'Instrument Table'!$B:$D, 3, FALSE), ROW($A3228) - 4504 - _xlfn.XMATCH($C3228, $C$4506:$C$5005, 0, 1), 0), 0), "00")</f>
        <v>00</v>
      </c>
      <c r="H3228" s="1" t="str">
        <f t="shared" si="301"/>
        <v>072</v>
      </c>
      <c r="I3228" s="1" t="str">
        <f t="shared" si="302"/>
        <v>16000-072</v>
      </c>
      <c r="J3228" s="1" t="str">
        <f t="shared" si="303"/>
        <v>Theremin production item #072</v>
      </c>
      <c r="K3228" s="1" t="str">
        <f>IF(SUM(COUNTIFS(I:I, I3228)) &gt; 1, "DUPLICATE", "UNIQUE")</f>
        <v>UNIQUE</v>
      </c>
      <c r="L3228" s="18">
        <v>16</v>
      </c>
      <c r="M3228" s="28">
        <v>16</v>
      </c>
      <c r="N3228" s="6">
        <v>144</v>
      </c>
      <c r="O3228" s="30">
        <f t="shared" si="304"/>
        <v>256</v>
      </c>
      <c r="P3228" s="30">
        <f t="shared" si="305"/>
        <v>2304</v>
      </c>
      <c r="Q3228" s="1">
        <f>COUNTIFS($P:$P, "&gt;" &amp; $P3228) + 1</f>
        <v>3118</v>
      </c>
      <c r="R3228" s="63">
        <f>(COUNTIFS($P:$P, "&gt;" &amp; $P3228) + 1) / (COUNTA($I:$I) - 1)</f>
        <v>0.62360000000000004</v>
      </c>
      <c r="S3228" s="23">
        <f>SUMIFS($P:$P, $Q:$Q, "&lt;" &amp; $Q3228)</f>
        <v>185224654</v>
      </c>
    </row>
    <row r="3229" spans="1:19" x14ac:dyDescent="0.25">
      <c r="A3229" s="1">
        <v>3224</v>
      </c>
      <c r="B3229" s="1" t="s">
        <v>2</v>
      </c>
      <c r="C3229" s="1" t="str">
        <f>IF($B3229 = "Production Item", _xlfn.XLOOKUP($A3229, 'Instrument Table'!$J:$J, 'Instrument Table'!$B:$B, $C3228), IF($B3229 = "Service Item", _xlfn.XLOOKUP($A3229, 'Instrument Table'!$I:$I, 'Instrument Table'!$B:$B, $C3228), _xlfn.XLOOKUP($A3229, 'Instrument Table'!$H:$H, 'Instrument Table'!$B:$B, $C3228)))</f>
        <v>Theremin</v>
      </c>
      <c r="D3229" s="1" t="str">
        <f>VLOOKUP($C3229, 'Instrument Table'!$B:$C, 2, FALSE)</f>
        <v>Other</v>
      </c>
      <c r="E3229" s="1">
        <f t="shared" si="300"/>
        <v>1</v>
      </c>
      <c r="F3229" s="1">
        <f>_xlfn.XLOOKUP($C3229, 'Instrument Table'!$B:$B, 'Instrument Table'!$A:$A, "")</f>
        <v>60</v>
      </c>
      <c r="G3229" s="1" t="str">
        <f>TEXT(IF($B3229 = "Retail Item", IF((ROW($A3229) - 4504 - _xlfn.XMATCH($C3229, $C$4506:$C$5005, 0, 1)) &lt;= VLOOKUP($C3229, 'Instrument Table'!$B:$D, 3, FALSE), ROW($A3229) - 4504 - _xlfn.XMATCH($C3229, $C$4506:$C$5005, 0, 1), 0), 0), "00")</f>
        <v>00</v>
      </c>
      <c r="H3229" s="1" t="str">
        <f t="shared" si="301"/>
        <v>073</v>
      </c>
      <c r="I3229" s="1" t="str">
        <f t="shared" si="302"/>
        <v>16000-073</v>
      </c>
      <c r="J3229" s="1" t="str">
        <f t="shared" si="303"/>
        <v>Theremin production item #073</v>
      </c>
      <c r="K3229" s="1" t="str">
        <f>IF(SUM(COUNTIFS(I:I, I3229)) &gt; 1, "DUPLICATE", "UNIQUE")</f>
        <v>UNIQUE</v>
      </c>
      <c r="L3229" s="18">
        <v>32</v>
      </c>
      <c r="M3229" s="28">
        <v>40</v>
      </c>
      <c r="N3229" s="6">
        <v>324</v>
      </c>
      <c r="O3229" s="30">
        <f t="shared" si="304"/>
        <v>1280</v>
      </c>
      <c r="P3229" s="30">
        <f t="shared" si="305"/>
        <v>12960</v>
      </c>
      <c r="Q3229" s="1">
        <f>COUNTIFS($P:$P, "&gt;" &amp; $P3229) + 1</f>
        <v>1501</v>
      </c>
      <c r="R3229" s="63">
        <f>(COUNTIFS($P:$P, "&gt;" &amp; $P3229) + 1) / (COUNTA($I:$I) - 1)</f>
        <v>0.30020000000000002</v>
      </c>
      <c r="S3229" s="23">
        <f>SUMIFS($P:$P, $Q:$Q, "&lt;" &amp; $Q3229)</f>
        <v>174852763</v>
      </c>
    </row>
    <row r="3230" spans="1:19" x14ac:dyDescent="0.25">
      <c r="A3230" s="1">
        <v>3225</v>
      </c>
      <c r="B3230" s="1" t="s">
        <v>2</v>
      </c>
      <c r="C3230" s="1" t="str">
        <f>IF($B3230 = "Production Item", _xlfn.XLOOKUP($A3230, 'Instrument Table'!$J:$J, 'Instrument Table'!$B:$B, $C3229), IF($B3230 = "Service Item", _xlfn.XLOOKUP($A3230, 'Instrument Table'!$I:$I, 'Instrument Table'!$B:$B, $C3229), _xlfn.XLOOKUP($A3230, 'Instrument Table'!$H:$H, 'Instrument Table'!$B:$B, $C3229)))</f>
        <v>Theremin</v>
      </c>
      <c r="D3230" s="1" t="str">
        <f>VLOOKUP($C3230, 'Instrument Table'!$B:$C, 2, FALSE)</f>
        <v>Other</v>
      </c>
      <c r="E3230" s="1">
        <f t="shared" si="300"/>
        <v>1</v>
      </c>
      <c r="F3230" s="1">
        <f>_xlfn.XLOOKUP($C3230, 'Instrument Table'!$B:$B, 'Instrument Table'!$A:$A, "")</f>
        <v>60</v>
      </c>
      <c r="G3230" s="1" t="str">
        <f>TEXT(IF($B3230 = "Retail Item", IF((ROW($A3230) - 4504 - _xlfn.XMATCH($C3230, $C$4506:$C$5005, 0, 1)) &lt;= VLOOKUP($C3230, 'Instrument Table'!$B:$D, 3, FALSE), ROW($A3230) - 4504 - _xlfn.XMATCH($C3230, $C$4506:$C$5005, 0, 1), 0), 0), "00")</f>
        <v>00</v>
      </c>
      <c r="H3230" s="1" t="str">
        <f t="shared" si="301"/>
        <v>074</v>
      </c>
      <c r="I3230" s="1" t="str">
        <f t="shared" si="302"/>
        <v>16000-074</v>
      </c>
      <c r="J3230" s="1" t="str">
        <f t="shared" si="303"/>
        <v>Theremin production item #074</v>
      </c>
      <c r="K3230" s="1" t="str">
        <f>IF(SUM(COUNTIFS(I:I, I3230)) &gt; 1, "DUPLICATE", "UNIQUE")</f>
        <v>UNIQUE</v>
      </c>
      <c r="L3230" s="18">
        <v>0</v>
      </c>
      <c r="M3230" s="28">
        <v>55</v>
      </c>
      <c r="N3230" s="6">
        <v>1</v>
      </c>
      <c r="O3230" s="30">
        <f t="shared" si="304"/>
        <v>0</v>
      </c>
      <c r="P3230" s="30">
        <f t="shared" si="305"/>
        <v>55</v>
      </c>
      <c r="Q3230" s="1">
        <f>COUNTIFS($P:$P, "&gt;" &amp; $P3230) + 1</f>
        <v>4594</v>
      </c>
      <c r="R3230" s="63">
        <f>(COUNTIFS($P:$P, "&gt;" &amp; $P3230) + 1) / (COUNTA($I:$I) - 1)</f>
        <v>0.91879999999999995</v>
      </c>
      <c r="S3230" s="23">
        <f>SUMIFS($P:$P, $Q:$Q, "&lt;" &amp; $Q3230)</f>
        <v>186543368</v>
      </c>
    </row>
    <row r="3231" spans="1:19" x14ac:dyDescent="0.25">
      <c r="A3231" s="1">
        <v>3226</v>
      </c>
      <c r="B3231" s="1" t="s">
        <v>2</v>
      </c>
      <c r="C3231" s="1" t="str">
        <f>IF($B3231 = "Production Item", _xlfn.XLOOKUP($A3231, 'Instrument Table'!$J:$J, 'Instrument Table'!$B:$B, $C3230), IF($B3231 = "Service Item", _xlfn.XLOOKUP($A3231, 'Instrument Table'!$I:$I, 'Instrument Table'!$B:$B, $C3230), _xlfn.XLOOKUP($A3231, 'Instrument Table'!$H:$H, 'Instrument Table'!$B:$B, $C3230)))</f>
        <v>Theremin</v>
      </c>
      <c r="D3231" s="1" t="str">
        <f>VLOOKUP($C3231, 'Instrument Table'!$B:$C, 2, FALSE)</f>
        <v>Other</v>
      </c>
      <c r="E3231" s="1">
        <f t="shared" si="300"/>
        <v>1</v>
      </c>
      <c r="F3231" s="1">
        <f>_xlfn.XLOOKUP($C3231, 'Instrument Table'!$B:$B, 'Instrument Table'!$A:$A, "")</f>
        <v>60</v>
      </c>
      <c r="G3231" s="1" t="str">
        <f>TEXT(IF($B3231 = "Retail Item", IF((ROW($A3231) - 4504 - _xlfn.XMATCH($C3231, $C$4506:$C$5005, 0, 1)) &lt;= VLOOKUP($C3231, 'Instrument Table'!$B:$D, 3, FALSE), ROW($A3231) - 4504 - _xlfn.XMATCH($C3231, $C$4506:$C$5005, 0, 1), 0), 0), "00")</f>
        <v>00</v>
      </c>
      <c r="H3231" s="1" t="str">
        <f t="shared" si="301"/>
        <v>075</v>
      </c>
      <c r="I3231" s="1" t="str">
        <f t="shared" si="302"/>
        <v>16000-075</v>
      </c>
      <c r="J3231" s="1" t="str">
        <f t="shared" si="303"/>
        <v>Theremin production item #075</v>
      </c>
      <c r="K3231" s="1" t="str">
        <f>IF(SUM(COUNTIFS(I:I, I3231)) &gt; 1, "DUPLICATE", "UNIQUE")</f>
        <v>UNIQUE</v>
      </c>
      <c r="L3231" s="18">
        <v>1</v>
      </c>
      <c r="M3231" s="28">
        <v>23</v>
      </c>
      <c r="N3231" s="6">
        <v>9</v>
      </c>
      <c r="O3231" s="30">
        <f t="shared" si="304"/>
        <v>23</v>
      </c>
      <c r="P3231" s="30">
        <f t="shared" si="305"/>
        <v>207</v>
      </c>
      <c r="Q3231" s="1">
        <f>COUNTIFS($P:$P, "&gt;" &amp; $P3231) + 1</f>
        <v>4315</v>
      </c>
      <c r="R3231" s="63">
        <f>(COUNTIFS($P:$P, "&gt;" &amp; $P3231) + 1) / (COUNTA($I:$I) - 1)</f>
        <v>0.86299999999999999</v>
      </c>
      <c r="S3231" s="23">
        <f>SUMIFS($P:$P, $Q:$Q, "&lt;" &amp; $Q3231)</f>
        <v>186510654</v>
      </c>
    </row>
    <row r="3232" spans="1:19" x14ac:dyDescent="0.25">
      <c r="A3232" s="1">
        <v>3227</v>
      </c>
      <c r="B3232" s="1" t="s">
        <v>2</v>
      </c>
      <c r="C3232" s="1" t="str">
        <f>IF($B3232 = "Production Item", _xlfn.XLOOKUP($A3232, 'Instrument Table'!$J:$J, 'Instrument Table'!$B:$B, $C3231), IF($B3232 = "Service Item", _xlfn.XLOOKUP($A3232, 'Instrument Table'!$I:$I, 'Instrument Table'!$B:$B, $C3231), _xlfn.XLOOKUP($A3232, 'Instrument Table'!$H:$H, 'Instrument Table'!$B:$B, $C3231)))</f>
        <v>Theremin</v>
      </c>
      <c r="D3232" s="1" t="str">
        <f>VLOOKUP($C3232, 'Instrument Table'!$B:$C, 2, FALSE)</f>
        <v>Other</v>
      </c>
      <c r="E3232" s="1">
        <f t="shared" si="300"/>
        <v>1</v>
      </c>
      <c r="F3232" s="1">
        <f>_xlfn.XLOOKUP($C3232, 'Instrument Table'!$B:$B, 'Instrument Table'!$A:$A, "")</f>
        <v>60</v>
      </c>
      <c r="G3232" s="1" t="str">
        <f>TEXT(IF($B3232 = "Retail Item", IF((ROW($A3232) - 4504 - _xlfn.XMATCH($C3232, $C$4506:$C$5005, 0, 1)) &lt;= VLOOKUP($C3232, 'Instrument Table'!$B:$D, 3, FALSE), ROW($A3232) - 4504 - _xlfn.XMATCH($C3232, $C$4506:$C$5005, 0, 1), 0), 0), "00")</f>
        <v>00</v>
      </c>
      <c r="H3232" s="1" t="str">
        <f t="shared" si="301"/>
        <v>076</v>
      </c>
      <c r="I3232" s="1" t="str">
        <f t="shared" si="302"/>
        <v>16000-076</v>
      </c>
      <c r="J3232" s="1" t="str">
        <f t="shared" si="303"/>
        <v>Theremin production item #076</v>
      </c>
      <c r="K3232" s="1" t="str">
        <f>IF(SUM(COUNTIFS(I:I, I3232)) &gt; 1, "DUPLICATE", "UNIQUE")</f>
        <v>UNIQUE</v>
      </c>
      <c r="L3232" s="18">
        <v>4</v>
      </c>
      <c r="M3232" s="28">
        <v>93</v>
      </c>
      <c r="N3232" s="6">
        <v>361</v>
      </c>
      <c r="O3232" s="30">
        <f t="shared" si="304"/>
        <v>372</v>
      </c>
      <c r="P3232" s="30">
        <f t="shared" si="305"/>
        <v>33573</v>
      </c>
      <c r="Q3232" s="1">
        <f>COUNTIFS($P:$P, "&gt;" &amp; $P3232) + 1</f>
        <v>624</v>
      </c>
      <c r="R3232" s="63">
        <f>(COUNTIFS($P:$P, "&gt;" &amp; $P3232) + 1) / (COUNTA($I:$I) - 1)</f>
        <v>0.12479999999999999</v>
      </c>
      <c r="S3232" s="23">
        <f>SUMIFS($P:$P, $Q:$Q, "&lt;" &amp; $Q3232)</f>
        <v>156697721</v>
      </c>
    </row>
    <row r="3233" spans="1:19" x14ac:dyDescent="0.25">
      <c r="A3233" s="1">
        <v>3228</v>
      </c>
      <c r="B3233" s="1" t="s">
        <v>2</v>
      </c>
      <c r="C3233" s="1" t="str">
        <f>IF($B3233 = "Production Item", _xlfn.XLOOKUP($A3233, 'Instrument Table'!$J:$J, 'Instrument Table'!$B:$B, $C3232), IF($B3233 = "Service Item", _xlfn.XLOOKUP($A3233, 'Instrument Table'!$I:$I, 'Instrument Table'!$B:$B, $C3232), _xlfn.XLOOKUP($A3233, 'Instrument Table'!$H:$H, 'Instrument Table'!$B:$B, $C3232)))</f>
        <v>Theremin</v>
      </c>
      <c r="D3233" s="1" t="str">
        <f>VLOOKUP($C3233, 'Instrument Table'!$B:$C, 2, FALSE)</f>
        <v>Other</v>
      </c>
      <c r="E3233" s="1">
        <f t="shared" si="300"/>
        <v>1</v>
      </c>
      <c r="F3233" s="1">
        <f>_xlfn.XLOOKUP($C3233, 'Instrument Table'!$B:$B, 'Instrument Table'!$A:$A, "")</f>
        <v>60</v>
      </c>
      <c r="G3233" s="1" t="str">
        <f>TEXT(IF($B3233 = "Retail Item", IF((ROW($A3233) - 4504 - _xlfn.XMATCH($C3233, $C$4506:$C$5005, 0, 1)) &lt;= VLOOKUP($C3233, 'Instrument Table'!$B:$D, 3, FALSE), ROW($A3233) - 4504 - _xlfn.XMATCH($C3233, $C$4506:$C$5005, 0, 1), 0), 0), "00")</f>
        <v>00</v>
      </c>
      <c r="H3233" s="1" t="str">
        <f t="shared" si="301"/>
        <v>077</v>
      </c>
      <c r="I3233" s="1" t="str">
        <f t="shared" si="302"/>
        <v>16000-077</v>
      </c>
      <c r="J3233" s="1" t="str">
        <f t="shared" si="303"/>
        <v>Theremin production item #077</v>
      </c>
      <c r="K3233" s="1" t="str">
        <f>IF(SUM(COUNTIFS(I:I, I3233)) &gt; 1, "DUPLICATE", "UNIQUE")</f>
        <v>UNIQUE</v>
      </c>
      <c r="L3233" s="18">
        <v>32</v>
      </c>
      <c r="M3233" s="28">
        <v>6</v>
      </c>
      <c r="N3233" s="6">
        <v>324</v>
      </c>
      <c r="O3233" s="30">
        <f t="shared" si="304"/>
        <v>192</v>
      </c>
      <c r="P3233" s="30">
        <f t="shared" si="305"/>
        <v>1944</v>
      </c>
      <c r="Q3233" s="1">
        <f>COUNTIFS($P:$P, "&gt;" &amp; $P3233) + 1</f>
        <v>3276</v>
      </c>
      <c r="R3233" s="63">
        <f>(COUNTIFS($P:$P, "&gt;" &amp; $P3233) + 1) / (COUNTA($I:$I) - 1)</f>
        <v>0.6552</v>
      </c>
      <c r="S3233" s="23">
        <f>SUMIFS($P:$P, $Q:$Q, "&lt;" &amp; $Q3233)</f>
        <v>185562800</v>
      </c>
    </row>
    <row r="3234" spans="1:19" x14ac:dyDescent="0.25">
      <c r="A3234" s="1">
        <v>3229</v>
      </c>
      <c r="B3234" s="1" t="s">
        <v>2</v>
      </c>
      <c r="C3234" s="1" t="str">
        <f>IF($B3234 = "Production Item", _xlfn.XLOOKUP($A3234, 'Instrument Table'!$J:$J, 'Instrument Table'!$B:$B, $C3233), IF($B3234 = "Service Item", _xlfn.XLOOKUP($A3234, 'Instrument Table'!$I:$I, 'Instrument Table'!$B:$B, $C3233), _xlfn.XLOOKUP($A3234, 'Instrument Table'!$H:$H, 'Instrument Table'!$B:$B, $C3233)))</f>
        <v>Theremin</v>
      </c>
      <c r="D3234" s="1" t="str">
        <f>VLOOKUP($C3234, 'Instrument Table'!$B:$C, 2, FALSE)</f>
        <v>Other</v>
      </c>
      <c r="E3234" s="1">
        <f t="shared" si="300"/>
        <v>1</v>
      </c>
      <c r="F3234" s="1">
        <f>_xlfn.XLOOKUP($C3234, 'Instrument Table'!$B:$B, 'Instrument Table'!$A:$A, "")</f>
        <v>60</v>
      </c>
      <c r="G3234" s="1" t="str">
        <f>TEXT(IF($B3234 = "Retail Item", IF((ROW($A3234) - 4504 - _xlfn.XMATCH($C3234, $C$4506:$C$5005, 0, 1)) &lt;= VLOOKUP($C3234, 'Instrument Table'!$B:$D, 3, FALSE), ROW($A3234) - 4504 - _xlfn.XMATCH($C3234, $C$4506:$C$5005, 0, 1), 0), 0), "00")</f>
        <v>00</v>
      </c>
      <c r="H3234" s="1" t="str">
        <f t="shared" si="301"/>
        <v>078</v>
      </c>
      <c r="I3234" s="1" t="str">
        <f t="shared" si="302"/>
        <v>16000-078</v>
      </c>
      <c r="J3234" s="1" t="str">
        <f t="shared" si="303"/>
        <v>Theremin production item #078</v>
      </c>
      <c r="K3234" s="1" t="str">
        <f>IF(SUM(COUNTIFS(I:I, I3234)) &gt; 1, "DUPLICATE", "UNIQUE")</f>
        <v>UNIQUE</v>
      </c>
      <c r="L3234" s="18">
        <v>4</v>
      </c>
      <c r="M3234" s="28">
        <v>64</v>
      </c>
      <c r="N3234" s="6">
        <v>64</v>
      </c>
      <c r="O3234" s="30">
        <f t="shared" si="304"/>
        <v>256</v>
      </c>
      <c r="P3234" s="30">
        <f t="shared" si="305"/>
        <v>4096</v>
      </c>
      <c r="Q3234" s="1">
        <f>COUNTIFS($P:$P, "&gt;" &amp; $P3234) + 1</f>
        <v>2638</v>
      </c>
      <c r="R3234" s="63">
        <f>(COUNTIFS($P:$P, "&gt;" &amp; $P3234) + 1) / (COUNTA($I:$I) - 1)</f>
        <v>0.52759999999999996</v>
      </c>
      <c r="S3234" s="23">
        <f>SUMIFS($P:$P, $Q:$Q, "&lt;" &amp; $Q3234)</f>
        <v>183722231</v>
      </c>
    </row>
    <row r="3235" spans="1:19" x14ac:dyDescent="0.25">
      <c r="A3235" s="1">
        <v>3230</v>
      </c>
      <c r="B3235" s="1" t="s">
        <v>2</v>
      </c>
      <c r="C3235" s="1" t="str">
        <f>IF($B3235 = "Production Item", _xlfn.XLOOKUP($A3235, 'Instrument Table'!$J:$J, 'Instrument Table'!$B:$B, $C3234), IF($B3235 = "Service Item", _xlfn.XLOOKUP($A3235, 'Instrument Table'!$I:$I, 'Instrument Table'!$B:$B, $C3234), _xlfn.XLOOKUP($A3235, 'Instrument Table'!$H:$H, 'Instrument Table'!$B:$B, $C3234)))</f>
        <v>Theremin</v>
      </c>
      <c r="D3235" s="1" t="str">
        <f>VLOOKUP($C3235, 'Instrument Table'!$B:$C, 2, FALSE)</f>
        <v>Other</v>
      </c>
      <c r="E3235" s="1">
        <f t="shared" si="300"/>
        <v>1</v>
      </c>
      <c r="F3235" s="1">
        <f>_xlfn.XLOOKUP($C3235, 'Instrument Table'!$B:$B, 'Instrument Table'!$A:$A, "")</f>
        <v>60</v>
      </c>
      <c r="G3235" s="1" t="str">
        <f>TEXT(IF($B3235 = "Retail Item", IF((ROW($A3235) - 4504 - _xlfn.XMATCH($C3235, $C$4506:$C$5005, 0, 1)) &lt;= VLOOKUP($C3235, 'Instrument Table'!$B:$D, 3, FALSE), ROW($A3235) - 4504 - _xlfn.XMATCH($C3235, $C$4506:$C$5005, 0, 1), 0), 0), "00")</f>
        <v>00</v>
      </c>
      <c r="H3235" s="1" t="str">
        <f t="shared" si="301"/>
        <v>079</v>
      </c>
      <c r="I3235" s="1" t="str">
        <f t="shared" si="302"/>
        <v>16000-079</v>
      </c>
      <c r="J3235" s="1" t="str">
        <f t="shared" si="303"/>
        <v>Theremin production item #079</v>
      </c>
      <c r="K3235" s="1" t="str">
        <f>IF(SUM(COUNTIFS(I:I, I3235)) &gt; 1, "DUPLICATE", "UNIQUE")</f>
        <v>UNIQUE</v>
      </c>
      <c r="L3235" s="18">
        <v>0</v>
      </c>
      <c r="M3235" s="28">
        <v>67</v>
      </c>
      <c r="N3235" s="6">
        <v>25</v>
      </c>
      <c r="O3235" s="30">
        <f t="shared" si="304"/>
        <v>0</v>
      </c>
      <c r="P3235" s="30">
        <f t="shared" si="305"/>
        <v>1675</v>
      </c>
      <c r="Q3235" s="1">
        <f>COUNTIFS($P:$P, "&gt;" &amp; $P3235) + 1</f>
        <v>3378</v>
      </c>
      <c r="R3235" s="63">
        <f>(COUNTIFS($P:$P, "&gt;" &amp; $P3235) + 1) / (COUNTA($I:$I) - 1)</f>
        <v>0.67559999999999998</v>
      </c>
      <c r="S3235" s="23">
        <f>SUMIFS($P:$P, $Q:$Q, "&lt;" &amp; $Q3235)</f>
        <v>185748834</v>
      </c>
    </row>
    <row r="3236" spans="1:19" x14ac:dyDescent="0.25">
      <c r="A3236" s="1">
        <v>3231</v>
      </c>
      <c r="B3236" s="1" t="s">
        <v>2</v>
      </c>
      <c r="C3236" s="1" t="str">
        <f>IF($B3236 = "Production Item", _xlfn.XLOOKUP($A3236, 'Instrument Table'!$J:$J, 'Instrument Table'!$B:$B, $C3235), IF($B3236 = "Service Item", _xlfn.XLOOKUP($A3236, 'Instrument Table'!$I:$I, 'Instrument Table'!$B:$B, $C3235), _xlfn.XLOOKUP($A3236, 'Instrument Table'!$H:$H, 'Instrument Table'!$B:$B, $C3235)))</f>
        <v>Theremin</v>
      </c>
      <c r="D3236" s="1" t="str">
        <f>VLOOKUP($C3236, 'Instrument Table'!$B:$C, 2, FALSE)</f>
        <v>Other</v>
      </c>
      <c r="E3236" s="1">
        <f t="shared" si="300"/>
        <v>1</v>
      </c>
      <c r="F3236" s="1">
        <f>_xlfn.XLOOKUP($C3236, 'Instrument Table'!$B:$B, 'Instrument Table'!$A:$A, "")</f>
        <v>60</v>
      </c>
      <c r="G3236" s="1" t="str">
        <f>TEXT(IF($B3236 = "Retail Item", IF((ROW($A3236) - 4504 - _xlfn.XMATCH($C3236, $C$4506:$C$5005, 0, 1)) &lt;= VLOOKUP($C3236, 'Instrument Table'!$B:$D, 3, FALSE), ROW($A3236) - 4504 - _xlfn.XMATCH($C3236, $C$4506:$C$5005, 0, 1), 0), 0), "00")</f>
        <v>00</v>
      </c>
      <c r="H3236" s="1" t="str">
        <f t="shared" si="301"/>
        <v>080</v>
      </c>
      <c r="I3236" s="1" t="str">
        <f t="shared" si="302"/>
        <v>16000-080</v>
      </c>
      <c r="J3236" s="1" t="str">
        <f t="shared" si="303"/>
        <v>Theremin production item #080</v>
      </c>
      <c r="K3236" s="1" t="str">
        <f>IF(SUM(COUNTIFS(I:I, I3236)) &gt; 1, "DUPLICATE", "UNIQUE")</f>
        <v>UNIQUE</v>
      </c>
      <c r="L3236" s="18">
        <v>32</v>
      </c>
      <c r="M3236" s="28">
        <v>9</v>
      </c>
      <c r="N3236" s="6">
        <v>100</v>
      </c>
      <c r="O3236" s="30">
        <f t="shared" si="304"/>
        <v>288</v>
      </c>
      <c r="P3236" s="30">
        <f t="shared" si="305"/>
        <v>900</v>
      </c>
      <c r="Q3236" s="1">
        <f>COUNTIFS($P:$P, "&gt;" &amp; $P3236) + 1</f>
        <v>3722</v>
      </c>
      <c r="R3236" s="63">
        <f>(COUNTIFS($P:$P, "&gt;" &amp; $P3236) + 1) / (COUNTA($I:$I) - 1)</f>
        <v>0.74439999999999995</v>
      </c>
      <c r="S3236" s="23">
        <f>SUMIFS($P:$P, $Q:$Q, "&lt;" &amp; $Q3236)</f>
        <v>186199390</v>
      </c>
    </row>
    <row r="3237" spans="1:19" x14ac:dyDescent="0.25">
      <c r="A3237" s="1">
        <v>3232</v>
      </c>
      <c r="B3237" s="1" t="s">
        <v>2</v>
      </c>
      <c r="C3237" s="1" t="str">
        <f>IF($B3237 = "Production Item", _xlfn.XLOOKUP($A3237, 'Instrument Table'!$J:$J, 'Instrument Table'!$B:$B, $C3236), IF($B3237 = "Service Item", _xlfn.XLOOKUP($A3237, 'Instrument Table'!$I:$I, 'Instrument Table'!$B:$B, $C3236), _xlfn.XLOOKUP($A3237, 'Instrument Table'!$H:$H, 'Instrument Table'!$B:$B, $C3236)))</f>
        <v>Theremin</v>
      </c>
      <c r="D3237" s="1" t="str">
        <f>VLOOKUP($C3237, 'Instrument Table'!$B:$C, 2, FALSE)</f>
        <v>Other</v>
      </c>
      <c r="E3237" s="1">
        <f t="shared" si="300"/>
        <v>1</v>
      </c>
      <c r="F3237" s="1">
        <f>_xlfn.XLOOKUP($C3237, 'Instrument Table'!$B:$B, 'Instrument Table'!$A:$A, "")</f>
        <v>60</v>
      </c>
      <c r="G3237" s="1" t="str">
        <f>TEXT(IF($B3237 = "Retail Item", IF((ROW($A3237) - 4504 - _xlfn.XMATCH($C3237, $C$4506:$C$5005, 0, 1)) &lt;= VLOOKUP($C3237, 'Instrument Table'!$B:$D, 3, FALSE), ROW($A3237) - 4504 - _xlfn.XMATCH($C3237, $C$4506:$C$5005, 0, 1), 0), 0), "00")</f>
        <v>00</v>
      </c>
      <c r="H3237" s="1" t="str">
        <f t="shared" si="301"/>
        <v>081</v>
      </c>
      <c r="I3237" s="1" t="str">
        <f t="shared" si="302"/>
        <v>16000-081</v>
      </c>
      <c r="J3237" s="1" t="str">
        <f t="shared" si="303"/>
        <v>Theremin production item #081</v>
      </c>
      <c r="K3237" s="1" t="str">
        <f>IF(SUM(COUNTIFS(I:I, I3237)) &gt; 1, "DUPLICATE", "UNIQUE")</f>
        <v>UNIQUE</v>
      </c>
      <c r="L3237" s="18">
        <v>1</v>
      </c>
      <c r="M3237" s="28">
        <v>45</v>
      </c>
      <c r="N3237" s="6">
        <v>81</v>
      </c>
      <c r="O3237" s="30">
        <f t="shared" si="304"/>
        <v>45</v>
      </c>
      <c r="P3237" s="30">
        <f t="shared" si="305"/>
        <v>3645</v>
      </c>
      <c r="Q3237" s="1">
        <f>COUNTIFS($P:$P, "&gt;" &amp; $P3237) + 1</f>
        <v>2732</v>
      </c>
      <c r="R3237" s="63">
        <f>(COUNTIFS($P:$P, "&gt;" &amp; $P3237) + 1) / (COUNTA($I:$I) - 1)</f>
        <v>0.5464</v>
      </c>
      <c r="S3237" s="23">
        <f>SUMIFS($P:$P, $Q:$Q, "&lt;" &amp; $Q3237)</f>
        <v>184085906</v>
      </c>
    </row>
    <row r="3238" spans="1:19" x14ac:dyDescent="0.25">
      <c r="A3238" s="1">
        <v>3233</v>
      </c>
      <c r="B3238" s="1" t="s">
        <v>2</v>
      </c>
      <c r="C3238" s="1" t="str">
        <f>IF($B3238 = "Production Item", _xlfn.XLOOKUP($A3238, 'Instrument Table'!$J:$J, 'Instrument Table'!$B:$B, $C3237), IF($B3238 = "Service Item", _xlfn.XLOOKUP($A3238, 'Instrument Table'!$I:$I, 'Instrument Table'!$B:$B, $C3237), _xlfn.XLOOKUP($A3238, 'Instrument Table'!$H:$H, 'Instrument Table'!$B:$B, $C3237)))</f>
        <v>Theremin</v>
      </c>
      <c r="D3238" s="1" t="str">
        <f>VLOOKUP($C3238, 'Instrument Table'!$B:$C, 2, FALSE)</f>
        <v>Other</v>
      </c>
      <c r="E3238" s="1">
        <f t="shared" si="300"/>
        <v>1</v>
      </c>
      <c r="F3238" s="1">
        <f>_xlfn.XLOOKUP($C3238, 'Instrument Table'!$B:$B, 'Instrument Table'!$A:$A, "")</f>
        <v>60</v>
      </c>
      <c r="G3238" s="1" t="str">
        <f>TEXT(IF($B3238 = "Retail Item", IF((ROW($A3238) - 4504 - _xlfn.XMATCH($C3238, $C$4506:$C$5005, 0, 1)) &lt;= VLOOKUP($C3238, 'Instrument Table'!$B:$D, 3, FALSE), ROW($A3238) - 4504 - _xlfn.XMATCH($C3238, $C$4506:$C$5005, 0, 1), 0), 0), "00")</f>
        <v>00</v>
      </c>
      <c r="H3238" s="1" t="str">
        <f t="shared" si="301"/>
        <v>082</v>
      </c>
      <c r="I3238" s="1" t="str">
        <f t="shared" si="302"/>
        <v>16000-082</v>
      </c>
      <c r="J3238" s="1" t="str">
        <f t="shared" si="303"/>
        <v>Theremin production item #082</v>
      </c>
      <c r="K3238" s="1" t="str">
        <f>IF(SUM(COUNTIFS(I:I, I3238)) &gt; 1, "DUPLICATE", "UNIQUE")</f>
        <v>UNIQUE</v>
      </c>
      <c r="L3238" s="18">
        <v>2</v>
      </c>
      <c r="M3238" s="28">
        <v>56</v>
      </c>
      <c r="N3238" s="6">
        <v>49</v>
      </c>
      <c r="O3238" s="30">
        <f t="shared" si="304"/>
        <v>112</v>
      </c>
      <c r="P3238" s="30">
        <f t="shared" si="305"/>
        <v>2744</v>
      </c>
      <c r="Q3238" s="1">
        <f>COUNTIFS($P:$P, "&gt;" &amp; $P3238) + 1</f>
        <v>2969</v>
      </c>
      <c r="R3238" s="63">
        <f>(COUNTIFS($P:$P, "&gt;" &amp; $P3238) + 1) / (COUNTA($I:$I) - 1)</f>
        <v>0.59379999999999999</v>
      </c>
      <c r="S3238" s="23">
        <f>SUMIFS($P:$P, $Q:$Q, "&lt;" &amp; $Q3238)</f>
        <v>184848382</v>
      </c>
    </row>
    <row r="3239" spans="1:19" x14ac:dyDescent="0.25">
      <c r="A3239" s="1">
        <v>3234</v>
      </c>
      <c r="B3239" s="1" t="s">
        <v>2</v>
      </c>
      <c r="C3239" s="1" t="str">
        <f>IF($B3239 = "Production Item", _xlfn.XLOOKUP($A3239, 'Instrument Table'!$J:$J, 'Instrument Table'!$B:$B, $C3238), IF($B3239 = "Service Item", _xlfn.XLOOKUP($A3239, 'Instrument Table'!$I:$I, 'Instrument Table'!$B:$B, $C3238), _xlfn.XLOOKUP($A3239, 'Instrument Table'!$H:$H, 'Instrument Table'!$B:$B, $C3238)))</f>
        <v>Theremin</v>
      </c>
      <c r="D3239" s="1" t="str">
        <f>VLOOKUP($C3239, 'Instrument Table'!$B:$C, 2, FALSE)</f>
        <v>Other</v>
      </c>
      <c r="E3239" s="1">
        <f t="shared" si="300"/>
        <v>1</v>
      </c>
      <c r="F3239" s="1">
        <f>_xlfn.XLOOKUP($C3239, 'Instrument Table'!$B:$B, 'Instrument Table'!$A:$A, "")</f>
        <v>60</v>
      </c>
      <c r="G3239" s="1" t="str">
        <f>TEXT(IF($B3239 = "Retail Item", IF((ROW($A3239) - 4504 - _xlfn.XMATCH($C3239, $C$4506:$C$5005, 0, 1)) &lt;= VLOOKUP($C3239, 'Instrument Table'!$B:$D, 3, FALSE), ROW($A3239) - 4504 - _xlfn.XMATCH($C3239, $C$4506:$C$5005, 0, 1), 0), 0), "00")</f>
        <v>00</v>
      </c>
      <c r="H3239" s="1" t="str">
        <f t="shared" si="301"/>
        <v>083</v>
      </c>
      <c r="I3239" s="1" t="str">
        <f t="shared" si="302"/>
        <v>16000-083</v>
      </c>
      <c r="J3239" s="1" t="str">
        <f t="shared" si="303"/>
        <v>Theremin production item #083</v>
      </c>
      <c r="K3239" s="1" t="str">
        <f>IF(SUM(COUNTIFS(I:I, I3239)) &gt; 1, "DUPLICATE", "UNIQUE")</f>
        <v>UNIQUE</v>
      </c>
      <c r="L3239" s="18">
        <v>1</v>
      </c>
      <c r="M3239" s="28">
        <v>72</v>
      </c>
      <c r="N3239" s="6">
        <v>81</v>
      </c>
      <c r="O3239" s="30">
        <f t="shared" si="304"/>
        <v>72</v>
      </c>
      <c r="P3239" s="30">
        <f t="shared" si="305"/>
        <v>5832</v>
      </c>
      <c r="Q3239" s="1">
        <f>COUNTIFS($P:$P, "&gt;" &amp; $P3239) + 1</f>
        <v>2288</v>
      </c>
      <c r="R3239" s="63">
        <f>(COUNTIFS($P:$P, "&gt;" &amp; $P3239) + 1) / (COUNTA($I:$I) - 1)</f>
        <v>0.45760000000000001</v>
      </c>
      <c r="S3239" s="23">
        <f>SUMIFS($P:$P, $Q:$Q, "&lt;" &amp; $Q3239)</f>
        <v>181994354</v>
      </c>
    </row>
    <row r="3240" spans="1:19" x14ac:dyDescent="0.25">
      <c r="A3240" s="1">
        <v>3235</v>
      </c>
      <c r="B3240" s="1" t="s">
        <v>2</v>
      </c>
      <c r="C3240" s="1" t="str">
        <f>IF($B3240 = "Production Item", _xlfn.XLOOKUP($A3240, 'Instrument Table'!$J:$J, 'Instrument Table'!$B:$B, $C3239), IF($B3240 = "Service Item", _xlfn.XLOOKUP($A3240, 'Instrument Table'!$I:$I, 'Instrument Table'!$B:$B, $C3239), _xlfn.XLOOKUP($A3240, 'Instrument Table'!$H:$H, 'Instrument Table'!$B:$B, $C3239)))</f>
        <v>Theremin</v>
      </c>
      <c r="D3240" s="1" t="str">
        <f>VLOOKUP($C3240, 'Instrument Table'!$B:$C, 2, FALSE)</f>
        <v>Other</v>
      </c>
      <c r="E3240" s="1">
        <f t="shared" si="300"/>
        <v>1</v>
      </c>
      <c r="F3240" s="1">
        <f>_xlfn.XLOOKUP($C3240, 'Instrument Table'!$B:$B, 'Instrument Table'!$A:$A, "")</f>
        <v>60</v>
      </c>
      <c r="G3240" s="1" t="str">
        <f>TEXT(IF($B3240 = "Retail Item", IF((ROW($A3240) - 4504 - _xlfn.XMATCH($C3240, $C$4506:$C$5005, 0, 1)) &lt;= VLOOKUP($C3240, 'Instrument Table'!$B:$D, 3, FALSE), ROW($A3240) - 4504 - _xlfn.XMATCH($C3240, $C$4506:$C$5005, 0, 1), 0), 0), "00")</f>
        <v>00</v>
      </c>
      <c r="H3240" s="1" t="str">
        <f t="shared" si="301"/>
        <v>084</v>
      </c>
      <c r="I3240" s="1" t="str">
        <f t="shared" si="302"/>
        <v>16000-084</v>
      </c>
      <c r="J3240" s="1" t="str">
        <f t="shared" si="303"/>
        <v>Theremin production item #084</v>
      </c>
      <c r="K3240" s="1" t="str">
        <f>IF(SUM(COUNTIFS(I:I, I3240)) &gt; 1, "DUPLICATE", "UNIQUE")</f>
        <v>UNIQUE</v>
      </c>
      <c r="L3240" s="18">
        <v>0</v>
      </c>
      <c r="M3240" s="28">
        <v>89</v>
      </c>
      <c r="N3240" s="6">
        <v>81</v>
      </c>
      <c r="O3240" s="30">
        <f t="shared" si="304"/>
        <v>0</v>
      </c>
      <c r="P3240" s="30">
        <f t="shared" si="305"/>
        <v>7209</v>
      </c>
      <c r="Q3240" s="1">
        <f>COUNTIFS($P:$P, "&gt;" &amp; $P3240) + 1</f>
        <v>2114</v>
      </c>
      <c r="R3240" s="63">
        <f>(COUNTIFS($P:$P, "&gt;" &amp; $P3240) + 1) / (COUNTA($I:$I) - 1)</f>
        <v>0.42280000000000001</v>
      </c>
      <c r="S3240" s="23">
        <f>SUMIFS($P:$P, $Q:$Q, "&lt;" &amp; $Q3240)</f>
        <v>180860062</v>
      </c>
    </row>
    <row r="3241" spans="1:19" x14ac:dyDescent="0.25">
      <c r="A3241" s="1">
        <v>3236</v>
      </c>
      <c r="B3241" s="1" t="s">
        <v>2</v>
      </c>
      <c r="C3241" s="1" t="str">
        <f>IF($B3241 = "Production Item", _xlfn.XLOOKUP($A3241, 'Instrument Table'!$J:$J, 'Instrument Table'!$B:$B, $C3240), IF($B3241 = "Service Item", _xlfn.XLOOKUP($A3241, 'Instrument Table'!$I:$I, 'Instrument Table'!$B:$B, $C3240), _xlfn.XLOOKUP($A3241, 'Instrument Table'!$H:$H, 'Instrument Table'!$B:$B, $C3240)))</f>
        <v>Theremin</v>
      </c>
      <c r="D3241" s="1" t="str">
        <f>VLOOKUP($C3241, 'Instrument Table'!$B:$C, 2, FALSE)</f>
        <v>Other</v>
      </c>
      <c r="E3241" s="1">
        <f t="shared" si="300"/>
        <v>1</v>
      </c>
      <c r="F3241" s="1">
        <f>_xlfn.XLOOKUP($C3241, 'Instrument Table'!$B:$B, 'Instrument Table'!$A:$A, "")</f>
        <v>60</v>
      </c>
      <c r="G3241" s="1" t="str">
        <f>TEXT(IF($B3241 = "Retail Item", IF((ROW($A3241) - 4504 - _xlfn.XMATCH($C3241, $C$4506:$C$5005, 0, 1)) &lt;= VLOOKUP($C3241, 'Instrument Table'!$B:$D, 3, FALSE), ROW($A3241) - 4504 - _xlfn.XMATCH($C3241, $C$4506:$C$5005, 0, 1), 0), 0), "00")</f>
        <v>00</v>
      </c>
      <c r="H3241" s="1" t="str">
        <f t="shared" si="301"/>
        <v>085</v>
      </c>
      <c r="I3241" s="1" t="str">
        <f t="shared" si="302"/>
        <v>16000-085</v>
      </c>
      <c r="J3241" s="1" t="str">
        <f t="shared" si="303"/>
        <v>Theremin production item #085</v>
      </c>
      <c r="K3241" s="1" t="str">
        <f>IF(SUM(COUNTIFS(I:I, I3241)) &gt; 1, "DUPLICATE", "UNIQUE")</f>
        <v>UNIQUE</v>
      </c>
      <c r="L3241" s="18">
        <v>32</v>
      </c>
      <c r="M3241" s="28">
        <v>44</v>
      </c>
      <c r="N3241" s="6">
        <v>36</v>
      </c>
      <c r="O3241" s="30">
        <f t="shared" si="304"/>
        <v>1408</v>
      </c>
      <c r="P3241" s="30">
        <f t="shared" si="305"/>
        <v>1584</v>
      </c>
      <c r="Q3241" s="1">
        <f>COUNTIFS($P:$P, "&gt;" &amp; $P3241) + 1</f>
        <v>3415</v>
      </c>
      <c r="R3241" s="63">
        <f>(COUNTIFS($P:$P, "&gt;" &amp; $P3241) + 1) / (COUNTA($I:$I) - 1)</f>
        <v>0.68300000000000005</v>
      </c>
      <c r="S3241" s="23">
        <f>SUMIFS($P:$P, $Q:$Q, "&lt;" &amp; $Q3241)</f>
        <v>185809023</v>
      </c>
    </row>
    <row r="3242" spans="1:19" x14ac:dyDescent="0.25">
      <c r="A3242" s="1">
        <v>3237</v>
      </c>
      <c r="B3242" s="1" t="s">
        <v>2</v>
      </c>
      <c r="C3242" s="1" t="str">
        <f>IF($B3242 = "Production Item", _xlfn.XLOOKUP($A3242, 'Instrument Table'!$J:$J, 'Instrument Table'!$B:$B, $C3241), IF($B3242 = "Service Item", _xlfn.XLOOKUP($A3242, 'Instrument Table'!$I:$I, 'Instrument Table'!$B:$B, $C3241), _xlfn.XLOOKUP($A3242, 'Instrument Table'!$H:$H, 'Instrument Table'!$B:$B, $C3241)))</f>
        <v>Theremin</v>
      </c>
      <c r="D3242" s="1" t="str">
        <f>VLOOKUP($C3242, 'Instrument Table'!$B:$C, 2, FALSE)</f>
        <v>Other</v>
      </c>
      <c r="E3242" s="1">
        <f t="shared" si="300"/>
        <v>1</v>
      </c>
      <c r="F3242" s="1">
        <f>_xlfn.XLOOKUP($C3242, 'Instrument Table'!$B:$B, 'Instrument Table'!$A:$A, "")</f>
        <v>60</v>
      </c>
      <c r="G3242" s="1" t="str">
        <f>TEXT(IF($B3242 = "Retail Item", IF((ROW($A3242) - 4504 - _xlfn.XMATCH($C3242, $C$4506:$C$5005, 0, 1)) &lt;= VLOOKUP($C3242, 'Instrument Table'!$B:$D, 3, FALSE), ROW($A3242) - 4504 - _xlfn.XMATCH($C3242, $C$4506:$C$5005, 0, 1), 0), 0), "00")</f>
        <v>00</v>
      </c>
      <c r="H3242" s="1" t="str">
        <f t="shared" si="301"/>
        <v>086</v>
      </c>
      <c r="I3242" s="1" t="str">
        <f t="shared" si="302"/>
        <v>16000-086</v>
      </c>
      <c r="J3242" s="1" t="str">
        <f t="shared" si="303"/>
        <v>Theremin production item #086</v>
      </c>
      <c r="K3242" s="1" t="str">
        <f>IF(SUM(COUNTIFS(I:I, I3242)) &gt; 1, "DUPLICATE", "UNIQUE")</f>
        <v>UNIQUE</v>
      </c>
      <c r="L3242" s="18">
        <v>0</v>
      </c>
      <c r="M3242" s="28">
        <v>86</v>
      </c>
      <c r="N3242" s="6">
        <v>361</v>
      </c>
      <c r="O3242" s="30">
        <f t="shared" si="304"/>
        <v>0</v>
      </c>
      <c r="P3242" s="30">
        <f t="shared" si="305"/>
        <v>31046</v>
      </c>
      <c r="Q3242" s="1">
        <f>COUNTIFS($P:$P, "&gt;" &amp; $P3242) + 1</f>
        <v>671</v>
      </c>
      <c r="R3242" s="63">
        <f>(COUNTIFS($P:$P, "&gt;" &amp; $P3242) + 1) / (COUNTA($I:$I) - 1)</f>
        <v>0.13420000000000001</v>
      </c>
      <c r="S3242" s="23">
        <f>SUMIFS($P:$P, $Q:$Q, "&lt;" &amp; $Q3242)</f>
        <v>158207335</v>
      </c>
    </row>
    <row r="3243" spans="1:19" x14ac:dyDescent="0.25">
      <c r="A3243" s="1">
        <v>3238</v>
      </c>
      <c r="B3243" s="1" t="s">
        <v>2</v>
      </c>
      <c r="C3243" s="1" t="str">
        <f>IF($B3243 = "Production Item", _xlfn.XLOOKUP($A3243, 'Instrument Table'!$J:$J, 'Instrument Table'!$B:$B, $C3242), IF($B3243 = "Service Item", _xlfn.XLOOKUP($A3243, 'Instrument Table'!$I:$I, 'Instrument Table'!$B:$B, $C3242), _xlfn.XLOOKUP($A3243, 'Instrument Table'!$H:$H, 'Instrument Table'!$B:$B, $C3242)))</f>
        <v>Theremin</v>
      </c>
      <c r="D3243" s="1" t="str">
        <f>VLOOKUP($C3243, 'Instrument Table'!$B:$C, 2, FALSE)</f>
        <v>Other</v>
      </c>
      <c r="E3243" s="1">
        <f t="shared" si="300"/>
        <v>1</v>
      </c>
      <c r="F3243" s="1">
        <f>_xlfn.XLOOKUP($C3243, 'Instrument Table'!$B:$B, 'Instrument Table'!$A:$A, "")</f>
        <v>60</v>
      </c>
      <c r="G3243" s="1" t="str">
        <f>TEXT(IF($B3243 = "Retail Item", IF((ROW($A3243) - 4504 - _xlfn.XMATCH($C3243, $C$4506:$C$5005, 0, 1)) &lt;= VLOOKUP($C3243, 'Instrument Table'!$B:$D, 3, FALSE), ROW($A3243) - 4504 - _xlfn.XMATCH($C3243, $C$4506:$C$5005, 0, 1), 0), 0), "00")</f>
        <v>00</v>
      </c>
      <c r="H3243" s="1" t="str">
        <f t="shared" si="301"/>
        <v>087</v>
      </c>
      <c r="I3243" s="1" t="str">
        <f t="shared" si="302"/>
        <v>16000-087</v>
      </c>
      <c r="J3243" s="1" t="str">
        <f t="shared" si="303"/>
        <v>Theremin production item #087</v>
      </c>
      <c r="K3243" s="1" t="str">
        <f>IF(SUM(COUNTIFS(I:I, I3243)) &gt; 1, "DUPLICATE", "UNIQUE")</f>
        <v>UNIQUE</v>
      </c>
      <c r="L3243" s="18">
        <v>0</v>
      </c>
      <c r="M3243" s="28">
        <v>1</v>
      </c>
      <c r="N3243" s="6">
        <v>400</v>
      </c>
      <c r="O3243" s="30">
        <f t="shared" si="304"/>
        <v>0</v>
      </c>
      <c r="P3243" s="30">
        <f t="shared" si="305"/>
        <v>400</v>
      </c>
      <c r="Q3243" s="1">
        <f>COUNTIFS($P:$P, "&gt;" &amp; $P3243) + 1</f>
        <v>4090</v>
      </c>
      <c r="R3243" s="63">
        <f>(COUNTIFS($P:$P, "&gt;" &amp; $P3243) + 1) / (COUNTA($I:$I) - 1)</f>
        <v>0.81799999999999995</v>
      </c>
      <c r="S3243" s="23">
        <f>SUMIFS($P:$P, $Q:$Q, "&lt;" &amp; $Q3243)</f>
        <v>186440882</v>
      </c>
    </row>
    <row r="3244" spans="1:19" x14ac:dyDescent="0.25">
      <c r="A3244" s="1">
        <v>3239</v>
      </c>
      <c r="B3244" s="1" t="s">
        <v>2</v>
      </c>
      <c r="C3244" s="1" t="str">
        <f>IF($B3244 = "Production Item", _xlfn.XLOOKUP($A3244, 'Instrument Table'!$J:$J, 'Instrument Table'!$B:$B, $C3243), IF($B3244 = "Service Item", _xlfn.XLOOKUP($A3244, 'Instrument Table'!$I:$I, 'Instrument Table'!$B:$B, $C3243), _xlfn.XLOOKUP($A3244, 'Instrument Table'!$H:$H, 'Instrument Table'!$B:$B, $C3243)))</f>
        <v>Theremin</v>
      </c>
      <c r="D3244" s="1" t="str">
        <f>VLOOKUP($C3244, 'Instrument Table'!$B:$C, 2, FALSE)</f>
        <v>Other</v>
      </c>
      <c r="E3244" s="1">
        <f t="shared" si="300"/>
        <v>1</v>
      </c>
      <c r="F3244" s="1">
        <f>_xlfn.XLOOKUP($C3244, 'Instrument Table'!$B:$B, 'Instrument Table'!$A:$A, "")</f>
        <v>60</v>
      </c>
      <c r="G3244" s="1" t="str">
        <f>TEXT(IF($B3244 = "Retail Item", IF((ROW($A3244) - 4504 - _xlfn.XMATCH($C3244, $C$4506:$C$5005, 0, 1)) &lt;= VLOOKUP($C3244, 'Instrument Table'!$B:$D, 3, FALSE), ROW($A3244) - 4504 - _xlfn.XMATCH($C3244, $C$4506:$C$5005, 0, 1), 0), 0), "00")</f>
        <v>00</v>
      </c>
      <c r="H3244" s="1" t="str">
        <f t="shared" si="301"/>
        <v>088</v>
      </c>
      <c r="I3244" s="1" t="str">
        <f t="shared" si="302"/>
        <v>16000-088</v>
      </c>
      <c r="J3244" s="1" t="str">
        <f t="shared" si="303"/>
        <v>Theremin production item #088</v>
      </c>
      <c r="K3244" s="1" t="str">
        <f>IF(SUM(COUNTIFS(I:I, I3244)) &gt; 1, "DUPLICATE", "UNIQUE")</f>
        <v>UNIQUE</v>
      </c>
      <c r="L3244" s="18">
        <v>0</v>
      </c>
      <c r="M3244" s="28">
        <v>82</v>
      </c>
      <c r="N3244" s="6">
        <v>4</v>
      </c>
      <c r="O3244" s="30">
        <f t="shared" si="304"/>
        <v>0</v>
      </c>
      <c r="P3244" s="30">
        <f t="shared" si="305"/>
        <v>328</v>
      </c>
      <c r="Q3244" s="1">
        <f>COUNTIFS($P:$P, "&gt;" &amp; $P3244) + 1</f>
        <v>4176</v>
      </c>
      <c r="R3244" s="63">
        <f>(COUNTIFS($P:$P, "&gt;" &amp; $P3244) + 1) / (COUNTA($I:$I) - 1)</f>
        <v>0.83520000000000005</v>
      </c>
      <c r="S3244" s="23">
        <f>SUMIFS($P:$P, $Q:$Q, "&lt;" &amp; $Q3244)</f>
        <v>186472644</v>
      </c>
    </row>
    <row r="3245" spans="1:19" x14ac:dyDescent="0.25">
      <c r="A3245" s="1">
        <v>3240</v>
      </c>
      <c r="B3245" s="1" t="s">
        <v>2</v>
      </c>
      <c r="C3245" s="1" t="str">
        <f>IF($B3245 = "Production Item", _xlfn.XLOOKUP($A3245, 'Instrument Table'!$J:$J, 'Instrument Table'!$B:$B, $C3244), IF($B3245 = "Service Item", _xlfn.XLOOKUP($A3245, 'Instrument Table'!$I:$I, 'Instrument Table'!$B:$B, $C3244), _xlfn.XLOOKUP($A3245, 'Instrument Table'!$H:$H, 'Instrument Table'!$B:$B, $C3244)))</f>
        <v>Theremin</v>
      </c>
      <c r="D3245" s="1" t="str">
        <f>VLOOKUP($C3245, 'Instrument Table'!$B:$C, 2, FALSE)</f>
        <v>Other</v>
      </c>
      <c r="E3245" s="1">
        <f t="shared" si="300"/>
        <v>1</v>
      </c>
      <c r="F3245" s="1">
        <f>_xlfn.XLOOKUP($C3245, 'Instrument Table'!$B:$B, 'Instrument Table'!$A:$A, "")</f>
        <v>60</v>
      </c>
      <c r="G3245" s="1" t="str">
        <f>TEXT(IF($B3245 = "Retail Item", IF((ROW($A3245) - 4504 - _xlfn.XMATCH($C3245, $C$4506:$C$5005, 0, 1)) &lt;= VLOOKUP($C3245, 'Instrument Table'!$B:$D, 3, FALSE), ROW($A3245) - 4504 - _xlfn.XMATCH($C3245, $C$4506:$C$5005, 0, 1), 0), 0), "00")</f>
        <v>00</v>
      </c>
      <c r="H3245" s="1" t="str">
        <f t="shared" si="301"/>
        <v>089</v>
      </c>
      <c r="I3245" s="1" t="str">
        <f t="shared" si="302"/>
        <v>16000-089</v>
      </c>
      <c r="J3245" s="1" t="str">
        <f t="shared" si="303"/>
        <v>Theremin production item #089</v>
      </c>
      <c r="K3245" s="1" t="str">
        <f>IF(SUM(COUNTIFS(I:I, I3245)) &gt; 1, "DUPLICATE", "UNIQUE")</f>
        <v>UNIQUE</v>
      </c>
      <c r="L3245" s="18">
        <v>32</v>
      </c>
      <c r="M3245" s="28">
        <v>41</v>
      </c>
      <c r="N3245" s="6">
        <v>49</v>
      </c>
      <c r="O3245" s="30">
        <f t="shared" si="304"/>
        <v>1312</v>
      </c>
      <c r="P3245" s="30">
        <f t="shared" si="305"/>
        <v>2009</v>
      </c>
      <c r="Q3245" s="1">
        <f>COUNTIFS($P:$P, "&gt;" &amp; $P3245) + 1</f>
        <v>3254</v>
      </c>
      <c r="R3245" s="63">
        <f>(COUNTIFS($P:$P, "&gt;" &amp; $P3245) + 1) / (COUNTA($I:$I) - 1)</f>
        <v>0.65080000000000005</v>
      </c>
      <c r="S3245" s="23">
        <f>SUMIFS($P:$P, $Q:$Q, "&lt;" &amp; $Q3245)</f>
        <v>185519164</v>
      </c>
    </row>
    <row r="3246" spans="1:19" x14ac:dyDescent="0.25">
      <c r="A3246" s="1">
        <v>3241</v>
      </c>
      <c r="B3246" s="1" t="s">
        <v>2</v>
      </c>
      <c r="C3246" s="1" t="str">
        <f>IF($B3246 = "Production Item", _xlfn.XLOOKUP($A3246, 'Instrument Table'!$J:$J, 'Instrument Table'!$B:$B, $C3245), IF($B3246 = "Service Item", _xlfn.XLOOKUP($A3246, 'Instrument Table'!$I:$I, 'Instrument Table'!$B:$B, $C3245), _xlfn.XLOOKUP($A3246, 'Instrument Table'!$H:$H, 'Instrument Table'!$B:$B, $C3245)))</f>
        <v>Theremin</v>
      </c>
      <c r="D3246" s="1" t="str">
        <f>VLOOKUP($C3246, 'Instrument Table'!$B:$C, 2, FALSE)</f>
        <v>Other</v>
      </c>
      <c r="E3246" s="1">
        <f t="shared" si="300"/>
        <v>1</v>
      </c>
      <c r="F3246" s="1">
        <f>_xlfn.XLOOKUP($C3246, 'Instrument Table'!$B:$B, 'Instrument Table'!$A:$A, "")</f>
        <v>60</v>
      </c>
      <c r="G3246" s="1" t="str">
        <f>TEXT(IF($B3246 = "Retail Item", IF((ROW($A3246) - 4504 - _xlfn.XMATCH($C3246, $C$4506:$C$5005, 0, 1)) &lt;= VLOOKUP($C3246, 'Instrument Table'!$B:$D, 3, FALSE), ROW($A3246) - 4504 - _xlfn.XMATCH($C3246, $C$4506:$C$5005, 0, 1), 0), 0), "00")</f>
        <v>00</v>
      </c>
      <c r="H3246" s="1" t="str">
        <f t="shared" si="301"/>
        <v>090</v>
      </c>
      <c r="I3246" s="1" t="str">
        <f t="shared" si="302"/>
        <v>16000-090</v>
      </c>
      <c r="J3246" s="1" t="str">
        <f t="shared" si="303"/>
        <v>Theremin production item #090</v>
      </c>
      <c r="K3246" s="1" t="str">
        <f>IF(SUM(COUNTIFS(I:I, I3246)) &gt; 1, "DUPLICATE", "UNIQUE")</f>
        <v>UNIQUE</v>
      </c>
      <c r="L3246" s="18">
        <v>1</v>
      </c>
      <c r="M3246" s="28">
        <v>74</v>
      </c>
      <c r="N3246" s="6">
        <v>400</v>
      </c>
      <c r="O3246" s="30">
        <f t="shared" si="304"/>
        <v>74</v>
      </c>
      <c r="P3246" s="30">
        <f t="shared" si="305"/>
        <v>29600</v>
      </c>
      <c r="Q3246" s="1">
        <f>COUNTIFS($P:$P, "&gt;" &amp; $P3246) + 1</f>
        <v>699</v>
      </c>
      <c r="R3246" s="63">
        <f>(COUNTIFS($P:$P, "&gt;" &amp; $P3246) + 1) / (COUNTA($I:$I) - 1)</f>
        <v>0.13980000000000001</v>
      </c>
      <c r="S3246" s="23">
        <f>SUMIFS($P:$P, $Q:$Q, "&lt;" &amp; $Q3246)</f>
        <v>159057302</v>
      </c>
    </row>
    <row r="3247" spans="1:19" x14ac:dyDescent="0.25">
      <c r="A3247" s="1">
        <v>3242</v>
      </c>
      <c r="B3247" s="1" t="s">
        <v>2</v>
      </c>
      <c r="C3247" s="1" t="str">
        <f>IF($B3247 = "Production Item", _xlfn.XLOOKUP($A3247, 'Instrument Table'!$J:$J, 'Instrument Table'!$B:$B, $C3246), IF($B3247 = "Service Item", _xlfn.XLOOKUP($A3247, 'Instrument Table'!$I:$I, 'Instrument Table'!$B:$B, $C3246), _xlfn.XLOOKUP($A3247, 'Instrument Table'!$H:$H, 'Instrument Table'!$B:$B, $C3246)))</f>
        <v>Theremin</v>
      </c>
      <c r="D3247" s="1" t="str">
        <f>VLOOKUP($C3247, 'Instrument Table'!$B:$C, 2, FALSE)</f>
        <v>Other</v>
      </c>
      <c r="E3247" s="1">
        <f t="shared" si="300"/>
        <v>1</v>
      </c>
      <c r="F3247" s="1">
        <f>_xlfn.XLOOKUP($C3247, 'Instrument Table'!$B:$B, 'Instrument Table'!$A:$A, "")</f>
        <v>60</v>
      </c>
      <c r="G3247" s="1" t="str">
        <f>TEXT(IF($B3247 = "Retail Item", IF((ROW($A3247) - 4504 - _xlfn.XMATCH($C3247, $C$4506:$C$5005, 0, 1)) &lt;= VLOOKUP($C3247, 'Instrument Table'!$B:$D, 3, FALSE), ROW($A3247) - 4504 - _xlfn.XMATCH($C3247, $C$4506:$C$5005, 0, 1), 0), 0), "00")</f>
        <v>00</v>
      </c>
      <c r="H3247" s="1" t="str">
        <f t="shared" si="301"/>
        <v>091</v>
      </c>
      <c r="I3247" s="1" t="str">
        <f t="shared" si="302"/>
        <v>16000-091</v>
      </c>
      <c r="J3247" s="1" t="str">
        <f t="shared" si="303"/>
        <v>Theremin production item #091</v>
      </c>
      <c r="K3247" s="1" t="str">
        <f>IF(SUM(COUNTIFS(I:I, I3247)) &gt; 1, "DUPLICATE", "UNIQUE")</f>
        <v>UNIQUE</v>
      </c>
      <c r="L3247" s="18">
        <v>1</v>
      </c>
      <c r="M3247" s="28">
        <v>100</v>
      </c>
      <c r="N3247" s="6">
        <v>324</v>
      </c>
      <c r="O3247" s="30">
        <f t="shared" si="304"/>
        <v>100</v>
      </c>
      <c r="P3247" s="30">
        <f t="shared" si="305"/>
        <v>32400</v>
      </c>
      <c r="Q3247" s="1">
        <f>COUNTIFS($P:$P, "&gt;" &amp; $P3247) + 1</f>
        <v>636</v>
      </c>
      <c r="R3247" s="63">
        <f>(COUNTIFS($P:$P, "&gt;" &amp; $P3247) + 1) / (COUNTA($I:$I) - 1)</f>
        <v>0.12720000000000001</v>
      </c>
      <c r="S3247" s="23">
        <f>SUMIFS($P:$P, $Q:$Q, "&lt;" &amp; $Q3247)</f>
        <v>157094192</v>
      </c>
    </row>
    <row r="3248" spans="1:19" x14ac:dyDescent="0.25">
      <c r="A3248" s="1">
        <v>3243</v>
      </c>
      <c r="B3248" s="1" t="s">
        <v>2</v>
      </c>
      <c r="C3248" s="1" t="str">
        <f>IF($B3248 = "Production Item", _xlfn.XLOOKUP($A3248, 'Instrument Table'!$J:$J, 'Instrument Table'!$B:$B, $C3247), IF($B3248 = "Service Item", _xlfn.XLOOKUP($A3248, 'Instrument Table'!$I:$I, 'Instrument Table'!$B:$B, $C3247), _xlfn.XLOOKUP($A3248, 'Instrument Table'!$H:$H, 'Instrument Table'!$B:$B, $C3247)))</f>
        <v>Theremin</v>
      </c>
      <c r="D3248" s="1" t="str">
        <f>VLOOKUP($C3248, 'Instrument Table'!$B:$C, 2, FALSE)</f>
        <v>Other</v>
      </c>
      <c r="E3248" s="1">
        <f t="shared" si="300"/>
        <v>1</v>
      </c>
      <c r="F3248" s="1">
        <f>_xlfn.XLOOKUP($C3248, 'Instrument Table'!$B:$B, 'Instrument Table'!$A:$A, "")</f>
        <v>60</v>
      </c>
      <c r="G3248" s="1" t="str">
        <f>TEXT(IF($B3248 = "Retail Item", IF((ROW($A3248) - 4504 - _xlfn.XMATCH($C3248, $C$4506:$C$5005, 0, 1)) &lt;= VLOOKUP($C3248, 'Instrument Table'!$B:$D, 3, FALSE), ROW($A3248) - 4504 - _xlfn.XMATCH($C3248, $C$4506:$C$5005, 0, 1), 0), 0), "00")</f>
        <v>00</v>
      </c>
      <c r="H3248" s="1" t="str">
        <f t="shared" si="301"/>
        <v>092</v>
      </c>
      <c r="I3248" s="1" t="str">
        <f t="shared" si="302"/>
        <v>16000-092</v>
      </c>
      <c r="J3248" s="1" t="str">
        <f t="shared" si="303"/>
        <v>Theremin production item #092</v>
      </c>
      <c r="K3248" s="1" t="str">
        <f>IF(SUM(COUNTIFS(I:I, I3248)) &gt; 1, "DUPLICATE", "UNIQUE")</f>
        <v>UNIQUE</v>
      </c>
      <c r="L3248" s="18">
        <v>0</v>
      </c>
      <c r="M3248" s="28">
        <v>14</v>
      </c>
      <c r="N3248" s="6">
        <v>324</v>
      </c>
      <c r="O3248" s="30">
        <f t="shared" si="304"/>
        <v>0</v>
      </c>
      <c r="P3248" s="30">
        <f t="shared" si="305"/>
        <v>4536</v>
      </c>
      <c r="Q3248" s="1">
        <f>COUNTIFS($P:$P, "&gt;" &amp; $P3248) + 1</f>
        <v>2534</v>
      </c>
      <c r="R3248" s="63">
        <f>(COUNTIFS($P:$P, "&gt;" &amp; $P3248) + 1) / (COUNTA($I:$I) - 1)</f>
        <v>0.50680000000000003</v>
      </c>
      <c r="S3248" s="23">
        <f>SUMIFS($P:$P, $Q:$Q, "&lt;" &amp; $Q3248)</f>
        <v>183272703</v>
      </c>
    </row>
    <row r="3249" spans="1:19" x14ac:dyDescent="0.25">
      <c r="A3249" s="1">
        <v>3244</v>
      </c>
      <c r="B3249" s="1" t="s">
        <v>2</v>
      </c>
      <c r="C3249" s="1" t="str">
        <f>IF($B3249 = "Production Item", _xlfn.XLOOKUP($A3249, 'Instrument Table'!$J:$J, 'Instrument Table'!$B:$B, $C3248), IF($B3249 = "Service Item", _xlfn.XLOOKUP($A3249, 'Instrument Table'!$I:$I, 'Instrument Table'!$B:$B, $C3248), _xlfn.XLOOKUP($A3249, 'Instrument Table'!$H:$H, 'Instrument Table'!$B:$B, $C3248)))</f>
        <v>Theremin</v>
      </c>
      <c r="D3249" s="1" t="str">
        <f>VLOOKUP($C3249, 'Instrument Table'!$B:$C, 2, FALSE)</f>
        <v>Other</v>
      </c>
      <c r="E3249" s="1">
        <f t="shared" si="300"/>
        <v>1</v>
      </c>
      <c r="F3249" s="1">
        <f>_xlfn.XLOOKUP($C3249, 'Instrument Table'!$B:$B, 'Instrument Table'!$A:$A, "")</f>
        <v>60</v>
      </c>
      <c r="G3249" s="1" t="str">
        <f>TEXT(IF($B3249 = "Retail Item", IF((ROW($A3249) - 4504 - _xlfn.XMATCH($C3249, $C$4506:$C$5005, 0, 1)) &lt;= VLOOKUP($C3249, 'Instrument Table'!$B:$D, 3, FALSE), ROW($A3249) - 4504 - _xlfn.XMATCH($C3249, $C$4506:$C$5005, 0, 1), 0), 0), "00")</f>
        <v>00</v>
      </c>
      <c r="H3249" s="1" t="str">
        <f t="shared" si="301"/>
        <v>093</v>
      </c>
      <c r="I3249" s="1" t="str">
        <f t="shared" si="302"/>
        <v>16000-093</v>
      </c>
      <c r="J3249" s="1" t="str">
        <f t="shared" si="303"/>
        <v>Theremin production item #093</v>
      </c>
      <c r="K3249" s="1" t="str">
        <f>IF(SUM(COUNTIFS(I:I, I3249)) &gt; 1, "DUPLICATE", "UNIQUE")</f>
        <v>UNIQUE</v>
      </c>
      <c r="L3249" s="18">
        <v>0</v>
      </c>
      <c r="M3249" s="28">
        <v>8</v>
      </c>
      <c r="N3249" s="6">
        <v>324</v>
      </c>
      <c r="O3249" s="30">
        <f t="shared" si="304"/>
        <v>0</v>
      </c>
      <c r="P3249" s="30">
        <f t="shared" si="305"/>
        <v>2592</v>
      </c>
      <c r="Q3249" s="1">
        <f>COUNTIFS($P:$P, "&gt;" &amp; $P3249) + 1</f>
        <v>3012</v>
      </c>
      <c r="R3249" s="63">
        <f>(COUNTIFS($P:$P, "&gt;" &amp; $P3249) + 1) / (COUNTA($I:$I) - 1)</f>
        <v>0.60240000000000005</v>
      </c>
      <c r="S3249" s="23">
        <f>SUMIFS($P:$P, $Q:$Q, "&lt;" &amp; $Q3249)</f>
        <v>184963466</v>
      </c>
    </row>
    <row r="3250" spans="1:19" x14ac:dyDescent="0.25">
      <c r="A3250" s="1">
        <v>3245</v>
      </c>
      <c r="B3250" s="1" t="s">
        <v>2</v>
      </c>
      <c r="C3250" s="1" t="str">
        <f>IF($B3250 = "Production Item", _xlfn.XLOOKUP($A3250, 'Instrument Table'!$J:$J, 'Instrument Table'!$B:$B, $C3249), IF($B3250 = "Service Item", _xlfn.XLOOKUP($A3250, 'Instrument Table'!$I:$I, 'Instrument Table'!$B:$B, $C3249), _xlfn.XLOOKUP($A3250, 'Instrument Table'!$H:$H, 'Instrument Table'!$B:$B, $C3249)))</f>
        <v>Theremin</v>
      </c>
      <c r="D3250" s="1" t="str">
        <f>VLOOKUP($C3250, 'Instrument Table'!$B:$C, 2, FALSE)</f>
        <v>Other</v>
      </c>
      <c r="E3250" s="1">
        <f t="shared" si="300"/>
        <v>1</v>
      </c>
      <c r="F3250" s="1">
        <f>_xlfn.XLOOKUP($C3250, 'Instrument Table'!$B:$B, 'Instrument Table'!$A:$A, "")</f>
        <v>60</v>
      </c>
      <c r="G3250" s="1" t="str">
        <f>TEXT(IF($B3250 = "Retail Item", IF((ROW($A3250) - 4504 - _xlfn.XMATCH($C3250, $C$4506:$C$5005, 0, 1)) &lt;= VLOOKUP($C3250, 'Instrument Table'!$B:$D, 3, FALSE), ROW($A3250) - 4504 - _xlfn.XMATCH($C3250, $C$4506:$C$5005, 0, 1), 0), 0), "00")</f>
        <v>00</v>
      </c>
      <c r="H3250" s="1" t="str">
        <f t="shared" si="301"/>
        <v>094</v>
      </c>
      <c r="I3250" s="1" t="str">
        <f t="shared" si="302"/>
        <v>16000-094</v>
      </c>
      <c r="J3250" s="1" t="str">
        <f t="shared" si="303"/>
        <v>Theremin production item #094</v>
      </c>
      <c r="K3250" s="1" t="str">
        <f>IF(SUM(COUNTIFS(I:I, I3250)) &gt; 1, "DUPLICATE", "UNIQUE")</f>
        <v>UNIQUE</v>
      </c>
      <c r="L3250" s="18">
        <v>2</v>
      </c>
      <c r="M3250" s="28">
        <v>19</v>
      </c>
      <c r="N3250" s="6">
        <v>225</v>
      </c>
      <c r="O3250" s="30">
        <f t="shared" si="304"/>
        <v>38</v>
      </c>
      <c r="P3250" s="30">
        <f t="shared" si="305"/>
        <v>4275</v>
      </c>
      <c r="Q3250" s="1">
        <f>COUNTIFS($P:$P, "&gt;" &amp; $P3250) + 1</f>
        <v>2595</v>
      </c>
      <c r="R3250" s="63">
        <f>(COUNTIFS($P:$P, "&gt;" &amp; $P3250) + 1) / (COUNTA($I:$I) - 1)</f>
        <v>0.51900000000000002</v>
      </c>
      <c r="S3250" s="23">
        <f>SUMIFS($P:$P, $Q:$Q, "&lt;" &amp; $Q3250)</f>
        <v>183542086</v>
      </c>
    </row>
    <row r="3251" spans="1:19" x14ac:dyDescent="0.25">
      <c r="A3251" s="1">
        <v>3246</v>
      </c>
      <c r="B3251" s="1" t="s">
        <v>2</v>
      </c>
      <c r="C3251" s="1" t="str">
        <f>IF($B3251 = "Production Item", _xlfn.XLOOKUP($A3251, 'Instrument Table'!$J:$J, 'Instrument Table'!$B:$B, $C3250), IF($B3251 = "Service Item", _xlfn.XLOOKUP($A3251, 'Instrument Table'!$I:$I, 'Instrument Table'!$B:$B, $C3250), _xlfn.XLOOKUP($A3251, 'Instrument Table'!$H:$H, 'Instrument Table'!$B:$B, $C3250)))</f>
        <v>Theremin</v>
      </c>
      <c r="D3251" s="1" t="str">
        <f>VLOOKUP($C3251, 'Instrument Table'!$B:$C, 2, FALSE)</f>
        <v>Other</v>
      </c>
      <c r="E3251" s="1">
        <f t="shared" si="300"/>
        <v>1</v>
      </c>
      <c r="F3251" s="1">
        <f>_xlfn.XLOOKUP($C3251, 'Instrument Table'!$B:$B, 'Instrument Table'!$A:$A, "")</f>
        <v>60</v>
      </c>
      <c r="G3251" s="1" t="str">
        <f>TEXT(IF($B3251 = "Retail Item", IF((ROW($A3251) - 4504 - _xlfn.XMATCH($C3251, $C$4506:$C$5005, 0, 1)) &lt;= VLOOKUP($C3251, 'Instrument Table'!$B:$D, 3, FALSE), ROW($A3251) - 4504 - _xlfn.XMATCH($C3251, $C$4506:$C$5005, 0, 1), 0), 0), "00")</f>
        <v>00</v>
      </c>
      <c r="H3251" s="1" t="str">
        <f t="shared" si="301"/>
        <v>095</v>
      </c>
      <c r="I3251" s="1" t="str">
        <f t="shared" si="302"/>
        <v>16000-095</v>
      </c>
      <c r="J3251" s="1" t="str">
        <f t="shared" si="303"/>
        <v>Theremin production item #095</v>
      </c>
      <c r="K3251" s="1" t="str">
        <f>IF(SUM(COUNTIFS(I:I, I3251)) &gt; 1, "DUPLICATE", "UNIQUE")</f>
        <v>UNIQUE</v>
      </c>
      <c r="L3251" s="18">
        <v>0</v>
      </c>
      <c r="M3251" s="28">
        <v>83</v>
      </c>
      <c r="N3251" s="6">
        <v>25</v>
      </c>
      <c r="O3251" s="30">
        <f t="shared" si="304"/>
        <v>0</v>
      </c>
      <c r="P3251" s="30">
        <f t="shared" si="305"/>
        <v>2075</v>
      </c>
      <c r="Q3251" s="1">
        <f>COUNTIFS($P:$P, "&gt;" &amp; $P3251) + 1</f>
        <v>3217</v>
      </c>
      <c r="R3251" s="63">
        <f>(COUNTIFS($P:$P, "&gt;" &amp; $P3251) + 1) / (COUNTA($I:$I) - 1)</f>
        <v>0.64339999999999997</v>
      </c>
      <c r="S3251" s="23">
        <f>SUMIFS($P:$P, $Q:$Q, "&lt;" &amp; $Q3251)</f>
        <v>185443402</v>
      </c>
    </row>
    <row r="3252" spans="1:19" x14ac:dyDescent="0.25">
      <c r="A3252" s="1">
        <v>3247</v>
      </c>
      <c r="B3252" s="1" t="s">
        <v>2</v>
      </c>
      <c r="C3252" s="1" t="str">
        <f>IF($B3252 = "Production Item", _xlfn.XLOOKUP($A3252, 'Instrument Table'!$J:$J, 'Instrument Table'!$B:$B, $C3251), IF($B3252 = "Service Item", _xlfn.XLOOKUP($A3252, 'Instrument Table'!$I:$I, 'Instrument Table'!$B:$B, $C3251), _xlfn.XLOOKUP($A3252, 'Instrument Table'!$H:$H, 'Instrument Table'!$B:$B, $C3251)))</f>
        <v>Theremin</v>
      </c>
      <c r="D3252" s="1" t="str">
        <f>VLOOKUP($C3252, 'Instrument Table'!$B:$C, 2, FALSE)</f>
        <v>Other</v>
      </c>
      <c r="E3252" s="1">
        <f t="shared" si="300"/>
        <v>1</v>
      </c>
      <c r="F3252" s="1">
        <f>_xlfn.XLOOKUP($C3252, 'Instrument Table'!$B:$B, 'Instrument Table'!$A:$A, "")</f>
        <v>60</v>
      </c>
      <c r="G3252" s="1" t="str">
        <f>TEXT(IF($B3252 = "Retail Item", IF((ROW($A3252) - 4504 - _xlfn.XMATCH($C3252, $C$4506:$C$5005, 0, 1)) &lt;= VLOOKUP($C3252, 'Instrument Table'!$B:$D, 3, FALSE), ROW($A3252) - 4504 - _xlfn.XMATCH($C3252, $C$4506:$C$5005, 0, 1), 0), 0), "00")</f>
        <v>00</v>
      </c>
      <c r="H3252" s="1" t="str">
        <f t="shared" si="301"/>
        <v>096</v>
      </c>
      <c r="I3252" s="1" t="str">
        <f t="shared" si="302"/>
        <v>16000-096</v>
      </c>
      <c r="J3252" s="1" t="str">
        <f t="shared" si="303"/>
        <v>Theremin production item #096</v>
      </c>
      <c r="K3252" s="1" t="str">
        <f>IF(SUM(COUNTIFS(I:I, I3252)) &gt; 1, "DUPLICATE", "UNIQUE")</f>
        <v>UNIQUE</v>
      </c>
      <c r="L3252" s="18">
        <v>8</v>
      </c>
      <c r="M3252" s="28">
        <v>38</v>
      </c>
      <c r="N3252" s="6">
        <v>324</v>
      </c>
      <c r="O3252" s="30">
        <f t="shared" si="304"/>
        <v>304</v>
      </c>
      <c r="P3252" s="30">
        <f t="shared" si="305"/>
        <v>12312</v>
      </c>
      <c r="Q3252" s="1">
        <f>COUNTIFS($P:$P, "&gt;" &amp; $P3252) + 1</f>
        <v>1551</v>
      </c>
      <c r="R3252" s="63">
        <f>(COUNTIFS($P:$P, "&gt;" &amp; $P3252) + 1) / (COUNTA($I:$I) - 1)</f>
        <v>0.31019999999999998</v>
      </c>
      <c r="S3252" s="23">
        <f>SUMIFS($P:$P, $Q:$Q, "&lt;" &amp; $Q3252)</f>
        <v>175487366</v>
      </c>
    </row>
    <row r="3253" spans="1:19" x14ac:dyDescent="0.25">
      <c r="A3253" s="1">
        <v>3248</v>
      </c>
      <c r="B3253" s="1" t="s">
        <v>2</v>
      </c>
      <c r="C3253" s="1" t="str">
        <f>IF($B3253 = "Production Item", _xlfn.XLOOKUP($A3253, 'Instrument Table'!$J:$J, 'Instrument Table'!$B:$B, $C3252), IF($B3253 = "Service Item", _xlfn.XLOOKUP($A3253, 'Instrument Table'!$I:$I, 'Instrument Table'!$B:$B, $C3252), _xlfn.XLOOKUP($A3253, 'Instrument Table'!$H:$H, 'Instrument Table'!$B:$B, $C3252)))</f>
        <v>Theremin</v>
      </c>
      <c r="D3253" s="1" t="str">
        <f>VLOOKUP($C3253, 'Instrument Table'!$B:$C, 2, FALSE)</f>
        <v>Other</v>
      </c>
      <c r="E3253" s="1">
        <f t="shared" si="300"/>
        <v>1</v>
      </c>
      <c r="F3253" s="1">
        <f>_xlfn.XLOOKUP($C3253, 'Instrument Table'!$B:$B, 'Instrument Table'!$A:$A, "")</f>
        <v>60</v>
      </c>
      <c r="G3253" s="1" t="str">
        <f>TEXT(IF($B3253 = "Retail Item", IF((ROW($A3253) - 4504 - _xlfn.XMATCH($C3253, $C$4506:$C$5005, 0, 1)) &lt;= VLOOKUP($C3253, 'Instrument Table'!$B:$D, 3, FALSE), ROW($A3253) - 4504 - _xlfn.XMATCH($C3253, $C$4506:$C$5005, 0, 1), 0), 0), "00")</f>
        <v>00</v>
      </c>
      <c r="H3253" s="1" t="str">
        <f t="shared" si="301"/>
        <v>097</v>
      </c>
      <c r="I3253" s="1" t="str">
        <f t="shared" si="302"/>
        <v>16000-097</v>
      </c>
      <c r="J3253" s="1" t="str">
        <f t="shared" si="303"/>
        <v>Theremin production item #097</v>
      </c>
      <c r="K3253" s="1" t="str">
        <f>IF(SUM(COUNTIFS(I:I, I3253)) &gt; 1, "DUPLICATE", "UNIQUE")</f>
        <v>UNIQUE</v>
      </c>
      <c r="L3253" s="18">
        <v>1</v>
      </c>
      <c r="M3253" s="28">
        <v>88</v>
      </c>
      <c r="N3253" s="6">
        <v>121</v>
      </c>
      <c r="O3253" s="30">
        <f t="shared" si="304"/>
        <v>88</v>
      </c>
      <c r="P3253" s="30">
        <f t="shared" si="305"/>
        <v>10648</v>
      </c>
      <c r="Q3253" s="1">
        <f>COUNTIFS($P:$P, "&gt;" &amp; $P3253) + 1</f>
        <v>1716</v>
      </c>
      <c r="R3253" s="63">
        <f>(COUNTIFS($P:$P, "&gt;" &amp; $P3253) + 1) / (COUNTA($I:$I) - 1)</f>
        <v>0.34320000000000001</v>
      </c>
      <c r="S3253" s="23">
        <f>SUMIFS($P:$P, $Q:$Q, "&lt;" &amp; $Q3253)</f>
        <v>177385796</v>
      </c>
    </row>
    <row r="3254" spans="1:19" x14ac:dyDescent="0.25">
      <c r="A3254" s="1">
        <v>3249</v>
      </c>
      <c r="B3254" s="1" t="s">
        <v>2</v>
      </c>
      <c r="C3254" s="1" t="str">
        <f>IF($B3254 = "Production Item", _xlfn.XLOOKUP($A3254, 'Instrument Table'!$J:$J, 'Instrument Table'!$B:$B, $C3253), IF($B3254 = "Service Item", _xlfn.XLOOKUP($A3254, 'Instrument Table'!$I:$I, 'Instrument Table'!$B:$B, $C3253), _xlfn.XLOOKUP($A3254, 'Instrument Table'!$H:$H, 'Instrument Table'!$B:$B, $C3253)))</f>
        <v>Theremin</v>
      </c>
      <c r="D3254" s="1" t="str">
        <f>VLOOKUP($C3254, 'Instrument Table'!$B:$C, 2, FALSE)</f>
        <v>Other</v>
      </c>
      <c r="E3254" s="1">
        <f t="shared" si="300"/>
        <v>1</v>
      </c>
      <c r="F3254" s="1">
        <f>_xlfn.XLOOKUP($C3254, 'Instrument Table'!$B:$B, 'Instrument Table'!$A:$A, "")</f>
        <v>60</v>
      </c>
      <c r="G3254" s="1" t="str">
        <f>TEXT(IF($B3254 = "Retail Item", IF((ROW($A3254) - 4504 - _xlfn.XMATCH($C3254, $C$4506:$C$5005, 0, 1)) &lt;= VLOOKUP($C3254, 'Instrument Table'!$B:$D, 3, FALSE), ROW($A3254) - 4504 - _xlfn.XMATCH($C3254, $C$4506:$C$5005, 0, 1), 0), 0), "00")</f>
        <v>00</v>
      </c>
      <c r="H3254" s="1" t="str">
        <f t="shared" si="301"/>
        <v>098</v>
      </c>
      <c r="I3254" s="1" t="str">
        <f t="shared" si="302"/>
        <v>16000-098</v>
      </c>
      <c r="J3254" s="1" t="str">
        <f t="shared" si="303"/>
        <v>Theremin production item #098</v>
      </c>
      <c r="K3254" s="1" t="str">
        <f>IF(SUM(COUNTIFS(I:I, I3254)) &gt; 1, "DUPLICATE", "UNIQUE")</f>
        <v>UNIQUE</v>
      </c>
      <c r="L3254" s="18">
        <v>8</v>
      </c>
      <c r="M3254" s="28">
        <v>95</v>
      </c>
      <c r="N3254" s="6">
        <v>100</v>
      </c>
      <c r="O3254" s="30">
        <f t="shared" si="304"/>
        <v>760</v>
      </c>
      <c r="P3254" s="30">
        <f t="shared" si="305"/>
        <v>9500</v>
      </c>
      <c r="Q3254" s="1">
        <f>COUNTIFS($P:$P, "&gt;" &amp; $P3254) + 1</f>
        <v>1817</v>
      </c>
      <c r="R3254" s="63">
        <f>(COUNTIFS($P:$P, "&gt;" &amp; $P3254) + 1) / (COUNTA($I:$I) - 1)</f>
        <v>0.3634</v>
      </c>
      <c r="S3254" s="23">
        <f>SUMIFS($P:$P, $Q:$Q, "&lt;" &amp; $Q3254)</f>
        <v>178404393</v>
      </c>
    </row>
    <row r="3255" spans="1:19" x14ac:dyDescent="0.25">
      <c r="A3255" s="1">
        <v>3250</v>
      </c>
      <c r="B3255" s="1" t="s">
        <v>2</v>
      </c>
      <c r="C3255" s="1" t="str">
        <f>IF($B3255 = "Production Item", _xlfn.XLOOKUP($A3255, 'Instrument Table'!$J:$J, 'Instrument Table'!$B:$B, $C3254), IF($B3255 = "Service Item", _xlfn.XLOOKUP($A3255, 'Instrument Table'!$I:$I, 'Instrument Table'!$B:$B, $C3254), _xlfn.XLOOKUP($A3255, 'Instrument Table'!$H:$H, 'Instrument Table'!$B:$B, $C3254)))</f>
        <v>Theremin</v>
      </c>
      <c r="D3255" s="1" t="str">
        <f>VLOOKUP($C3255, 'Instrument Table'!$B:$C, 2, FALSE)</f>
        <v>Other</v>
      </c>
      <c r="E3255" s="1">
        <f t="shared" si="300"/>
        <v>1</v>
      </c>
      <c r="F3255" s="1">
        <f>_xlfn.XLOOKUP($C3255, 'Instrument Table'!$B:$B, 'Instrument Table'!$A:$A, "")</f>
        <v>60</v>
      </c>
      <c r="G3255" s="1" t="str">
        <f>TEXT(IF($B3255 = "Retail Item", IF((ROW($A3255) - 4504 - _xlfn.XMATCH($C3255, $C$4506:$C$5005, 0, 1)) &lt;= VLOOKUP($C3255, 'Instrument Table'!$B:$D, 3, FALSE), ROW($A3255) - 4504 - _xlfn.XMATCH($C3255, $C$4506:$C$5005, 0, 1), 0), 0), "00")</f>
        <v>00</v>
      </c>
      <c r="H3255" s="1" t="str">
        <f t="shared" si="301"/>
        <v>099</v>
      </c>
      <c r="I3255" s="1" t="str">
        <f t="shared" si="302"/>
        <v>16000-099</v>
      </c>
      <c r="J3255" s="1" t="str">
        <f t="shared" si="303"/>
        <v>Theremin production item #099</v>
      </c>
      <c r="K3255" s="1" t="str">
        <f>IF(SUM(COUNTIFS(I:I, I3255)) &gt; 1, "DUPLICATE", "UNIQUE")</f>
        <v>UNIQUE</v>
      </c>
      <c r="L3255" s="18">
        <v>1</v>
      </c>
      <c r="M3255" s="28">
        <v>97</v>
      </c>
      <c r="N3255" s="6">
        <v>81</v>
      </c>
      <c r="O3255" s="30">
        <f t="shared" si="304"/>
        <v>97</v>
      </c>
      <c r="P3255" s="30">
        <f t="shared" si="305"/>
        <v>7857</v>
      </c>
      <c r="Q3255" s="1">
        <f>COUNTIFS($P:$P, "&gt;" &amp; $P3255) + 1</f>
        <v>2008</v>
      </c>
      <c r="R3255" s="63">
        <f>(COUNTIFS($P:$P, "&gt;" &amp; $P3255) + 1) / (COUNTA($I:$I) - 1)</f>
        <v>0.40160000000000001</v>
      </c>
      <c r="S3255" s="23">
        <f>SUMIFS($P:$P, $Q:$Q, "&lt;" &amp; $Q3255)</f>
        <v>180059590</v>
      </c>
    </row>
    <row r="3256" spans="1:19" x14ac:dyDescent="0.25">
      <c r="A3256" s="1">
        <v>3251</v>
      </c>
      <c r="B3256" s="1" t="s">
        <v>2</v>
      </c>
      <c r="C3256" s="1" t="str">
        <f>IF($B3256 = "Production Item", _xlfn.XLOOKUP($A3256, 'Instrument Table'!$J:$J, 'Instrument Table'!$B:$B, $C3255), IF($B3256 = "Service Item", _xlfn.XLOOKUP($A3256, 'Instrument Table'!$I:$I, 'Instrument Table'!$B:$B, $C3255), _xlfn.XLOOKUP($A3256, 'Instrument Table'!$H:$H, 'Instrument Table'!$B:$B, $C3255)))</f>
        <v>Theremin</v>
      </c>
      <c r="D3256" s="1" t="str">
        <f>VLOOKUP($C3256, 'Instrument Table'!$B:$C, 2, FALSE)</f>
        <v>Other</v>
      </c>
      <c r="E3256" s="1">
        <f t="shared" si="300"/>
        <v>1</v>
      </c>
      <c r="F3256" s="1">
        <f>_xlfn.XLOOKUP($C3256, 'Instrument Table'!$B:$B, 'Instrument Table'!$A:$A, "")</f>
        <v>60</v>
      </c>
      <c r="G3256" s="1" t="str">
        <f>TEXT(IF($B3256 = "Retail Item", IF((ROW($A3256) - 4504 - _xlfn.XMATCH($C3256, $C$4506:$C$5005, 0, 1)) &lt;= VLOOKUP($C3256, 'Instrument Table'!$B:$D, 3, FALSE), ROW($A3256) - 4504 - _xlfn.XMATCH($C3256, $C$4506:$C$5005, 0, 1), 0), 0), "00")</f>
        <v>00</v>
      </c>
      <c r="H3256" s="1" t="str">
        <f t="shared" si="301"/>
        <v>100</v>
      </c>
      <c r="I3256" s="1" t="str">
        <f t="shared" si="302"/>
        <v>16000-100</v>
      </c>
      <c r="J3256" s="1" t="str">
        <f t="shared" si="303"/>
        <v>Theremin production item #100</v>
      </c>
      <c r="K3256" s="1" t="str">
        <f>IF(SUM(COUNTIFS(I:I, I3256)) &gt; 1, "DUPLICATE", "UNIQUE")</f>
        <v>UNIQUE</v>
      </c>
      <c r="L3256" s="18">
        <v>1</v>
      </c>
      <c r="M3256" s="28">
        <v>37</v>
      </c>
      <c r="N3256" s="6">
        <v>81</v>
      </c>
      <c r="O3256" s="30">
        <f t="shared" si="304"/>
        <v>37</v>
      </c>
      <c r="P3256" s="30">
        <f t="shared" si="305"/>
        <v>2997</v>
      </c>
      <c r="Q3256" s="1">
        <f>COUNTIFS($P:$P, "&gt;" &amp; $P3256) + 1</f>
        <v>2909</v>
      </c>
      <c r="R3256" s="63">
        <f>(COUNTIFS($P:$P, "&gt;" &amp; $P3256) + 1) / (COUNTA($I:$I) - 1)</f>
        <v>0.58179999999999998</v>
      </c>
      <c r="S3256" s="23">
        <f>SUMIFS($P:$P, $Q:$Q, "&lt;" &amp; $Q3256)</f>
        <v>184675418</v>
      </c>
    </row>
    <row r="3257" spans="1:19" x14ac:dyDescent="0.25">
      <c r="A3257" s="1">
        <v>3252</v>
      </c>
      <c r="B3257" s="1" t="s">
        <v>2</v>
      </c>
      <c r="C3257" s="1" t="str">
        <f>IF($B3257 = "Production Item", _xlfn.XLOOKUP($A3257, 'Instrument Table'!$J:$J, 'Instrument Table'!$B:$B, $C3256), IF($B3257 = "Service Item", _xlfn.XLOOKUP($A3257, 'Instrument Table'!$I:$I, 'Instrument Table'!$B:$B, $C3256), _xlfn.XLOOKUP($A3257, 'Instrument Table'!$H:$H, 'Instrument Table'!$B:$B, $C3256)))</f>
        <v>Theremin</v>
      </c>
      <c r="D3257" s="1" t="str">
        <f>VLOOKUP($C3257, 'Instrument Table'!$B:$C, 2, FALSE)</f>
        <v>Other</v>
      </c>
      <c r="E3257" s="1">
        <f t="shared" si="300"/>
        <v>1</v>
      </c>
      <c r="F3257" s="1">
        <f>_xlfn.XLOOKUP($C3257, 'Instrument Table'!$B:$B, 'Instrument Table'!$A:$A, "")</f>
        <v>60</v>
      </c>
      <c r="G3257" s="1" t="str">
        <f>TEXT(IF($B3257 = "Retail Item", IF((ROW($A3257) - 4504 - _xlfn.XMATCH($C3257, $C$4506:$C$5005, 0, 1)) &lt;= VLOOKUP($C3257, 'Instrument Table'!$B:$D, 3, FALSE), ROW($A3257) - 4504 - _xlfn.XMATCH($C3257, $C$4506:$C$5005, 0, 1), 0), 0), "00")</f>
        <v>00</v>
      </c>
      <c r="H3257" s="1" t="str">
        <f t="shared" si="301"/>
        <v>101</v>
      </c>
      <c r="I3257" s="1" t="str">
        <f t="shared" si="302"/>
        <v>16000-101</v>
      </c>
      <c r="J3257" s="1" t="str">
        <f t="shared" si="303"/>
        <v>Theremin production item #101</v>
      </c>
      <c r="K3257" s="1" t="str">
        <f>IF(SUM(COUNTIFS(I:I, I3257)) &gt; 1, "DUPLICATE", "UNIQUE")</f>
        <v>UNIQUE</v>
      </c>
      <c r="L3257" s="18">
        <v>0</v>
      </c>
      <c r="M3257" s="28">
        <v>98</v>
      </c>
      <c r="N3257" s="6">
        <v>49</v>
      </c>
      <c r="O3257" s="30">
        <f t="shared" si="304"/>
        <v>0</v>
      </c>
      <c r="P3257" s="30">
        <f t="shared" si="305"/>
        <v>4802</v>
      </c>
      <c r="Q3257" s="1">
        <f>COUNTIFS($P:$P, "&gt;" &amp; $P3257) + 1</f>
        <v>2483</v>
      </c>
      <c r="R3257" s="63">
        <f>(COUNTIFS($P:$P, "&gt;" &amp; $P3257) + 1) / (COUNTA($I:$I) - 1)</f>
        <v>0.49659999999999999</v>
      </c>
      <c r="S3257" s="23">
        <f>SUMIFS($P:$P, $Q:$Q, "&lt;" &amp; $Q3257)</f>
        <v>183034124</v>
      </c>
    </row>
    <row r="3258" spans="1:19" x14ac:dyDescent="0.25">
      <c r="A3258" s="1">
        <v>3253</v>
      </c>
      <c r="B3258" s="1" t="s">
        <v>2</v>
      </c>
      <c r="C3258" s="1" t="str">
        <f>IF($B3258 = "Production Item", _xlfn.XLOOKUP($A3258, 'Instrument Table'!$J:$J, 'Instrument Table'!$B:$B, $C3257), IF($B3258 = "Service Item", _xlfn.XLOOKUP($A3258, 'Instrument Table'!$I:$I, 'Instrument Table'!$B:$B, $C3257), _xlfn.XLOOKUP($A3258, 'Instrument Table'!$H:$H, 'Instrument Table'!$B:$B, $C3257)))</f>
        <v>Theremin</v>
      </c>
      <c r="D3258" s="1" t="str">
        <f>VLOOKUP($C3258, 'Instrument Table'!$B:$C, 2, FALSE)</f>
        <v>Other</v>
      </c>
      <c r="E3258" s="1">
        <f t="shared" si="300"/>
        <v>1</v>
      </c>
      <c r="F3258" s="1">
        <f>_xlfn.XLOOKUP($C3258, 'Instrument Table'!$B:$B, 'Instrument Table'!$A:$A, "")</f>
        <v>60</v>
      </c>
      <c r="G3258" s="1" t="str">
        <f>TEXT(IF($B3258 = "Retail Item", IF((ROW($A3258) - 4504 - _xlfn.XMATCH($C3258, $C$4506:$C$5005, 0, 1)) &lt;= VLOOKUP($C3258, 'Instrument Table'!$B:$D, 3, FALSE), ROW($A3258) - 4504 - _xlfn.XMATCH($C3258, $C$4506:$C$5005, 0, 1), 0), 0), "00")</f>
        <v>00</v>
      </c>
      <c r="H3258" s="1" t="str">
        <f t="shared" si="301"/>
        <v>102</v>
      </c>
      <c r="I3258" s="1" t="str">
        <f t="shared" si="302"/>
        <v>16000-102</v>
      </c>
      <c r="J3258" s="1" t="str">
        <f t="shared" si="303"/>
        <v>Theremin production item #102</v>
      </c>
      <c r="K3258" s="1" t="str">
        <f>IF(SUM(COUNTIFS(I:I, I3258)) &gt; 1, "DUPLICATE", "UNIQUE")</f>
        <v>UNIQUE</v>
      </c>
      <c r="L3258" s="18">
        <v>8</v>
      </c>
      <c r="M3258" s="28">
        <v>54</v>
      </c>
      <c r="N3258" s="6">
        <v>225</v>
      </c>
      <c r="O3258" s="30">
        <f t="shared" si="304"/>
        <v>432</v>
      </c>
      <c r="P3258" s="30">
        <f t="shared" si="305"/>
        <v>12150</v>
      </c>
      <c r="Q3258" s="1">
        <f>COUNTIFS($P:$P, "&gt;" &amp; $P3258) + 1</f>
        <v>1566</v>
      </c>
      <c r="R3258" s="63">
        <f>(COUNTIFS($P:$P, "&gt;" &amp; $P3258) + 1) / (COUNTA($I:$I) - 1)</f>
        <v>0.31319999999999998</v>
      </c>
      <c r="S3258" s="23">
        <f>SUMIFS($P:$P, $Q:$Q, "&lt;" &amp; $Q3258)</f>
        <v>175670874</v>
      </c>
    </row>
    <row r="3259" spans="1:19" x14ac:dyDescent="0.25">
      <c r="A3259" s="1">
        <v>3254</v>
      </c>
      <c r="B3259" s="1" t="s">
        <v>2</v>
      </c>
      <c r="C3259" s="1" t="str">
        <f>IF($B3259 = "Production Item", _xlfn.XLOOKUP($A3259, 'Instrument Table'!$J:$J, 'Instrument Table'!$B:$B, $C3258), IF($B3259 = "Service Item", _xlfn.XLOOKUP($A3259, 'Instrument Table'!$I:$I, 'Instrument Table'!$B:$B, $C3258), _xlfn.XLOOKUP($A3259, 'Instrument Table'!$H:$H, 'Instrument Table'!$B:$B, $C3258)))</f>
        <v>Theremin</v>
      </c>
      <c r="D3259" s="1" t="str">
        <f>VLOOKUP($C3259, 'Instrument Table'!$B:$C, 2, FALSE)</f>
        <v>Other</v>
      </c>
      <c r="E3259" s="1">
        <f t="shared" si="300"/>
        <v>1</v>
      </c>
      <c r="F3259" s="1">
        <f>_xlfn.XLOOKUP($C3259, 'Instrument Table'!$B:$B, 'Instrument Table'!$A:$A, "")</f>
        <v>60</v>
      </c>
      <c r="G3259" s="1" t="str">
        <f>TEXT(IF($B3259 = "Retail Item", IF((ROW($A3259) - 4504 - _xlfn.XMATCH($C3259, $C$4506:$C$5005, 0, 1)) &lt;= VLOOKUP($C3259, 'Instrument Table'!$B:$D, 3, FALSE), ROW($A3259) - 4504 - _xlfn.XMATCH($C3259, $C$4506:$C$5005, 0, 1), 0), 0), "00")</f>
        <v>00</v>
      </c>
      <c r="H3259" s="1" t="str">
        <f t="shared" si="301"/>
        <v>103</v>
      </c>
      <c r="I3259" s="1" t="str">
        <f t="shared" si="302"/>
        <v>16000-103</v>
      </c>
      <c r="J3259" s="1" t="str">
        <f t="shared" si="303"/>
        <v>Theremin production item #103</v>
      </c>
      <c r="K3259" s="1" t="str">
        <f>IF(SUM(COUNTIFS(I:I, I3259)) &gt; 1, "DUPLICATE", "UNIQUE")</f>
        <v>UNIQUE</v>
      </c>
      <c r="L3259" s="18">
        <v>1</v>
      </c>
      <c r="M3259" s="28">
        <v>88</v>
      </c>
      <c r="N3259" s="6">
        <v>4</v>
      </c>
      <c r="O3259" s="30">
        <f t="shared" si="304"/>
        <v>88</v>
      </c>
      <c r="P3259" s="30">
        <f t="shared" si="305"/>
        <v>352</v>
      </c>
      <c r="Q3259" s="1">
        <f>COUNTIFS($P:$P, "&gt;" &amp; $P3259) + 1</f>
        <v>4147</v>
      </c>
      <c r="R3259" s="63">
        <f>(COUNTIFS($P:$P, "&gt;" &amp; $P3259) + 1) / (COUNTA($I:$I) - 1)</f>
        <v>0.82940000000000003</v>
      </c>
      <c r="S3259" s="23">
        <f>SUMIFS($P:$P, $Q:$Q, "&lt;" &amp; $Q3259)</f>
        <v>186462669</v>
      </c>
    </row>
    <row r="3260" spans="1:19" x14ac:dyDescent="0.25">
      <c r="A3260" s="1">
        <v>3255</v>
      </c>
      <c r="B3260" s="1" t="s">
        <v>2</v>
      </c>
      <c r="C3260" s="1" t="str">
        <f>IF($B3260 = "Production Item", _xlfn.XLOOKUP($A3260, 'Instrument Table'!$J:$J, 'Instrument Table'!$B:$B, $C3259), IF($B3260 = "Service Item", _xlfn.XLOOKUP($A3260, 'Instrument Table'!$I:$I, 'Instrument Table'!$B:$B, $C3259), _xlfn.XLOOKUP($A3260, 'Instrument Table'!$H:$H, 'Instrument Table'!$B:$B, $C3259)))</f>
        <v>Theremin</v>
      </c>
      <c r="D3260" s="1" t="str">
        <f>VLOOKUP($C3260, 'Instrument Table'!$B:$C, 2, FALSE)</f>
        <v>Other</v>
      </c>
      <c r="E3260" s="1">
        <f t="shared" si="300"/>
        <v>1</v>
      </c>
      <c r="F3260" s="1">
        <f>_xlfn.XLOOKUP($C3260, 'Instrument Table'!$B:$B, 'Instrument Table'!$A:$A, "")</f>
        <v>60</v>
      </c>
      <c r="G3260" s="1" t="str">
        <f>TEXT(IF($B3260 = "Retail Item", IF((ROW($A3260) - 4504 - _xlfn.XMATCH($C3260, $C$4506:$C$5005, 0, 1)) &lt;= VLOOKUP($C3260, 'Instrument Table'!$B:$D, 3, FALSE), ROW($A3260) - 4504 - _xlfn.XMATCH($C3260, $C$4506:$C$5005, 0, 1), 0), 0), "00")</f>
        <v>00</v>
      </c>
      <c r="H3260" s="1" t="str">
        <f t="shared" si="301"/>
        <v>104</v>
      </c>
      <c r="I3260" s="1" t="str">
        <f t="shared" si="302"/>
        <v>16000-104</v>
      </c>
      <c r="J3260" s="1" t="str">
        <f t="shared" si="303"/>
        <v>Theremin production item #104</v>
      </c>
      <c r="K3260" s="1" t="str">
        <f>IF(SUM(COUNTIFS(I:I, I3260)) &gt; 1, "DUPLICATE", "UNIQUE")</f>
        <v>UNIQUE</v>
      </c>
      <c r="L3260" s="18">
        <v>1</v>
      </c>
      <c r="M3260" s="28">
        <v>63</v>
      </c>
      <c r="N3260" s="6">
        <v>256</v>
      </c>
      <c r="O3260" s="30">
        <f t="shared" si="304"/>
        <v>63</v>
      </c>
      <c r="P3260" s="30">
        <f t="shared" si="305"/>
        <v>16128</v>
      </c>
      <c r="Q3260" s="1">
        <f>COUNTIFS($P:$P, "&gt;" &amp; $P3260) + 1</f>
        <v>1276</v>
      </c>
      <c r="R3260" s="63">
        <f>(COUNTIFS($P:$P, "&gt;" &amp; $P3260) + 1) / (COUNTA($I:$I) - 1)</f>
        <v>0.25519999999999998</v>
      </c>
      <c r="S3260" s="23">
        <f>SUMIFS($P:$P, $Q:$Q, "&lt;" &amp; $Q3260)</f>
        <v>171592386</v>
      </c>
    </row>
    <row r="3261" spans="1:19" x14ac:dyDescent="0.25">
      <c r="A3261" s="1">
        <v>3256</v>
      </c>
      <c r="B3261" s="1" t="s">
        <v>2</v>
      </c>
      <c r="C3261" s="1" t="str">
        <f>IF($B3261 = "Production Item", _xlfn.XLOOKUP($A3261, 'Instrument Table'!$J:$J, 'Instrument Table'!$B:$B, $C3260), IF($B3261 = "Service Item", _xlfn.XLOOKUP($A3261, 'Instrument Table'!$I:$I, 'Instrument Table'!$B:$B, $C3260), _xlfn.XLOOKUP($A3261, 'Instrument Table'!$H:$H, 'Instrument Table'!$B:$B, $C3260)))</f>
        <v>Theremin</v>
      </c>
      <c r="D3261" s="1" t="str">
        <f>VLOOKUP($C3261, 'Instrument Table'!$B:$C, 2, FALSE)</f>
        <v>Other</v>
      </c>
      <c r="E3261" s="1">
        <f t="shared" si="300"/>
        <v>1</v>
      </c>
      <c r="F3261" s="1">
        <f>_xlfn.XLOOKUP($C3261, 'Instrument Table'!$B:$B, 'Instrument Table'!$A:$A, "")</f>
        <v>60</v>
      </c>
      <c r="G3261" s="1" t="str">
        <f>TEXT(IF($B3261 = "Retail Item", IF((ROW($A3261) - 4504 - _xlfn.XMATCH($C3261, $C$4506:$C$5005, 0, 1)) &lt;= VLOOKUP($C3261, 'Instrument Table'!$B:$D, 3, FALSE), ROW($A3261) - 4504 - _xlfn.XMATCH($C3261, $C$4506:$C$5005, 0, 1), 0), 0), "00")</f>
        <v>00</v>
      </c>
      <c r="H3261" s="1" t="str">
        <f t="shared" si="301"/>
        <v>105</v>
      </c>
      <c r="I3261" s="1" t="str">
        <f t="shared" si="302"/>
        <v>16000-105</v>
      </c>
      <c r="J3261" s="1" t="str">
        <f t="shared" si="303"/>
        <v>Theremin production item #105</v>
      </c>
      <c r="K3261" s="1" t="str">
        <f>IF(SUM(COUNTIFS(I:I, I3261)) &gt; 1, "DUPLICATE", "UNIQUE")</f>
        <v>UNIQUE</v>
      </c>
      <c r="L3261" s="18">
        <v>0</v>
      </c>
      <c r="M3261" s="28">
        <v>38</v>
      </c>
      <c r="N3261" s="6">
        <v>100</v>
      </c>
      <c r="O3261" s="30">
        <f t="shared" si="304"/>
        <v>0</v>
      </c>
      <c r="P3261" s="30">
        <f t="shared" si="305"/>
        <v>3800</v>
      </c>
      <c r="Q3261" s="1">
        <f>COUNTIFS($P:$P, "&gt;" &amp; $P3261) + 1</f>
        <v>2699</v>
      </c>
      <c r="R3261" s="63">
        <f>(COUNTIFS($P:$P, "&gt;" &amp; $P3261) + 1) / (COUNTA($I:$I) - 1)</f>
        <v>0.53979999999999995</v>
      </c>
      <c r="S3261" s="23">
        <f>SUMIFS($P:$P, $Q:$Q, "&lt;" &amp; $Q3261)</f>
        <v>183962933</v>
      </c>
    </row>
    <row r="3262" spans="1:19" x14ac:dyDescent="0.25">
      <c r="A3262" s="1">
        <v>3257</v>
      </c>
      <c r="B3262" s="1" t="s">
        <v>2</v>
      </c>
      <c r="C3262" s="1" t="str">
        <f>IF($B3262 = "Production Item", _xlfn.XLOOKUP($A3262, 'Instrument Table'!$J:$J, 'Instrument Table'!$B:$B, $C3261), IF($B3262 = "Service Item", _xlfn.XLOOKUP($A3262, 'Instrument Table'!$I:$I, 'Instrument Table'!$B:$B, $C3261), _xlfn.XLOOKUP($A3262, 'Instrument Table'!$H:$H, 'Instrument Table'!$B:$B, $C3261)))</f>
        <v>Theremin</v>
      </c>
      <c r="D3262" s="1" t="str">
        <f>VLOOKUP($C3262, 'Instrument Table'!$B:$C, 2, FALSE)</f>
        <v>Other</v>
      </c>
      <c r="E3262" s="1">
        <f t="shared" si="300"/>
        <v>1</v>
      </c>
      <c r="F3262" s="1">
        <f>_xlfn.XLOOKUP($C3262, 'Instrument Table'!$B:$B, 'Instrument Table'!$A:$A, "")</f>
        <v>60</v>
      </c>
      <c r="G3262" s="1" t="str">
        <f>TEXT(IF($B3262 = "Retail Item", IF((ROW($A3262) - 4504 - _xlfn.XMATCH($C3262, $C$4506:$C$5005, 0, 1)) &lt;= VLOOKUP($C3262, 'Instrument Table'!$B:$D, 3, FALSE), ROW($A3262) - 4504 - _xlfn.XMATCH($C3262, $C$4506:$C$5005, 0, 1), 0), 0), "00")</f>
        <v>00</v>
      </c>
      <c r="H3262" s="1" t="str">
        <f t="shared" si="301"/>
        <v>106</v>
      </c>
      <c r="I3262" s="1" t="str">
        <f t="shared" si="302"/>
        <v>16000-106</v>
      </c>
      <c r="J3262" s="1" t="str">
        <f t="shared" si="303"/>
        <v>Theremin production item #106</v>
      </c>
      <c r="K3262" s="1" t="str">
        <f>IF(SUM(COUNTIFS(I:I, I3262)) &gt; 1, "DUPLICATE", "UNIQUE")</f>
        <v>UNIQUE</v>
      </c>
      <c r="L3262" s="18">
        <v>1</v>
      </c>
      <c r="M3262" s="28">
        <v>26</v>
      </c>
      <c r="N3262" s="6">
        <v>144</v>
      </c>
      <c r="O3262" s="30">
        <f t="shared" si="304"/>
        <v>26</v>
      </c>
      <c r="P3262" s="30">
        <f t="shared" si="305"/>
        <v>3744</v>
      </c>
      <c r="Q3262" s="1">
        <f>COUNTIFS($P:$P, "&gt;" &amp; $P3262) + 1</f>
        <v>2710</v>
      </c>
      <c r="R3262" s="63">
        <f>(COUNTIFS($P:$P, "&gt;" &amp; $P3262) + 1) / (COUNTA($I:$I) - 1)</f>
        <v>0.54200000000000004</v>
      </c>
      <c r="S3262" s="23">
        <f>SUMIFS($P:$P, $Q:$Q, "&lt;" &amp; $Q3262)</f>
        <v>184004382</v>
      </c>
    </row>
    <row r="3263" spans="1:19" x14ac:dyDescent="0.25">
      <c r="A3263" s="1">
        <v>3258</v>
      </c>
      <c r="B3263" s="1" t="s">
        <v>2</v>
      </c>
      <c r="C3263" s="1" t="str">
        <f>IF($B3263 = "Production Item", _xlfn.XLOOKUP($A3263, 'Instrument Table'!$J:$J, 'Instrument Table'!$B:$B, $C3262), IF($B3263 = "Service Item", _xlfn.XLOOKUP($A3263, 'Instrument Table'!$I:$I, 'Instrument Table'!$B:$B, $C3262), _xlfn.XLOOKUP($A3263, 'Instrument Table'!$H:$H, 'Instrument Table'!$B:$B, $C3262)))</f>
        <v>Theremin</v>
      </c>
      <c r="D3263" s="1" t="str">
        <f>VLOOKUP($C3263, 'Instrument Table'!$B:$C, 2, FALSE)</f>
        <v>Other</v>
      </c>
      <c r="E3263" s="1">
        <f t="shared" si="300"/>
        <v>1</v>
      </c>
      <c r="F3263" s="1">
        <f>_xlfn.XLOOKUP($C3263, 'Instrument Table'!$B:$B, 'Instrument Table'!$A:$A, "")</f>
        <v>60</v>
      </c>
      <c r="G3263" s="1" t="str">
        <f>TEXT(IF($B3263 = "Retail Item", IF((ROW($A3263) - 4504 - _xlfn.XMATCH($C3263, $C$4506:$C$5005, 0, 1)) &lt;= VLOOKUP($C3263, 'Instrument Table'!$B:$D, 3, FALSE), ROW($A3263) - 4504 - _xlfn.XMATCH($C3263, $C$4506:$C$5005, 0, 1), 0), 0), "00")</f>
        <v>00</v>
      </c>
      <c r="H3263" s="1" t="str">
        <f t="shared" si="301"/>
        <v>107</v>
      </c>
      <c r="I3263" s="1" t="str">
        <f t="shared" si="302"/>
        <v>16000-107</v>
      </c>
      <c r="J3263" s="1" t="str">
        <f t="shared" si="303"/>
        <v>Theremin production item #107</v>
      </c>
      <c r="K3263" s="1" t="str">
        <f>IF(SUM(COUNTIFS(I:I, I3263)) &gt; 1, "DUPLICATE", "UNIQUE")</f>
        <v>UNIQUE</v>
      </c>
      <c r="L3263" s="18">
        <v>1</v>
      </c>
      <c r="M3263" s="28">
        <v>8</v>
      </c>
      <c r="N3263" s="6">
        <v>169</v>
      </c>
      <c r="O3263" s="30">
        <f t="shared" si="304"/>
        <v>8</v>
      </c>
      <c r="P3263" s="30">
        <f t="shared" si="305"/>
        <v>1352</v>
      </c>
      <c r="Q3263" s="1">
        <f>COUNTIFS($P:$P, "&gt;" &amp; $P3263) + 1</f>
        <v>3533</v>
      </c>
      <c r="R3263" s="63">
        <f>(COUNTIFS($P:$P, "&gt;" &amp; $P3263) + 1) / (COUNTA($I:$I) - 1)</f>
        <v>0.70660000000000001</v>
      </c>
      <c r="S3263" s="23">
        <f>SUMIFS($P:$P, $Q:$Q, "&lt;" &amp; $Q3263)</f>
        <v>185983257</v>
      </c>
    </row>
    <row r="3264" spans="1:19" x14ac:dyDescent="0.25">
      <c r="A3264" s="1">
        <v>3259</v>
      </c>
      <c r="B3264" s="1" t="s">
        <v>2</v>
      </c>
      <c r="C3264" s="1" t="str">
        <f>IF($B3264 = "Production Item", _xlfn.XLOOKUP($A3264, 'Instrument Table'!$J:$J, 'Instrument Table'!$B:$B, $C3263), IF($B3264 = "Service Item", _xlfn.XLOOKUP($A3264, 'Instrument Table'!$I:$I, 'Instrument Table'!$B:$B, $C3263), _xlfn.XLOOKUP($A3264, 'Instrument Table'!$H:$H, 'Instrument Table'!$B:$B, $C3263)))</f>
        <v>Theremin</v>
      </c>
      <c r="D3264" s="1" t="str">
        <f>VLOOKUP($C3264, 'Instrument Table'!$B:$C, 2, FALSE)</f>
        <v>Other</v>
      </c>
      <c r="E3264" s="1">
        <f t="shared" si="300"/>
        <v>1</v>
      </c>
      <c r="F3264" s="1">
        <f>_xlfn.XLOOKUP($C3264, 'Instrument Table'!$B:$B, 'Instrument Table'!$A:$A, "")</f>
        <v>60</v>
      </c>
      <c r="G3264" s="1" t="str">
        <f>TEXT(IF($B3264 = "Retail Item", IF((ROW($A3264) - 4504 - _xlfn.XMATCH($C3264, $C$4506:$C$5005, 0, 1)) &lt;= VLOOKUP($C3264, 'Instrument Table'!$B:$D, 3, FALSE), ROW($A3264) - 4504 - _xlfn.XMATCH($C3264, $C$4506:$C$5005, 0, 1), 0), 0), "00")</f>
        <v>00</v>
      </c>
      <c r="H3264" s="1" t="str">
        <f t="shared" si="301"/>
        <v>108</v>
      </c>
      <c r="I3264" s="1" t="str">
        <f t="shared" si="302"/>
        <v>16000-108</v>
      </c>
      <c r="J3264" s="1" t="str">
        <f t="shared" si="303"/>
        <v>Theremin production item #108</v>
      </c>
      <c r="K3264" s="1" t="str">
        <f>IF(SUM(COUNTIFS(I:I, I3264)) &gt; 1, "DUPLICATE", "UNIQUE")</f>
        <v>UNIQUE</v>
      </c>
      <c r="L3264" s="18">
        <v>1</v>
      </c>
      <c r="M3264" s="28">
        <v>12</v>
      </c>
      <c r="N3264" s="6">
        <v>25</v>
      </c>
      <c r="O3264" s="30">
        <f t="shared" si="304"/>
        <v>12</v>
      </c>
      <c r="P3264" s="30">
        <f t="shared" si="305"/>
        <v>300</v>
      </c>
      <c r="Q3264" s="1">
        <f>COUNTIFS($P:$P, "&gt;" &amp; $P3264) + 1</f>
        <v>4215</v>
      </c>
      <c r="R3264" s="63">
        <f>(COUNTIFS($P:$P, "&gt;" &amp; $P3264) + 1) / (COUNTA($I:$I) - 1)</f>
        <v>0.84299999999999997</v>
      </c>
      <c r="S3264" s="23">
        <f>SUMIFS($P:$P, $Q:$Q, "&lt;" &amp; $Q3264)</f>
        <v>186485027</v>
      </c>
    </row>
    <row r="3265" spans="1:19" x14ac:dyDescent="0.25">
      <c r="A3265" s="1">
        <v>3260</v>
      </c>
      <c r="B3265" s="1" t="s">
        <v>2</v>
      </c>
      <c r="C3265" s="1" t="str">
        <f>IF($B3265 = "Production Item", _xlfn.XLOOKUP($A3265, 'Instrument Table'!$J:$J, 'Instrument Table'!$B:$B, $C3264), IF($B3265 = "Service Item", _xlfn.XLOOKUP($A3265, 'Instrument Table'!$I:$I, 'Instrument Table'!$B:$B, $C3264), _xlfn.XLOOKUP($A3265, 'Instrument Table'!$H:$H, 'Instrument Table'!$B:$B, $C3264)))</f>
        <v>Theremin</v>
      </c>
      <c r="D3265" s="1" t="str">
        <f>VLOOKUP($C3265, 'Instrument Table'!$B:$C, 2, FALSE)</f>
        <v>Other</v>
      </c>
      <c r="E3265" s="1">
        <f t="shared" si="300"/>
        <v>1</v>
      </c>
      <c r="F3265" s="1">
        <f>_xlfn.XLOOKUP($C3265, 'Instrument Table'!$B:$B, 'Instrument Table'!$A:$A, "")</f>
        <v>60</v>
      </c>
      <c r="G3265" s="1" t="str">
        <f>TEXT(IF($B3265 = "Retail Item", IF((ROW($A3265) - 4504 - _xlfn.XMATCH($C3265, $C$4506:$C$5005, 0, 1)) &lt;= VLOOKUP($C3265, 'Instrument Table'!$B:$D, 3, FALSE), ROW($A3265) - 4504 - _xlfn.XMATCH($C3265, $C$4506:$C$5005, 0, 1), 0), 0), "00")</f>
        <v>00</v>
      </c>
      <c r="H3265" s="1" t="str">
        <f t="shared" si="301"/>
        <v>109</v>
      </c>
      <c r="I3265" s="1" t="str">
        <f t="shared" si="302"/>
        <v>16000-109</v>
      </c>
      <c r="J3265" s="1" t="str">
        <f t="shared" si="303"/>
        <v>Theremin production item #109</v>
      </c>
      <c r="K3265" s="1" t="str">
        <f>IF(SUM(COUNTIFS(I:I, I3265)) &gt; 1, "DUPLICATE", "UNIQUE")</f>
        <v>UNIQUE</v>
      </c>
      <c r="L3265" s="18">
        <v>2</v>
      </c>
      <c r="M3265" s="28">
        <v>32</v>
      </c>
      <c r="N3265" s="6">
        <v>36</v>
      </c>
      <c r="O3265" s="30">
        <f t="shared" si="304"/>
        <v>64</v>
      </c>
      <c r="P3265" s="30">
        <f t="shared" si="305"/>
        <v>1152</v>
      </c>
      <c r="Q3265" s="1">
        <f>COUNTIFS($P:$P, "&gt;" &amp; $P3265) + 1</f>
        <v>3621</v>
      </c>
      <c r="R3265" s="63">
        <f>(COUNTIFS($P:$P, "&gt;" &amp; $P3265) + 1) / (COUNTA($I:$I) - 1)</f>
        <v>0.72419999999999995</v>
      </c>
      <c r="S3265" s="23">
        <f>SUMIFS($P:$P, $Q:$Q, "&lt;" &amp; $Q3265)</f>
        <v>186094880</v>
      </c>
    </row>
    <row r="3266" spans="1:19" x14ac:dyDescent="0.25">
      <c r="A3266" s="1">
        <v>3261</v>
      </c>
      <c r="B3266" s="1" t="s">
        <v>2</v>
      </c>
      <c r="C3266" s="1" t="str">
        <f>IF($B3266 = "Production Item", _xlfn.XLOOKUP($A3266, 'Instrument Table'!$J:$J, 'Instrument Table'!$B:$B, $C3265), IF($B3266 = "Service Item", _xlfn.XLOOKUP($A3266, 'Instrument Table'!$I:$I, 'Instrument Table'!$B:$B, $C3265), _xlfn.XLOOKUP($A3266, 'Instrument Table'!$H:$H, 'Instrument Table'!$B:$B, $C3265)))</f>
        <v>Theremin</v>
      </c>
      <c r="D3266" s="1" t="str">
        <f>VLOOKUP($C3266, 'Instrument Table'!$B:$C, 2, FALSE)</f>
        <v>Other</v>
      </c>
      <c r="E3266" s="1">
        <f t="shared" si="300"/>
        <v>1</v>
      </c>
      <c r="F3266" s="1">
        <f>_xlfn.XLOOKUP($C3266, 'Instrument Table'!$B:$B, 'Instrument Table'!$A:$A, "")</f>
        <v>60</v>
      </c>
      <c r="G3266" s="1" t="str">
        <f>TEXT(IF($B3266 = "Retail Item", IF((ROW($A3266) - 4504 - _xlfn.XMATCH($C3266, $C$4506:$C$5005, 0, 1)) &lt;= VLOOKUP($C3266, 'Instrument Table'!$B:$D, 3, FALSE), ROW($A3266) - 4504 - _xlfn.XMATCH($C3266, $C$4506:$C$5005, 0, 1), 0), 0), "00")</f>
        <v>00</v>
      </c>
      <c r="H3266" s="1" t="str">
        <f t="shared" si="301"/>
        <v>110</v>
      </c>
      <c r="I3266" s="1" t="str">
        <f t="shared" si="302"/>
        <v>16000-110</v>
      </c>
      <c r="J3266" s="1" t="str">
        <f t="shared" si="303"/>
        <v>Theremin production item #110</v>
      </c>
      <c r="K3266" s="1" t="str">
        <f>IF(SUM(COUNTIFS(I:I, I3266)) &gt; 1, "DUPLICATE", "UNIQUE")</f>
        <v>UNIQUE</v>
      </c>
      <c r="L3266" s="18">
        <v>32</v>
      </c>
      <c r="M3266" s="28">
        <v>44</v>
      </c>
      <c r="N3266" s="6">
        <v>100</v>
      </c>
      <c r="O3266" s="30">
        <f t="shared" si="304"/>
        <v>1408</v>
      </c>
      <c r="P3266" s="30">
        <f t="shared" si="305"/>
        <v>4400</v>
      </c>
      <c r="Q3266" s="1">
        <f>COUNTIFS($P:$P, "&gt;" &amp; $P3266) + 1</f>
        <v>2565</v>
      </c>
      <c r="R3266" s="63">
        <f>(COUNTIFS($P:$P, "&gt;" &amp; $P3266) + 1) / (COUNTA($I:$I) - 1)</f>
        <v>0.51300000000000001</v>
      </c>
      <c r="S3266" s="23">
        <f>SUMIFS($P:$P, $Q:$Q, "&lt;" &amp; $Q3266)</f>
        <v>183411854</v>
      </c>
    </row>
    <row r="3267" spans="1:19" x14ac:dyDescent="0.25">
      <c r="A3267" s="1">
        <v>3262</v>
      </c>
      <c r="B3267" s="1" t="s">
        <v>2</v>
      </c>
      <c r="C3267" s="1" t="str">
        <f>IF($B3267 = "Production Item", _xlfn.XLOOKUP($A3267, 'Instrument Table'!$J:$J, 'Instrument Table'!$B:$B, $C3266), IF($B3267 = "Service Item", _xlfn.XLOOKUP($A3267, 'Instrument Table'!$I:$I, 'Instrument Table'!$B:$B, $C3266), _xlfn.XLOOKUP($A3267, 'Instrument Table'!$H:$H, 'Instrument Table'!$B:$B, $C3266)))</f>
        <v>Theremin</v>
      </c>
      <c r="D3267" s="1" t="str">
        <f>VLOOKUP($C3267, 'Instrument Table'!$B:$C, 2, FALSE)</f>
        <v>Other</v>
      </c>
      <c r="E3267" s="1">
        <f t="shared" si="300"/>
        <v>1</v>
      </c>
      <c r="F3267" s="1">
        <f>_xlfn.XLOOKUP($C3267, 'Instrument Table'!$B:$B, 'Instrument Table'!$A:$A, "")</f>
        <v>60</v>
      </c>
      <c r="G3267" s="1" t="str">
        <f>TEXT(IF($B3267 = "Retail Item", IF((ROW($A3267) - 4504 - _xlfn.XMATCH($C3267, $C$4506:$C$5005, 0, 1)) &lt;= VLOOKUP($C3267, 'Instrument Table'!$B:$D, 3, FALSE), ROW($A3267) - 4504 - _xlfn.XMATCH($C3267, $C$4506:$C$5005, 0, 1), 0), 0), "00")</f>
        <v>00</v>
      </c>
      <c r="H3267" s="1" t="str">
        <f t="shared" si="301"/>
        <v>111</v>
      </c>
      <c r="I3267" s="1" t="str">
        <f t="shared" si="302"/>
        <v>16000-111</v>
      </c>
      <c r="J3267" s="1" t="str">
        <f t="shared" si="303"/>
        <v>Theremin production item #111</v>
      </c>
      <c r="K3267" s="1" t="str">
        <f>IF(SUM(COUNTIFS(I:I, I3267)) &gt; 1, "DUPLICATE", "UNIQUE")</f>
        <v>UNIQUE</v>
      </c>
      <c r="L3267" s="18">
        <v>1</v>
      </c>
      <c r="M3267" s="28">
        <v>73</v>
      </c>
      <c r="N3267" s="6">
        <v>324</v>
      </c>
      <c r="O3267" s="30">
        <f t="shared" si="304"/>
        <v>73</v>
      </c>
      <c r="P3267" s="30">
        <f t="shared" si="305"/>
        <v>23652</v>
      </c>
      <c r="Q3267" s="1">
        <f>COUNTIFS($P:$P, "&gt;" &amp; $P3267) + 1</f>
        <v>884</v>
      </c>
      <c r="R3267" s="63">
        <f>(COUNTIFS($P:$P, "&gt;" &amp; $P3267) + 1) / (COUNTA($I:$I) - 1)</f>
        <v>0.17680000000000001</v>
      </c>
      <c r="S3267" s="23">
        <f>SUMIFS($P:$P, $Q:$Q, "&lt;" &amp; $Q3267)</f>
        <v>163906350</v>
      </c>
    </row>
    <row r="3268" spans="1:19" x14ac:dyDescent="0.25">
      <c r="A3268" s="1">
        <v>3263</v>
      </c>
      <c r="B3268" s="1" t="s">
        <v>2</v>
      </c>
      <c r="C3268" s="1" t="str">
        <f>IF($B3268 = "Production Item", _xlfn.XLOOKUP($A3268, 'Instrument Table'!$J:$J, 'Instrument Table'!$B:$B, $C3267), IF($B3268 = "Service Item", _xlfn.XLOOKUP($A3268, 'Instrument Table'!$I:$I, 'Instrument Table'!$B:$B, $C3267), _xlfn.XLOOKUP($A3268, 'Instrument Table'!$H:$H, 'Instrument Table'!$B:$B, $C3267)))</f>
        <v>Theremin</v>
      </c>
      <c r="D3268" s="1" t="str">
        <f>VLOOKUP($C3268, 'Instrument Table'!$B:$C, 2, FALSE)</f>
        <v>Other</v>
      </c>
      <c r="E3268" s="1">
        <f t="shared" si="300"/>
        <v>1</v>
      </c>
      <c r="F3268" s="1">
        <f>_xlfn.XLOOKUP($C3268, 'Instrument Table'!$B:$B, 'Instrument Table'!$A:$A, "")</f>
        <v>60</v>
      </c>
      <c r="G3268" s="1" t="str">
        <f>TEXT(IF($B3268 = "Retail Item", IF((ROW($A3268) - 4504 - _xlfn.XMATCH($C3268, $C$4506:$C$5005, 0, 1)) &lt;= VLOOKUP($C3268, 'Instrument Table'!$B:$D, 3, FALSE), ROW($A3268) - 4504 - _xlfn.XMATCH($C3268, $C$4506:$C$5005, 0, 1), 0), 0), "00")</f>
        <v>00</v>
      </c>
      <c r="H3268" s="1" t="str">
        <f t="shared" si="301"/>
        <v>112</v>
      </c>
      <c r="I3268" s="1" t="str">
        <f t="shared" si="302"/>
        <v>16000-112</v>
      </c>
      <c r="J3268" s="1" t="str">
        <f t="shared" si="303"/>
        <v>Theremin production item #112</v>
      </c>
      <c r="K3268" s="1" t="str">
        <f>IF(SUM(COUNTIFS(I:I, I3268)) &gt; 1, "DUPLICATE", "UNIQUE")</f>
        <v>UNIQUE</v>
      </c>
      <c r="L3268" s="18">
        <v>8</v>
      </c>
      <c r="M3268" s="28">
        <v>11</v>
      </c>
      <c r="N3268" s="6">
        <v>256</v>
      </c>
      <c r="O3268" s="30">
        <f t="shared" si="304"/>
        <v>88</v>
      </c>
      <c r="P3268" s="30">
        <f t="shared" si="305"/>
        <v>2816</v>
      </c>
      <c r="Q3268" s="1">
        <f>COUNTIFS($P:$P, "&gt;" &amp; $P3268) + 1</f>
        <v>2954</v>
      </c>
      <c r="R3268" s="63">
        <f>(COUNTIFS($P:$P, "&gt;" &amp; $P3268) + 1) / (COUNTA($I:$I) - 1)</f>
        <v>0.59079999999999999</v>
      </c>
      <c r="S3268" s="23">
        <f>SUMIFS($P:$P, $Q:$Q, "&lt;" &amp; $Q3268)</f>
        <v>184806461</v>
      </c>
    </row>
    <row r="3269" spans="1:19" x14ac:dyDescent="0.25">
      <c r="A3269" s="1">
        <v>3264</v>
      </c>
      <c r="B3269" s="1" t="s">
        <v>2</v>
      </c>
      <c r="C3269" s="1" t="str">
        <f>IF($B3269 = "Production Item", _xlfn.XLOOKUP($A3269, 'Instrument Table'!$J:$J, 'Instrument Table'!$B:$B, $C3268), IF($B3269 = "Service Item", _xlfn.XLOOKUP($A3269, 'Instrument Table'!$I:$I, 'Instrument Table'!$B:$B, $C3268), _xlfn.XLOOKUP($A3269, 'Instrument Table'!$H:$H, 'Instrument Table'!$B:$B, $C3268)))</f>
        <v>Theremin</v>
      </c>
      <c r="D3269" s="1" t="str">
        <f>VLOOKUP($C3269, 'Instrument Table'!$B:$C, 2, FALSE)</f>
        <v>Other</v>
      </c>
      <c r="E3269" s="1">
        <f t="shared" si="300"/>
        <v>1</v>
      </c>
      <c r="F3269" s="1">
        <f>_xlfn.XLOOKUP($C3269, 'Instrument Table'!$B:$B, 'Instrument Table'!$A:$A, "")</f>
        <v>60</v>
      </c>
      <c r="G3269" s="1" t="str">
        <f>TEXT(IF($B3269 = "Retail Item", IF((ROW($A3269) - 4504 - _xlfn.XMATCH($C3269, $C$4506:$C$5005, 0, 1)) &lt;= VLOOKUP($C3269, 'Instrument Table'!$B:$D, 3, FALSE), ROW($A3269) - 4504 - _xlfn.XMATCH($C3269, $C$4506:$C$5005, 0, 1), 0), 0), "00")</f>
        <v>00</v>
      </c>
      <c r="H3269" s="1" t="str">
        <f t="shared" si="301"/>
        <v>113</v>
      </c>
      <c r="I3269" s="1" t="str">
        <f t="shared" si="302"/>
        <v>16000-113</v>
      </c>
      <c r="J3269" s="1" t="str">
        <f t="shared" si="303"/>
        <v>Theremin production item #113</v>
      </c>
      <c r="K3269" s="1" t="str">
        <f>IF(SUM(COUNTIFS(I:I, I3269)) &gt; 1, "DUPLICATE", "UNIQUE")</f>
        <v>UNIQUE</v>
      </c>
      <c r="L3269" s="18">
        <v>1</v>
      </c>
      <c r="M3269" s="28">
        <v>76</v>
      </c>
      <c r="N3269" s="6">
        <v>1</v>
      </c>
      <c r="O3269" s="30">
        <f t="shared" si="304"/>
        <v>76</v>
      </c>
      <c r="P3269" s="30">
        <f t="shared" si="305"/>
        <v>76</v>
      </c>
      <c r="Q3269" s="1">
        <f>COUNTIFS($P:$P, "&gt;" &amp; $P3269) + 1</f>
        <v>4523</v>
      </c>
      <c r="R3269" s="63">
        <f>(COUNTIFS($P:$P, "&gt;" &amp; $P3269) + 1) / (COUNTA($I:$I) - 1)</f>
        <v>0.90459999999999996</v>
      </c>
      <c r="S3269" s="23">
        <f>SUMIFS($P:$P, $Q:$Q, "&lt;" &amp; $Q3269)</f>
        <v>186538712</v>
      </c>
    </row>
    <row r="3270" spans="1:19" x14ac:dyDescent="0.25">
      <c r="A3270" s="1">
        <v>3265</v>
      </c>
      <c r="B3270" s="1" t="s">
        <v>2</v>
      </c>
      <c r="C3270" s="1" t="str">
        <f>IF($B3270 = "Production Item", _xlfn.XLOOKUP($A3270, 'Instrument Table'!$J:$J, 'Instrument Table'!$B:$B, $C3269), IF($B3270 = "Service Item", _xlfn.XLOOKUP($A3270, 'Instrument Table'!$I:$I, 'Instrument Table'!$B:$B, $C3269), _xlfn.XLOOKUP($A3270, 'Instrument Table'!$H:$H, 'Instrument Table'!$B:$B, $C3269)))</f>
        <v>Theremin</v>
      </c>
      <c r="D3270" s="1" t="str">
        <f>VLOOKUP($C3270, 'Instrument Table'!$B:$C, 2, FALSE)</f>
        <v>Other</v>
      </c>
      <c r="E3270" s="1">
        <f t="shared" si="300"/>
        <v>1</v>
      </c>
      <c r="F3270" s="1">
        <f>_xlfn.XLOOKUP($C3270, 'Instrument Table'!$B:$B, 'Instrument Table'!$A:$A, "")</f>
        <v>60</v>
      </c>
      <c r="G3270" s="1" t="str">
        <f>TEXT(IF($B3270 = "Retail Item", IF((ROW($A3270) - 4504 - _xlfn.XMATCH($C3270, $C$4506:$C$5005, 0, 1)) &lt;= VLOOKUP($C3270, 'Instrument Table'!$B:$D, 3, FALSE), ROW($A3270) - 4504 - _xlfn.XMATCH($C3270, $C$4506:$C$5005, 0, 1), 0), 0), "00")</f>
        <v>00</v>
      </c>
      <c r="H3270" s="1" t="str">
        <f t="shared" si="301"/>
        <v>114</v>
      </c>
      <c r="I3270" s="1" t="str">
        <f t="shared" si="302"/>
        <v>16000-114</v>
      </c>
      <c r="J3270" s="1" t="str">
        <f t="shared" si="303"/>
        <v>Theremin production item #114</v>
      </c>
      <c r="K3270" s="1" t="str">
        <f>IF(SUM(COUNTIFS(I:I, I3270)) &gt; 1, "DUPLICATE", "UNIQUE")</f>
        <v>UNIQUE</v>
      </c>
      <c r="L3270" s="18">
        <v>16</v>
      </c>
      <c r="M3270" s="28">
        <v>12</v>
      </c>
      <c r="N3270" s="6">
        <v>196</v>
      </c>
      <c r="O3270" s="30">
        <f t="shared" si="304"/>
        <v>192</v>
      </c>
      <c r="P3270" s="30">
        <f t="shared" si="305"/>
        <v>2352</v>
      </c>
      <c r="Q3270" s="1">
        <f>COUNTIFS($P:$P, "&gt;" &amp; $P3270) + 1</f>
        <v>3102</v>
      </c>
      <c r="R3270" s="63">
        <f>(COUNTIFS($P:$P, "&gt;" &amp; $P3270) + 1) / (COUNTA($I:$I) - 1)</f>
        <v>0.62039999999999995</v>
      </c>
      <c r="S3270" s="23">
        <f>SUMIFS($P:$P, $Q:$Q, "&lt;" &amp; $Q3270)</f>
        <v>185187199</v>
      </c>
    </row>
    <row r="3271" spans="1:19" x14ac:dyDescent="0.25">
      <c r="A3271" s="1">
        <v>3266</v>
      </c>
      <c r="B3271" s="1" t="s">
        <v>2</v>
      </c>
      <c r="C3271" s="1" t="str">
        <f>IF($B3271 = "Production Item", _xlfn.XLOOKUP($A3271, 'Instrument Table'!$J:$J, 'Instrument Table'!$B:$B, $C3270), IF($B3271 = "Service Item", _xlfn.XLOOKUP($A3271, 'Instrument Table'!$I:$I, 'Instrument Table'!$B:$B, $C3270), _xlfn.XLOOKUP($A3271, 'Instrument Table'!$H:$H, 'Instrument Table'!$B:$B, $C3270)))</f>
        <v>Theremin</v>
      </c>
      <c r="D3271" s="1" t="str">
        <f>VLOOKUP($C3271, 'Instrument Table'!$B:$C, 2, FALSE)</f>
        <v>Other</v>
      </c>
      <c r="E3271" s="1">
        <f t="shared" ref="E3271:E3334" si="306">IF($B3271 = "Production Item", 1, IF($B3271 = "Service Item", 2, IF($B3271 = "Retail Item", 3, "")))</f>
        <v>1</v>
      </c>
      <c r="F3271" s="1">
        <f>_xlfn.XLOOKUP($C3271, 'Instrument Table'!$B:$B, 'Instrument Table'!$A:$A, "")</f>
        <v>60</v>
      </c>
      <c r="G3271" s="1" t="str">
        <f>TEXT(IF($B3271 = "Retail Item", IF((ROW($A3271) - 4504 - _xlfn.XMATCH($C3271, $C$4506:$C$5005, 0, 1)) &lt;= VLOOKUP($C3271, 'Instrument Table'!$B:$D, 3, FALSE), ROW($A3271) - 4504 - _xlfn.XMATCH($C3271, $C$4506:$C$5005, 0, 1), 0), 0), "00")</f>
        <v>00</v>
      </c>
      <c r="H3271" s="1" t="str">
        <f t="shared" ref="H3271:H3334" si="307">TEXT(IF($E3271 &amp; $F3271 &amp; $G3271 = $E3270 &amp; $F3270 &amp; $G3270, 1 + H3270, 0), "000")</f>
        <v>115</v>
      </c>
      <c r="I3271" s="1" t="str">
        <f t="shared" ref="I3271:I3334" si="308" xml:space="preserve"> _xlfn.CONCAT($E3271, $F3271, $G3271, "-", H3271)</f>
        <v>16000-115</v>
      </c>
      <c r="J3271" s="1" t="str">
        <f t="shared" ref="J3271:J3334" si="309">LEFT($C3271, 1) &amp; LOWER(RIGHT($C3271, LEN($C3271) - 1)) &amp; IF(AND($G3271 &lt;&gt; "00", $B3271 = "Retail Item"), " model #" &amp; $G3271, " " &amp; LOWER($B3271) &amp; " #" &amp; $H3271)</f>
        <v>Theremin production item #115</v>
      </c>
      <c r="K3271" s="1" t="str">
        <f>IF(SUM(COUNTIFS(I:I, I3271)) &gt; 1, "DUPLICATE", "UNIQUE")</f>
        <v>UNIQUE</v>
      </c>
      <c r="L3271" s="18">
        <v>1</v>
      </c>
      <c r="M3271" s="28">
        <v>36</v>
      </c>
      <c r="N3271" s="6">
        <v>4</v>
      </c>
      <c r="O3271" s="30">
        <f t="shared" ref="O3271:O3334" si="310">$L3271 * $M3271</f>
        <v>36</v>
      </c>
      <c r="P3271" s="30">
        <f t="shared" ref="P3271:P3334" si="311">$N3271 * $M3271</f>
        <v>144</v>
      </c>
      <c r="Q3271" s="1">
        <f>COUNTIFS($P:$P, "&gt;" &amp; $P3271) + 1</f>
        <v>4399</v>
      </c>
      <c r="R3271" s="63">
        <f>(COUNTIFS($P:$P, "&gt;" &amp; $P3271) + 1) / (COUNTA($I:$I) - 1)</f>
        <v>0.87980000000000003</v>
      </c>
      <c r="S3271" s="23">
        <f>SUMIFS($P:$P, $Q:$Q, "&lt;" &amp; $Q3271)</f>
        <v>186525866</v>
      </c>
    </row>
    <row r="3272" spans="1:19" x14ac:dyDescent="0.25">
      <c r="A3272" s="1">
        <v>3267</v>
      </c>
      <c r="B3272" s="1" t="s">
        <v>2</v>
      </c>
      <c r="C3272" s="1" t="str">
        <f>IF($B3272 = "Production Item", _xlfn.XLOOKUP($A3272, 'Instrument Table'!$J:$J, 'Instrument Table'!$B:$B, $C3271), IF($B3272 = "Service Item", _xlfn.XLOOKUP($A3272, 'Instrument Table'!$I:$I, 'Instrument Table'!$B:$B, $C3271), _xlfn.XLOOKUP($A3272, 'Instrument Table'!$H:$H, 'Instrument Table'!$B:$B, $C3271)))</f>
        <v>Theremin</v>
      </c>
      <c r="D3272" s="1" t="str">
        <f>VLOOKUP($C3272, 'Instrument Table'!$B:$C, 2, FALSE)</f>
        <v>Other</v>
      </c>
      <c r="E3272" s="1">
        <f t="shared" si="306"/>
        <v>1</v>
      </c>
      <c r="F3272" s="1">
        <f>_xlfn.XLOOKUP($C3272, 'Instrument Table'!$B:$B, 'Instrument Table'!$A:$A, "")</f>
        <v>60</v>
      </c>
      <c r="G3272" s="1" t="str">
        <f>TEXT(IF($B3272 = "Retail Item", IF((ROW($A3272) - 4504 - _xlfn.XMATCH($C3272, $C$4506:$C$5005, 0, 1)) &lt;= VLOOKUP($C3272, 'Instrument Table'!$B:$D, 3, FALSE), ROW($A3272) - 4504 - _xlfn.XMATCH($C3272, $C$4506:$C$5005, 0, 1), 0), 0), "00")</f>
        <v>00</v>
      </c>
      <c r="H3272" s="1" t="str">
        <f t="shared" si="307"/>
        <v>116</v>
      </c>
      <c r="I3272" s="1" t="str">
        <f t="shared" si="308"/>
        <v>16000-116</v>
      </c>
      <c r="J3272" s="1" t="str">
        <f t="shared" si="309"/>
        <v>Theremin production item #116</v>
      </c>
      <c r="K3272" s="1" t="str">
        <f>IF(SUM(COUNTIFS(I:I, I3272)) &gt; 1, "DUPLICATE", "UNIQUE")</f>
        <v>UNIQUE</v>
      </c>
      <c r="L3272" s="18">
        <v>1</v>
      </c>
      <c r="M3272" s="28">
        <v>29</v>
      </c>
      <c r="N3272" s="6">
        <v>25</v>
      </c>
      <c r="O3272" s="30">
        <f t="shared" si="310"/>
        <v>29</v>
      </c>
      <c r="P3272" s="30">
        <f t="shared" si="311"/>
        <v>725</v>
      </c>
      <c r="Q3272" s="1">
        <f>COUNTIFS($P:$P, "&gt;" &amp; $P3272) + 1</f>
        <v>3858</v>
      </c>
      <c r="R3272" s="63">
        <f>(COUNTIFS($P:$P, "&gt;" &amp; $P3272) + 1) / (COUNTA($I:$I) - 1)</f>
        <v>0.77159999999999995</v>
      </c>
      <c r="S3272" s="23">
        <f>SUMIFS($P:$P, $Q:$Q, "&lt;" &amp; $Q3272)</f>
        <v>186309357</v>
      </c>
    </row>
    <row r="3273" spans="1:19" x14ac:dyDescent="0.25">
      <c r="A3273" s="1">
        <v>3268</v>
      </c>
      <c r="B3273" s="1" t="s">
        <v>2</v>
      </c>
      <c r="C3273" s="1" t="str">
        <f>IF($B3273 = "Production Item", _xlfn.XLOOKUP($A3273, 'Instrument Table'!$J:$J, 'Instrument Table'!$B:$B, $C3272), IF($B3273 = "Service Item", _xlfn.XLOOKUP($A3273, 'Instrument Table'!$I:$I, 'Instrument Table'!$B:$B, $C3272), _xlfn.XLOOKUP($A3273, 'Instrument Table'!$H:$H, 'Instrument Table'!$B:$B, $C3272)))</f>
        <v>Theremin</v>
      </c>
      <c r="D3273" s="1" t="str">
        <f>VLOOKUP($C3273, 'Instrument Table'!$B:$C, 2, FALSE)</f>
        <v>Other</v>
      </c>
      <c r="E3273" s="1">
        <f t="shared" si="306"/>
        <v>1</v>
      </c>
      <c r="F3273" s="1">
        <f>_xlfn.XLOOKUP($C3273, 'Instrument Table'!$B:$B, 'Instrument Table'!$A:$A, "")</f>
        <v>60</v>
      </c>
      <c r="G3273" s="1" t="str">
        <f>TEXT(IF($B3273 = "Retail Item", IF((ROW($A3273) - 4504 - _xlfn.XMATCH($C3273, $C$4506:$C$5005, 0, 1)) &lt;= VLOOKUP($C3273, 'Instrument Table'!$B:$D, 3, FALSE), ROW($A3273) - 4504 - _xlfn.XMATCH($C3273, $C$4506:$C$5005, 0, 1), 0), 0), "00")</f>
        <v>00</v>
      </c>
      <c r="H3273" s="1" t="str">
        <f t="shared" si="307"/>
        <v>117</v>
      </c>
      <c r="I3273" s="1" t="str">
        <f t="shared" si="308"/>
        <v>16000-117</v>
      </c>
      <c r="J3273" s="1" t="str">
        <f t="shared" si="309"/>
        <v>Theremin production item #117</v>
      </c>
      <c r="K3273" s="1" t="str">
        <f>IF(SUM(COUNTIFS(I:I, I3273)) &gt; 1, "DUPLICATE", "UNIQUE")</f>
        <v>UNIQUE</v>
      </c>
      <c r="L3273" s="18">
        <v>1</v>
      </c>
      <c r="M3273" s="28">
        <v>68</v>
      </c>
      <c r="N3273" s="6">
        <v>144</v>
      </c>
      <c r="O3273" s="30">
        <f t="shared" si="310"/>
        <v>68</v>
      </c>
      <c r="P3273" s="30">
        <f t="shared" si="311"/>
        <v>9792</v>
      </c>
      <c r="Q3273" s="1">
        <f>COUNTIFS($P:$P, "&gt;" &amp; $P3273) + 1</f>
        <v>1791</v>
      </c>
      <c r="R3273" s="63">
        <f>(COUNTIFS($P:$P, "&gt;" &amp; $P3273) + 1) / (COUNTA($I:$I) - 1)</f>
        <v>0.35820000000000002</v>
      </c>
      <c r="S3273" s="23">
        <f>SUMIFS($P:$P, $Q:$Q, "&lt;" &amp; $Q3273)</f>
        <v>178153733</v>
      </c>
    </row>
    <row r="3274" spans="1:19" x14ac:dyDescent="0.25">
      <c r="A3274" s="1">
        <v>3269</v>
      </c>
      <c r="B3274" s="1" t="s">
        <v>2</v>
      </c>
      <c r="C3274" s="1" t="str">
        <f>IF($B3274 = "Production Item", _xlfn.XLOOKUP($A3274, 'Instrument Table'!$J:$J, 'Instrument Table'!$B:$B, $C3273), IF($B3274 = "Service Item", _xlfn.XLOOKUP($A3274, 'Instrument Table'!$I:$I, 'Instrument Table'!$B:$B, $C3273), _xlfn.XLOOKUP($A3274, 'Instrument Table'!$H:$H, 'Instrument Table'!$B:$B, $C3273)))</f>
        <v>Theremin</v>
      </c>
      <c r="D3274" s="1" t="str">
        <f>VLOOKUP($C3274, 'Instrument Table'!$B:$C, 2, FALSE)</f>
        <v>Other</v>
      </c>
      <c r="E3274" s="1">
        <f t="shared" si="306"/>
        <v>1</v>
      </c>
      <c r="F3274" s="1">
        <f>_xlfn.XLOOKUP($C3274, 'Instrument Table'!$B:$B, 'Instrument Table'!$A:$A, "")</f>
        <v>60</v>
      </c>
      <c r="G3274" s="1" t="str">
        <f>TEXT(IF($B3274 = "Retail Item", IF((ROW($A3274) - 4504 - _xlfn.XMATCH($C3274, $C$4506:$C$5005, 0, 1)) &lt;= VLOOKUP($C3274, 'Instrument Table'!$B:$D, 3, FALSE), ROW($A3274) - 4504 - _xlfn.XMATCH($C3274, $C$4506:$C$5005, 0, 1), 0), 0), "00")</f>
        <v>00</v>
      </c>
      <c r="H3274" s="1" t="str">
        <f t="shared" si="307"/>
        <v>118</v>
      </c>
      <c r="I3274" s="1" t="str">
        <f t="shared" si="308"/>
        <v>16000-118</v>
      </c>
      <c r="J3274" s="1" t="str">
        <f t="shared" si="309"/>
        <v>Theremin production item #118</v>
      </c>
      <c r="K3274" s="1" t="str">
        <f>IF(SUM(COUNTIFS(I:I, I3274)) &gt; 1, "DUPLICATE", "UNIQUE")</f>
        <v>UNIQUE</v>
      </c>
      <c r="L3274" s="18">
        <v>1</v>
      </c>
      <c r="M3274" s="28">
        <v>73</v>
      </c>
      <c r="N3274" s="6">
        <v>9</v>
      </c>
      <c r="O3274" s="30">
        <f t="shared" si="310"/>
        <v>73</v>
      </c>
      <c r="P3274" s="30">
        <f t="shared" si="311"/>
        <v>657</v>
      </c>
      <c r="Q3274" s="1">
        <f>COUNTIFS($P:$P, "&gt;" &amp; $P3274) + 1</f>
        <v>3903</v>
      </c>
      <c r="R3274" s="63">
        <f>(COUNTIFS($P:$P, "&gt;" &amp; $P3274) + 1) / (COUNTA($I:$I) - 1)</f>
        <v>0.78059999999999996</v>
      </c>
      <c r="S3274" s="23">
        <f>SUMIFS($P:$P, $Q:$Q, "&lt;" &amp; $Q3274)</f>
        <v>186340858</v>
      </c>
    </row>
    <row r="3275" spans="1:19" x14ac:dyDescent="0.25">
      <c r="A3275" s="1">
        <v>3270</v>
      </c>
      <c r="B3275" s="1" t="s">
        <v>2</v>
      </c>
      <c r="C3275" s="1" t="str">
        <f>IF($B3275 = "Production Item", _xlfn.XLOOKUP($A3275, 'Instrument Table'!$J:$J, 'Instrument Table'!$B:$B, $C3274), IF($B3275 = "Service Item", _xlfn.XLOOKUP($A3275, 'Instrument Table'!$I:$I, 'Instrument Table'!$B:$B, $C3274), _xlfn.XLOOKUP($A3275, 'Instrument Table'!$H:$H, 'Instrument Table'!$B:$B, $C3274)))</f>
        <v>Theremin</v>
      </c>
      <c r="D3275" s="1" t="str">
        <f>VLOOKUP($C3275, 'Instrument Table'!$B:$C, 2, FALSE)</f>
        <v>Other</v>
      </c>
      <c r="E3275" s="1">
        <f t="shared" si="306"/>
        <v>1</v>
      </c>
      <c r="F3275" s="1">
        <f>_xlfn.XLOOKUP($C3275, 'Instrument Table'!$B:$B, 'Instrument Table'!$A:$A, "")</f>
        <v>60</v>
      </c>
      <c r="G3275" s="1" t="str">
        <f>TEXT(IF($B3275 = "Retail Item", IF((ROW($A3275) - 4504 - _xlfn.XMATCH($C3275, $C$4506:$C$5005, 0, 1)) &lt;= VLOOKUP($C3275, 'Instrument Table'!$B:$D, 3, FALSE), ROW($A3275) - 4504 - _xlfn.XMATCH($C3275, $C$4506:$C$5005, 0, 1), 0), 0), "00")</f>
        <v>00</v>
      </c>
      <c r="H3275" s="1" t="str">
        <f t="shared" si="307"/>
        <v>119</v>
      </c>
      <c r="I3275" s="1" t="str">
        <f t="shared" si="308"/>
        <v>16000-119</v>
      </c>
      <c r="J3275" s="1" t="str">
        <f t="shared" si="309"/>
        <v>Theremin production item #119</v>
      </c>
      <c r="K3275" s="1" t="str">
        <f>IF(SUM(COUNTIFS(I:I, I3275)) &gt; 1, "DUPLICATE", "UNIQUE")</f>
        <v>UNIQUE</v>
      </c>
      <c r="L3275" s="18">
        <v>0</v>
      </c>
      <c r="M3275" s="28">
        <v>30</v>
      </c>
      <c r="N3275" s="6">
        <v>169</v>
      </c>
      <c r="O3275" s="30">
        <f t="shared" si="310"/>
        <v>0</v>
      </c>
      <c r="P3275" s="30">
        <f t="shared" si="311"/>
        <v>5070</v>
      </c>
      <c r="Q3275" s="1">
        <f>COUNTIFS($P:$P, "&gt;" &amp; $P3275) + 1</f>
        <v>2435</v>
      </c>
      <c r="R3275" s="63">
        <f>(COUNTIFS($P:$P, "&gt;" &amp; $P3275) + 1) / (COUNTA($I:$I) - 1)</f>
        <v>0.48699999999999999</v>
      </c>
      <c r="S3275" s="23">
        <f>SUMIFS($P:$P, $Q:$Q, "&lt;" &amp; $Q3275)</f>
        <v>182796975</v>
      </c>
    </row>
    <row r="3276" spans="1:19" x14ac:dyDescent="0.25">
      <c r="A3276" s="1">
        <v>3271</v>
      </c>
      <c r="B3276" s="1" t="s">
        <v>2</v>
      </c>
      <c r="C3276" s="1" t="str">
        <f>IF($B3276 = "Production Item", _xlfn.XLOOKUP($A3276, 'Instrument Table'!$J:$J, 'Instrument Table'!$B:$B, $C3275), IF($B3276 = "Service Item", _xlfn.XLOOKUP($A3276, 'Instrument Table'!$I:$I, 'Instrument Table'!$B:$B, $C3275), _xlfn.XLOOKUP($A3276, 'Instrument Table'!$H:$H, 'Instrument Table'!$B:$B, $C3275)))</f>
        <v>Theremin</v>
      </c>
      <c r="D3276" s="1" t="str">
        <f>VLOOKUP($C3276, 'Instrument Table'!$B:$C, 2, FALSE)</f>
        <v>Other</v>
      </c>
      <c r="E3276" s="1">
        <f t="shared" si="306"/>
        <v>1</v>
      </c>
      <c r="F3276" s="1">
        <f>_xlfn.XLOOKUP($C3276, 'Instrument Table'!$B:$B, 'Instrument Table'!$A:$A, "")</f>
        <v>60</v>
      </c>
      <c r="G3276" s="1" t="str">
        <f>TEXT(IF($B3276 = "Retail Item", IF((ROW($A3276) - 4504 - _xlfn.XMATCH($C3276, $C$4506:$C$5005, 0, 1)) &lt;= VLOOKUP($C3276, 'Instrument Table'!$B:$D, 3, FALSE), ROW($A3276) - 4504 - _xlfn.XMATCH($C3276, $C$4506:$C$5005, 0, 1), 0), 0), "00")</f>
        <v>00</v>
      </c>
      <c r="H3276" s="1" t="str">
        <f t="shared" si="307"/>
        <v>120</v>
      </c>
      <c r="I3276" s="1" t="str">
        <f t="shared" si="308"/>
        <v>16000-120</v>
      </c>
      <c r="J3276" s="1" t="str">
        <f t="shared" si="309"/>
        <v>Theremin production item #120</v>
      </c>
      <c r="K3276" s="1" t="str">
        <f>IF(SUM(COUNTIFS(I:I, I3276)) &gt; 1, "DUPLICATE", "UNIQUE")</f>
        <v>UNIQUE</v>
      </c>
      <c r="L3276" s="18">
        <v>1</v>
      </c>
      <c r="M3276" s="28">
        <v>53</v>
      </c>
      <c r="N3276" s="6">
        <v>100</v>
      </c>
      <c r="O3276" s="30">
        <f t="shared" si="310"/>
        <v>53</v>
      </c>
      <c r="P3276" s="30">
        <f t="shared" si="311"/>
        <v>5300</v>
      </c>
      <c r="Q3276" s="1">
        <f>COUNTIFS($P:$P, "&gt;" &amp; $P3276) + 1</f>
        <v>2386</v>
      </c>
      <c r="R3276" s="63">
        <f>(COUNTIFS($P:$P, "&gt;" &amp; $P3276) + 1) / (COUNTA($I:$I) - 1)</f>
        <v>0.47720000000000001</v>
      </c>
      <c r="S3276" s="23">
        <f>SUMIFS($P:$P, $Q:$Q, "&lt;" &amp; $Q3276)</f>
        <v>182542741</v>
      </c>
    </row>
    <row r="3277" spans="1:19" x14ac:dyDescent="0.25">
      <c r="A3277" s="1">
        <v>3272</v>
      </c>
      <c r="B3277" s="1" t="s">
        <v>2</v>
      </c>
      <c r="C3277" s="1" t="str">
        <f>IF($B3277 = "Production Item", _xlfn.XLOOKUP($A3277, 'Instrument Table'!$J:$J, 'Instrument Table'!$B:$B, $C3276), IF($B3277 = "Service Item", _xlfn.XLOOKUP($A3277, 'Instrument Table'!$I:$I, 'Instrument Table'!$B:$B, $C3276), _xlfn.XLOOKUP($A3277, 'Instrument Table'!$H:$H, 'Instrument Table'!$B:$B, $C3276)))</f>
        <v>Theremin</v>
      </c>
      <c r="D3277" s="1" t="str">
        <f>VLOOKUP($C3277, 'Instrument Table'!$B:$C, 2, FALSE)</f>
        <v>Other</v>
      </c>
      <c r="E3277" s="1">
        <f t="shared" si="306"/>
        <v>1</v>
      </c>
      <c r="F3277" s="1">
        <f>_xlfn.XLOOKUP($C3277, 'Instrument Table'!$B:$B, 'Instrument Table'!$A:$A, "")</f>
        <v>60</v>
      </c>
      <c r="G3277" s="1" t="str">
        <f>TEXT(IF($B3277 = "Retail Item", IF((ROW($A3277) - 4504 - _xlfn.XMATCH($C3277, $C$4506:$C$5005, 0, 1)) &lt;= VLOOKUP($C3277, 'Instrument Table'!$B:$D, 3, FALSE), ROW($A3277) - 4504 - _xlfn.XMATCH($C3277, $C$4506:$C$5005, 0, 1), 0), 0), "00")</f>
        <v>00</v>
      </c>
      <c r="H3277" s="1" t="str">
        <f t="shared" si="307"/>
        <v>121</v>
      </c>
      <c r="I3277" s="1" t="str">
        <f t="shared" si="308"/>
        <v>16000-121</v>
      </c>
      <c r="J3277" s="1" t="str">
        <f t="shared" si="309"/>
        <v>Theremin production item #121</v>
      </c>
      <c r="K3277" s="1" t="str">
        <f>IF(SUM(COUNTIFS(I:I, I3277)) &gt; 1, "DUPLICATE", "UNIQUE")</f>
        <v>UNIQUE</v>
      </c>
      <c r="L3277" s="18">
        <v>0</v>
      </c>
      <c r="M3277" s="28">
        <v>42</v>
      </c>
      <c r="N3277" s="6">
        <v>361</v>
      </c>
      <c r="O3277" s="30">
        <f t="shared" si="310"/>
        <v>0</v>
      </c>
      <c r="P3277" s="30">
        <f t="shared" si="311"/>
        <v>15162</v>
      </c>
      <c r="Q3277" s="1">
        <f>COUNTIFS($P:$P, "&gt;" &amp; $P3277) + 1</f>
        <v>1339</v>
      </c>
      <c r="R3277" s="63">
        <f>(COUNTIFS($P:$P, "&gt;" &amp; $P3277) + 1) / (COUNTA($I:$I) - 1)</f>
        <v>0.26779999999999998</v>
      </c>
      <c r="S3277" s="23">
        <f>SUMIFS($P:$P, $Q:$Q, "&lt;" &amp; $Q3277)</f>
        <v>172576864</v>
      </c>
    </row>
    <row r="3278" spans="1:19" x14ac:dyDescent="0.25">
      <c r="A3278" s="1">
        <v>3273</v>
      </c>
      <c r="B3278" s="1" t="s">
        <v>2</v>
      </c>
      <c r="C3278" s="1" t="str">
        <f>IF($B3278 = "Production Item", _xlfn.XLOOKUP($A3278, 'Instrument Table'!$J:$J, 'Instrument Table'!$B:$B, $C3277), IF($B3278 = "Service Item", _xlfn.XLOOKUP($A3278, 'Instrument Table'!$I:$I, 'Instrument Table'!$B:$B, $C3277), _xlfn.XLOOKUP($A3278, 'Instrument Table'!$H:$H, 'Instrument Table'!$B:$B, $C3277)))</f>
        <v>Theremin</v>
      </c>
      <c r="D3278" s="1" t="str">
        <f>VLOOKUP($C3278, 'Instrument Table'!$B:$C, 2, FALSE)</f>
        <v>Other</v>
      </c>
      <c r="E3278" s="1">
        <f t="shared" si="306"/>
        <v>1</v>
      </c>
      <c r="F3278" s="1">
        <f>_xlfn.XLOOKUP($C3278, 'Instrument Table'!$B:$B, 'Instrument Table'!$A:$A, "")</f>
        <v>60</v>
      </c>
      <c r="G3278" s="1" t="str">
        <f>TEXT(IF($B3278 = "Retail Item", IF((ROW($A3278) - 4504 - _xlfn.XMATCH($C3278, $C$4506:$C$5005, 0, 1)) &lt;= VLOOKUP($C3278, 'Instrument Table'!$B:$D, 3, FALSE), ROW($A3278) - 4504 - _xlfn.XMATCH($C3278, $C$4506:$C$5005, 0, 1), 0), 0), "00")</f>
        <v>00</v>
      </c>
      <c r="H3278" s="1" t="str">
        <f t="shared" si="307"/>
        <v>122</v>
      </c>
      <c r="I3278" s="1" t="str">
        <f t="shared" si="308"/>
        <v>16000-122</v>
      </c>
      <c r="J3278" s="1" t="str">
        <f t="shared" si="309"/>
        <v>Theremin production item #122</v>
      </c>
      <c r="K3278" s="1" t="str">
        <f>IF(SUM(COUNTIFS(I:I, I3278)) &gt; 1, "DUPLICATE", "UNIQUE")</f>
        <v>UNIQUE</v>
      </c>
      <c r="L3278" s="18">
        <v>8</v>
      </c>
      <c r="M3278" s="28">
        <v>46</v>
      </c>
      <c r="N3278" s="6">
        <v>361</v>
      </c>
      <c r="O3278" s="30">
        <f t="shared" si="310"/>
        <v>368</v>
      </c>
      <c r="P3278" s="30">
        <f t="shared" si="311"/>
        <v>16606</v>
      </c>
      <c r="Q3278" s="1">
        <f>COUNTIFS($P:$P, "&gt;" &amp; $P3278) + 1</f>
        <v>1241</v>
      </c>
      <c r="R3278" s="63">
        <f>(COUNTIFS($P:$P, "&gt;" &amp; $P3278) + 1) / (COUNTA($I:$I) - 1)</f>
        <v>0.2482</v>
      </c>
      <c r="S3278" s="23">
        <f>SUMIFS($P:$P, $Q:$Q, "&lt;" &amp; $Q3278)</f>
        <v>171020664</v>
      </c>
    </row>
    <row r="3279" spans="1:19" x14ac:dyDescent="0.25">
      <c r="A3279" s="1">
        <v>3274</v>
      </c>
      <c r="B3279" s="1" t="s">
        <v>2</v>
      </c>
      <c r="C3279" s="1" t="str">
        <f>IF($B3279 = "Production Item", _xlfn.XLOOKUP($A3279, 'Instrument Table'!$J:$J, 'Instrument Table'!$B:$B, $C3278), IF($B3279 = "Service Item", _xlfn.XLOOKUP($A3279, 'Instrument Table'!$I:$I, 'Instrument Table'!$B:$B, $C3278), _xlfn.XLOOKUP($A3279, 'Instrument Table'!$H:$H, 'Instrument Table'!$B:$B, $C3278)))</f>
        <v>Theremin</v>
      </c>
      <c r="D3279" s="1" t="str">
        <f>VLOOKUP($C3279, 'Instrument Table'!$B:$C, 2, FALSE)</f>
        <v>Other</v>
      </c>
      <c r="E3279" s="1">
        <f t="shared" si="306"/>
        <v>1</v>
      </c>
      <c r="F3279" s="1">
        <f>_xlfn.XLOOKUP($C3279, 'Instrument Table'!$B:$B, 'Instrument Table'!$A:$A, "")</f>
        <v>60</v>
      </c>
      <c r="G3279" s="1" t="str">
        <f>TEXT(IF($B3279 = "Retail Item", IF((ROW($A3279) - 4504 - _xlfn.XMATCH($C3279, $C$4506:$C$5005, 0, 1)) &lt;= VLOOKUP($C3279, 'Instrument Table'!$B:$D, 3, FALSE), ROW($A3279) - 4504 - _xlfn.XMATCH($C3279, $C$4506:$C$5005, 0, 1), 0), 0), "00")</f>
        <v>00</v>
      </c>
      <c r="H3279" s="1" t="str">
        <f t="shared" si="307"/>
        <v>123</v>
      </c>
      <c r="I3279" s="1" t="str">
        <f t="shared" si="308"/>
        <v>16000-123</v>
      </c>
      <c r="J3279" s="1" t="str">
        <f t="shared" si="309"/>
        <v>Theremin production item #123</v>
      </c>
      <c r="K3279" s="1" t="str">
        <f>IF(SUM(COUNTIFS(I:I, I3279)) &gt; 1, "DUPLICATE", "UNIQUE")</f>
        <v>UNIQUE</v>
      </c>
      <c r="L3279" s="18">
        <v>0</v>
      </c>
      <c r="M3279" s="28">
        <v>19</v>
      </c>
      <c r="N3279" s="6">
        <v>400</v>
      </c>
      <c r="O3279" s="30">
        <f t="shared" si="310"/>
        <v>0</v>
      </c>
      <c r="P3279" s="30">
        <f t="shared" si="311"/>
        <v>7600</v>
      </c>
      <c r="Q3279" s="1">
        <f>COUNTIFS($P:$P, "&gt;" &amp; $P3279) + 1</f>
        <v>2061</v>
      </c>
      <c r="R3279" s="63">
        <f>(COUNTIFS($P:$P, "&gt;" &amp; $P3279) + 1) / (COUNTA($I:$I) - 1)</f>
        <v>0.41220000000000001</v>
      </c>
      <c r="S3279" s="23">
        <f>SUMIFS($P:$P, $Q:$Q, "&lt;" &amp; $Q3279)</f>
        <v>180468906</v>
      </c>
    </row>
    <row r="3280" spans="1:19" x14ac:dyDescent="0.25">
      <c r="A3280" s="1">
        <v>3275</v>
      </c>
      <c r="B3280" s="1" t="s">
        <v>2</v>
      </c>
      <c r="C3280" s="1" t="str">
        <f>IF($B3280 = "Production Item", _xlfn.XLOOKUP($A3280, 'Instrument Table'!$J:$J, 'Instrument Table'!$B:$B, $C3279), IF($B3280 = "Service Item", _xlfn.XLOOKUP($A3280, 'Instrument Table'!$I:$I, 'Instrument Table'!$B:$B, $C3279), _xlfn.XLOOKUP($A3280, 'Instrument Table'!$H:$H, 'Instrument Table'!$B:$B, $C3279)))</f>
        <v>Theremin</v>
      </c>
      <c r="D3280" s="1" t="str">
        <f>VLOOKUP($C3280, 'Instrument Table'!$B:$C, 2, FALSE)</f>
        <v>Other</v>
      </c>
      <c r="E3280" s="1">
        <f t="shared" si="306"/>
        <v>1</v>
      </c>
      <c r="F3280" s="1">
        <f>_xlfn.XLOOKUP($C3280, 'Instrument Table'!$B:$B, 'Instrument Table'!$A:$A, "")</f>
        <v>60</v>
      </c>
      <c r="G3280" s="1" t="str">
        <f>TEXT(IF($B3280 = "Retail Item", IF((ROW($A3280) - 4504 - _xlfn.XMATCH($C3280, $C$4506:$C$5005, 0, 1)) &lt;= VLOOKUP($C3280, 'Instrument Table'!$B:$D, 3, FALSE), ROW($A3280) - 4504 - _xlfn.XMATCH($C3280, $C$4506:$C$5005, 0, 1), 0), 0), "00")</f>
        <v>00</v>
      </c>
      <c r="H3280" s="1" t="str">
        <f t="shared" si="307"/>
        <v>124</v>
      </c>
      <c r="I3280" s="1" t="str">
        <f t="shared" si="308"/>
        <v>16000-124</v>
      </c>
      <c r="J3280" s="1" t="str">
        <f t="shared" si="309"/>
        <v>Theremin production item #124</v>
      </c>
      <c r="K3280" s="1" t="str">
        <f>IF(SUM(COUNTIFS(I:I, I3280)) &gt; 1, "DUPLICATE", "UNIQUE")</f>
        <v>UNIQUE</v>
      </c>
      <c r="L3280" s="18">
        <v>1</v>
      </c>
      <c r="M3280" s="28">
        <v>16</v>
      </c>
      <c r="N3280" s="6">
        <v>196</v>
      </c>
      <c r="O3280" s="30">
        <f t="shared" si="310"/>
        <v>16</v>
      </c>
      <c r="P3280" s="30">
        <f t="shared" si="311"/>
        <v>3136</v>
      </c>
      <c r="Q3280" s="1">
        <f>COUNTIFS($P:$P, "&gt;" &amp; $P3280) + 1</f>
        <v>2874</v>
      </c>
      <c r="R3280" s="63">
        <f>(COUNTIFS($P:$P, "&gt;" &amp; $P3280) + 1) / (COUNTA($I:$I) - 1)</f>
        <v>0.57479999999999998</v>
      </c>
      <c r="S3280" s="23">
        <f>SUMIFS($P:$P, $Q:$Q, "&lt;" &amp; $Q3280)</f>
        <v>184568226</v>
      </c>
    </row>
    <row r="3281" spans="1:19" x14ac:dyDescent="0.25">
      <c r="A3281" s="1">
        <v>3276</v>
      </c>
      <c r="B3281" s="1" t="s">
        <v>2</v>
      </c>
      <c r="C3281" s="1" t="str">
        <f>IF($B3281 = "Production Item", _xlfn.XLOOKUP($A3281, 'Instrument Table'!$J:$J, 'Instrument Table'!$B:$B, $C3280), IF($B3281 = "Service Item", _xlfn.XLOOKUP($A3281, 'Instrument Table'!$I:$I, 'Instrument Table'!$B:$B, $C3280), _xlfn.XLOOKUP($A3281, 'Instrument Table'!$H:$H, 'Instrument Table'!$B:$B, $C3280)))</f>
        <v>Theremin</v>
      </c>
      <c r="D3281" s="1" t="str">
        <f>VLOOKUP($C3281, 'Instrument Table'!$B:$C, 2, FALSE)</f>
        <v>Other</v>
      </c>
      <c r="E3281" s="1">
        <f t="shared" si="306"/>
        <v>1</v>
      </c>
      <c r="F3281" s="1">
        <f>_xlfn.XLOOKUP($C3281, 'Instrument Table'!$B:$B, 'Instrument Table'!$A:$A, "")</f>
        <v>60</v>
      </c>
      <c r="G3281" s="1" t="str">
        <f>TEXT(IF($B3281 = "Retail Item", IF((ROW($A3281) - 4504 - _xlfn.XMATCH($C3281, $C$4506:$C$5005, 0, 1)) &lt;= VLOOKUP($C3281, 'Instrument Table'!$B:$D, 3, FALSE), ROW($A3281) - 4504 - _xlfn.XMATCH($C3281, $C$4506:$C$5005, 0, 1), 0), 0), "00")</f>
        <v>00</v>
      </c>
      <c r="H3281" s="1" t="str">
        <f t="shared" si="307"/>
        <v>125</v>
      </c>
      <c r="I3281" s="1" t="str">
        <f t="shared" si="308"/>
        <v>16000-125</v>
      </c>
      <c r="J3281" s="1" t="str">
        <f t="shared" si="309"/>
        <v>Theremin production item #125</v>
      </c>
      <c r="K3281" s="1" t="str">
        <f>IF(SUM(COUNTIFS(I:I, I3281)) &gt; 1, "DUPLICATE", "UNIQUE")</f>
        <v>UNIQUE</v>
      </c>
      <c r="L3281" s="18">
        <v>0</v>
      </c>
      <c r="M3281" s="28">
        <v>24</v>
      </c>
      <c r="N3281" s="6">
        <v>36</v>
      </c>
      <c r="O3281" s="30">
        <f t="shared" si="310"/>
        <v>0</v>
      </c>
      <c r="P3281" s="30">
        <f t="shared" si="311"/>
        <v>864</v>
      </c>
      <c r="Q3281" s="1">
        <f>COUNTIFS($P:$P, "&gt;" &amp; $P3281) + 1</f>
        <v>3751</v>
      </c>
      <c r="R3281" s="63">
        <f>(COUNTIFS($P:$P, "&gt;" &amp; $P3281) + 1) / (COUNTA($I:$I) - 1)</f>
        <v>0.75019999999999998</v>
      </c>
      <c r="S3281" s="23">
        <f>SUMIFS($P:$P, $Q:$Q, "&lt;" &amp; $Q3281)</f>
        <v>186225045</v>
      </c>
    </row>
    <row r="3282" spans="1:19" x14ac:dyDescent="0.25">
      <c r="A3282" s="1">
        <v>3277</v>
      </c>
      <c r="B3282" s="1" t="s">
        <v>2</v>
      </c>
      <c r="C3282" s="1" t="str">
        <f>IF($B3282 = "Production Item", _xlfn.XLOOKUP($A3282, 'Instrument Table'!$J:$J, 'Instrument Table'!$B:$B, $C3281), IF($B3282 = "Service Item", _xlfn.XLOOKUP($A3282, 'Instrument Table'!$I:$I, 'Instrument Table'!$B:$B, $C3281), _xlfn.XLOOKUP($A3282, 'Instrument Table'!$H:$H, 'Instrument Table'!$B:$B, $C3281)))</f>
        <v>Theremin</v>
      </c>
      <c r="D3282" s="1" t="str">
        <f>VLOOKUP($C3282, 'Instrument Table'!$B:$C, 2, FALSE)</f>
        <v>Other</v>
      </c>
      <c r="E3282" s="1">
        <f t="shared" si="306"/>
        <v>1</v>
      </c>
      <c r="F3282" s="1">
        <f>_xlfn.XLOOKUP($C3282, 'Instrument Table'!$B:$B, 'Instrument Table'!$A:$A, "")</f>
        <v>60</v>
      </c>
      <c r="G3282" s="1" t="str">
        <f>TEXT(IF($B3282 = "Retail Item", IF((ROW($A3282) - 4504 - _xlfn.XMATCH($C3282, $C$4506:$C$5005, 0, 1)) &lt;= VLOOKUP($C3282, 'Instrument Table'!$B:$D, 3, FALSE), ROW($A3282) - 4504 - _xlfn.XMATCH($C3282, $C$4506:$C$5005, 0, 1), 0), 0), "00")</f>
        <v>00</v>
      </c>
      <c r="H3282" s="1" t="str">
        <f t="shared" si="307"/>
        <v>126</v>
      </c>
      <c r="I3282" s="1" t="str">
        <f t="shared" si="308"/>
        <v>16000-126</v>
      </c>
      <c r="J3282" s="1" t="str">
        <f t="shared" si="309"/>
        <v>Theremin production item #126</v>
      </c>
      <c r="K3282" s="1" t="str">
        <f>IF(SUM(COUNTIFS(I:I, I3282)) &gt; 1, "DUPLICATE", "UNIQUE")</f>
        <v>UNIQUE</v>
      </c>
      <c r="L3282" s="18">
        <v>0</v>
      </c>
      <c r="M3282" s="28">
        <v>73</v>
      </c>
      <c r="N3282" s="6">
        <v>361</v>
      </c>
      <c r="O3282" s="30">
        <f t="shared" si="310"/>
        <v>0</v>
      </c>
      <c r="P3282" s="30">
        <f t="shared" si="311"/>
        <v>26353</v>
      </c>
      <c r="Q3282" s="1">
        <f>COUNTIFS($P:$P, "&gt;" &amp; $P3282) + 1</f>
        <v>776</v>
      </c>
      <c r="R3282" s="63">
        <f>(COUNTIFS($P:$P, "&gt;" &amp; $P3282) + 1) / (COUNTA($I:$I) - 1)</f>
        <v>0.1552</v>
      </c>
      <c r="S3282" s="23">
        <f>SUMIFS($P:$P, $Q:$Q, "&lt;" &amp; $Q3282)</f>
        <v>161202360</v>
      </c>
    </row>
    <row r="3283" spans="1:19" x14ac:dyDescent="0.25">
      <c r="A3283" s="1">
        <v>3278</v>
      </c>
      <c r="B3283" s="1" t="s">
        <v>2</v>
      </c>
      <c r="C3283" s="1" t="str">
        <f>IF($B3283 = "Production Item", _xlfn.XLOOKUP($A3283, 'Instrument Table'!$J:$J, 'Instrument Table'!$B:$B, $C3282), IF($B3283 = "Service Item", _xlfn.XLOOKUP($A3283, 'Instrument Table'!$I:$I, 'Instrument Table'!$B:$B, $C3282), _xlfn.XLOOKUP($A3283, 'Instrument Table'!$H:$H, 'Instrument Table'!$B:$B, $C3282)))</f>
        <v>Theremin</v>
      </c>
      <c r="D3283" s="1" t="str">
        <f>VLOOKUP($C3283, 'Instrument Table'!$B:$C, 2, FALSE)</f>
        <v>Other</v>
      </c>
      <c r="E3283" s="1">
        <f t="shared" si="306"/>
        <v>1</v>
      </c>
      <c r="F3283" s="1">
        <f>_xlfn.XLOOKUP($C3283, 'Instrument Table'!$B:$B, 'Instrument Table'!$A:$A, "")</f>
        <v>60</v>
      </c>
      <c r="G3283" s="1" t="str">
        <f>TEXT(IF($B3283 = "Retail Item", IF((ROW($A3283) - 4504 - _xlfn.XMATCH($C3283, $C$4506:$C$5005, 0, 1)) &lt;= VLOOKUP($C3283, 'Instrument Table'!$B:$D, 3, FALSE), ROW($A3283) - 4504 - _xlfn.XMATCH($C3283, $C$4506:$C$5005, 0, 1), 0), 0), "00")</f>
        <v>00</v>
      </c>
      <c r="H3283" s="1" t="str">
        <f t="shared" si="307"/>
        <v>127</v>
      </c>
      <c r="I3283" s="1" t="str">
        <f t="shared" si="308"/>
        <v>16000-127</v>
      </c>
      <c r="J3283" s="1" t="str">
        <f t="shared" si="309"/>
        <v>Theremin production item #127</v>
      </c>
      <c r="K3283" s="1" t="str">
        <f>IF(SUM(COUNTIFS(I:I, I3283)) &gt; 1, "DUPLICATE", "UNIQUE")</f>
        <v>UNIQUE</v>
      </c>
      <c r="L3283" s="18">
        <v>0</v>
      </c>
      <c r="M3283" s="28">
        <v>36</v>
      </c>
      <c r="N3283" s="6">
        <v>196</v>
      </c>
      <c r="O3283" s="30">
        <f t="shared" si="310"/>
        <v>0</v>
      </c>
      <c r="P3283" s="30">
        <f t="shared" si="311"/>
        <v>7056</v>
      </c>
      <c r="Q3283" s="1">
        <f>COUNTIFS($P:$P, "&gt;" &amp; $P3283) + 1</f>
        <v>2125</v>
      </c>
      <c r="R3283" s="63">
        <f>(COUNTIFS($P:$P, "&gt;" &amp; $P3283) + 1) / (COUNTA($I:$I) - 1)</f>
        <v>0.42499999999999999</v>
      </c>
      <c r="S3283" s="23">
        <f>SUMIFS($P:$P, $Q:$Q, "&lt;" &amp; $Q3283)</f>
        <v>180938988</v>
      </c>
    </row>
    <row r="3284" spans="1:19" x14ac:dyDescent="0.25">
      <c r="A3284" s="1">
        <v>3279</v>
      </c>
      <c r="B3284" s="1" t="s">
        <v>2</v>
      </c>
      <c r="C3284" s="1" t="str">
        <f>IF($B3284 = "Production Item", _xlfn.XLOOKUP($A3284, 'Instrument Table'!$J:$J, 'Instrument Table'!$B:$B, $C3283), IF($B3284 = "Service Item", _xlfn.XLOOKUP($A3284, 'Instrument Table'!$I:$I, 'Instrument Table'!$B:$B, $C3283), _xlfn.XLOOKUP($A3284, 'Instrument Table'!$H:$H, 'Instrument Table'!$B:$B, $C3283)))</f>
        <v>Theremin</v>
      </c>
      <c r="D3284" s="1" t="str">
        <f>VLOOKUP($C3284, 'Instrument Table'!$B:$C, 2, FALSE)</f>
        <v>Other</v>
      </c>
      <c r="E3284" s="1">
        <f t="shared" si="306"/>
        <v>1</v>
      </c>
      <c r="F3284" s="1">
        <f>_xlfn.XLOOKUP($C3284, 'Instrument Table'!$B:$B, 'Instrument Table'!$A:$A, "")</f>
        <v>60</v>
      </c>
      <c r="G3284" s="1" t="str">
        <f>TEXT(IF($B3284 = "Retail Item", IF((ROW($A3284) - 4504 - _xlfn.XMATCH($C3284, $C$4506:$C$5005, 0, 1)) &lt;= VLOOKUP($C3284, 'Instrument Table'!$B:$D, 3, FALSE), ROW($A3284) - 4504 - _xlfn.XMATCH($C3284, $C$4506:$C$5005, 0, 1), 0), 0), "00")</f>
        <v>00</v>
      </c>
      <c r="H3284" s="1" t="str">
        <f t="shared" si="307"/>
        <v>128</v>
      </c>
      <c r="I3284" s="1" t="str">
        <f t="shared" si="308"/>
        <v>16000-128</v>
      </c>
      <c r="J3284" s="1" t="str">
        <f t="shared" si="309"/>
        <v>Theremin production item #128</v>
      </c>
      <c r="K3284" s="1" t="str">
        <f>IF(SUM(COUNTIFS(I:I, I3284)) &gt; 1, "DUPLICATE", "UNIQUE")</f>
        <v>UNIQUE</v>
      </c>
      <c r="L3284" s="18">
        <v>16</v>
      </c>
      <c r="M3284" s="28">
        <v>11</v>
      </c>
      <c r="N3284" s="6">
        <v>324</v>
      </c>
      <c r="O3284" s="30">
        <f t="shared" si="310"/>
        <v>176</v>
      </c>
      <c r="P3284" s="30">
        <f t="shared" si="311"/>
        <v>3564</v>
      </c>
      <c r="Q3284" s="1">
        <f>COUNTIFS($P:$P, "&gt;" &amp; $P3284) + 1</f>
        <v>2753</v>
      </c>
      <c r="R3284" s="63">
        <f>(COUNTIFS($P:$P, "&gt;" &amp; $P3284) + 1) / (COUNTA($I:$I) - 1)</f>
        <v>0.55059999999999998</v>
      </c>
      <c r="S3284" s="23">
        <f>SUMIFS($P:$P, $Q:$Q, "&lt;" &amp; $Q3284)</f>
        <v>184161538</v>
      </c>
    </row>
    <row r="3285" spans="1:19" x14ac:dyDescent="0.25">
      <c r="A3285" s="1">
        <v>3280</v>
      </c>
      <c r="B3285" s="1" t="s">
        <v>2</v>
      </c>
      <c r="C3285" s="1" t="str">
        <f>IF($B3285 = "Production Item", _xlfn.XLOOKUP($A3285, 'Instrument Table'!$J:$J, 'Instrument Table'!$B:$B, $C3284), IF($B3285 = "Service Item", _xlfn.XLOOKUP($A3285, 'Instrument Table'!$I:$I, 'Instrument Table'!$B:$B, $C3284), _xlfn.XLOOKUP($A3285, 'Instrument Table'!$H:$H, 'Instrument Table'!$B:$B, $C3284)))</f>
        <v>Theremin</v>
      </c>
      <c r="D3285" s="1" t="str">
        <f>VLOOKUP($C3285, 'Instrument Table'!$B:$C, 2, FALSE)</f>
        <v>Other</v>
      </c>
      <c r="E3285" s="1">
        <f t="shared" si="306"/>
        <v>1</v>
      </c>
      <c r="F3285" s="1">
        <f>_xlfn.XLOOKUP($C3285, 'Instrument Table'!$B:$B, 'Instrument Table'!$A:$A, "")</f>
        <v>60</v>
      </c>
      <c r="G3285" s="1" t="str">
        <f>TEXT(IF($B3285 = "Retail Item", IF((ROW($A3285) - 4504 - _xlfn.XMATCH($C3285, $C$4506:$C$5005, 0, 1)) &lt;= VLOOKUP($C3285, 'Instrument Table'!$B:$D, 3, FALSE), ROW($A3285) - 4504 - _xlfn.XMATCH($C3285, $C$4506:$C$5005, 0, 1), 0), 0), "00")</f>
        <v>00</v>
      </c>
      <c r="H3285" s="1" t="str">
        <f t="shared" si="307"/>
        <v>129</v>
      </c>
      <c r="I3285" s="1" t="str">
        <f t="shared" si="308"/>
        <v>16000-129</v>
      </c>
      <c r="J3285" s="1" t="str">
        <f t="shared" si="309"/>
        <v>Theremin production item #129</v>
      </c>
      <c r="K3285" s="1" t="str">
        <f>IF(SUM(COUNTIFS(I:I, I3285)) &gt; 1, "DUPLICATE", "UNIQUE")</f>
        <v>UNIQUE</v>
      </c>
      <c r="L3285" s="18">
        <v>32</v>
      </c>
      <c r="M3285" s="28">
        <v>32</v>
      </c>
      <c r="N3285" s="6">
        <v>324</v>
      </c>
      <c r="O3285" s="30">
        <f t="shared" si="310"/>
        <v>1024</v>
      </c>
      <c r="P3285" s="30">
        <f t="shared" si="311"/>
        <v>10368</v>
      </c>
      <c r="Q3285" s="1">
        <f>COUNTIFS($P:$P, "&gt;" &amp; $P3285) + 1</f>
        <v>1741</v>
      </c>
      <c r="R3285" s="63">
        <f>(COUNTIFS($P:$P, "&gt;" &amp; $P3285) + 1) / (COUNTA($I:$I) - 1)</f>
        <v>0.34820000000000001</v>
      </c>
      <c r="S3285" s="23">
        <f>SUMIFS($P:$P, $Q:$Q, "&lt;" &amp; $Q3285)</f>
        <v>177648980</v>
      </c>
    </row>
    <row r="3286" spans="1:19" x14ac:dyDescent="0.25">
      <c r="A3286" s="1">
        <v>3281</v>
      </c>
      <c r="B3286" s="1" t="s">
        <v>2</v>
      </c>
      <c r="C3286" s="1" t="str">
        <f>IF($B3286 = "Production Item", _xlfn.XLOOKUP($A3286, 'Instrument Table'!$J:$J, 'Instrument Table'!$B:$B, $C3285), IF($B3286 = "Service Item", _xlfn.XLOOKUP($A3286, 'Instrument Table'!$I:$I, 'Instrument Table'!$B:$B, $C3285), _xlfn.XLOOKUP($A3286, 'Instrument Table'!$H:$H, 'Instrument Table'!$B:$B, $C3285)))</f>
        <v>Theremin</v>
      </c>
      <c r="D3286" s="1" t="str">
        <f>VLOOKUP($C3286, 'Instrument Table'!$B:$C, 2, FALSE)</f>
        <v>Other</v>
      </c>
      <c r="E3286" s="1">
        <f t="shared" si="306"/>
        <v>1</v>
      </c>
      <c r="F3286" s="1">
        <f>_xlfn.XLOOKUP($C3286, 'Instrument Table'!$B:$B, 'Instrument Table'!$A:$A, "")</f>
        <v>60</v>
      </c>
      <c r="G3286" s="1" t="str">
        <f>TEXT(IF($B3286 = "Retail Item", IF((ROW($A3286) - 4504 - _xlfn.XMATCH($C3286, $C$4506:$C$5005, 0, 1)) &lt;= VLOOKUP($C3286, 'Instrument Table'!$B:$D, 3, FALSE), ROW($A3286) - 4504 - _xlfn.XMATCH($C3286, $C$4506:$C$5005, 0, 1), 0), 0), "00")</f>
        <v>00</v>
      </c>
      <c r="H3286" s="1" t="str">
        <f t="shared" si="307"/>
        <v>130</v>
      </c>
      <c r="I3286" s="1" t="str">
        <f t="shared" si="308"/>
        <v>16000-130</v>
      </c>
      <c r="J3286" s="1" t="str">
        <f t="shared" si="309"/>
        <v>Theremin production item #130</v>
      </c>
      <c r="K3286" s="1" t="str">
        <f>IF(SUM(COUNTIFS(I:I, I3286)) &gt; 1, "DUPLICATE", "UNIQUE")</f>
        <v>UNIQUE</v>
      </c>
      <c r="L3286" s="18">
        <v>1</v>
      </c>
      <c r="M3286" s="28">
        <v>30</v>
      </c>
      <c r="N3286" s="6">
        <v>225</v>
      </c>
      <c r="O3286" s="30">
        <f t="shared" si="310"/>
        <v>30</v>
      </c>
      <c r="P3286" s="30">
        <f t="shared" si="311"/>
        <v>6750</v>
      </c>
      <c r="Q3286" s="1">
        <f>COUNTIFS($P:$P, "&gt;" &amp; $P3286) + 1</f>
        <v>2179</v>
      </c>
      <c r="R3286" s="63">
        <f>(COUNTIFS($P:$P, "&gt;" &amp; $P3286) + 1) / (COUNTA($I:$I) - 1)</f>
        <v>0.43580000000000002</v>
      </c>
      <c r="S3286" s="23">
        <f>SUMIFS($P:$P, $Q:$Q, "&lt;" &amp; $Q3286)</f>
        <v>181311652</v>
      </c>
    </row>
    <row r="3287" spans="1:19" x14ac:dyDescent="0.25">
      <c r="A3287" s="1">
        <v>3282</v>
      </c>
      <c r="B3287" s="1" t="s">
        <v>2</v>
      </c>
      <c r="C3287" s="1" t="str">
        <f>IF($B3287 = "Production Item", _xlfn.XLOOKUP($A3287, 'Instrument Table'!$J:$J, 'Instrument Table'!$B:$B, $C3286), IF($B3287 = "Service Item", _xlfn.XLOOKUP($A3287, 'Instrument Table'!$I:$I, 'Instrument Table'!$B:$B, $C3286), _xlfn.XLOOKUP($A3287, 'Instrument Table'!$H:$H, 'Instrument Table'!$B:$B, $C3286)))</f>
        <v>Theremin</v>
      </c>
      <c r="D3287" s="1" t="str">
        <f>VLOOKUP($C3287, 'Instrument Table'!$B:$C, 2, FALSE)</f>
        <v>Other</v>
      </c>
      <c r="E3287" s="1">
        <f t="shared" si="306"/>
        <v>1</v>
      </c>
      <c r="F3287" s="1">
        <f>_xlfn.XLOOKUP($C3287, 'Instrument Table'!$B:$B, 'Instrument Table'!$A:$A, "")</f>
        <v>60</v>
      </c>
      <c r="G3287" s="1" t="str">
        <f>TEXT(IF($B3287 = "Retail Item", IF((ROW($A3287) - 4504 - _xlfn.XMATCH($C3287, $C$4506:$C$5005, 0, 1)) &lt;= VLOOKUP($C3287, 'Instrument Table'!$B:$D, 3, FALSE), ROW($A3287) - 4504 - _xlfn.XMATCH($C3287, $C$4506:$C$5005, 0, 1), 0), 0), "00")</f>
        <v>00</v>
      </c>
      <c r="H3287" s="1" t="str">
        <f t="shared" si="307"/>
        <v>131</v>
      </c>
      <c r="I3287" s="1" t="str">
        <f t="shared" si="308"/>
        <v>16000-131</v>
      </c>
      <c r="J3287" s="1" t="str">
        <f t="shared" si="309"/>
        <v>Theremin production item #131</v>
      </c>
      <c r="K3287" s="1" t="str">
        <f>IF(SUM(COUNTIFS(I:I, I3287)) &gt; 1, "DUPLICATE", "UNIQUE")</f>
        <v>UNIQUE</v>
      </c>
      <c r="L3287" s="18">
        <v>1</v>
      </c>
      <c r="M3287" s="28">
        <v>34</v>
      </c>
      <c r="N3287" s="6">
        <v>196</v>
      </c>
      <c r="O3287" s="30">
        <f t="shared" si="310"/>
        <v>34</v>
      </c>
      <c r="P3287" s="30">
        <f t="shared" si="311"/>
        <v>6664</v>
      </c>
      <c r="Q3287" s="1">
        <f>COUNTIFS($P:$P, "&gt;" &amp; $P3287) + 1</f>
        <v>2185</v>
      </c>
      <c r="R3287" s="63">
        <f>(COUNTIFS($P:$P, "&gt;" &amp; $P3287) + 1) / (COUNTA($I:$I) - 1)</f>
        <v>0.437</v>
      </c>
      <c r="S3287" s="23">
        <f>SUMIFS($P:$P, $Q:$Q, "&lt;" &amp; $Q3287)</f>
        <v>181351968</v>
      </c>
    </row>
    <row r="3288" spans="1:19" x14ac:dyDescent="0.25">
      <c r="A3288" s="1">
        <v>3283</v>
      </c>
      <c r="B3288" s="1" t="s">
        <v>2</v>
      </c>
      <c r="C3288" s="1" t="str">
        <f>IF($B3288 = "Production Item", _xlfn.XLOOKUP($A3288, 'Instrument Table'!$J:$J, 'Instrument Table'!$B:$B, $C3287), IF($B3288 = "Service Item", _xlfn.XLOOKUP($A3288, 'Instrument Table'!$I:$I, 'Instrument Table'!$B:$B, $C3287), _xlfn.XLOOKUP($A3288, 'Instrument Table'!$H:$H, 'Instrument Table'!$B:$B, $C3287)))</f>
        <v>Theremin</v>
      </c>
      <c r="D3288" s="1" t="str">
        <f>VLOOKUP($C3288, 'Instrument Table'!$B:$C, 2, FALSE)</f>
        <v>Other</v>
      </c>
      <c r="E3288" s="1">
        <f t="shared" si="306"/>
        <v>1</v>
      </c>
      <c r="F3288" s="1">
        <f>_xlfn.XLOOKUP($C3288, 'Instrument Table'!$B:$B, 'Instrument Table'!$A:$A, "")</f>
        <v>60</v>
      </c>
      <c r="G3288" s="1" t="str">
        <f>TEXT(IF($B3288 = "Retail Item", IF((ROW($A3288) - 4504 - _xlfn.XMATCH($C3288, $C$4506:$C$5005, 0, 1)) &lt;= VLOOKUP($C3288, 'Instrument Table'!$B:$D, 3, FALSE), ROW($A3288) - 4504 - _xlfn.XMATCH($C3288, $C$4506:$C$5005, 0, 1), 0), 0), "00")</f>
        <v>00</v>
      </c>
      <c r="H3288" s="1" t="str">
        <f t="shared" si="307"/>
        <v>132</v>
      </c>
      <c r="I3288" s="1" t="str">
        <f t="shared" si="308"/>
        <v>16000-132</v>
      </c>
      <c r="J3288" s="1" t="str">
        <f t="shared" si="309"/>
        <v>Theremin production item #132</v>
      </c>
      <c r="K3288" s="1" t="str">
        <f>IF(SUM(COUNTIFS(I:I, I3288)) &gt; 1, "DUPLICATE", "UNIQUE")</f>
        <v>UNIQUE</v>
      </c>
      <c r="L3288" s="18">
        <v>1</v>
      </c>
      <c r="M3288" s="28">
        <v>25</v>
      </c>
      <c r="N3288" s="6">
        <v>100</v>
      </c>
      <c r="O3288" s="30">
        <f t="shared" si="310"/>
        <v>25</v>
      </c>
      <c r="P3288" s="30">
        <f t="shared" si="311"/>
        <v>2500</v>
      </c>
      <c r="Q3288" s="1">
        <f>COUNTIFS($P:$P, "&gt;" &amp; $P3288) + 1</f>
        <v>3044</v>
      </c>
      <c r="R3288" s="63">
        <f>(COUNTIFS($P:$P, "&gt;" &amp; $P3288) + 1) / (COUNTA($I:$I) - 1)</f>
        <v>0.60880000000000001</v>
      </c>
      <c r="S3288" s="23">
        <f>SUMIFS($P:$P, $Q:$Q, "&lt;" &amp; $Q3288)</f>
        <v>185045549</v>
      </c>
    </row>
    <row r="3289" spans="1:19" x14ac:dyDescent="0.25">
      <c r="A3289" s="1">
        <v>3284</v>
      </c>
      <c r="B3289" s="1" t="s">
        <v>2</v>
      </c>
      <c r="C3289" s="1" t="str">
        <f>IF($B3289 = "Production Item", _xlfn.XLOOKUP($A3289, 'Instrument Table'!$J:$J, 'Instrument Table'!$B:$B, $C3288), IF($B3289 = "Service Item", _xlfn.XLOOKUP($A3289, 'Instrument Table'!$I:$I, 'Instrument Table'!$B:$B, $C3288), _xlfn.XLOOKUP($A3289, 'Instrument Table'!$H:$H, 'Instrument Table'!$B:$B, $C3288)))</f>
        <v>Theremin</v>
      </c>
      <c r="D3289" s="1" t="str">
        <f>VLOOKUP($C3289, 'Instrument Table'!$B:$C, 2, FALSE)</f>
        <v>Other</v>
      </c>
      <c r="E3289" s="1">
        <f t="shared" si="306"/>
        <v>1</v>
      </c>
      <c r="F3289" s="1">
        <f>_xlfn.XLOOKUP($C3289, 'Instrument Table'!$B:$B, 'Instrument Table'!$A:$A, "")</f>
        <v>60</v>
      </c>
      <c r="G3289" s="1" t="str">
        <f>TEXT(IF($B3289 = "Retail Item", IF((ROW($A3289) - 4504 - _xlfn.XMATCH($C3289, $C$4506:$C$5005, 0, 1)) &lt;= VLOOKUP($C3289, 'Instrument Table'!$B:$D, 3, FALSE), ROW($A3289) - 4504 - _xlfn.XMATCH($C3289, $C$4506:$C$5005, 0, 1), 0), 0), "00")</f>
        <v>00</v>
      </c>
      <c r="H3289" s="1" t="str">
        <f t="shared" si="307"/>
        <v>133</v>
      </c>
      <c r="I3289" s="1" t="str">
        <f t="shared" si="308"/>
        <v>16000-133</v>
      </c>
      <c r="J3289" s="1" t="str">
        <f t="shared" si="309"/>
        <v>Theremin production item #133</v>
      </c>
      <c r="K3289" s="1" t="str">
        <f>IF(SUM(COUNTIFS(I:I, I3289)) &gt; 1, "DUPLICATE", "UNIQUE")</f>
        <v>UNIQUE</v>
      </c>
      <c r="L3289" s="18">
        <v>32</v>
      </c>
      <c r="M3289" s="28">
        <v>47</v>
      </c>
      <c r="N3289" s="6">
        <v>100</v>
      </c>
      <c r="O3289" s="30">
        <f t="shared" si="310"/>
        <v>1504</v>
      </c>
      <c r="P3289" s="30">
        <f t="shared" si="311"/>
        <v>4700</v>
      </c>
      <c r="Q3289" s="1">
        <f>COUNTIFS($P:$P, "&gt;" &amp; $P3289) + 1</f>
        <v>2506</v>
      </c>
      <c r="R3289" s="63">
        <f>(COUNTIFS($P:$P, "&gt;" &amp; $P3289) + 1) / (COUNTA($I:$I) - 1)</f>
        <v>0.50119999999999998</v>
      </c>
      <c r="S3289" s="23">
        <f>SUMIFS($P:$P, $Q:$Q, "&lt;" &amp; $Q3289)</f>
        <v>183143468</v>
      </c>
    </row>
    <row r="3290" spans="1:19" x14ac:dyDescent="0.25">
      <c r="A3290" s="1">
        <v>3285</v>
      </c>
      <c r="B3290" s="1" t="s">
        <v>2</v>
      </c>
      <c r="C3290" s="1" t="str">
        <f>IF($B3290 = "Production Item", _xlfn.XLOOKUP($A3290, 'Instrument Table'!$J:$J, 'Instrument Table'!$B:$B, $C3289), IF($B3290 = "Service Item", _xlfn.XLOOKUP($A3290, 'Instrument Table'!$I:$I, 'Instrument Table'!$B:$B, $C3289), _xlfn.XLOOKUP($A3290, 'Instrument Table'!$H:$H, 'Instrument Table'!$B:$B, $C3289)))</f>
        <v>Theremin</v>
      </c>
      <c r="D3290" s="1" t="str">
        <f>VLOOKUP($C3290, 'Instrument Table'!$B:$C, 2, FALSE)</f>
        <v>Other</v>
      </c>
      <c r="E3290" s="1">
        <f t="shared" si="306"/>
        <v>1</v>
      </c>
      <c r="F3290" s="1">
        <f>_xlfn.XLOOKUP($C3290, 'Instrument Table'!$B:$B, 'Instrument Table'!$A:$A, "")</f>
        <v>60</v>
      </c>
      <c r="G3290" s="1" t="str">
        <f>TEXT(IF($B3290 = "Retail Item", IF((ROW($A3290) - 4504 - _xlfn.XMATCH($C3290, $C$4506:$C$5005, 0, 1)) &lt;= VLOOKUP($C3290, 'Instrument Table'!$B:$D, 3, FALSE), ROW($A3290) - 4504 - _xlfn.XMATCH($C3290, $C$4506:$C$5005, 0, 1), 0), 0), "00")</f>
        <v>00</v>
      </c>
      <c r="H3290" s="1" t="str">
        <f t="shared" si="307"/>
        <v>134</v>
      </c>
      <c r="I3290" s="1" t="str">
        <f t="shared" si="308"/>
        <v>16000-134</v>
      </c>
      <c r="J3290" s="1" t="str">
        <f t="shared" si="309"/>
        <v>Theremin production item #134</v>
      </c>
      <c r="K3290" s="1" t="str">
        <f>IF(SUM(COUNTIFS(I:I, I3290)) &gt; 1, "DUPLICATE", "UNIQUE")</f>
        <v>UNIQUE</v>
      </c>
      <c r="L3290" s="18">
        <v>1</v>
      </c>
      <c r="M3290" s="28">
        <v>80</v>
      </c>
      <c r="N3290" s="6">
        <v>25</v>
      </c>
      <c r="O3290" s="30">
        <f t="shared" si="310"/>
        <v>80</v>
      </c>
      <c r="P3290" s="30">
        <f t="shared" si="311"/>
        <v>2000</v>
      </c>
      <c r="Q3290" s="1">
        <f>COUNTIFS($P:$P, "&gt;" &amp; $P3290) + 1</f>
        <v>3257</v>
      </c>
      <c r="R3290" s="63">
        <f>(COUNTIFS($P:$P, "&gt;" &amp; $P3290) + 1) / (COUNTA($I:$I) - 1)</f>
        <v>0.65139999999999998</v>
      </c>
      <c r="S3290" s="23">
        <f>SUMIFS($P:$P, $Q:$Q, "&lt;" &amp; $Q3290)</f>
        <v>185525191</v>
      </c>
    </row>
    <row r="3291" spans="1:19" x14ac:dyDescent="0.25">
      <c r="A3291" s="1">
        <v>3286</v>
      </c>
      <c r="B3291" s="1" t="s">
        <v>2</v>
      </c>
      <c r="C3291" s="1" t="str">
        <f>IF($B3291 = "Production Item", _xlfn.XLOOKUP($A3291, 'Instrument Table'!$J:$J, 'Instrument Table'!$B:$B, $C3290), IF($B3291 = "Service Item", _xlfn.XLOOKUP($A3291, 'Instrument Table'!$I:$I, 'Instrument Table'!$B:$B, $C3290), _xlfn.XLOOKUP($A3291, 'Instrument Table'!$H:$H, 'Instrument Table'!$B:$B, $C3290)))</f>
        <v>Theremin</v>
      </c>
      <c r="D3291" s="1" t="str">
        <f>VLOOKUP($C3291, 'Instrument Table'!$B:$C, 2, FALSE)</f>
        <v>Other</v>
      </c>
      <c r="E3291" s="1">
        <f t="shared" si="306"/>
        <v>1</v>
      </c>
      <c r="F3291" s="1">
        <f>_xlfn.XLOOKUP($C3291, 'Instrument Table'!$B:$B, 'Instrument Table'!$A:$A, "")</f>
        <v>60</v>
      </c>
      <c r="G3291" s="1" t="str">
        <f>TEXT(IF($B3291 = "Retail Item", IF((ROW($A3291) - 4504 - _xlfn.XMATCH($C3291, $C$4506:$C$5005, 0, 1)) &lt;= VLOOKUP($C3291, 'Instrument Table'!$B:$D, 3, FALSE), ROW($A3291) - 4504 - _xlfn.XMATCH($C3291, $C$4506:$C$5005, 0, 1), 0), 0), "00")</f>
        <v>00</v>
      </c>
      <c r="H3291" s="1" t="str">
        <f t="shared" si="307"/>
        <v>135</v>
      </c>
      <c r="I3291" s="1" t="str">
        <f t="shared" si="308"/>
        <v>16000-135</v>
      </c>
      <c r="J3291" s="1" t="str">
        <f t="shared" si="309"/>
        <v>Theremin production item #135</v>
      </c>
      <c r="K3291" s="1" t="str">
        <f>IF(SUM(COUNTIFS(I:I, I3291)) &gt; 1, "DUPLICATE", "UNIQUE")</f>
        <v>UNIQUE</v>
      </c>
      <c r="L3291" s="18">
        <v>2</v>
      </c>
      <c r="M3291" s="28">
        <v>92</v>
      </c>
      <c r="N3291" s="6">
        <v>256</v>
      </c>
      <c r="O3291" s="30">
        <f t="shared" si="310"/>
        <v>184</v>
      </c>
      <c r="P3291" s="30">
        <f t="shared" si="311"/>
        <v>23552</v>
      </c>
      <c r="Q3291" s="1">
        <f>COUNTIFS($P:$P, "&gt;" &amp; $P3291) + 1</f>
        <v>888</v>
      </c>
      <c r="R3291" s="63">
        <f>(COUNTIFS($P:$P, "&gt;" &amp; $P3291) + 1) / (COUNTA($I:$I) - 1)</f>
        <v>0.17760000000000001</v>
      </c>
      <c r="S3291" s="23">
        <f>SUMIFS($P:$P, $Q:$Q, "&lt;" &amp; $Q3291)</f>
        <v>164000854</v>
      </c>
    </row>
    <row r="3292" spans="1:19" x14ac:dyDescent="0.25">
      <c r="A3292" s="1">
        <v>3287</v>
      </c>
      <c r="B3292" s="1" t="s">
        <v>2</v>
      </c>
      <c r="C3292" s="1" t="str">
        <f>IF($B3292 = "Production Item", _xlfn.XLOOKUP($A3292, 'Instrument Table'!$J:$J, 'Instrument Table'!$B:$B, $C3291), IF($B3292 = "Service Item", _xlfn.XLOOKUP($A3292, 'Instrument Table'!$I:$I, 'Instrument Table'!$B:$B, $C3291), _xlfn.XLOOKUP($A3292, 'Instrument Table'!$H:$H, 'Instrument Table'!$B:$B, $C3291)))</f>
        <v>Theremin</v>
      </c>
      <c r="D3292" s="1" t="str">
        <f>VLOOKUP($C3292, 'Instrument Table'!$B:$C, 2, FALSE)</f>
        <v>Other</v>
      </c>
      <c r="E3292" s="1">
        <f t="shared" si="306"/>
        <v>1</v>
      </c>
      <c r="F3292" s="1">
        <f>_xlfn.XLOOKUP($C3292, 'Instrument Table'!$B:$B, 'Instrument Table'!$A:$A, "")</f>
        <v>60</v>
      </c>
      <c r="G3292" s="1" t="str">
        <f>TEXT(IF($B3292 = "Retail Item", IF((ROW($A3292) - 4504 - _xlfn.XMATCH($C3292, $C$4506:$C$5005, 0, 1)) &lt;= VLOOKUP($C3292, 'Instrument Table'!$B:$D, 3, FALSE), ROW($A3292) - 4504 - _xlfn.XMATCH($C3292, $C$4506:$C$5005, 0, 1), 0), 0), "00")</f>
        <v>00</v>
      </c>
      <c r="H3292" s="1" t="str">
        <f t="shared" si="307"/>
        <v>136</v>
      </c>
      <c r="I3292" s="1" t="str">
        <f t="shared" si="308"/>
        <v>16000-136</v>
      </c>
      <c r="J3292" s="1" t="str">
        <f t="shared" si="309"/>
        <v>Theremin production item #136</v>
      </c>
      <c r="K3292" s="1" t="str">
        <f>IF(SUM(COUNTIFS(I:I, I3292)) &gt; 1, "DUPLICATE", "UNIQUE")</f>
        <v>UNIQUE</v>
      </c>
      <c r="L3292" s="18">
        <v>1</v>
      </c>
      <c r="M3292" s="28">
        <v>60</v>
      </c>
      <c r="N3292" s="6">
        <v>400</v>
      </c>
      <c r="O3292" s="30">
        <f t="shared" si="310"/>
        <v>60</v>
      </c>
      <c r="P3292" s="30">
        <f t="shared" si="311"/>
        <v>24000</v>
      </c>
      <c r="Q3292" s="1">
        <f>COUNTIFS($P:$P, "&gt;" &amp; $P3292) + 1</f>
        <v>869</v>
      </c>
      <c r="R3292" s="63">
        <f>(COUNTIFS($P:$P, "&gt;" &amp; $P3292) + 1) / (COUNTA($I:$I) - 1)</f>
        <v>0.17380000000000001</v>
      </c>
      <c r="S3292" s="23">
        <f>SUMIFS($P:$P, $Q:$Q, "&lt;" &amp; $Q3292)</f>
        <v>163547085</v>
      </c>
    </row>
    <row r="3293" spans="1:19" x14ac:dyDescent="0.25">
      <c r="A3293" s="1">
        <v>3288</v>
      </c>
      <c r="B3293" s="1" t="s">
        <v>2</v>
      </c>
      <c r="C3293" s="1" t="str">
        <f>IF($B3293 = "Production Item", _xlfn.XLOOKUP($A3293, 'Instrument Table'!$J:$J, 'Instrument Table'!$B:$B, $C3292), IF($B3293 = "Service Item", _xlfn.XLOOKUP($A3293, 'Instrument Table'!$I:$I, 'Instrument Table'!$B:$B, $C3292), _xlfn.XLOOKUP($A3293, 'Instrument Table'!$H:$H, 'Instrument Table'!$B:$B, $C3292)))</f>
        <v>Theremin</v>
      </c>
      <c r="D3293" s="1" t="str">
        <f>VLOOKUP($C3293, 'Instrument Table'!$B:$C, 2, FALSE)</f>
        <v>Other</v>
      </c>
      <c r="E3293" s="1">
        <f t="shared" si="306"/>
        <v>1</v>
      </c>
      <c r="F3293" s="1">
        <f>_xlfn.XLOOKUP($C3293, 'Instrument Table'!$B:$B, 'Instrument Table'!$A:$A, "")</f>
        <v>60</v>
      </c>
      <c r="G3293" s="1" t="str">
        <f>TEXT(IF($B3293 = "Retail Item", IF((ROW($A3293) - 4504 - _xlfn.XMATCH($C3293, $C$4506:$C$5005, 0, 1)) &lt;= VLOOKUP($C3293, 'Instrument Table'!$B:$D, 3, FALSE), ROW($A3293) - 4504 - _xlfn.XMATCH($C3293, $C$4506:$C$5005, 0, 1), 0), 0), "00")</f>
        <v>00</v>
      </c>
      <c r="H3293" s="1" t="str">
        <f t="shared" si="307"/>
        <v>137</v>
      </c>
      <c r="I3293" s="1" t="str">
        <f t="shared" si="308"/>
        <v>16000-137</v>
      </c>
      <c r="J3293" s="1" t="str">
        <f t="shared" si="309"/>
        <v>Theremin production item #137</v>
      </c>
      <c r="K3293" s="1" t="str">
        <f>IF(SUM(COUNTIFS(I:I, I3293)) &gt; 1, "DUPLICATE", "UNIQUE")</f>
        <v>UNIQUE</v>
      </c>
      <c r="L3293" s="18">
        <v>1</v>
      </c>
      <c r="M3293" s="28">
        <v>77</v>
      </c>
      <c r="N3293" s="6">
        <v>4</v>
      </c>
      <c r="O3293" s="30">
        <f t="shared" si="310"/>
        <v>77</v>
      </c>
      <c r="P3293" s="30">
        <f t="shared" si="311"/>
        <v>308</v>
      </c>
      <c r="Q3293" s="1">
        <f>COUNTIFS($P:$P, "&gt;" &amp; $P3293) + 1</f>
        <v>4205</v>
      </c>
      <c r="R3293" s="63">
        <f>(COUNTIFS($P:$P, "&gt;" &amp; $P3293) + 1) / (COUNTA($I:$I) - 1)</f>
        <v>0.84099999999999997</v>
      </c>
      <c r="S3293" s="23">
        <f>SUMIFS($P:$P, $Q:$Q, "&lt;" &amp; $Q3293)</f>
        <v>186481971</v>
      </c>
    </row>
    <row r="3294" spans="1:19" x14ac:dyDescent="0.25">
      <c r="A3294" s="1">
        <v>3289</v>
      </c>
      <c r="B3294" s="1" t="s">
        <v>2</v>
      </c>
      <c r="C3294" s="1" t="str">
        <f>IF($B3294 = "Production Item", _xlfn.XLOOKUP($A3294, 'Instrument Table'!$J:$J, 'Instrument Table'!$B:$B, $C3293), IF($B3294 = "Service Item", _xlfn.XLOOKUP($A3294, 'Instrument Table'!$I:$I, 'Instrument Table'!$B:$B, $C3293), _xlfn.XLOOKUP($A3294, 'Instrument Table'!$H:$H, 'Instrument Table'!$B:$B, $C3293)))</f>
        <v>Theremin</v>
      </c>
      <c r="D3294" s="1" t="str">
        <f>VLOOKUP($C3294, 'Instrument Table'!$B:$C, 2, FALSE)</f>
        <v>Other</v>
      </c>
      <c r="E3294" s="1">
        <f t="shared" si="306"/>
        <v>1</v>
      </c>
      <c r="F3294" s="1">
        <f>_xlfn.XLOOKUP($C3294, 'Instrument Table'!$B:$B, 'Instrument Table'!$A:$A, "")</f>
        <v>60</v>
      </c>
      <c r="G3294" s="1" t="str">
        <f>TEXT(IF($B3294 = "Retail Item", IF((ROW($A3294) - 4504 - _xlfn.XMATCH($C3294, $C$4506:$C$5005, 0, 1)) &lt;= VLOOKUP($C3294, 'Instrument Table'!$B:$D, 3, FALSE), ROW($A3294) - 4504 - _xlfn.XMATCH($C3294, $C$4506:$C$5005, 0, 1), 0), 0), "00")</f>
        <v>00</v>
      </c>
      <c r="H3294" s="1" t="str">
        <f t="shared" si="307"/>
        <v>138</v>
      </c>
      <c r="I3294" s="1" t="str">
        <f t="shared" si="308"/>
        <v>16000-138</v>
      </c>
      <c r="J3294" s="1" t="str">
        <f t="shared" si="309"/>
        <v>Theremin production item #138</v>
      </c>
      <c r="K3294" s="1" t="str">
        <f>IF(SUM(COUNTIFS(I:I, I3294)) &gt; 1, "DUPLICATE", "UNIQUE")</f>
        <v>UNIQUE</v>
      </c>
      <c r="L3294" s="18">
        <v>2</v>
      </c>
      <c r="M3294" s="28">
        <v>65</v>
      </c>
      <c r="N3294" s="6">
        <v>144</v>
      </c>
      <c r="O3294" s="30">
        <f t="shared" si="310"/>
        <v>130</v>
      </c>
      <c r="P3294" s="30">
        <f t="shared" si="311"/>
        <v>9360</v>
      </c>
      <c r="Q3294" s="1">
        <f>COUNTIFS($P:$P, "&gt;" &amp; $P3294) + 1</f>
        <v>1837</v>
      </c>
      <c r="R3294" s="63">
        <f>(COUNTIFS($P:$P, "&gt;" &amp; $P3294) + 1) / (COUNTA($I:$I) - 1)</f>
        <v>0.3674</v>
      </c>
      <c r="S3294" s="23">
        <f>SUMIFS($P:$P, $Q:$Q, "&lt;" &amp; $Q3294)</f>
        <v>178593165</v>
      </c>
    </row>
    <row r="3295" spans="1:19" x14ac:dyDescent="0.25">
      <c r="A3295" s="1">
        <v>3290</v>
      </c>
      <c r="B3295" s="1" t="s">
        <v>2</v>
      </c>
      <c r="C3295" s="1" t="str">
        <f>IF($B3295 = "Production Item", _xlfn.XLOOKUP($A3295, 'Instrument Table'!$J:$J, 'Instrument Table'!$B:$B, $C3294), IF($B3295 = "Service Item", _xlfn.XLOOKUP($A3295, 'Instrument Table'!$I:$I, 'Instrument Table'!$B:$B, $C3294), _xlfn.XLOOKUP($A3295, 'Instrument Table'!$H:$H, 'Instrument Table'!$B:$B, $C3294)))</f>
        <v>Theremin</v>
      </c>
      <c r="D3295" s="1" t="str">
        <f>VLOOKUP($C3295, 'Instrument Table'!$B:$C, 2, FALSE)</f>
        <v>Other</v>
      </c>
      <c r="E3295" s="1">
        <f t="shared" si="306"/>
        <v>1</v>
      </c>
      <c r="F3295" s="1">
        <f>_xlfn.XLOOKUP($C3295, 'Instrument Table'!$B:$B, 'Instrument Table'!$A:$A, "")</f>
        <v>60</v>
      </c>
      <c r="G3295" s="1" t="str">
        <f>TEXT(IF($B3295 = "Retail Item", IF((ROW($A3295) - 4504 - _xlfn.XMATCH($C3295, $C$4506:$C$5005, 0, 1)) &lt;= VLOOKUP($C3295, 'Instrument Table'!$B:$D, 3, FALSE), ROW($A3295) - 4504 - _xlfn.XMATCH($C3295, $C$4506:$C$5005, 0, 1), 0), 0), "00")</f>
        <v>00</v>
      </c>
      <c r="H3295" s="1" t="str">
        <f t="shared" si="307"/>
        <v>139</v>
      </c>
      <c r="I3295" s="1" t="str">
        <f t="shared" si="308"/>
        <v>16000-139</v>
      </c>
      <c r="J3295" s="1" t="str">
        <f t="shared" si="309"/>
        <v>Theremin production item #139</v>
      </c>
      <c r="K3295" s="1" t="str">
        <f>IF(SUM(COUNTIFS(I:I, I3295)) &gt; 1, "DUPLICATE", "UNIQUE")</f>
        <v>UNIQUE</v>
      </c>
      <c r="L3295" s="18">
        <v>1</v>
      </c>
      <c r="M3295" s="28">
        <v>16</v>
      </c>
      <c r="N3295" s="6">
        <v>324</v>
      </c>
      <c r="O3295" s="30">
        <f t="shared" si="310"/>
        <v>16</v>
      </c>
      <c r="P3295" s="30">
        <f t="shared" si="311"/>
        <v>5184</v>
      </c>
      <c r="Q3295" s="1">
        <f>COUNTIFS($P:$P, "&gt;" &amp; $P3295) + 1</f>
        <v>2412</v>
      </c>
      <c r="R3295" s="63">
        <f>(COUNTIFS($P:$P, "&gt;" &amp; $P3295) + 1) / (COUNTA($I:$I) - 1)</f>
        <v>0.4824</v>
      </c>
      <c r="S3295" s="23">
        <f>SUMIFS($P:$P, $Q:$Q, "&lt;" &amp; $Q3295)</f>
        <v>182678928</v>
      </c>
    </row>
    <row r="3296" spans="1:19" x14ac:dyDescent="0.25">
      <c r="A3296" s="1">
        <v>3291</v>
      </c>
      <c r="B3296" s="1" t="s">
        <v>2</v>
      </c>
      <c r="C3296" s="1" t="str">
        <f>IF($B3296 = "Production Item", _xlfn.XLOOKUP($A3296, 'Instrument Table'!$J:$J, 'Instrument Table'!$B:$B, $C3295), IF($B3296 = "Service Item", _xlfn.XLOOKUP($A3296, 'Instrument Table'!$I:$I, 'Instrument Table'!$B:$B, $C3295), _xlfn.XLOOKUP($A3296, 'Instrument Table'!$H:$H, 'Instrument Table'!$B:$B, $C3295)))</f>
        <v>Theremin</v>
      </c>
      <c r="D3296" s="1" t="str">
        <f>VLOOKUP($C3296, 'Instrument Table'!$B:$C, 2, FALSE)</f>
        <v>Other</v>
      </c>
      <c r="E3296" s="1">
        <f t="shared" si="306"/>
        <v>1</v>
      </c>
      <c r="F3296" s="1">
        <f>_xlfn.XLOOKUP($C3296, 'Instrument Table'!$B:$B, 'Instrument Table'!$A:$A, "")</f>
        <v>60</v>
      </c>
      <c r="G3296" s="1" t="str">
        <f>TEXT(IF($B3296 = "Retail Item", IF((ROW($A3296) - 4504 - _xlfn.XMATCH($C3296, $C$4506:$C$5005, 0, 1)) &lt;= VLOOKUP($C3296, 'Instrument Table'!$B:$D, 3, FALSE), ROW($A3296) - 4504 - _xlfn.XMATCH($C3296, $C$4506:$C$5005, 0, 1), 0), 0), "00")</f>
        <v>00</v>
      </c>
      <c r="H3296" s="1" t="str">
        <f t="shared" si="307"/>
        <v>140</v>
      </c>
      <c r="I3296" s="1" t="str">
        <f t="shared" si="308"/>
        <v>16000-140</v>
      </c>
      <c r="J3296" s="1" t="str">
        <f t="shared" si="309"/>
        <v>Theremin production item #140</v>
      </c>
      <c r="K3296" s="1" t="str">
        <f>IF(SUM(COUNTIFS(I:I, I3296)) &gt; 1, "DUPLICATE", "UNIQUE")</f>
        <v>UNIQUE</v>
      </c>
      <c r="L3296" s="18">
        <v>4</v>
      </c>
      <c r="M3296" s="28">
        <v>24</v>
      </c>
      <c r="N3296" s="6">
        <v>0</v>
      </c>
      <c r="O3296" s="30">
        <f t="shared" si="310"/>
        <v>96</v>
      </c>
      <c r="P3296" s="30">
        <f t="shared" si="311"/>
        <v>0</v>
      </c>
      <c r="Q3296" s="1">
        <f>COUNTIFS($P:$P, "&gt;" &amp; $P3296) + 1</f>
        <v>4746</v>
      </c>
      <c r="R3296" s="63">
        <f>(COUNTIFS($P:$P, "&gt;" &amp; $P3296) + 1) / (COUNTA($I:$I) - 1)</f>
        <v>0.94920000000000004</v>
      </c>
      <c r="S3296" s="23">
        <f>SUMIFS($P:$P, $Q:$Q, "&lt;" &amp; $Q3296)</f>
        <v>186547861</v>
      </c>
    </row>
    <row r="3297" spans="1:19" x14ac:dyDescent="0.25">
      <c r="A3297" s="1">
        <v>3292</v>
      </c>
      <c r="B3297" s="1" t="s">
        <v>2</v>
      </c>
      <c r="C3297" s="1" t="str">
        <f>IF($B3297 = "Production Item", _xlfn.XLOOKUP($A3297, 'Instrument Table'!$J:$J, 'Instrument Table'!$B:$B, $C3296), IF($B3297 = "Service Item", _xlfn.XLOOKUP($A3297, 'Instrument Table'!$I:$I, 'Instrument Table'!$B:$B, $C3296), _xlfn.XLOOKUP($A3297, 'Instrument Table'!$H:$H, 'Instrument Table'!$B:$B, $C3296)))</f>
        <v>Theremin</v>
      </c>
      <c r="D3297" s="1" t="str">
        <f>VLOOKUP($C3297, 'Instrument Table'!$B:$C, 2, FALSE)</f>
        <v>Other</v>
      </c>
      <c r="E3297" s="1">
        <f t="shared" si="306"/>
        <v>1</v>
      </c>
      <c r="F3297" s="1">
        <f>_xlfn.XLOOKUP($C3297, 'Instrument Table'!$B:$B, 'Instrument Table'!$A:$A, "")</f>
        <v>60</v>
      </c>
      <c r="G3297" s="1" t="str">
        <f>TEXT(IF($B3297 = "Retail Item", IF((ROW($A3297) - 4504 - _xlfn.XMATCH($C3297, $C$4506:$C$5005, 0, 1)) &lt;= VLOOKUP($C3297, 'Instrument Table'!$B:$D, 3, FALSE), ROW($A3297) - 4504 - _xlfn.XMATCH($C3297, $C$4506:$C$5005, 0, 1), 0), 0), "00")</f>
        <v>00</v>
      </c>
      <c r="H3297" s="1" t="str">
        <f t="shared" si="307"/>
        <v>141</v>
      </c>
      <c r="I3297" s="1" t="str">
        <f t="shared" si="308"/>
        <v>16000-141</v>
      </c>
      <c r="J3297" s="1" t="str">
        <f t="shared" si="309"/>
        <v>Theremin production item #141</v>
      </c>
      <c r="K3297" s="1" t="str">
        <f>IF(SUM(COUNTIFS(I:I, I3297)) &gt; 1, "DUPLICATE", "UNIQUE")</f>
        <v>UNIQUE</v>
      </c>
      <c r="L3297" s="18">
        <v>4</v>
      </c>
      <c r="M3297" s="28">
        <v>53</v>
      </c>
      <c r="N3297" s="6">
        <v>81</v>
      </c>
      <c r="O3297" s="30">
        <f t="shared" si="310"/>
        <v>212</v>
      </c>
      <c r="P3297" s="30">
        <f t="shared" si="311"/>
        <v>4293</v>
      </c>
      <c r="Q3297" s="1">
        <f>COUNTIFS($P:$P, "&gt;" &amp; $P3297) + 1</f>
        <v>2589</v>
      </c>
      <c r="R3297" s="63">
        <f>(COUNTIFS($P:$P, "&gt;" &amp; $P3297) + 1) / (COUNTA($I:$I) - 1)</f>
        <v>0.51780000000000004</v>
      </c>
      <c r="S3297" s="23">
        <f>SUMIFS($P:$P, $Q:$Q, "&lt;" &amp; $Q3297)</f>
        <v>183516338</v>
      </c>
    </row>
    <row r="3298" spans="1:19" x14ac:dyDescent="0.25">
      <c r="A3298" s="1">
        <v>3293</v>
      </c>
      <c r="B3298" s="1" t="s">
        <v>2</v>
      </c>
      <c r="C3298" s="1" t="str">
        <f>IF($B3298 = "Production Item", _xlfn.XLOOKUP($A3298, 'Instrument Table'!$J:$J, 'Instrument Table'!$B:$B, $C3297), IF($B3298 = "Service Item", _xlfn.XLOOKUP($A3298, 'Instrument Table'!$I:$I, 'Instrument Table'!$B:$B, $C3297), _xlfn.XLOOKUP($A3298, 'Instrument Table'!$H:$H, 'Instrument Table'!$B:$B, $C3297)))</f>
        <v>Theremin</v>
      </c>
      <c r="D3298" s="1" t="str">
        <f>VLOOKUP($C3298, 'Instrument Table'!$B:$C, 2, FALSE)</f>
        <v>Other</v>
      </c>
      <c r="E3298" s="1">
        <f t="shared" si="306"/>
        <v>1</v>
      </c>
      <c r="F3298" s="1">
        <f>_xlfn.XLOOKUP($C3298, 'Instrument Table'!$B:$B, 'Instrument Table'!$A:$A, "")</f>
        <v>60</v>
      </c>
      <c r="G3298" s="1" t="str">
        <f>TEXT(IF($B3298 = "Retail Item", IF((ROW($A3298) - 4504 - _xlfn.XMATCH($C3298, $C$4506:$C$5005, 0, 1)) &lt;= VLOOKUP($C3298, 'Instrument Table'!$B:$D, 3, FALSE), ROW($A3298) - 4504 - _xlfn.XMATCH($C3298, $C$4506:$C$5005, 0, 1), 0), 0), "00")</f>
        <v>00</v>
      </c>
      <c r="H3298" s="1" t="str">
        <f t="shared" si="307"/>
        <v>142</v>
      </c>
      <c r="I3298" s="1" t="str">
        <f t="shared" si="308"/>
        <v>16000-142</v>
      </c>
      <c r="J3298" s="1" t="str">
        <f t="shared" si="309"/>
        <v>Theremin production item #142</v>
      </c>
      <c r="K3298" s="1" t="str">
        <f>IF(SUM(COUNTIFS(I:I, I3298)) &gt; 1, "DUPLICATE", "UNIQUE")</f>
        <v>UNIQUE</v>
      </c>
      <c r="L3298" s="18">
        <v>1</v>
      </c>
      <c r="M3298" s="28">
        <v>51</v>
      </c>
      <c r="N3298" s="6">
        <v>81</v>
      </c>
      <c r="O3298" s="30">
        <f t="shared" si="310"/>
        <v>51</v>
      </c>
      <c r="P3298" s="30">
        <f t="shared" si="311"/>
        <v>4131</v>
      </c>
      <c r="Q3298" s="1">
        <f>COUNTIFS($P:$P, "&gt;" &amp; $P3298) + 1</f>
        <v>2625</v>
      </c>
      <c r="R3298" s="63">
        <f>(COUNTIFS($P:$P, "&gt;" &amp; $P3298) + 1) / (COUNTA($I:$I) - 1)</f>
        <v>0.52500000000000002</v>
      </c>
      <c r="S3298" s="23">
        <f>SUMIFS($P:$P, $Q:$Q, "&lt;" &amp; $Q3298)</f>
        <v>183668650</v>
      </c>
    </row>
    <row r="3299" spans="1:19" x14ac:dyDescent="0.25">
      <c r="A3299" s="1">
        <v>3294</v>
      </c>
      <c r="B3299" s="1" t="s">
        <v>2</v>
      </c>
      <c r="C3299" s="1" t="str">
        <f>IF($B3299 = "Production Item", _xlfn.XLOOKUP($A3299, 'Instrument Table'!$J:$J, 'Instrument Table'!$B:$B, $C3298), IF($B3299 = "Service Item", _xlfn.XLOOKUP($A3299, 'Instrument Table'!$I:$I, 'Instrument Table'!$B:$B, $C3298), _xlfn.XLOOKUP($A3299, 'Instrument Table'!$H:$H, 'Instrument Table'!$B:$B, $C3298)))</f>
        <v>Theremin</v>
      </c>
      <c r="D3299" s="1" t="str">
        <f>VLOOKUP($C3299, 'Instrument Table'!$B:$C, 2, FALSE)</f>
        <v>Other</v>
      </c>
      <c r="E3299" s="1">
        <f t="shared" si="306"/>
        <v>1</v>
      </c>
      <c r="F3299" s="1">
        <f>_xlfn.XLOOKUP($C3299, 'Instrument Table'!$B:$B, 'Instrument Table'!$A:$A, "")</f>
        <v>60</v>
      </c>
      <c r="G3299" s="1" t="str">
        <f>TEXT(IF($B3299 = "Retail Item", IF((ROW($A3299) - 4504 - _xlfn.XMATCH($C3299, $C$4506:$C$5005, 0, 1)) &lt;= VLOOKUP($C3299, 'Instrument Table'!$B:$D, 3, FALSE), ROW($A3299) - 4504 - _xlfn.XMATCH($C3299, $C$4506:$C$5005, 0, 1), 0), 0), "00")</f>
        <v>00</v>
      </c>
      <c r="H3299" s="1" t="str">
        <f t="shared" si="307"/>
        <v>143</v>
      </c>
      <c r="I3299" s="1" t="str">
        <f t="shared" si="308"/>
        <v>16000-143</v>
      </c>
      <c r="J3299" s="1" t="str">
        <f t="shared" si="309"/>
        <v>Theremin production item #143</v>
      </c>
      <c r="K3299" s="1" t="str">
        <f>IF(SUM(COUNTIFS(I:I, I3299)) &gt; 1, "DUPLICATE", "UNIQUE")</f>
        <v>UNIQUE</v>
      </c>
      <c r="L3299" s="18">
        <v>8</v>
      </c>
      <c r="M3299" s="28">
        <v>15</v>
      </c>
      <c r="N3299" s="6">
        <v>9</v>
      </c>
      <c r="O3299" s="30">
        <f t="shared" si="310"/>
        <v>120</v>
      </c>
      <c r="P3299" s="30">
        <f t="shared" si="311"/>
        <v>135</v>
      </c>
      <c r="Q3299" s="1">
        <f>COUNTIFS($P:$P, "&gt;" &amp; $P3299) + 1</f>
        <v>4413</v>
      </c>
      <c r="R3299" s="63">
        <f>(COUNTIFS($P:$P, "&gt;" &amp; $P3299) + 1) / (COUNTA($I:$I) - 1)</f>
        <v>0.88260000000000005</v>
      </c>
      <c r="S3299" s="23">
        <f>SUMIFS($P:$P, $Q:$Q, "&lt;" &amp; $Q3299)</f>
        <v>186527852</v>
      </c>
    </row>
    <row r="3300" spans="1:19" x14ac:dyDescent="0.25">
      <c r="A3300" s="1">
        <v>3295</v>
      </c>
      <c r="B3300" s="1" t="s">
        <v>2</v>
      </c>
      <c r="C3300" s="1" t="str">
        <f>IF($B3300 = "Production Item", _xlfn.XLOOKUP($A3300, 'Instrument Table'!$J:$J, 'Instrument Table'!$B:$B, $C3299), IF($B3300 = "Service Item", _xlfn.XLOOKUP($A3300, 'Instrument Table'!$I:$I, 'Instrument Table'!$B:$B, $C3299), _xlfn.XLOOKUP($A3300, 'Instrument Table'!$H:$H, 'Instrument Table'!$B:$B, $C3299)))</f>
        <v>Theremin</v>
      </c>
      <c r="D3300" s="1" t="str">
        <f>VLOOKUP($C3300, 'Instrument Table'!$B:$C, 2, FALSE)</f>
        <v>Other</v>
      </c>
      <c r="E3300" s="1">
        <f t="shared" si="306"/>
        <v>1</v>
      </c>
      <c r="F3300" s="1">
        <f>_xlfn.XLOOKUP($C3300, 'Instrument Table'!$B:$B, 'Instrument Table'!$A:$A, "")</f>
        <v>60</v>
      </c>
      <c r="G3300" s="1" t="str">
        <f>TEXT(IF($B3300 = "Retail Item", IF((ROW($A3300) - 4504 - _xlfn.XMATCH($C3300, $C$4506:$C$5005, 0, 1)) &lt;= VLOOKUP($C3300, 'Instrument Table'!$B:$D, 3, FALSE), ROW($A3300) - 4504 - _xlfn.XMATCH($C3300, $C$4506:$C$5005, 0, 1), 0), 0), "00")</f>
        <v>00</v>
      </c>
      <c r="H3300" s="1" t="str">
        <f t="shared" si="307"/>
        <v>144</v>
      </c>
      <c r="I3300" s="1" t="str">
        <f t="shared" si="308"/>
        <v>16000-144</v>
      </c>
      <c r="J3300" s="1" t="str">
        <f t="shared" si="309"/>
        <v>Theremin production item #144</v>
      </c>
      <c r="K3300" s="1" t="str">
        <f>IF(SUM(COUNTIFS(I:I, I3300)) &gt; 1, "DUPLICATE", "UNIQUE")</f>
        <v>UNIQUE</v>
      </c>
      <c r="L3300" s="18">
        <v>0</v>
      </c>
      <c r="M3300" s="28">
        <v>49</v>
      </c>
      <c r="N3300" s="6">
        <v>0</v>
      </c>
      <c r="O3300" s="30">
        <f t="shared" si="310"/>
        <v>0</v>
      </c>
      <c r="P3300" s="30">
        <f t="shared" si="311"/>
        <v>0</v>
      </c>
      <c r="Q3300" s="1">
        <f>COUNTIFS($P:$P, "&gt;" &amp; $P3300) + 1</f>
        <v>4746</v>
      </c>
      <c r="R3300" s="63">
        <f>(COUNTIFS($P:$P, "&gt;" &amp; $P3300) + 1) / (COUNTA($I:$I) - 1)</f>
        <v>0.94920000000000004</v>
      </c>
      <c r="S3300" s="23">
        <f>SUMIFS($P:$P, $Q:$Q, "&lt;" &amp; $Q3300)</f>
        <v>186547861</v>
      </c>
    </row>
    <row r="3301" spans="1:19" x14ac:dyDescent="0.25">
      <c r="A3301" s="1">
        <v>3296</v>
      </c>
      <c r="B3301" s="1" t="s">
        <v>2</v>
      </c>
      <c r="C3301" s="1" t="str">
        <f>IF($B3301 = "Production Item", _xlfn.XLOOKUP($A3301, 'Instrument Table'!$J:$J, 'Instrument Table'!$B:$B, $C3300), IF($B3301 = "Service Item", _xlfn.XLOOKUP($A3301, 'Instrument Table'!$I:$I, 'Instrument Table'!$B:$B, $C3300), _xlfn.XLOOKUP($A3301, 'Instrument Table'!$H:$H, 'Instrument Table'!$B:$B, $C3300)))</f>
        <v>Theremin</v>
      </c>
      <c r="D3301" s="1" t="str">
        <f>VLOOKUP($C3301, 'Instrument Table'!$B:$C, 2, FALSE)</f>
        <v>Other</v>
      </c>
      <c r="E3301" s="1">
        <f t="shared" si="306"/>
        <v>1</v>
      </c>
      <c r="F3301" s="1">
        <f>_xlfn.XLOOKUP($C3301, 'Instrument Table'!$B:$B, 'Instrument Table'!$A:$A, "")</f>
        <v>60</v>
      </c>
      <c r="G3301" s="1" t="str">
        <f>TEXT(IF($B3301 = "Retail Item", IF((ROW($A3301) - 4504 - _xlfn.XMATCH($C3301, $C$4506:$C$5005, 0, 1)) &lt;= VLOOKUP($C3301, 'Instrument Table'!$B:$D, 3, FALSE), ROW($A3301) - 4504 - _xlfn.XMATCH($C3301, $C$4506:$C$5005, 0, 1), 0), 0), "00")</f>
        <v>00</v>
      </c>
      <c r="H3301" s="1" t="str">
        <f t="shared" si="307"/>
        <v>145</v>
      </c>
      <c r="I3301" s="1" t="str">
        <f t="shared" si="308"/>
        <v>16000-145</v>
      </c>
      <c r="J3301" s="1" t="str">
        <f t="shared" si="309"/>
        <v>Theremin production item #145</v>
      </c>
      <c r="K3301" s="1" t="str">
        <f>IF(SUM(COUNTIFS(I:I, I3301)) &gt; 1, "DUPLICATE", "UNIQUE")</f>
        <v>UNIQUE</v>
      </c>
      <c r="L3301" s="18">
        <v>4</v>
      </c>
      <c r="M3301" s="28">
        <v>59</v>
      </c>
      <c r="N3301" s="6">
        <v>324</v>
      </c>
      <c r="O3301" s="30">
        <f t="shared" si="310"/>
        <v>236</v>
      </c>
      <c r="P3301" s="30">
        <f t="shared" si="311"/>
        <v>19116</v>
      </c>
      <c r="Q3301" s="1">
        <f>COUNTIFS($P:$P, "&gt;" &amp; $P3301) + 1</f>
        <v>1099</v>
      </c>
      <c r="R3301" s="63">
        <f>(COUNTIFS($P:$P, "&gt;" &amp; $P3301) + 1) / (COUNTA($I:$I) - 1)</f>
        <v>0.2198</v>
      </c>
      <c r="S3301" s="23">
        <f>SUMIFS($P:$P, $Q:$Q, "&lt;" &amp; $Q3301)</f>
        <v>168484790</v>
      </c>
    </row>
    <row r="3302" spans="1:19" x14ac:dyDescent="0.25">
      <c r="A3302" s="1">
        <v>3297</v>
      </c>
      <c r="B3302" s="1" t="s">
        <v>2</v>
      </c>
      <c r="C3302" s="1" t="str">
        <f>IF($B3302 = "Production Item", _xlfn.XLOOKUP($A3302, 'Instrument Table'!$J:$J, 'Instrument Table'!$B:$B, $C3301), IF($B3302 = "Service Item", _xlfn.XLOOKUP($A3302, 'Instrument Table'!$I:$I, 'Instrument Table'!$B:$B, $C3301), _xlfn.XLOOKUP($A3302, 'Instrument Table'!$H:$H, 'Instrument Table'!$B:$B, $C3301)))</f>
        <v>Theremin</v>
      </c>
      <c r="D3302" s="1" t="str">
        <f>VLOOKUP($C3302, 'Instrument Table'!$B:$C, 2, FALSE)</f>
        <v>Other</v>
      </c>
      <c r="E3302" s="1">
        <f t="shared" si="306"/>
        <v>1</v>
      </c>
      <c r="F3302" s="1">
        <f>_xlfn.XLOOKUP($C3302, 'Instrument Table'!$B:$B, 'Instrument Table'!$A:$A, "")</f>
        <v>60</v>
      </c>
      <c r="G3302" s="1" t="str">
        <f>TEXT(IF($B3302 = "Retail Item", IF((ROW($A3302) - 4504 - _xlfn.XMATCH($C3302, $C$4506:$C$5005, 0, 1)) &lt;= VLOOKUP($C3302, 'Instrument Table'!$B:$D, 3, FALSE), ROW($A3302) - 4504 - _xlfn.XMATCH($C3302, $C$4506:$C$5005, 0, 1), 0), 0), "00")</f>
        <v>00</v>
      </c>
      <c r="H3302" s="1" t="str">
        <f t="shared" si="307"/>
        <v>146</v>
      </c>
      <c r="I3302" s="1" t="str">
        <f t="shared" si="308"/>
        <v>16000-146</v>
      </c>
      <c r="J3302" s="1" t="str">
        <f t="shared" si="309"/>
        <v>Theremin production item #146</v>
      </c>
      <c r="K3302" s="1" t="str">
        <f>IF(SUM(COUNTIFS(I:I, I3302)) &gt; 1, "DUPLICATE", "UNIQUE")</f>
        <v>UNIQUE</v>
      </c>
      <c r="L3302" s="18">
        <v>0</v>
      </c>
      <c r="M3302" s="28">
        <v>59</v>
      </c>
      <c r="N3302" s="6">
        <v>49</v>
      </c>
      <c r="O3302" s="30">
        <f t="shared" si="310"/>
        <v>0</v>
      </c>
      <c r="P3302" s="30">
        <f t="shared" si="311"/>
        <v>2891</v>
      </c>
      <c r="Q3302" s="1">
        <f>COUNTIFS($P:$P, "&gt;" &amp; $P3302) + 1</f>
        <v>2935</v>
      </c>
      <c r="R3302" s="63">
        <f>(COUNTIFS($P:$P, "&gt;" &amp; $P3302) + 1) / (COUNTA($I:$I) - 1)</f>
        <v>0.58699999999999997</v>
      </c>
      <c r="S3302" s="23">
        <f>SUMIFS($P:$P, $Q:$Q, "&lt;" &amp; $Q3302)</f>
        <v>184751865</v>
      </c>
    </row>
    <row r="3303" spans="1:19" x14ac:dyDescent="0.25">
      <c r="A3303" s="1">
        <v>3298</v>
      </c>
      <c r="B3303" s="1" t="s">
        <v>2</v>
      </c>
      <c r="C3303" s="1" t="str">
        <f>IF($B3303 = "Production Item", _xlfn.XLOOKUP($A3303, 'Instrument Table'!$J:$J, 'Instrument Table'!$B:$B, $C3302), IF($B3303 = "Service Item", _xlfn.XLOOKUP($A3303, 'Instrument Table'!$I:$I, 'Instrument Table'!$B:$B, $C3302), _xlfn.XLOOKUP($A3303, 'Instrument Table'!$H:$H, 'Instrument Table'!$B:$B, $C3302)))</f>
        <v>Theremin</v>
      </c>
      <c r="D3303" s="1" t="str">
        <f>VLOOKUP($C3303, 'Instrument Table'!$B:$C, 2, FALSE)</f>
        <v>Other</v>
      </c>
      <c r="E3303" s="1">
        <f t="shared" si="306"/>
        <v>1</v>
      </c>
      <c r="F3303" s="1">
        <f>_xlfn.XLOOKUP($C3303, 'Instrument Table'!$B:$B, 'Instrument Table'!$A:$A, "")</f>
        <v>60</v>
      </c>
      <c r="G3303" s="1" t="str">
        <f>TEXT(IF($B3303 = "Retail Item", IF((ROW($A3303) - 4504 - _xlfn.XMATCH($C3303, $C$4506:$C$5005, 0, 1)) &lt;= VLOOKUP($C3303, 'Instrument Table'!$B:$D, 3, FALSE), ROW($A3303) - 4504 - _xlfn.XMATCH($C3303, $C$4506:$C$5005, 0, 1), 0), 0), "00")</f>
        <v>00</v>
      </c>
      <c r="H3303" s="1" t="str">
        <f t="shared" si="307"/>
        <v>147</v>
      </c>
      <c r="I3303" s="1" t="str">
        <f t="shared" si="308"/>
        <v>16000-147</v>
      </c>
      <c r="J3303" s="1" t="str">
        <f t="shared" si="309"/>
        <v>Theremin production item #147</v>
      </c>
      <c r="K3303" s="1" t="str">
        <f>IF(SUM(COUNTIFS(I:I, I3303)) &gt; 1, "DUPLICATE", "UNIQUE")</f>
        <v>UNIQUE</v>
      </c>
      <c r="L3303" s="18">
        <v>0</v>
      </c>
      <c r="M3303" s="28">
        <v>37</v>
      </c>
      <c r="N3303" s="6">
        <v>25</v>
      </c>
      <c r="O3303" s="30">
        <f t="shared" si="310"/>
        <v>0</v>
      </c>
      <c r="P3303" s="30">
        <f t="shared" si="311"/>
        <v>925</v>
      </c>
      <c r="Q3303" s="1">
        <f>COUNTIFS($P:$P, "&gt;" &amp; $P3303) + 1</f>
        <v>3715</v>
      </c>
      <c r="R3303" s="63">
        <f>(COUNTIFS($P:$P, "&gt;" &amp; $P3303) + 1) / (COUNTA($I:$I) - 1)</f>
        <v>0.74299999999999999</v>
      </c>
      <c r="S3303" s="23">
        <f>SUMIFS($P:$P, $Q:$Q, "&lt;" &amp; $Q3303)</f>
        <v>186192975</v>
      </c>
    </row>
    <row r="3304" spans="1:19" x14ac:dyDescent="0.25">
      <c r="A3304" s="1">
        <v>3299</v>
      </c>
      <c r="B3304" s="1" t="s">
        <v>2</v>
      </c>
      <c r="C3304" s="1" t="str">
        <f>IF($B3304 = "Production Item", _xlfn.XLOOKUP($A3304, 'Instrument Table'!$J:$J, 'Instrument Table'!$B:$B, $C3303), IF($B3304 = "Service Item", _xlfn.XLOOKUP($A3304, 'Instrument Table'!$I:$I, 'Instrument Table'!$B:$B, $C3303), _xlfn.XLOOKUP($A3304, 'Instrument Table'!$H:$H, 'Instrument Table'!$B:$B, $C3303)))</f>
        <v>Theremin</v>
      </c>
      <c r="D3304" s="1" t="str">
        <f>VLOOKUP($C3304, 'Instrument Table'!$B:$C, 2, FALSE)</f>
        <v>Other</v>
      </c>
      <c r="E3304" s="1">
        <f t="shared" si="306"/>
        <v>1</v>
      </c>
      <c r="F3304" s="1">
        <f>_xlfn.XLOOKUP($C3304, 'Instrument Table'!$B:$B, 'Instrument Table'!$A:$A, "")</f>
        <v>60</v>
      </c>
      <c r="G3304" s="1" t="str">
        <f>TEXT(IF($B3304 = "Retail Item", IF((ROW($A3304) - 4504 - _xlfn.XMATCH($C3304, $C$4506:$C$5005, 0, 1)) &lt;= VLOOKUP($C3304, 'Instrument Table'!$B:$D, 3, FALSE), ROW($A3304) - 4504 - _xlfn.XMATCH($C3304, $C$4506:$C$5005, 0, 1), 0), 0), "00")</f>
        <v>00</v>
      </c>
      <c r="H3304" s="1" t="str">
        <f t="shared" si="307"/>
        <v>148</v>
      </c>
      <c r="I3304" s="1" t="str">
        <f t="shared" si="308"/>
        <v>16000-148</v>
      </c>
      <c r="J3304" s="1" t="str">
        <f t="shared" si="309"/>
        <v>Theremin production item #148</v>
      </c>
      <c r="K3304" s="1" t="str">
        <f>IF(SUM(COUNTIFS(I:I, I3304)) &gt; 1, "DUPLICATE", "UNIQUE")</f>
        <v>UNIQUE</v>
      </c>
      <c r="L3304" s="18">
        <v>1</v>
      </c>
      <c r="M3304" s="28">
        <v>5</v>
      </c>
      <c r="N3304" s="6">
        <v>36</v>
      </c>
      <c r="O3304" s="30">
        <f t="shared" si="310"/>
        <v>5</v>
      </c>
      <c r="P3304" s="30">
        <f t="shared" si="311"/>
        <v>180</v>
      </c>
      <c r="Q3304" s="1">
        <f>COUNTIFS($P:$P, "&gt;" &amp; $P3304) + 1</f>
        <v>4352</v>
      </c>
      <c r="R3304" s="63">
        <f>(COUNTIFS($P:$P, "&gt;" &amp; $P3304) + 1) / (COUNTA($I:$I) - 1)</f>
        <v>0.87039999999999995</v>
      </c>
      <c r="S3304" s="23">
        <f>SUMIFS($P:$P, $Q:$Q, "&lt;" &amp; $Q3304)</f>
        <v>186517952</v>
      </c>
    </row>
    <row r="3305" spans="1:19" x14ac:dyDescent="0.25">
      <c r="A3305" s="1">
        <v>3300</v>
      </c>
      <c r="B3305" s="1" t="s">
        <v>2</v>
      </c>
      <c r="C3305" s="1" t="str">
        <f>IF($B3305 = "Production Item", _xlfn.XLOOKUP($A3305, 'Instrument Table'!$J:$J, 'Instrument Table'!$B:$B, $C3304), IF($B3305 = "Service Item", _xlfn.XLOOKUP($A3305, 'Instrument Table'!$I:$I, 'Instrument Table'!$B:$B, $C3304), _xlfn.XLOOKUP($A3305, 'Instrument Table'!$H:$H, 'Instrument Table'!$B:$B, $C3304)))</f>
        <v>Theremin</v>
      </c>
      <c r="D3305" s="1" t="str">
        <f>VLOOKUP($C3305, 'Instrument Table'!$B:$C, 2, FALSE)</f>
        <v>Other</v>
      </c>
      <c r="E3305" s="1">
        <f t="shared" si="306"/>
        <v>1</v>
      </c>
      <c r="F3305" s="1">
        <f>_xlfn.XLOOKUP($C3305, 'Instrument Table'!$B:$B, 'Instrument Table'!$A:$A, "")</f>
        <v>60</v>
      </c>
      <c r="G3305" s="1" t="str">
        <f>TEXT(IF($B3305 = "Retail Item", IF((ROW($A3305) - 4504 - _xlfn.XMATCH($C3305, $C$4506:$C$5005, 0, 1)) &lt;= VLOOKUP($C3305, 'Instrument Table'!$B:$D, 3, FALSE), ROW($A3305) - 4504 - _xlfn.XMATCH($C3305, $C$4506:$C$5005, 0, 1), 0), 0), "00")</f>
        <v>00</v>
      </c>
      <c r="H3305" s="1" t="str">
        <f t="shared" si="307"/>
        <v>149</v>
      </c>
      <c r="I3305" s="1" t="str">
        <f t="shared" si="308"/>
        <v>16000-149</v>
      </c>
      <c r="J3305" s="1" t="str">
        <f t="shared" si="309"/>
        <v>Theremin production item #149</v>
      </c>
      <c r="K3305" s="1" t="str">
        <f>IF(SUM(COUNTIFS(I:I, I3305)) &gt; 1, "DUPLICATE", "UNIQUE")</f>
        <v>UNIQUE</v>
      </c>
      <c r="L3305" s="18">
        <v>0</v>
      </c>
      <c r="M3305" s="28">
        <v>18</v>
      </c>
      <c r="N3305" s="6">
        <v>25</v>
      </c>
      <c r="O3305" s="30">
        <f t="shared" si="310"/>
        <v>0</v>
      </c>
      <c r="P3305" s="30">
        <f t="shared" si="311"/>
        <v>450</v>
      </c>
      <c r="Q3305" s="1">
        <f>COUNTIFS($P:$P, "&gt;" &amp; $P3305) + 1</f>
        <v>4054</v>
      </c>
      <c r="R3305" s="63">
        <f>(COUNTIFS($P:$P, "&gt;" &amp; $P3305) + 1) / (COUNTA($I:$I) - 1)</f>
        <v>0.81079999999999997</v>
      </c>
      <c r="S3305" s="23">
        <f>SUMIFS($P:$P, $Q:$Q, "&lt;" &amp; $Q3305)</f>
        <v>186425250</v>
      </c>
    </row>
    <row r="3306" spans="1:19" x14ac:dyDescent="0.25">
      <c r="A3306" s="1">
        <v>3301</v>
      </c>
      <c r="B3306" s="1" t="s">
        <v>2</v>
      </c>
      <c r="C3306" s="1" t="str">
        <f>IF($B3306 = "Production Item", _xlfn.XLOOKUP($A3306, 'Instrument Table'!$J:$J, 'Instrument Table'!$B:$B, $C3305), IF($B3306 = "Service Item", _xlfn.XLOOKUP($A3306, 'Instrument Table'!$I:$I, 'Instrument Table'!$B:$B, $C3305), _xlfn.XLOOKUP($A3306, 'Instrument Table'!$H:$H, 'Instrument Table'!$B:$B, $C3305)))</f>
        <v>Theremin</v>
      </c>
      <c r="D3306" s="1" t="str">
        <f>VLOOKUP($C3306, 'Instrument Table'!$B:$C, 2, FALSE)</f>
        <v>Other</v>
      </c>
      <c r="E3306" s="1">
        <f t="shared" si="306"/>
        <v>1</v>
      </c>
      <c r="F3306" s="1">
        <f>_xlfn.XLOOKUP($C3306, 'Instrument Table'!$B:$B, 'Instrument Table'!$A:$A, "")</f>
        <v>60</v>
      </c>
      <c r="G3306" s="1" t="str">
        <f>TEXT(IF($B3306 = "Retail Item", IF((ROW($A3306) - 4504 - _xlfn.XMATCH($C3306, $C$4506:$C$5005, 0, 1)) &lt;= VLOOKUP($C3306, 'Instrument Table'!$B:$D, 3, FALSE), ROW($A3306) - 4504 - _xlfn.XMATCH($C3306, $C$4506:$C$5005, 0, 1), 0), 0), "00")</f>
        <v>00</v>
      </c>
      <c r="H3306" s="1" t="str">
        <f t="shared" si="307"/>
        <v>150</v>
      </c>
      <c r="I3306" s="1" t="str">
        <f t="shared" si="308"/>
        <v>16000-150</v>
      </c>
      <c r="J3306" s="1" t="str">
        <f t="shared" si="309"/>
        <v>Theremin production item #150</v>
      </c>
      <c r="K3306" s="1" t="str">
        <f>IF(SUM(COUNTIFS(I:I, I3306)) &gt; 1, "DUPLICATE", "UNIQUE")</f>
        <v>UNIQUE</v>
      </c>
      <c r="L3306" s="18">
        <v>0</v>
      </c>
      <c r="M3306" s="28">
        <v>42</v>
      </c>
      <c r="N3306" s="6">
        <v>196</v>
      </c>
      <c r="O3306" s="30">
        <f t="shared" si="310"/>
        <v>0</v>
      </c>
      <c r="P3306" s="30">
        <f t="shared" si="311"/>
        <v>8232</v>
      </c>
      <c r="Q3306" s="1">
        <f>COUNTIFS($P:$P, "&gt;" &amp; $P3306) + 1</f>
        <v>1954</v>
      </c>
      <c r="R3306" s="63">
        <f>(COUNTIFS($P:$P, "&gt;" &amp; $P3306) + 1) / (COUNTA($I:$I) - 1)</f>
        <v>0.39079999999999998</v>
      </c>
      <c r="S3306" s="23">
        <f>SUMIFS($P:$P, $Q:$Q, "&lt;" &amp; $Q3306)</f>
        <v>179624569</v>
      </c>
    </row>
    <row r="3307" spans="1:19" x14ac:dyDescent="0.25">
      <c r="A3307" s="1">
        <v>3302</v>
      </c>
      <c r="B3307" s="1" t="s">
        <v>2</v>
      </c>
      <c r="C3307" s="1" t="str">
        <f>IF($B3307 = "Production Item", _xlfn.XLOOKUP($A3307, 'Instrument Table'!$J:$J, 'Instrument Table'!$B:$B, $C3306), IF($B3307 = "Service Item", _xlfn.XLOOKUP($A3307, 'Instrument Table'!$I:$I, 'Instrument Table'!$B:$B, $C3306), _xlfn.XLOOKUP($A3307, 'Instrument Table'!$H:$H, 'Instrument Table'!$B:$B, $C3306)))</f>
        <v>Theremin</v>
      </c>
      <c r="D3307" s="1" t="str">
        <f>VLOOKUP($C3307, 'Instrument Table'!$B:$C, 2, FALSE)</f>
        <v>Other</v>
      </c>
      <c r="E3307" s="1">
        <f t="shared" si="306"/>
        <v>1</v>
      </c>
      <c r="F3307" s="1">
        <f>_xlfn.XLOOKUP($C3307, 'Instrument Table'!$B:$B, 'Instrument Table'!$A:$A, "")</f>
        <v>60</v>
      </c>
      <c r="G3307" s="1" t="str">
        <f>TEXT(IF($B3307 = "Retail Item", IF((ROW($A3307) - 4504 - _xlfn.XMATCH($C3307, $C$4506:$C$5005, 0, 1)) &lt;= VLOOKUP($C3307, 'Instrument Table'!$B:$D, 3, FALSE), ROW($A3307) - 4504 - _xlfn.XMATCH($C3307, $C$4506:$C$5005, 0, 1), 0), 0), "00")</f>
        <v>00</v>
      </c>
      <c r="H3307" s="1" t="str">
        <f t="shared" si="307"/>
        <v>151</v>
      </c>
      <c r="I3307" s="1" t="str">
        <f t="shared" si="308"/>
        <v>16000-151</v>
      </c>
      <c r="J3307" s="1" t="str">
        <f t="shared" si="309"/>
        <v>Theremin production item #151</v>
      </c>
      <c r="K3307" s="1" t="str">
        <f>IF(SUM(COUNTIFS(I:I, I3307)) &gt; 1, "DUPLICATE", "UNIQUE")</f>
        <v>UNIQUE</v>
      </c>
      <c r="L3307" s="18">
        <v>1</v>
      </c>
      <c r="M3307" s="28">
        <v>68</v>
      </c>
      <c r="N3307" s="6">
        <v>0</v>
      </c>
      <c r="O3307" s="30">
        <f t="shared" si="310"/>
        <v>68</v>
      </c>
      <c r="P3307" s="30">
        <f t="shared" si="311"/>
        <v>0</v>
      </c>
      <c r="Q3307" s="1">
        <f>COUNTIFS($P:$P, "&gt;" &amp; $P3307) + 1</f>
        <v>4746</v>
      </c>
      <c r="R3307" s="63">
        <f>(COUNTIFS($P:$P, "&gt;" &amp; $P3307) + 1) / (COUNTA($I:$I) - 1)</f>
        <v>0.94920000000000004</v>
      </c>
      <c r="S3307" s="23">
        <f>SUMIFS($P:$P, $Q:$Q, "&lt;" &amp; $Q3307)</f>
        <v>186547861</v>
      </c>
    </row>
    <row r="3308" spans="1:19" x14ac:dyDescent="0.25">
      <c r="A3308" s="1">
        <v>3303</v>
      </c>
      <c r="B3308" s="1" t="s">
        <v>2</v>
      </c>
      <c r="C3308" s="1" t="str">
        <f>IF($B3308 = "Production Item", _xlfn.XLOOKUP($A3308, 'Instrument Table'!$J:$J, 'Instrument Table'!$B:$B, $C3307), IF($B3308 = "Service Item", _xlfn.XLOOKUP($A3308, 'Instrument Table'!$I:$I, 'Instrument Table'!$B:$B, $C3307), _xlfn.XLOOKUP($A3308, 'Instrument Table'!$H:$H, 'Instrument Table'!$B:$B, $C3307)))</f>
        <v>Theremin</v>
      </c>
      <c r="D3308" s="1" t="str">
        <f>VLOOKUP($C3308, 'Instrument Table'!$B:$C, 2, FALSE)</f>
        <v>Other</v>
      </c>
      <c r="E3308" s="1">
        <f t="shared" si="306"/>
        <v>1</v>
      </c>
      <c r="F3308" s="1">
        <f>_xlfn.XLOOKUP($C3308, 'Instrument Table'!$B:$B, 'Instrument Table'!$A:$A, "")</f>
        <v>60</v>
      </c>
      <c r="G3308" s="1" t="str">
        <f>TEXT(IF($B3308 = "Retail Item", IF((ROW($A3308) - 4504 - _xlfn.XMATCH($C3308, $C$4506:$C$5005, 0, 1)) &lt;= VLOOKUP($C3308, 'Instrument Table'!$B:$D, 3, FALSE), ROW($A3308) - 4504 - _xlfn.XMATCH($C3308, $C$4506:$C$5005, 0, 1), 0), 0), "00")</f>
        <v>00</v>
      </c>
      <c r="H3308" s="1" t="str">
        <f t="shared" si="307"/>
        <v>152</v>
      </c>
      <c r="I3308" s="1" t="str">
        <f t="shared" si="308"/>
        <v>16000-152</v>
      </c>
      <c r="J3308" s="1" t="str">
        <f t="shared" si="309"/>
        <v>Theremin production item #152</v>
      </c>
      <c r="K3308" s="1" t="str">
        <f>IF(SUM(COUNTIFS(I:I, I3308)) &gt; 1, "DUPLICATE", "UNIQUE")</f>
        <v>UNIQUE</v>
      </c>
      <c r="L3308" s="18">
        <v>0</v>
      </c>
      <c r="M3308" s="28">
        <v>15</v>
      </c>
      <c r="N3308" s="6">
        <v>81</v>
      </c>
      <c r="O3308" s="30">
        <f t="shared" si="310"/>
        <v>0</v>
      </c>
      <c r="P3308" s="30">
        <f t="shared" si="311"/>
        <v>1215</v>
      </c>
      <c r="Q3308" s="1">
        <f>COUNTIFS($P:$P, "&gt;" &amp; $P3308) + 1</f>
        <v>3600</v>
      </c>
      <c r="R3308" s="63">
        <f>(COUNTIFS($P:$P, "&gt;" &amp; $P3308) + 1) / (COUNTA($I:$I) - 1)</f>
        <v>0.72</v>
      </c>
      <c r="S3308" s="23">
        <f>SUMIFS($P:$P, $Q:$Q, "&lt;" &amp; $Q3308)</f>
        <v>186069743</v>
      </c>
    </row>
    <row r="3309" spans="1:19" x14ac:dyDescent="0.25">
      <c r="A3309" s="1">
        <v>3304</v>
      </c>
      <c r="B3309" s="1" t="s">
        <v>2</v>
      </c>
      <c r="C3309" s="1" t="str">
        <f>IF($B3309 = "Production Item", _xlfn.XLOOKUP($A3309, 'Instrument Table'!$J:$J, 'Instrument Table'!$B:$B, $C3308), IF($B3309 = "Service Item", _xlfn.XLOOKUP($A3309, 'Instrument Table'!$I:$I, 'Instrument Table'!$B:$B, $C3308), _xlfn.XLOOKUP($A3309, 'Instrument Table'!$H:$H, 'Instrument Table'!$B:$B, $C3308)))</f>
        <v>Theremin</v>
      </c>
      <c r="D3309" s="1" t="str">
        <f>VLOOKUP($C3309, 'Instrument Table'!$B:$C, 2, FALSE)</f>
        <v>Other</v>
      </c>
      <c r="E3309" s="1">
        <f t="shared" si="306"/>
        <v>1</v>
      </c>
      <c r="F3309" s="1">
        <f>_xlfn.XLOOKUP($C3309, 'Instrument Table'!$B:$B, 'Instrument Table'!$A:$A, "")</f>
        <v>60</v>
      </c>
      <c r="G3309" s="1" t="str">
        <f>TEXT(IF($B3309 = "Retail Item", IF((ROW($A3309) - 4504 - _xlfn.XMATCH($C3309, $C$4506:$C$5005, 0, 1)) &lt;= VLOOKUP($C3309, 'Instrument Table'!$B:$D, 3, FALSE), ROW($A3309) - 4504 - _xlfn.XMATCH($C3309, $C$4506:$C$5005, 0, 1), 0), 0), "00")</f>
        <v>00</v>
      </c>
      <c r="H3309" s="1" t="str">
        <f t="shared" si="307"/>
        <v>153</v>
      </c>
      <c r="I3309" s="1" t="str">
        <f t="shared" si="308"/>
        <v>16000-153</v>
      </c>
      <c r="J3309" s="1" t="str">
        <f t="shared" si="309"/>
        <v>Theremin production item #153</v>
      </c>
      <c r="K3309" s="1" t="str">
        <f>IF(SUM(COUNTIFS(I:I, I3309)) &gt; 1, "DUPLICATE", "UNIQUE")</f>
        <v>UNIQUE</v>
      </c>
      <c r="L3309" s="18">
        <v>32</v>
      </c>
      <c r="M3309" s="28">
        <v>86</v>
      </c>
      <c r="N3309" s="6">
        <v>324</v>
      </c>
      <c r="O3309" s="30">
        <f t="shared" si="310"/>
        <v>2752</v>
      </c>
      <c r="P3309" s="30">
        <f t="shared" si="311"/>
        <v>27864</v>
      </c>
      <c r="Q3309" s="1">
        <f>COUNTIFS($P:$P, "&gt;" &amp; $P3309) + 1</f>
        <v>732</v>
      </c>
      <c r="R3309" s="63">
        <f>(COUNTIFS($P:$P, "&gt;" &amp; $P3309) + 1) / (COUNTA($I:$I) - 1)</f>
        <v>0.1464</v>
      </c>
      <c r="S3309" s="23">
        <f>SUMIFS($P:$P, $Q:$Q, "&lt;" &amp; $Q3309)</f>
        <v>160011730</v>
      </c>
    </row>
    <row r="3310" spans="1:19" x14ac:dyDescent="0.25">
      <c r="A3310" s="1">
        <v>3305</v>
      </c>
      <c r="B3310" s="1" t="s">
        <v>2</v>
      </c>
      <c r="C3310" s="1" t="str">
        <f>IF($B3310 = "Production Item", _xlfn.XLOOKUP($A3310, 'Instrument Table'!$J:$J, 'Instrument Table'!$B:$B, $C3309), IF($B3310 = "Service Item", _xlfn.XLOOKUP($A3310, 'Instrument Table'!$I:$I, 'Instrument Table'!$B:$B, $C3309), _xlfn.XLOOKUP($A3310, 'Instrument Table'!$H:$H, 'Instrument Table'!$B:$B, $C3309)))</f>
        <v>Theremin</v>
      </c>
      <c r="D3310" s="1" t="str">
        <f>VLOOKUP($C3310, 'Instrument Table'!$B:$C, 2, FALSE)</f>
        <v>Other</v>
      </c>
      <c r="E3310" s="1">
        <f t="shared" si="306"/>
        <v>1</v>
      </c>
      <c r="F3310" s="1">
        <f>_xlfn.XLOOKUP($C3310, 'Instrument Table'!$B:$B, 'Instrument Table'!$A:$A, "")</f>
        <v>60</v>
      </c>
      <c r="G3310" s="1" t="str">
        <f>TEXT(IF($B3310 = "Retail Item", IF((ROW($A3310) - 4504 - _xlfn.XMATCH($C3310, $C$4506:$C$5005, 0, 1)) &lt;= VLOOKUP($C3310, 'Instrument Table'!$B:$D, 3, FALSE), ROW($A3310) - 4504 - _xlfn.XMATCH($C3310, $C$4506:$C$5005, 0, 1), 0), 0), "00")</f>
        <v>00</v>
      </c>
      <c r="H3310" s="1" t="str">
        <f t="shared" si="307"/>
        <v>154</v>
      </c>
      <c r="I3310" s="1" t="str">
        <f t="shared" si="308"/>
        <v>16000-154</v>
      </c>
      <c r="J3310" s="1" t="str">
        <f t="shared" si="309"/>
        <v>Theremin production item #154</v>
      </c>
      <c r="K3310" s="1" t="str">
        <f>IF(SUM(COUNTIFS(I:I, I3310)) &gt; 1, "DUPLICATE", "UNIQUE")</f>
        <v>UNIQUE</v>
      </c>
      <c r="L3310" s="18">
        <v>8</v>
      </c>
      <c r="M3310" s="28">
        <v>62</v>
      </c>
      <c r="N3310" s="6">
        <v>144</v>
      </c>
      <c r="O3310" s="30">
        <f t="shared" si="310"/>
        <v>496</v>
      </c>
      <c r="P3310" s="30">
        <f t="shared" si="311"/>
        <v>8928</v>
      </c>
      <c r="Q3310" s="1">
        <f>COUNTIFS($P:$P, "&gt;" &amp; $P3310) + 1</f>
        <v>1883</v>
      </c>
      <c r="R3310" s="63">
        <f>(COUNTIFS($P:$P, "&gt;" &amp; $P3310) + 1) / (COUNTA($I:$I) - 1)</f>
        <v>0.37659999999999999</v>
      </c>
      <c r="S3310" s="23">
        <f>SUMIFS($P:$P, $Q:$Q, "&lt;" &amp; $Q3310)</f>
        <v>179012771</v>
      </c>
    </row>
    <row r="3311" spans="1:19" x14ac:dyDescent="0.25">
      <c r="A3311" s="1">
        <v>3306</v>
      </c>
      <c r="B3311" s="1" t="s">
        <v>2</v>
      </c>
      <c r="C3311" s="1" t="str">
        <f>IF($B3311 = "Production Item", _xlfn.XLOOKUP($A3311, 'Instrument Table'!$J:$J, 'Instrument Table'!$B:$B, $C3310), IF($B3311 = "Service Item", _xlfn.XLOOKUP($A3311, 'Instrument Table'!$I:$I, 'Instrument Table'!$B:$B, $C3310), _xlfn.XLOOKUP($A3311, 'Instrument Table'!$H:$H, 'Instrument Table'!$B:$B, $C3310)))</f>
        <v>Theremin</v>
      </c>
      <c r="D3311" s="1" t="str">
        <f>VLOOKUP($C3311, 'Instrument Table'!$B:$C, 2, FALSE)</f>
        <v>Other</v>
      </c>
      <c r="E3311" s="1">
        <f t="shared" si="306"/>
        <v>1</v>
      </c>
      <c r="F3311" s="1">
        <f>_xlfn.XLOOKUP($C3311, 'Instrument Table'!$B:$B, 'Instrument Table'!$A:$A, "")</f>
        <v>60</v>
      </c>
      <c r="G3311" s="1" t="str">
        <f>TEXT(IF($B3311 = "Retail Item", IF((ROW($A3311) - 4504 - _xlfn.XMATCH($C3311, $C$4506:$C$5005, 0, 1)) &lt;= VLOOKUP($C3311, 'Instrument Table'!$B:$D, 3, FALSE), ROW($A3311) - 4504 - _xlfn.XMATCH($C3311, $C$4506:$C$5005, 0, 1), 0), 0), "00")</f>
        <v>00</v>
      </c>
      <c r="H3311" s="1" t="str">
        <f t="shared" si="307"/>
        <v>155</v>
      </c>
      <c r="I3311" s="1" t="str">
        <f t="shared" si="308"/>
        <v>16000-155</v>
      </c>
      <c r="J3311" s="1" t="str">
        <f t="shared" si="309"/>
        <v>Theremin production item #155</v>
      </c>
      <c r="K3311" s="1" t="str">
        <f>IF(SUM(COUNTIFS(I:I, I3311)) &gt; 1, "DUPLICATE", "UNIQUE")</f>
        <v>UNIQUE</v>
      </c>
      <c r="L3311" s="18">
        <v>4</v>
      </c>
      <c r="M3311" s="28">
        <v>22</v>
      </c>
      <c r="N3311" s="6">
        <v>16</v>
      </c>
      <c r="O3311" s="30">
        <f t="shared" si="310"/>
        <v>88</v>
      </c>
      <c r="P3311" s="30">
        <f t="shared" si="311"/>
        <v>352</v>
      </c>
      <c r="Q3311" s="1">
        <f>COUNTIFS($P:$P, "&gt;" &amp; $P3311) + 1</f>
        <v>4147</v>
      </c>
      <c r="R3311" s="63">
        <f>(COUNTIFS($P:$P, "&gt;" &amp; $P3311) + 1) / (COUNTA($I:$I) - 1)</f>
        <v>0.82940000000000003</v>
      </c>
      <c r="S3311" s="23">
        <f>SUMIFS($P:$P, $Q:$Q, "&lt;" &amp; $Q3311)</f>
        <v>186462669</v>
      </c>
    </row>
    <row r="3312" spans="1:19" x14ac:dyDescent="0.25">
      <c r="A3312" s="1">
        <v>3307</v>
      </c>
      <c r="B3312" s="1" t="s">
        <v>2</v>
      </c>
      <c r="C3312" s="1" t="str">
        <f>IF($B3312 = "Production Item", _xlfn.XLOOKUP($A3312, 'Instrument Table'!$J:$J, 'Instrument Table'!$B:$B, $C3311), IF($B3312 = "Service Item", _xlfn.XLOOKUP($A3312, 'Instrument Table'!$I:$I, 'Instrument Table'!$B:$B, $C3311), _xlfn.XLOOKUP($A3312, 'Instrument Table'!$H:$H, 'Instrument Table'!$B:$B, $C3311)))</f>
        <v>Theremin</v>
      </c>
      <c r="D3312" s="1" t="str">
        <f>VLOOKUP($C3312, 'Instrument Table'!$B:$C, 2, FALSE)</f>
        <v>Other</v>
      </c>
      <c r="E3312" s="1">
        <f t="shared" si="306"/>
        <v>1</v>
      </c>
      <c r="F3312" s="1">
        <f>_xlfn.XLOOKUP($C3312, 'Instrument Table'!$B:$B, 'Instrument Table'!$A:$A, "")</f>
        <v>60</v>
      </c>
      <c r="G3312" s="1" t="str">
        <f>TEXT(IF($B3312 = "Retail Item", IF((ROW($A3312) - 4504 - _xlfn.XMATCH($C3312, $C$4506:$C$5005, 0, 1)) &lt;= VLOOKUP($C3312, 'Instrument Table'!$B:$D, 3, FALSE), ROW($A3312) - 4504 - _xlfn.XMATCH($C3312, $C$4506:$C$5005, 0, 1), 0), 0), "00")</f>
        <v>00</v>
      </c>
      <c r="H3312" s="1" t="str">
        <f t="shared" si="307"/>
        <v>156</v>
      </c>
      <c r="I3312" s="1" t="str">
        <f t="shared" si="308"/>
        <v>16000-156</v>
      </c>
      <c r="J3312" s="1" t="str">
        <f t="shared" si="309"/>
        <v>Theremin production item #156</v>
      </c>
      <c r="K3312" s="1" t="str">
        <f>IF(SUM(COUNTIFS(I:I, I3312)) &gt; 1, "DUPLICATE", "UNIQUE")</f>
        <v>UNIQUE</v>
      </c>
      <c r="L3312" s="18">
        <v>8</v>
      </c>
      <c r="M3312" s="28">
        <v>99</v>
      </c>
      <c r="N3312" s="6">
        <v>16</v>
      </c>
      <c r="O3312" s="30">
        <f t="shared" si="310"/>
        <v>792</v>
      </c>
      <c r="P3312" s="30">
        <f t="shared" si="311"/>
        <v>1584</v>
      </c>
      <c r="Q3312" s="1">
        <f>COUNTIFS($P:$P, "&gt;" &amp; $P3312) + 1</f>
        <v>3415</v>
      </c>
      <c r="R3312" s="63">
        <f>(COUNTIFS($P:$P, "&gt;" &amp; $P3312) + 1) / (COUNTA($I:$I) - 1)</f>
        <v>0.68300000000000005</v>
      </c>
      <c r="S3312" s="23">
        <f>SUMIFS($P:$P, $Q:$Q, "&lt;" &amp; $Q3312)</f>
        <v>185809023</v>
      </c>
    </row>
    <row r="3313" spans="1:19" x14ac:dyDescent="0.25">
      <c r="A3313" s="1">
        <v>3308</v>
      </c>
      <c r="B3313" s="1" t="s">
        <v>2</v>
      </c>
      <c r="C3313" s="1" t="str">
        <f>IF($B3313 = "Production Item", _xlfn.XLOOKUP($A3313, 'Instrument Table'!$J:$J, 'Instrument Table'!$B:$B, $C3312), IF($B3313 = "Service Item", _xlfn.XLOOKUP($A3313, 'Instrument Table'!$I:$I, 'Instrument Table'!$B:$B, $C3312), _xlfn.XLOOKUP($A3313, 'Instrument Table'!$H:$H, 'Instrument Table'!$B:$B, $C3312)))</f>
        <v>Theremin</v>
      </c>
      <c r="D3313" s="1" t="str">
        <f>VLOOKUP($C3313, 'Instrument Table'!$B:$C, 2, FALSE)</f>
        <v>Other</v>
      </c>
      <c r="E3313" s="1">
        <f t="shared" si="306"/>
        <v>1</v>
      </c>
      <c r="F3313" s="1">
        <f>_xlfn.XLOOKUP($C3313, 'Instrument Table'!$B:$B, 'Instrument Table'!$A:$A, "")</f>
        <v>60</v>
      </c>
      <c r="G3313" s="1" t="str">
        <f>TEXT(IF($B3313 = "Retail Item", IF((ROW($A3313) - 4504 - _xlfn.XMATCH($C3313, $C$4506:$C$5005, 0, 1)) &lt;= VLOOKUP($C3313, 'Instrument Table'!$B:$D, 3, FALSE), ROW($A3313) - 4504 - _xlfn.XMATCH($C3313, $C$4506:$C$5005, 0, 1), 0), 0), "00")</f>
        <v>00</v>
      </c>
      <c r="H3313" s="1" t="str">
        <f t="shared" si="307"/>
        <v>157</v>
      </c>
      <c r="I3313" s="1" t="str">
        <f t="shared" si="308"/>
        <v>16000-157</v>
      </c>
      <c r="J3313" s="1" t="str">
        <f t="shared" si="309"/>
        <v>Theremin production item #157</v>
      </c>
      <c r="K3313" s="1" t="str">
        <f>IF(SUM(COUNTIFS(I:I, I3313)) &gt; 1, "DUPLICATE", "UNIQUE")</f>
        <v>UNIQUE</v>
      </c>
      <c r="L3313" s="18">
        <v>32</v>
      </c>
      <c r="M3313" s="28">
        <v>96</v>
      </c>
      <c r="N3313" s="6">
        <v>0</v>
      </c>
      <c r="O3313" s="30">
        <f t="shared" si="310"/>
        <v>3072</v>
      </c>
      <c r="P3313" s="30">
        <f t="shared" si="311"/>
        <v>0</v>
      </c>
      <c r="Q3313" s="1">
        <f>COUNTIFS($P:$P, "&gt;" &amp; $P3313) + 1</f>
        <v>4746</v>
      </c>
      <c r="R3313" s="63">
        <f>(COUNTIFS($P:$P, "&gt;" &amp; $P3313) + 1) / (COUNTA($I:$I) - 1)</f>
        <v>0.94920000000000004</v>
      </c>
      <c r="S3313" s="23">
        <f>SUMIFS($P:$P, $Q:$Q, "&lt;" &amp; $Q3313)</f>
        <v>186547861</v>
      </c>
    </row>
    <row r="3314" spans="1:19" x14ac:dyDescent="0.25">
      <c r="A3314" s="1">
        <v>3309</v>
      </c>
      <c r="B3314" s="1" t="s">
        <v>2</v>
      </c>
      <c r="C3314" s="1" t="str">
        <f>IF($B3314 = "Production Item", _xlfn.XLOOKUP($A3314, 'Instrument Table'!$J:$J, 'Instrument Table'!$B:$B, $C3313), IF($B3314 = "Service Item", _xlfn.XLOOKUP($A3314, 'Instrument Table'!$I:$I, 'Instrument Table'!$B:$B, $C3313), _xlfn.XLOOKUP($A3314, 'Instrument Table'!$H:$H, 'Instrument Table'!$B:$B, $C3313)))</f>
        <v>Theremin</v>
      </c>
      <c r="D3314" s="1" t="str">
        <f>VLOOKUP($C3314, 'Instrument Table'!$B:$C, 2, FALSE)</f>
        <v>Other</v>
      </c>
      <c r="E3314" s="1">
        <f t="shared" si="306"/>
        <v>1</v>
      </c>
      <c r="F3314" s="1">
        <f>_xlfn.XLOOKUP($C3314, 'Instrument Table'!$B:$B, 'Instrument Table'!$A:$A, "")</f>
        <v>60</v>
      </c>
      <c r="G3314" s="1" t="str">
        <f>TEXT(IF($B3314 = "Retail Item", IF((ROW($A3314) - 4504 - _xlfn.XMATCH($C3314, $C$4506:$C$5005, 0, 1)) &lt;= VLOOKUP($C3314, 'Instrument Table'!$B:$D, 3, FALSE), ROW($A3314) - 4504 - _xlfn.XMATCH($C3314, $C$4506:$C$5005, 0, 1), 0), 0), "00")</f>
        <v>00</v>
      </c>
      <c r="H3314" s="1" t="str">
        <f t="shared" si="307"/>
        <v>158</v>
      </c>
      <c r="I3314" s="1" t="str">
        <f t="shared" si="308"/>
        <v>16000-158</v>
      </c>
      <c r="J3314" s="1" t="str">
        <f t="shared" si="309"/>
        <v>Theremin production item #158</v>
      </c>
      <c r="K3314" s="1" t="str">
        <f>IF(SUM(COUNTIFS(I:I, I3314)) &gt; 1, "DUPLICATE", "UNIQUE")</f>
        <v>UNIQUE</v>
      </c>
      <c r="L3314" s="18">
        <v>0</v>
      </c>
      <c r="M3314" s="28">
        <v>41</v>
      </c>
      <c r="N3314" s="6">
        <v>16</v>
      </c>
      <c r="O3314" s="30">
        <f t="shared" si="310"/>
        <v>0</v>
      </c>
      <c r="P3314" s="30">
        <f t="shared" si="311"/>
        <v>656</v>
      </c>
      <c r="Q3314" s="1">
        <f>COUNTIFS($P:$P, "&gt;" &amp; $P3314) + 1</f>
        <v>3906</v>
      </c>
      <c r="R3314" s="63">
        <f>(COUNTIFS($P:$P, "&gt;" &amp; $P3314) + 1) / (COUNTA($I:$I) - 1)</f>
        <v>0.78120000000000001</v>
      </c>
      <c r="S3314" s="23">
        <f>SUMIFS($P:$P, $Q:$Q, "&lt;" &amp; $Q3314)</f>
        <v>186342829</v>
      </c>
    </row>
    <row r="3315" spans="1:19" x14ac:dyDescent="0.25">
      <c r="A3315" s="1">
        <v>3310</v>
      </c>
      <c r="B3315" s="1" t="s">
        <v>2</v>
      </c>
      <c r="C3315" s="1" t="str">
        <f>IF($B3315 = "Production Item", _xlfn.XLOOKUP($A3315, 'Instrument Table'!$J:$J, 'Instrument Table'!$B:$B, $C3314), IF($B3315 = "Service Item", _xlfn.XLOOKUP($A3315, 'Instrument Table'!$I:$I, 'Instrument Table'!$B:$B, $C3314), _xlfn.XLOOKUP($A3315, 'Instrument Table'!$H:$H, 'Instrument Table'!$B:$B, $C3314)))</f>
        <v>Theremin</v>
      </c>
      <c r="D3315" s="1" t="str">
        <f>VLOOKUP($C3315, 'Instrument Table'!$B:$C, 2, FALSE)</f>
        <v>Other</v>
      </c>
      <c r="E3315" s="1">
        <f t="shared" si="306"/>
        <v>1</v>
      </c>
      <c r="F3315" s="1">
        <f>_xlfn.XLOOKUP($C3315, 'Instrument Table'!$B:$B, 'Instrument Table'!$A:$A, "")</f>
        <v>60</v>
      </c>
      <c r="G3315" s="1" t="str">
        <f>TEXT(IF($B3315 = "Retail Item", IF((ROW($A3315) - 4504 - _xlfn.XMATCH($C3315, $C$4506:$C$5005, 0, 1)) &lt;= VLOOKUP($C3315, 'Instrument Table'!$B:$D, 3, FALSE), ROW($A3315) - 4504 - _xlfn.XMATCH($C3315, $C$4506:$C$5005, 0, 1), 0), 0), "00")</f>
        <v>00</v>
      </c>
      <c r="H3315" s="1" t="str">
        <f t="shared" si="307"/>
        <v>159</v>
      </c>
      <c r="I3315" s="1" t="str">
        <f t="shared" si="308"/>
        <v>16000-159</v>
      </c>
      <c r="J3315" s="1" t="str">
        <f t="shared" si="309"/>
        <v>Theremin production item #159</v>
      </c>
      <c r="K3315" s="1" t="str">
        <f>IF(SUM(COUNTIFS(I:I, I3315)) &gt; 1, "DUPLICATE", "UNIQUE")</f>
        <v>UNIQUE</v>
      </c>
      <c r="L3315" s="18">
        <v>2</v>
      </c>
      <c r="M3315" s="28">
        <v>99</v>
      </c>
      <c r="N3315" s="6">
        <v>289</v>
      </c>
      <c r="O3315" s="30">
        <f t="shared" si="310"/>
        <v>198</v>
      </c>
      <c r="P3315" s="30">
        <f t="shared" si="311"/>
        <v>28611</v>
      </c>
      <c r="Q3315" s="1">
        <f>COUNTIFS($P:$P, "&gt;" &amp; $P3315) + 1</f>
        <v>720</v>
      </c>
      <c r="R3315" s="63">
        <f>(COUNTIFS($P:$P, "&gt;" &amp; $P3315) + 1) / (COUNTA($I:$I) - 1)</f>
        <v>0.14399999999999999</v>
      </c>
      <c r="S3315" s="23">
        <f>SUMIFS($P:$P, $Q:$Q, "&lt;" &amp; $Q3315)</f>
        <v>159671367</v>
      </c>
    </row>
    <row r="3316" spans="1:19" x14ac:dyDescent="0.25">
      <c r="A3316" s="1">
        <v>3311</v>
      </c>
      <c r="B3316" s="1" t="s">
        <v>2</v>
      </c>
      <c r="C3316" s="1" t="str">
        <f>IF($B3316 = "Production Item", _xlfn.XLOOKUP($A3316, 'Instrument Table'!$J:$J, 'Instrument Table'!$B:$B, $C3315), IF($B3316 = "Service Item", _xlfn.XLOOKUP($A3316, 'Instrument Table'!$I:$I, 'Instrument Table'!$B:$B, $C3315), _xlfn.XLOOKUP($A3316, 'Instrument Table'!$H:$H, 'Instrument Table'!$B:$B, $C3315)))</f>
        <v>Theremin</v>
      </c>
      <c r="D3316" s="1" t="str">
        <f>VLOOKUP($C3316, 'Instrument Table'!$B:$C, 2, FALSE)</f>
        <v>Other</v>
      </c>
      <c r="E3316" s="1">
        <f t="shared" si="306"/>
        <v>1</v>
      </c>
      <c r="F3316" s="1">
        <f>_xlfn.XLOOKUP($C3316, 'Instrument Table'!$B:$B, 'Instrument Table'!$A:$A, "")</f>
        <v>60</v>
      </c>
      <c r="G3316" s="1" t="str">
        <f>TEXT(IF($B3316 = "Retail Item", IF((ROW($A3316) - 4504 - _xlfn.XMATCH($C3316, $C$4506:$C$5005, 0, 1)) &lt;= VLOOKUP($C3316, 'Instrument Table'!$B:$D, 3, FALSE), ROW($A3316) - 4504 - _xlfn.XMATCH($C3316, $C$4506:$C$5005, 0, 1), 0), 0), "00")</f>
        <v>00</v>
      </c>
      <c r="H3316" s="1" t="str">
        <f t="shared" si="307"/>
        <v>160</v>
      </c>
      <c r="I3316" s="1" t="str">
        <f t="shared" si="308"/>
        <v>16000-160</v>
      </c>
      <c r="J3316" s="1" t="str">
        <f t="shared" si="309"/>
        <v>Theremin production item #160</v>
      </c>
      <c r="K3316" s="1" t="str">
        <f>IF(SUM(COUNTIFS(I:I, I3316)) &gt; 1, "DUPLICATE", "UNIQUE")</f>
        <v>UNIQUE</v>
      </c>
      <c r="L3316" s="18">
        <v>0</v>
      </c>
      <c r="M3316" s="28">
        <v>45</v>
      </c>
      <c r="N3316" s="6">
        <v>121</v>
      </c>
      <c r="O3316" s="30">
        <f t="shared" si="310"/>
        <v>0</v>
      </c>
      <c r="P3316" s="30">
        <f t="shared" si="311"/>
        <v>5445</v>
      </c>
      <c r="Q3316" s="1">
        <f>COUNTIFS($P:$P, "&gt;" &amp; $P3316) + 1</f>
        <v>2362</v>
      </c>
      <c r="R3316" s="63">
        <f>(COUNTIFS($P:$P, "&gt;" &amp; $P3316) + 1) / (COUNTA($I:$I) - 1)</f>
        <v>0.47239999999999999</v>
      </c>
      <c r="S3316" s="23">
        <f>SUMIFS($P:$P, $Q:$Q, "&lt;" &amp; $Q3316)</f>
        <v>182413407</v>
      </c>
    </row>
    <row r="3317" spans="1:19" x14ac:dyDescent="0.25">
      <c r="A3317" s="1">
        <v>3312</v>
      </c>
      <c r="B3317" s="1" t="s">
        <v>2</v>
      </c>
      <c r="C3317" s="1" t="str">
        <f>IF($B3317 = "Production Item", _xlfn.XLOOKUP($A3317, 'Instrument Table'!$J:$J, 'Instrument Table'!$B:$B, $C3316), IF($B3317 = "Service Item", _xlfn.XLOOKUP($A3317, 'Instrument Table'!$I:$I, 'Instrument Table'!$B:$B, $C3316), _xlfn.XLOOKUP($A3317, 'Instrument Table'!$H:$H, 'Instrument Table'!$B:$B, $C3316)))</f>
        <v>Theremin</v>
      </c>
      <c r="D3317" s="1" t="str">
        <f>VLOOKUP($C3317, 'Instrument Table'!$B:$C, 2, FALSE)</f>
        <v>Other</v>
      </c>
      <c r="E3317" s="1">
        <f t="shared" si="306"/>
        <v>1</v>
      </c>
      <c r="F3317" s="1">
        <f>_xlfn.XLOOKUP($C3317, 'Instrument Table'!$B:$B, 'Instrument Table'!$A:$A, "")</f>
        <v>60</v>
      </c>
      <c r="G3317" s="1" t="str">
        <f>TEXT(IF($B3317 = "Retail Item", IF((ROW($A3317) - 4504 - _xlfn.XMATCH($C3317, $C$4506:$C$5005, 0, 1)) &lt;= VLOOKUP($C3317, 'Instrument Table'!$B:$D, 3, FALSE), ROW($A3317) - 4504 - _xlfn.XMATCH($C3317, $C$4506:$C$5005, 0, 1), 0), 0), "00")</f>
        <v>00</v>
      </c>
      <c r="H3317" s="1" t="str">
        <f t="shared" si="307"/>
        <v>161</v>
      </c>
      <c r="I3317" s="1" t="str">
        <f t="shared" si="308"/>
        <v>16000-161</v>
      </c>
      <c r="J3317" s="1" t="str">
        <f t="shared" si="309"/>
        <v>Theremin production item #161</v>
      </c>
      <c r="K3317" s="1" t="str">
        <f>IF(SUM(COUNTIFS(I:I, I3317)) &gt; 1, "DUPLICATE", "UNIQUE")</f>
        <v>UNIQUE</v>
      </c>
      <c r="L3317" s="18">
        <v>0</v>
      </c>
      <c r="M3317" s="28">
        <v>78</v>
      </c>
      <c r="N3317" s="6">
        <v>289</v>
      </c>
      <c r="O3317" s="30">
        <f t="shared" si="310"/>
        <v>0</v>
      </c>
      <c r="P3317" s="30">
        <f t="shared" si="311"/>
        <v>22542</v>
      </c>
      <c r="Q3317" s="1">
        <f>COUNTIFS($P:$P, "&gt;" &amp; $P3317) + 1</f>
        <v>923</v>
      </c>
      <c r="R3317" s="63">
        <f>(COUNTIFS($P:$P, "&gt;" &amp; $P3317) + 1) / (COUNTA($I:$I) - 1)</f>
        <v>0.18459999999999999</v>
      </c>
      <c r="S3317" s="23">
        <f>SUMIFS($P:$P, $Q:$Q, "&lt;" &amp; $Q3317)</f>
        <v>164806689</v>
      </c>
    </row>
    <row r="3318" spans="1:19" x14ac:dyDescent="0.25">
      <c r="A3318" s="1">
        <v>3313</v>
      </c>
      <c r="B3318" s="1" t="s">
        <v>2</v>
      </c>
      <c r="C3318" s="1" t="str">
        <f>IF($B3318 = "Production Item", _xlfn.XLOOKUP($A3318, 'Instrument Table'!$J:$J, 'Instrument Table'!$B:$B, $C3317), IF($B3318 = "Service Item", _xlfn.XLOOKUP($A3318, 'Instrument Table'!$I:$I, 'Instrument Table'!$B:$B, $C3317), _xlfn.XLOOKUP($A3318, 'Instrument Table'!$H:$H, 'Instrument Table'!$B:$B, $C3317)))</f>
        <v>Theremin</v>
      </c>
      <c r="D3318" s="1" t="str">
        <f>VLOOKUP($C3318, 'Instrument Table'!$B:$C, 2, FALSE)</f>
        <v>Other</v>
      </c>
      <c r="E3318" s="1">
        <f t="shared" si="306"/>
        <v>1</v>
      </c>
      <c r="F3318" s="1">
        <f>_xlfn.XLOOKUP($C3318, 'Instrument Table'!$B:$B, 'Instrument Table'!$A:$A, "")</f>
        <v>60</v>
      </c>
      <c r="G3318" s="1" t="str">
        <f>TEXT(IF($B3318 = "Retail Item", IF((ROW($A3318) - 4504 - _xlfn.XMATCH($C3318, $C$4506:$C$5005, 0, 1)) &lt;= VLOOKUP($C3318, 'Instrument Table'!$B:$D, 3, FALSE), ROW($A3318) - 4504 - _xlfn.XMATCH($C3318, $C$4506:$C$5005, 0, 1), 0), 0), "00")</f>
        <v>00</v>
      </c>
      <c r="H3318" s="1" t="str">
        <f t="shared" si="307"/>
        <v>162</v>
      </c>
      <c r="I3318" s="1" t="str">
        <f t="shared" si="308"/>
        <v>16000-162</v>
      </c>
      <c r="J3318" s="1" t="str">
        <f t="shared" si="309"/>
        <v>Theremin production item #162</v>
      </c>
      <c r="K3318" s="1" t="str">
        <f>IF(SUM(COUNTIFS(I:I, I3318)) &gt; 1, "DUPLICATE", "UNIQUE")</f>
        <v>UNIQUE</v>
      </c>
      <c r="L3318" s="18">
        <v>8</v>
      </c>
      <c r="M3318" s="28">
        <v>45</v>
      </c>
      <c r="N3318" s="6">
        <v>36</v>
      </c>
      <c r="O3318" s="30">
        <f t="shared" si="310"/>
        <v>360</v>
      </c>
      <c r="P3318" s="30">
        <f t="shared" si="311"/>
        <v>1620</v>
      </c>
      <c r="Q3318" s="1">
        <f>COUNTIFS($P:$P, "&gt;" &amp; $P3318) + 1</f>
        <v>3392</v>
      </c>
      <c r="R3318" s="63">
        <f>(COUNTIFS($P:$P, "&gt;" &amp; $P3318) + 1) / (COUNTA($I:$I) - 1)</f>
        <v>0.6784</v>
      </c>
      <c r="S3318" s="23">
        <f>SUMIFS($P:$P, $Q:$Q, "&lt;" &amp; $Q3318)</f>
        <v>185772049</v>
      </c>
    </row>
    <row r="3319" spans="1:19" x14ac:dyDescent="0.25">
      <c r="A3319" s="1">
        <v>3314</v>
      </c>
      <c r="B3319" s="1" t="s">
        <v>2</v>
      </c>
      <c r="C3319" s="1" t="str">
        <f>IF($B3319 = "Production Item", _xlfn.XLOOKUP($A3319, 'Instrument Table'!$J:$J, 'Instrument Table'!$B:$B, $C3318), IF($B3319 = "Service Item", _xlfn.XLOOKUP($A3319, 'Instrument Table'!$I:$I, 'Instrument Table'!$B:$B, $C3318), _xlfn.XLOOKUP($A3319, 'Instrument Table'!$H:$H, 'Instrument Table'!$B:$B, $C3318)))</f>
        <v>Theremin</v>
      </c>
      <c r="D3319" s="1" t="str">
        <f>VLOOKUP($C3319, 'Instrument Table'!$B:$C, 2, FALSE)</f>
        <v>Other</v>
      </c>
      <c r="E3319" s="1">
        <f t="shared" si="306"/>
        <v>1</v>
      </c>
      <c r="F3319" s="1">
        <f>_xlfn.XLOOKUP($C3319, 'Instrument Table'!$B:$B, 'Instrument Table'!$A:$A, "")</f>
        <v>60</v>
      </c>
      <c r="G3319" s="1" t="str">
        <f>TEXT(IF($B3319 = "Retail Item", IF((ROW($A3319) - 4504 - _xlfn.XMATCH($C3319, $C$4506:$C$5005, 0, 1)) &lt;= VLOOKUP($C3319, 'Instrument Table'!$B:$D, 3, FALSE), ROW($A3319) - 4504 - _xlfn.XMATCH($C3319, $C$4506:$C$5005, 0, 1), 0), 0), "00")</f>
        <v>00</v>
      </c>
      <c r="H3319" s="1" t="str">
        <f t="shared" si="307"/>
        <v>163</v>
      </c>
      <c r="I3319" s="1" t="str">
        <f t="shared" si="308"/>
        <v>16000-163</v>
      </c>
      <c r="J3319" s="1" t="str">
        <f t="shared" si="309"/>
        <v>Theremin production item #163</v>
      </c>
      <c r="K3319" s="1" t="str">
        <f>IF(SUM(COUNTIFS(I:I, I3319)) &gt; 1, "DUPLICATE", "UNIQUE")</f>
        <v>UNIQUE</v>
      </c>
      <c r="L3319" s="18">
        <v>1</v>
      </c>
      <c r="M3319" s="28">
        <v>1</v>
      </c>
      <c r="N3319" s="6">
        <v>16</v>
      </c>
      <c r="O3319" s="30">
        <f t="shared" si="310"/>
        <v>1</v>
      </c>
      <c r="P3319" s="30">
        <f t="shared" si="311"/>
        <v>16</v>
      </c>
      <c r="Q3319" s="1">
        <f>COUNTIFS($P:$P, "&gt;" &amp; $P3319) + 1</f>
        <v>4705</v>
      </c>
      <c r="R3319" s="63">
        <f>(COUNTIFS($P:$P, "&gt;" &amp; $P3319) + 1) / (COUNTA($I:$I) - 1)</f>
        <v>0.94099999999999995</v>
      </c>
      <c r="S3319" s="23">
        <f>SUMIFS($P:$P, $Q:$Q, "&lt;" &amp; $Q3319)</f>
        <v>186547483</v>
      </c>
    </row>
    <row r="3320" spans="1:19" x14ac:dyDescent="0.25">
      <c r="A3320" s="1">
        <v>3315</v>
      </c>
      <c r="B3320" s="1" t="s">
        <v>2</v>
      </c>
      <c r="C3320" s="1" t="str">
        <f>IF($B3320 = "Production Item", _xlfn.XLOOKUP($A3320, 'Instrument Table'!$J:$J, 'Instrument Table'!$B:$B, $C3319), IF($B3320 = "Service Item", _xlfn.XLOOKUP($A3320, 'Instrument Table'!$I:$I, 'Instrument Table'!$B:$B, $C3319), _xlfn.XLOOKUP($A3320, 'Instrument Table'!$H:$H, 'Instrument Table'!$B:$B, $C3319)))</f>
        <v>Theremin</v>
      </c>
      <c r="D3320" s="1" t="str">
        <f>VLOOKUP($C3320, 'Instrument Table'!$B:$C, 2, FALSE)</f>
        <v>Other</v>
      </c>
      <c r="E3320" s="1">
        <f t="shared" si="306"/>
        <v>1</v>
      </c>
      <c r="F3320" s="1">
        <f>_xlfn.XLOOKUP($C3320, 'Instrument Table'!$B:$B, 'Instrument Table'!$A:$A, "")</f>
        <v>60</v>
      </c>
      <c r="G3320" s="1" t="str">
        <f>TEXT(IF($B3320 = "Retail Item", IF((ROW($A3320) - 4504 - _xlfn.XMATCH($C3320, $C$4506:$C$5005, 0, 1)) &lt;= VLOOKUP($C3320, 'Instrument Table'!$B:$D, 3, FALSE), ROW($A3320) - 4504 - _xlfn.XMATCH($C3320, $C$4506:$C$5005, 0, 1), 0), 0), "00")</f>
        <v>00</v>
      </c>
      <c r="H3320" s="1" t="str">
        <f t="shared" si="307"/>
        <v>164</v>
      </c>
      <c r="I3320" s="1" t="str">
        <f t="shared" si="308"/>
        <v>16000-164</v>
      </c>
      <c r="J3320" s="1" t="str">
        <f t="shared" si="309"/>
        <v>Theremin production item #164</v>
      </c>
      <c r="K3320" s="1" t="str">
        <f>IF(SUM(COUNTIFS(I:I, I3320)) &gt; 1, "DUPLICATE", "UNIQUE")</f>
        <v>UNIQUE</v>
      </c>
      <c r="L3320" s="18">
        <v>16</v>
      </c>
      <c r="M3320" s="28">
        <v>54</v>
      </c>
      <c r="N3320" s="6">
        <v>1</v>
      </c>
      <c r="O3320" s="30">
        <f t="shared" si="310"/>
        <v>864</v>
      </c>
      <c r="P3320" s="30">
        <f t="shared" si="311"/>
        <v>54</v>
      </c>
      <c r="Q3320" s="1">
        <f>COUNTIFS($P:$P, "&gt;" &amp; $P3320) + 1</f>
        <v>4596</v>
      </c>
      <c r="R3320" s="63">
        <f>(COUNTIFS($P:$P, "&gt;" &amp; $P3320) + 1) / (COUNTA($I:$I) - 1)</f>
        <v>0.91920000000000002</v>
      </c>
      <c r="S3320" s="23">
        <f>SUMIFS($P:$P, $Q:$Q, "&lt;" &amp; $Q3320)</f>
        <v>186543478</v>
      </c>
    </row>
    <row r="3321" spans="1:19" x14ac:dyDescent="0.25">
      <c r="A3321" s="1">
        <v>3316</v>
      </c>
      <c r="B3321" s="1" t="s">
        <v>2</v>
      </c>
      <c r="C3321" s="1" t="str">
        <f>IF($B3321 = "Production Item", _xlfn.XLOOKUP($A3321, 'Instrument Table'!$J:$J, 'Instrument Table'!$B:$B, $C3320), IF($B3321 = "Service Item", _xlfn.XLOOKUP($A3321, 'Instrument Table'!$I:$I, 'Instrument Table'!$B:$B, $C3320), _xlfn.XLOOKUP($A3321, 'Instrument Table'!$H:$H, 'Instrument Table'!$B:$B, $C3320)))</f>
        <v>Theremin</v>
      </c>
      <c r="D3321" s="1" t="str">
        <f>VLOOKUP($C3321, 'Instrument Table'!$B:$C, 2, FALSE)</f>
        <v>Other</v>
      </c>
      <c r="E3321" s="1">
        <f t="shared" si="306"/>
        <v>1</v>
      </c>
      <c r="F3321" s="1">
        <f>_xlfn.XLOOKUP($C3321, 'Instrument Table'!$B:$B, 'Instrument Table'!$A:$A, "")</f>
        <v>60</v>
      </c>
      <c r="G3321" s="1" t="str">
        <f>TEXT(IF($B3321 = "Retail Item", IF((ROW($A3321) - 4504 - _xlfn.XMATCH($C3321, $C$4506:$C$5005, 0, 1)) &lt;= VLOOKUP($C3321, 'Instrument Table'!$B:$D, 3, FALSE), ROW($A3321) - 4504 - _xlfn.XMATCH($C3321, $C$4506:$C$5005, 0, 1), 0), 0), "00")</f>
        <v>00</v>
      </c>
      <c r="H3321" s="1" t="str">
        <f t="shared" si="307"/>
        <v>165</v>
      </c>
      <c r="I3321" s="1" t="str">
        <f t="shared" si="308"/>
        <v>16000-165</v>
      </c>
      <c r="J3321" s="1" t="str">
        <f t="shared" si="309"/>
        <v>Theremin production item #165</v>
      </c>
      <c r="K3321" s="1" t="str">
        <f>IF(SUM(COUNTIFS(I:I, I3321)) &gt; 1, "DUPLICATE", "UNIQUE")</f>
        <v>UNIQUE</v>
      </c>
      <c r="L3321" s="18">
        <v>1</v>
      </c>
      <c r="M3321" s="28">
        <v>71</v>
      </c>
      <c r="N3321" s="6">
        <v>4</v>
      </c>
      <c r="O3321" s="30">
        <f t="shared" si="310"/>
        <v>71</v>
      </c>
      <c r="P3321" s="30">
        <f t="shared" si="311"/>
        <v>284</v>
      </c>
      <c r="Q3321" s="1">
        <f>COUNTIFS($P:$P, "&gt;" &amp; $P3321) + 1</f>
        <v>4234</v>
      </c>
      <c r="R3321" s="63">
        <f>(COUNTIFS($P:$P, "&gt;" &amp; $P3321) + 1) / (COUNTA($I:$I) - 1)</f>
        <v>0.8468</v>
      </c>
      <c r="S3321" s="23">
        <f>SUMIFS($P:$P, $Q:$Q, "&lt;" &amp; $Q3321)</f>
        <v>186490637</v>
      </c>
    </row>
    <row r="3322" spans="1:19" x14ac:dyDescent="0.25">
      <c r="A3322" s="1">
        <v>3317</v>
      </c>
      <c r="B3322" s="1" t="s">
        <v>2</v>
      </c>
      <c r="C3322" s="1" t="str">
        <f>IF($B3322 = "Production Item", _xlfn.XLOOKUP($A3322, 'Instrument Table'!$J:$J, 'Instrument Table'!$B:$B, $C3321), IF($B3322 = "Service Item", _xlfn.XLOOKUP($A3322, 'Instrument Table'!$I:$I, 'Instrument Table'!$B:$B, $C3321), _xlfn.XLOOKUP($A3322, 'Instrument Table'!$H:$H, 'Instrument Table'!$B:$B, $C3321)))</f>
        <v>Theremin</v>
      </c>
      <c r="D3322" s="1" t="str">
        <f>VLOOKUP($C3322, 'Instrument Table'!$B:$C, 2, FALSE)</f>
        <v>Other</v>
      </c>
      <c r="E3322" s="1">
        <f t="shared" si="306"/>
        <v>1</v>
      </c>
      <c r="F3322" s="1">
        <f>_xlfn.XLOOKUP($C3322, 'Instrument Table'!$B:$B, 'Instrument Table'!$A:$A, "")</f>
        <v>60</v>
      </c>
      <c r="G3322" s="1" t="str">
        <f>TEXT(IF($B3322 = "Retail Item", IF((ROW($A3322) - 4504 - _xlfn.XMATCH($C3322, $C$4506:$C$5005, 0, 1)) &lt;= VLOOKUP($C3322, 'Instrument Table'!$B:$D, 3, FALSE), ROW($A3322) - 4504 - _xlfn.XMATCH($C3322, $C$4506:$C$5005, 0, 1), 0), 0), "00")</f>
        <v>00</v>
      </c>
      <c r="H3322" s="1" t="str">
        <f t="shared" si="307"/>
        <v>166</v>
      </c>
      <c r="I3322" s="1" t="str">
        <f t="shared" si="308"/>
        <v>16000-166</v>
      </c>
      <c r="J3322" s="1" t="str">
        <f t="shared" si="309"/>
        <v>Theremin production item #166</v>
      </c>
      <c r="K3322" s="1" t="str">
        <f>IF(SUM(COUNTIFS(I:I, I3322)) &gt; 1, "DUPLICATE", "UNIQUE")</f>
        <v>UNIQUE</v>
      </c>
      <c r="L3322" s="18">
        <v>1</v>
      </c>
      <c r="M3322" s="28">
        <v>30</v>
      </c>
      <c r="N3322" s="6">
        <v>256</v>
      </c>
      <c r="O3322" s="30">
        <f t="shared" si="310"/>
        <v>30</v>
      </c>
      <c r="P3322" s="30">
        <f t="shared" si="311"/>
        <v>7680</v>
      </c>
      <c r="Q3322" s="1">
        <f>COUNTIFS($P:$P, "&gt;" &amp; $P3322) + 1</f>
        <v>2042</v>
      </c>
      <c r="R3322" s="63">
        <f>(COUNTIFS($P:$P, "&gt;" &amp; $P3322) + 1) / (COUNTA($I:$I) - 1)</f>
        <v>0.40839999999999999</v>
      </c>
      <c r="S3322" s="23">
        <f>SUMIFS($P:$P, $Q:$Q, "&lt;" &amp; $Q3322)</f>
        <v>180323754</v>
      </c>
    </row>
    <row r="3323" spans="1:19" x14ac:dyDescent="0.25">
      <c r="A3323" s="1">
        <v>3318</v>
      </c>
      <c r="B3323" s="1" t="s">
        <v>2</v>
      </c>
      <c r="C3323" s="1" t="str">
        <f>IF($B3323 = "Production Item", _xlfn.XLOOKUP($A3323, 'Instrument Table'!$J:$J, 'Instrument Table'!$B:$B, $C3322), IF($B3323 = "Service Item", _xlfn.XLOOKUP($A3323, 'Instrument Table'!$I:$I, 'Instrument Table'!$B:$B, $C3322), _xlfn.XLOOKUP($A3323, 'Instrument Table'!$H:$H, 'Instrument Table'!$B:$B, $C3322)))</f>
        <v>Theremin</v>
      </c>
      <c r="D3323" s="1" t="str">
        <f>VLOOKUP($C3323, 'Instrument Table'!$B:$C, 2, FALSE)</f>
        <v>Other</v>
      </c>
      <c r="E3323" s="1">
        <f t="shared" si="306"/>
        <v>1</v>
      </c>
      <c r="F3323" s="1">
        <f>_xlfn.XLOOKUP($C3323, 'Instrument Table'!$B:$B, 'Instrument Table'!$A:$A, "")</f>
        <v>60</v>
      </c>
      <c r="G3323" s="1" t="str">
        <f>TEXT(IF($B3323 = "Retail Item", IF((ROW($A3323) - 4504 - _xlfn.XMATCH($C3323, $C$4506:$C$5005, 0, 1)) &lt;= VLOOKUP($C3323, 'Instrument Table'!$B:$D, 3, FALSE), ROW($A3323) - 4504 - _xlfn.XMATCH($C3323, $C$4506:$C$5005, 0, 1), 0), 0), "00")</f>
        <v>00</v>
      </c>
      <c r="H3323" s="1" t="str">
        <f t="shared" si="307"/>
        <v>167</v>
      </c>
      <c r="I3323" s="1" t="str">
        <f t="shared" si="308"/>
        <v>16000-167</v>
      </c>
      <c r="J3323" s="1" t="str">
        <f t="shared" si="309"/>
        <v>Theremin production item #167</v>
      </c>
      <c r="K3323" s="1" t="str">
        <f>IF(SUM(COUNTIFS(I:I, I3323)) &gt; 1, "DUPLICATE", "UNIQUE")</f>
        <v>UNIQUE</v>
      </c>
      <c r="L3323" s="18">
        <v>1</v>
      </c>
      <c r="M3323" s="28">
        <v>99</v>
      </c>
      <c r="N3323" s="6">
        <v>16</v>
      </c>
      <c r="O3323" s="30">
        <f t="shared" si="310"/>
        <v>99</v>
      </c>
      <c r="P3323" s="30">
        <f t="shared" si="311"/>
        <v>1584</v>
      </c>
      <c r="Q3323" s="1">
        <f>COUNTIFS($P:$P, "&gt;" &amp; $P3323) + 1</f>
        <v>3415</v>
      </c>
      <c r="R3323" s="63">
        <f>(COUNTIFS($P:$P, "&gt;" &amp; $P3323) + 1) / (COUNTA($I:$I) - 1)</f>
        <v>0.68300000000000005</v>
      </c>
      <c r="S3323" s="23">
        <f>SUMIFS($P:$P, $Q:$Q, "&lt;" &amp; $Q3323)</f>
        <v>185809023</v>
      </c>
    </row>
    <row r="3324" spans="1:19" x14ac:dyDescent="0.25">
      <c r="A3324" s="1">
        <v>3319</v>
      </c>
      <c r="B3324" s="1" t="s">
        <v>2</v>
      </c>
      <c r="C3324" s="1" t="str">
        <f>IF($B3324 = "Production Item", _xlfn.XLOOKUP($A3324, 'Instrument Table'!$J:$J, 'Instrument Table'!$B:$B, $C3323), IF($B3324 = "Service Item", _xlfn.XLOOKUP($A3324, 'Instrument Table'!$I:$I, 'Instrument Table'!$B:$B, $C3323), _xlfn.XLOOKUP($A3324, 'Instrument Table'!$H:$H, 'Instrument Table'!$B:$B, $C3323)))</f>
        <v>Theremin</v>
      </c>
      <c r="D3324" s="1" t="str">
        <f>VLOOKUP($C3324, 'Instrument Table'!$B:$C, 2, FALSE)</f>
        <v>Other</v>
      </c>
      <c r="E3324" s="1">
        <f t="shared" si="306"/>
        <v>1</v>
      </c>
      <c r="F3324" s="1">
        <f>_xlfn.XLOOKUP($C3324, 'Instrument Table'!$B:$B, 'Instrument Table'!$A:$A, "")</f>
        <v>60</v>
      </c>
      <c r="G3324" s="1" t="str">
        <f>TEXT(IF($B3324 = "Retail Item", IF((ROW($A3324) - 4504 - _xlfn.XMATCH($C3324, $C$4506:$C$5005, 0, 1)) &lt;= VLOOKUP($C3324, 'Instrument Table'!$B:$D, 3, FALSE), ROW($A3324) - 4504 - _xlfn.XMATCH($C3324, $C$4506:$C$5005, 0, 1), 0), 0), "00")</f>
        <v>00</v>
      </c>
      <c r="H3324" s="1" t="str">
        <f t="shared" si="307"/>
        <v>168</v>
      </c>
      <c r="I3324" s="1" t="str">
        <f t="shared" si="308"/>
        <v>16000-168</v>
      </c>
      <c r="J3324" s="1" t="str">
        <f t="shared" si="309"/>
        <v>Theremin production item #168</v>
      </c>
      <c r="K3324" s="1" t="str">
        <f>IF(SUM(COUNTIFS(I:I, I3324)) &gt; 1, "DUPLICATE", "UNIQUE")</f>
        <v>UNIQUE</v>
      </c>
      <c r="L3324" s="18">
        <v>32</v>
      </c>
      <c r="M3324" s="28">
        <v>20</v>
      </c>
      <c r="N3324" s="6">
        <v>9</v>
      </c>
      <c r="O3324" s="30">
        <f t="shared" si="310"/>
        <v>640</v>
      </c>
      <c r="P3324" s="30">
        <f t="shared" si="311"/>
        <v>180</v>
      </c>
      <c r="Q3324" s="1">
        <f>COUNTIFS($P:$P, "&gt;" &amp; $P3324) + 1</f>
        <v>4352</v>
      </c>
      <c r="R3324" s="63">
        <f>(COUNTIFS($P:$P, "&gt;" &amp; $P3324) + 1) / (COUNTA($I:$I) - 1)</f>
        <v>0.87039999999999995</v>
      </c>
      <c r="S3324" s="23">
        <f>SUMIFS($P:$P, $Q:$Q, "&lt;" &amp; $Q3324)</f>
        <v>186517952</v>
      </c>
    </row>
    <row r="3325" spans="1:19" x14ac:dyDescent="0.25">
      <c r="A3325" s="1">
        <v>3320</v>
      </c>
      <c r="B3325" s="1" t="s">
        <v>2</v>
      </c>
      <c r="C3325" s="1" t="str">
        <f>IF($B3325 = "Production Item", _xlfn.XLOOKUP($A3325, 'Instrument Table'!$J:$J, 'Instrument Table'!$B:$B, $C3324), IF($B3325 = "Service Item", _xlfn.XLOOKUP($A3325, 'Instrument Table'!$I:$I, 'Instrument Table'!$B:$B, $C3324), _xlfn.XLOOKUP($A3325, 'Instrument Table'!$H:$H, 'Instrument Table'!$B:$B, $C3324)))</f>
        <v>Theremin</v>
      </c>
      <c r="D3325" s="1" t="str">
        <f>VLOOKUP($C3325, 'Instrument Table'!$B:$C, 2, FALSE)</f>
        <v>Other</v>
      </c>
      <c r="E3325" s="1">
        <f t="shared" si="306"/>
        <v>1</v>
      </c>
      <c r="F3325" s="1">
        <f>_xlfn.XLOOKUP($C3325, 'Instrument Table'!$B:$B, 'Instrument Table'!$A:$A, "")</f>
        <v>60</v>
      </c>
      <c r="G3325" s="1" t="str">
        <f>TEXT(IF($B3325 = "Retail Item", IF((ROW($A3325) - 4504 - _xlfn.XMATCH($C3325, $C$4506:$C$5005, 0, 1)) &lt;= VLOOKUP($C3325, 'Instrument Table'!$B:$D, 3, FALSE), ROW($A3325) - 4504 - _xlfn.XMATCH($C3325, $C$4506:$C$5005, 0, 1), 0), 0), "00")</f>
        <v>00</v>
      </c>
      <c r="H3325" s="1" t="str">
        <f t="shared" si="307"/>
        <v>169</v>
      </c>
      <c r="I3325" s="1" t="str">
        <f t="shared" si="308"/>
        <v>16000-169</v>
      </c>
      <c r="J3325" s="1" t="str">
        <f t="shared" si="309"/>
        <v>Theremin production item #169</v>
      </c>
      <c r="K3325" s="1" t="str">
        <f>IF(SUM(COUNTIFS(I:I, I3325)) &gt; 1, "DUPLICATE", "UNIQUE")</f>
        <v>UNIQUE</v>
      </c>
      <c r="L3325" s="18">
        <v>1</v>
      </c>
      <c r="M3325" s="28">
        <v>28</v>
      </c>
      <c r="N3325" s="6">
        <v>9</v>
      </c>
      <c r="O3325" s="30">
        <f t="shared" si="310"/>
        <v>28</v>
      </c>
      <c r="P3325" s="30">
        <f t="shared" si="311"/>
        <v>252</v>
      </c>
      <c r="Q3325" s="1">
        <f>COUNTIFS($P:$P, "&gt;" &amp; $P3325) + 1</f>
        <v>4269</v>
      </c>
      <c r="R3325" s="63">
        <f>(COUNTIFS($P:$P, "&gt;" &amp; $P3325) + 1) / (COUNTA($I:$I) - 1)</f>
        <v>0.8538</v>
      </c>
      <c r="S3325" s="23">
        <f>SUMIFS($P:$P, $Q:$Q, "&lt;" &amp; $Q3325)</f>
        <v>186500011</v>
      </c>
    </row>
    <row r="3326" spans="1:19" x14ac:dyDescent="0.25">
      <c r="A3326" s="1">
        <v>3321</v>
      </c>
      <c r="B3326" s="1" t="s">
        <v>2</v>
      </c>
      <c r="C3326" s="1" t="str">
        <f>IF($B3326 = "Production Item", _xlfn.XLOOKUP($A3326, 'Instrument Table'!$J:$J, 'Instrument Table'!$B:$B, $C3325), IF($B3326 = "Service Item", _xlfn.XLOOKUP($A3326, 'Instrument Table'!$I:$I, 'Instrument Table'!$B:$B, $C3325), _xlfn.XLOOKUP($A3326, 'Instrument Table'!$H:$H, 'Instrument Table'!$B:$B, $C3325)))</f>
        <v>Theremin</v>
      </c>
      <c r="D3326" s="1" t="str">
        <f>VLOOKUP($C3326, 'Instrument Table'!$B:$C, 2, FALSE)</f>
        <v>Other</v>
      </c>
      <c r="E3326" s="1">
        <f t="shared" si="306"/>
        <v>1</v>
      </c>
      <c r="F3326" s="1">
        <f>_xlfn.XLOOKUP($C3326, 'Instrument Table'!$B:$B, 'Instrument Table'!$A:$A, "")</f>
        <v>60</v>
      </c>
      <c r="G3326" s="1" t="str">
        <f>TEXT(IF($B3326 = "Retail Item", IF((ROW($A3326) - 4504 - _xlfn.XMATCH($C3326, $C$4506:$C$5005, 0, 1)) &lt;= VLOOKUP($C3326, 'Instrument Table'!$B:$D, 3, FALSE), ROW($A3326) - 4504 - _xlfn.XMATCH($C3326, $C$4506:$C$5005, 0, 1), 0), 0), "00")</f>
        <v>00</v>
      </c>
      <c r="H3326" s="1" t="str">
        <f t="shared" si="307"/>
        <v>170</v>
      </c>
      <c r="I3326" s="1" t="str">
        <f t="shared" si="308"/>
        <v>16000-170</v>
      </c>
      <c r="J3326" s="1" t="str">
        <f t="shared" si="309"/>
        <v>Theremin production item #170</v>
      </c>
      <c r="K3326" s="1" t="str">
        <f>IF(SUM(COUNTIFS(I:I, I3326)) &gt; 1, "DUPLICATE", "UNIQUE")</f>
        <v>UNIQUE</v>
      </c>
      <c r="L3326" s="18">
        <v>1</v>
      </c>
      <c r="M3326" s="28">
        <v>3</v>
      </c>
      <c r="N3326" s="6">
        <v>169</v>
      </c>
      <c r="O3326" s="30">
        <f t="shared" si="310"/>
        <v>3</v>
      </c>
      <c r="P3326" s="30">
        <f t="shared" si="311"/>
        <v>507</v>
      </c>
      <c r="Q3326" s="1">
        <f>COUNTIFS($P:$P, "&gt;" &amp; $P3326) + 1</f>
        <v>4020</v>
      </c>
      <c r="R3326" s="63">
        <f>(COUNTIFS($P:$P, "&gt;" &amp; $P3326) + 1) / (COUNTA($I:$I) - 1)</f>
        <v>0.80400000000000005</v>
      </c>
      <c r="S3326" s="23">
        <f>SUMIFS($P:$P, $Q:$Q, "&lt;" &amp; $Q3326)</f>
        <v>186408626</v>
      </c>
    </row>
    <row r="3327" spans="1:19" x14ac:dyDescent="0.25">
      <c r="A3327" s="1">
        <v>3322</v>
      </c>
      <c r="B3327" s="1" t="s">
        <v>2</v>
      </c>
      <c r="C3327" s="1" t="str">
        <f>IF($B3327 = "Production Item", _xlfn.XLOOKUP($A3327, 'Instrument Table'!$J:$J, 'Instrument Table'!$B:$B, $C3326), IF($B3327 = "Service Item", _xlfn.XLOOKUP($A3327, 'Instrument Table'!$I:$I, 'Instrument Table'!$B:$B, $C3326), _xlfn.XLOOKUP($A3327, 'Instrument Table'!$H:$H, 'Instrument Table'!$B:$B, $C3326)))</f>
        <v>Theremin</v>
      </c>
      <c r="D3327" s="1" t="str">
        <f>VLOOKUP($C3327, 'Instrument Table'!$B:$C, 2, FALSE)</f>
        <v>Other</v>
      </c>
      <c r="E3327" s="1">
        <f t="shared" si="306"/>
        <v>1</v>
      </c>
      <c r="F3327" s="1">
        <f>_xlfn.XLOOKUP($C3327, 'Instrument Table'!$B:$B, 'Instrument Table'!$A:$A, "")</f>
        <v>60</v>
      </c>
      <c r="G3327" s="1" t="str">
        <f>TEXT(IF($B3327 = "Retail Item", IF((ROW($A3327) - 4504 - _xlfn.XMATCH($C3327, $C$4506:$C$5005, 0, 1)) &lt;= VLOOKUP($C3327, 'Instrument Table'!$B:$D, 3, FALSE), ROW($A3327) - 4504 - _xlfn.XMATCH($C3327, $C$4506:$C$5005, 0, 1), 0), 0), "00")</f>
        <v>00</v>
      </c>
      <c r="H3327" s="1" t="str">
        <f t="shared" si="307"/>
        <v>171</v>
      </c>
      <c r="I3327" s="1" t="str">
        <f t="shared" si="308"/>
        <v>16000-171</v>
      </c>
      <c r="J3327" s="1" t="str">
        <f t="shared" si="309"/>
        <v>Theremin production item #171</v>
      </c>
      <c r="K3327" s="1" t="str">
        <f>IF(SUM(COUNTIFS(I:I, I3327)) &gt; 1, "DUPLICATE", "UNIQUE")</f>
        <v>UNIQUE</v>
      </c>
      <c r="L3327" s="18">
        <v>0</v>
      </c>
      <c r="M3327" s="28">
        <v>84</v>
      </c>
      <c r="N3327" s="6">
        <v>4</v>
      </c>
      <c r="O3327" s="30">
        <f t="shared" si="310"/>
        <v>0</v>
      </c>
      <c r="P3327" s="30">
        <f t="shared" si="311"/>
        <v>336</v>
      </c>
      <c r="Q3327" s="1">
        <f>COUNTIFS($P:$P, "&gt;" &amp; $P3327) + 1</f>
        <v>4170</v>
      </c>
      <c r="R3327" s="63">
        <f>(COUNTIFS($P:$P, "&gt;" &amp; $P3327) + 1) / (COUNTA($I:$I) - 1)</f>
        <v>0.83399999999999996</v>
      </c>
      <c r="S3327" s="23">
        <f>SUMIFS($P:$P, $Q:$Q, "&lt;" &amp; $Q3327)</f>
        <v>186470639</v>
      </c>
    </row>
    <row r="3328" spans="1:19" x14ac:dyDescent="0.25">
      <c r="A3328" s="1">
        <v>3323</v>
      </c>
      <c r="B3328" s="1" t="s">
        <v>2</v>
      </c>
      <c r="C3328" s="1" t="str">
        <f>IF($B3328 = "Production Item", _xlfn.XLOOKUP($A3328, 'Instrument Table'!$J:$J, 'Instrument Table'!$B:$B, $C3327), IF($B3328 = "Service Item", _xlfn.XLOOKUP($A3328, 'Instrument Table'!$I:$I, 'Instrument Table'!$B:$B, $C3327), _xlfn.XLOOKUP($A3328, 'Instrument Table'!$H:$H, 'Instrument Table'!$B:$B, $C3327)))</f>
        <v>Theremin</v>
      </c>
      <c r="D3328" s="1" t="str">
        <f>VLOOKUP($C3328, 'Instrument Table'!$B:$C, 2, FALSE)</f>
        <v>Other</v>
      </c>
      <c r="E3328" s="1">
        <f t="shared" si="306"/>
        <v>1</v>
      </c>
      <c r="F3328" s="1">
        <f>_xlfn.XLOOKUP($C3328, 'Instrument Table'!$B:$B, 'Instrument Table'!$A:$A, "")</f>
        <v>60</v>
      </c>
      <c r="G3328" s="1" t="str">
        <f>TEXT(IF($B3328 = "Retail Item", IF((ROW($A3328) - 4504 - _xlfn.XMATCH($C3328, $C$4506:$C$5005, 0, 1)) &lt;= VLOOKUP($C3328, 'Instrument Table'!$B:$D, 3, FALSE), ROW($A3328) - 4504 - _xlfn.XMATCH($C3328, $C$4506:$C$5005, 0, 1), 0), 0), "00")</f>
        <v>00</v>
      </c>
      <c r="H3328" s="1" t="str">
        <f t="shared" si="307"/>
        <v>172</v>
      </c>
      <c r="I3328" s="1" t="str">
        <f t="shared" si="308"/>
        <v>16000-172</v>
      </c>
      <c r="J3328" s="1" t="str">
        <f t="shared" si="309"/>
        <v>Theremin production item #172</v>
      </c>
      <c r="K3328" s="1" t="str">
        <f>IF(SUM(COUNTIFS(I:I, I3328)) &gt; 1, "DUPLICATE", "UNIQUE")</f>
        <v>UNIQUE</v>
      </c>
      <c r="L3328" s="18">
        <v>1</v>
      </c>
      <c r="M3328" s="28">
        <v>100</v>
      </c>
      <c r="N3328" s="6">
        <v>400</v>
      </c>
      <c r="O3328" s="30">
        <f t="shared" si="310"/>
        <v>100</v>
      </c>
      <c r="P3328" s="30">
        <f t="shared" si="311"/>
        <v>40000</v>
      </c>
      <c r="Q3328" s="1">
        <f>COUNTIFS($P:$P, "&gt;" &amp; $P3328) + 1</f>
        <v>551</v>
      </c>
      <c r="R3328" s="63">
        <f>(COUNTIFS($P:$P, "&gt;" &amp; $P3328) + 1) / (COUNTA($I:$I) - 1)</f>
        <v>0.11020000000000001</v>
      </c>
      <c r="S3328" s="23">
        <f>SUMIFS($P:$P, $Q:$Q, "&lt;" &amp; $Q3328)</f>
        <v>154017534</v>
      </c>
    </row>
    <row r="3329" spans="1:19" x14ac:dyDescent="0.25">
      <c r="A3329" s="1">
        <v>3324</v>
      </c>
      <c r="B3329" s="1" t="s">
        <v>2</v>
      </c>
      <c r="C3329" s="1" t="str">
        <f>IF($B3329 = "Production Item", _xlfn.XLOOKUP($A3329, 'Instrument Table'!$J:$J, 'Instrument Table'!$B:$B, $C3328), IF($B3329 = "Service Item", _xlfn.XLOOKUP($A3329, 'Instrument Table'!$I:$I, 'Instrument Table'!$B:$B, $C3328), _xlfn.XLOOKUP($A3329, 'Instrument Table'!$H:$H, 'Instrument Table'!$B:$B, $C3328)))</f>
        <v>Theremin</v>
      </c>
      <c r="D3329" s="1" t="str">
        <f>VLOOKUP($C3329, 'Instrument Table'!$B:$C, 2, FALSE)</f>
        <v>Other</v>
      </c>
      <c r="E3329" s="1">
        <f t="shared" si="306"/>
        <v>1</v>
      </c>
      <c r="F3329" s="1">
        <f>_xlfn.XLOOKUP($C3329, 'Instrument Table'!$B:$B, 'Instrument Table'!$A:$A, "")</f>
        <v>60</v>
      </c>
      <c r="G3329" s="1" t="str">
        <f>TEXT(IF($B3329 = "Retail Item", IF((ROW($A3329) - 4504 - _xlfn.XMATCH($C3329, $C$4506:$C$5005, 0, 1)) &lt;= VLOOKUP($C3329, 'Instrument Table'!$B:$D, 3, FALSE), ROW($A3329) - 4504 - _xlfn.XMATCH($C3329, $C$4506:$C$5005, 0, 1), 0), 0), "00")</f>
        <v>00</v>
      </c>
      <c r="H3329" s="1" t="str">
        <f t="shared" si="307"/>
        <v>173</v>
      </c>
      <c r="I3329" s="1" t="str">
        <f t="shared" si="308"/>
        <v>16000-173</v>
      </c>
      <c r="J3329" s="1" t="str">
        <f t="shared" si="309"/>
        <v>Theremin production item #173</v>
      </c>
      <c r="K3329" s="1" t="str">
        <f>IF(SUM(COUNTIFS(I:I, I3329)) &gt; 1, "DUPLICATE", "UNIQUE")</f>
        <v>UNIQUE</v>
      </c>
      <c r="L3329" s="18">
        <v>1</v>
      </c>
      <c r="M3329" s="28">
        <v>74</v>
      </c>
      <c r="N3329" s="6">
        <v>121</v>
      </c>
      <c r="O3329" s="30">
        <f t="shared" si="310"/>
        <v>74</v>
      </c>
      <c r="P3329" s="30">
        <f t="shared" si="311"/>
        <v>8954</v>
      </c>
      <c r="Q3329" s="1">
        <f>COUNTIFS($P:$P, "&gt;" &amp; $P3329) + 1</f>
        <v>1879</v>
      </c>
      <c r="R3329" s="63">
        <f>(COUNTIFS($P:$P, "&gt;" &amp; $P3329) + 1) / (COUNTA($I:$I) - 1)</f>
        <v>0.37580000000000002</v>
      </c>
      <c r="S3329" s="23">
        <f>SUMIFS($P:$P, $Q:$Q, "&lt;" &amp; $Q3329)</f>
        <v>178976955</v>
      </c>
    </row>
    <row r="3330" spans="1:19" x14ac:dyDescent="0.25">
      <c r="A3330" s="1">
        <v>3325</v>
      </c>
      <c r="B3330" s="1" t="s">
        <v>2</v>
      </c>
      <c r="C3330" s="1" t="str">
        <f>IF($B3330 = "Production Item", _xlfn.XLOOKUP($A3330, 'Instrument Table'!$J:$J, 'Instrument Table'!$B:$B, $C3329), IF($B3330 = "Service Item", _xlfn.XLOOKUP($A3330, 'Instrument Table'!$I:$I, 'Instrument Table'!$B:$B, $C3329), _xlfn.XLOOKUP($A3330, 'Instrument Table'!$H:$H, 'Instrument Table'!$B:$B, $C3329)))</f>
        <v>Theremin</v>
      </c>
      <c r="D3330" s="1" t="str">
        <f>VLOOKUP($C3330, 'Instrument Table'!$B:$C, 2, FALSE)</f>
        <v>Other</v>
      </c>
      <c r="E3330" s="1">
        <f t="shared" si="306"/>
        <v>1</v>
      </c>
      <c r="F3330" s="1">
        <f>_xlfn.XLOOKUP($C3330, 'Instrument Table'!$B:$B, 'Instrument Table'!$A:$A, "")</f>
        <v>60</v>
      </c>
      <c r="G3330" s="1" t="str">
        <f>TEXT(IF($B3330 = "Retail Item", IF((ROW($A3330) - 4504 - _xlfn.XMATCH($C3330, $C$4506:$C$5005, 0, 1)) &lt;= VLOOKUP($C3330, 'Instrument Table'!$B:$D, 3, FALSE), ROW($A3330) - 4504 - _xlfn.XMATCH($C3330, $C$4506:$C$5005, 0, 1), 0), 0), "00")</f>
        <v>00</v>
      </c>
      <c r="H3330" s="1" t="str">
        <f t="shared" si="307"/>
        <v>174</v>
      </c>
      <c r="I3330" s="1" t="str">
        <f t="shared" si="308"/>
        <v>16000-174</v>
      </c>
      <c r="J3330" s="1" t="str">
        <f t="shared" si="309"/>
        <v>Theremin production item #174</v>
      </c>
      <c r="K3330" s="1" t="str">
        <f>IF(SUM(COUNTIFS(I:I, I3330)) &gt; 1, "DUPLICATE", "UNIQUE")</f>
        <v>UNIQUE</v>
      </c>
      <c r="L3330" s="18">
        <v>0</v>
      </c>
      <c r="M3330" s="28">
        <v>1</v>
      </c>
      <c r="N3330" s="6">
        <v>1</v>
      </c>
      <c r="O3330" s="30">
        <f t="shared" si="310"/>
        <v>0</v>
      </c>
      <c r="P3330" s="30">
        <f t="shared" si="311"/>
        <v>1</v>
      </c>
      <c r="Q3330" s="1">
        <f>COUNTIFS($P:$P, "&gt;" &amp; $P3330) + 1</f>
        <v>4743</v>
      </c>
      <c r="R3330" s="63">
        <f>(COUNTIFS($P:$P, "&gt;" &amp; $P3330) + 1) / (COUNTA($I:$I) - 1)</f>
        <v>0.9486</v>
      </c>
      <c r="S3330" s="23">
        <f>SUMIFS($P:$P, $Q:$Q, "&lt;" &amp; $Q3330)</f>
        <v>186547858</v>
      </c>
    </row>
    <row r="3331" spans="1:19" x14ac:dyDescent="0.25">
      <c r="A3331" s="1">
        <v>3326</v>
      </c>
      <c r="B3331" s="1" t="s">
        <v>2</v>
      </c>
      <c r="C3331" s="1" t="str">
        <f>IF($B3331 = "Production Item", _xlfn.XLOOKUP($A3331, 'Instrument Table'!$J:$J, 'Instrument Table'!$B:$B, $C3330), IF($B3331 = "Service Item", _xlfn.XLOOKUP($A3331, 'Instrument Table'!$I:$I, 'Instrument Table'!$B:$B, $C3330), _xlfn.XLOOKUP($A3331, 'Instrument Table'!$H:$H, 'Instrument Table'!$B:$B, $C3330)))</f>
        <v>Theremin</v>
      </c>
      <c r="D3331" s="1" t="str">
        <f>VLOOKUP($C3331, 'Instrument Table'!$B:$C, 2, FALSE)</f>
        <v>Other</v>
      </c>
      <c r="E3331" s="1">
        <f t="shared" si="306"/>
        <v>1</v>
      </c>
      <c r="F3331" s="1">
        <f>_xlfn.XLOOKUP($C3331, 'Instrument Table'!$B:$B, 'Instrument Table'!$A:$A, "")</f>
        <v>60</v>
      </c>
      <c r="G3331" s="1" t="str">
        <f>TEXT(IF($B3331 = "Retail Item", IF((ROW($A3331) - 4504 - _xlfn.XMATCH($C3331, $C$4506:$C$5005, 0, 1)) &lt;= VLOOKUP($C3331, 'Instrument Table'!$B:$D, 3, FALSE), ROW($A3331) - 4504 - _xlfn.XMATCH($C3331, $C$4506:$C$5005, 0, 1), 0), 0), "00")</f>
        <v>00</v>
      </c>
      <c r="H3331" s="1" t="str">
        <f t="shared" si="307"/>
        <v>175</v>
      </c>
      <c r="I3331" s="1" t="str">
        <f t="shared" si="308"/>
        <v>16000-175</v>
      </c>
      <c r="J3331" s="1" t="str">
        <f t="shared" si="309"/>
        <v>Theremin production item #175</v>
      </c>
      <c r="K3331" s="1" t="str">
        <f>IF(SUM(COUNTIFS(I:I, I3331)) &gt; 1, "DUPLICATE", "UNIQUE")</f>
        <v>UNIQUE</v>
      </c>
      <c r="L3331" s="18">
        <v>1</v>
      </c>
      <c r="M3331" s="28">
        <v>16</v>
      </c>
      <c r="N3331" s="6">
        <v>144</v>
      </c>
      <c r="O3331" s="30">
        <f t="shared" si="310"/>
        <v>16</v>
      </c>
      <c r="P3331" s="30">
        <f t="shared" si="311"/>
        <v>2304</v>
      </c>
      <c r="Q3331" s="1">
        <f>COUNTIFS($P:$P, "&gt;" &amp; $P3331) + 1</f>
        <v>3118</v>
      </c>
      <c r="R3331" s="63">
        <f>(COUNTIFS($P:$P, "&gt;" &amp; $P3331) + 1) / (COUNTA($I:$I) - 1)</f>
        <v>0.62360000000000004</v>
      </c>
      <c r="S3331" s="23">
        <f>SUMIFS($P:$P, $Q:$Q, "&lt;" &amp; $Q3331)</f>
        <v>185224654</v>
      </c>
    </row>
    <row r="3332" spans="1:19" x14ac:dyDescent="0.25">
      <c r="A3332" s="1">
        <v>3327</v>
      </c>
      <c r="B3332" s="1" t="s">
        <v>2</v>
      </c>
      <c r="C3332" s="1" t="str">
        <f>IF($B3332 = "Production Item", _xlfn.XLOOKUP($A3332, 'Instrument Table'!$J:$J, 'Instrument Table'!$B:$B, $C3331), IF($B3332 = "Service Item", _xlfn.XLOOKUP($A3332, 'Instrument Table'!$I:$I, 'Instrument Table'!$B:$B, $C3331), _xlfn.XLOOKUP($A3332, 'Instrument Table'!$H:$H, 'Instrument Table'!$B:$B, $C3331)))</f>
        <v>Theremin</v>
      </c>
      <c r="D3332" s="1" t="str">
        <f>VLOOKUP($C3332, 'Instrument Table'!$B:$C, 2, FALSE)</f>
        <v>Other</v>
      </c>
      <c r="E3332" s="1">
        <f t="shared" si="306"/>
        <v>1</v>
      </c>
      <c r="F3332" s="1">
        <f>_xlfn.XLOOKUP($C3332, 'Instrument Table'!$B:$B, 'Instrument Table'!$A:$A, "")</f>
        <v>60</v>
      </c>
      <c r="G3332" s="1" t="str">
        <f>TEXT(IF($B3332 = "Retail Item", IF((ROW($A3332) - 4504 - _xlfn.XMATCH($C3332, $C$4506:$C$5005, 0, 1)) &lt;= VLOOKUP($C3332, 'Instrument Table'!$B:$D, 3, FALSE), ROW($A3332) - 4504 - _xlfn.XMATCH($C3332, $C$4506:$C$5005, 0, 1), 0), 0), "00")</f>
        <v>00</v>
      </c>
      <c r="H3332" s="1" t="str">
        <f t="shared" si="307"/>
        <v>176</v>
      </c>
      <c r="I3332" s="1" t="str">
        <f t="shared" si="308"/>
        <v>16000-176</v>
      </c>
      <c r="J3332" s="1" t="str">
        <f t="shared" si="309"/>
        <v>Theremin production item #176</v>
      </c>
      <c r="K3332" s="1" t="str">
        <f>IF(SUM(COUNTIFS(I:I, I3332)) &gt; 1, "DUPLICATE", "UNIQUE")</f>
        <v>UNIQUE</v>
      </c>
      <c r="L3332" s="18">
        <v>0</v>
      </c>
      <c r="M3332" s="28">
        <v>75</v>
      </c>
      <c r="N3332" s="6">
        <v>81</v>
      </c>
      <c r="O3332" s="30">
        <f t="shared" si="310"/>
        <v>0</v>
      </c>
      <c r="P3332" s="30">
        <f t="shared" si="311"/>
        <v>6075</v>
      </c>
      <c r="Q3332" s="1">
        <f>COUNTIFS($P:$P, "&gt;" &amp; $P3332) + 1</f>
        <v>2248</v>
      </c>
      <c r="R3332" s="63">
        <f>(COUNTIFS($P:$P, "&gt;" &amp; $P3332) + 1) / (COUNTA($I:$I) - 1)</f>
        <v>0.4496</v>
      </c>
      <c r="S3332" s="23">
        <f>SUMIFS($P:$P, $Q:$Q, "&lt;" &amp; $Q3332)</f>
        <v>181754966</v>
      </c>
    </row>
    <row r="3333" spans="1:19" x14ac:dyDescent="0.25">
      <c r="A3333" s="1">
        <v>3328</v>
      </c>
      <c r="B3333" s="1" t="s">
        <v>2</v>
      </c>
      <c r="C3333" s="1" t="str">
        <f>IF($B3333 = "Production Item", _xlfn.XLOOKUP($A3333, 'Instrument Table'!$J:$J, 'Instrument Table'!$B:$B, $C3332), IF($B3333 = "Service Item", _xlfn.XLOOKUP($A3333, 'Instrument Table'!$I:$I, 'Instrument Table'!$B:$B, $C3332), _xlfn.XLOOKUP($A3333, 'Instrument Table'!$H:$H, 'Instrument Table'!$B:$B, $C3332)))</f>
        <v>Theremin</v>
      </c>
      <c r="D3333" s="1" t="str">
        <f>VLOOKUP($C3333, 'Instrument Table'!$B:$C, 2, FALSE)</f>
        <v>Other</v>
      </c>
      <c r="E3333" s="1">
        <f t="shared" si="306"/>
        <v>1</v>
      </c>
      <c r="F3333" s="1">
        <f>_xlfn.XLOOKUP($C3333, 'Instrument Table'!$B:$B, 'Instrument Table'!$A:$A, "")</f>
        <v>60</v>
      </c>
      <c r="G3333" s="1" t="str">
        <f>TEXT(IF($B3333 = "Retail Item", IF((ROW($A3333) - 4504 - _xlfn.XMATCH($C3333, $C$4506:$C$5005, 0, 1)) &lt;= VLOOKUP($C3333, 'Instrument Table'!$B:$D, 3, FALSE), ROW($A3333) - 4504 - _xlfn.XMATCH($C3333, $C$4506:$C$5005, 0, 1), 0), 0), "00")</f>
        <v>00</v>
      </c>
      <c r="H3333" s="1" t="str">
        <f t="shared" si="307"/>
        <v>177</v>
      </c>
      <c r="I3333" s="1" t="str">
        <f t="shared" si="308"/>
        <v>16000-177</v>
      </c>
      <c r="J3333" s="1" t="str">
        <f t="shared" si="309"/>
        <v>Theremin production item #177</v>
      </c>
      <c r="K3333" s="1" t="str">
        <f>IF(SUM(COUNTIFS(I:I, I3333)) &gt; 1, "DUPLICATE", "UNIQUE")</f>
        <v>UNIQUE</v>
      </c>
      <c r="L3333" s="18">
        <v>1</v>
      </c>
      <c r="M3333" s="28">
        <v>53</v>
      </c>
      <c r="N3333" s="6">
        <v>361</v>
      </c>
      <c r="O3333" s="30">
        <f t="shared" si="310"/>
        <v>53</v>
      </c>
      <c r="P3333" s="30">
        <f t="shared" si="311"/>
        <v>19133</v>
      </c>
      <c r="Q3333" s="1">
        <f>COUNTIFS($P:$P, "&gt;" &amp; $P3333) + 1</f>
        <v>1094</v>
      </c>
      <c r="R3333" s="63">
        <f>(COUNTIFS($P:$P, "&gt;" &amp; $P3333) + 1) / (COUNTA($I:$I) - 1)</f>
        <v>0.21879999999999999</v>
      </c>
      <c r="S3333" s="23">
        <f>SUMIFS($P:$P, $Q:$Q, "&lt;" &amp; $Q3333)</f>
        <v>168389141</v>
      </c>
    </row>
    <row r="3334" spans="1:19" x14ac:dyDescent="0.25">
      <c r="A3334" s="1">
        <v>3329</v>
      </c>
      <c r="B3334" s="1" t="s">
        <v>2</v>
      </c>
      <c r="C3334" s="1" t="str">
        <f>IF($B3334 = "Production Item", _xlfn.XLOOKUP($A3334, 'Instrument Table'!$J:$J, 'Instrument Table'!$B:$B, $C3333), IF($B3334 = "Service Item", _xlfn.XLOOKUP($A3334, 'Instrument Table'!$I:$I, 'Instrument Table'!$B:$B, $C3333), _xlfn.XLOOKUP($A3334, 'Instrument Table'!$H:$H, 'Instrument Table'!$B:$B, $C3333)))</f>
        <v>Theremin</v>
      </c>
      <c r="D3334" s="1" t="str">
        <f>VLOOKUP($C3334, 'Instrument Table'!$B:$C, 2, FALSE)</f>
        <v>Other</v>
      </c>
      <c r="E3334" s="1">
        <f t="shared" si="306"/>
        <v>1</v>
      </c>
      <c r="F3334" s="1">
        <f>_xlfn.XLOOKUP($C3334, 'Instrument Table'!$B:$B, 'Instrument Table'!$A:$A, "")</f>
        <v>60</v>
      </c>
      <c r="G3334" s="1" t="str">
        <f>TEXT(IF($B3334 = "Retail Item", IF((ROW($A3334) - 4504 - _xlfn.XMATCH($C3334, $C$4506:$C$5005, 0, 1)) &lt;= VLOOKUP($C3334, 'Instrument Table'!$B:$D, 3, FALSE), ROW($A3334) - 4504 - _xlfn.XMATCH($C3334, $C$4506:$C$5005, 0, 1), 0), 0), "00")</f>
        <v>00</v>
      </c>
      <c r="H3334" s="1" t="str">
        <f t="shared" si="307"/>
        <v>178</v>
      </c>
      <c r="I3334" s="1" t="str">
        <f t="shared" si="308"/>
        <v>16000-178</v>
      </c>
      <c r="J3334" s="1" t="str">
        <f t="shared" si="309"/>
        <v>Theremin production item #178</v>
      </c>
      <c r="K3334" s="1" t="str">
        <f>IF(SUM(COUNTIFS(I:I, I3334)) &gt; 1, "DUPLICATE", "UNIQUE")</f>
        <v>UNIQUE</v>
      </c>
      <c r="L3334" s="18">
        <v>4</v>
      </c>
      <c r="M3334" s="28">
        <v>52</v>
      </c>
      <c r="N3334" s="6">
        <v>49</v>
      </c>
      <c r="O3334" s="30">
        <f t="shared" si="310"/>
        <v>208</v>
      </c>
      <c r="P3334" s="30">
        <f t="shared" si="311"/>
        <v>2548</v>
      </c>
      <c r="Q3334" s="1">
        <f>COUNTIFS($P:$P, "&gt;" &amp; $P3334) + 1</f>
        <v>3033</v>
      </c>
      <c r="R3334" s="63">
        <f>(COUNTIFS($P:$P, "&gt;" &amp; $P3334) + 1) / (COUNTA($I:$I) - 1)</f>
        <v>0.60660000000000003</v>
      </c>
      <c r="S3334" s="23">
        <f>SUMIFS($P:$P, $Q:$Q, "&lt;" &amp; $Q3334)</f>
        <v>185017602</v>
      </c>
    </row>
    <row r="3335" spans="1:19" x14ac:dyDescent="0.25">
      <c r="A3335" s="1">
        <v>3330</v>
      </c>
      <c r="B3335" s="1" t="s">
        <v>2</v>
      </c>
      <c r="C3335" s="1" t="str">
        <f>IF($B3335 = "Production Item", _xlfn.XLOOKUP($A3335, 'Instrument Table'!$J:$J, 'Instrument Table'!$B:$B, $C3334), IF($B3335 = "Service Item", _xlfn.XLOOKUP($A3335, 'Instrument Table'!$I:$I, 'Instrument Table'!$B:$B, $C3334), _xlfn.XLOOKUP($A3335, 'Instrument Table'!$H:$H, 'Instrument Table'!$B:$B, $C3334)))</f>
        <v>Theremin</v>
      </c>
      <c r="D3335" s="1" t="str">
        <f>VLOOKUP($C3335, 'Instrument Table'!$B:$C, 2, FALSE)</f>
        <v>Other</v>
      </c>
      <c r="E3335" s="1">
        <f t="shared" ref="E3335:E3398" si="312">IF($B3335 = "Production Item", 1, IF($B3335 = "Service Item", 2, IF($B3335 = "Retail Item", 3, "")))</f>
        <v>1</v>
      </c>
      <c r="F3335" s="1">
        <f>_xlfn.XLOOKUP($C3335, 'Instrument Table'!$B:$B, 'Instrument Table'!$A:$A, "")</f>
        <v>60</v>
      </c>
      <c r="G3335" s="1" t="str">
        <f>TEXT(IF($B3335 = "Retail Item", IF((ROW($A3335) - 4504 - _xlfn.XMATCH($C3335, $C$4506:$C$5005, 0, 1)) &lt;= VLOOKUP($C3335, 'Instrument Table'!$B:$D, 3, FALSE), ROW($A3335) - 4504 - _xlfn.XMATCH($C3335, $C$4506:$C$5005, 0, 1), 0), 0), "00")</f>
        <v>00</v>
      </c>
      <c r="H3335" s="1" t="str">
        <f t="shared" ref="H3335:H3398" si="313">TEXT(IF($E3335 &amp; $F3335 &amp; $G3335 = $E3334 &amp; $F3334 &amp; $G3334, 1 + H3334, 0), "000")</f>
        <v>179</v>
      </c>
      <c r="I3335" s="1" t="str">
        <f t="shared" ref="I3335:I3398" si="314" xml:space="preserve"> _xlfn.CONCAT($E3335, $F3335, $G3335, "-", H3335)</f>
        <v>16000-179</v>
      </c>
      <c r="J3335" s="1" t="str">
        <f t="shared" ref="J3335:J3398" si="315">LEFT($C3335, 1) &amp; LOWER(RIGHT($C3335, LEN($C3335) - 1)) &amp; IF(AND($G3335 &lt;&gt; "00", $B3335 = "Retail Item"), " model #" &amp; $G3335, " " &amp; LOWER($B3335) &amp; " #" &amp; $H3335)</f>
        <v>Theremin production item #179</v>
      </c>
      <c r="K3335" s="1" t="str">
        <f>IF(SUM(COUNTIFS(I:I, I3335)) &gt; 1, "DUPLICATE", "UNIQUE")</f>
        <v>UNIQUE</v>
      </c>
      <c r="L3335" s="18">
        <v>2</v>
      </c>
      <c r="M3335" s="28">
        <v>2</v>
      </c>
      <c r="N3335" s="6">
        <v>225</v>
      </c>
      <c r="O3335" s="30">
        <f t="shared" ref="O3335:O3398" si="316">$L3335 * $M3335</f>
        <v>4</v>
      </c>
      <c r="P3335" s="30">
        <f t="shared" ref="P3335:P3398" si="317">$N3335 * $M3335</f>
        <v>450</v>
      </c>
      <c r="Q3335" s="1">
        <f>COUNTIFS($P:$P, "&gt;" &amp; $P3335) + 1</f>
        <v>4054</v>
      </c>
      <c r="R3335" s="63">
        <f>(COUNTIFS($P:$P, "&gt;" &amp; $P3335) + 1) / (COUNTA($I:$I) - 1)</f>
        <v>0.81079999999999997</v>
      </c>
      <c r="S3335" s="23">
        <f>SUMIFS($P:$P, $Q:$Q, "&lt;" &amp; $Q3335)</f>
        <v>186425250</v>
      </c>
    </row>
    <row r="3336" spans="1:19" x14ac:dyDescent="0.25">
      <c r="A3336" s="1">
        <v>3331</v>
      </c>
      <c r="B3336" s="1" t="s">
        <v>2</v>
      </c>
      <c r="C3336" s="1" t="str">
        <f>IF($B3336 = "Production Item", _xlfn.XLOOKUP($A3336, 'Instrument Table'!$J:$J, 'Instrument Table'!$B:$B, $C3335), IF($B3336 = "Service Item", _xlfn.XLOOKUP($A3336, 'Instrument Table'!$I:$I, 'Instrument Table'!$B:$B, $C3335), _xlfn.XLOOKUP($A3336, 'Instrument Table'!$H:$H, 'Instrument Table'!$B:$B, $C3335)))</f>
        <v>Theremin</v>
      </c>
      <c r="D3336" s="1" t="str">
        <f>VLOOKUP($C3336, 'Instrument Table'!$B:$C, 2, FALSE)</f>
        <v>Other</v>
      </c>
      <c r="E3336" s="1">
        <f t="shared" si="312"/>
        <v>1</v>
      </c>
      <c r="F3336" s="1">
        <f>_xlfn.XLOOKUP($C3336, 'Instrument Table'!$B:$B, 'Instrument Table'!$A:$A, "")</f>
        <v>60</v>
      </c>
      <c r="G3336" s="1" t="str">
        <f>TEXT(IF($B3336 = "Retail Item", IF((ROW($A3336) - 4504 - _xlfn.XMATCH($C3336, $C$4506:$C$5005, 0, 1)) &lt;= VLOOKUP($C3336, 'Instrument Table'!$B:$D, 3, FALSE), ROW($A3336) - 4504 - _xlfn.XMATCH($C3336, $C$4506:$C$5005, 0, 1), 0), 0), "00")</f>
        <v>00</v>
      </c>
      <c r="H3336" s="1" t="str">
        <f t="shared" si="313"/>
        <v>180</v>
      </c>
      <c r="I3336" s="1" t="str">
        <f t="shared" si="314"/>
        <v>16000-180</v>
      </c>
      <c r="J3336" s="1" t="str">
        <f t="shared" si="315"/>
        <v>Theremin production item #180</v>
      </c>
      <c r="K3336" s="1" t="str">
        <f>IF(SUM(COUNTIFS(I:I, I3336)) &gt; 1, "DUPLICATE", "UNIQUE")</f>
        <v>UNIQUE</v>
      </c>
      <c r="L3336" s="18">
        <v>1</v>
      </c>
      <c r="M3336" s="28">
        <v>26</v>
      </c>
      <c r="N3336" s="6">
        <v>196</v>
      </c>
      <c r="O3336" s="30">
        <f t="shared" si="316"/>
        <v>26</v>
      </c>
      <c r="P3336" s="30">
        <f t="shared" si="317"/>
        <v>5096</v>
      </c>
      <c r="Q3336" s="1">
        <f>COUNTIFS($P:$P, "&gt;" &amp; $P3336) + 1</f>
        <v>2430</v>
      </c>
      <c r="R3336" s="63">
        <f>(COUNTIFS($P:$P, "&gt;" &amp; $P3336) + 1) / (COUNTA($I:$I) - 1)</f>
        <v>0.48599999999999999</v>
      </c>
      <c r="S3336" s="23">
        <f>SUMIFS($P:$P, $Q:$Q, "&lt;" &amp; $Q3336)</f>
        <v>182771537</v>
      </c>
    </row>
    <row r="3337" spans="1:19" x14ac:dyDescent="0.25">
      <c r="A3337" s="1">
        <v>3332</v>
      </c>
      <c r="B3337" s="1" t="s">
        <v>2</v>
      </c>
      <c r="C3337" s="1" t="str">
        <f>IF($B3337 = "Production Item", _xlfn.XLOOKUP($A3337, 'Instrument Table'!$J:$J, 'Instrument Table'!$B:$B, $C3336), IF($B3337 = "Service Item", _xlfn.XLOOKUP($A3337, 'Instrument Table'!$I:$I, 'Instrument Table'!$B:$B, $C3336), _xlfn.XLOOKUP($A3337, 'Instrument Table'!$H:$H, 'Instrument Table'!$B:$B, $C3336)))</f>
        <v>Theremin</v>
      </c>
      <c r="D3337" s="1" t="str">
        <f>VLOOKUP($C3337, 'Instrument Table'!$B:$C, 2, FALSE)</f>
        <v>Other</v>
      </c>
      <c r="E3337" s="1">
        <f t="shared" si="312"/>
        <v>1</v>
      </c>
      <c r="F3337" s="1">
        <f>_xlfn.XLOOKUP($C3337, 'Instrument Table'!$B:$B, 'Instrument Table'!$A:$A, "")</f>
        <v>60</v>
      </c>
      <c r="G3337" s="1" t="str">
        <f>TEXT(IF($B3337 = "Retail Item", IF((ROW($A3337) - 4504 - _xlfn.XMATCH($C3337, $C$4506:$C$5005, 0, 1)) &lt;= VLOOKUP($C3337, 'Instrument Table'!$B:$D, 3, FALSE), ROW($A3337) - 4504 - _xlfn.XMATCH($C3337, $C$4506:$C$5005, 0, 1), 0), 0), "00")</f>
        <v>00</v>
      </c>
      <c r="H3337" s="1" t="str">
        <f t="shared" si="313"/>
        <v>181</v>
      </c>
      <c r="I3337" s="1" t="str">
        <f t="shared" si="314"/>
        <v>16000-181</v>
      </c>
      <c r="J3337" s="1" t="str">
        <f t="shared" si="315"/>
        <v>Theremin production item #181</v>
      </c>
      <c r="K3337" s="1" t="str">
        <f>IF(SUM(COUNTIFS(I:I, I3337)) &gt; 1, "DUPLICATE", "UNIQUE")</f>
        <v>UNIQUE</v>
      </c>
      <c r="L3337" s="18">
        <v>0</v>
      </c>
      <c r="M3337" s="28">
        <v>1</v>
      </c>
      <c r="N3337" s="6">
        <v>4</v>
      </c>
      <c r="O3337" s="30">
        <f t="shared" si="316"/>
        <v>0</v>
      </c>
      <c r="P3337" s="30">
        <f t="shared" si="317"/>
        <v>4</v>
      </c>
      <c r="Q3337" s="1">
        <f>COUNTIFS($P:$P, "&gt;" &amp; $P3337) + 1</f>
        <v>4739</v>
      </c>
      <c r="R3337" s="63">
        <f>(COUNTIFS($P:$P, "&gt;" &amp; $P3337) + 1) / (COUNTA($I:$I) - 1)</f>
        <v>0.94779999999999998</v>
      </c>
      <c r="S3337" s="23">
        <f>SUMIFS($P:$P, $Q:$Q, "&lt;" &amp; $Q3337)</f>
        <v>186547846</v>
      </c>
    </row>
    <row r="3338" spans="1:19" x14ac:dyDescent="0.25">
      <c r="A3338" s="1">
        <v>3333</v>
      </c>
      <c r="B3338" s="1" t="s">
        <v>2</v>
      </c>
      <c r="C3338" s="1" t="str">
        <f>IF($B3338 = "Production Item", _xlfn.XLOOKUP($A3338, 'Instrument Table'!$J:$J, 'Instrument Table'!$B:$B, $C3337), IF($B3338 = "Service Item", _xlfn.XLOOKUP($A3338, 'Instrument Table'!$I:$I, 'Instrument Table'!$B:$B, $C3337), _xlfn.XLOOKUP($A3338, 'Instrument Table'!$H:$H, 'Instrument Table'!$B:$B, $C3337)))</f>
        <v>Theremin</v>
      </c>
      <c r="D3338" s="1" t="str">
        <f>VLOOKUP($C3338, 'Instrument Table'!$B:$C, 2, FALSE)</f>
        <v>Other</v>
      </c>
      <c r="E3338" s="1">
        <f t="shared" si="312"/>
        <v>1</v>
      </c>
      <c r="F3338" s="1">
        <f>_xlfn.XLOOKUP($C3338, 'Instrument Table'!$B:$B, 'Instrument Table'!$A:$A, "")</f>
        <v>60</v>
      </c>
      <c r="G3338" s="1" t="str">
        <f>TEXT(IF($B3338 = "Retail Item", IF((ROW($A3338) - 4504 - _xlfn.XMATCH($C3338, $C$4506:$C$5005, 0, 1)) &lt;= VLOOKUP($C3338, 'Instrument Table'!$B:$D, 3, FALSE), ROW($A3338) - 4504 - _xlfn.XMATCH($C3338, $C$4506:$C$5005, 0, 1), 0), 0), "00")</f>
        <v>00</v>
      </c>
      <c r="H3338" s="1" t="str">
        <f t="shared" si="313"/>
        <v>182</v>
      </c>
      <c r="I3338" s="1" t="str">
        <f t="shared" si="314"/>
        <v>16000-182</v>
      </c>
      <c r="J3338" s="1" t="str">
        <f t="shared" si="315"/>
        <v>Theremin production item #182</v>
      </c>
      <c r="K3338" s="1" t="str">
        <f>IF(SUM(COUNTIFS(I:I, I3338)) &gt; 1, "DUPLICATE", "UNIQUE")</f>
        <v>UNIQUE</v>
      </c>
      <c r="L3338" s="18">
        <v>1</v>
      </c>
      <c r="M3338" s="28">
        <v>37</v>
      </c>
      <c r="N3338" s="6">
        <v>36</v>
      </c>
      <c r="O3338" s="30">
        <f t="shared" si="316"/>
        <v>37</v>
      </c>
      <c r="P3338" s="30">
        <f t="shared" si="317"/>
        <v>1332</v>
      </c>
      <c r="Q3338" s="1">
        <f>COUNTIFS($P:$P, "&gt;" &amp; $P3338) + 1</f>
        <v>3543</v>
      </c>
      <c r="R3338" s="63">
        <f>(COUNTIFS($P:$P, "&gt;" &amp; $P3338) + 1) / (COUNTA($I:$I) - 1)</f>
        <v>0.70860000000000001</v>
      </c>
      <c r="S3338" s="23">
        <f>SUMIFS($P:$P, $Q:$Q, "&lt;" &amp; $Q3338)</f>
        <v>185996757</v>
      </c>
    </row>
    <row r="3339" spans="1:19" x14ac:dyDescent="0.25">
      <c r="A3339" s="1">
        <v>3334</v>
      </c>
      <c r="B3339" s="1" t="s">
        <v>2</v>
      </c>
      <c r="C3339" s="1" t="str">
        <f>IF($B3339 = "Production Item", _xlfn.XLOOKUP($A3339, 'Instrument Table'!$J:$J, 'Instrument Table'!$B:$B, $C3338), IF($B3339 = "Service Item", _xlfn.XLOOKUP($A3339, 'Instrument Table'!$I:$I, 'Instrument Table'!$B:$B, $C3338), _xlfn.XLOOKUP($A3339, 'Instrument Table'!$H:$H, 'Instrument Table'!$B:$B, $C3338)))</f>
        <v>Theremin</v>
      </c>
      <c r="D3339" s="1" t="str">
        <f>VLOOKUP($C3339, 'Instrument Table'!$B:$C, 2, FALSE)</f>
        <v>Other</v>
      </c>
      <c r="E3339" s="1">
        <f t="shared" si="312"/>
        <v>1</v>
      </c>
      <c r="F3339" s="1">
        <f>_xlfn.XLOOKUP($C3339, 'Instrument Table'!$B:$B, 'Instrument Table'!$A:$A, "")</f>
        <v>60</v>
      </c>
      <c r="G3339" s="1" t="str">
        <f>TEXT(IF($B3339 = "Retail Item", IF((ROW($A3339) - 4504 - _xlfn.XMATCH($C3339, $C$4506:$C$5005, 0, 1)) &lt;= VLOOKUP($C3339, 'Instrument Table'!$B:$D, 3, FALSE), ROW($A3339) - 4504 - _xlfn.XMATCH($C3339, $C$4506:$C$5005, 0, 1), 0), 0), "00")</f>
        <v>00</v>
      </c>
      <c r="H3339" s="1" t="str">
        <f t="shared" si="313"/>
        <v>183</v>
      </c>
      <c r="I3339" s="1" t="str">
        <f t="shared" si="314"/>
        <v>16000-183</v>
      </c>
      <c r="J3339" s="1" t="str">
        <f t="shared" si="315"/>
        <v>Theremin production item #183</v>
      </c>
      <c r="K3339" s="1" t="str">
        <f>IF(SUM(COUNTIFS(I:I, I3339)) &gt; 1, "DUPLICATE", "UNIQUE")</f>
        <v>UNIQUE</v>
      </c>
      <c r="L3339" s="18">
        <v>0</v>
      </c>
      <c r="M3339" s="28">
        <v>20</v>
      </c>
      <c r="N3339" s="6">
        <v>16</v>
      </c>
      <c r="O3339" s="30">
        <f t="shared" si="316"/>
        <v>0</v>
      </c>
      <c r="P3339" s="30">
        <f t="shared" si="317"/>
        <v>320</v>
      </c>
      <c r="Q3339" s="1">
        <f>COUNTIFS($P:$P, "&gt;" &amp; $P3339) + 1</f>
        <v>4192</v>
      </c>
      <c r="R3339" s="63">
        <f>(COUNTIFS($P:$P, "&gt;" &amp; $P3339) + 1) / (COUNTA($I:$I) - 1)</f>
        <v>0.83840000000000003</v>
      </c>
      <c r="S3339" s="23">
        <f>SUMIFS($P:$P, $Q:$Q, "&lt;" &amp; $Q3339)</f>
        <v>186477838</v>
      </c>
    </row>
    <row r="3340" spans="1:19" x14ac:dyDescent="0.25">
      <c r="A3340" s="1">
        <v>3335</v>
      </c>
      <c r="B3340" s="1" t="s">
        <v>2</v>
      </c>
      <c r="C3340" s="1" t="str">
        <f>IF($B3340 = "Production Item", _xlfn.XLOOKUP($A3340, 'Instrument Table'!$J:$J, 'Instrument Table'!$B:$B, $C3339), IF($B3340 = "Service Item", _xlfn.XLOOKUP($A3340, 'Instrument Table'!$I:$I, 'Instrument Table'!$B:$B, $C3339), _xlfn.XLOOKUP($A3340, 'Instrument Table'!$H:$H, 'Instrument Table'!$B:$B, $C3339)))</f>
        <v>Theremin</v>
      </c>
      <c r="D3340" s="1" t="str">
        <f>VLOOKUP($C3340, 'Instrument Table'!$B:$C, 2, FALSE)</f>
        <v>Other</v>
      </c>
      <c r="E3340" s="1">
        <f t="shared" si="312"/>
        <v>1</v>
      </c>
      <c r="F3340" s="1">
        <f>_xlfn.XLOOKUP($C3340, 'Instrument Table'!$B:$B, 'Instrument Table'!$A:$A, "")</f>
        <v>60</v>
      </c>
      <c r="G3340" s="1" t="str">
        <f>TEXT(IF($B3340 = "Retail Item", IF((ROW($A3340) - 4504 - _xlfn.XMATCH($C3340, $C$4506:$C$5005, 0, 1)) &lt;= VLOOKUP($C3340, 'Instrument Table'!$B:$D, 3, FALSE), ROW($A3340) - 4504 - _xlfn.XMATCH($C3340, $C$4506:$C$5005, 0, 1), 0), 0), "00")</f>
        <v>00</v>
      </c>
      <c r="H3340" s="1" t="str">
        <f t="shared" si="313"/>
        <v>184</v>
      </c>
      <c r="I3340" s="1" t="str">
        <f t="shared" si="314"/>
        <v>16000-184</v>
      </c>
      <c r="J3340" s="1" t="str">
        <f t="shared" si="315"/>
        <v>Theremin production item #184</v>
      </c>
      <c r="K3340" s="1" t="str">
        <f>IF(SUM(COUNTIFS(I:I, I3340)) &gt; 1, "DUPLICATE", "UNIQUE")</f>
        <v>UNIQUE</v>
      </c>
      <c r="L3340" s="18">
        <v>0</v>
      </c>
      <c r="M3340" s="28">
        <v>69</v>
      </c>
      <c r="N3340" s="6">
        <v>49</v>
      </c>
      <c r="O3340" s="30">
        <f t="shared" si="316"/>
        <v>0</v>
      </c>
      <c r="P3340" s="30">
        <f t="shared" si="317"/>
        <v>3381</v>
      </c>
      <c r="Q3340" s="1">
        <f>COUNTIFS($P:$P, "&gt;" &amp; $P3340) + 1</f>
        <v>2810</v>
      </c>
      <c r="R3340" s="63">
        <f>(COUNTIFS($P:$P, "&gt;" &amp; $P3340) + 1) / (COUNTA($I:$I) - 1)</f>
        <v>0.56200000000000006</v>
      </c>
      <c r="S3340" s="23">
        <f>SUMIFS($P:$P, $Q:$Q, "&lt;" &amp; $Q3340)</f>
        <v>184359851</v>
      </c>
    </row>
    <row r="3341" spans="1:19" x14ac:dyDescent="0.25">
      <c r="A3341" s="1">
        <v>3336</v>
      </c>
      <c r="B3341" s="1" t="s">
        <v>2</v>
      </c>
      <c r="C3341" s="1" t="str">
        <f>IF($B3341 = "Production Item", _xlfn.XLOOKUP($A3341, 'Instrument Table'!$J:$J, 'Instrument Table'!$B:$B, $C3340), IF($B3341 = "Service Item", _xlfn.XLOOKUP($A3341, 'Instrument Table'!$I:$I, 'Instrument Table'!$B:$B, $C3340), _xlfn.XLOOKUP($A3341, 'Instrument Table'!$H:$H, 'Instrument Table'!$B:$B, $C3340)))</f>
        <v>Theremin</v>
      </c>
      <c r="D3341" s="1" t="str">
        <f>VLOOKUP($C3341, 'Instrument Table'!$B:$C, 2, FALSE)</f>
        <v>Other</v>
      </c>
      <c r="E3341" s="1">
        <f t="shared" si="312"/>
        <v>1</v>
      </c>
      <c r="F3341" s="1">
        <f>_xlfn.XLOOKUP($C3341, 'Instrument Table'!$B:$B, 'Instrument Table'!$A:$A, "")</f>
        <v>60</v>
      </c>
      <c r="G3341" s="1" t="str">
        <f>TEXT(IF($B3341 = "Retail Item", IF((ROW($A3341) - 4504 - _xlfn.XMATCH($C3341, $C$4506:$C$5005, 0, 1)) &lt;= VLOOKUP($C3341, 'Instrument Table'!$B:$D, 3, FALSE), ROW($A3341) - 4504 - _xlfn.XMATCH($C3341, $C$4506:$C$5005, 0, 1), 0), 0), "00")</f>
        <v>00</v>
      </c>
      <c r="H3341" s="1" t="str">
        <f t="shared" si="313"/>
        <v>185</v>
      </c>
      <c r="I3341" s="1" t="str">
        <f t="shared" si="314"/>
        <v>16000-185</v>
      </c>
      <c r="J3341" s="1" t="str">
        <f t="shared" si="315"/>
        <v>Theremin production item #185</v>
      </c>
      <c r="K3341" s="1" t="str">
        <f>IF(SUM(COUNTIFS(I:I, I3341)) &gt; 1, "DUPLICATE", "UNIQUE")</f>
        <v>UNIQUE</v>
      </c>
      <c r="L3341" s="18">
        <v>4</v>
      </c>
      <c r="M3341" s="28">
        <v>5</v>
      </c>
      <c r="N3341" s="6">
        <v>400</v>
      </c>
      <c r="O3341" s="30">
        <f t="shared" si="316"/>
        <v>20</v>
      </c>
      <c r="P3341" s="30">
        <f t="shared" si="317"/>
        <v>2000</v>
      </c>
      <c r="Q3341" s="1">
        <f>COUNTIFS($P:$P, "&gt;" &amp; $P3341) + 1</f>
        <v>3257</v>
      </c>
      <c r="R3341" s="63">
        <f>(COUNTIFS($P:$P, "&gt;" &amp; $P3341) + 1) / (COUNTA($I:$I) - 1)</f>
        <v>0.65139999999999998</v>
      </c>
      <c r="S3341" s="23">
        <f>SUMIFS($P:$P, $Q:$Q, "&lt;" &amp; $Q3341)</f>
        <v>185525191</v>
      </c>
    </row>
    <row r="3342" spans="1:19" x14ac:dyDescent="0.25">
      <c r="A3342" s="1">
        <v>3337</v>
      </c>
      <c r="B3342" s="1" t="s">
        <v>2</v>
      </c>
      <c r="C3342" s="1" t="str">
        <f>IF($B3342 = "Production Item", _xlfn.XLOOKUP($A3342, 'Instrument Table'!$J:$J, 'Instrument Table'!$B:$B, $C3341), IF($B3342 = "Service Item", _xlfn.XLOOKUP($A3342, 'Instrument Table'!$I:$I, 'Instrument Table'!$B:$B, $C3341), _xlfn.XLOOKUP($A3342, 'Instrument Table'!$H:$H, 'Instrument Table'!$B:$B, $C3341)))</f>
        <v>Theremin</v>
      </c>
      <c r="D3342" s="1" t="str">
        <f>VLOOKUP($C3342, 'Instrument Table'!$B:$C, 2, FALSE)</f>
        <v>Other</v>
      </c>
      <c r="E3342" s="1">
        <f t="shared" si="312"/>
        <v>1</v>
      </c>
      <c r="F3342" s="1">
        <f>_xlfn.XLOOKUP($C3342, 'Instrument Table'!$B:$B, 'Instrument Table'!$A:$A, "")</f>
        <v>60</v>
      </c>
      <c r="G3342" s="1" t="str">
        <f>TEXT(IF($B3342 = "Retail Item", IF((ROW($A3342) - 4504 - _xlfn.XMATCH($C3342, $C$4506:$C$5005, 0, 1)) &lt;= VLOOKUP($C3342, 'Instrument Table'!$B:$D, 3, FALSE), ROW($A3342) - 4504 - _xlfn.XMATCH($C3342, $C$4506:$C$5005, 0, 1), 0), 0), "00")</f>
        <v>00</v>
      </c>
      <c r="H3342" s="1" t="str">
        <f t="shared" si="313"/>
        <v>186</v>
      </c>
      <c r="I3342" s="1" t="str">
        <f t="shared" si="314"/>
        <v>16000-186</v>
      </c>
      <c r="J3342" s="1" t="str">
        <f t="shared" si="315"/>
        <v>Theremin production item #186</v>
      </c>
      <c r="K3342" s="1" t="str">
        <f>IF(SUM(COUNTIFS(I:I, I3342)) &gt; 1, "DUPLICATE", "UNIQUE")</f>
        <v>UNIQUE</v>
      </c>
      <c r="L3342" s="18">
        <v>1</v>
      </c>
      <c r="M3342" s="28">
        <v>6</v>
      </c>
      <c r="N3342" s="6">
        <v>0</v>
      </c>
      <c r="O3342" s="30">
        <f t="shared" si="316"/>
        <v>6</v>
      </c>
      <c r="P3342" s="30">
        <f t="shared" si="317"/>
        <v>0</v>
      </c>
      <c r="Q3342" s="1">
        <f>COUNTIFS($P:$P, "&gt;" &amp; $P3342) + 1</f>
        <v>4746</v>
      </c>
      <c r="R3342" s="63">
        <f>(COUNTIFS($P:$P, "&gt;" &amp; $P3342) + 1) / (COUNTA($I:$I) - 1)</f>
        <v>0.94920000000000004</v>
      </c>
      <c r="S3342" s="23">
        <f>SUMIFS($P:$P, $Q:$Q, "&lt;" &amp; $Q3342)</f>
        <v>186547861</v>
      </c>
    </row>
    <row r="3343" spans="1:19" x14ac:dyDescent="0.25">
      <c r="A3343" s="1">
        <v>3338</v>
      </c>
      <c r="B3343" s="1" t="s">
        <v>2</v>
      </c>
      <c r="C3343" s="1" t="str">
        <f>IF($B3343 = "Production Item", _xlfn.XLOOKUP($A3343, 'Instrument Table'!$J:$J, 'Instrument Table'!$B:$B, $C3342), IF($B3343 = "Service Item", _xlfn.XLOOKUP($A3343, 'Instrument Table'!$I:$I, 'Instrument Table'!$B:$B, $C3342), _xlfn.XLOOKUP($A3343, 'Instrument Table'!$H:$H, 'Instrument Table'!$B:$B, $C3342)))</f>
        <v>Theremin</v>
      </c>
      <c r="D3343" s="1" t="str">
        <f>VLOOKUP($C3343, 'Instrument Table'!$B:$C, 2, FALSE)</f>
        <v>Other</v>
      </c>
      <c r="E3343" s="1">
        <f t="shared" si="312"/>
        <v>1</v>
      </c>
      <c r="F3343" s="1">
        <f>_xlfn.XLOOKUP($C3343, 'Instrument Table'!$B:$B, 'Instrument Table'!$A:$A, "")</f>
        <v>60</v>
      </c>
      <c r="G3343" s="1" t="str">
        <f>TEXT(IF($B3343 = "Retail Item", IF((ROW($A3343) - 4504 - _xlfn.XMATCH($C3343, $C$4506:$C$5005, 0, 1)) &lt;= VLOOKUP($C3343, 'Instrument Table'!$B:$D, 3, FALSE), ROW($A3343) - 4504 - _xlfn.XMATCH($C3343, $C$4506:$C$5005, 0, 1), 0), 0), "00")</f>
        <v>00</v>
      </c>
      <c r="H3343" s="1" t="str">
        <f t="shared" si="313"/>
        <v>187</v>
      </c>
      <c r="I3343" s="1" t="str">
        <f t="shared" si="314"/>
        <v>16000-187</v>
      </c>
      <c r="J3343" s="1" t="str">
        <f t="shared" si="315"/>
        <v>Theremin production item #187</v>
      </c>
      <c r="K3343" s="1" t="str">
        <f>IF(SUM(COUNTIFS(I:I, I3343)) &gt; 1, "DUPLICATE", "UNIQUE")</f>
        <v>UNIQUE</v>
      </c>
      <c r="L3343" s="18">
        <v>0</v>
      </c>
      <c r="M3343" s="28">
        <v>34</v>
      </c>
      <c r="N3343" s="6">
        <v>144</v>
      </c>
      <c r="O3343" s="30">
        <f t="shared" si="316"/>
        <v>0</v>
      </c>
      <c r="P3343" s="30">
        <f t="shared" si="317"/>
        <v>4896</v>
      </c>
      <c r="Q3343" s="1">
        <f>COUNTIFS($P:$P, "&gt;" &amp; $P3343) + 1</f>
        <v>2470</v>
      </c>
      <c r="R3343" s="63">
        <f>(COUNTIFS($P:$P, "&gt;" &amp; $P3343) + 1) / (COUNTA($I:$I) - 1)</f>
        <v>0.49399999999999999</v>
      </c>
      <c r="S3343" s="23">
        <f>SUMIFS($P:$P, $Q:$Q, "&lt;" &amp; $Q3343)</f>
        <v>182971022</v>
      </c>
    </row>
    <row r="3344" spans="1:19" x14ac:dyDescent="0.25">
      <c r="A3344" s="1">
        <v>3339</v>
      </c>
      <c r="B3344" s="1" t="s">
        <v>2</v>
      </c>
      <c r="C3344" s="1" t="str">
        <f>IF($B3344 = "Production Item", _xlfn.XLOOKUP($A3344, 'Instrument Table'!$J:$J, 'Instrument Table'!$B:$B, $C3343), IF($B3344 = "Service Item", _xlfn.XLOOKUP($A3344, 'Instrument Table'!$I:$I, 'Instrument Table'!$B:$B, $C3343), _xlfn.XLOOKUP($A3344, 'Instrument Table'!$H:$H, 'Instrument Table'!$B:$B, $C3343)))</f>
        <v>Theremin</v>
      </c>
      <c r="D3344" s="1" t="str">
        <f>VLOOKUP($C3344, 'Instrument Table'!$B:$C, 2, FALSE)</f>
        <v>Other</v>
      </c>
      <c r="E3344" s="1">
        <f t="shared" si="312"/>
        <v>1</v>
      </c>
      <c r="F3344" s="1">
        <f>_xlfn.XLOOKUP($C3344, 'Instrument Table'!$B:$B, 'Instrument Table'!$A:$A, "")</f>
        <v>60</v>
      </c>
      <c r="G3344" s="1" t="str">
        <f>TEXT(IF($B3344 = "Retail Item", IF((ROW($A3344) - 4504 - _xlfn.XMATCH($C3344, $C$4506:$C$5005, 0, 1)) &lt;= VLOOKUP($C3344, 'Instrument Table'!$B:$D, 3, FALSE), ROW($A3344) - 4504 - _xlfn.XMATCH($C3344, $C$4506:$C$5005, 0, 1), 0), 0), "00")</f>
        <v>00</v>
      </c>
      <c r="H3344" s="1" t="str">
        <f t="shared" si="313"/>
        <v>188</v>
      </c>
      <c r="I3344" s="1" t="str">
        <f t="shared" si="314"/>
        <v>16000-188</v>
      </c>
      <c r="J3344" s="1" t="str">
        <f t="shared" si="315"/>
        <v>Theremin production item #188</v>
      </c>
      <c r="K3344" s="1" t="str">
        <f>IF(SUM(COUNTIFS(I:I, I3344)) &gt; 1, "DUPLICATE", "UNIQUE")</f>
        <v>UNIQUE</v>
      </c>
      <c r="L3344" s="18">
        <v>0</v>
      </c>
      <c r="M3344" s="28">
        <v>63</v>
      </c>
      <c r="N3344" s="6">
        <v>225</v>
      </c>
      <c r="O3344" s="30">
        <f t="shared" si="316"/>
        <v>0</v>
      </c>
      <c r="P3344" s="30">
        <f t="shared" si="317"/>
        <v>14175</v>
      </c>
      <c r="Q3344" s="1">
        <f>COUNTIFS($P:$P, "&gt;" &amp; $P3344) + 1</f>
        <v>1406</v>
      </c>
      <c r="R3344" s="63">
        <f>(COUNTIFS($P:$P, "&gt;" &amp; $P3344) + 1) / (COUNTA($I:$I) - 1)</f>
        <v>0.28120000000000001</v>
      </c>
      <c r="S3344" s="23">
        <f>SUMIFS($P:$P, $Q:$Q, "&lt;" &amp; $Q3344)</f>
        <v>173561305</v>
      </c>
    </row>
    <row r="3345" spans="1:19" x14ac:dyDescent="0.25">
      <c r="A3345" s="1">
        <v>3340</v>
      </c>
      <c r="B3345" s="1" t="s">
        <v>2</v>
      </c>
      <c r="C3345" s="1" t="str">
        <f>IF($B3345 = "Production Item", _xlfn.XLOOKUP($A3345, 'Instrument Table'!$J:$J, 'Instrument Table'!$B:$B, $C3344), IF($B3345 = "Service Item", _xlfn.XLOOKUP($A3345, 'Instrument Table'!$I:$I, 'Instrument Table'!$B:$B, $C3344), _xlfn.XLOOKUP($A3345, 'Instrument Table'!$H:$H, 'Instrument Table'!$B:$B, $C3344)))</f>
        <v>Theremin</v>
      </c>
      <c r="D3345" s="1" t="str">
        <f>VLOOKUP($C3345, 'Instrument Table'!$B:$C, 2, FALSE)</f>
        <v>Other</v>
      </c>
      <c r="E3345" s="1">
        <f t="shared" si="312"/>
        <v>1</v>
      </c>
      <c r="F3345" s="1">
        <f>_xlfn.XLOOKUP($C3345, 'Instrument Table'!$B:$B, 'Instrument Table'!$A:$A, "")</f>
        <v>60</v>
      </c>
      <c r="G3345" s="1" t="str">
        <f>TEXT(IF($B3345 = "Retail Item", IF((ROW($A3345) - 4504 - _xlfn.XMATCH($C3345, $C$4506:$C$5005, 0, 1)) &lt;= VLOOKUP($C3345, 'Instrument Table'!$B:$D, 3, FALSE), ROW($A3345) - 4504 - _xlfn.XMATCH($C3345, $C$4506:$C$5005, 0, 1), 0), 0), "00")</f>
        <v>00</v>
      </c>
      <c r="H3345" s="1" t="str">
        <f t="shared" si="313"/>
        <v>189</v>
      </c>
      <c r="I3345" s="1" t="str">
        <f t="shared" si="314"/>
        <v>16000-189</v>
      </c>
      <c r="J3345" s="1" t="str">
        <f t="shared" si="315"/>
        <v>Theremin production item #189</v>
      </c>
      <c r="K3345" s="1" t="str">
        <f>IF(SUM(COUNTIFS(I:I, I3345)) &gt; 1, "DUPLICATE", "UNIQUE")</f>
        <v>UNIQUE</v>
      </c>
      <c r="L3345" s="18">
        <v>8</v>
      </c>
      <c r="M3345" s="28">
        <v>58</v>
      </c>
      <c r="N3345" s="6">
        <v>25</v>
      </c>
      <c r="O3345" s="30">
        <f t="shared" si="316"/>
        <v>464</v>
      </c>
      <c r="P3345" s="30">
        <f t="shared" si="317"/>
        <v>1450</v>
      </c>
      <c r="Q3345" s="1">
        <f>COUNTIFS($P:$P, "&gt;" &amp; $P3345) + 1</f>
        <v>3487</v>
      </c>
      <c r="R3345" s="63">
        <f>(COUNTIFS($P:$P, "&gt;" &amp; $P3345) + 1) / (COUNTA($I:$I) - 1)</f>
        <v>0.69740000000000002</v>
      </c>
      <c r="S3345" s="23">
        <f>SUMIFS($P:$P, $Q:$Q, "&lt;" &amp; $Q3345)</f>
        <v>185918722</v>
      </c>
    </row>
    <row r="3346" spans="1:19" x14ac:dyDescent="0.25">
      <c r="A3346" s="1">
        <v>3341</v>
      </c>
      <c r="B3346" s="1" t="s">
        <v>2</v>
      </c>
      <c r="C3346" s="1" t="str">
        <f>IF($B3346 = "Production Item", _xlfn.XLOOKUP($A3346, 'Instrument Table'!$J:$J, 'Instrument Table'!$B:$B, $C3345), IF($B3346 = "Service Item", _xlfn.XLOOKUP($A3346, 'Instrument Table'!$I:$I, 'Instrument Table'!$B:$B, $C3345), _xlfn.XLOOKUP($A3346, 'Instrument Table'!$H:$H, 'Instrument Table'!$B:$B, $C3345)))</f>
        <v>Theremin</v>
      </c>
      <c r="D3346" s="1" t="str">
        <f>VLOOKUP($C3346, 'Instrument Table'!$B:$C, 2, FALSE)</f>
        <v>Other</v>
      </c>
      <c r="E3346" s="1">
        <f t="shared" si="312"/>
        <v>1</v>
      </c>
      <c r="F3346" s="1">
        <f>_xlfn.XLOOKUP($C3346, 'Instrument Table'!$B:$B, 'Instrument Table'!$A:$A, "")</f>
        <v>60</v>
      </c>
      <c r="G3346" s="1" t="str">
        <f>TEXT(IF($B3346 = "Retail Item", IF((ROW($A3346) - 4504 - _xlfn.XMATCH($C3346, $C$4506:$C$5005, 0, 1)) &lt;= VLOOKUP($C3346, 'Instrument Table'!$B:$D, 3, FALSE), ROW($A3346) - 4504 - _xlfn.XMATCH($C3346, $C$4506:$C$5005, 0, 1), 0), 0), "00")</f>
        <v>00</v>
      </c>
      <c r="H3346" s="1" t="str">
        <f t="shared" si="313"/>
        <v>190</v>
      </c>
      <c r="I3346" s="1" t="str">
        <f t="shared" si="314"/>
        <v>16000-190</v>
      </c>
      <c r="J3346" s="1" t="str">
        <f t="shared" si="315"/>
        <v>Theremin production item #190</v>
      </c>
      <c r="K3346" s="1" t="str">
        <f>IF(SUM(COUNTIFS(I:I, I3346)) &gt; 1, "DUPLICATE", "UNIQUE")</f>
        <v>UNIQUE</v>
      </c>
      <c r="L3346" s="18">
        <v>0</v>
      </c>
      <c r="M3346" s="28">
        <v>12</v>
      </c>
      <c r="N3346" s="6">
        <v>16</v>
      </c>
      <c r="O3346" s="30">
        <f t="shared" si="316"/>
        <v>0</v>
      </c>
      <c r="P3346" s="30">
        <f t="shared" si="317"/>
        <v>192</v>
      </c>
      <c r="Q3346" s="1">
        <f>COUNTIFS($P:$P, "&gt;" &amp; $P3346) + 1</f>
        <v>4340</v>
      </c>
      <c r="R3346" s="63">
        <f>(COUNTIFS($P:$P, "&gt;" &amp; $P3346) + 1) / (COUNTA($I:$I) - 1)</f>
        <v>0.86799999999999999</v>
      </c>
      <c r="S3346" s="23">
        <f>SUMIFS($P:$P, $Q:$Q, "&lt;" &amp; $Q3346)</f>
        <v>186515669</v>
      </c>
    </row>
    <row r="3347" spans="1:19" x14ac:dyDescent="0.25">
      <c r="A3347" s="1">
        <v>3342</v>
      </c>
      <c r="B3347" s="1" t="s">
        <v>2</v>
      </c>
      <c r="C3347" s="1" t="str">
        <f>IF($B3347 = "Production Item", _xlfn.XLOOKUP($A3347, 'Instrument Table'!$J:$J, 'Instrument Table'!$B:$B, $C3346), IF($B3347 = "Service Item", _xlfn.XLOOKUP($A3347, 'Instrument Table'!$I:$I, 'Instrument Table'!$B:$B, $C3346), _xlfn.XLOOKUP($A3347, 'Instrument Table'!$H:$H, 'Instrument Table'!$B:$B, $C3346)))</f>
        <v>Theremin</v>
      </c>
      <c r="D3347" s="1" t="str">
        <f>VLOOKUP($C3347, 'Instrument Table'!$B:$C, 2, FALSE)</f>
        <v>Other</v>
      </c>
      <c r="E3347" s="1">
        <f t="shared" si="312"/>
        <v>1</v>
      </c>
      <c r="F3347" s="1">
        <f>_xlfn.XLOOKUP($C3347, 'Instrument Table'!$B:$B, 'Instrument Table'!$A:$A, "")</f>
        <v>60</v>
      </c>
      <c r="G3347" s="1" t="str">
        <f>TEXT(IF($B3347 = "Retail Item", IF((ROW($A3347) - 4504 - _xlfn.XMATCH($C3347, $C$4506:$C$5005, 0, 1)) &lt;= VLOOKUP($C3347, 'Instrument Table'!$B:$D, 3, FALSE), ROW($A3347) - 4504 - _xlfn.XMATCH($C3347, $C$4506:$C$5005, 0, 1), 0), 0), "00")</f>
        <v>00</v>
      </c>
      <c r="H3347" s="1" t="str">
        <f t="shared" si="313"/>
        <v>191</v>
      </c>
      <c r="I3347" s="1" t="str">
        <f t="shared" si="314"/>
        <v>16000-191</v>
      </c>
      <c r="J3347" s="1" t="str">
        <f t="shared" si="315"/>
        <v>Theremin production item #191</v>
      </c>
      <c r="K3347" s="1" t="str">
        <f>IF(SUM(COUNTIFS(I:I, I3347)) &gt; 1, "DUPLICATE", "UNIQUE")</f>
        <v>UNIQUE</v>
      </c>
      <c r="L3347" s="18">
        <v>1</v>
      </c>
      <c r="M3347" s="28">
        <v>60</v>
      </c>
      <c r="N3347" s="6">
        <v>361</v>
      </c>
      <c r="O3347" s="30">
        <f t="shared" si="316"/>
        <v>60</v>
      </c>
      <c r="P3347" s="30">
        <f t="shared" si="317"/>
        <v>21660</v>
      </c>
      <c r="Q3347" s="1">
        <f>COUNTIFS($P:$P, "&gt;" &amp; $P3347) + 1</f>
        <v>973</v>
      </c>
      <c r="R3347" s="63">
        <f>(COUNTIFS($P:$P, "&gt;" &amp; $P3347) + 1) / (COUNTA($I:$I) - 1)</f>
        <v>0.1946</v>
      </c>
      <c r="S3347" s="23">
        <f>SUMIFS($P:$P, $Q:$Q, "&lt;" &amp; $Q3347)</f>
        <v>165912875</v>
      </c>
    </row>
    <row r="3348" spans="1:19" x14ac:dyDescent="0.25">
      <c r="A3348" s="1">
        <v>3343</v>
      </c>
      <c r="B3348" s="1" t="s">
        <v>2</v>
      </c>
      <c r="C3348" s="1" t="str">
        <f>IF($B3348 = "Production Item", _xlfn.XLOOKUP($A3348, 'Instrument Table'!$J:$J, 'Instrument Table'!$B:$B, $C3347), IF($B3348 = "Service Item", _xlfn.XLOOKUP($A3348, 'Instrument Table'!$I:$I, 'Instrument Table'!$B:$B, $C3347), _xlfn.XLOOKUP($A3348, 'Instrument Table'!$H:$H, 'Instrument Table'!$B:$B, $C3347)))</f>
        <v>Theremin</v>
      </c>
      <c r="D3348" s="1" t="str">
        <f>VLOOKUP($C3348, 'Instrument Table'!$B:$C, 2, FALSE)</f>
        <v>Other</v>
      </c>
      <c r="E3348" s="1">
        <f t="shared" si="312"/>
        <v>1</v>
      </c>
      <c r="F3348" s="1">
        <f>_xlfn.XLOOKUP($C3348, 'Instrument Table'!$B:$B, 'Instrument Table'!$A:$A, "")</f>
        <v>60</v>
      </c>
      <c r="G3348" s="1" t="str">
        <f>TEXT(IF($B3348 = "Retail Item", IF((ROW($A3348) - 4504 - _xlfn.XMATCH($C3348, $C$4506:$C$5005, 0, 1)) &lt;= VLOOKUP($C3348, 'Instrument Table'!$B:$D, 3, FALSE), ROW($A3348) - 4504 - _xlfn.XMATCH($C3348, $C$4506:$C$5005, 0, 1), 0), 0), "00")</f>
        <v>00</v>
      </c>
      <c r="H3348" s="1" t="str">
        <f t="shared" si="313"/>
        <v>192</v>
      </c>
      <c r="I3348" s="1" t="str">
        <f t="shared" si="314"/>
        <v>16000-192</v>
      </c>
      <c r="J3348" s="1" t="str">
        <f t="shared" si="315"/>
        <v>Theremin production item #192</v>
      </c>
      <c r="K3348" s="1" t="str">
        <f>IF(SUM(COUNTIFS(I:I, I3348)) &gt; 1, "DUPLICATE", "UNIQUE")</f>
        <v>UNIQUE</v>
      </c>
      <c r="L3348" s="18">
        <v>0</v>
      </c>
      <c r="M3348" s="28">
        <v>68</v>
      </c>
      <c r="N3348" s="6">
        <v>81</v>
      </c>
      <c r="O3348" s="30">
        <f t="shared" si="316"/>
        <v>0</v>
      </c>
      <c r="P3348" s="30">
        <f t="shared" si="317"/>
        <v>5508</v>
      </c>
      <c r="Q3348" s="1">
        <f>COUNTIFS($P:$P, "&gt;" &amp; $P3348) + 1</f>
        <v>2346</v>
      </c>
      <c r="R3348" s="63">
        <f>(COUNTIFS($P:$P, "&gt;" &amp; $P3348) + 1) / (COUNTA($I:$I) - 1)</f>
        <v>0.46920000000000001</v>
      </c>
      <c r="S3348" s="23">
        <f>SUMIFS($P:$P, $Q:$Q, "&lt;" &amp; $Q3348)</f>
        <v>182325513</v>
      </c>
    </row>
    <row r="3349" spans="1:19" x14ac:dyDescent="0.25">
      <c r="A3349" s="1">
        <v>3344</v>
      </c>
      <c r="B3349" s="1" t="s">
        <v>2</v>
      </c>
      <c r="C3349" s="1" t="str">
        <f>IF($B3349 = "Production Item", _xlfn.XLOOKUP($A3349, 'Instrument Table'!$J:$J, 'Instrument Table'!$B:$B, $C3348), IF($B3349 = "Service Item", _xlfn.XLOOKUP($A3349, 'Instrument Table'!$I:$I, 'Instrument Table'!$B:$B, $C3348), _xlfn.XLOOKUP($A3349, 'Instrument Table'!$H:$H, 'Instrument Table'!$B:$B, $C3348)))</f>
        <v>Theremin</v>
      </c>
      <c r="D3349" s="1" t="str">
        <f>VLOOKUP($C3349, 'Instrument Table'!$B:$C, 2, FALSE)</f>
        <v>Other</v>
      </c>
      <c r="E3349" s="1">
        <f t="shared" si="312"/>
        <v>1</v>
      </c>
      <c r="F3349" s="1">
        <f>_xlfn.XLOOKUP($C3349, 'Instrument Table'!$B:$B, 'Instrument Table'!$A:$A, "")</f>
        <v>60</v>
      </c>
      <c r="G3349" s="1" t="str">
        <f>TEXT(IF($B3349 = "Retail Item", IF((ROW($A3349) - 4504 - _xlfn.XMATCH($C3349, $C$4506:$C$5005, 0, 1)) &lt;= VLOOKUP($C3349, 'Instrument Table'!$B:$D, 3, FALSE), ROW($A3349) - 4504 - _xlfn.XMATCH($C3349, $C$4506:$C$5005, 0, 1), 0), 0), "00")</f>
        <v>00</v>
      </c>
      <c r="H3349" s="1" t="str">
        <f t="shared" si="313"/>
        <v>193</v>
      </c>
      <c r="I3349" s="1" t="str">
        <f t="shared" si="314"/>
        <v>16000-193</v>
      </c>
      <c r="J3349" s="1" t="str">
        <f t="shared" si="315"/>
        <v>Theremin production item #193</v>
      </c>
      <c r="K3349" s="1" t="str">
        <f>IF(SUM(COUNTIFS(I:I, I3349)) &gt; 1, "DUPLICATE", "UNIQUE")</f>
        <v>UNIQUE</v>
      </c>
      <c r="L3349" s="18">
        <v>1</v>
      </c>
      <c r="M3349" s="28">
        <v>11</v>
      </c>
      <c r="N3349" s="6">
        <v>144</v>
      </c>
      <c r="O3349" s="30">
        <f t="shared" si="316"/>
        <v>11</v>
      </c>
      <c r="P3349" s="30">
        <f t="shared" si="317"/>
        <v>1584</v>
      </c>
      <c r="Q3349" s="1">
        <f>COUNTIFS($P:$P, "&gt;" &amp; $P3349) + 1</f>
        <v>3415</v>
      </c>
      <c r="R3349" s="63">
        <f>(COUNTIFS($P:$P, "&gt;" &amp; $P3349) + 1) / (COUNTA($I:$I) - 1)</f>
        <v>0.68300000000000005</v>
      </c>
      <c r="S3349" s="23">
        <f>SUMIFS($P:$P, $Q:$Q, "&lt;" &amp; $Q3349)</f>
        <v>185809023</v>
      </c>
    </row>
    <row r="3350" spans="1:19" x14ac:dyDescent="0.25">
      <c r="A3350" s="1">
        <v>3345</v>
      </c>
      <c r="B3350" s="1" t="s">
        <v>2</v>
      </c>
      <c r="C3350" s="1" t="str">
        <f>IF($B3350 = "Production Item", _xlfn.XLOOKUP($A3350, 'Instrument Table'!$J:$J, 'Instrument Table'!$B:$B, $C3349), IF($B3350 = "Service Item", _xlfn.XLOOKUP($A3350, 'Instrument Table'!$I:$I, 'Instrument Table'!$B:$B, $C3349), _xlfn.XLOOKUP($A3350, 'Instrument Table'!$H:$H, 'Instrument Table'!$B:$B, $C3349)))</f>
        <v>Theremin</v>
      </c>
      <c r="D3350" s="1" t="str">
        <f>VLOOKUP($C3350, 'Instrument Table'!$B:$C, 2, FALSE)</f>
        <v>Other</v>
      </c>
      <c r="E3350" s="1">
        <f t="shared" si="312"/>
        <v>1</v>
      </c>
      <c r="F3350" s="1">
        <f>_xlfn.XLOOKUP($C3350, 'Instrument Table'!$B:$B, 'Instrument Table'!$A:$A, "")</f>
        <v>60</v>
      </c>
      <c r="G3350" s="1" t="str">
        <f>TEXT(IF($B3350 = "Retail Item", IF((ROW($A3350) - 4504 - _xlfn.XMATCH($C3350, $C$4506:$C$5005, 0, 1)) &lt;= VLOOKUP($C3350, 'Instrument Table'!$B:$D, 3, FALSE), ROW($A3350) - 4504 - _xlfn.XMATCH($C3350, $C$4506:$C$5005, 0, 1), 0), 0), "00")</f>
        <v>00</v>
      </c>
      <c r="H3350" s="1" t="str">
        <f t="shared" si="313"/>
        <v>194</v>
      </c>
      <c r="I3350" s="1" t="str">
        <f t="shared" si="314"/>
        <v>16000-194</v>
      </c>
      <c r="J3350" s="1" t="str">
        <f t="shared" si="315"/>
        <v>Theremin production item #194</v>
      </c>
      <c r="K3350" s="1" t="str">
        <f>IF(SUM(COUNTIFS(I:I, I3350)) &gt; 1, "DUPLICATE", "UNIQUE")</f>
        <v>UNIQUE</v>
      </c>
      <c r="L3350" s="18">
        <v>0</v>
      </c>
      <c r="M3350" s="28">
        <v>23</v>
      </c>
      <c r="N3350" s="6">
        <v>81</v>
      </c>
      <c r="O3350" s="30">
        <f t="shared" si="316"/>
        <v>0</v>
      </c>
      <c r="P3350" s="30">
        <f t="shared" si="317"/>
        <v>1863</v>
      </c>
      <c r="Q3350" s="1">
        <f>COUNTIFS($P:$P, "&gt;" &amp; $P3350) + 1</f>
        <v>3310</v>
      </c>
      <c r="R3350" s="63">
        <f>(COUNTIFS($P:$P, "&gt;" &amp; $P3350) + 1) / (COUNTA($I:$I) - 1)</f>
        <v>0.66200000000000003</v>
      </c>
      <c r="S3350" s="23">
        <f>SUMIFS($P:$P, $Q:$Q, "&lt;" &amp; $Q3350)</f>
        <v>185627871</v>
      </c>
    </row>
    <row r="3351" spans="1:19" x14ac:dyDescent="0.25">
      <c r="A3351" s="1">
        <v>3346</v>
      </c>
      <c r="B3351" s="1" t="s">
        <v>2</v>
      </c>
      <c r="C3351" s="1" t="str">
        <f>IF($B3351 = "Production Item", _xlfn.XLOOKUP($A3351, 'Instrument Table'!$J:$J, 'Instrument Table'!$B:$B, $C3350), IF($B3351 = "Service Item", _xlfn.XLOOKUP($A3351, 'Instrument Table'!$I:$I, 'Instrument Table'!$B:$B, $C3350), _xlfn.XLOOKUP($A3351, 'Instrument Table'!$H:$H, 'Instrument Table'!$B:$B, $C3350)))</f>
        <v>Theremin</v>
      </c>
      <c r="D3351" s="1" t="str">
        <f>VLOOKUP($C3351, 'Instrument Table'!$B:$C, 2, FALSE)</f>
        <v>Other</v>
      </c>
      <c r="E3351" s="1">
        <f t="shared" si="312"/>
        <v>1</v>
      </c>
      <c r="F3351" s="1">
        <f>_xlfn.XLOOKUP($C3351, 'Instrument Table'!$B:$B, 'Instrument Table'!$A:$A, "")</f>
        <v>60</v>
      </c>
      <c r="G3351" s="1" t="str">
        <f>TEXT(IF($B3351 = "Retail Item", IF((ROW($A3351) - 4504 - _xlfn.XMATCH($C3351, $C$4506:$C$5005, 0, 1)) &lt;= VLOOKUP($C3351, 'Instrument Table'!$B:$D, 3, FALSE), ROW($A3351) - 4504 - _xlfn.XMATCH($C3351, $C$4506:$C$5005, 0, 1), 0), 0), "00")</f>
        <v>00</v>
      </c>
      <c r="H3351" s="1" t="str">
        <f t="shared" si="313"/>
        <v>195</v>
      </c>
      <c r="I3351" s="1" t="str">
        <f t="shared" si="314"/>
        <v>16000-195</v>
      </c>
      <c r="J3351" s="1" t="str">
        <f t="shared" si="315"/>
        <v>Theremin production item #195</v>
      </c>
      <c r="K3351" s="1" t="str">
        <f>IF(SUM(COUNTIFS(I:I, I3351)) &gt; 1, "DUPLICATE", "UNIQUE")</f>
        <v>UNIQUE</v>
      </c>
      <c r="L3351" s="18">
        <v>1</v>
      </c>
      <c r="M3351" s="28">
        <v>95</v>
      </c>
      <c r="N3351" s="6">
        <v>81</v>
      </c>
      <c r="O3351" s="30">
        <f t="shared" si="316"/>
        <v>95</v>
      </c>
      <c r="P3351" s="30">
        <f t="shared" si="317"/>
        <v>7695</v>
      </c>
      <c r="Q3351" s="1">
        <f>COUNTIFS($P:$P, "&gt;" &amp; $P3351) + 1</f>
        <v>2037</v>
      </c>
      <c r="R3351" s="63">
        <f>(COUNTIFS($P:$P, "&gt;" &amp; $P3351) + 1) / (COUNTA($I:$I) - 1)</f>
        <v>0.40739999999999998</v>
      </c>
      <c r="S3351" s="23">
        <f>SUMIFS($P:$P, $Q:$Q, "&lt;" &amp; $Q3351)</f>
        <v>180285279</v>
      </c>
    </row>
    <row r="3352" spans="1:19" x14ac:dyDescent="0.25">
      <c r="A3352" s="1">
        <v>3347</v>
      </c>
      <c r="B3352" s="1" t="s">
        <v>2</v>
      </c>
      <c r="C3352" s="1" t="str">
        <f>IF($B3352 = "Production Item", _xlfn.XLOOKUP($A3352, 'Instrument Table'!$J:$J, 'Instrument Table'!$B:$B, $C3351), IF($B3352 = "Service Item", _xlfn.XLOOKUP($A3352, 'Instrument Table'!$I:$I, 'Instrument Table'!$B:$B, $C3351), _xlfn.XLOOKUP($A3352, 'Instrument Table'!$H:$H, 'Instrument Table'!$B:$B, $C3351)))</f>
        <v>Theremin</v>
      </c>
      <c r="D3352" s="1" t="str">
        <f>VLOOKUP($C3352, 'Instrument Table'!$B:$C, 2, FALSE)</f>
        <v>Other</v>
      </c>
      <c r="E3352" s="1">
        <f t="shared" si="312"/>
        <v>1</v>
      </c>
      <c r="F3352" s="1">
        <f>_xlfn.XLOOKUP($C3352, 'Instrument Table'!$B:$B, 'Instrument Table'!$A:$A, "")</f>
        <v>60</v>
      </c>
      <c r="G3352" s="1" t="str">
        <f>TEXT(IF($B3352 = "Retail Item", IF((ROW($A3352) - 4504 - _xlfn.XMATCH($C3352, $C$4506:$C$5005, 0, 1)) &lt;= VLOOKUP($C3352, 'Instrument Table'!$B:$D, 3, FALSE), ROW($A3352) - 4504 - _xlfn.XMATCH($C3352, $C$4506:$C$5005, 0, 1), 0), 0), "00")</f>
        <v>00</v>
      </c>
      <c r="H3352" s="1" t="str">
        <f t="shared" si="313"/>
        <v>196</v>
      </c>
      <c r="I3352" s="1" t="str">
        <f t="shared" si="314"/>
        <v>16000-196</v>
      </c>
      <c r="J3352" s="1" t="str">
        <f t="shared" si="315"/>
        <v>Theremin production item #196</v>
      </c>
      <c r="K3352" s="1" t="str">
        <f>IF(SUM(COUNTIFS(I:I, I3352)) &gt; 1, "DUPLICATE", "UNIQUE")</f>
        <v>UNIQUE</v>
      </c>
      <c r="L3352" s="18">
        <v>0</v>
      </c>
      <c r="M3352" s="28">
        <v>64</v>
      </c>
      <c r="N3352" s="6">
        <v>9</v>
      </c>
      <c r="O3352" s="30">
        <f t="shared" si="316"/>
        <v>0</v>
      </c>
      <c r="P3352" s="30">
        <f t="shared" si="317"/>
        <v>576</v>
      </c>
      <c r="Q3352" s="1">
        <f>COUNTIFS($P:$P, "&gt;" &amp; $P3352) + 1</f>
        <v>3957</v>
      </c>
      <c r="R3352" s="63">
        <f>(COUNTIFS($P:$P, "&gt;" &amp; $P3352) + 1) / (COUNTA($I:$I) - 1)</f>
        <v>0.79139999999999999</v>
      </c>
      <c r="S3352" s="23">
        <f>SUMIFS($P:$P, $Q:$Q, "&lt;" &amp; $Q3352)</f>
        <v>186374368</v>
      </c>
    </row>
    <row r="3353" spans="1:19" x14ac:dyDescent="0.25">
      <c r="A3353" s="1">
        <v>3348</v>
      </c>
      <c r="B3353" s="1" t="s">
        <v>2</v>
      </c>
      <c r="C3353" s="1" t="str">
        <f>IF($B3353 = "Production Item", _xlfn.XLOOKUP($A3353, 'Instrument Table'!$J:$J, 'Instrument Table'!$B:$B, $C3352), IF($B3353 = "Service Item", _xlfn.XLOOKUP($A3353, 'Instrument Table'!$I:$I, 'Instrument Table'!$B:$B, $C3352), _xlfn.XLOOKUP($A3353, 'Instrument Table'!$H:$H, 'Instrument Table'!$B:$B, $C3352)))</f>
        <v>Theremin</v>
      </c>
      <c r="D3353" s="1" t="str">
        <f>VLOOKUP($C3353, 'Instrument Table'!$B:$C, 2, FALSE)</f>
        <v>Other</v>
      </c>
      <c r="E3353" s="1">
        <f t="shared" si="312"/>
        <v>1</v>
      </c>
      <c r="F3353" s="1">
        <f>_xlfn.XLOOKUP($C3353, 'Instrument Table'!$B:$B, 'Instrument Table'!$A:$A, "")</f>
        <v>60</v>
      </c>
      <c r="G3353" s="1" t="str">
        <f>TEXT(IF($B3353 = "Retail Item", IF((ROW($A3353) - 4504 - _xlfn.XMATCH($C3353, $C$4506:$C$5005, 0, 1)) &lt;= VLOOKUP($C3353, 'Instrument Table'!$B:$D, 3, FALSE), ROW($A3353) - 4504 - _xlfn.XMATCH($C3353, $C$4506:$C$5005, 0, 1), 0), 0), "00")</f>
        <v>00</v>
      </c>
      <c r="H3353" s="1" t="str">
        <f t="shared" si="313"/>
        <v>197</v>
      </c>
      <c r="I3353" s="1" t="str">
        <f t="shared" si="314"/>
        <v>16000-197</v>
      </c>
      <c r="J3353" s="1" t="str">
        <f t="shared" si="315"/>
        <v>Theremin production item #197</v>
      </c>
      <c r="K3353" s="1" t="str">
        <f>IF(SUM(COUNTIFS(I:I, I3353)) &gt; 1, "DUPLICATE", "UNIQUE")</f>
        <v>UNIQUE</v>
      </c>
      <c r="L3353" s="18">
        <v>0</v>
      </c>
      <c r="M3353" s="28">
        <v>90</v>
      </c>
      <c r="N3353" s="6">
        <v>9</v>
      </c>
      <c r="O3353" s="30">
        <f t="shared" si="316"/>
        <v>0</v>
      </c>
      <c r="P3353" s="30">
        <f t="shared" si="317"/>
        <v>810</v>
      </c>
      <c r="Q3353" s="1">
        <f>COUNTIFS($P:$P, "&gt;" &amp; $P3353) + 1</f>
        <v>3785</v>
      </c>
      <c r="R3353" s="63">
        <f>(COUNTIFS($P:$P, "&gt;" &amp; $P3353) + 1) / (COUNTA($I:$I) - 1)</f>
        <v>0.75700000000000001</v>
      </c>
      <c r="S3353" s="23">
        <f>SUMIFS($P:$P, $Q:$Q, "&lt;" &amp; $Q3353)</f>
        <v>186253650</v>
      </c>
    </row>
    <row r="3354" spans="1:19" x14ac:dyDescent="0.25">
      <c r="A3354" s="1">
        <v>3349</v>
      </c>
      <c r="B3354" s="1" t="s">
        <v>2</v>
      </c>
      <c r="C3354" s="1" t="str">
        <f>IF($B3354 = "Production Item", _xlfn.XLOOKUP($A3354, 'Instrument Table'!$J:$J, 'Instrument Table'!$B:$B, $C3353), IF($B3354 = "Service Item", _xlfn.XLOOKUP($A3354, 'Instrument Table'!$I:$I, 'Instrument Table'!$B:$B, $C3353), _xlfn.XLOOKUP($A3354, 'Instrument Table'!$H:$H, 'Instrument Table'!$B:$B, $C3353)))</f>
        <v>Theremin</v>
      </c>
      <c r="D3354" s="1" t="str">
        <f>VLOOKUP($C3354, 'Instrument Table'!$B:$C, 2, FALSE)</f>
        <v>Other</v>
      </c>
      <c r="E3354" s="1">
        <f t="shared" si="312"/>
        <v>1</v>
      </c>
      <c r="F3354" s="1">
        <f>_xlfn.XLOOKUP($C3354, 'Instrument Table'!$B:$B, 'Instrument Table'!$A:$A, "")</f>
        <v>60</v>
      </c>
      <c r="G3354" s="1" t="str">
        <f>TEXT(IF($B3354 = "Retail Item", IF((ROW($A3354) - 4504 - _xlfn.XMATCH($C3354, $C$4506:$C$5005, 0, 1)) &lt;= VLOOKUP($C3354, 'Instrument Table'!$B:$D, 3, FALSE), ROW($A3354) - 4504 - _xlfn.XMATCH($C3354, $C$4506:$C$5005, 0, 1), 0), 0), "00")</f>
        <v>00</v>
      </c>
      <c r="H3354" s="1" t="str">
        <f t="shared" si="313"/>
        <v>198</v>
      </c>
      <c r="I3354" s="1" t="str">
        <f t="shared" si="314"/>
        <v>16000-198</v>
      </c>
      <c r="J3354" s="1" t="str">
        <f t="shared" si="315"/>
        <v>Theremin production item #198</v>
      </c>
      <c r="K3354" s="1" t="str">
        <f>IF(SUM(COUNTIFS(I:I, I3354)) &gt; 1, "DUPLICATE", "UNIQUE")</f>
        <v>UNIQUE</v>
      </c>
      <c r="L3354" s="18">
        <v>1</v>
      </c>
      <c r="M3354" s="28">
        <v>18</v>
      </c>
      <c r="N3354" s="6">
        <v>144</v>
      </c>
      <c r="O3354" s="30">
        <f t="shared" si="316"/>
        <v>18</v>
      </c>
      <c r="P3354" s="30">
        <f t="shared" si="317"/>
        <v>2592</v>
      </c>
      <c r="Q3354" s="1">
        <f>COUNTIFS($P:$P, "&gt;" &amp; $P3354) + 1</f>
        <v>3012</v>
      </c>
      <c r="R3354" s="63">
        <f>(COUNTIFS($P:$P, "&gt;" &amp; $P3354) + 1) / (COUNTA($I:$I) - 1)</f>
        <v>0.60240000000000005</v>
      </c>
      <c r="S3354" s="23">
        <f>SUMIFS($P:$P, $Q:$Q, "&lt;" &amp; $Q3354)</f>
        <v>184963466</v>
      </c>
    </row>
    <row r="3355" spans="1:19" x14ac:dyDescent="0.25">
      <c r="A3355" s="1">
        <v>3350</v>
      </c>
      <c r="B3355" s="1" t="s">
        <v>2</v>
      </c>
      <c r="C3355" s="1" t="str">
        <f>IF($B3355 = "Production Item", _xlfn.XLOOKUP($A3355, 'Instrument Table'!$J:$J, 'Instrument Table'!$B:$B, $C3354), IF($B3355 = "Service Item", _xlfn.XLOOKUP($A3355, 'Instrument Table'!$I:$I, 'Instrument Table'!$B:$B, $C3354), _xlfn.XLOOKUP($A3355, 'Instrument Table'!$H:$H, 'Instrument Table'!$B:$B, $C3354)))</f>
        <v>Theremin</v>
      </c>
      <c r="D3355" s="1" t="str">
        <f>VLOOKUP($C3355, 'Instrument Table'!$B:$C, 2, FALSE)</f>
        <v>Other</v>
      </c>
      <c r="E3355" s="1">
        <f t="shared" si="312"/>
        <v>1</v>
      </c>
      <c r="F3355" s="1">
        <f>_xlfn.XLOOKUP($C3355, 'Instrument Table'!$B:$B, 'Instrument Table'!$A:$A, "")</f>
        <v>60</v>
      </c>
      <c r="G3355" s="1" t="str">
        <f>TEXT(IF($B3355 = "Retail Item", IF((ROW($A3355) - 4504 - _xlfn.XMATCH($C3355, $C$4506:$C$5005, 0, 1)) &lt;= VLOOKUP($C3355, 'Instrument Table'!$B:$D, 3, FALSE), ROW($A3355) - 4504 - _xlfn.XMATCH($C3355, $C$4506:$C$5005, 0, 1), 0), 0), "00")</f>
        <v>00</v>
      </c>
      <c r="H3355" s="1" t="str">
        <f t="shared" si="313"/>
        <v>199</v>
      </c>
      <c r="I3355" s="1" t="str">
        <f t="shared" si="314"/>
        <v>16000-199</v>
      </c>
      <c r="J3355" s="1" t="str">
        <f t="shared" si="315"/>
        <v>Theremin production item #199</v>
      </c>
      <c r="K3355" s="1" t="str">
        <f>IF(SUM(COUNTIFS(I:I, I3355)) &gt; 1, "DUPLICATE", "UNIQUE")</f>
        <v>UNIQUE</v>
      </c>
      <c r="L3355" s="18">
        <v>1</v>
      </c>
      <c r="M3355" s="28">
        <v>28</v>
      </c>
      <c r="N3355" s="6">
        <v>81</v>
      </c>
      <c r="O3355" s="30">
        <f t="shared" si="316"/>
        <v>28</v>
      </c>
      <c r="P3355" s="30">
        <f t="shared" si="317"/>
        <v>2268</v>
      </c>
      <c r="Q3355" s="1">
        <f>COUNTIFS($P:$P, "&gt;" &amp; $P3355) + 1</f>
        <v>3145</v>
      </c>
      <c r="R3355" s="63">
        <f>(COUNTIFS($P:$P, "&gt;" &amp; $P3355) + 1) / (COUNTA($I:$I) - 1)</f>
        <v>0.629</v>
      </c>
      <c r="S3355" s="23">
        <f>SUMIFS($P:$P, $Q:$Q, "&lt;" &amp; $Q3355)</f>
        <v>185286773</v>
      </c>
    </row>
    <row r="3356" spans="1:19" x14ac:dyDescent="0.25">
      <c r="A3356" s="1">
        <v>3351</v>
      </c>
      <c r="B3356" s="1" t="s">
        <v>2</v>
      </c>
      <c r="C3356" s="1" t="str">
        <f>IF($B3356 = "Production Item", _xlfn.XLOOKUP($A3356, 'Instrument Table'!$J:$J, 'Instrument Table'!$B:$B, $C3355), IF($B3356 = "Service Item", _xlfn.XLOOKUP($A3356, 'Instrument Table'!$I:$I, 'Instrument Table'!$B:$B, $C3355), _xlfn.XLOOKUP($A3356, 'Instrument Table'!$H:$H, 'Instrument Table'!$B:$B, $C3355)))</f>
        <v>Theremin</v>
      </c>
      <c r="D3356" s="1" t="str">
        <f>VLOOKUP($C3356, 'Instrument Table'!$B:$C, 2, FALSE)</f>
        <v>Other</v>
      </c>
      <c r="E3356" s="1">
        <f t="shared" si="312"/>
        <v>1</v>
      </c>
      <c r="F3356" s="1">
        <f>_xlfn.XLOOKUP($C3356, 'Instrument Table'!$B:$B, 'Instrument Table'!$A:$A, "")</f>
        <v>60</v>
      </c>
      <c r="G3356" s="1" t="str">
        <f>TEXT(IF($B3356 = "Retail Item", IF((ROW($A3356) - 4504 - _xlfn.XMATCH($C3356, $C$4506:$C$5005, 0, 1)) &lt;= VLOOKUP($C3356, 'Instrument Table'!$B:$D, 3, FALSE), ROW($A3356) - 4504 - _xlfn.XMATCH($C3356, $C$4506:$C$5005, 0, 1), 0), 0), "00")</f>
        <v>00</v>
      </c>
      <c r="H3356" s="1" t="str">
        <f t="shared" si="313"/>
        <v>200</v>
      </c>
      <c r="I3356" s="1" t="str">
        <f t="shared" si="314"/>
        <v>16000-200</v>
      </c>
      <c r="J3356" s="1" t="str">
        <f t="shared" si="315"/>
        <v>Theremin production item #200</v>
      </c>
      <c r="K3356" s="1" t="str">
        <f>IF(SUM(COUNTIFS(I:I, I3356)) &gt; 1, "DUPLICATE", "UNIQUE")</f>
        <v>UNIQUE</v>
      </c>
      <c r="L3356" s="18">
        <v>1</v>
      </c>
      <c r="M3356" s="28">
        <v>93</v>
      </c>
      <c r="N3356" s="6">
        <v>324</v>
      </c>
      <c r="O3356" s="30">
        <f t="shared" si="316"/>
        <v>93</v>
      </c>
      <c r="P3356" s="30">
        <f t="shared" si="317"/>
        <v>30132</v>
      </c>
      <c r="Q3356" s="1">
        <f>COUNTIFS($P:$P, "&gt;" &amp; $P3356) + 1</f>
        <v>687</v>
      </c>
      <c r="R3356" s="63">
        <f>(COUNTIFS($P:$P, "&gt;" &amp; $P3356) + 1) / (COUNTA($I:$I) - 1)</f>
        <v>0.13739999999999999</v>
      </c>
      <c r="S3356" s="23">
        <f>SUMIFS($P:$P, $Q:$Q, "&lt;" &amp; $Q3356)</f>
        <v>158698373</v>
      </c>
    </row>
    <row r="3357" spans="1:19" x14ac:dyDescent="0.25">
      <c r="A3357" s="1">
        <v>3352</v>
      </c>
      <c r="B3357" s="1" t="s">
        <v>2</v>
      </c>
      <c r="C3357" s="1" t="str">
        <f>IF($B3357 = "Production Item", _xlfn.XLOOKUP($A3357, 'Instrument Table'!$J:$J, 'Instrument Table'!$B:$B, $C3356), IF($B3357 = "Service Item", _xlfn.XLOOKUP($A3357, 'Instrument Table'!$I:$I, 'Instrument Table'!$B:$B, $C3356), _xlfn.XLOOKUP($A3357, 'Instrument Table'!$H:$H, 'Instrument Table'!$B:$B, $C3356)))</f>
        <v>Theremin</v>
      </c>
      <c r="D3357" s="1" t="str">
        <f>VLOOKUP($C3357, 'Instrument Table'!$B:$C, 2, FALSE)</f>
        <v>Other</v>
      </c>
      <c r="E3357" s="1">
        <f t="shared" si="312"/>
        <v>1</v>
      </c>
      <c r="F3357" s="1">
        <f>_xlfn.XLOOKUP($C3357, 'Instrument Table'!$B:$B, 'Instrument Table'!$A:$A, "")</f>
        <v>60</v>
      </c>
      <c r="G3357" s="1" t="str">
        <f>TEXT(IF($B3357 = "Retail Item", IF((ROW($A3357) - 4504 - _xlfn.XMATCH($C3357, $C$4506:$C$5005, 0, 1)) &lt;= VLOOKUP($C3357, 'Instrument Table'!$B:$D, 3, FALSE), ROW($A3357) - 4504 - _xlfn.XMATCH($C3357, $C$4506:$C$5005, 0, 1), 0), 0), "00")</f>
        <v>00</v>
      </c>
      <c r="H3357" s="1" t="str">
        <f t="shared" si="313"/>
        <v>201</v>
      </c>
      <c r="I3357" s="1" t="str">
        <f t="shared" si="314"/>
        <v>16000-201</v>
      </c>
      <c r="J3357" s="1" t="str">
        <f t="shared" si="315"/>
        <v>Theremin production item #201</v>
      </c>
      <c r="K3357" s="1" t="str">
        <f>IF(SUM(COUNTIFS(I:I, I3357)) &gt; 1, "DUPLICATE", "UNIQUE")</f>
        <v>UNIQUE</v>
      </c>
      <c r="L3357" s="18">
        <v>1</v>
      </c>
      <c r="M3357" s="28">
        <v>71</v>
      </c>
      <c r="N3357" s="6">
        <v>9</v>
      </c>
      <c r="O3357" s="30">
        <f t="shared" si="316"/>
        <v>71</v>
      </c>
      <c r="P3357" s="30">
        <f t="shared" si="317"/>
        <v>639</v>
      </c>
      <c r="Q3357" s="1">
        <f>COUNTIFS($P:$P, "&gt;" &amp; $P3357) + 1</f>
        <v>3921</v>
      </c>
      <c r="R3357" s="63">
        <f>(COUNTIFS($P:$P, "&gt;" &amp; $P3357) + 1) / (COUNTA($I:$I) - 1)</f>
        <v>0.78420000000000001</v>
      </c>
      <c r="S3357" s="23">
        <f>SUMIFS($P:$P, $Q:$Q, "&lt;" &amp; $Q3357)</f>
        <v>186352563</v>
      </c>
    </row>
    <row r="3358" spans="1:19" x14ac:dyDescent="0.25">
      <c r="A3358" s="1">
        <v>3353</v>
      </c>
      <c r="B3358" s="1" t="s">
        <v>2</v>
      </c>
      <c r="C3358" s="1" t="str">
        <f>IF($B3358 = "Production Item", _xlfn.XLOOKUP($A3358, 'Instrument Table'!$J:$J, 'Instrument Table'!$B:$B, $C3357), IF($B3358 = "Service Item", _xlfn.XLOOKUP($A3358, 'Instrument Table'!$I:$I, 'Instrument Table'!$B:$B, $C3357), _xlfn.XLOOKUP($A3358, 'Instrument Table'!$H:$H, 'Instrument Table'!$B:$B, $C3357)))</f>
        <v>Theremin</v>
      </c>
      <c r="D3358" s="1" t="str">
        <f>VLOOKUP($C3358, 'Instrument Table'!$B:$C, 2, FALSE)</f>
        <v>Other</v>
      </c>
      <c r="E3358" s="1">
        <f t="shared" si="312"/>
        <v>1</v>
      </c>
      <c r="F3358" s="1">
        <f>_xlfn.XLOOKUP($C3358, 'Instrument Table'!$B:$B, 'Instrument Table'!$A:$A, "")</f>
        <v>60</v>
      </c>
      <c r="G3358" s="1" t="str">
        <f>TEXT(IF($B3358 = "Retail Item", IF((ROW($A3358) - 4504 - _xlfn.XMATCH($C3358, $C$4506:$C$5005, 0, 1)) &lt;= VLOOKUP($C3358, 'Instrument Table'!$B:$D, 3, FALSE), ROW($A3358) - 4504 - _xlfn.XMATCH($C3358, $C$4506:$C$5005, 0, 1), 0), 0), "00")</f>
        <v>00</v>
      </c>
      <c r="H3358" s="1" t="str">
        <f t="shared" si="313"/>
        <v>202</v>
      </c>
      <c r="I3358" s="1" t="str">
        <f t="shared" si="314"/>
        <v>16000-202</v>
      </c>
      <c r="J3358" s="1" t="str">
        <f t="shared" si="315"/>
        <v>Theremin production item #202</v>
      </c>
      <c r="K3358" s="1" t="str">
        <f>IF(SUM(COUNTIFS(I:I, I3358)) &gt; 1, "DUPLICATE", "UNIQUE")</f>
        <v>UNIQUE</v>
      </c>
      <c r="L3358" s="18">
        <v>0</v>
      </c>
      <c r="M3358" s="28">
        <v>71</v>
      </c>
      <c r="N3358" s="6">
        <v>289</v>
      </c>
      <c r="O3358" s="30">
        <f t="shared" si="316"/>
        <v>0</v>
      </c>
      <c r="P3358" s="30">
        <f t="shared" si="317"/>
        <v>20519</v>
      </c>
      <c r="Q3358" s="1">
        <f>COUNTIFS($P:$P, "&gt;" &amp; $P3358) + 1</f>
        <v>1026</v>
      </c>
      <c r="R3358" s="63">
        <f>(COUNTIFS($P:$P, "&gt;" &amp; $P3358) + 1) / (COUNTA($I:$I) - 1)</f>
        <v>0.20519999999999999</v>
      </c>
      <c r="S3358" s="23">
        <f>SUMIFS($P:$P, $Q:$Q, "&lt;" &amp; $Q3358)</f>
        <v>167032975</v>
      </c>
    </row>
    <row r="3359" spans="1:19" x14ac:dyDescent="0.25">
      <c r="A3359" s="1">
        <v>3354</v>
      </c>
      <c r="B3359" s="1" t="s">
        <v>2</v>
      </c>
      <c r="C3359" s="1" t="str">
        <f>IF($B3359 = "Production Item", _xlfn.XLOOKUP($A3359, 'Instrument Table'!$J:$J, 'Instrument Table'!$B:$B, $C3358), IF($B3359 = "Service Item", _xlfn.XLOOKUP($A3359, 'Instrument Table'!$I:$I, 'Instrument Table'!$B:$B, $C3358), _xlfn.XLOOKUP($A3359, 'Instrument Table'!$H:$H, 'Instrument Table'!$B:$B, $C3358)))</f>
        <v>Theremin</v>
      </c>
      <c r="D3359" s="1" t="str">
        <f>VLOOKUP($C3359, 'Instrument Table'!$B:$C, 2, FALSE)</f>
        <v>Other</v>
      </c>
      <c r="E3359" s="1">
        <f t="shared" si="312"/>
        <v>1</v>
      </c>
      <c r="F3359" s="1">
        <f>_xlfn.XLOOKUP($C3359, 'Instrument Table'!$B:$B, 'Instrument Table'!$A:$A, "")</f>
        <v>60</v>
      </c>
      <c r="G3359" s="1" t="str">
        <f>TEXT(IF($B3359 = "Retail Item", IF((ROW($A3359) - 4504 - _xlfn.XMATCH($C3359, $C$4506:$C$5005, 0, 1)) &lt;= VLOOKUP($C3359, 'Instrument Table'!$B:$D, 3, FALSE), ROW($A3359) - 4504 - _xlfn.XMATCH($C3359, $C$4506:$C$5005, 0, 1), 0), 0), "00")</f>
        <v>00</v>
      </c>
      <c r="H3359" s="1" t="str">
        <f t="shared" si="313"/>
        <v>203</v>
      </c>
      <c r="I3359" s="1" t="str">
        <f t="shared" si="314"/>
        <v>16000-203</v>
      </c>
      <c r="J3359" s="1" t="str">
        <f t="shared" si="315"/>
        <v>Theremin production item #203</v>
      </c>
      <c r="K3359" s="1" t="str">
        <f>IF(SUM(COUNTIFS(I:I, I3359)) &gt; 1, "DUPLICATE", "UNIQUE")</f>
        <v>UNIQUE</v>
      </c>
      <c r="L3359" s="18">
        <v>0</v>
      </c>
      <c r="M3359" s="28">
        <v>65</v>
      </c>
      <c r="N3359" s="6">
        <v>36</v>
      </c>
      <c r="O3359" s="30">
        <f t="shared" si="316"/>
        <v>0</v>
      </c>
      <c r="P3359" s="30">
        <f t="shared" si="317"/>
        <v>2340</v>
      </c>
      <c r="Q3359" s="1">
        <f>COUNTIFS($P:$P, "&gt;" &amp; $P3359) + 1</f>
        <v>3110</v>
      </c>
      <c r="R3359" s="63">
        <f>(COUNTIFS($P:$P, "&gt;" &amp; $P3359) + 1) / (COUNTA($I:$I) - 1)</f>
        <v>0.622</v>
      </c>
      <c r="S3359" s="23">
        <f>SUMIFS($P:$P, $Q:$Q, "&lt;" &amp; $Q3359)</f>
        <v>185206004</v>
      </c>
    </row>
    <row r="3360" spans="1:19" x14ac:dyDescent="0.25">
      <c r="A3360" s="1">
        <v>3355</v>
      </c>
      <c r="B3360" s="1" t="s">
        <v>2</v>
      </c>
      <c r="C3360" s="1" t="str">
        <f>IF($B3360 = "Production Item", _xlfn.XLOOKUP($A3360, 'Instrument Table'!$J:$J, 'Instrument Table'!$B:$B, $C3359), IF($B3360 = "Service Item", _xlfn.XLOOKUP($A3360, 'Instrument Table'!$I:$I, 'Instrument Table'!$B:$B, $C3359), _xlfn.XLOOKUP($A3360, 'Instrument Table'!$H:$H, 'Instrument Table'!$B:$B, $C3359)))</f>
        <v>Theremin</v>
      </c>
      <c r="D3360" s="1" t="str">
        <f>VLOOKUP($C3360, 'Instrument Table'!$B:$C, 2, FALSE)</f>
        <v>Other</v>
      </c>
      <c r="E3360" s="1">
        <f t="shared" si="312"/>
        <v>1</v>
      </c>
      <c r="F3360" s="1">
        <f>_xlfn.XLOOKUP($C3360, 'Instrument Table'!$B:$B, 'Instrument Table'!$A:$A, "")</f>
        <v>60</v>
      </c>
      <c r="G3360" s="1" t="str">
        <f>TEXT(IF($B3360 = "Retail Item", IF((ROW($A3360) - 4504 - _xlfn.XMATCH($C3360, $C$4506:$C$5005, 0, 1)) &lt;= VLOOKUP($C3360, 'Instrument Table'!$B:$D, 3, FALSE), ROW($A3360) - 4504 - _xlfn.XMATCH($C3360, $C$4506:$C$5005, 0, 1), 0), 0), "00")</f>
        <v>00</v>
      </c>
      <c r="H3360" s="1" t="str">
        <f t="shared" si="313"/>
        <v>204</v>
      </c>
      <c r="I3360" s="1" t="str">
        <f t="shared" si="314"/>
        <v>16000-204</v>
      </c>
      <c r="J3360" s="1" t="str">
        <f t="shared" si="315"/>
        <v>Theremin production item #204</v>
      </c>
      <c r="K3360" s="1" t="str">
        <f>IF(SUM(COUNTIFS(I:I, I3360)) &gt; 1, "DUPLICATE", "UNIQUE")</f>
        <v>UNIQUE</v>
      </c>
      <c r="L3360" s="18">
        <v>32</v>
      </c>
      <c r="M3360" s="28">
        <v>46</v>
      </c>
      <c r="N3360" s="6">
        <v>289</v>
      </c>
      <c r="O3360" s="30">
        <f t="shared" si="316"/>
        <v>1472</v>
      </c>
      <c r="P3360" s="30">
        <f t="shared" si="317"/>
        <v>13294</v>
      </c>
      <c r="Q3360" s="1">
        <f>COUNTIFS($P:$P, "&gt;" &amp; $P3360) + 1</f>
        <v>1476</v>
      </c>
      <c r="R3360" s="63">
        <f>(COUNTIFS($P:$P, "&gt;" &amp; $P3360) + 1) / (COUNTA($I:$I) - 1)</f>
        <v>0.29520000000000002</v>
      </c>
      <c r="S3360" s="23">
        <f>SUMIFS($P:$P, $Q:$Q, "&lt;" &amp; $Q3360)</f>
        <v>174523294</v>
      </c>
    </row>
    <row r="3361" spans="1:19" x14ac:dyDescent="0.25">
      <c r="A3361" s="1">
        <v>3356</v>
      </c>
      <c r="B3361" s="1" t="s">
        <v>2</v>
      </c>
      <c r="C3361" s="1" t="str">
        <f>IF($B3361 = "Production Item", _xlfn.XLOOKUP($A3361, 'Instrument Table'!$J:$J, 'Instrument Table'!$B:$B, $C3360), IF($B3361 = "Service Item", _xlfn.XLOOKUP($A3361, 'Instrument Table'!$I:$I, 'Instrument Table'!$B:$B, $C3360), _xlfn.XLOOKUP($A3361, 'Instrument Table'!$H:$H, 'Instrument Table'!$B:$B, $C3360)))</f>
        <v>Theremin</v>
      </c>
      <c r="D3361" s="1" t="str">
        <f>VLOOKUP($C3361, 'Instrument Table'!$B:$C, 2, FALSE)</f>
        <v>Other</v>
      </c>
      <c r="E3361" s="1">
        <f t="shared" si="312"/>
        <v>1</v>
      </c>
      <c r="F3361" s="1">
        <f>_xlfn.XLOOKUP($C3361, 'Instrument Table'!$B:$B, 'Instrument Table'!$A:$A, "")</f>
        <v>60</v>
      </c>
      <c r="G3361" s="1" t="str">
        <f>TEXT(IF($B3361 = "Retail Item", IF((ROW($A3361) - 4504 - _xlfn.XMATCH($C3361, $C$4506:$C$5005, 0, 1)) &lt;= VLOOKUP($C3361, 'Instrument Table'!$B:$D, 3, FALSE), ROW($A3361) - 4504 - _xlfn.XMATCH($C3361, $C$4506:$C$5005, 0, 1), 0), 0), "00")</f>
        <v>00</v>
      </c>
      <c r="H3361" s="1" t="str">
        <f t="shared" si="313"/>
        <v>205</v>
      </c>
      <c r="I3361" s="1" t="str">
        <f t="shared" si="314"/>
        <v>16000-205</v>
      </c>
      <c r="J3361" s="1" t="str">
        <f t="shared" si="315"/>
        <v>Theremin production item #205</v>
      </c>
      <c r="K3361" s="1" t="str">
        <f>IF(SUM(COUNTIFS(I:I, I3361)) &gt; 1, "DUPLICATE", "UNIQUE")</f>
        <v>UNIQUE</v>
      </c>
      <c r="L3361" s="18">
        <v>1</v>
      </c>
      <c r="M3361" s="28">
        <v>70</v>
      </c>
      <c r="N3361" s="6">
        <v>225</v>
      </c>
      <c r="O3361" s="30">
        <f t="shared" si="316"/>
        <v>70</v>
      </c>
      <c r="P3361" s="30">
        <f t="shared" si="317"/>
        <v>15750</v>
      </c>
      <c r="Q3361" s="1">
        <f>COUNTIFS($P:$P, "&gt;" &amp; $P3361) + 1</f>
        <v>1295</v>
      </c>
      <c r="R3361" s="63">
        <f>(COUNTIFS($P:$P, "&gt;" &amp; $P3361) + 1) / (COUNTA($I:$I) - 1)</f>
        <v>0.25900000000000001</v>
      </c>
      <c r="S3361" s="23">
        <f>SUMIFS($P:$P, $Q:$Q, "&lt;" &amp; $Q3361)</f>
        <v>171895204</v>
      </c>
    </row>
    <row r="3362" spans="1:19" x14ac:dyDescent="0.25">
      <c r="A3362" s="1">
        <v>3357</v>
      </c>
      <c r="B3362" s="1" t="s">
        <v>2</v>
      </c>
      <c r="C3362" s="1" t="str">
        <f>IF($B3362 = "Production Item", _xlfn.XLOOKUP($A3362, 'Instrument Table'!$J:$J, 'Instrument Table'!$B:$B, $C3361), IF($B3362 = "Service Item", _xlfn.XLOOKUP($A3362, 'Instrument Table'!$I:$I, 'Instrument Table'!$B:$B, $C3361), _xlfn.XLOOKUP($A3362, 'Instrument Table'!$H:$H, 'Instrument Table'!$B:$B, $C3361)))</f>
        <v>Theremin</v>
      </c>
      <c r="D3362" s="1" t="str">
        <f>VLOOKUP($C3362, 'Instrument Table'!$B:$C, 2, FALSE)</f>
        <v>Other</v>
      </c>
      <c r="E3362" s="1">
        <f t="shared" si="312"/>
        <v>1</v>
      </c>
      <c r="F3362" s="1">
        <f>_xlfn.XLOOKUP($C3362, 'Instrument Table'!$B:$B, 'Instrument Table'!$A:$A, "")</f>
        <v>60</v>
      </c>
      <c r="G3362" s="1" t="str">
        <f>TEXT(IF($B3362 = "Retail Item", IF((ROW($A3362) - 4504 - _xlfn.XMATCH($C3362, $C$4506:$C$5005, 0, 1)) &lt;= VLOOKUP($C3362, 'Instrument Table'!$B:$D, 3, FALSE), ROW($A3362) - 4504 - _xlfn.XMATCH($C3362, $C$4506:$C$5005, 0, 1), 0), 0), "00")</f>
        <v>00</v>
      </c>
      <c r="H3362" s="1" t="str">
        <f t="shared" si="313"/>
        <v>206</v>
      </c>
      <c r="I3362" s="1" t="str">
        <f t="shared" si="314"/>
        <v>16000-206</v>
      </c>
      <c r="J3362" s="1" t="str">
        <f t="shared" si="315"/>
        <v>Theremin production item #206</v>
      </c>
      <c r="K3362" s="1" t="str">
        <f>IF(SUM(COUNTIFS(I:I, I3362)) &gt; 1, "DUPLICATE", "UNIQUE")</f>
        <v>UNIQUE</v>
      </c>
      <c r="L3362" s="18">
        <v>1</v>
      </c>
      <c r="M3362" s="28">
        <v>39</v>
      </c>
      <c r="N3362" s="6">
        <v>256</v>
      </c>
      <c r="O3362" s="30">
        <f t="shared" si="316"/>
        <v>39</v>
      </c>
      <c r="P3362" s="30">
        <f t="shared" si="317"/>
        <v>9984</v>
      </c>
      <c r="Q3362" s="1">
        <f>COUNTIFS($P:$P, "&gt;" &amp; $P3362) + 1</f>
        <v>1777</v>
      </c>
      <c r="R3362" s="63">
        <f>(COUNTIFS($P:$P, "&gt;" &amp; $P3362) + 1) / (COUNTA($I:$I) - 1)</f>
        <v>0.35539999999999999</v>
      </c>
      <c r="S3362" s="23">
        <f>SUMIFS($P:$P, $Q:$Q, "&lt;" &amp; $Q3362)</f>
        <v>178015695</v>
      </c>
    </row>
    <row r="3363" spans="1:19" x14ac:dyDescent="0.25">
      <c r="A3363" s="1">
        <v>3358</v>
      </c>
      <c r="B3363" s="1" t="s">
        <v>2</v>
      </c>
      <c r="C3363" s="1" t="str">
        <f>IF($B3363 = "Production Item", _xlfn.XLOOKUP($A3363, 'Instrument Table'!$J:$J, 'Instrument Table'!$B:$B, $C3362), IF($B3363 = "Service Item", _xlfn.XLOOKUP($A3363, 'Instrument Table'!$I:$I, 'Instrument Table'!$B:$B, $C3362), _xlfn.XLOOKUP($A3363, 'Instrument Table'!$H:$H, 'Instrument Table'!$B:$B, $C3362)))</f>
        <v>Theremin</v>
      </c>
      <c r="D3363" s="1" t="str">
        <f>VLOOKUP($C3363, 'Instrument Table'!$B:$C, 2, FALSE)</f>
        <v>Other</v>
      </c>
      <c r="E3363" s="1">
        <f t="shared" si="312"/>
        <v>1</v>
      </c>
      <c r="F3363" s="1">
        <f>_xlfn.XLOOKUP($C3363, 'Instrument Table'!$B:$B, 'Instrument Table'!$A:$A, "")</f>
        <v>60</v>
      </c>
      <c r="G3363" s="1" t="str">
        <f>TEXT(IF($B3363 = "Retail Item", IF((ROW($A3363) - 4504 - _xlfn.XMATCH($C3363, $C$4506:$C$5005, 0, 1)) &lt;= VLOOKUP($C3363, 'Instrument Table'!$B:$D, 3, FALSE), ROW($A3363) - 4504 - _xlfn.XMATCH($C3363, $C$4506:$C$5005, 0, 1), 0), 0), "00")</f>
        <v>00</v>
      </c>
      <c r="H3363" s="1" t="str">
        <f t="shared" si="313"/>
        <v>207</v>
      </c>
      <c r="I3363" s="1" t="str">
        <f t="shared" si="314"/>
        <v>16000-207</v>
      </c>
      <c r="J3363" s="1" t="str">
        <f t="shared" si="315"/>
        <v>Theremin production item #207</v>
      </c>
      <c r="K3363" s="1" t="str">
        <f>IF(SUM(COUNTIFS(I:I, I3363)) &gt; 1, "DUPLICATE", "UNIQUE")</f>
        <v>UNIQUE</v>
      </c>
      <c r="L3363" s="18">
        <v>1</v>
      </c>
      <c r="M3363" s="28">
        <v>35</v>
      </c>
      <c r="N3363" s="6">
        <v>36</v>
      </c>
      <c r="O3363" s="30">
        <f t="shared" si="316"/>
        <v>35</v>
      </c>
      <c r="P3363" s="30">
        <f t="shared" si="317"/>
        <v>1260</v>
      </c>
      <c r="Q3363" s="1">
        <f>COUNTIFS($P:$P, "&gt;" &amp; $P3363) + 1</f>
        <v>3582</v>
      </c>
      <c r="R3363" s="63">
        <f>(COUNTIFS($P:$P, "&gt;" &amp; $P3363) + 1) / (COUNTA($I:$I) - 1)</f>
        <v>0.71640000000000004</v>
      </c>
      <c r="S3363" s="23">
        <f>SUMIFS($P:$P, $Q:$Q, "&lt;" &amp; $Q3363)</f>
        <v>186047610</v>
      </c>
    </row>
    <row r="3364" spans="1:19" x14ac:dyDescent="0.25">
      <c r="A3364" s="1">
        <v>3359</v>
      </c>
      <c r="B3364" s="1" t="s">
        <v>2</v>
      </c>
      <c r="C3364" s="1" t="str">
        <f>IF($B3364 = "Production Item", _xlfn.XLOOKUP($A3364, 'Instrument Table'!$J:$J, 'Instrument Table'!$B:$B, $C3363), IF($B3364 = "Service Item", _xlfn.XLOOKUP($A3364, 'Instrument Table'!$I:$I, 'Instrument Table'!$B:$B, $C3363), _xlfn.XLOOKUP($A3364, 'Instrument Table'!$H:$H, 'Instrument Table'!$B:$B, $C3363)))</f>
        <v>Theremin</v>
      </c>
      <c r="D3364" s="1" t="str">
        <f>VLOOKUP($C3364, 'Instrument Table'!$B:$C, 2, FALSE)</f>
        <v>Other</v>
      </c>
      <c r="E3364" s="1">
        <f t="shared" si="312"/>
        <v>1</v>
      </c>
      <c r="F3364" s="1">
        <f>_xlfn.XLOOKUP($C3364, 'Instrument Table'!$B:$B, 'Instrument Table'!$A:$A, "")</f>
        <v>60</v>
      </c>
      <c r="G3364" s="1" t="str">
        <f>TEXT(IF($B3364 = "Retail Item", IF((ROW($A3364) - 4504 - _xlfn.XMATCH($C3364, $C$4506:$C$5005, 0, 1)) &lt;= VLOOKUP($C3364, 'Instrument Table'!$B:$D, 3, FALSE), ROW($A3364) - 4504 - _xlfn.XMATCH($C3364, $C$4506:$C$5005, 0, 1), 0), 0), "00")</f>
        <v>00</v>
      </c>
      <c r="H3364" s="1" t="str">
        <f t="shared" si="313"/>
        <v>208</v>
      </c>
      <c r="I3364" s="1" t="str">
        <f t="shared" si="314"/>
        <v>16000-208</v>
      </c>
      <c r="J3364" s="1" t="str">
        <f t="shared" si="315"/>
        <v>Theremin production item #208</v>
      </c>
      <c r="K3364" s="1" t="str">
        <f>IF(SUM(COUNTIFS(I:I, I3364)) &gt; 1, "DUPLICATE", "UNIQUE")</f>
        <v>UNIQUE</v>
      </c>
      <c r="L3364" s="18">
        <v>0</v>
      </c>
      <c r="M3364" s="28">
        <v>13</v>
      </c>
      <c r="N3364" s="6">
        <v>144</v>
      </c>
      <c r="O3364" s="30">
        <f t="shared" si="316"/>
        <v>0</v>
      </c>
      <c r="P3364" s="30">
        <f t="shared" si="317"/>
        <v>1872</v>
      </c>
      <c r="Q3364" s="1">
        <f>COUNTIFS($P:$P, "&gt;" &amp; $P3364) + 1</f>
        <v>3307</v>
      </c>
      <c r="R3364" s="63">
        <f>(COUNTIFS($P:$P, "&gt;" &amp; $P3364) + 1) / (COUNTA($I:$I) - 1)</f>
        <v>0.66139999999999999</v>
      </c>
      <c r="S3364" s="23">
        <f>SUMIFS($P:$P, $Q:$Q, "&lt;" &amp; $Q3364)</f>
        <v>185622255</v>
      </c>
    </row>
    <row r="3365" spans="1:19" x14ac:dyDescent="0.25">
      <c r="A3365" s="1">
        <v>3360</v>
      </c>
      <c r="B3365" s="1" t="s">
        <v>2</v>
      </c>
      <c r="C3365" s="1" t="str">
        <f>IF($B3365 = "Production Item", _xlfn.XLOOKUP($A3365, 'Instrument Table'!$J:$J, 'Instrument Table'!$B:$B, $C3364), IF($B3365 = "Service Item", _xlfn.XLOOKUP($A3365, 'Instrument Table'!$I:$I, 'Instrument Table'!$B:$B, $C3364), _xlfn.XLOOKUP($A3365, 'Instrument Table'!$H:$H, 'Instrument Table'!$B:$B, $C3364)))</f>
        <v>Theremin</v>
      </c>
      <c r="D3365" s="1" t="str">
        <f>VLOOKUP($C3365, 'Instrument Table'!$B:$C, 2, FALSE)</f>
        <v>Other</v>
      </c>
      <c r="E3365" s="1">
        <f t="shared" si="312"/>
        <v>1</v>
      </c>
      <c r="F3365" s="1">
        <f>_xlfn.XLOOKUP($C3365, 'Instrument Table'!$B:$B, 'Instrument Table'!$A:$A, "")</f>
        <v>60</v>
      </c>
      <c r="G3365" s="1" t="str">
        <f>TEXT(IF($B3365 = "Retail Item", IF((ROW($A3365) - 4504 - _xlfn.XMATCH($C3365, $C$4506:$C$5005, 0, 1)) &lt;= VLOOKUP($C3365, 'Instrument Table'!$B:$D, 3, FALSE), ROW($A3365) - 4504 - _xlfn.XMATCH($C3365, $C$4506:$C$5005, 0, 1), 0), 0), "00")</f>
        <v>00</v>
      </c>
      <c r="H3365" s="1" t="str">
        <f t="shared" si="313"/>
        <v>209</v>
      </c>
      <c r="I3365" s="1" t="str">
        <f t="shared" si="314"/>
        <v>16000-209</v>
      </c>
      <c r="J3365" s="1" t="str">
        <f t="shared" si="315"/>
        <v>Theremin production item #209</v>
      </c>
      <c r="K3365" s="1" t="str">
        <f>IF(SUM(COUNTIFS(I:I, I3365)) &gt; 1, "DUPLICATE", "UNIQUE")</f>
        <v>UNIQUE</v>
      </c>
      <c r="L3365" s="18">
        <v>1</v>
      </c>
      <c r="M3365" s="28">
        <v>90</v>
      </c>
      <c r="N3365" s="6">
        <v>169</v>
      </c>
      <c r="O3365" s="30">
        <f t="shared" si="316"/>
        <v>90</v>
      </c>
      <c r="P3365" s="30">
        <f t="shared" si="317"/>
        <v>15210</v>
      </c>
      <c r="Q3365" s="1">
        <f>COUNTIFS($P:$P, "&gt;" &amp; $P3365) + 1</f>
        <v>1335</v>
      </c>
      <c r="R3365" s="63">
        <f>(COUNTIFS($P:$P, "&gt;" &amp; $P3365) + 1) / (COUNTA($I:$I) - 1)</f>
        <v>0.26700000000000002</v>
      </c>
      <c r="S3365" s="23">
        <f>SUMIFS($P:$P, $Q:$Q, "&lt;" &amp; $Q3365)</f>
        <v>172516108</v>
      </c>
    </row>
    <row r="3366" spans="1:19" x14ac:dyDescent="0.25">
      <c r="A3366" s="1">
        <v>3361</v>
      </c>
      <c r="B3366" s="1" t="s">
        <v>2</v>
      </c>
      <c r="C3366" s="1" t="str">
        <f>IF($B3366 = "Production Item", _xlfn.XLOOKUP($A3366, 'Instrument Table'!$J:$J, 'Instrument Table'!$B:$B, $C3365), IF($B3366 = "Service Item", _xlfn.XLOOKUP($A3366, 'Instrument Table'!$I:$I, 'Instrument Table'!$B:$B, $C3365), _xlfn.XLOOKUP($A3366, 'Instrument Table'!$H:$H, 'Instrument Table'!$B:$B, $C3365)))</f>
        <v>Theremin</v>
      </c>
      <c r="D3366" s="1" t="str">
        <f>VLOOKUP($C3366, 'Instrument Table'!$B:$C, 2, FALSE)</f>
        <v>Other</v>
      </c>
      <c r="E3366" s="1">
        <f t="shared" si="312"/>
        <v>1</v>
      </c>
      <c r="F3366" s="1">
        <f>_xlfn.XLOOKUP($C3366, 'Instrument Table'!$B:$B, 'Instrument Table'!$A:$A, "")</f>
        <v>60</v>
      </c>
      <c r="G3366" s="1" t="str">
        <f>TEXT(IF($B3366 = "Retail Item", IF((ROW($A3366) - 4504 - _xlfn.XMATCH($C3366, $C$4506:$C$5005, 0, 1)) &lt;= VLOOKUP($C3366, 'Instrument Table'!$B:$D, 3, FALSE), ROW($A3366) - 4504 - _xlfn.XMATCH($C3366, $C$4506:$C$5005, 0, 1), 0), 0), "00")</f>
        <v>00</v>
      </c>
      <c r="H3366" s="1" t="str">
        <f t="shared" si="313"/>
        <v>210</v>
      </c>
      <c r="I3366" s="1" t="str">
        <f t="shared" si="314"/>
        <v>16000-210</v>
      </c>
      <c r="J3366" s="1" t="str">
        <f t="shared" si="315"/>
        <v>Theremin production item #210</v>
      </c>
      <c r="K3366" s="1" t="str">
        <f>IF(SUM(COUNTIFS(I:I, I3366)) &gt; 1, "DUPLICATE", "UNIQUE")</f>
        <v>UNIQUE</v>
      </c>
      <c r="L3366" s="18">
        <v>16</v>
      </c>
      <c r="M3366" s="28">
        <v>14</v>
      </c>
      <c r="N3366" s="6">
        <v>100</v>
      </c>
      <c r="O3366" s="30">
        <f t="shared" si="316"/>
        <v>224</v>
      </c>
      <c r="P3366" s="30">
        <f t="shared" si="317"/>
        <v>1400</v>
      </c>
      <c r="Q3366" s="1">
        <f>COUNTIFS($P:$P, "&gt;" &amp; $P3366) + 1</f>
        <v>3510</v>
      </c>
      <c r="R3366" s="63">
        <f>(COUNTIFS($P:$P, "&gt;" &amp; $P3366) + 1) / (COUNTA($I:$I) - 1)</f>
        <v>0.70199999999999996</v>
      </c>
      <c r="S3366" s="23">
        <f>SUMIFS($P:$P, $Q:$Q, "&lt;" &amp; $Q3366)</f>
        <v>185951547</v>
      </c>
    </row>
    <row r="3367" spans="1:19" x14ac:dyDescent="0.25">
      <c r="A3367" s="1">
        <v>3362</v>
      </c>
      <c r="B3367" s="1" t="s">
        <v>2</v>
      </c>
      <c r="C3367" s="1" t="str">
        <f>IF($B3367 = "Production Item", _xlfn.XLOOKUP($A3367, 'Instrument Table'!$J:$J, 'Instrument Table'!$B:$B, $C3366), IF($B3367 = "Service Item", _xlfn.XLOOKUP($A3367, 'Instrument Table'!$I:$I, 'Instrument Table'!$B:$B, $C3366), _xlfn.XLOOKUP($A3367, 'Instrument Table'!$H:$H, 'Instrument Table'!$B:$B, $C3366)))</f>
        <v>Theremin</v>
      </c>
      <c r="D3367" s="1" t="str">
        <f>VLOOKUP($C3367, 'Instrument Table'!$B:$C, 2, FALSE)</f>
        <v>Other</v>
      </c>
      <c r="E3367" s="1">
        <f t="shared" si="312"/>
        <v>1</v>
      </c>
      <c r="F3367" s="1">
        <f>_xlfn.XLOOKUP($C3367, 'Instrument Table'!$B:$B, 'Instrument Table'!$A:$A, "")</f>
        <v>60</v>
      </c>
      <c r="G3367" s="1" t="str">
        <f>TEXT(IF($B3367 = "Retail Item", IF((ROW($A3367) - 4504 - _xlfn.XMATCH($C3367, $C$4506:$C$5005, 0, 1)) &lt;= VLOOKUP($C3367, 'Instrument Table'!$B:$D, 3, FALSE), ROW($A3367) - 4504 - _xlfn.XMATCH($C3367, $C$4506:$C$5005, 0, 1), 0), 0), "00")</f>
        <v>00</v>
      </c>
      <c r="H3367" s="1" t="str">
        <f t="shared" si="313"/>
        <v>211</v>
      </c>
      <c r="I3367" s="1" t="str">
        <f t="shared" si="314"/>
        <v>16000-211</v>
      </c>
      <c r="J3367" s="1" t="str">
        <f t="shared" si="315"/>
        <v>Theremin production item #211</v>
      </c>
      <c r="K3367" s="1" t="str">
        <f>IF(SUM(COUNTIFS(I:I, I3367)) &gt; 1, "DUPLICATE", "UNIQUE")</f>
        <v>UNIQUE</v>
      </c>
      <c r="L3367" s="18">
        <v>0</v>
      </c>
      <c r="M3367" s="28">
        <v>20</v>
      </c>
      <c r="N3367" s="6">
        <v>361</v>
      </c>
      <c r="O3367" s="30">
        <f t="shared" si="316"/>
        <v>0</v>
      </c>
      <c r="P3367" s="30">
        <f t="shared" si="317"/>
        <v>7220</v>
      </c>
      <c r="Q3367" s="1">
        <f>COUNTIFS($P:$P, "&gt;" &amp; $P3367) + 1</f>
        <v>2110</v>
      </c>
      <c r="R3367" s="63">
        <f>(COUNTIFS($P:$P, "&gt;" &amp; $P3367) + 1) / (COUNTA($I:$I) - 1)</f>
        <v>0.42199999999999999</v>
      </c>
      <c r="S3367" s="23">
        <f>SUMIFS($P:$P, $Q:$Q, "&lt;" &amp; $Q3367)</f>
        <v>180831182</v>
      </c>
    </row>
    <row r="3368" spans="1:19" x14ac:dyDescent="0.25">
      <c r="A3368" s="1">
        <v>3363</v>
      </c>
      <c r="B3368" s="1" t="s">
        <v>2</v>
      </c>
      <c r="C3368" s="1" t="str">
        <f>IF($B3368 = "Production Item", _xlfn.XLOOKUP($A3368, 'Instrument Table'!$J:$J, 'Instrument Table'!$B:$B, $C3367), IF($B3368 = "Service Item", _xlfn.XLOOKUP($A3368, 'Instrument Table'!$I:$I, 'Instrument Table'!$B:$B, $C3367), _xlfn.XLOOKUP($A3368, 'Instrument Table'!$H:$H, 'Instrument Table'!$B:$B, $C3367)))</f>
        <v>Theremin</v>
      </c>
      <c r="D3368" s="1" t="str">
        <f>VLOOKUP($C3368, 'Instrument Table'!$B:$C, 2, FALSE)</f>
        <v>Other</v>
      </c>
      <c r="E3368" s="1">
        <f t="shared" si="312"/>
        <v>1</v>
      </c>
      <c r="F3368" s="1">
        <f>_xlfn.XLOOKUP($C3368, 'Instrument Table'!$B:$B, 'Instrument Table'!$A:$A, "")</f>
        <v>60</v>
      </c>
      <c r="G3368" s="1" t="str">
        <f>TEXT(IF($B3368 = "Retail Item", IF((ROW($A3368) - 4504 - _xlfn.XMATCH($C3368, $C$4506:$C$5005, 0, 1)) &lt;= VLOOKUP($C3368, 'Instrument Table'!$B:$D, 3, FALSE), ROW($A3368) - 4504 - _xlfn.XMATCH($C3368, $C$4506:$C$5005, 0, 1), 0), 0), "00")</f>
        <v>00</v>
      </c>
      <c r="H3368" s="1" t="str">
        <f t="shared" si="313"/>
        <v>212</v>
      </c>
      <c r="I3368" s="1" t="str">
        <f t="shared" si="314"/>
        <v>16000-212</v>
      </c>
      <c r="J3368" s="1" t="str">
        <f t="shared" si="315"/>
        <v>Theremin production item #212</v>
      </c>
      <c r="K3368" s="1" t="str">
        <f>IF(SUM(COUNTIFS(I:I, I3368)) &gt; 1, "DUPLICATE", "UNIQUE")</f>
        <v>UNIQUE</v>
      </c>
      <c r="L3368" s="18">
        <v>0</v>
      </c>
      <c r="M3368" s="28">
        <v>17</v>
      </c>
      <c r="N3368" s="6">
        <v>144</v>
      </c>
      <c r="O3368" s="30">
        <f t="shared" si="316"/>
        <v>0</v>
      </c>
      <c r="P3368" s="30">
        <f t="shared" si="317"/>
        <v>2448</v>
      </c>
      <c r="Q3368" s="1">
        <f>COUNTIFS($P:$P, "&gt;" &amp; $P3368) + 1</f>
        <v>3069</v>
      </c>
      <c r="R3368" s="63">
        <f>(COUNTIFS($P:$P, "&gt;" &amp; $P3368) + 1) / (COUNTA($I:$I) - 1)</f>
        <v>0.61380000000000001</v>
      </c>
      <c r="S3368" s="23">
        <f>SUMIFS($P:$P, $Q:$Q, "&lt;" &amp; $Q3368)</f>
        <v>185107773</v>
      </c>
    </row>
    <row r="3369" spans="1:19" x14ac:dyDescent="0.25">
      <c r="A3369" s="1">
        <v>3364</v>
      </c>
      <c r="B3369" s="1" t="s">
        <v>2</v>
      </c>
      <c r="C3369" s="1" t="str">
        <f>IF($B3369 = "Production Item", _xlfn.XLOOKUP($A3369, 'Instrument Table'!$J:$J, 'Instrument Table'!$B:$B, $C3368), IF($B3369 = "Service Item", _xlfn.XLOOKUP($A3369, 'Instrument Table'!$I:$I, 'Instrument Table'!$B:$B, $C3368), _xlfn.XLOOKUP($A3369, 'Instrument Table'!$H:$H, 'Instrument Table'!$B:$B, $C3368)))</f>
        <v>Theremin</v>
      </c>
      <c r="D3369" s="1" t="str">
        <f>VLOOKUP($C3369, 'Instrument Table'!$B:$C, 2, FALSE)</f>
        <v>Other</v>
      </c>
      <c r="E3369" s="1">
        <f t="shared" si="312"/>
        <v>1</v>
      </c>
      <c r="F3369" s="1">
        <f>_xlfn.XLOOKUP($C3369, 'Instrument Table'!$B:$B, 'Instrument Table'!$A:$A, "")</f>
        <v>60</v>
      </c>
      <c r="G3369" s="1" t="str">
        <f>TEXT(IF($B3369 = "Retail Item", IF((ROW($A3369) - 4504 - _xlfn.XMATCH($C3369, $C$4506:$C$5005, 0, 1)) &lt;= VLOOKUP($C3369, 'Instrument Table'!$B:$D, 3, FALSE), ROW($A3369) - 4504 - _xlfn.XMATCH($C3369, $C$4506:$C$5005, 0, 1), 0), 0), "00")</f>
        <v>00</v>
      </c>
      <c r="H3369" s="1" t="str">
        <f t="shared" si="313"/>
        <v>213</v>
      </c>
      <c r="I3369" s="1" t="str">
        <f t="shared" si="314"/>
        <v>16000-213</v>
      </c>
      <c r="J3369" s="1" t="str">
        <f t="shared" si="315"/>
        <v>Theremin production item #213</v>
      </c>
      <c r="K3369" s="1" t="str">
        <f>IF(SUM(COUNTIFS(I:I, I3369)) &gt; 1, "DUPLICATE", "UNIQUE")</f>
        <v>UNIQUE</v>
      </c>
      <c r="L3369" s="18">
        <v>16</v>
      </c>
      <c r="M3369" s="28">
        <v>1</v>
      </c>
      <c r="N3369" s="6">
        <v>196</v>
      </c>
      <c r="O3369" s="30">
        <f t="shared" si="316"/>
        <v>16</v>
      </c>
      <c r="P3369" s="30">
        <f t="shared" si="317"/>
        <v>196</v>
      </c>
      <c r="Q3369" s="1">
        <f>COUNTIFS($P:$P, "&gt;" &amp; $P3369) + 1</f>
        <v>4334</v>
      </c>
      <c r="R3369" s="63">
        <f>(COUNTIFS($P:$P, "&gt;" &amp; $P3369) + 1) / (COUNTA($I:$I) - 1)</f>
        <v>0.86680000000000001</v>
      </c>
      <c r="S3369" s="23">
        <f>SUMIFS($P:$P, $Q:$Q, "&lt;" &amp; $Q3369)</f>
        <v>186514493</v>
      </c>
    </row>
    <row r="3370" spans="1:19" x14ac:dyDescent="0.25">
      <c r="A3370" s="1">
        <v>3365</v>
      </c>
      <c r="B3370" s="1" t="s">
        <v>2</v>
      </c>
      <c r="C3370" s="1" t="str">
        <f>IF($B3370 = "Production Item", _xlfn.XLOOKUP($A3370, 'Instrument Table'!$J:$J, 'Instrument Table'!$B:$B, $C3369), IF($B3370 = "Service Item", _xlfn.XLOOKUP($A3370, 'Instrument Table'!$I:$I, 'Instrument Table'!$B:$B, $C3369), _xlfn.XLOOKUP($A3370, 'Instrument Table'!$H:$H, 'Instrument Table'!$B:$B, $C3369)))</f>
        <v>Theremin</v>
      </c>
      <c r="D3370" s="1" t="str">
        <f>VLOOKUP($C3370, 'Instrument Table'!$B:$C, 2, FALSE)</f>
        <v>Other</v>
      </c>
      <c r="E3370" s="1">
        <f t="shared" si="312"/>
        <v>1</v>
      </c>
      <c r="F3370" s="1">
        <f>_xlfn.XLOOKUP($C3370, 'Instrument Table'!$B:$B, 'Instrument Table'!$A:$A, "")</f>
        <v>60</v>
      </c>
      <c r="G3370" s="1" t="str">
        <f>TEXT(IF($B3370 = "Retail Item", IF((ROW($A3370) - 4504 - _xlfn.XMATCH($C3370, $C$4506:$C$5005, 0, 1)) &lt;= VLOOKUP($C3370, 'Instrument Table'!$B:$D, 3, FALSE), ROW($A3370) - 4504 - _xlfn.XMATCH($C3370, $C$4506:$C$5005, 0, 1), 0), 0), "00")</f>
        <v>00</v>
      </c>
      <c r="H3370" s="1" t="str">
        <f t="shared" si="313"/>
        <v>214</v>
      </c>
      <c r="I3370" s="1" t="str">
        <f t="shared" si="314"/>
        <v>16000-214</v>
      </c>
      <c r="J3370" s="1" t="str">
        <f t="shared" si="315"/>
        <v>Theremin production item #214</v>
      </c>
      <c r="K3370" s="1" t="str">
        <f>IF(SUM(COUNTIFS(I:I, I3370)) &gt; 1, "DUPLICATE", "UNIQUE")</f>
        <v>UNIQUE</v>
      </c>
      <c r="L3370" s="18">
        <v>1</v>
      </c>
      <c r="M3370" s="28">
        <v>9</v>
      </c>
      <c r="N3370" s="6">
        <v>81</v>
      </c>
      <c r="O3370" s="30">
        <f t="shared" si="316"/>
        <v>9</v>
      </c>
      <c r="P3370" s="30">
        <f t="shared" si="317"/>
        <v>729</v>
      </c>
      <c r="Q3370" s="1">
        <f>COUNTIFS($P:$P, "&gt;" &amp; $P3370) + 1</f>
        <v>3847</v>
      </c>
      <c r="R3370" s="63">
        <f>(COUNTIFS($P:$P, "&gt;" &amp; $P3370) + 1) / (COUNTA($I:$I) - 1)</f>
        <v>0.76939999999999997</v>
      </c>
      <c r="S3370" s="23">
        <f>SUMIFS($P:$P, $Q:$Q, "&lt;" &amp; $Q3370)</f>
        <v>186301356</v>
      </c>
    </row>
    <row r="3371" spans="1:19" x14ac:dyDescent="0.25">
      <c r="A3371" s="1">
        <v>3366</v>
      </c>
      <c r="B3371" s="1" t="s">
        <v>2</v>
      </c>
      <c r="C3371" s="1" t="str">
        <f>IF($B3371 = "Production Item", _xlfn.XLOOKUP($A3371, 'Instrument Table'!$J:$J, 'Instrument Table'!$B:$B, $C3370), IF($B3371 = "Service Item", _xlfn.XLOOKUP($A3371, 'Instrument Table'!$I:$I, 'Instrument Table'!$B:$B, $C3370), _xlfn.XLOOKUP($A3371, 'Instrument Table'!$H:$H, 'Instrument Table'!$B:$B, $C3370)))</f>
        <v>Theremin</v>
      </c>
      <c r="D3371" s="1" t="str">
        <f>VLOOKUP($C3371, 'Instrument Table'!$B:$C, 2, FALSE)</f>
        <v>Other</v>
      </c>
      <c r="E3371" s="1">
        <f t="shared" si="312"/>
        <v>1</v>
      </c>
      <c r="F3371" s="1">
        <f>_xlfn.XLOOKUP($C3371, 'Instrument Table'!$B:$B, 'Instrument Table'!$A:$A, "")</f>
        <v>60</v>
      </c>
      <c r="G3371" s="1" t="str">
        <f>TEXT(IF($B3371 = "Retail Item", IF((ROW($A3371) - 4504 - _xlfn.XMATCH($C3371, $C$4506:$C$5005, 0, 1)) &lt;= VLOOKUP($C3371, 'Instrument Table'!$B:$D, 3, FALSE), ROW($A3371) - 4504 - _xlfn.XMATCH($C3371, $C$4506:$C$5005, 0, 1), 0), 0), "00")</f>
        <v>00</v>
      </c>
      <c r="H3371" s="1" t="str">
        <f t="shared" si="313"/>
        <v>215</v>
      </c>
      <c r="I3371" s="1" t="str">
        <f t="shared" si="314"/>
        <v>16000-215</v>
      </c>
      <c r="J3371" s="1" t="str">
        <f t="shared" si="315"/>
        <v>Theremin production item #215</v>
      </c>
      <c r="K3371" s="1" t="str">
        <f>IF(SUM(COUNTIFS(I:I, I3371)) &gt; 1, "DUPLICATE", "UNIQUE")</f>
        <v>UNIQUE</v>
      </c>
      <c r="L3371" s="18">
        <v>1</v>
      </c>
      <c r="M3371" s="28">
        <v>24</v>
      </c>
      <c r="N3371" s="6">
        <v>81</v>
      </c>
      <c r="O3371" s="30">
        <f t="shared" si="316"/>
        <v>24</v>
      </c>
      <c r="P3371" s="30">
        <f t="shared" si="317"/>
        <v>1944</v>
      </c>
      <c r="Q3371" s="1">
        <f>COUNTIFS($P:$P, "&gt;" &amp; $P3371) + 1</f>
        <v>3276</v>
      </c>
      <c r="R3371" s="63">
        <f>(COUNTIFS($P:$P, "&gt;" &amp; $P3371) + 1) / (COUNTA($I:$I) - 1)</f>
        <v>0.6552</v>
      </c>
      <c r="S3371" s="23">
        <f>SUMIFS($P:$P, $Q:$Q, "&lt;" &amp; $Q3371)</f>
        <v>185562800</v>
      </c>
    </row>
    <row r="3372" spans="1:19" x14ac:dyDescent="0.25">
      <c r="A3372" s="1">
        <v>3367</v>
      </c>
      <c r="B3372" s="1" t="s">
        <v>2</v>
      </c>
      <c r="C3372" s="1" t="str">
        <f>IF($B3372 = "Production Item", _xlfn.XLOOKUP($A3372, 'Instrument Table'!$J:$J, 'Instrument Table'!$B:$B, $C3371), IF($B3372 = "Service Item", _xlfn.XLOOKUP($A3372, 'Instrument Table'!$I:$I, 'Instrument Table'!$B:$B, $C3371), _xlfn.XLOOKUP($A3372, 'Instrument Table'!$H:$H, 'Instrument Table'!$B:$B, $C3371)))</f>
        <v>Theremin</v>
      </c>
      <c r="D3372" s="1" t="str">
        <f>VLOOKUP($C3372, 'Instrument Table'!$B:$C, 2, FALSE)</f>
        <v>Other</v>
      </c>
      <c r="E3372" s="1">
        <f t="shared" si="312"/>
        <v>1</v>
      </c>
      <c r="F3372" s="1">
        <f>_xlfn.XLOOKUP($C3372, 'Instrument Table'!$B:$B, 'Instrument Table'!$A:$A, "")</f>
        <v>60</v>
      </c>
      <c r="G3372" s="1" t="str">
        <f>TEXT(IF($B3372 = "Retail Item", IF((ROW($A3372) - 4504 - _xlfn.XMATCH($C3372, $C$4506:$C$5005, 0, 1)) &lt;= VLOOKUP($C3372, 'Instrument Table'!$B:$D, 3, FALSE), ROW($A3372) - 4504 - _xlfn.XMATCH($C3372, $C$4506:$C$5005, 0, 1), 0), 0), "00")</f>
        <v>00</v>
      </c>
      <c r="H3372" s="1" t="str">
        <f t="shared" si="313"/>
        <v>216</v>
      </c>
      <c r="I3372" s="1" t="str">
        <f t="shared" si="314"/>
        <v>16000-216</v>
      </c>
      <c r="J3372" s="1" t="str">
        <f t="shared" si="315"/>
        <v>Theremin production item #216</v>
      </c>
      <c r="K3372" s="1" t="str">
        <f>IF(SUM(COUNTIFS(I:I, I3372)) &gt; 1, "DUPLICATE", "UNIQUE")</f>
        <v>UNIQUE</v>
      </c>
      <c r="L3372" s="18">
        <v>0</v>
      </c>
      <c r="M3372" s="28">
        <v>67</v>
      </c>
      <c r="N3372" s="6">
        <v>25</v>
      </c>
      <c r="O3372" s="30">
        <f t="shared" si="316"/>
        <v>0</v>
      </c>
      <c r="P3372" s="30">
        <f t="shared" si="317"/>
        <v>1675</v>
      </c>
      <c r="Q3372" s="1">
        <f>COUNTIFS($P:$P, "&gt;" &amp; $P3372) + 1</f>
        <v>3378</v>
      </c>
      <c r="R3372" s="63">
        <f>(COUNTIFS($P:$P, "&gt;" &amp; $P3372) + 1) / (COUNTA($I:$I) - 1)</f>
        <v>0.67559999999999998</v>
      </c>
      <c r="S3372" s="23">
        <f>SUMIFS($P:$P, $Q:$Q, "&lt;" &amp; $Q3372)</f>
        <v>185748834</v>
      </c>
    </row>
    <row r="3373" spans="1:19" x14ac:dyDescent="0.25">
      <c r="A3373" s="1">
        <v>3368</v>
      </c>
      <c r="B3373" s="1" t="s">
        <v>2</v>
      </c>
      <c r="C3373" s="1" t="str">
        <f>IF($B3373 = "Production Item", _xlfn.XLOOKUP($A3373, 'Instrument Table'!$J:$J, 'Instrument Table'!$B:$B, $C3372), IF($B3373 = "Service Item", _xlfn.XLOOKUP($A3373, 'Instrument Table'!$I:$I, 'Instrument Table'!$B:$B, $C3372), _xlfn.XLOOKUP($A3373, 'Instrument Table'!$H:$H, 'Instrument Table'!$B:$B, $C3372)))</f>
        <v>Theremin</v>
      </c>
      <c r="D3373" s="1" t="str">
        <f>VLOOKUP($C3373, 'Instrument Table'!$B:$C, 2, FALSE)</f>
        <v>Other</v>
      </c>
      <c r="E3373" s="1">
        <f t="shared" si="312"/>
        <v>1</v>
      </c>
      <c r="F3373" s="1">
        <f>_xlfn.XLOOKUP($C3373, 'Instrument Table'!$B:$B, 'Instrument Table'!$A:$A, "")</f>
        <v>60</v>
      </c>
      <c r="G3373" s="1" t="str">
        <f>TEXT(IF($B3373 = "Retail Item", IF((ROW($A3373) - 4504 - _xlfn.XMATCH($C3373, $C$4506:$C$5005, 0, 1)) &lt;= VLOOKUP($C3373, 'Instrument Table'!$B:$D, 3, FALSE), ROW($A3373) - 4504 - _xlfn.XMATCH($C3373, $C$4506:$C$5005, 0, 1), 0), 0), "00")</f>
        <v>00</v>
      </c>
      <c r="H3373" s="1" t="str">
        <f t="shared" si="313"/>
        <v>217</v>
      </c>
      <c r="I3373" s="1" t="str">
        <f t="shared" si="314"/>
        <v>16000-217</v>
      </c>
      <c r="J3373" s="1" t="str">
        <f t="shared" si="315"/>
        <v>Theremin production item #217</v>
      </c>
      <c r="K3373" s="1" t="str">
        <f>IF(SUM(COUNTIFS(I:I, I3373)) &gt; 1, "DUPLICATE", "UNIQUE")</f>
        <v>UNIQUE</v>
      </c>
      <c r="L3373" s="18">
        <v>1</v>
      </c>
      <c r="M3373" s="28">
        <v>90</v>
      </c>
      <c r="N3373" s="6">
        <v>121</v>
      </c>
      <c r="O3373" s="30">
        <f t="shared" si="316"/>
        <v>90</v>
      </c>
      <c r="P3373" s="30">
        <f t="shared" si="317"/>
        <v>10890</v>
      </c>
      <c r="Q3373" s="1">
        <f>COUNTIFS($P:$P, "&gt;" &amp; $P3373) + 1</f>
        <v>1693</v>
      </c>
      <c r="R3373" s="63">
        <f>(COUNTIFS($P:$P, "&gt;" &amp; $P3373) + 1) / (COUNTA($I:$I) - 1)</f>
        <v>0.33860000000000001</v>
      </c>
      <c r="S3373" s="23">
        <f>SUMIFS($P:$P, $Q:$Q, "&lt;" &amp; $Q3373)</f>
        <v>177137382</v>
      </c>
    </row>
    <row r="3374" spans="1:19" x14ac:dyDescent="0.25">
      <c r="A3374" s="1">
        <v>3369</v>
      </c>
      <c r="B3374" s="1" t="s">
        <v>2</v>
      </c>
      <c r="C3374" s="1" t="str">
        <f>IF($B3374 = "Production Item", _xlfn.XLOOKUP($A3374, 'Instrument Table'!$J:$J, 'Instrument Table'!$B:$B, $C3373), IF($B3374 = "Service Item", _xlfn.XLOOKUP($A3374, 'Instrument Table'!$I:$I, 'Instrument Table'!$B:$B, $C3373), _xlfn.XLOOKUP($A3374, 'Instrument Table'!$H:$H, 'Instrument Table'!$B:$B, $C3373)))</f>
        <v>Theremin</v>
      </c>
      <c r="D3374" s="1" t="str">
        <f>VLOOKUP($C3374, 'Instrument Table'!$B:$C, 2, FALSE)</f>
        <v>Other</v>
      </c>
      <c r="E3374" s="1">
        <f t="shared" si="312"/>
        <v>1</v>
      </c>
      <c r="F3374" s="1">
        <f>_xlfn.XLOOKUP($C3374, 'Instrument Table'!$B:$B, 'Instrument Table'!$A:$A, "")</f>
        <v>60</v>
      </c>
      <c r="G3374" s="1" t="str">
        <f>TEXT(IF($B3374 = "Retail Item", IF((ROW($A3374) - 4504 - _xlfn.XMATCH($C3374, $C$4506:$C$5005, 0, 1)) &lt;= VLOOKUP($C3374, 'Instrument Table'!$B:$D, 3, FALSE), ROW($A3374) - 4504 - _xlfn.XMATCH($C3374, $C$4506:$C$5005, 0, 1), 0), 0), "00")</f>
        <v>00</v>
      </c>
      <c r="H3374" s="1" t="str">
        <f t="shared" si="313"/>
        <v>218</v>
      </c>
      <c r="I3374" s="1" t="str">
        <f t="shared" si="314"/>
        <v>16000-218</v>
      </c>
      <c r="J3374" s="1" t="str">
        <f t="shared" si="315"/>
        <v>Theremin production item #218</v>
      </c>
      <c r="K3374" s="1" t="str">
        <f>IF(SUM(COUNTIFS(I:I, I3374)) &gt; 1, "DUPLICATE", "UNIQUE")</f>
        <v>UNIQUE</v>
      </c>
      <c r="L3374" s="18">
        <v>1</v>
      </c>
      <c r="M3374" s="28">
        <v>5</v>
      </c>
      <c r="N3374" s="6">
        <v>361</v>
      </c>
      <c r="O3374" s="30">
        <f t="shared" si="316"/>
        <v>5</v>
      </c>
      <c r="P3374" s="30">
        <f t="shared" si="317"/>
        <v>1805</v>
      </c>
      <c r="Q3374" s="1">
        <f>COUNTIFS($P:$P, "&gt;" &amp; $P3374) + 1</f>
        <v>3328</v>
      </c>
      <c r="R3374" s="63">
        <f>(COUNTIFS($P:$P, "&gt;" &amp; $P3374) + 1) / (COUNTA($I:$I) - 1)</f>
        <v>0.66559999999999997</v>
      </c>
      <c r="S3374" s="23">
        <f>SUMIFS($P:$P, $Q:$Q, "&lt;" &amp; $Q3374)</f>
        <v>185660956</v>
      </c>
    </row>
    <row r="3375" spans="1:19" x14ac:dyDescent="0.25">
      <c r="A3375" s="1">
        <v>3370</v>
      </c>
      <c r="B3375" s="1" t="s">
        <v>2</v>
      </c>
      <c r="C3375" s="1" t="str">
        <f>IF($B3375 = "Production Item", _xlfn.XLOOKUP($A3375, 'Instrument Table'!$J:$J, 'Instrument Table'!$B:$B, $C3374), IF($B3375 = "Service Item", _xlfn.XLOOKUP($A3375, 'Instrument Table'!$I:$I, 'Instrument Table'!$B:$B, $C3374), _xlfn.XLOOKUP($A3375, 'Instrument Table'!$H:$H, 'Instrument Table'!$B:$B, $C3374)))</f>
        <v>Theremin</v>
      </c>
      <c r="D3375" s="1" t="str">
        <f>VLOOKUP($C3375, 'Instrument Table'!$B:$C, 2, FALSE)</f>
        <v>Other</v>
      </c>
      <c r="E3375" s="1">
        <f t="shared" si="312"/>
        <v>1</v>
      </c>
      <c r="F3375" s="1">
        <f>_xlfn.XLOOKUP($C3375, 'Instrument Table'!$B:$B, 'Instrument Table'!$A:$A, "")</f>
        <v>60</v>
      </c>
      <c r="G3375" s="1" t="str">
        <f>TEXT(IF($B3375 = "Retail Item", IF((ROW($A3375) - 4504 - _xlfn.XMATCH($C3375, $C$4506:$C$5005, 0, 1)) &lt;= VLOOKUP($C3375, 'Instrument Table'!$B:$D, 3, FALSE), ROW($A3375) - 4504 - _xlfn.XMATCH($C3375, $C$4506:$C$5005, 0, 1), 0), 0), "00")</f>
        <v>00</v>
      </c>
      <c r="H3375" s="1" t="str">
        <f t="shared" si="313"/>
        <v>219</v>
      </c>
      <c r="I3375" s="1" t="str">
        <f t="shared" si="314"/>
        <v>16000-219</v>
      </c>
      <c r="J3375" s="1" t="str">
        <f t="shared" si="315"/>
        <v>Theremin production item #219</v>
      </c>
      <c r="K3375" s="1" t="str">
        <f>IF(SUM(COUNTIFS(I:I, I3375)) &gt; 1, "DUPLICATE", "UNIQUE")</f>
        <v>UNIQUE</v>
      </c>
      <c r="L3375" s="18">
        <v>0</v>
      </c>
      <c r="M3375" s="28">
        <v>91</v>
      </c>
      <c r="N3375" s="6">
        <v>16</v>
      </c>
      <c r="O3375" s="30">
        <f t="shared" si="316"/>
        <v>0</v>
      </c>
      <c r="P3375" s="30">
        <f t="shared" si="317"/>
        <v>1456</v>
      </c>
      <c r="Q3375" s="1">
        <f>COUNTIFS($P:$P, "&gt;" &amp; $P3375) + 1</f>
        <v>3485</v>
      </c>
      <c r="R3375" s="63">
        <f>(COUNTIFS($P:$P, "&gt;" &amp; $P3375) + 1) / (COUNTA($I:$I) - 1)</f>
        <v>0.69699999999999995</v>
      </c>
      <c r="S3375" s="23">
        <f>SUMIFS($P:$P, $Q:$Q, "&lt;" &amp; $Q3375)</f>
        <v>185915814</v>
      </c>
    </row>
    <row r="3376" spans="1:19" x14ac:dyDescent="0.25">
      <c r="A3376" s="1">
        <v>3371</v>
      </c>
      <c r="B3376" s="1" t="s">
        <v>2</v>
      </c>
      <c r="C3376" s="1" t="str">
        <f>IF($B3376 = "Production Item", _xlfn.XLOOKUP($A3376, 'Instrument Table'!$J:$J, 'Instrument Table'!$B:$B, $C3375), IF($B3376 = "Service Item", _xlfn.XLOOKUP($A3376, 'Instrument Table'!$I:$I, 'Instrument Table'!$B:$B, $C3375), _xlfn.XLOOKUP($A3376, 'Instrument Table'!$H:$H, 'Instrument Table'!$B:$B, $C3375)))</f>
        <v>Theremin</v>
      </c>
      <c r="D3376" s="1" t="str">
        <f>VLOOKUP($C3376, 'Instrument Table'!$B:$C, 2, FALSE)</f>
        <v>Other</v>
      </c>
      <c r="E3376" s="1">
        <f t="shared" si="312"/>
        <v>1</v>
      </c>
      <c r="F3376" s="1">
        <f>_xlfn.XLOOKUP($C3376, 'Instrument Table'!$B:$B, 'Instrument Table'!$A:$A, "")</f>
        <v>60</v>
      </c>
      <c r="G3376" s="1" t="str">
        <f>TEXT(IF($B3376 = "Retail Item", IF((ROW($A3376) - 4504 - _xlfn.XMATCH($C3376, $C$4506:$C$5005, 0, 1)) &lt;= VLOOKUP($C3376, 'Instrument Table'!$B:$D, 3, FALSE), ROW($A3376) - 4504 - _xlfn.XMATCH($C3376, $C$4506:$C$5005, 0, 1), 0), 0), "00")</f>
        <v>00</v>
      </c>
      <c r="H3376" s="1" t="str">
        <f t="shared" si="313"/>
        <v>220</v>
      </c>
      <c r="I3376" s="1" t="str">
        <f t="shared" si="314"/>
        <v>16000-220</v>
      </c>
      <c r="J3376" s="1" t="str">
        <f t="shared" si="315"/>
        <v>Theremin production item #220</v>
      </c>
      <c r="K3376" s="1" t="str">
        <f>IF(SUM(COUNTIFS(I:I, I3376)) &gt; 1, "DUPLICATE", "UNIQUE")</f>
        <v>UNIQUE</v>
      </c>
      <c r="L3376" s="18">
        <v>32</v>
      </c>
      <c r="M3376" s="28">
        <v>38</v>
      </c>
      <c r="N3376" s="6">
        <v>25</v>
      </c>
      <c r="O3376" s="30">
        <f t="shared" si="316"/>
        <v>1216</v>
      </c>
      <c r="P3376" s="30">
        <f t="shared" si="317"/>
        <v>950</v>
      </c>
      <c r="Q3376" s="1">
        <f>COUNTIFS($P:$P, "&gt;" &amp; $P3376) + 1</f>
        <v>3703</v>
      </c>
      <c r="R3376" s="63">
        <f>(COUNTIFS($P:$P, "&gt;" &amp; $P3376) + 1) / (COUNTA($I:$I) - 1)</f>
        <v>0.74060000000000004</v>
      </c>
      <c r="S3376" s="23">
        <f>SUMIFS($P:$P, $Q:$Q, "&lt;" &amp; $Q3376)</f>
        <v>186181718</v>
      </c>
    </row>
    <row r="3377" spans="1:19" x14ac:dyDescent="0.25">
      <c r="A3377" s="1">
        <v>3372</v>
      </c>
      <c r="B3377" s="1" t="s">
        <v>2</v>
      </c>
      <c r="C3377" s="1" t="str">
        <f>IF($B3377 = "Production Item", _xlfn.XLOOKUP($A3377, 'Instrument Table'!$J:$J, 'Instrument Table'!$B:$B, $C3376), IF($B3377 = "Service Item", _xlfn.XLOOKUP($A3377, 'Instrument Table'!$I:$I, 'Instrument Table'!$B:$B, $C3376), _xlfn.XLOOKUP($A3377, 'Instrument Table'!$H:$H, 'Instrument Table'!$B:$B, $C3376)))</f>
        <v>Theremin</v>
      </c>
      <c r="D3377" s="1" t="str">
        <f>VLOOKUP($C3377, 'Instrument Table'!$B:$C, 2, FALSE)</f>
        <v>Other</v>
      </c>
      <c r="E3377" s="1">
        <f t="shared" si="312"/>
        <v>1</v>
      </c>
      <c r="F3377" s="1">
        <f>_xlfn.XLOOKUP($C3377, 'Instrument Table'!$B:$B, 'Instrument Table'!$A:$A, "")</f>
        <v>60</v>
      </c>
      <c r="G3377" s="1" t="str">
        <f>TEXT(IF($B3377 = "Retail Item", IF((ROW($A3377) - 4504 - _xlfn.XMATCH($C3377, $C$4506:$C$5005, 0, 1)) &lt;= VLOOKUP($C3377, 'Instrument Table'!$B:$D, 3, FALSE), ROW($A3377) - 4504 - _xlfn.XMATCH($C3377, $C$4506:$C$5005, 0, 1), 0), 0), "00")</f>
        <v>00</v>
      </c>
      <c r="H3377" s="1" t="str">
        <f t="shared" si="313"/>
        <v>221</v>
      </c>
      <c r="I3377" s="1" t="str">
        <f t="shared" si="314"/>
        <v>16000-221</v>
      </c>
      <c r="J3377" s="1" t="str">
        <f t="shared" si="315"/>
        <v>Theremin production item #221</v>
      </c>
      <c r="K3377" s="1" t="str">
        <f>IF(SUM(COUNTIFS(I:I, I3377)) &gt; 1, "DUPLICATE", "UNIQUE")</f>
        <v>UNIQUE</v>
      </c>
      <c r="L3377" s="18">
        <v>1</v>
      </c>
      <c r="M3377" s="28">
        <v>74</v>
      </c>
      <c r="N3377" s="6">
        <v>4</v>
      </c>
      <c r="O3377" s="30">
        <f t="shared" si="316"/>
        <v>74</v>
      </c>
      <c r="P3377" s="30">
        <f t="shared" si="317"/>
        <v>296</v>
      </c>
      <c r="Q3377" s="1">
        <f>COUNTIFS($P:$P, "&gt;" &amp; $P3377) + 1</f>
        <v>4223</v>
      </c>
      <c r="R3377" s="63">
        <f>(COUNTIFS($P:$P, "&gt;" &amp; $P3377) + 1) / (COUNTA($I:$I) - 1)</f>
        <v>0.84460000000000002</v>
      </c>
      <c r="S3377" s="23">
        <f>SUMIFS($P:$P, $Q:$Q, "&lt;" &amp; $Q3377)</f>
        <v>186487421</v>
      </c>
    </row>
    <row r="3378" spans="1:19" x14ac:dyDescent="0.25">
      <c r="A3378" s="1">
        <v>3373</v>
      </c>
      <c r="B3378" s="1" t="s">
        <v>2</v>
      </c>
      <c r="C3378" s="1" t="str">
        <f>IF($B3378 = "Production Item", _xlfn.XLOOKUP($A3378, 'Instrument Table'!$J:$J, 'Instrument Table'!$B:$B, $C3377), IF($B3378 = "Service Item", _xlfn.XLOOKUP($A3378, 'Instrument Table'!$I:$I, 'Instrument Table'!$B:$B, $C3377), _xlfn.XLOOKUP($A3378, 'Instrument Table'!$H:$H, 'Instrument Table'!$B:$B, $C3377)))</f>
        <v>Theremin</v>
      </c>
      <c r="D3378" s="1" t="str">
        <f>VLOOKUP($C3378, 'Instrument Table'!$B:$C, 2, FALSE)</f>
        <v>Other</v>
      </c>
      <c r="E3378" s="1">
        <f t="shared" si="312"/>
        <v>1</v>
      </c>
      <c r="F3378" s="1">
        <f>_xlfn.XLOOKUP($C3378, 'Instrument Table'!$B:$B, 'Instrument Table'!$A:$A, "")</f>
        <v>60</v>
      </c>
      <c r="G3378" s="1" t="str">
        <f>TEXT(IF($B3378 = "Retail Item", IF((ROW($A3378) - 4504 - _xlfn.XMATCH($C3378, $C$4506:$C$5005, 0, 1)) &lt;= VLOOKUP($C3378, 'Instrument Table'!$B:$D, 3, FALSE), ROW($A3378) - 4504 - _xlfn.XMATCH($C3378, $C$4506:$C$5005, 0, 1), 0), 0), "00")</f>
        <v>00</v>
      </c>
      <c r="H3378" s="1" t="str">
        <f t="shared" si="313"/>
        <v>222</v>
      </c>
      <c r="I3378" s="1" t="str">
        <f t="shared" si="314"/>
        <v>16000-222</v>
      </c>
      <c r="J3378" s="1" t="str">
        <f t="shared" si="315"/>
        <v>Theremin production item #222</v>
      </c>
      <c r="K3378" s="1" t="str">
        <f>IF(SUM(COUNTIFS(I:I, I3378)) &gt; 1, "DUPLICATE", "UNIQUE")</f>
        <v>UNIQUE</v>
      </c>
      <c r="L3378" s="18">
        <v>0</v>
      </c>
      <c r="M3378" s="28">
        <v>80</v>
      </c>
      <c r="N3378" s="6">
        <v>324</v>
      </c>
      <c r="O3378" s="30">
        <f t="shared" si="316"/>
        <v>0</v>
      </c>
      <c r="P3378" s="30">
        <f t="shared" si="317"/>
        <v>25920</v>
      </c>
      <c r="Q3378" s="1">
        <f>COUNTIFS($P:$P, "&gt;" &amp; $P3378) + 1</f>
        <v>794</v>
      </c>
      <c r="R3378" s="63">
        <f>(COUNTIFS($P:$P, "&gt;" &amp; $P3378) + 1) / (COUNTA($I:$I) - 1)</f>
        <v>0.1588</v>
      </c>
      <c r="S3378" s="23">
        <f>SUMIFS($P:$P, $Q:$Q, "&lt;" &amp; $Q3378)</f>
        <v>161672891</v>
      </c>
    </row>
    <row r="3379" spans="1:19" x14ac:dyDescent="0.25">
      <c r="A3379" s="1">
        <v>3374</v>
      </c>
      <c r="B3379" s="1" t="s">
        <v>2</v>
      </c>
      <c r="C3379" s="1" t="str">
        <f>IF($B3379 = "Production Item", _xlfn.XLOOKUP($A3379, 'Instrument Table'!$J:$J, 'Instrument Table'!$B:$B, $C3378), IF($B3379 = "Service Item", _xlfn.XLOOKUP($A3379, 'Instrument Table'!$I:$I, 'Instrument Table'!$B:$B, $C3378), _xlfn.XLOOKUP($A3379, 'Instrument Table'!$H:$H, 'Instrument Table'!$B:$B, $C3378)))</f>
        <v>Theremin</v>
      </c>
      <c r="D3379" s="1" t="str">
        <f>VLOOKUP($C3379, 'Instrument Table'!$B:$C, 2, FALSE)</f>
        <v>Other</v>
      </c>
      <c r="E3379" s="1">
        <f t="shared" si="312"/>
        <v>1</v>
      </c>
      <c r="F3379" s="1">
        <f>_xlfn.XLOOKUP($C3379, 'Instrument Table'!$B:$B, 'Instrument Table'!$A:$A, "")</f>
        <v>60</v>
      </c>
      <c r="G3379" s="1" t="str">
        <f>TEXT(IF($B3379 = "Retail Item", IF((ROW($A3379) - 4504 - _xlfn.XMATCH($C3379, $C$4506:$C$5005, 0, 1)) &lt;= VLOOKUP($C3379, 'Instrument Table'!$B:$D, 3, FALSE), ROW($A3379) - 4504 - _xlfn.XMATCH($C3379, $C$4506:$C$5005, 0, 1), 0), 0), "00")</f>
        <v>00</v>
      </c>
      <c r="H3379" s="1" t="str">
        <f t="shared" si="313"/>
        <v>223</v>
      </c>
      <c r="I3379" s="1" t="str">
        <f t="shared" si="314"/>
        <v>16000-223</v>
      </c>
      <c r="J3379" s="1" t="str">
        <f t="shared" si="315"/>
        <v>Theremin production item #223</v>
      </c>
      <c r="K3379" s="1" t="str">
        <f>IF(SUM(COUNTIFS(I:I, I3379)) &gt; 1, "DUPLICATE", "UNIQUE")</f>
        <v>UNIQUE</v>
      </c>
      <c r="L3379" s="18">
        <v>4</v>
      </c>
      <c r="M3379" s="28">
        <v>29</v>
      </c>
      <c r="N3379" s="6">
        <v>196</v>
      </c>
      <c r="O3379" s="30">
        <f t="shared" si="316"/>
        <v>116</v>
      </c>
      <c r="P3379" s="30">
        <f t="shared" si="317"/>
        <v>5684</v>
      </c>
      <c r="Q3379" s="1">
        <f>COUNTIFS($P:$P, "&gt;" &amp; $P3379) + 1</f>
        <v>2322</v>
      </c>
      <c r="R3379" s="63">
        <f>(COUNTIFS($P:$P, "&gt;" &amp; $P3379) + 1) / (COUNTA($I:$I) - 1)</f>
        <v>0.46439999999999998</v>
      </c>
      <c r="S3379" s="23">
        <f>SUMIFS($P:$P, $Q:$Q, "&lt;" &amp; $Q3379)</f>
        <v>182190656</v>
      </c>
    </row>
    <row r="3380" spans="1:19" x14ac:dyDescent="0.25">
      <c r="A3380" s="1">
        <v>3375</v>
      </c>
      <c r="B3380" s="1" t="s">
        <v>2</v>
      </c>
      <c r="C3380" s="1" t="str">
        <f>IF($B3380 = "Production Item", _xlfn.XLOOKUP($A3380, 'Instrument Table'!$J:$J, 'Instrument Table'!$B:$B, $C3379), IF($B3380 = "Service Item", _xlfn.XLOOKUP($A3380, 'Instrument Table'!$I:$I, 'Instrument Table'!$B:$B, $C3379), _xlfn.XLOOKUP($A3380, 'Instrument Table'!$H:$H, 'Instrument Table'!$B:$B, $C3379)))</f>
        <v>Theremin</v>
      </c>
      <c r="D3380" s="1" t="str">
        <f>VLOOKUP($C3380, 'Instrument Table'!$B:$C, 2, FALSE)</f>
        <v>Other</v>
      </c>
      <c r="E3380" s="1">
        <f t="shared" si="312"/>
        <v>1</v>
      </c>
      <c r="F3380" s="1">
        <f>_xlfn.XLOOKUP($C3380, 'Instrument Table'!$B:$B, 'Instrument Table'!$A:$A, "")</f>
        <v>60</v>
      </c>
      <c r="G3380" s="1" t="str">
        <f>TEXT(IF($B3380 = "Retail Item", IF((ROW($A3380) - 4504 - _xlfn.XMATCH($C3380, $C$4506:$C$5005, 0, 1)) &lt;= VLOOKUP($C3380, 'Instrument Table'!$B:$D, 3, FALSE), ROW($A3380) - 4504 - _xlfn.XMATCH($C3380, $C$4506:$C$5005, 0, 1), 0), 0), "00")</f>
        <v>00</v>
      </c>
      <c r="H3380" s="1" t="str">
        <f t="shared" si="313"/>
        <v>224</v>
      </c>
      <c r="I3380" s="1" t="str">
        <f t="shared" si="314"/>
        <v>16000-224</v>
      </c>
      <c r="J3380" s="1" t="str">
        <f t="shared" si="315"/>
        <v>Theremin production item #224</v>
      </c>
      <c r="K3380" s="1" t="str">
        <f>IF(SUM(COUNTIFS(I:I, I3380)) &gt; 1, "DUPLICATE", "UNIQUE")</f>
        <v>UNIQUE</v>
      </c>
      <c r="L3380" s="18">
        <v>0</v>
      </c>
      <c r="M3380" s="28">
        <v>67</v>
      </c>
      <c r="N3380" s="6">
        <v>100</v>
      </c>
      <c r="O3380" s="30">
        <f t="shared" si="316"/>
        <v>0</v>
      </c>
      <c r="P3380" s="30">
        <f t="shared" si="317"/>
        <v>6700</v>
      </c>
      <c r="Q3380" s="1">
        <f>COUNTIFS($P:$P, "&gt;" &amp; $P3380) + 1</f>
        <v>2183</v>
      </c>
      <c r="R3380" s="63">
        <f>(COUNTIFS($P:$P, "&gt;" &amp; $P3380) + 1) / (COUNTA($I:$I) - 1)</f>
        <v>0.43659999999999999</v>
      </c>
      <c r="S3380" s="23">
        <f>SUMIFS($P:$P, $Q:$Q, "&lt;" &amp; $Q3380)</f>
        <v>181338568</v>
      </c>
    </row>
    <row r="3381" spans="1:19" x14ac:dyDescent="0.25">
      <c r="A3381" s="1">
        <v>3376</v>
      </c>
      <c r="B3381" s="1" t="s">
        <v>2</v>
      </c>
      <c r="C3381" s="1" t="str">
        <f>IF($B3381 = "Production Item", _xlfn.XLOOKUP($A3381, 'Instrument Table'!$J:$J, 'Instrument Table'!$B:$B, $C3380), IF($B3381 = "Service Item", _xlfn.XLOOKUP($A3381, 'Instrument Table'!$I:$I, 'Instrument Table'!$B:$B, $C3380), _xlfn.XLOOKUP($A3381, 'Instrument Table'!$H:$H, 'Instrument Table'!$B:$B, $C3380)))</f>
        <v>Theremin</v>
      </c>
      <c r="D3381" s="1" t="str">
        <f>VLOOKUP($C3381, 'Instrument Table'!$B:$C, 2, FALSE)</f>
        <v>Other</v>
      </c>
      <c r="E3381" s="1">
        <f t="shared" si="312"/>
        <v>1</v>
      </c>
      <c r="F3381" s="1">
        <f>_xlfn.XLOOKUP($C3381, 'Instrument Table'!$B:$B, 'Instrument Table'!$A:$A, "")</f>
        <v>60</v>
      </c>
      <c r="G3381" s="1" t="str">
        <f>TEXT(IF($B3381 = "Retail Item", IF((ROW($A3381) - 4504 - _xlfn.XMATCH($C3381, $C$4506:$C$5005, 0, 1)) &lt;= VLOOKUP($C3381, 'Instrument Table'!$B:$D, 3, FALSE), ROW($A3381) - 4504 - _xlfn.XMATCH($C3381, $C$4506:$C$5005, 0, 1), 0), 0), "00")</f>
        <v>00</v>
      </c>
      <c r="H3381" s="1" t="str">
        <f t="shared" si="313"/>
        <v>225</v>
      </c>
      <c r="I3381" s="1" t="str">
        <f t="shared" si="314"/>
        <v>16000-225</v>
      </c>
      <c r="J3381" s="1" t="str">
        <f t="shared" si="315"/>
        <v>Theremin production item #225</v>
      </c>
      <c r="K3381" s="1" t="str">
        <f>IF(SUM(COUNTIFS(I:I, I3381)) &gt; 1, "DUPLICATE", "UNIQUE")</f>
        <v>UNIQUE</v>
      </c>
      <c r="L3381" s="18">
        <v>16</v>
      </c>
      <c r="M3381" s="28">
        <v>38</v>
      </c>
      <c r="N3381" s="6">
        <v>169</v>
      </c>
      <c r="O3381" s="30">
        <f t="shared" si="316"/>
        <v>608</v>
      </c>
      <c r="P3381" s="30">
        <f t="shared" si="317"/>
        <v>6422</v>
      </c>
      <c r="Q3381" s="1">
        <f>COUNTIFS($P:$P, "&gt;" &amp; $P3381) + 1</f>
        <v>2214</v>
      </c>
      <c r="R3381" s="63">
        <f>(COUNTIFS($P:$P, "&gt;" &amp; $P3381) + 1) / (COUNTA($I:$I) - 1)</f>
        <v>0.44280000000000003</v>
      </c>
      <c r="S3381" s="23">
        <f>SUMIFS($P:$P, $Q:$Q, "&lt;" &amp; $Q3381)</f>
        <v>181542436</v>
      </c>
    </row>
    <row r="3382" spans="1:19" x14ac:dyDescent="0.25">
      <c r="A3382" s="1">
        <v>3377</v>
      </c>
      <c r="B3382" s="1" t="s">
        <v>2</v>
      </c>
      <c r="C3382" s="1" t="str">
        <f>IF($B3382 = "Production Item", _xlfn.XLOOKUP($A3382, 'Instrument Table'!$J:$J, 'Instrument Table'!$B:$B, $C3381), IF($B3382 = "Service Item", _xlfn.XLOOKUP($A3382, 'Instrument Table'!$I:$I, 'Instrument Table'!$B:$B, $C3381), _xlfn.XLOOKUP($A3382, 'Instrument Table'!$H:$H, 'Instrument Table'!$B:$B, $C3381)))</f>
        <v>Theremin</v>
      </c>
      <c r="D3382" s="1" t="str">
        <f>VLOOKUP($C3382, 'Instrument Table'!$B:$C, 2, FALSE)</f>
        <v>Other</v>
      </c>
      <c r="E3382" s="1">
        <f t="shared" si="312"/>
        <v>1</v>
      </c>
      <c r="F3382" s="1">
        <f>_xlfn.XLOOKUP($C3382, 'Instrument Table'!$B:$B, 'Instrument Table'!$A:$A, "")</f>
        <v>60</v>
      </c>
      <c r="G3382" s="1" t="str">
        <f>TEXT(IF($B3382 = "Retail Item", IF((ROW($A3382) - 4504 - _xlfn.XMATCH($C3382, $C$4506:$C$5005, 0, 1)) &lt;= VLOOKUP($C3382, 'Instrument Table'!$B:$D, 3, FALSE), ROW($A3382) - 4504 - _xlfn.XMATCH($C3382, $C$4506:$C$5005, 0, 1), 0), 0), "00")</f>
        <v>00</v>
      </c>
      <c r="H3382" s="1" t="str">
        <f t="shared" si="313"/>
        <v>226</v>
      </c>
      <c r="I3382" s="1" t="str">
        <f t="shared" si="314"/>
        <v>16000-226</v>
      </c>
      <c r="J3382" s="1" t="str">
        <f t="shared" si="315"/>
        <v>Theremin production item #226</v>
      </c>
      <c r="K3382" s="1" t="str">
        <f>IF(SUM(COUNTIFS(I:I, I3382)) &gt; 1, "DUPLICATE", "UNIQUE")</f>
        <v>UNIQUE</v>
      </c>
      <c r="L3382" s="18">
        <v>16</v>
      </c>
      <c r="M3382" s="28">
        <v>32</v>
      </c>
      <c r="N3382" s="6">
        <v>81</v>
      </c>
      <c r="O3382" s="30">
        <f t="shared" si="316"/>
        <v>512</v>
      </c>
      <c r="P3382" s="30">
        <f t="shared" si="317"/>
        <v>2592</v>
      </c>
      <c r="Q3382" s="1">
        <f>COUNTIFS($P:$P, "&gt;" &amp; $P3382) + 1</f>
        <v>3012</v>
      </c>
      <c r="R3382" s="63">
        <f>(COUNTIFS($P:$P, "&gt;" &amp; $P3382) + 1) / (COUNTA($I:$I) - 1)</f>
        <v>0.60240000000000005</v>
      </c>
      <c r="S3382" s="23">
        <f>SUMIFS($P:$P, $Q:$Q, "&lt;" &amp; $Q3382)</f>
        <v>184963466</v>
      </c>
    </row>
    <row r="3383" spans="1:19" x14ac:dyDescent="0.25">
      <c r="A3383" s="1">
        <v>3378</v>
      </c>
      <c r="B3383" s="1" t="s">
        <v>2</v>
      </c>
      <c r="C3383" s="1" t="str">
        <f>IF($B3383 = "Production Item", _xlfn.XLOOKUP($A3383, 'Instrument Table'!$J:$J, 'Instrument Table'!$B:$B, $C3382), IF($B3383 = "Service Item", _xlfn.XLOOKUP($A3383, 'Instrument Table'!$I:$I, 'Instrument Table'!$B:$B, $C3382), _xlfn.XLOOKUP($A3383, 'Instrument Table'!$H:$H, 'Instrument Table'!$B:$B, $C3382)))</f>
        <v>Theremin</v>
      </c>
      <c r="D3383" s="1" t="str">
        <f>VLOOKUP($C3383, 'Instrument Table'!$B:$C, 2, FALSE)</f>
        <v>Other</v>
      </c>
      <c r="E3383" s="1">
        <f t="shared" si="312"/>
        <v>1</v>
      </c>
      <c r="F3383" s="1">
        <f>_xlfn.XLOOKUP($C3383, 'Instrument Table'!$B:$B, 'Instrument Table'!$A:$A, "")</f>
        <v>60</v>
      </c>
      <c r="G3383" s="1" t="str">
        <f>TEXT(IF($B3383 = "Retail Item", IF((ROW($A3383) - 4504 - _xlfn.XMATCH($C3383, $C$4506:$C$5005, 0, 1)) &lt;= VLOOKUP($C3383, 'Instrument Table'!$B:$D, 3, FALSE), ROW($A3383) - 4504 - _xlfn.XMATCH($C3383, $C$4506:$C$5005, 0, 1), 0), 0), "00")</f>
        <v>00</v>
      </c>
      <c r="H3383" s="1" t="str">
        <f t="shared" si="313"/>
        <v>227</v>
      </c>
      <c r="I3383" s="1" t="str">
        <f t="shared" si="314"/>
        <v>16000-227</v>
      </c>
      <c r="J3383" s="1" t="str">
        <f t="shared" si="315"/>
        <v>Theremin production item #227</v>
      </c>
      <c r="K3383" s="1" t="str">
        <f>IF(SUM(COUNTIFS(I:I, I3383)) &gt; 1, "DUPLICATE", "UNIQUE")</f>
        <v>UNIQUE</v>
      </c>
      <c r="L3383" s="18">
        <v>16</v>
      </c>
      <c r="M3383" s="28">
        <v>88</v>
      </c>
      <c r="N3383" s="6">
        <v>1</v>
      </c>
      <c r="O3383" s="30">
        <f t="shared" si="316"/>
        <v>1408</v>
      </c>
      <c r="P3383" s="30">
        <f t="shared" si="317"/>
        <v>88</v>
      </c>
      <c r="Q3383" s="1">
        <f>COUNTIFS($P:$P, "&gt;" &amp; $P3383) + 1</f>
        <v>4484</v>
      </c>
      <c r="R3383" s="63">
        <f>(COUNTIFS($P:$P, "&gt;" &amp; $P3383) + 1) / (COUNTA($I:$I) - 1)</f>
        <v>0.89680000000000004</v>
      </c>
      <c r="S3383" s="23">
        <f>SUMIFS($P:$P, $Q:$Q, "&lt;" &amp; $Q3383)</f>
        <v>186535476</v>
      </c>
    </row>
    <row r="3384" spans="1:19" x14ac:dyDescent="0.25">
      <c r="A3384" s="1">
        <v>3379</v>
      </c>
      <c r="B3384" s="1" t="s">
        <v>2</v>
      </c>
      <c r="C3384" s="1" t="str">
        <f>IF($B3384 = "Production Item", _xlfn.XLOOKUP($A3384, 'Instrument Table'!$J:$J, 'Instrument Table'!$B:$B, $C3383), IF($B3384 = "Service Item", _xlfn.XLOOKUP($A3384, 'Instrument Table'!$I:$I, 'Instrument Table'!$B:$B, $C3383), _xlfn.XLOOKUP($A3384, 'Instrument Table'!$H:$H, 'Instrument Table'!$B:$B, $C3383)))</f>
        <v>Theremin</v>
      </c>
      <c r="D3384" s="1" t="str">
        <f>VLOOKUP($C3384, 'Instrument Table'!$B:$C, 2, FALSE)</f>
        <v>Other</v>
      </c>
      <c r="E3384" s="1">
        <f t="shared" si="312"/>
        <v>1</v>
      </c>
      <c r="F3384" s="1">
        <f>_xlfn.XLOOKUP($C3384, 'Instrument Table'!$B:$B, 'Instrument Table'!$A:$A, "")</f>
        <v>60</v>
      </c>
      <c r="G3384" s="1" t="str">
        <f>TEXT(IF($B3384 = "Retail Item", IF((ROW($A3384) - 4504 - _xlfn.XMATCH($C3384, $C$4506:$C$5005, 0, 1)) &lt;= VLOOKUP($C3384, 'Instrument Table'!$B:$D, 3, FALSE), ROW($A3384) - 4504 - _xlfn.XMATCH($C3384, $C$4506:$C$5005, 0, 1), 0), 0), "00")</f>
        <v>00</v>
      </c>
      <c r="H3384" s="1" t="str">
        <f t="shared" si="313"/>
        <v>228</v>
      </c>
      <c r="I3384" s="1" t="str">
        <f t="shared" si="314"/>
        <v>16000-228</v>
      </c>
      <c r="J3384" s="1" t="str">
        <f t="shared" si="315"/>
        <v>Theremin production item #228</v>
      </c>
      <c r="K3384" s="1" t="str">
        <f>IF(SUM(COUNTIFS(I:I, I3384)) &gt; 1, "DUPLICATE", "UNIQUE")</f>
        <v>UNIQUE</v>
      </c>
      <c r="L3384" s="18">
        <v>1</v>
      </c>
      <c r="M3384" s="28">
        <v>21</v>
      </c>
      <c r="N3384" s="6">
        <v>169</v>
      </c>
      <c r="O3384" s="30">
        <f t="shared" si="316"/>
        <v>21</v>
      </c>
      <c r="P3384" s="30">
        <f t="shared" si="317"/>
        <v>3549</v>
      </c>
      <c r="Q3384" s="1">
        <f>COUNTIFS($P:$P, "&gt;" &amp; $P3384) + 1</f>
        <v>2756</v>
      </c>
      <c r="R3384" s="63">
        <f>(COUNTIFS($P:$P, "&gt;" &amp; $P3384) + 1) / (COUNTA($I:$I) - 1)</f>
        <v>0.55120000000000002</v>
      </c>
      <c r="S3384" s="23">
        <f>SUMIFS($P:$P, $Q:$Q, "&lt;" &amp; $Q3384)</f>
        <v>184172230</v>
      </c>
    </row>
    <row r="3385" spans="1:19" x14ac:dyDescent="0.25">
      <c r="A3385" s="1">
        <v>3380</v>
      </c>
      <c r="B3385" s="1" t="s">
        <v>2</v>
      </c>
      <c r="C3385" s="1" t="str">
        <f>IF($B3385 = "Production Item", _xlfn.XLOOKUP($A3385, 'Instrument Table'!$J:$J, 'Instrument Table'!$B:$B, $C3384), IF($B3385 = "Service Item", _xlfn.XLOOKUP($A3385, 'Instrument Table'!$I:$I, 'Instrument Table'!$B:$B, $C3384), _xlfn.XLOOKUP($A3385, 'Instrument Table'!$H:$H, 'Instrument Table'!$B:$B, $C3384)))</f>
        <v>Theremin</v>
      </c>
      <c r="D3385" s="1" t="str">
        <f>VLOOKUP($C3385, 'Instrument Table'!$B:$C, 2, FALSE)</f>
        <v>Other</v>
      </c>
      <c r="E3385" s="1">
        <f t="shared" si="312"/>
        <v>1</v>
      </c>
      <c r="F3385" s="1">
        <f>_xlfn.XLOOKUP($C3385, 'Instrument Table'!$B:$B, 'Instrument Table'!$A:$A, "")</f>
        <v>60</v>
      </c>
      <c r="G3385" s="1" t="str">
        <f>TEXT(IF($B3385 = "Retail Item", IF((ROW($A3385) - 4504 - _xlfn.XMATCH($C3385, $C$4506:$C$5005, 0, 1)) &lt;= VLOOKUP($C3385, 'Instrument Table'!$B:$D, 3, FALSE), ROW($A3385) - 4504 - _xlfn.XMATCH($C3385, $C$4506:$C$5005, 0, 1), 0), 0), "00")</f>
        <v>00</v>
      </c>
      <c r="H3385" s="1" t="str">
        <f t="shared" si="313"/>
        <v>229</v>
      </c>
      <c r="I3385" s="1" t="str">
        <f t="shared" si="314"/>
        <v>16000-229</v>
      </c>
      <c r="J3385" s="1" t="str">
        <f t="shared" si="315"/>
        <v>Theremin production item #229</v>
      </c>
      <c r="K3385" s="1" t="str">
        <f>IF(SUM(COUNTIFS(I:I, I3385)) &gt; 1, "DUPLICATE", "UNIQUE")</f>
        <v>UNIQUE</v>
      </c>
      <c r="L3385" s="18">
        <v>4</v>
      </c>
      <c r="M3385" s="28">
        <v>77</v>
      </c>
      <c r="N3385" s="6">
        <v>289</v>
      </c>
      <c r="O3385" s="30">
        <f t="shared" si="316"/>
        <v>308</v>
      </c>
      <c r="P3385" s="30">
        <f t="shared" si="317"/>
        <v>22253</v>
      </c>
      <c r="Q3385" s="1">
        <f>COUNTIFS($P:$P, "&gt;" &amp; $P3385) + 1</f>
        <v>941</v>
      </c>
      <c r="R3385" s="63">
        <f>(COUNTIFS($P:$P, "&gt;" &amp; $P3385) + 1) / (COUNTA($I:$I) - 1)</f>
        <v>0.18820000000000001</v>
      </c>
      <c r="S3385" s="23">
        <f>SUMIFS($P:$P, $Q:$Q, "&lt;" &amp; $Q3385)</f>
        <v>165210049</v>
      </c>
    </row>
    <row r="3386" spans="1:19" x14ac:dyDescent="0.25">
      <c r="A3386" s="1">
        <v>3381</v>
      </c>
      <c r="B3386" s="1" t="s">
        <v>2</v>
      </c>
      <c r="C3386" s="1" t="str">
        <f>IF($B3386 = "Production Item", _xlfn.XLOOKUP($A3386, 'Instrument Table'!$J:$J, 'Instrument Table'!$B:$B, $C3385), IF($B3386 = "Service Item", _xlfn.XLOOKUP($A3386, 'Instrument Table'!$I:$I, 'Instrument Table'!$B:$B, $C3385), _xlfn.XLOOKUP($A3386, 'Instrument Table'!$H:$H, 'Instrument Table'!$B:$B, $C3385)))</f>
        <v>Theremin</v>
      </c>
      <c r="D3386" s="1" t="str">
        <f>VLOOKUP($C3386, 'Instrument Table'!$B:$C, 2, FALSE)</f>
        <v>Other</v>
      </c>
      <c r="E3386" s="1">
        <f t="shared" si="312"/>
        <v>1</v>
      </c>
      <c r="F3386" s="1">
        <f>_xlfn.XLOOKUP($C3386, 'Instrument Table'!$B:$B, 'Instrument Table'!$A:$A, "")</f>
        <v>60</v>
      </c>
      <c r="G3386" s="1" t="str">
        <f>TEXT(IF($B3386 = "Retail Item", IF((ROW($A3386) - 4504 - _xlfn.XMATCH($C3386, $C$4506:$C$5005, 0, 1)) &lt;= VLOOKUP($C3386, 'Instrument Table'!$B:$D, 3, FALSE), ROW($A3386) - 4504 - _xlfn.XMATCH($C3386, $C$4506:$C$5005, 0, 1), 0), 0), "00")</f>
        <v>00</v>
      </c>
      <c r="H3386" s="1" t="str">
        <f t="shared" si="313"/>
        <v>230</v>
      </c>
      <c r="I3386" s="1" t="str">
        <f t="shared" si="314"/>
        <v>16000-230</v>
      </c>
      <c r="J3386" s="1" t="str">
        <f t="shared" si="315"/>
        <v>Theremin production item #230</v>
      </c>
      <c r="K3386" s="1" t="str">
        <f>IF(SUM(COUNTIFS(I:I, I3386)) &gt; 1, "DUPLICATE", "UNIQUE")</f>
        <v>UNIQUE</v>
      </c>
      <c r="L3386" s="18">
        <v>1</v>
      </c>
      <c r="M3386" s="28">
        <v>24</v>
      </c>
      <c r="N3386" s="6">
        <v>0</v>
      </c>
      <c r="O3386" s="30">
        <f t="shared" si="316"/>
        <v>24</v>
      </c>
      <c r="P3386" s="30">
        <f t="shared" si="317"/>
        <v>0</v>
      </c>
      <c r="Q3386" s="1">
        <f>COUNTIFS($P:$P, "&gt;" &amp; $P3386) + 1</f>
        <v>4746</v>
      </c>
      <c r="R3386" s="63">
        <f>(COUNTIFS($P:$P, "&gt;" &amp; $P3386) + 1) / (COUNTA($I:$I) - 1)</f>
        <v>0.94920000000000004</v>
      </c>
      <c r="S3386" s="23">
        <f>SUMIFS($P:$P, $Q:$Q, "&lt;" &amp; $Q3386)</f>
        <v>186547861</v>
      </c>
    </row>
    <row r="3387" spans="1:19" x14ac:dyDescent="0.25">
      <c r="A3387" s="1">
        <v>3382</v>
      </c>
      <c r="B3387" s="1" t="s">
        <v>2</v>
      </c>
      <c r="C3387" s="1" t="str">
        <f>IF($B3387 = "Production Item", _xlfn.XLOOKUP($A3387, 'Instrument Table'!$J:$J, 'Instrument Table'!$B:$B, $C3386), IF($B3387 = "Service Item", _xlfn.XLOOKUP($A3387, 'Instrument Table'!$I:$I, 'Instrument Table'!$B:$B, $C3386), _xlfn.XLOOKUP($A3387, 'Instrument Table'!$H:$H, 'Instrument Table'!$B:$B, $C3386)))</f>
        <v>Theremin</v>
      </c>
      <c r="D3387" s="1" t="str">
        <f>VLOOKUP($C3387, 'Instrument Table'!$B:$C, 2, FALSE)</f>
        <v>Other</v>
      </c>
      <c r="E3387" s="1">
        <f t="shared" si="312"/>
        <v>1</v>
      </c>
      <c r="F3387" s="1">
        <f>_xlfn.XLOOKUP($C3387, 'Instrument Table'!$B:$B, 'Instrument Table'!$A:$A, "")</f>
        <v>60</v>
      </c>
      <c r="G3387" s="1" t="str">
        <f>TEXT(IF($B3387 = "Retail Item", IF((ROW($A3387) - 4504 - _xlfn.XMATCH($C3387, $C$4506:$C$5005, 0, 1)) &lt;= VLOOKUP($C3387, 'Instrument Table'!$B:$D, 3, FALSE), ROW($A3387) - 4504 - _xlfn.XMATCH($C3387, $C$4506:$C$5005, 0, 1), 0), 0), "00")</f>
        <v>00</v>
      </c>
      <c r="H3387" s="1" t="str">
        <f t="shared" si="313"/>
        <v>231</v>
      </c>
      <c r="I3387" s="1" t="str">
        <f t="shared" si="314"/>
        <v>16000-231</v>
      </c>
      <c r="J3387" s="1" t="str">
        <f t="shared" si="315"/>
        <v>Theremin production item #231</v>
      </c>
      <c r="K3387" s="1" t="str">
        <f>IF(SUM(COUNTIFS(I:I, I3387)) &gt; 1, "DUPLICATE", "UNIQUE")</f>
        <v>UNIQUE</v>
      </c>
      <c r="L3387" s="18">
        <v>0</v>
      </c>
      <c r="M3387" s="28">
        <v>92</v>
      </c>
      <c r="N3387" s="6">
        <v>169</v>
      </c>
      <c r="O3387" s="30">
        <f t="shared" si="316"/>
        <v>0</v>
      </c>
      <c r="P3387" s="30">
        <f t="shared" si="317"/>
        <v>15548</v>
      </c>
      <c r="Q3387" s="1">
        <f>COUNTIFS($P:$P, "&gt;" &amp; $P3387) + 1</f>
        <v>1312</v>
      </c>
      <c r="R3387" s="63">
        <f>(COUNTIFS($P:$P, "&gt;" &amp; $P3387) + 1) / (COUNTA($I:$I) - 1)</f>
        <v>0.26240000000000002</v>
      </c>
      <c r="S3387" s="23">
        <f>SUMIFS($P:$P, $Q:$Q, "&lt;" &amp; $Q3387)</f>
        <v>172161319</v>
      </c>
    </row>
    <row r="3388" spans="1:19" x14ac:dyDescent="0.25">
      <c r="A3388" s="1">
        <v>3383</v>
      </c>
      <c r="B3388" s="1" t="s">
        <v>2</v>
      </c>
      <c r="C3388" s="1" t="str">
        <f>IF($B3388 = "Production Item", _xlfn.XLOOKUP($A3388, 'Instrument Table'!$J:$J, 'Instrument Table'!$B:$B, $C3387), IF($B3388 = "Service Item", _xlfn.XLOOKUP($A3388, 'Instrument Table'!$I:$I, 'Instrument Table'!$B:$B, $C3387), _xlfn.XLOOKUP($A3388, 'Instrument Table'!$H:$H, 'Instrument Table'!$B:$B, $C3387)))</f>
        <v>Theremin</v>
      </c>
      <c r="D3388" s="1" t="str">
        <f>VLOOKUP($C3388, 'Instrument Table'!$B:$C, 2, FALSE)</f>
        <v>Other</v>
      </c>
      <c r="E3388" s="1">
        <f t="shared" si="312"/>
        <v>1</v>
      </c>
      <c r="F3388" s="1">
        <f>_xlfn.XLOOKUP($C3388, 'Instrument Table'!$B:$B, 'Instrument Table'!$A:$A, "")</f>
        <v>60</v>
      </c>
      <c r="G3388" s="1" t="str">
        <f>TEXT(IF($B3388 = "Retail Item", IF((ROW($A3388) - 4504 - _xlfn.XMATCH($C3388, $C$4506:$C$5005, 0, 1)) &lt;= VLOOKUP($C3388, 'Instrument Table'!$B:$D, 3, FALSE), ROW($A3388) - 4504 - _xlfn.XMATCH($C3388, $C$4506:$C$5005, 0, 1), 0), 0), "00")</f>
        <v>00</v>
      </c>
      <c r="H3388" s="1" t="str">
        <f t="shared" si="313"/>
        <v>232</v>
      </c>
      <c r="I3388" s="1" t="str">
        <f t="shared" si="314"/>
        <v>16000-232</v>
      </c>
      <c r="J3388" s="1" t="str">
        <f t="shared" si="315"/>
        <v>Theremin production item #232</v>
      </c>
      <c r="K3388" s="1" t="str">
        <f>IF(SUM(COUNTIFS(I:I, I3388)) &gt; 1, "DUPLICATE", "UNIQUE")</f>
        <v>UNIQUE</v>
      </c>
      <c r="L3388" s="18">
        <v>8</v>
      </c>
      <c r="M3388" s="28">
        <v>7</v>
      </c>
      <c r="N3388" s="6">
        <v>100</v>
      </c>
      <c r="O3388" s="30">
        <f t="shared" si="316"/>
        <v>56</v>
      </c>
      <c r="P3388" s="30">
        <f t="shared" si="317"/>
        <v>700</v>
      </c>
      <c r="Q3388" s="1">
        <f>COUNTIFS($P:$P, "&gt;" &amp; $P3388) + 1</f>
        <v>3882</v>
      </c>
      <c r="R3388" s="63">
        <f>(COUNTIFS($P:$P, "&gt;" &amp; $P3388) + 1) / (COUNTA($I:$I) - 1)</f>
        <v>0.77639999999999998</v>
      </c>
      <c r="S3388" s="23">
        <f>SUMIFS($P:$P, $Q:$Q, "&lt;" &amp; $Q3388)</f>
        <v>186326493</v>
      </c>
    </row>
    <row r="3389" spans="1:19" x14ac:dyDescent="0.25">
      <c r="A3389" s="1">
        <v>3384</v>
      </c>
      <c r="B3389" s="1" t="s">
        <v>2</v>
      </c>
      <c r="C3389" s="1" t="str">
        <f>IF($B3389 = "Production Item", _xlfn.XLOOKUP($A3389, 'Instrument Table'!$J:$J, 'Instrument Table'!$B:$B, $C3388), IF($B3389 = "Service Item", _xlfn.XLOOKUP($A3389, 'Instrument Table'!$I:$I, 'Instrument Table'!$B:$B, $C3388), _xlfn.XLOOKUP($A3389, 'Instrument Table'!$H:$H, 'Instrument Table'!$B:$B, $C3388)))</f>
        <v>Theremin</v>
      </c>
      <c r="D3389" s="1" t="str">
        <f>VLOOKUP($C3389, 'Instrument Table'!$B:$C, 2, FALSE)</f>
        <v>Other</v>
      </c>
      <c r="E3389" s="1">
        <f t="shared" si="312"/>
        <v>1</v>
      </c>
      <c r="F3389" s="1">
        <f>_xlfn.XLOOKUP($C3389, 'Instrument Table'!$B:$B, 'Instrument Table'!$A:$A, "")</f>
        <v>60</v>
      </c>
      <c r="G3389" s="1" t="str">
        <f>TEXT(IF($B3389 = "Retail Item", IF((ROW($A3389) - 4504 - _xlfn.XMATCH($C3389, $C$4506:$C$5005, 0, 1)) &lt;= VLOOKUP($C3389, 'Instrument Table'!$B:$D, 3, FALSE), ROW($A3389) - 4504 - _xlfn.XMATCH($C3389, $C$4506:$C$5005, 0, 1), 0), 0), "00")</f>
        <v>00</v>
      </c>
      <c r="H3389" s="1" t="str">
        <f t="shared" si="313"/>
        <v>233</v>
      </c>
      <c r="I3389" s="1" t="str">
        <f t="shared" si="314"/>
        <v>16000-233</v>
      </c>
      <c r="J3389" s="1" t="str">
        <f t="shared" si="315"/>
        <v>Theremin production item #233</v>
      </c>
      <c r="K3389" s="1" t="str">
        <f>IF(SUM(COUNTIFS(I:I, I3389)) &gt; 1, "DUPLICATE", "UNIQUE")</f>
        <v>UNIQUE</v>
      </c>
      <c r="L3389" s="18">
        <v>8</v>
      </c>
      <c r="M3389" s="28">
        <v>34</v>
      </c>
      <c r="N3389" s="6">
        <v>0</v>
      </c>
      <c r="O3389" s="30">
        <f t="shared" si="316"/>
        <v>272</v>
      </c>
      <c r="P3389" s="30">
        <f t="shared" si="317"/>
        <v>0</v>
      </c>
      <c r="Q3389" s="1">
        <f>COUNTIFS($P:$P, "&gt;" &amp; $P3389) + 1</f>
        <v>4746</v>
      </c>
      <c r="R3389" s="63">
        <f>(COUNTIFS($P:$P, "&gt;" &amp; $P3389) + 1) / (COUNTA($I:$I) - 1)</f>
        <v>0.94920000000000004</v>
      </c>
      <c r="S3389" s="23">
        <f>SUMIFS($P:$P, $Q:$Q, "&lt;" &amp; $Q3389)</f>
        <v>186547861</v>
      </c>
    </row>
    <row r="3390" spans="1:19" x14ac:dyDescent="0.25">
      <c r="A3390" s="1">
        <v>3385</v>
      </c>
      <c r="B3390" s="1" t="s">
        <v>2</v>
      </c>
      <c r="C3390" s="1" t="str">
        <f>IF($B3390 = "Production Item", _xlfn.XLOOKUP($A3390, 'Instrument Table'!$J:$J, 'Instrument Table'!$B:$B, $C3389), IF($B3390 = "Service Item", _xlfn.XLOOKUP($A3390, 'Instrument Table'!$I:$I, 'Instrument Table'!$B:$B, $C3389), _xlfn.XLOOKUP($A3390, 'Instrument Table'!$H:$H, 'Instrument Table'!$B:$B, $C3389)))</f>
        <v>Theremin</v>
      </c>
      <c r="D3390" s="1" t="str">
        <f>VLOOKUP($C3390, 'Instrument Table'!$B:$C, 2, FALSE)</f>
        <v>Other</v>
      </c>
      <c r="E3390" s="1">
        <f t="shared" si="312"/>
        <v>1</v>
      </c>
      <c r="F3390" s="1">
        <f>_xlfn.XLOOKUP($C3390, 'Instrument Table'!$B:$B, 'Instrument Table'!$A:$A, "")</f>
        <v>60</v>
      </c>
      <c r="G3390" s="1" t="str">
        <f>TEXT(IF($B3390 = "Retail Item", IF((ROW($A3390) - 4504 - _xlfn.XMATCH($C3390, $C$4506:$C$5005, 0, 1)) &lt;= VLOOKUP($C3390, 'Instrument Table'!$B:$D, 3, FALSE), ROW($A3390) - 4504 - _xlfn.XMATCH($C3390, $C$4506:$C$5005, 0, 1), 0), 0), "00")</f>
        <v>00</v>
      </c>
      <c r="H3390" s="1" t="str">
        <f t="shared" si="313"/>
        <v>234</v>
      </c>
      <c r="I3390" s="1" t="str">
        <f t="shared" si="314"/>
        <v>16000-234</v>
      </c>
      <c r="J3390" s="1" t="str">
        <f t="shared" si="315"/>
        <v>Theremin production item #234</v>
      </c>
      <c r="K3390" s="1" t="str">
        <f>IF(SUM(COUNTIFS(I:I, I3390)) &gt; 1, "DUPLICATE", "UNIQUE")</f>
        <v>UNIQUE</v>
      </c>
      <c r="L3390" s="18">
        <v>1</v>
      </c>
      <c r="M3390" s="28">
        <v>29</v>
      </c>
      <c r="N3390" s="6">
        <v>81</v>
      </c>
      <c r="O3390" s="30">
        <f t="shared" si="316"/>
        <v>29</v>
      </c>
      <c r="P3390" s="30">
        <f t="shared" si="317"/>
        <v>2349</v>
      </c>
      <c r="Q3390" s="1">
        <f>COUNTIFS($P:$P, "&gt;" &amp; $P3390) + 1</f>
        <v>3107</v>
      </c>
      <c r="R3390" s="63">
        <f>(COUNTIFS($P:$P, "&gt;" &amp; $P3390) + 1) / (COUNTA($I:$I) - 1)</f>
        <v>0.62139999999999995</v>
      </c>
      <c r="S3390" s="23">
        <f>SUMIFS($P:$P, $Q:$Q, "&lt;" &amp; $Q3390)</f>
        <v>185198957</v>
      </c>
    </row>
    <row r="3391" spans="1:19" x14ac:dyDescent="0.25">
      <c r="A3391" s="1">
        <v>3386</v>
      </c>
      <c r="B3391" s="1" t="s">
        <v>2</v>
      </c>
      <c r="C3391" s="1" t="str">
        <f>IF($B3391 = "Production Item", _xlfn.XLOOKUP($A3391, 'Instrument Table'!$J:$J, 'Instrument Table'!$B:$B, $C3390), IF($B3391 = "Service Item", _xlfn.XLOOKUP($A3391, 'Instrument Table'!$I:$I, 'Instrument Table'!$B:$B, $C3390), _xlfn.XLOOKUP($A3391, 'Instrument Table'!$H:$H, 'Instrument Table'!$B:$B, $C3390)))</f>
        <v>Theremin</v>
      </c>
      <c r="D3391" s="1" t="str">
        <f>VLOOKUP($C3391, 'Instrument Table'!$B:$C, 2, FALSE)</f>
        <v>Other</v>
      </c>
      <c r="E3391" s="1">
        <f t="shared" si="312"/>
        <v>1</v>
      </c>
      <c r="F3391" s="1">
        <f>_xlfn.XLOOKUP($C3391, 'Instrument Table'!$B:$B, 'Instrument Table'!$A:$A, "")</f>
        <v>60</v>
      </c>
      <c r="G3391" s="1" t="str">
        <f>TEXT(IF($B3391 = "Retail Item", IF((ROW($A3391) - 4504 - _xlfn.XMATCH($C3391, $C$4506:$C$5005, 0, 1)) &lt;= VLOOKUP($C3391, 'Instrument Table'!$B:$D, 3, FALSE), ROW($A3391) - 4504 - _xlfn.XMATCH($C3391, $C$4506:$C$5005, 0, 1), 0), 0), "00")</f>
        <v>00</v>
      </c>
      <c r="H3391" s="1" t="str">
        <f t="shared" si="313"/>
        <v>235</v>
      </c>
      <c r="I3391" s="1" t="str">
        <f t="shared" si="314"/>
        <v>16000-235</v>
      </c>
      <c r="J3391" s="1" t="str">
        <f t="shared" si="315"/>
        <v>Theremin production item #235</v>
      </c>
      <c r="K3391" s="1" t="str">
        <f>IF(SUM(COUNTIFS(I:I, I3391)) &gt; 1, "DUPLICATE", "UNIQUE")</f>
        <v>UNIQUE</v>
      </c>
      <c r="L3391" s="18">
        <v>0</v>
      </c>
      <c r="M3391" s="28">
        <v>15</v>
      </c>
      <c r="N3391" s="6">
        <v>25</v>
      </c>
      <c r="O3391" s="30">
        <f t="shared" si="316"/>
        <v>0</v>
      </c>
      <c r="P3391" s="30">
        <f t="shared" si="317"/>
        <v>375</v>
      </c>
      <c r="Q3391" s="1">
        <f>COUNTIFS($P:$P, "&gt;" &amp; $P3391) + 1</f>
        <v>4129</v>
      </c>
      <c r="R3391" s="63">
        <f>(COUNTIFS($P:$P, "&gt;" &amp; $P3391) + 1) / (COUNTA($I:$I) - 1)</f>
        <v>0.82579999999999998</v>
      </c>
      <c r="S3391" s="23">
        <f>SUMIFS($P:$P, $Q:$Q, "&lt;" &amp; $Q3391)</f>
        <v>186456133</v>
      </c>
    </row>
    <row r="3392" spans="1:19" x14ac:dyDescent="0.25">
      <c r="A3392" s="1">
        <v>3387</v>
      </c>
      <c r="B3392" s="1" t="s">
        <v>2</v>
      </c>
      <c r="C3392" s="1" t="str">
        <f>IF($B3392 = "Production Item", _xlfn.XLOOKUP($A3392, 'Instrument Table'!$J:$J, 'Instrument Table'!$B:$B, $C3391), IF($B3392 = "Service Item", _xlfn.XLOOKUP($A3392, 'Instrument Table'!$I:$I, 'Instrument Table'!$B:$B, $C3391), _xlfn.XLOOKUP($A3392, 'Instrument Table'!$H:$H, 'Instrument Table'!$B:$B, $C3391)))</f>
        <v>Theremin</v>
      </c>
      <c r="D3392" s="1" t="str">
        <f>VLOOKUP($C3392, 'Instrument Table'!$B:$C, 2, FALSE)</f>
        <v>Other</v>
      </c>
      <c r="E3392" s="1">
        <f t="shared" si="312"/>
        <v>1</v>
      </c>
      <c r="F3392" s="1">
        <f>_xlfn.XLOOKUP($C3392, 'Instrument Table'!$B:$B, 'Instrument Table'!$A:$A, "")</f>
        <v>60</v>
      </c>
      <c r="G3392" s="1" t="str">
        <f>TEXT(IF($B3392 = "Retail Item", IF((ROW($A3392) - 4504 - _xlfn.XMATCH($C3392, $C$4506:$C$5005, 0, 1)) &lt;= VLOOKUP($C3392, 'Instrument Table'!$B:$D, 3, FALSE), ROW($A3392) - 4504 - _xlfn.XMATCH($C3392, $C$4506:$C$5005, 0, 1), 0), 0), "00")</f>
        <v>00</v>
      </c>
      <c r="H3392" s="1" t="str">
        <f t="shared" si="313"/>
        <v>236</v>
      </c>
      <c r="I3392" s="1" t="str">
        <f t="shared" si="314"/>
        <v>16000-236</v>
      </c>
      <c r="J3392" s="1" t="str">
        <f t="shared" si="315"/>
        <v>Theremin production item #236</v>
      </c>
      <c r="K3392" s="1" t="str">
        <f>IF(SUM(COUNTIFS(I:I, I3392)) &gt; 1, "DUPLICATE", "UNIQUE")</f>
        <v>UNIQUE</v>
      </c>
      <c r="L3392" s="18">
        <v>1</v>
      </c>
      <c r="M3392" s="28">
        <v>63</v>
      </c>
      <c r="N3392" s="6">
        <v>100</v>
      </c>
      <c r="O3392" s="30">
        <f t="shared" si="316"/>
        <v>63</v>
      </c>
      <c r="P3392" s="30">
        <f t="shared" si="317"/>
        <v>6300</v>
      </c>
      <c r="Q3392" s="1">
        <f>COUNTIFS($P:$P, "&gt;" &amp; $P3392) + 1</f>
        <v>2226</v>
      </c>
      <c r="R3392" s="63">
        <f>(COUNTIFS($P:$P, "&gt;" &amp; $P3392) + 1) / (COUNTA($I:$I) - 1)</f>
        <v>0.44519999999999998</v>
      </c>
      <c r="S3392" s="23">
        <f>SUMIFS($P:$P, $Q:$Q, "&lt;" &amp; $Q3392)</f>
        <v>181619074</v>
      </c>
    </row>
    <row r="3393" spans="1:19" x14ac:dyDescent="0.25">
      <c r="A3393" s="1">
        <v>3388</v>
      </c>
      <c r="B3393" s="1" t="s">
        <v>2</v>
      </c>
      <c r="C3393" s="1" t="str">
        <f>IF($B3393 = "Production Item", _xlfn.XLOOKUP($A3393, 'Instrument Table'!$J:$J, 'Instrument Table'!$B:$B, $C3392), IF($B3393 = "Service Item", _xlfn.XLOOKUP($A3393, 'Instrument Table'!$I:$I, 'Instrument Table'!$B:$B, $C3392), _xlfn.XLOOKUP($A3393, 'Instrument Table'!$H:$H, 'Instrument Table'!$B:$B, $C3392)))</f>
        <v>Theremin</v>
      </c>
      <c r="D3393" s="1" t="str">
        <f>VLOOKUP($C3393, 'Instrument Table'!$B:$C, 2, FALSE)</f>
        <v>Other</v>
      </c>
      <c r="E3393" s="1">
        <f t="shared" si="312"/>
        <v>1</v>
      </c>
      <c r="F3393" s="1">
        <f>_xlfn.XLOOKUP($C3393, 'Instrument Table'!$B:$B, 'Instrument Table'!$A:$A, "")</f>
        <v>60</v>
      </c>
      <c r="G3393" s="1" t="str">
        <f>TEXT(IF($B3393 = "Retail Item", IF((ROW($A3393) - 4504 - _xlfn.XMATCH($C3393, $C$4506:$C$5005, 0, 1)) &lt;= VLOOKUP($C3393, 'Instrument Table'!$B:$D, 3, FALSE), ROW($A3393) - 4504 - _xlfn.XMATCH($C3393, $C$4506:$C$5005, 0, 1), 0), 0), "00")</f>
        <v>00</v>
      </c>
      <c r="H3393" s="1" t="str">
        <f t="shared" si="313"/>
        <v>237</v>
      </c>
      <c r="I3393" s="1" t="str">
        <f t="shared" si="314"/>
        <v>16000-237</v>
      </c>
      <c r="J3393" s="1" t="str">
        <f t="shared" si="315"/>
        <v>Theremin production item #237</v>
      </c>
      <c r="K3393" s="1" t="str">
        <f>IF(SUM(COUNTIFS(I:I, I3393)) &gt; 1, "DUPLICATE", "UNIQUE")</f>
        <v>UNIQUE</v>
      </c>
      <c r="L3393" s="18">
        <v>8</v>
      </c>
      <c r="M3393" s="28">
        <v>98</v>
      </c>
      <c r="N3393" s="6">
        <v>16</v>
      </c>
      <c r="O3393" s="30">
        <f t="shared" si="316"/>
        <v>784</v>
      </c>
      <c r="P3393" s="30">
        <f t="shared" si="317"/>
        <v>1568</v>
      </c>
      <c r="Q3393" s="1">
        <f>COUNTIFS($P:$P, "&gt;" &amp; $P3393) + 1</f>
        <v>3434</v>
      </c>
      <c r="R3393" s="63">
        <f>(COUNTIFS($P:$P, "&gt;" &amp; $P3393) + 1) / (COUNTA($I:$I) - 1)</f>
        <v>0.68679999999999997</v>
      </c>
      <c r="S3393" s="23">
        <f>SUMIFS($P:$P, $Q:$Q, "&lt;" &amp; $Q3393)</f>
        <v>185839021</v>
      </c>
    </row>
    <row r="3394" spans="1:19" x14ac:dyDescent="0.25">
      <c r="A3394" s="1">
        <v>3389</v>
      </c>
      <c r="B3394" s="1" t="s">
        <v>2</v>
      </c>
      <c r="C3394" s="1" t="str">
        <f>IF($B3394 = "Production Item", _xlfn.XLOOKUP($A3394, 'Instrument Table'!$J:$J, 'Instrument Table'!$B:$B, $C3393), IF($B3394 = "Service Item", _xlfn.XLOOKUP($A3394, 'Instrument Table'!$I:$I, 'Instrument Table'!$B:$B, $C3393), _xlfn.XLOOKUP($A3394, 'Instrument Table'!$H:$H, 'Instrument Table'!$B:$B, $C3393)))</f>
        <v>Theremin</v>
      </c>
      <c r="D3394" s="1" t="str">
        <f>VLOOKUP($C3394, 'Instrument Table'!$B:$C, 2, FALSE)</f>
        <v>Other</v>
      </c>
      <c r="E3394" s="1">
        <f t="shared" si="312"/>
        <v>1</v>
      </c>
      <c r="F3394" s="1">
        <f>_xlfn.XLOOKUP($C3394, 'Instrument Table'!$B:$B, 'Instrument Table'!$A:$A, "")</f>
        <v>60</v>
      </c>
      <c r="G3394" s="1" t="str">
        <f>TEXT(IF($B3394 = "Retail Item", IF((ROW($A3394) - 4504 - _xlfn.XMATCH($C3394, $C$4506:$C$5005, 0, 1)) &lt;= VLOOKUP($C3394, 'Instrument Table'!$B:$D, 3, FALSE), ROW($A3394) - 4504 - _xlfn.XMATCH($C3394, $C$4506:$C$5005, 0, 1), 0), 0), "00")</f>
        <v>00</v>
      </c>
      <c r="H3394" s="1" t="str">
        <f t="shared" si="313"/>
        <v>238</v>
      </c>
      <c r="I3394" s="1" t="str">
        <f t="shared" si="314"/>
        <v>16000-238</v>
      </c>
      <c r="J3394" s="1" t="str">
        <f t="shared" si="315"/>
        <v>Theremin production item #238</v>
      </c>
      <c r="K3394" s="1" t="str">
        <f>IF(SUM(COUNTIFS(I:I, I3394)) &gt; 1, "DUPLICATE", "UNIQUE")</f>
        <v>UNIQUE</v>
      </c>
      <c r="L3394" s="18">
        <v>0</v>
      </c>
      <c r="M3394" s="28">
        <v>75</v>
      </c>
      <c r="N3394" s="6">
        <v>4</v>
      </c>
      <c r="O3394" s="30">
        <f t="shared" si="316"/>
        <v>0</v>
      </c>
      <c r="P3394" s="30">
        <f t="shared" si="317"/>
        <v>300</v>
      </c>
      <c r="Q3394" s="1">
        <f>COUNTIFS($P:$P, "&gt;" &amp; $P3394) + 1</f>
        <v>4215</v>
      </c>
      <c r="R3394" s="63">
        <f>(COUNTIFS($P:$P, "&gt;" &amp; $P3394) + 1) / (COUNTA($I:$I) - 1)</f>
        <v>0.84299999999999997</v>
      </c>
      <c r="S3394" s="23">
        <f>SUMIFS($P:$P, $Q:$Q, "&lt;" &amp; $Q3394)</f>
        <v>186485027</v>
      </c>
    </row>
    <row r="3395" spans="1:19" x14ac:dyDescent="0.25">
      <c r="A3395" s="1">
        <v>3390</v>
      </c>
      <c r="B3395" s="1" t="s">
        <v>2</v>
      </c>
      <c r="C3395" s="1" t="str">
        <f>IF($B3395 = "Production Item", _xlfn.XLOOKUP($A3395, 'Instrument Table'!$J:$J, 'Instrument Table'!$B:$B, $C3394), IF($B3395 = "Service Item", _xlfn.XLOOKUP($A3395, 'Instrument Table'!$I:$I, 'Instrument Table'!$B:$B, $C3394), _xlfn.XLOOKUP($A3395, 'Instrument Table'!$H:$H, 'Instrument Table'!$B:$B, $C3394)))</f>
        <v>Theremin</v>
      </c>
      <c r="D3395" s="1" t="str">
        <f>VLOOKUP($C3395, 'Instrument Table'!$B:$C, 2, FALSE)</f>
        <v>Other</v>
      </c>
      <c r="E3395" s="1">
        <f t="shared" si="312"/>
        <v>1</v>
      </c>
      <c r="F3395" s="1">
        <f>_xlfn.XLOOKUP($C3395, 'Instrument Table'!$B:$B, 'Instrument Table'!$A:$A, "")</f>
        <v>60</v>
      </c>
      <c r="G3395" s="1" t="str">
        <f>TEXT(IF($B3395 = "Retail Item", IF((ROW($A3395) - 4504 - _xlfn.XMATCH($C3395, $C$4506:$C$5005, 0, 1)) &lt;= VLOOKUP($C3395, 'Instrument Table'!$B:$D, 3, FALSE), ROW($A3395) - 4504 - _xlfn.XMATCH($C3395, $C$4506:$C$5005, 0, 1), 0), 0), "00")</f>
        <v>00</v>
      </c>
      <c r="H3395" s="1" t="str">
        <f t="shared" si="313"/>
        <v>239</v>
      </c>
      <c r="I3395" s="1" t="str">
        <f t="shared" si="314"/>
        <v>16000-239</v>
      </c>
      <c r="J3395" s="1" t="str">
        <f t="shared" si="315"/>
        <v>Theremin production item #239</v>
      </c>
      <c r="K3395" s="1" t="str">
        <f>IF(SUM(COUNTIFS(I:I, I3395)) &gt; 1, "DUPLICATE", "UNIQUE")</f>
        <v>UNIQUE</v>
      </c>
      <c r="L3395" s="18">
        <v>0</v>
      </c>
      <c r="M3395" s="28">
        <v>81</v>
      </c>
      <c r="N3395" s="6">
        <v>196</v>
      </c>
      <c r="O3395" s="30">
        <f t="shared" si="316"/>
        <v>0</v>
      </c>
      <c r="P3395" s="30">
        <f t="shared" si="317"/>
        <v>15876</v>
      </c>
      <c r="Q3395" s="1">
        <f>COUNTIFS($P:$P, "&gt;" &amp; $P3395) + 1</f>
        <v>1286</v>
      </c>
      <c r="R3395" s="63">
        <f>(COUNTIFS($P:$P, "&gt;" &amp; $P3395) + 1) / (COUNTA($I:$I) - 1)</f>
        <v>0.25719999999999998</v>
      </c>
      <c r="S3395" s="23">
        <f>SUMIFS($P:$P, $Q:$Q, "&lt;" &amp; $Q3395)</f>
        <v>171752413</v>
      </c>
    </row>
    <row r="3396" spans="1:19" x14ac:dyDescent="0.25">
      <c r="A3396" s="1">
        <v>3391</v>
      </c>
      <c r="B3396" s="1" t="s">
        <v>2</v>
      </c>
      <c r="C3396" s="1" t="str">
        <f>IF($B3396 = "Production Item", _xlfn.XLOOKUP($A3396, 'Instrument Table'!$J:$J, 'Instrument Table'!$B:$B, $C3395), IF($B3396 = "Service Item", _xlfn.XLOOKUP($A3396, 'Instrument Table'!$I:$I, 'Instrument Table'!$B:$B, $C3395), _xlfn.XLOOKUP($A3396, 'Instrument Table'!$H:$H, 'Instrument Table'!$B:$B, $C3395)))</f>
        <v>Theremin</v>
      </c>
      <c r="D3396" s="1" t="str">
        <f>VLOOKUP($C3396, 'Instrument Table'!$B:$C, 2, FALSE)</f>
        <v>Other</v>
      </c>
      <c r="E3396" s="1">
        <f t="shared" si="312"/>
        <v>1</v>
      </c>
      <c r="F3396" s="1">
        <f>_xlfn.XLOOKUP($C3396, 'Instrument Table'!$B:$B, 'Instrument Table'!$A:$A, "")</f>
        <v>60</v>
      </c>
      <c r="G3396" s="1" t="str">
        <f>TEXT(IF($B3396 = "Retail Item", IF((ROW($A3396) - 4504 - _xlfn.XMATCH($C3396, $C$4506:$C$5005, 0, 1)) &lt;= VLOOKUP($C3396, 'Instrument Table'!$B:$D, 3, FALSE), ROW($A3396) - 4504 - _xlfn.XMATCH($C3396, $C$4506:$C$5005, 0, 1), 0), 0), "00")</f>
        <v>00</v>
      </c>
      <c r="H3396" s="1" t="str">
        <f t="shared" si="313"/>
        <v>240</v>
      </c>
      <c r="I3396" s="1" t="str">
        <f t="shared" si="314"/>
        <v>16000-240</v>
      </c>
      <c r="J3396" s="1" t="str">
        <f t="shared" si="315"/>
        <v>Theremin production item #240</v>
      </c>
      <c r="K3396" s="1" t="str">
        <f>IF(SUM(COUNTIFS(I:I, I3396)) &gt; 1, "DUPLICATE", "UNIQUE")</f>
        <v>UNIQUE</v>
      </c>
      <c r="L3396" s="18">
        <v>32</v>
      </c>
      <c r="M3396" s="28">
        <v>93</v>
      </c>
      <c r="N3396" s="6">
        <v>9</v>
      </c>
      <c r="O3396" s="30">
        <f t="shared" si="316"/>
        <v>2976</v>
      </c>
      <c r="P3396" s="30">
        <f t="shared" si="317"/>
        <v>837</v>
      </c>
      <c r="Q3396" s="1">
        <f>COUNTIFS($P:$P, "&gt;" &amp; $P3396) + 1</f>
        <v>3769</v>
      </c>
      <c r="R3396" s="63">
        <f>(COUNTIFS($P:$P, "&gt;" &amp; $P3396) + 1) / (COUNTA($I:$I) - 1)</f>
        <v>0.75380000000000003</v>
      </c>
      <c r="S3396" s="23">
        <f>SUMIFS($P:$P, $Q:$Q, "&lt;" &amp; $Q3396)</f>
        <v>186240403</v>
      </c>
    </row>
    <row r="3397" spans="1:19" x14ac:dyDescent="0.25">
      <c r="A3397" s="1">
        <v>3392</v>
      </c>
      <c r="B3397" s="1" t="s">
        <v>2</v>
      </c>
      <c r="C3397" s="1" t="str">
        <f>IF($B3397 = "Production Item", _xlfn.XLOOKUP($A3397, 'Instrument Table'!$J:$J, 'Instrument Table'!$B:$B, $C3396), IF($B3397 = "Service Item", _xlfn.XLOOKUP($A3397, 'Instrument Table'!$I:$I, 'Instrument Table'!$B:$B, $C3396), _xlfn.XLOOKUP($A3397, 'Instrument Table'!$H:$H, 'Instrument Table'!$B:$B, $C3396)))</f>
        <v>Theremin</v>
      </c>
      <c r="D3397" s="1" t="str">
        <f>VLOOKUP($C3397, 'Instrument Table'!$B:$C, 2, FALSE)</f>
        <v>Other</v>
      </c>
      <c r="E3397" s="1">
        <f t="shared" si="312"/>
        <v>1</v>
      </c>
      <c r="F3397" s="1">
        <f>_xlfn.XLOOKUP($C3397, 'Instrument Table'!$B:$B, 'Instrument Table'!$A:$A, "")</f>
        <v>60</v>
      </c>
      <c r="G3397" s="1" t="str">
        <f>TEXT(IF($B3397 = "Retail Item", IF((ROW($A3397) - 4504 - _xlfn.XMATCH($C3397, $C$4506:$C$5005, 0, 1)) &lt;= VLOOKUP($C3397, 'Instrument Table'!$B:$D, 3, FALSE), ROW($A3397) - 4504 - _xlfn.XMATCH($C3397, $C$4506:$C$5005, 0, 1), 0), 0), "00")</f>
        <v>00</v>
      </c>
      <c r="H3397" s="1" t="str">
        <f t="shared" si="313"/>
        <v>241</v>
      </c>
      <c r="I3397" s="1" t="str">
        <f t="shared" si="314"/>
        <v>16000-241</v>
      </c>
      <c r="J3397" s="1" t="str">
        <f t="shared" si="315"/>
        <v>Theremin production item #241</v>
      </c>
      <c r="K3397" s="1" t="str">
        <f>IF(SUM(COUNTIFS(I:I, I3397)) &gt; 1, "DUPLICATE", "UNIQUE")</f>
        <v>UNIQUE</v>
      </c>
      <c r="L3397" s="18">
        <v>0</v>
      </c>
      <c r="M3397" s="28">
        <v>7</v>
      </c>
      <c r="N3397" s="6">
        <v>100</v>
      </c>
      <c r="O3397" s="30">
        <f t="shared" si="316"/>
        <v>0</v>
      </c>
      <c r="P3397" s="30">
        <f t="shared" si="317"/>
        <v>700</v>
      </c>
      <c r="Q3397" s="1">
        <f>COUNTIFS($P:$P, "&gt;" &amp; $P3397) + 1</f>
        <v>3882</v>
      </c>
      <c r="R3397" s="63">
        <f>(COUNTIFS($P:$P, "&gt;" &amp; $P3397) + 1) / (COUNTA($I:$I) - 1)</f>
        <v>0.77639999999999998</v>
      </c>
      <c r="S3397" s="23">
        <f>SUMIFS($P:$P, $Q:$Q, "&lt;" &amp; $Q3397)</f>
        <v>186326493</v>
      </c>
    </row>
    <row r="3398" spans="1:19" x14ac:dyDescent="0.25">
      <c r="A3398" s="1">
        <v>3393</v>
      </c>
      <c r="B3398" s="1" t="s">
        <v>2</v>
      </c>
      <c r="C3398" s="1" t="str">
        <f>IF($B3398 = "Production Item", _xlfn.XLOOKUP($A3398, 'Instrument Table'!$J:$J, 'Instrument Table'!$B:$B, $C3397), IF($B3398 = "Service Item", _xlfn.XLOOKUP($A3398, 'Instrument Table'!$I:$I, 'Instrument Table'!$B:$B, $C3397), _xlfn.XLOOKUP($A3398, 'Instrument Table'!$H:$H, 'Instrument Table'!$B:$B, $C3397)))</f>
        <v>Theremin</v>
      </c>
      <c r="D3398" s="1" t="str">
        <f>VLOOKUP($C3398, 'Instrument Table'!$B:$C, 2, FALSE)</f>
        <v>Other</v>
      </c>
      <c r="E3398" s="1">
        <f t="shared" si="312"/>
        <v>1</v>
      </c>
      <c r="F3398" s="1">
        <f>_xlfn.XLOOKUP($C3398, 'Instrument Table'!$B:$B, 'Instrument Table'!$A:$A, "")</f>
        <v>60</v>
      </c>
      <c r="G3398" s="1" t="str">
        <f>TEXT(IF($B3398 = "Retail Item", IF((ROW($A3398) - 4504 - _xlfn.XMATCH($C3398, $C$4506:$C$5005, 0, 1)) &lt;= VLOOKUP($C3398, 'Instrument Table'!$B:$D, 3, FALSE), ROW($A3398) - 4504 - _xlfn.XMATCH($C3398, $C$4506:$C$5005, 0, 1), 0), 0), "00")</f>
        <v>00</v>
      </c>
      <c r="H3398" s="1" t="str">
        <f t="shared" si="313"/>
        <v>242</v>
      </c>
      <c r="I3398" s="1" t="str">
        <f t="shared" si="314"/>
        <v>16000-242</v>
      </c>
      <c r="J3398" s="1" t="str">
        <f t="shared" si="315"/>
        <v>Theremin production item #242</v>
      </c>
      <c r="K3398" s="1" t="str">
        <f>IF(SUM(COUNTIFS(I:I, I3398)) &gt; 1, "DUPLICATE", "UNIQUE")</f>
        <v>UNIQUE</v>
      </c>
      <c r="L3398" s="18">
        <v>0</v>
      </c>
      <c r="M3398" s="28">
        <v>32</v>
      </c>
      <c r="N3398" s="6">
        <v>289</v>
      </c>
      <c r="O3398" s="30">
        <f t="shared" si="316"/>
        <v>0</v>
      </c>
      <c r="P3398" s="30">
        <f t="shared" si="317"/>
        <v>9248</v>
      </c>
      <c r="Q3398" s="1">
        <f>COUNTIFS($P:$P, "&gt;" &amp; $P3398) + 1</f>
        <v>1843</v>
      </c>
      <c r="R3398" s="63">
        <f>(COUNTIFS($P:$P, "&gt;" &amp; $P3398) + 1) / (COUNTA($I:$I) - 1)</f>
        <v>0.36859999999999998</v>
      </c>
      <c r="S3398" s="23">
        <f>SUMIFS($P:$P, $Q:$Q, "&lt;" &amp; $Q3398)</f>
        <v>178649134</v>
      </c>
    </row>
    <row r="3399" spans="1:19" x14ac:dyDescent="0.25">
      <c r="A3399" s="1">
        <v>3394</v>
      </c>
      <c r="B3399" s="1" t="s">
        <v>2</v>
      </c>
      <c r="C3399" s="1" t="str">
        <f>IF($B3399 = "Production Item", _xlfn.XLOOKUP($A3399, 'Instrument Table'!$J:$J, 'Instrument Table'!$B:$B, $C3398), IF($B3399 = "Service Item", _xlfn.XLOOKUP($A3399, 'Instrument Table'!$I:$I, 'Instrument Table'!$B:$B, $C3398), _xlfn.XLOOKUP($A3399, 'Instrument Table'!$H:$H, 'Instrument Table'!$B:$B, $C3398)))</f>
        <v>Theremin</v>
      </c>
      <c r="D3399" s="1" t="str">
        <f>VLOOKUP($C3399, 'Instrument Table'!$B:$C, 2, FALSE)</f>
        <v>Other</v>
      </c>
      <c r="E3399" s="1">
        <f t="shared" ref="E3399:E3462" si="318">IF($B3399 = "Production Item", 1, IF($B3399 = "Service Item", 2, IF($B3399 = "Retail Item", 3, "")))</f>
        <v>1</v>
      </c>
      <c r="F3399" s="1">
        <f>_xlfn.XLOOKUP($C3399, 'Instrument Table'!$B:$B, 'Instrument Table'!$A:$A, "")</f>
        <v>60</v>
      </c>
      <c r="G3399" s="1" t="str">
        <f>TEXT(IF($B3399 = "Retail Item", IF((ROW($A3399) - 4504 - _xlfn.XMATCH($C3399, $C$4506:$C$5005, 0, 1)) &lt;= VLOOKUP($C3399, 'Instrument Table'!$B:$D, 3, FALSE), ROW($A3399) - 4504 - _xlfn.XMATCH($C3399, $C$4506:$C$5005, 0, 1), 0), 0), "00")</f>
        <v>00</v>
      </c>
      <c r="H3399" s="1" t="str">
        <f t="shared" ref="H3399:H3462" si="319">TEXT(IF($E3399 &amp; $F3399 &amp; $G3399 = $E3398 &amp; $F3398 &amp; $G3398, 1 + H3398, 0), "000")</f>
        <v>243</v>
      </c>
      <c r="I3399" s="1" t="str">
        <f t="shared" ref="I3399:I3462" si="320" xml:space="preserve"> _xlfn.CONCAT($E3399, $F3399, $G3399, "-", H3399)</f>
        <v>16000-243</v>
      </c>
      <c r="J3399" s="1" t="str">
        <f t="shared" ref="J3399:J3462" si="321">LEFT($C3399, 1) &amp; LOWER(RIGHT($C3399, LEN($C3399) - 1)) &amp; IF(AND($G3399 &lt;&gt; "00", $B3399 = "Retail Item"), " model #" &amp; $G3399, " " &amp; LOWER($B3399) &amp; " #" &amp; $H3399)</f>
        <v>Theremin production item #243</v>
      </c>
      <c r="K3399" s="1" t="str">
        <f>IF(SUM(COUNTIFS(I:I, I3399)) &gt; 1, "DUPLICATE", "UNIQUE")</f>
        <v>UNIQUE</v>
      </c>
      <c r="L3399" s="18">
        <v>1</v>
      </c>
      <c r="M3399" s="28">
        <v>71</v>
      </c>
      <c r="N3399" s="6">
        <v>324</v>
      </c>
      <c r="O3399" s="30">
        <f t="shared" ref="O3399:O3462" si="322">$L3399 * $M3399</f>
        <v>71</v>
      </c>
      <c r="P3399" s="30">
        <f t="shared" ref="P3399:P3462" si="323">$N3399 * $M3399</f>
        <v>23004</v>
      </c>
      <c r="Q3399" s="1">
        <f>COUNTIFS($P:$P, "&gt;" &amp; $P3399) + 1</f>
        <v>903</v>
      </c>
      <c r="R3399" s="63">
        <f>(COUNTIFS($P:$P, "&gt;" &amp; $P3399) + 1) / (COUNTA($I:$I) - 1)</f>
        <v>0.18060000000000001</v>
      </c>
      <c r="S3399" s="23">
        <f>SUMIFS($P:$P, $Q:$Q, "&lt;" &amp; $Q3399)</f>
        <v>164350227</v>
      </c>
    </row>
    <row r="3400" spans="1:19" x14ac:dyDescent="0.25">
      <c r="A3400" s="1">
        <v>3395</v>
      </c>
      <c r="B3400" s="1" t="s">
        <v>2</v>
      </c>
      <c r="C3400" s="1" t="str">
        <f>IF($B3400 = "Production Item", _xlfn.XLOOKUP($A3400, 'Instrument Table'!$J:$J, 'Instrument Table'!$B:$B, $C3399), IF($B3400 = "Service Item", _xlfn.XLOOKUP($A3400, 'Instrument Table'!$I:$I, 'Instrument Table'!$B:$B, $C3399), _xlfn.XLOOKUP($A3400, 'Instrument Table'!$H:$H, 'Instrument Table'!$B:$B, $C3399)))</f>
        <v>Theremin</v>
      </c>
      <c r="D3400" s="1" t="str">
        <f>VLOOKUP($C3400, 'Instrument Table'!$B:$C, 2, FALSE)</f>
        <v>Other</v>
      </c>
      <c r="E3400" s="1">
        <f t="shared" si="318"/>
        <v>1</v>
      </c>
      <c r="F3400" s="1">
        <f>_xlfn.XLOOKUP($C3400, 'Instrument Table'!$B:$B, 'Instrument Table'!$A:$A, "")</f>
        <v>60</v>
      </c>
      <c r="G3400" s="1" t="str">
        <f>TEXT(IF($B3400 = "Retail Item", IF((ROW($A3400) - 4504 - _xlfn.XMATCH($C3400, $C$4506:$C$5005, 0, 1)) &lt;= VLOOKUP($C3400, 'Instrument Table'!$B:$D, 3, FALSE), ROW($A3400) - 4504 - _xlfn.XMATCH($C3400, $C$4506:$C$5005, 0, 1), 0), 0), "00")</f>
        <v>00</v>
      </c>
      <c r="H3400" s="1" t="str">
        <f t="shared" si="319"/>
        <v>244</v>
      </c>
      <c r="I3400" s="1" t="str">
        <f t="shared" si="320"/>
        <v>16000-244</v>
      </c>
      <c r="J3400" s="1" t="str">
        <f t="shared" si="321"/>
        <v>Theremin production item #244</v>
      </c>
      <c r="K3400" s="1" t="str">
        <f>IF(SUM(COUNTIFS(I:I, I3400)) &gt; 1, "DUPLICATE", "UNIQUE")</f>
        <v>UNIQUE</v>
      </c>
      <c r="L3400" s="18">
        <v>0</v>
      </c>
      <c r="M3400" s="28">
        <v>45</v>
      </c>
      <c r="N3400" s="6">
        <v>4</v>
      </c>
      <c r="O3400" s="30">
        <f t="shared" si="322"/>
        <v>0</v>
      </c>
      <c r="P3400" s="30">
        <f t="shared" si="323"/>
        <v>180</v>
      </c>
      <c r="Q3400" s="1">
        <f>COUNTIFS($P:$P, "&gt;" &amp; $P3400) + 1</f>
        <v>4352</v>
      </c>
      <c r="R3400" s="63">
        <f>(COUNTIFS($P:$P, "&gt;" &amp; $P3400) + 1) / (COUNTA($I:$I) - 1)</f>
        <v>0.87039999999999995</v>
      </c>
      <c r="S3400" s="23">
        <f>SUMIFS($P:$P, $Q:$Q, "&lt;" &amp; $Q3400)</f>
        <v>186517952</v>
      </c>
    </row>
    <row r="3401" spans="1:19" x14ac:dyDescent="0.25">
      <c r="A3401" s="1">
        <v>3396</v>
      </c>
      <c r="B3401" s="1" t="s">
        <v>2</v>
      </c>
      <c r="C3401" s="1" t="str">
        <f>IF($B3401 = "Production Item", _xlfn.XLOOKUP($A3401, 'Instrument Table'!$J:$J, 'Instrument Table'!$B:$B, $C3400), IF($B3401 = "Service Item", _xlfn.XLOOKUP($A3401, 'Instrument Table'!$I:$I, 'Instrument Table'!$B:$B, $C3400), _xlfn.XLOOKUP($A3401, 'Instrument Table'!$H:$H, 'Instrument Table'!$B:$B, $C3400)))</f>
        <v>Theremin</v>
      </c>
      <c r="D3401" s="1" t="str">
        <f>VLOOKUP($C3401, 'Instrument Table'!$B:$C, 2, FALSE)</f>
        <v>Other</v>
      </c>
      <c r="E3401" s="1">
        <f t="shared" si="318"/>
        <v>1</v>
      </c>
      <c r="F3401" s="1">
        <f>_xlfn.XLOOKUP($C3401, 'Instrument Table'!$B:$B, 'Instrument Table'!$A:$A, "")</f>
        <v>60</v>
      </c>
      <c r="G3401" s="1" t="str">
        <f>TEXT(IF($B3401 = "Retail Item", IF((ROW($A3401) - 4504 - _xlfn.XMATCH($C3401, $C$4506:$C$5005, 0, 1)) &lt;= VLOOKUP($C3401, 'Instrument Table'!$B:$D, 3, FALSE), ROW($A3401) - 4504 - _xlfn.XMATCH($C3401, $C$4506:$C$5005, 0, 1), 0), 0), "00")</f>
        <v>00</v>
      </c>
      <c r="H3401" s="1" t="str">
        <f t="shared" si="319"/>
        <v>245</v>
      </c>
      <c r="I3401" s="1" t="str">
        <f t="shared" si="320"/>
        <v>16000-245</v>
      </c>
      <c r="J3401" s="1" t="str">
        <f t="shared" si="321"/>
        <v>Theremin production item #245</v>
      </c>
      <c r="K3401" s="1" t="str">
        <f>IF(SUM(COUNTIFS(I:I, I3401)) &gt; 1, "DUPLICATE", "UNIQUE")</f>
        <v>UNIQUE</v>
      </c>
      <c r="L3401" s="18">
        <v>0</v>
      </c>
      <c r="M3401" s="28">
        <v>92</v>
      </c>
      <c r="N3401" s="6">
        <v>81</v>
      </c>
      <c r="O3401" s="30">
        <f t="shared" si="322"/>
        <v>0</v>
      </c>
      <c r="P3401" s="30">
        <f t="shared" si="323"/>
        <v>7452</v>
      </c>
      <c r="Q3401" s="1">
        <f>COUNTIFS($P:$P, "&gt;" &amp; $P3401) + 1</f>
        <v>2071</v>
      </c>
      <c r="R3401" s="63">
        <f>(COUNTIFS($P:$P, "&gt;" &amp; $P3401) + 1) / (COUNTA($I:$I) - 1)</f>
        <v>0.41420000000000001</v>
      </c>
      <c r="S3401" s="23">
        <f>SUMIFS($P:$P, $Q:$Q, "&lt;" &amp; $Q3401)</f>
        <v>180544439</v>
      </c>
    </row>
    <row r="3402" spans="1:19" x14ac:dyDescent="0.25">
      <c r="A3402" s="1">
        <v>3397</v>
      </c>
      <c r="B3402" s="1" t="s">
        <v>2</v>
      </c>
      <c r="C3402" s="1" t="str">
        <f>IF($B3402 = "Production Item", _xlfn.XLOOKUP($A3402, 'Instrument Table'!$J:$J, 'Instrument Table'!$B:$B, $C3401), IF($B3402 = "Service Item", _xlfn.XLOOKUP($A3402, 'Instrument Table'!$I:$I, 'Instrument Table'!$B:$B, $C3401), _xlfn.XLOOKUP($A3402, 'Instrument Table'!$H:$H, 'Instrument Table'!$B:$B, $C3401)))</f>
        <v>Theremin</v>
      </c>
      <c r="D3402" s="1" t="str">
        <f>VLOOKUP($C3402, 'Instrument Table'!$B:$C, 2, FALSE)</f>
        <v>Other</v>
      </c>
      <c r="E3402" s="1">
        <f t="shared" si="318"/>
        <v>1</v>
      </c>
      <c r="F3402" s="1">
        <f>_xlfn.XLOOKUP($C3402, 'Instrument Table'!$B:$B, 'Instrument Table'!$A:$A, "")</f>
        <v>60</v>
      </c>
      <c r="G3402" s="1" t="str">
        <f>TEXT(IF($B3402 = "Retail Item", IF((ROW($A3402) - 4504 - _xlfn.XMATCH($C3402, $C$4506:$C$5005, 0, 1)) &lt;= VLOOKUP($C3402, 'Instrument Table'!$B:$D, 3, FALSE), ROW($A3402) - 4504 - _xlfn.XMATCH($C3402, $C$4506:$C$5005, 0, 1), 0), 0), "00")</f>
        <v>00</v>
      </c>
      <c r="H3402" s="1" t="str">
        <f t="shared" si="319"/>
        <v>246</v>
      </c>
      <c r="I3402" s="1" t="str">
        <f t="shared" si="320"/>
        <v>16000-246</v>
      </c>
      <c r="J3402" s="1" t="str">
        <f t="shared" si="321"/>
        <v>Theremin production item #246</v>
      </c>
      <c r="K3402" s="1" t="str">
        <f>IF(SUM(COUNTIFS(I:I, I3402)) &gt; 1, "DUPLICATE", "UNIQUE")</f>
        <v>UNIQUE</v>
      </c>
      <c r="L3402" s="18">
        <v>1</v>
      </c>
      <c r="M3402" s="28">
        <v>98</v>
      </c>
      <c r="N3402" s="6">
        <v>324</v>
      </c>
      <c r="O3402" s="30">
        <f t="shared" si="322"/>
        <v>98</v>
      </c>
      <c r="P3402" s="30">
        <f t="shared" si="323"/>
        <v>31752</v>
      </c>
      <c r="Q3402" s="1">
        <f>COUNTIFS($P:$P, "&gt;" &amp; $P3402) + 1</f>
        <v>654</v>
      </c>
      <c r="R3402" s="63">
        <f>(COUNTIFS($P:$P, "&gt;" &amp; $P3402) + 1) / (COUNTA($I:$I) - 1)</f>
        <v>0.1308</v>
      </c>
      <c r="S3402" s="23">
        <f>SUMIFS($P:$P, $Q:$Q, "&lt;" &amp; $Q3402)</f>
        <v>157673221</v>
      </c>
    </row>
    <row r="3403" spans="1:19" x14ac:dyDescent="0.25">
      <c r="A3403" s="1">
        <v>3398</v>
      </c>
      <c r="B3403" s="1" t="s">
        <v>2</v>
      </c>
      <c r="C3403" s="1" t="str">
        <f>IF($B3403 = "Production Item", _xlfn.XLOOKUP($A3403, 'Instrument Table'!$J:$J, 'Instrument Table'!$B:$B, $C3402), IF($B3403 = "Service Item", _xlfn.XLOOKUP($A3403, 'Instrument Table'!$I:$I, 'Instrument Table'!$B:$B, $C3402), _xlfn.XLOOKUP($A3403, 'Instrument Table'!$H:$H, 'Instrument Table'!$B:$B, $C3402)))</f>
        <v>Theremin</v>
      </c>
      <c r="D3403" s="1" t="str">
        <f>VLOOKUP($C3403, 'Instrument Table'!$B:$C, 2, FALSE)</f>
        <v>Other</v>
      </c>
      <c r="E3403" s="1">
        <f t="shared" si="318"/>
        <v>1</v>
      </c>
      <c r="F3403" s="1">
        <f>_xlfn.XLOOKUP($C3403, 'Instrument Table'!$B:$B, 'Instrument Table'!$A:$A, "")</f>
        <v>60</v>
      </c>
      <c r="G3403" s="1" t="str">
        <f>TEXT(IF($B3403 = "Retail Item", IF((ROW($A3403) - 4504 - _xlfn.XMATCH($C3403, $C$4506:$C$5005, 0, 1)) &lt;= VLOOKUP($C3403, 'Instrument Table'!$B:$D, 3, FALSE), ROW($A3403) - 4504 - _xlfn.XMATCH($C3403, $C$4506:$C$5005, 0, 1), 0), 0), "00")</f>
        <v>00</v>
      </c>
      <c r="H3403" s="1" t="str">
        <f t="shared" si="319"/>
        <v>247</v>
      </c>
      <c r="I3403" s="1" t="str">
        <f t="shared" si="320"/>
        <v>16000-247</v>
      </c>
      <c r="J3403" s="1" t="str">
        <f t="shared" si="321"/>
        <v>Theremin production item #247</v>
      </c>
      <c r="K3403" s="1" t="str">
        <f>IF(SUM(COUNTIFS(I:I, I3403)) &gt; 1, "DUPLICATE", "UNIQUE")</f>
        <v>UNIQUE</v>
      </c>
      <c r="L3403" s="18">
        <v>4</v>
      </c>
      <c r="M3403" s="28">
        <v>78</v>
      </c>
      <c r="N3403" s="6">
        <v>324</v>
      </c>
      <c r="O3403" s="30">
        <f t="shared" si="322"/>
        <v>312</v>
      </c>
      <c r="P3403" s="30">
        <f t="shared" si="323"/>
        <v>25272</v>
      </c>
      <c r="Q3403" s="1">
        <f>COUNTIFS($P:$P, "&gt;" &amp; $P3403) + 1</f>
        <v>815</v>
      </c>
      <c r="R3403" s="63">
        <f>(COUNTIFS($P:$P, "&gt;" &amp; $P3403) + 1) / (COUNTA($I:$I) - 1)</f>
        <v>0.16300000000000001</v>
      </c>
      <c r="S3403" s="23">
        <f>SUMIFS($P:$P, $Q:$Q, "&lt;" &amp; $Q3403)</f>
        <v>162211905</v>
      </c>
    </row>
    <row r="3404" spans="1:19" x14ac:dyDescent="0.25">
      <c r="A3404" s="1">
        <v>3399</v>
      </c>
      <c r="B3404" s="1" t="s">
        <v>2</v>
      </c>
      <c r="C3404" s="1" t="str">
        <f>IF($B3404 = "Production Item", _xlfn.XLOOKUP($A3404, 'Instrument Table'!$J:$J, 'Instrument Table'!$B:$B, $C3403), IF($B3404 = "Service Item", _xlfn.XLOOKUP($A3404, 'Instrument Table'!$I:$I, 'Instrument Table'!$B:$B, $C3403), _xlfn.XLOOKUP($A3404, 'Instrument Table'!$H:$H, 'Instrument Table'!$B:$B, $C3403)))</f>
        <v>Theremin</v>
      </c>
      <c r="D3404" s="1" t="str">
        <f>VLOOKUP($C3404, 'Instrument Table'!$B:$C, 2, FALSE)</f>
        <v>Other</v>
      </c>
      <c r="E3404" s="1">
        <f t="shared" si="318"/>
        <v>1</v>
      </c>
      <c r="F3404" s="1">
        <f>_xlfn.XLOOKUP($C3404, 'Instrument Table'!$B:$B, 'Instrument Table'!$A:$A, "")</f>
        <v>60</v>
      </c>
      <c r="G3404" s="1" t="str">
        <f>TEXT(IF($B3404 = "Retail Item", IF((ROW($A3404) - 4504 - _xlfn.XMATCH($C3404, $C$4506:$C$5005, 0, 1)) &lt;= VLOOKUP($C3404, 'Instrument Table'!$B:$D, 3, FALSE), ROW($A3404) - 4504 - _xlfn.XMATCH($C3404, $C$4506:$C$5005, 0, 1), 0), 0), "00")</f>
        <v>00</v>
      </c>
      <c r="H3404" s="1" t="str">
        <f t="shared" si="319"/>
        <v>248</v>
      </c>
      <c r="I3404" s="1" t="str">
        <f t="shared" si="320"/>
        <v>16000-248</v>
      </c>
      <c r="J3404" s="1" t="str">
        <f t="shared" si="321"/>
        <v>Theremin production item #248</v>
      </c>
      <c r="K3404" s="1" t="str">
        <f>IF(SUM(COUNTIFS(I:I, I3404)) &gt; 1, "DUPLICATE", "UNIQUE")</f>
        <v>UNIQUE</v>
      </c>
      <c r="L3404" s="18">
        <v>1</v>
      </c>
      <c r="M3404" s="28">
        <v>74</v>
      </c>
      <c r="N3404" s="6">
        <v>361</v>
      </c>
      <c r="O3404" s="30">
        <f t="shared" si="322"/>
        <v>74</v>
      </c>
      <c r="P3404" s="30">
        <f t="shared" si="323"/>
        <v>26714</v>
      </c>
      <c r="Q3404" s="1">
        <f>COUNTIFS($P:$P, "&gt;" &amp; $P3404) + 1</f>
        <v>766</v>
      </c>
      <c r="R3404" s="63">
        <f>(COUNTIFS($P:$P, "&gt;" &amp; $P3404) + 1) / (COUNTA($I:$I) - 1)</f>
        <v>0.1532</v>
      </c>
      <c r="S3404" s="23">
        <f>SUMIFS($P:$P, $Q:$Q, "&lt;" &amp; $Q3404)</f>
        <v>160936432</v>
      </c>
    </row>
    <row r="3405" spans="1:19" x14ac:dyDescent="0.25">
      <c r="A3405" s="1">
        <v>3400</v>
      </c>
      <c r="B3405" s="1" t="s">
        <v>2</v>
      </c>
      <c r="C3405" s="1" t="str">
        <f>IF($B3405 = "Production Item", _xlfn.XLOOKUP($A3405, 'Instrument Table'!$J:$J, 'Instrument Table'!$B:$B, $C3404), IF($B3405 = "Service Item", _xlfn.XLOOKUP($A3405, 'Instrument Table'!$I:$I, 'Instrument Table'!$B:$B, $C3404), _xlfn.XLOOKUP($A3405, 'Instrument Table'!$H:$H, 'Instrument Table'!$B:$B, $C3404)))</f>
        <v>Theremin</v>
      </c>
      <c r="D3405" s="1" t="str">
        <f>VLOOKUP($C3405, 'Instrument Table'!$B:$C, 2, FALSE)</f>
        <v>Other</v>
      </c>
      <c r="E3405" s="1">
        <f t="shared" si="318"/>
        <v>1</v>
      </c>
      <c r="F3405" s="1">
        <f>_xlfn.XLOOKUP($C3405, 'Instrument Table'!$B:$B, 'Instrument Table'!$A:$A, "")</f>
        <v>60</v>
      </c>
      <c r="G3405" s="1" t="str">
        <f>TEXT(IF($B3405 = "Retail Item", IF((ROW($A3405) - 4504 - _xlfn.XMATCH($C3405, $C$4506:$C$5005, 0, 1)) &lt;= VLOOKUP($C3405, 'Instrument Table'!$B:$D, 3, FALSE), ROW($A3405) - 4504 - _xlfn.XMATCH($C3405, $C$4506:$C$5005, 0, 1), 0), 0), "00")</f>
        <v>00</v>
      </c>
      <c r="H3405" s="1" t="str">
        <f t="shared" si="319"/>
        <v>249</v>
      </c>
      <c r="I3405" s="1" t="str">
        <f t="shared" si="320"/>
        <v>16000-249</v>
      </c>
      <c r="J3405" s="1" t="str">
        <f t="shared" si="321"/>
        <v>Theremin production item #249</v>
      </c>
      <c r="K3405" s="1" t="str">
        <f>IF(SUM(COUNTIFS(I:I, I3405)) &gt; 1, "DUPLICATE", "UNIQUE")</f>
        <v>UNIQUE</v>
      </c>
      <c r="L3405" s="18">
        <v>4</v>
      </c>
      <c r="M3405" s="28">
        <v>33</v>
      </c>
      <c r="N3405" s="6">
        <v>225</v>
      </c>
      <c r="O3405" s="30">
        <f t="shared" si="322"/>
        <v>132</v>
      </c>
      <c r="P3405" s="30">
        <f t="shared" si="323"/>
        <v>7425</v>
      </c>
      <c r="Q3405" s="1">
        <f>COUNTIFS($P:$P, "&gt;" &amp; $P3405) + 1</f>
        <v>2077</v>
      </c>
      <c r="R3405" s="63">
        <f>(COUNTIFS($P:$P, "&gt;" &amp; $P3405) + 1) / (COUNTA($I:$I) - 1)</f>
        <v>0.41539999999999999</v>
      </c>
      <c r="S3405" s="23">
        <f>SUMIFS($P:$P, $Q:$Q, "&lt;" &amp; $Q3405)</f>
        <v>180589127</v>
      </c>
    </row>
    <row r="3406" spans="1:19" x14ac:dyDescent="0.25">
      <c r="A3406" s="1">
        <v>3401</v>
      </c>
      <c r="B3406" s="1" t="s">
        <v>2</v>
      </c>
      <c r="C3406" s="1" t="str">
        <f>IF($B3406 = "Production Item", _xlfn.XLOOKUP($A3406, 'Instrument Table'!$J:$J, 'Instrument Table'!$B:$B, $C3405), IF($B3406 = "Service Item", _xlfn.XLOOKUP($A3406, 'Instrument Table'!$I:$I, 'Instrument Table'!$B:$B, $C3405), _xlfn.XLOOKUP($A3406, 'Instrument Table'!$H:$H, 'Instrument Table'!$B:$B, $C3405)))</f>
        <v>Theremin</v>
      </c>
      <c r="D3406" s="1" t="str">
        <f>VLOOKUP($C3406, 'Instrument Table'!$B:$C, 2, FALSE)</f>
        <v>Other</v>
      </c>
      <c r="E3406" s="1">
        <f t="shared" si="318"/>
        <v>1</v>
      </c>
      <c r="F3406" s="1">
        <f>_xlfn.XLOOKUP($C3406, 'Instrument Table'!$B:$B, 'Instrument Table'!$A:$A, "")</f>
        <v>60</v>
      </c>
      <c r="G3406" s="1" t="str">
        <f>TEXT(IF($B3406 = "Retail Item", IF((ROW($A3406) - 4504 - _xlfn.XMATCH($C3406, $C$4506:$C$5005, 0, 1)) &lt;= VLOOKUP($C3406, 'Instrument Table'!$B:$D, 3, FALSE), ROW($A3406) - 4504 - _xlfn.XMATCH($C3406, $C$4506:$C$5005, 0, 1), 0), 0), "00")</f>
        <v>00</v>
      </c>
      <c r="H3406" s="1" t="str">
        <f t="shared" si="319"/>
        <v>250</v>
      </c>
      <c r="I3406" s="1" t="str">
        <f t="shared" si="320"/>
        <v>16000-250</v>
      </c>
      <c r="J3406" s="1" t="str">
        <f t="shared" si="321"/>
        <v>Theremin production item #250</v>
      </c>
      <c r="K3406" s="1" t="str">
        <f>IF(SUM(COUNTIFS(I:I, I3406)) &gt; 1, "DUPLICATE", "UNIQUE")</f>
        <v>UNIQUE</v>
      </c>
      <c r="L3406" s="18">
        <v>2</v>
      </c>
      <c r="M3406" s="28">
        <v>95</v>
      </c>
      <c r="N3406" s="6">
        <v>144</v>
      </c>
      <c r="O3406" s="30">
        <f t="shared" si="322"/>
        <v>190</v>
      </c>
      <c r="P3406" s="30">
        <f t="shared" si="323"/>
        <v>13680</v>
      </c>
      <c r="Q3406" s="1">
        <f>COUNTIFS($P:$P, "&gt;" &amp; $P3406) + 1</f>
        <v>1443</v>
      </c>
      <c r="R3406" s="63">
        <f>(COUNTIFS($P:$P, "&gt;" &amp; $P3406) + 1) / (COUNTA($I:$I) - 1)</f>
        <v>0.28860000000000002</v>
      </c>
      <c r="S3406" s="23">
        <f>SUMIFS($P:$P, $Q:$Q, "&lt;" &amp; $Q3406)</f>
        <v>174077483</v>
      </c>
    </row>
    <row r="3407" spans="1:19" x14ac:dyDescent="0.25">
      <c r="A3407" s="1">
        <v>3402</v>
      </c>
      <c r="B3407" s="1" t="s">
        <v>2</v>
      </c>
      <c r="C3407" s="1" t="str">
        <f>IF($B3407 = "Production Item", _xlfn.XLOOKUP($A3407, 'Instrument Table'!$J:$J, 'Instrument Table'!$B:$B, $C3406), IF($B3407 = "Service Item", _xlfn.XLOOKUP($A3407, 'Instrument Table'!$I:$I, 'Instrument Table'!$B:$B, $C3406), _xlfn.XLOOKUP($A3407, 'Instrument Table'!$H:$H, 'Instrument Table'!$B:$B, $C3406)))</f>
        <v>Theremin</v>
      </c>
      <c r="D3407" s="1" t="str">
        <f>VLOOKUP($C3407, 'Instrument Table'!$B:$C, 2, FALSE)</f>
        <v>Other</v>
      </c>
      <c r="E3407" s="1">
        <f t="shared" si="318"/>
        <v>1</v>
      </c>
      <c r="F3407" s="1">
        <f>_xlfn.XLOOKUP($C3407, 'Instrument Table'!$B:$B, 'Instrument Table'!$A:$A, "")</f>
        <v>60</v>
      </c>
      <c r="G3407" s="1" t="str">
        <f>TEXT(IF($B3407 = "Retail Item", IF((ROW($A3407) - 4504 - _xlfn.XMATCH($C3407, $C$4506:$C$5005, 0, 1)) &lt;= VLOOKUP($C3407, 'Instrument Table'!$B:$D, 3, FALSE), ROW($A3407) - 4504 - _xlfn.XMATCH($C3407, $C$4506:$C$5005, 0, 1), 0), 0), "00")</f>
        <v>00</v>
      </c>
      <c r="H3407" s="1" t="str">
        <f t="shared" si="319"/>
        <v>251</v>
      </c>
      <c r="I3407" s="1" t="str">
        <f t="shared" si="320"/>
        <v>16000-251</v>
      </c>
      <c r="J3407" s="1" t="str">
        <f t="shared" si="321"/>
        <v>Theremin production item #251</v>
      </c>
      <c r="K3407" s="1" t="str">
        <f>IF(SUM(COUNTIFS(I:I, I3407)) &gt; 1, "DUPLICATE", "UNIQUE")</f>
        <v>UNIQUE</v>
      </c>
      <c r="L3407" s="18">
        <v>2</v>
      </c>
      <c r="M3407" s="28">
        <v>18</v>
      </c>
      <c r="N3407" s="6">
        <v>9</v>
      </c>
      <c r="O3407" s="30">
        <f t="shared" si="322"/>
        <v>36</v>
      </c>
      <c r="P3407" s="30">
        <f t="shared" si="323"/>
        <v>162</v>
      </c>
      <c r="Q3407" s="1">
        <f>COUNTIFS($P:$P, "&gt;" &amp; $P3407) + 1</f>
        <v>4383</v>
      </c>
      <c r="R3407" s="63">
        <f>(COUNTIFS($P:$P, "&gt;" &amp; $P3407) + 1) / (COUNTA($I:$I) - 1)</f>
        <v>0.87660000000000005</v>
      </c>
      <c r="S3407" s="23">
        <f>SUMIFS($P:$P, $Q:$Q, "&lt;" &amp; $Q3407)</f>
        <v>186523354</v>
      </c>
    </row>
    <row r="3408" spans="1:19" x14ac:dyDescent="0.25">
      <c r="A3408" s="1">
        <v>3403</v>
      </c>
      <c r="B3408" s="1" t="s">
        <v>2</v>
      </c>
      <c r="C3408" s="1" t="str">
        <f>IF($B3408 = "Production Item", _xlfn.XLOOKUP($A3408, 'Instrument Table'!$J:$J, 'Instrument Table'!$B:$B, $C3407), IF($B3408 = "Service Item", _xlfn.XLOOKUP($A3408, 'Instrument Table'!$I:$I, 'Instrument Table'!$B:$B, $C3407), _xlfn.XLOOKUP($A3408, 'Instrument Table'!$H:$H, 'Instrument Table'!$B:$B, $C3407)))</f>
        <v>Theremin</v>
      </c>
      <c r="D3408" s="1" t="str">
        <f>VLOOKUP($C3408, 'Instrument Table'!$B:$C, 2, FALSE)</f>
        <v>Other</v>
      </c>
      <c r="E3408" s="1">
        <f t="shared" si="318"/>
        <v>1</v>
      </c>
      <c r="F3408" s="1">
        <f>_xlfn.XLOOKUP($C3408, 'Instrument Table'!$B:$B, 'Instrument Table'!$A:$A, "")</f>
        <v>60</v>
      </c>
      <c r="G3408" s="1" t="str">
        <f>TEXT(IF($B3408 = "Retail Item", IF((ROW($A3408) - 4504 - _xlfn.XMATCH($C3408, $C$4506:$C$5005, 0, 1)) &lt;= VLOOKUP($C3408, 'Instrument Table'!$B:$D, 3, FALSE), ROW($A3408) - 4504 - _xlfn.XMATCH($C3408, $C$4506:$C$5005, 0, 1), 0), 0), "00")</f>
        <v>00</v>
      </c>
      <c r="H3408" s="1" t="str">
        <f t="shared" si="319"/>
        <v>252</v>
      </c>
      <c r="I3408" s="1" t="str">
        <f t="shared" si="320"/>
        <v>16000-252</v>
      </c>
      <c r="J3408" s="1" t="str">
        <f t="shared" si="321"/>
        <v>Theremin production item #252</v>
      </c>
      <c r="K3408" s="1" t="str">
        <f>IF(SUM(COUNTIFS(I:I, I3408)) &gt; 1, "DUPLICATE", "UNIQUE")</f>
        <v>UNIQUE</v>
      </c>
      <c r="L3408" s="18">
        <v>0</v>
      </c>
      <c r="M3408" s="28">
        <v>71</v>
      </c>
      <c r="N3408" s="6">
        <v>121</v>
      </c>
      <c r="O3408" s="30">
        <f t="shared" si="322"/>
        <v>0</v>
      </c>
      <c r="P3408" s="30">
        <f t="shared" si="323"/>
        <v>8591</v>
      </c>
      <c r="Q3408" s="1">
        <f>COUNTIFS($P:$P, "&gt;" &amp; $P3408) + 1</f>
        <v>1923</v>
      </c>
      <c r="R3408" s="63">
        <f>(COUNTIFS($P:$P, "&gt;" &amp; $P3408) + 1) / (COUNTA($I:$I) - 1)</f>
        <v>0.3846</v>
      </c>
      <c r="S3408" s="23">
        <f>SUMIFS($P:$P, $Q:$Q, "&lt;" &amp; $Q3408)</f>
        <v>179363450</v>
      </c>
    </row>
    <row r="3409" spans="1:19" x14ac:dyDescent="0.25">
      <c r="A3409" s="1">
        <v>3404</v>
      </c>
      <c r="B3409" s="1" t="s">
        <v>2</v>
      </c>
      <c r="C3409" s="1" t="str">
        <f>IF($B3409 = "Production Item", _xlfn.XLOOKUP($A3409, 'Instrument Table'!$J:$J, 'Instrument Table'!$B:$B, $C3408), IF($B3409 = "Service Item", _xlfn.XLOOKUP($A3409, 'Instrument Table'!$I:$I, 'Instrument Table'!$B:$B, $C3408), _xlfn.XLOOKUP($A3409, 'Instrument Table'!$H:$H, 'Instrument Table'!$B:$B, $C3408)))</f>
        <v>Theremin</v>
      </c>
      <c r="D3409" s="1" t="str">
        <f>VLOOKUP($C3409, 'Instrument Table'!$B:$C, 2, FALSE)</f>
        <v>Other</v>
      </c>
      <c r="E3409" s="1">
        <f t="shared" si="318"/>
        <v>1</v>
      </c>
      <c r="F3409" s="1">
        <f>_xlfn.XLOOKUP($C3409, 'Instrument Table'!$B:$B, 'Instrument Table'!$A:$A, "")</f>
        <v>60</v>
      </c>
      <c r="G3409" s="1" t="str">
        <f>TEXT(IF($B3409 = "Retail Item", IF((ROW($A3409) - 4504 - _xlfn.XMATCH($C3409, $C$4506:$C$5005, 0, 1)) &lt;= VLOOKUP($C3409, 'Instrument Table'!$B:$D, 3, FALSE), ROW($A3409) - 4504 - _xlfn.XMATCH($C3409, $C$4506:$C$5005, 0, 1), 0), 0), "00")</f>
        <v>00</v>
      </c>
      <c r="H3409" s="1" t="str">
        <f t="shared" si="319"/>
        <v>253</v>
      </c>
      <c r="I3409" s="1" t="str">
        <f t="shared" si="320"/>
        <v>16000-253</v>
      </c>
      <c r="J3409" s="1" t="str">
        <f t="shared" si="321"/>
        <v>Theremin production item #253</v>
      </c>
      <c r="K3409" s="1" t="str">
        <f>IF(SUM(COUNTIFS(I:I, I3409)) &gt; 1, "DUPLICATE", "UNIQUE")</f>
        <v>UNIQUE</v>
      </c>
      <c r="L3409" s="18">
        <v>0</v>
      </c>
      <c r="M3409" s="28">
        <v>15</v>
      </c>
      <c r="N3409" s="6">
        <v>121</v>
      </c>
      <c r="O3409" s="30">
        <f t="shared" si="322"/>
        <v>0</v>
      </c>
      <c r="P3409" s="30">
        <f t="shared" si="323"/>
        <v>1815</v>
      </c>
      <c r="Q3409" s="1">
        <f>COUNTIFS($P:$P, "&gt;" &amp; $P3409) + 1</f>
        <v>3321</v>
      </c>
      <c r="R3409" s="63">
        <f>(COUNTIFS($P:$P, "&gt;" &amp; $P3409) + 1) / (COUNTA($I:$I) - 1)</f>
        <v>0.66420000000000001</v>
      </c>
      <c r="S3409" s="23">
        <f>SUMIFS($P:$P, $Q:$Q, "&lt;" &amp; $Q3409)</f>
        <v>185648257</v>
      </c>
    </row>
    <row r="3410" spans="1:19" x14ac:dyDescent="0.25">
      <c r="A3410" s="1">
        <v>3405</v>
      </c>
      <c r="B3410" s="1" t="s">
        <v>2</v>
      </c>
      <c r="C3410" s="1" t="str">
        <f>IF($B3410 = "Production Item", _xlfn.XLOOKUP($A3410, 'Instrument Table'!$J:$J, 'Instrument Table'!$B:$B, $C3409), IF($B3410 = "Service Item", _xlfn.XLOOKUP($A3410, 'Instrument Table'!$I:$I, 'Instrument Table'!$B:$B, $C3409), _xlfn.XLOOKUP($A3410, 'Instrument Table'!$H:$H, 'Instrument Table'!$B:$B, $C3409)))</f>
        <v>Theremin</v>
      </c>
      <c r="D3410" s="1" t="str">
        <f>VLOOKUP($C3410, 'Instrument Table'!$B:$C, 2, FALSE)</f>
        <v>Other</v>
      </c>
      <c r="E3410" s="1">
        <f t="shared" si="318"/>
        <v>1</v>
      </c>
      <c r="F3410" s="1">
        <f>_xlfn.XLOOKUP($C3410, 'Instrument Table'!$B:$B, 'Instrument Table'!$A:$A, "")</f>
        <v>60</v>
      </c>
      <c r="G3410" s="1" t="str">
        <f>TEXT(IF($B3410 = "Retail Item", IF((ROW($A3410) - 4504 - _xlfn.XMATCH($C3410, $C$4506:$C$5005, 0, 1)) &lt;= VLOOKUP($C3410, 'Instrument Table'!$B:$D, 3, FALSE), ROW($A3410) - 4504 - _xlfn.XMATCH($C3410, $C$4506:$C$5005, 0, 1), 0), 0), "00")</f>
        <v>00</v>
      </c>
      <c r="H3410" s="1" t="str">
        <f t="shared" si="319"/>
        <v>254</v>
      </c>
      <c r="I3410" s="1" t="str">
        <f t="shared" si="320"/>
        <v>16000-254</v>
      </c>
      <c r="J3410" s="1" t="str">
        <f t="shared" si="321"/>
        <v>Theremin production item #254</v>
      </c>
      <c r="K3410" s="1" t="str">
        <f>IF(SUM(COUNTIFS(I:I, I3410)) &gt; 1, "DUPLICATE", "UNIQUE")</f>
        <v>UNIQUE</v>
      </c>
      <c r="L3410" s="18">
        <v>1</v>
      </c>
      <c r="M3410" s="28">
        <v>42</v>
      </c>
      <c r="N3410" s="6">
        <v>36</v>
      </c>
      <c r="O3410" s="30">
        <f t="shared" si="322"/>
        <v>42</v>
      </c>
      <c r="P3410" s="30">
        <f t="shared" si="323"/>
        <v>1512</v>
      </c>
      <c r="Q3410" s="1">
        <f>COUNTIFS($P:$P, "&gt;" &amp; $P3410) + 1</f>
        <v>3456</v>
      </c>
      <c r="R3410" s="63">
        <f>(COUNTIFS($P:$P, "&gt;" &amp; $P3410) + 1) / (COUNTA($I:$I) - 1)</f>
        <v>0.69120000000000004</v>
      </c>
      <c r="S3410" s="23">
        <f>SUMIFS($P:$P, $Q:$Q, "&lt;" &amp; $Q3410)</f>
        <v>185872951</v>
      </c>
    </row>
    <row r="3411" spans="1:19" x14ac:dyDescent="0.25">
      <c r="A3411" s="1">
        <v>3406</v>
      </c>
      <c r="B3411" s="1" t="s">
        <v>2</v>
      </c>
      <c r="C3411" s="1" t="str">
        <f>IF($B3411 = "Production Item", _xlfn.XLOOKUP($A3411, 'Instrument Table'!$J:$J, 'Instrument Table'!$B:$B, $C3410), IF($B3411 = "Service Item", _xlfn.XLOOKUP($A3411, 'Instrument Table'!$I:$I, 'Instrument Table'!$B:$B, $C3410), _xlfn.XLOOKUP($A3411, 'Instrument Table'!$H:$H, 'Instrument Table'!$B:$B, $C3410)))</f>
        <v>Theremin</v>
      </c>
      <c r="D3411" s="1" t="str">
        <f>VLOOKUP($C3411, 'Instrument Table'!$B:$C, 2, FALSE)</f>
        <v>Other</v>
      </c>
      <c r="E3411" s="1">
        <f t="shared" si="318"/>
        <v>1</v>
      </c>
      <c r="F3411" s="1">
        <f>_xlfn.XLOOKUP($C3411, 'Instrument Table'!$B:$B, 'Instrument Table'!$A:$A, "")</f>
        <v>60</v>
      </c>
      <c r="G3411" s="1" t="str">
        <f>TEXT(IF($B3411 = "Retail Item", IF((ROW($A3411) - 4504 - _xlfn.XMATCH($C3411, $C$4506:$C$5005, 0, 1)) &lt;= VLOOKUP($C3411, 'Instrument Table'!$B:$D, 3, FALSE), ROW($A3411) - 4504 - _xlfn.XMATCH($C3411, $C$4506:$C$5005, 0, 1), 0), 0), "00")</f>
        <v>00</v>
      </c>
      <c r="H3411" s="1" t="str">
        <f t="shared" si="319"/>
        <v>255</v>
      </c>
      <c r="I3411" s="1" t="str">
        <f t="shared" si="320"/>
        <v>16000-255</v>
      </c>
      <c r="J3411" s="1" t="str">
        <f t="shared" si="321"/>
        <v>Theremin production item #255</v>
      </c>
      <c r="K3411" s="1" t="str">
        <f>IF(SUM(COUNTIFS(I:I, I3411)) &gt; 1, "DUPLICATE", "UNIQUE")</f>
        <v>UNIQUE</v>
      </c>
      <c r="L3411" s="18">
        <v>0</v>
      </c>
      <c r="M3411" s="28">
        <v>46</v>
      </c>
      <c r="N3411" s="6">
        <v>49</v>
      </c>
      <c r="O3411" s="30">
        <f t="shared" si="322"/>
        <v>0</v>
      </c>
      <c r="P3411" s="30">
        <f t="shared" si="323"/>
        <v>2254</v>
      </c>
      <c r="Q3411" s="1">
        <f>COUNTIFS($P:$P, "&gt;" &amp; $P3411) + 1</f>
        <v>3155</v>
      </c>
      <c r="R3411" s="63">
        <f>(COUNTIFS($P:$P, "&gt;" &amp; $P3411) + 1) / (COUNTA($I:$I) - 1)</f>
        <v>0.63100000000000001</v>
      </c>
      <c r="S3411" s="23">
        <f>SUMIFS($P:$P, $Q:$Q, "&lt;" &amp; $Q3411)</f>
        <v>185309453</v>
      </c>
    </row>
    <row r="3412" spans="1:19" x14ac:dyDescent="0.25">
      <c r="A3412" s="1">
        <v>3407</v>
      </c>
      <c r="B3412" s="1" t="s">
        <v>2</v>
      </c>
      <c r="C3412" s="1" t="str">
        <f>IF($B3412 = "Production Item", _xlfn.XLOOKUP($A3412, 'Instrument Table'!$J:$J, 'Instrument Table'!$B:$B, $C3411), IF($B3412 = "Service Item", _xlfn.XLOOKUP($A3412, 'Instrument Table'!$I:$I, 'Instrument Table'!$B:$B, $C3411), _xlfn.XLOOKUP($A3412, 'Instrument Table'!$H:$H, 'Instrument Table'!$B:$B, $C3411)))</f>
        <v>Theremin</v>
      </c>
      <c r="D3412" s="1" t="str">
        <f>VLOOKUP($C3412, 'Instrument Table'!$B:$C, 2, FALSE)</f>
        <v>Other</v>
      </c>
      <c r="E3412" s="1">
        <f t="shared" si="318"/>
        <v>1</v>
      </c>
      <c r="F3412" s="1">
        <f>_xlfn.XLOOKUP($C3412, 'Instrument Table'!$B:$B, 'Instrument Table'!$A:$A, "")</f>
        <v>60</v>
      </c>
      <c r="G3412" s="1" t="str">
        <f>TEXT(IF($B3412 = "Retail Item", IF((ROW($A3412) - 4504 - _xlfn.XMATCH($C3412, $C$4506:$C$5005, 0, 1)) &lt;= VLOOKUP($C3412, 'Instrument Table'!$B:$D, 3, FALSE), ROW($A3412) - 4504 - _xlfn.XMATCH($C3412, $C$4506:$C$5005, 0, 1), 0), 0), "00")</f>
        <v>00</v>
      </c>
      <c r="H3412" s="1" t="str">
        <f t="shared" si="319"/>
        <v>256</v>
      </c>
      <c r="I3412" s="1" t="str">
        <f t="shared" si="320"/>
        <v>16000-256</v>
      </c>
      <c r="J3412" s="1" t="str">
        <f t="shared" si="321"/>
        <v>Theremin production item #256</v>
      </c>
      <c r="K3412" s="1" t="str">
        <f>IF(SUM(COUNTIFS(I:I, I3412)) &gt; 1, "DUPLICATE", "UNIQUE")</f>
        <v>UNIQUE</v>
      </c>
      <c r="L3412" s="18">
        <v>1</v>
      </c>
      <c r="M3412" s="28">
        <v>26</v>
      </c>
      <c r="N3412" s="6">
        <v>289</v>
      </c>
      <c r="O3412" s="30">
        <f t="shared" si="322"/>
        <v>26</v>
      </c>
      <c r="P3412" s="30">
        <f t="shared" si="323"/>
        <v>7514</v>
      </c>
      <c r="Q3412" s="1">
        <f>COUNTIFS($P:$P, "&gt;" &amp; $P3412) + 1</f>
        <v>2068</v>
      </c>
      <c r="R3412" s="63">
        <f>(COUNTIFS($P:$P, "&gt;" &amp; $P3412) + 1) / (COUNTA($I:$I) - 1)</f>
        <v>0.41360000000000002</v>
      </c>
      <c r="S3412" s="23">
        <f>SUMIFS($P:$P, $Q:$Q, "&lt;" &amp; $Q3412)</f>
        <v>180521911</v>
      </c>
    </row>
    <row r="3413" spans="1:19" x14ac:dyDescent="0.25">
      <c r="A3413" s="1">
        <v>3408</v>
      </c>
      <c r="B3413" s="1" t="s">
        <v>2</v>
      </c>
      <c r="C3413" s="1" t="str">
        <f>IF($B3413 = "Production Item", _xlfn.XLOOKUP($A3413, 'Instrument Table'!$J:$J, 'Instrument Table'!$B:$B, $C3412), IF($B3413 = "Service Item", _xlfn.XLOOKUP($A3413, 'Instrument Table'!$I:$I, 'Instrument Table'!$B:$B, $C3412), _xlfn.XLOOKUP($A3413, 'Instrument Table'!$H:$H, 'Instrument Table'!$B:$B, $C3412)))</f>
        <v>Theremin</v>
      </c>
      <c r="D3413" s="1" t="str">
        <f>VLOOKUP($C3413, 'Instrument Table'!$B:$C, 2, FALSE)</f>
        <v>Other</v>
      </c>
      <c r="E3413" s="1">
        <f t="shared" si="318"/>
        <v>1</v>
      </c>
      <c r="F3413" s="1">
        <f>_xlfn.XLOOKUP($C3413, 'Instrument Table'!$B:$B, 'Instrument Table'!$A:$A, "")</f>
        <v>60</v>
      </c>
      <c r="G3413" s="1" t="str">
        <f>TEXT(IF($B3413 = "Retail Item", IF((ROW($A3413) - 4504 - _xlfn.XMATCH($C3413, $C$4506:$C$5005, 0, 1)) &lt;= VLOOKUP($C3413, 'Instrument Table'!$B:$D, 3, FALSE), ROW($A3413) - 4504 - _xlfn.XMATCH($C3413, $C$4506:$C$5005, 0, 1), 0), 0), "00")</f>
        <v>00</v>
      </c>
      <c r="H3413" s="1" t="str">
        <f t="shared" si="319"/>
        <v>257</v>
      </c>
      <c r="I3413" s="1" t="str">
        <f t="shared" si="320"/>
        <v>16000-257</v>
      </c>
      <c r="J3413" s="1" t="str">
        <f t="shared" si="321"/>
        <v>Theremin production item #257</v>
      </c>
      <c r="K3413" s="1" t="str">
        <f>IF(SUM(COUNTIFS(I:I, I3413)) &gt; 1, "DUPLICATE", "UNIQUE")</f>
        <v>UNIQUE</v>
      </c>
      <c r="L3413" s="18">
        <v>1</v>
      </c>
      <c r="M3413" s="28">
        <v>24</v>
      </c>
      <c r="N3413" s="6">
        <v>1</v>
      </c>
      <c r="O3413" s="30">
        <f t="shared" si="322"/>
        <v>24</v>
      </c>
      <c r="P3413" s="30">
        <f t="shared" si="323"/>
        <v>24</v>
      </c>
      <c r="Q3413" s="1">
        <f>COUNTIFS($P:$P, "&gt;" &amp; $P3413) + 1</f>
        <v>4682</v>
      </c>
      <c r="R3413" s="63">
        <f>(COUNTIFS($P:$P, "&gt;" &amp; $P3413) + 1) / (COUNTA($I:$I) - 1)</f>
        <v>0.93640000000000001</v>
      </c>
      <c r="S3413" s="23">
        <f>SUMIFS($P:$P, $Q:$Q, "&lt;" &amp; $Q3413)</f>
        <v>186547022</v>
      </c>
    </row>
    <row r="3414" spans="1:19" x14ac:dyDescent="0.25">
      <c r="A3414" s="1">
        <v>3409</v>
      </c>
      <c r="B3414" s="1" t="s">
        <v>2</v>
      </c>
      <c r="C3414" s="1" t="str">
        <f>IF($B3414 = "Production Item", _xlfn.XLOOKUP($A3414, 'Instrument Table'!$J:$J, 'Instrument Table'!$B:$B, $C3413), IF($B3414 = "Service Item", _xlfn.XLOOKUP($A3414, 'Instrument Table'!$I:$I, 'Instrument Table'!$B:$B, $C3413), _xlfn.XLOOKUP($A3414, 'Instrument Table'!$H:$H, 'Instrument Table'!$B:$B, $C3413)))</f>
        <v>Theremin</v>
      </c>
      <c r="D3414" s="1" t="str">
        <f>VLOOKUP($C3414, 'Instrument Table'!$B:$C, 2, FALSE)</f>
        <v>Other</v>
      </c>
      <c r="E3414" s="1">
        <f t="shared" si="318"/>
        <v>1</v>
      </c>
      <c r="F3414" s="1">
        <f>_xlfn.XLOOKUP($C3414, 'Instrument Table'!$B:$B, 'Instrument Table'!$A:$A, "")</f>
        <v>60</v>
      </c>
      <c r="G3414" s="1" t="str">
        <f>TEXT(IF($B3414 = "Retail Item", IF((ROW($A3414) - 4504 - _xlfn.XMATCH($C3414, $C$4506:$C$5005, 0, 1)) &lt;= VLOOKUP($C3414, 'Instrument Table'!$B:$D, 3, FALSE), ROW($A3414) - 4504 - _xlfn.XMATCH($C3414, $C$4506:$C$5005, 0, 1), 0), 0), "00")</f>
        <v>00</v>
      </c>
      <c r="H3414" s="1" t="str">
        <f t="shared" si="319"/>
        <v>258</v>
      </c>
      <c r="I3414" s="1" t="str">
        <f t="shared" si="320"/>
        <v>16000-258</v>
      </c>
      <c r="J3414" s="1" t="str">
        <f t="shared" si="321"/>
        <v>Theremin production item #258</v>
      </c>
      <c r="K3414" s="1" t="str">
        <f>IF(SUM(COUNTIFS(I:I, I3414)) &gt; 1, "DUPLICATE", "UNIQUE")</f>
        <v>UNIQUE</v>
      </c>
      <c r="L3414" s="18">
        <v>0</v>
      </c>
      <c r="M3414" s="28">
        <v>80</v>
      </c>
      <c r="N3414" s="6">
        <v>16</v>
      </c>
      <c r="O3414" s="30">
        <f t="shared" si="322"/>
        <v>0</v>
      </c>
      <c r="P3414" s="30">
        <f t="shared" si="323"/>
        <v>1280</v>
      </c>
      <c r="Q3414" s="1">
        <f>COUNTIFS($P:$P, "&gt;" &amp; $P3414) + 1</f>
        <v>3569</v>
      </c>
      <c r="R3414" s="63">
        <f>(COUNTIFS($P:$P, "&gt;" &amp; $P3414) + 1) / (COUNTA($I:$I) - 1)</f>
        <v>0.71379999999999999</v>
      </c>
      <c r="S3414" s="23">
        <f>SUMIFS($P:$P, $Q:$Q, "&lt;" &amp; $Q3414)</f>
        <v>186031008</v>
      </c>
    </row>
    <row r="3415" spans="1:19" x14ac:dyDescent="0.25">
      <c r="A3415" s="1">
        <v>3410</v>
      </c>
      <c r="B3415" s="1" t="s">
        <v>2</v>
      </c>
      <c r="C3415" s="1" t="str">
        <f>IF($B3415 = "Production Item", _xlfn.XLOOKUP($A3415, 'Instrument Table'!$J:$J, 'Instrument Table'!$B:$B, $C3414), IF($B3415 = "Service Item", _xlfn.XLOOKUP($A3415, 'Instrument Table'!$I:$I, 'Instrument Table'!$B:$B, $C3414), _xlfn.XLOOKUP($A3415, 'Instrument Table'!$H:$H, 'Instrument Table'!$B:$B, $C3414)))</f>
        <v>Theremin</v>
      </c>
      <c r="D3415" s="1" t="str">
        <f>VLOOKUP($C3415, 'Instrument Table'!$B:$C, 2, FALSE)</f>
        <v>Other</v>
      </c>
      <c r="E3415" s="1">
        <f t="shared" si="318"/>
        <v>1</v>
      </c>
      <c r="F3415" s="1">
        <f>_xlfn.XLOOKUP($C3415, 'Instrument Table'!$B:$B, 'Instrument Table'!$A:$A, "")</f>
        <v>60</v>
      </c>
      <c r="G3415" s="1" t="str">
        <f>TEXT(IF($B3415 = "Retail Item", IF((ROW($A3415) - 4504 - _xlfn.XMATCH($C3415, $C$4506:$C$5005, 0, 1)) &lt;= VLOOKUP($C3415, 'Instrument Table'!$B:$D, 3, FALSE), ROW($A3415) - 4504 - _xlfn.XMATCH($C3415, $C$4506:$C$5005, 0, 1), 0), 0), "00")</f>
        <v>00</v>
      </c>
      <c r="H3415" s="1" t="str">
        <f t="shared" si="319"/>
        <v>259</v>
      </c>
      <c r="I3415" s="1" t="str">
        <f t="shared" si="320"/>
        <v>16000-259</v>
      </c>
      <c r="J3415" s="1" t="str">
        <f t="shared" si="321"/>
        <v>Theremin production item #259</v>
      </c>
      <c r="K3415" s="1" t="str">
        <f>IF(SUM(COUNTIFS(I:I, I3415)) &gt; 1, "DUPLICATE", "UNIQUE")</f>
        <v>UNIQUE</v>
      </c>
      <c r="L3415" s="18">
        <v>1</v>
      </c>
      <c r="M3415" s="28">
        <v>77</v>
      </c>
      <c r="N3415" s="6">
        <v>4</v>
      </c>
      <c r="O3415" s="30">
        <f t="shared" si="322"/>
        <v>77</v>
      </c>
      <c r="P3415" s="30">
        <f t="shared" si="323"/>
        <v>308</v>
      </c>
      <c r="Q3415" s="1">
        <f>COUNTIFS($P:$P, "&gt;" &amp; $P3415) + 1</f>
        <v>4205</v>
      </c>
      <c r="R3415" s="63">
        <f>(COUNTIFS($P:$P, "&gt;" &amp; $P3415) + 1) / (COUNTA($I:$I) - 1)</f>
        <v>0.84099999999999997</v>
      </c>
      <c r="S3415" s="23">
        <f>SUMIFS($P:$P, $Q:$Q, "&lt;" &amp; $Q3415)</f>
        <v>186481971</v>
      </c>
    </row>
    <row r="3416" spans="1:19" x14ac:dyDescent="0.25">
      <c r="A3416" s="1">
        <v>3411</v>
      </c>
      <c r="B3416" s="1" t="s">
        <v>2</v>
      </c>
      <c r="C3416" s="1" t="str">
        <f>IF($B3416 = "Production Item", _xlfn.XLOOKUP($A3416, 'Instrument Table'!$J:$J, 'Instrument Table'!$B:$B, $C3415), IF($B3416 = "Service Item", _xlfn.XLOOKUP($A3416, 'Instrument Table'!$I:$I, 'Instrument Table'!$B:$B, $C3415), _xlfn.XLOOKUP($A3416, 'Instrument Table'!$H:$H, 'Instrument Table'!$B:$B, $C3415)))</f>
        <v>Theremin</v>
      </c>
      <c r="D3416" s="1" t="str">
        <f>VLOOKUP($C3416, 'Instrument Table'!$B:$C, 2, FALSE)</f>
        <v>Other</v>
      </c>
      <c r="E3416" s="1">
        <f t="shared" si="318"/>
        <v>1</v>
      </c>
      <c r="F3416" s="1">
        <f>_xlfn.XLOOKUP($C3416, 'Instrument Table'!$B:$B, 'Instrument Table'!$A:$A, "")</f>
        <v>60</v>
      </c>
      <c r="G3416" s="1" t="str">
        <f>TEXT(IF($B3416 = "Retail Item", IF((ROW($A3416) - 4504 - _xlfn.XMATCH($C3416, $C$4506:$C$5005, 0, 1)) &lt;= VLOOKUP($C3416, 'Instrument Table'!$B:$D, 3, FALSE), ROW($A3416) - 4504 - _xlfn.XMATCH($C3416, $C$4506:$C$5005, 0, 1), 0), 0), "00")</f>
        <v>00</v>
      </c>
      <c r="H3416" s="1" t="str">
        <f t="shared" si="319"/>
        <v>260</v>
      </c>
      <c r="I3416" s="1" t="str">
        <f t="shared" si="320"/>
        <v>16000-260</v>
      </c>
      <c r="J3416" s="1" t="str">
        <f t="shared" si="321"/>
        <v>Theremin production item #260</v>
      </c>
      <c r="K3416" s="1" t="str">
        <f>IF(SUM(COUNTIFS(I:I, I3416)) &gt; 1, "DUPLICATE", "UNIQUE")</f>
        <v>UNIQUE</v>
      </c>
      <c r="L3416" s="18">
        <v>16</v>
      </c>
      <c r="M3416" s="28">
        <v>4</v>
      </c>
      <c r="N3416" s="6">
        <v>49</v>
      </c>
      <c r="O3416" s="30">
        <f t="shared" si="322"/>
        <v>64</v>
      </c>
      <c r="P3416" s="30">
        <f t="shared" si="323"/>
        <v>196</v>
      </c>
      <c r="Q3416" s="1">
        <f>COUNTIFS($P:$P, "&gt;" &amp; $P3416) + 1</f>
        <v>4334</v>
      </c>
      <c r="R3416" s="63">
        <f>(COUNTIFS($P:$P, "&gt;" &amp; $P3416) + 1) / (COUNTA($I:$I) - 1)</f>
        <v>0.86680000000000001</v>
      </c>
      <c r="S3416" s="23">
        <f>SUMIFS($P:$P, $Q:$Q, "&lt;" &amp; $Q3416)</f>
        <v>186514493</v>
      </c>
    </row>
    <row r="3417" spans="1:19" x14ac:dyDescent="0.25">
      <c r="A3417" s="1">
        <v>3412</v>
      </c>
      <c r="B3417" s="1" t="s">
        <v>2</v>
      </c>
      <c r="C3417" s="1" t="str">
        <f>IF($B3417 = "Production Item", _xlfn.XLOOKUP($A3417, 'Instrument Table'!$J:$J, 'Instrument Table'!$B:$B, $C3416), IF($B3417 = "Service Item", _xlfn.XLOOKUP($A3417, 'Instrument Table'!$I:$I, 'Instrument Table'!$B:$B, $C3416), _xlfn.XLOOKUP($A3417, 'Instrument Table'!$H:$H, 'Instrument Table'!$B:$B, $C3416)))</f>
        <v>Theremin</v>
      </c>
      <c r="D3417" s="1" t="str">
        <f>VLOOKUP($C3417, 'Instrument Table'!$B:$C, 2, FALSE)</f>
        <v>Other</v>
      </c>
      <c r="E3417" s="1">
        <f t="shared" si="318"/>
        <v>1</v>
      </c>
      <c r="F3417" s="1">
        <f>_xlfn.XLOOKUP($C3417, 'Instrument Table'!$B:$B, 'Instrument Table'!$A:$A, "")</f>
        <v>60</v>
      </c>
      <c r="G3417" s="1" t="str">
        <f>TEXT(IF($B3417 = "Retail Item", IF((ROW($A3417) - 4504 - _xlfn.XMATCH($C3417, $C$4506:$C$5005, 0, 1)) &lt;= VLOOKUP($C3417, 'Instrument Table'!$B:$D, 3, FALSE), ROW($A3417) - 4504 - _xlfn.XMATCH($C3417, $C$4506:$C$5005, 0, 1), 0), 0), "00")</f>
        <v>00</v>
      </c>
      <c r="H3417" s="1" t="str">
        <f t="shared" si="319"/>
        <v>261</v>
      </c>
      <c r="I3417" s="1" t="str">
        <f t="shared" si="320"/>
        <v>16000-261</v>
      </c>
      <c r="J3417" s="1" t="str">
        <f t="shared" si="321"/>
        <v>Theremin production item #261</v>
      </c>
      <c r="K3417" s="1" t="str">
        <f>IF(SUM(COUNTIFS(I:I, I3417)) &gt; 1, "DUPLICATE", "UNIQUE")</f>
        <v>UNIQUE</v>
      </c>
      <c r="L3417" s="18">
        <v>1</v>
      </c>
      <c r="M3417" s="28">
        <v>13</v>
      </c>
      <c r="N3417" s="6">
        <v>0</v>
      </c>
      <c r="O3417" s="30">
        <f t="shared" si="322"/>
        <v>13</v>
      </c>
      <c r="P3417" s="30">
        <f t="shared" si="323"/>
        <v>0</v>
      </c>
      <c r="Q3417" s="1">
        <f>COUNTIFS($P:$P, "&gt;" &amp; $P3417) + 1</f>
        <v>4746</v>
      </c>
      <c r="R3417" s="63">
        <f>(COUNTIFS($P:$P, "&gt;" &amp; $P3417) + 1) / (COUNTA($I:$I) - 1)</f>
        <v>0.94920000000000004</v>
      </c>
      <c r="S3417" s="23">
        <f>SUMIFS($P:$P, $Q:$Q, "&lt;" &amp; $Q3417)</f>
        <v>186547861</v>
      </c>
    </row>
    <row r="3418" spans="1:19" x14ac:dyDescent="0.25">
      <c r="A3418" s="1">
        <v>3413</v>
      </c>
      <c r="B3418" s="1" t="s">
        <v>2</v>
      </c>
      <c r="C3418" s="1" t="str">
        <f>IF($B3418 = "Production Item", _xlfn.XLOOKUP($A3418, 'Instrument Table'!$J:$J, 'Instrument Table'!$B:$B, $C3417), IF($B3418 = "Service Item", _xlfn.XLOOKUP($A3418, 'Instrument Table'!$I:$I, 'Instrument Table'!$B:$B, $C3417), _xlfn.XLOOKUP($A3418, 'Instrument Table'!$H:$H, 'Instrument Table'!$B:$B, $C3417)))</f>
        <v>Theremin</v>
      </c>
      <c r="D3418" s="1" t="str">
        <f>VLOOKUP($C3418, 'Instrument Table'!$B:$C, 2, FALSE)</f>
        <v>Other</v>
      </c>
      <c r="E3418" s="1">
        <f t="shared" si="318"/>
        <v>1</v>
      </c>
      <c r="F3418" s="1">
        <f>_xlfn.XLOOKUP($C3418, 'Instrument Table'!$B:$B, 'Instrument Table'!$A:$A, "")</f>
        <v>60</v>
      </c>
      <c r="G3418" s="1" t="str">
        <f>TEXT(IF($B3418 = "Retail Item", IF((ROW($A3418) - 4504 - _xlfn.XMATCH($C3418, $C$4506:$C$5005, 0, 1)) &lt;= VLOOKUP($C3418, 'Instrument Table'!$B:$D, 3, FALSE), ROW($A3418) - 4504 - _xlfn.XMATCH($C3418, $C$4506:$C$5005, 0, 1), 0), 0), "00")</f>
        <v>00</v>
      </c>
      <c r="H3418" s="1" t="str">
        <f t="shared" si="319"/>
        <v>262</v>
      </c>
      <c r="I3418" s="1" t="str">
        <f t="shared" si="320"/>
        <v>16000-262</v>
      </c>
      <c r="J3418" s="1" t="str">
        <f t="shared" si="321"/>
        <v>Theremin production item #262</v>
      </c>
      <c r="K3418" s="1" t="str">
        <f>IF(SUM(COUNTIFS(I:I, I3418)) &gt; 1, "DUPLICATE", "UNIQUE")</f>
        <v>UNIQUE</v>
      </c>
      <c r="L3418" s="18">
        <v>0</v>
      </c>
      <c r="M3418" s="28">
        <v>2</v>
      </c>
      <c r="N3418" s="6">
        <v>100</v>
      </c>
      <c r="O3418" s="30">
        <f t="shared" si="322"/>
        <v>0</v>
      </c>
      <c r="P3418" s="30">
        <f t="shared" si="323"/>
        <v>200</v>
      </c>
      <c r="Q3418" s="1">
        <f>COUNTIFS($P:$P, "&gt;" &amp; $P3418) + 1</f>
        <v>4322</v>
      </c>
      <c r="R3418" s="63">
        <f>(COUNTIFS($P:$P, "&gt;" &amp; $P3418) + 1) / (COUNTA($I:$I) - 1)</f>
        <v>0.86439999999999995</v>
      </c>
      <c r="S3418" s="23">
        <f>SUMIFS($P:$P, $Q:$Q, "&lt;" &amp; $Q3418)</f>
        <v>186512097</v>
      </c>
    </row>
    <row r="3419" spans="1:19" x14ac:dyDescent="0.25">
      <c r="A3419" s="1">
        <v>3414</v>
      </c>
      <c r="B3419" s="1" t="s">
        <v>2</v>
      </c>
      <c r="C3419" s="1" t="str">
        <f>IF($B3419 = "Production Item", _xlfn.XLOOKUP($A3419, 'Instrument Table'!$J:$J, 'Instrument Table'!$B:$B, $C3418), IF($B3419 = "Service Item", _xlfn.XLOOKUP($A3419, 'Instrument Table'!$I:$I, 'Instrument Table'!$B:$B, $C3418), _xlfn.XLOOKUP($A3419, 'Instrument Table'!$H:$H, 'Instrument Table'!$B:$B, $C3418)))</f>
        <v>Theremin</v>
      </c>
      <c r="D3419" s="1" t="str">
        <f>VLOOKUP($C3419, 'Instrument Table'!$B:$C, 2, FALSE)</f>
        <v>Other</v>
      </c>
      <c r="E3419" s="1">
        <f t="shared" si="318"/>
        <v>1</v>
      </c>
      <c r="F3419" s="1">
        <f>_xlfn.XLOOKUP($C3419, 'Instrument Table'!$B:$B, 'Instrument Table'!$A:$A, "")</f>
        <v>60</v>
      </c>
      <c r="G3419" s="1" t="str">
        <f>TEXT(IF($B3419 = "Retail Item", IF((ROW($A3419) - 4504 - _xlfn.XMATCH($C3419, $C$4506:$C$5005, 0, 1)) &lt;= VLOOKUP($C3419, 'Instrument Table'!$B:$D, 3, FALSE), ROW($A3419) - 4504 - _xlfn.XMATCH($C3419, $C$4506:$C$5005, 0, 1), 0), 0), "00")</f>
        <v>00</v>
      </c>
      <c r="H3419" s="1" t="str">
        <f t="shared" si="319"/>
        <v>263</v>
      </c>
      <c r="I3419" s="1" t="str">
        <f t="shared" si="320"/>
        <v>16000-263</v>
      </c>
      <c r="J3419" s="1" t="str">
        <f t="shared" si="321"/>
        <v>Theremin production item #263</v>
      </c>
      <c r="K3419" s="1" t="str">
        <f>IF(SUM(COUNTIFS(I:I, I3419)) &gt; 1, "DUPLICATE", "UNIQUE")</f>
        <v>UNIQUE</v>
      </c>
      <c r="L3419" s="18">
        <v>16</v>
      </c>
      <c r="M3419" s="28">
        <v>53</v>
      </c>
      <c r="N3419" s="6">
        <v>169</v>
      </c>
      <c r="O3419" s="30">
        <f t="shared" si="322"/>
        <v>848</v>
      </c>
      <c r="P3419" s="30">
        <f t="shared" si="323"/>
        <v>8957</v>
      </c>
      <c r="Q3419" s="1">
        <f>COUNTIFS($P:$P, "&gt;" &amp; $P3419) + 1</f>
        <v>1875</v>
      </c>
      <c r="R3419" s="63">
        <f>(COUNTIFS($P:$P, "&gt;" &amp; $P3419) + 1) / (COUNTA($I:$I) - 1)</f>
        <v>0.375</v>
      </c>
      <c r="S3419" s="23">
        <f>SUMIFS($P:$P, $Q:$Q, "&lt;" &amp; $Q3419)</f>
        <v>178941127</v>
      </c>
    </row>
    <row r="3420" spans="1:19" x14ac:dyDescent="0.25">
      <c r="A3420" s="1">
        <v>3415</v>
      </c>
      <c r="B3420" s="1" t="s">
        <v>2</v>
      </c>
      <c r="C3420" s="1" t="str">
        <f>IF($B3420 = "Production Item", _xlfn.XLOOKUP($A3420, 'Instrument Table'!$J:$J, 'Instrument Table'!$B:$B, $C3419), IF($B3420 = "Service Item", _xlfn.XLOOKUP($A3420, 'Instrument Table'!$I:$I, 'Instrument Table'!$B:$B, $C3419), _xlfn.XLOOKUP($A3420, 'Instrument Table'!$H:$H, 'Instrument Table'!$B:$B, $C3419)))</f>
        <v>Theremin</v>
      </c>
      <c r="D3420" s="1" t="str">
        <f>VLOOKUP($C3420, 'Instrument Table'!$B:$C, 2, FALSE)</f>
        <v>Other</v>
      </c>
      <c r="E3420" s="1">
        <f t="shared" si="318"/>
        <v>1</v>
      </c>
      <c r="F3420" s="1">
        <f>_xlfn.XLOOKUP($C3420, 'Instrument Table'!$B:$B, 'Instrument Table'!$A:$A, "")</f>
        <v>60</v>
      </c>
      <c r="G3420" s="1" t="str">
        <f>TEXT(IF($B3420 = "Retail Item", IF((ROW($A3420) - 4504 - _xlfn.XMATCH($C3420, $C$4506:$C$5005, 0, 1)) &lt;= VLOOKUP($C3420, 'Instrument Table'!$B:$D, 3, FALSE), ROW($A3420) - 4504 - _xlfn.XMATCH($C3420, $C$4506:$C$5005, 0, 1), 0), 0), "00")</f>
        <v>00</v>
      </c>
      <c r="H3420" s="1" t="str">
        <f t="shared" si="319"/>
        <v>264</v>
      </c>
      <c r="I3420" s="1" t="str">
        <f t="shared" si="320"/>
        <v>16000-264</v>
      </c>
      <c r="J3420" s="1" t="str">
        <f t="shared" si="321"/>
        <v>Theremin production item #264</v>
      </c>
      <c r="K3420" s="1" t="str">
        <f>IF(SUM(COUNTIFS(I:I, I3420)) &gt; 1, "DUPLICATE", "UNIQUE")</f>
        <v>UNIQUE</v>
      </c>
      <c r="L3420" s="18">
        <v>32</v>
      </c>
      <c r="M3420" s="28">
        <v>25</v>
      </c>
      <c r="N3420" s="6">
        <v>144</v>
      </c>
      <c r="O3420" s="30">
        <f t="shared" si="322"/>
        <v>800</v>
      </c>
      <c r="P3420" s="30">
        <f t="shared" si="323"/>
        <v>3600</v>
      </c>
      <c r="Q3420" s="1">
        <f>COUNTIFS($P:$P, "&gt;" &amp; $P3420) + 1</f>
        <v>2737</v>
      </c>
      <c r="R3420" s="63">
        <f>(COUNTIFS($P:$P, "&gt;" &amp; $P3420) + 1) / (COUNTA($I:$I) - 1)</f>
        <v>0.5474</v>
      </c>
      <c r="S3420" s="23">
        <f>SUMIFS($P:$P, $Q:$Q, "&lt;" &amp; $Q3420)</f>
        <v>184104041</v>
      </c>
    </row>
    <row r="3421" spans="1:19" x14ac:dyDescent="0.25">
      <c r="A3421" s="1">
        <v>3416</v>
      </c>
      <c r="B3421" s="1" t="s">
        <v>2</v>
      </c>
      <c r="C3421" s="1" t="str">
        <f>IF($B3421 = "Production Item", _xlfn.XLOOKUP($A3421, 'Instrument Table'!$J:$J, 'Instrument Table'!$B:$B, $C3420), IF($B3421 = "Service Item", _xlfn.XLOOKUP($A3421, 'Instrument Table'!$I:$I, 'Instrument Table'!$B:$B, $C3420), _xlfn.XLOOKUP($A3421, 'Instrument Table'!$H:$H, 'Instrument Table'!$B:$B, $C3420)))</f>
        <v>Theremin</v>
      </c>
      <c r="D3421" s="1" t="str">
        <f>VLOOKUP($C3421, 'Instrument Table'!$B:$C, 2, FALSE)</f>
        <v>Other</v>
      </c>
      <c r="E3421" s="1">
        <f t="shared" si="318"/>
        <v>1</v>
      </c>
      <c r="F3421" s="1">
        <f>_xlfn.XLOOKUP($C3421, 'Instrument Table'!$B:$B, 'Instrument Table'!$A:$A, "")</f>
        <v>60</v>
      </c>
      <c r="G3421" s="1" t="str">
        <f>TEXT(IF($B3421 = "Retail Item", IF((ROW($A3421) - 4504 - _xlfn.XMATCH($C3421, $C$4506:$C$5005, 0, 1)) &lt;= VLOOKUP($C3421, 'Instrument Table'!$B:$D, 3, FALSE), ROW($A3421) - 4504 - _xlfn.XMATCH($C3421, $C$4506:$C$5005, 0, 1), 0), 0), "00")</f>
        <v>00</v>
      </c>
      <c r="H3421" s="1" t="str">
        <f t="shared" si="319"/>
        <v>265</v>
      </c>
      <c r="I3421" s="1" t="str">
        <f t="shared" si="320"/>
        <v>16000-265</v>
      </c>
      <c r="J3421" s="1" t="str">
        <f t="shared" si="321"/>
        <v>Theremin production item #265</v>
      </c>
      <c r="K3421" s="1" t="str">
        <f>IF(SUM(COUNTIFS(I:I, I3421)) &gt; 1, "DUPLICATE", "UNIQUE")</f>
        <v>UNIQUE</v>
      </c>
      <c r="L3421" s="18">
        <v>0</v>
      </c>
      <c r="M3421" s="28">
        <v>57</v>
      </c>
      <c r="N3421" s="6">
        <v>0</v>
      </c>
      <c r="O3421" s="30">
        <f t="shared" si="322"/>
        <v>0</v>
      </c>
      <c r="P3421" s="30">
        <f t="shared" si="323"/>
        <v>0</v>
      </c>
      <c r="Q3421" s="1">
        <f>COUNTIFS($P:$P, "&gt;" &amp; $P3421) + 1</f>
        <v>4746</v>
      </c>
      <c r="R3421" s="63">
        <f>(COUNTIFS($P:$P, "&gt;" &amp; $P3421) + 1) / (COUNTA($I:$I) - 1)</f>
        <v>0.94920000000000004</v>
      </c>
      <c r="S3421" s="23">
        <f>SUMIFS($P:$P, $Q:$Q, "&lt;" &amp; $Q3421)</f>
        <v>186547861</v>
      </c>
    </row>
    <row r="3422" spans="1:19" x14ac:dyDescent="0.25">
      <c r="A3422" s="1">
        <v>3417</v>
      </c>
      <c r="B3422" s="1" t="s">
        <v>2</v>
      </c>
      <c r="C3422" s="1" t="str">
        <f>IF($B3422 = "Production Item", _xlfn.XLOOKUP($A3422, 'Instrument Table'!$J:$J, 'Instrument Table'!$B:$B, $C3421), IF($B3422 = "Service Item", _xlfn.XLOOKUP($A3422, 'Instrument Table'!$I:$I, 'Instrument Table'!$B:$B, $C3421), _xlfn.XLOOKUP($A3422, 'Instrument Table'!$H:$H, 'Instrument Table'!$B:$B, $C3421)))</f>
        <v>Theremin</v>
      </c>
      <c r="D3422" s="1" t="str">
        <f>VLOOKUP($C3422, 'Instrument Table'!$B:$C, 2, FALSE)</f>
        <v>Other</v>
      </c>
      <c r="E3422" s="1">
        <f t="shared" si="318"/>
        <v>1</v>
      </c>
      <c r="F3422" s="1">
        <f>_xlfn.XLOOKUP($C3422, 'Instrument Table'!$B:$B, 'Instrument Table'!$A:$A, "")</f>
        <v>60</v>
      </c>
      <c r="G3422" s="1" t="str">
        <f>TEXT(IF($B3422 = "Retail Item", IF((ROW($A3422) - 4504 - _xlfn.XMATCH($C3422, $C$4506:$C$5005, 0, 1)) &lt;= VLOOKUP($C3422, 'Instrument Table'!$B:$D, 3, FALSE), ROW($A3422) - 4504 - _xlfn.XMATCH($C3422, $C$4506:$C$5005, 0, 1), 0), 0), "00")</f>
        <v>00</v>
      </c>
      <c r="H3422" s="1" t="str">
        <f t="shared" si="319"/>
        <v>266</v>
      </c>
      <c r="I3422" s="1" t="str">
        <f t="shared" si="320"/>
        <v>16000-266</v>
      </c>
      <c r="J3422" s="1" t="str">
        <f t="shared" si="321"/>
        <v>Theremin production item #266</v>
      </c>
      <c r="K3422" s="1" t="str">
        <f>IF(SUM(COUNTIFS(I:I, I3422)) &gt; 1, "DUPLICATE", "UNIQUE")</f>
        <v>UNIQUE</v>
      </c>
      <c r="L3422" s="18">
        <v>1</v>
      </c>
      <c r="M3422" s="28">
        <v>15</v>
      </c>
      <c r="N3422" s="6">
        <v>400</v>
      </c>
      <c r="O3422" s="30">
        <f t="shared" si="322"/>
        <v>15</v>
      </c>
      <c r="P3422" s="30">
        <f t="shared" si="323"/>
        <v>6000</v>
      </c>
      <c r="Q3422" s="1">
        <f>COUNTIFS($P:$P, "&gt;" &amp; $P3422) + 1</f>
        <v>2264</v>
      </c>
      <c r="R3422" s="63">
        <f>(COUNTIFS($P:$P, "&gt;" &amp; $P3422) + 1) / (COUNTA($I:$I) - 1)</f>
        <v>0.45279999999999998</v>
      </c>
      <c r="S3422" s="23">
        <f>SUMIFS($P:$P, $Q:$Q, "&lt;" &amp; $Q3422)</f>
        <v>181851858</v>
      </c>
    </row>
    <row r="3423" spans="1:19" x14ac:dyDescent="0.25">
      <c r="A3423" s="1">
        <v>3418</v>
      </c>
      <c r="B3423" s="1" t="s">
        <v>2</v>
      </c>
      <c r="C3423" s="1" t="str">
        <f>IF($B3423 = "Production Item", _xlfn.XLOOKUP($A3423, 'Instrument Table'!$J:$J, 'Instrument Table'!$B:$B, $C3422), IF($B3423 = "Service Item", _xlfn.XLOOKUP($A3423, 'Instrument Table'!$I:$I, 'Instrument Table'!$B:$B, $C3422), _xlfn.XLOOKUP($A3423, 'Instrument Table'!$H:$H, 'Instrument Table'!$B:$B, $C3422)))</f>
        <v>Theremin</v>
      </c>
      <c r="D3423" s="1" t="str">
        <f>VLOOKUP($C3423, 'Instrument Table'!$B:$C, 2, FALSE)</f>
        <v>Other</v>
      </c>
      <c r="E3423" s="1">
        <f t="shared" si="318"/>
        <v>1</v>
      </c>
      <c r="F3423" s="1">
        <f>_xlfn.XLOOKUP($C3423, 'Instrument Table'!$B:$B, 'Instrument Table'!$A:$A, "")</f>
        <v>60</v>
      </c>
      <c r="G3423" s="1" t="str">
        <f>TEXT(IF($B3423 = "Retail Item", IF((ROW($A3423) - 4504 - _xlfn.XMATCH($C3423, $C$4506:$C$5005, 0, 1)) &lt;= VLOOKUP($C3423, 'Instrument Table'!$B:$D, 3, FALSE), ROW($A3423) - 4504 - _xlfn.XMATCH($C3423, $C$4506:$C$5005, 0, 1), 0), 0), "00")</f>
        <v>00</v>
      </c>
      <c r="H3423" s="1" t="str">
        <f t="shared" si="319"/>
        <v>267</v>
      </c>
      <c r="I3423" s="1" t="str">
        <f t="shared" si="320"/>
        <v>16000-267</v>
      </c>
      <c r="J3423" s="1" t="str">
        <f t="shared" si="321"/>
        <v>Theremin production item #267</v>
      </c>
      <c r="K3423" s="1" t="str">
        <f>IF(SUM(COUNTIFS(I:I, I3423)) &gt; 1, "DUPLICATE", "UNIQUE")</f>
        <v>UNIQUE</v>
      </c>
      <c r="L3423" s="18">
        <v>4</v>
      </c>
      <c r="M3423" s="28">
        <v>61</v>
      </c>
      <c r="N3423" s="6">
        <v>324</v>
      </c>
      <c r="O3423" s="30">
        <f t="shared" si="322"/>
        <v>244</v>
      </c>
      <c r="P3423" s="30">
        <f t="shared" si="323"/>
        <v>19764</v>
      </c>
      <c r="Q3423" s="1">
        <f>COUNTIFS($P:$P, "&gt;" &amp; $P3423) + 1</f>
        <v>1067</v>
      </c>
      <c r="R3423" s="63">
        <f>(COUNTIFS($P:$P, "&gt;" &amp; $P3423) + 1) / (COUNTA($I:$I) - 1)</f>
        <v>0.21340000000000001</v>
      </c>
      <c r="S3423" s="23">
        <f>SUMIFS($P:$P, $Q:$Q, "&lt;" &amp; $Q3423)</f>
        <v>167862511</v>
      </c>
    </row>
    <row r="3424" spans="1:19" x14ac:dyDescent="0.25">
      <c r="A3424" s="1">
        <v>3419</v>
      </c>
      <c r="B3424" s="1" t="s">
        <v>2</v>
      </c>
      <c r="C3424" s="1" t="str">
        <f>IF($B3424 = "Production Item", _xlfn.XLOOKUP($A3424, 'Instrument Table'!$J:$J, 'Instrument Table'!$B:$B, $C3423), IF($B3424 = "Service Item", _xlfn.XLOOKUP($A3424, 'Instrument Table'!$I:$I, 'Instrument Table'!$B:$B, $C3423), _xlfn.XLOOKUP($A3424, 'Instrument Table'!$H:$H, 'Instrument Table'!$B:$B, $C3423)))</f>
        <v>Theremin</v>
      </c>
      <c r="D3424" s="1" t="str">
        <f>VLOOKUP($C3424, 'Instrument Table'!$B:$C, 2, FALSE)</f>
        <v>Other</v>
      </c>
      <c r="E3424" s="1">
        <f t="shared" si="318"/>
        <v>1</v>
      </c>
      <c r="F3424" s="1">
        <f>_xlfn.XLOOKUP($C3424, 'Instrument Table'!$B:$B, 'Instrument Table'!$A:$A, "")</f>
        <v>60</v>
      </c>
      <c r="G3424" s="1" t="str">
        <f>TEXT(IF($B3424 = "Retail Item", IF((ROW($A3424) - 4504 - _xlfn.XMATCH($C3424, $C$4506:$C$5005, 0, 1)) &lt;= VLOOKUP($C3424, 'Instrument Table'!$B:$D, 3, FALSE), ROW($A3424) - 4504 - _xlfn.XMATCH($C3424, $C$4506:$C$5005, 0, 1), 0), 0), "00")</f>
        <v>00</v>
      </c>
      <c r="H3424" s="1" t="str">
        <f t="shared" si="319"/>
        <v>268</v>
      </c>
      <c r="I3424" s="1" t="str">
        <f t="shared" si="320"/>
        <v>16000-268</v>
      </c>
      <c r="J3424" s="1" t="str">
        <f t="shared" si="321"/>
        <v>Theremin production item #268</v>
      </c>
      <c r="K3424" s="1" t="str">
        <f>IF(SUM(COUNTIFS(I:I, I3424)) &gt; 1, "DUPLICATE", "UNIQUE")</f>
        <v>UNIQUE</v>
      </c>
      <c r="L3424" s="18">
        <v>8</v>
      </c>
      <c r="M3424" s="28">
        <v>48</v>
      </c>
      <c r="N3424" s="6">
        <v>9</v>
      </c>
      <c r="O3424" s="30">
        <f t="shared" si="322"/>
        <v>384</v>
      </c>
      <c r="P3424" s="30">
        <f t="shared" si="323"/>
        <v>432</v>
      </c>
      <c r="Q3424" s="1">
        <f>COUNTIFS($P:$P, "&gt;" &amp; $P3424) + 1</f>
        <v>4071</v>
      </c>
      <c r="R3424" s="63">
        <f>(COUNTIFS($P:$P, "&gt;" &amp; $P3424) + 1) / (COUNTA($I:$I) - 1)</f>
        <v>0.81420000000000003</v>
      </c>
      <c r="S3424" s="23">
        <f>SUMIFS($P:$P, $Q:$Q, "&lt;" &amp; $Q3424)</f>
        <v>186432845</v>
      </c>
    </row>
    <row r="3425" spans="1:19" x14ac:dyDescent="0.25">
      <c r="A3425" s="1">
        <v>3420</v>
      </c>
      <c r="B3425" s="1" t="s">
        <v>2</v>
      </c>
      <c r="C3425" s="1" t="str">
        <f>IF($B3425 = "Production Item", _xlfn.XLOOKUP($A3425, 'Instrument Table'!$J:$J, 'Instrument Table'!$B:$B, $C3424), IF($B3425 = "Service Item", _xlfn.XLOOKUP($A3425, 'Instrument Table'!$I:$I, 'Instrument Table'!$B:$B, $C3424), _xlfn.XLOOKUP($A3425, 'Instrument Table'!$H:$H, 'Instrument Table'!$B:$B, $C3424)))</f>
        <v>Theremin</v>
      </c>
      <c r="D3425" s="1" t="str">
        <f>VLOOKUP($C3425, 'Instrument Table'!$B:$C, 2, FALSE)</f>
        <v>Other</v>
      </c>
      <c r="E3425" s="1">
        <f t="shared" si="318"/>
        <v>1</v>
      </c>
      <c r="F3425" s="1">
        <f>_xlfn.XLOOKUP($C3425, 'Instrument Table'!$B:$B, 'Instrument Table'!$A:$A, "")</f>
        <v>60</v>
      </c>
      <c r="G3425" s="1" t="str">
        <f>TEXT(IF($B3425 = "Retail Item", IF((ROW($A3425) - 4504 - _xlfn.XMATCH($C3425, $C$4506:$C$5005, 0, 1)) &lt;= VLOOKUP($C3425, 'Instrument Table'!$B:$D, 3, FALSE), ROW($A3425) - 4504 - _xlfn.XMATCH($C3425, $C$4506:$C$5005, 0, 1), 0), 0), "00")</f>
        <v>00</v>
      </c>
      <c r="H3425" s="1" t="str">
        <f t="shared" si="319"/>
        <v>269</v>
      </c>
      <c r="I3425" s="1" t="str">
        <f t="shared" si="320"/>
        <v>16000-269</v>
      </c>
      <c r="J3425" s="1" t="str">
        <f t="shared" si="321"/>
        <v>Theremin production item #269</v>
      </c>
      <c r="K3425" s="1" t="str">
        <f>IF(SUM(COUNTIFS(I:I, I3425)) &gt; 1, "DUPLICATE", "UNIQUE")</f>
        <v>UNIQUE</v>
      </c>
      <c r="L3425" s="18">
        <v>0</v>
      </c>
      <c r="M3425" s="28">
        <v>6</v>
      </c>
      <c r="N3425" s="6">
        <v>169</v>
      </c>
      <c r="O3425" s="30">
        <f t="shared" si="322"/>
        <v>0</v>
      </c>
      <c r="P3425" s="30">
        <f t="shared" si="323"/>
        <v>1014</v>
      </c>
      <c r="Q3425" s="1">
        <f>COUNTIFS($P:$P, "&gt;" &amp; $P3425) + 1</f>
        <v>3672</v>
      </c>
      <c r="R3425" s="63">
        <f>(COUNTIFS($P:$P, "&gt;" &amp; $P3425) + 1) / (COUNTA($I:$I) - 1)</f>
        <v>0.73440000000000005</v>
      </c>
      <c r="S3425" s="23">
        <f>SUMIFS($P:$P, $Q:$Q, "&lt;" &amp; $Q3425)</f>
        <v>186151081</v>
      </c>
    </row>
    <row r="3426" spans="1:19" x14ac:dyDescent="0.25">
      <c r="A3426" s="1">
        <v>3421</v>
      </c>
      <c r="B3426" s="1" t="s">
        <v>2</v>
      </c>
      <c r="C3426" s="1" t="str">
        <f>IF($B3426 = "Production Item", _xlfn.XLOOKUP($A3426, 'Instrument Table'!$J:$J, 'Instrument Table'!$B:$B, $C3425), IF($B3426 = "Service Item", _xlfn.XLOOKUP($A3426, 'Instrument Table'!$I:$I, 'Instrument Table'!$B:$B, $C3425), _xlfn.XLOOKUP($A3426, 'Instrument Table'!$H:$H, 'Instrument Table'!$B:$B, $C3425)))</f>
        <v>Theremin</v>
      </c>
      <c r="D3426" s="1" t="str">
        <f>VLOOKUP($C3426, 'Instrument Table'!$B:$C, 2, FALSE)</f>
        <v>Other</v>
      </c>
      <c r="E3426" s="1">
        <f t="shared" si="318"/>
        <v>1</v>
      </c>
      <c r="F3426" s="1">
        <f>_xlfn.XLOOKUP($C3426, 'Instrument Table'!$B:$B, 'Instrument Table'!$A:$A, "")</f>
        <v>60</v>
      </c>
      <c r="G3426" s="1" t="str">
        <f>TEXT(IF($B3426 = "Retail Item", IF((ROW($A3426) - 4504 - _xlfn.XMATCH($C3426, $C$4506:$C$5005, 0, 1)) &lt;= VLOOKUP($C3426, 'Instrument Table'!$B:$D, 3, FALSE), ROW($A3426) - 4504 - _xlfn.XMATCH($C3426, $C$4506:$C$5005, 0, 1), 0), 0), "00")</f>
        <v>00</v>
      </c>
      <c r="H3426" s="1" t="str">
        <f t="shared" si="319"/>
        <v>270</v>
      </c>
      <c r="I3426" s="1" t="str">
        <f t="shared" si="320"/>
        <v>16000-270</v>
      </c>
      <c r="J3426" s="1" t="str">
        <f t="shared" si="321"/>
        <v>Theremin production item #270</v>
      </c>
      <c r="K3426" s="1" t="str">
        <f>IF(SUM(COUNTIFS(I:I, I3426)) &gt; 1, "DUPLICATE", "UNIQUE")</f>
        <v>UNIQUE</v>
      </c>
      <c r="L3426" s="18">
        <v>1</v>
      </c>
      <c r="M3426" s="28">
        <v>52</v>
      </c>
      <c r="N3426" s="6">
        <v>49</v>
      </c>
      <c r="O3426" s="30">
        <f t="shared" si="322"/>
        <v>52</v>
      </c>
      <c r="P3426" s="30">
        <f t="shared" si="323"/>
        <v>2548</v>
      </c>
      <c r="Q3426" s="1">
        <f>COUNTIFS($P:$P, "&gt;" &amp; $P3426) + 1</f>
        <v>3033</v>
      </c>
      <c r="R3426" s="63">
        <f>(COUNTIFS($P:$P, "&gt;" &amp; $P3426) + 1) / (COUNTA($I:$I) - 1)</f>
        <v>0.60660000000000003</v>
      </c>
      <c r="S3426" s="23">
        <f>SUMIFS($P:$P, $Q:$Q, "&lt;" &amp; $Q3426)</f>
        <v>185017602</v>
      </c>
    </row>
    <row r="3427" spans="1:19" x14ac:dyDescent="0.25">
      <c r="A3427" s="1">
        <v>3422</v>
      </c>
      <c r="B3427" s="1" t="s">
        <v>2</v>
      </c>
      <c r="C3427" s="1" t="str">
        <f>IF($B3427 = "Production Item", _xlfn.XLOOKUP($A3427, 'Instrument Table'!$J:$J, 'Instrument Table'!$B:$B, $C3426), IF($B3427 = "Service Item", _xlfn.XLOOKUP($A3427, 'Instrument Table'!$I:$I, 'Instrument Table'!$B:$B, $C3426), _xlfn.XLOOKUP($A3427, 'Instrument Table'!$H:$H, 'Instrument Table'!$B:$B, $C3426)))</f>
        <v>Theremin</v>
      </c>
      <c r="D3427" s="1" t="str">
        <f>VLOOKUP($C3427, 'Instrument Table'!$B:$C, 2, FALSE)</f>
        <v>Other</v>
      </c>
      <c r="E3427" s="1">
        <f t="shared" si="318"/>
        <v>1</v>
      </c>
      <c r="F3427" s="1">
        <f>_xlfn.XLOOKUP($C3427, 'Instrument Table'!$B:$B, 'Instrument Table'!$A:$A, "")</f>
        <v>60</v>
      </c>
      <c r="G3427" s="1" t="str">
        <f>TEXT(IF($B3427 = "Retail Item", IF((ROW($A3427) - 4504 - _xlfn.XMATCH($C3427, $C$4506:$C$5005, 0, 1)) &lt;= VLOOKUP($C3427, 'Instrument Table'!$B:$D, 3, FALSE), ROW($A3427) - 4504 - _xlfn.XMATCH($C3427, $C$4506:$C$5005, 0, 1), 0), 0), "00")</f>
        <v>00</v>
      </c>
      <c r="H3427" s="1" t="str">
        <f t="shared" si="319"/>
        <v>271</v>
      </c>
      <c r="I3427" s="1" t="str">
        <f t="shared" si="320"/>
        <v>16000-271</v>
      </c>
      <c r="J3427" s="1" t="str">
        <f t="shared" si="321"/>
        <v>Theremin production item #271</v>
      </c>
      <c r="K3427" s="1" t="str">
        <f>IF(SUM(COUNTIFS(I:I, I3427)) &gt; 1, "DUPLICATE", "UNIQUE")</f>
        <v>UNIQUE</v>
      </c>
      <c r="L3427" s="18">
        <v>4</v>
      </c>
      <c r="M3427" s="28">
        <v>21</v>
      </c>
      <c r="N3427" s="6">
        <v>1</v>
      </c>
      <c r="O3427" s="30">
        <f t="shared" si="322"/>
        <v>84</v>
      </c>
      <c r="P3427" s="30">
        <f t="shared" si="323"/>
        <v>21</v>
      </c>
      <c r="Q3427" s="1">
        <f>COUNTIFS($P:$P, "&gt;" &amp; $P3427) + 1</f>
        <v>4686</v>
      </c>
      <c r="R3427" s="63">
        <f>(COUNTIFS($P:$P, "&gt;" &amp; $P3427) + 1) / (COUNTA($I:$I) - 1)</f>
        <v>0.93720000000000003</v>
      </c>
      <c r="S3427" s="23">
        <f>SUMIFS($P:$P, $Q:$Q, "&lt;" &amp; $Q3427)</f>
        <v>186547115</v>
      </c>
    </row>
    <row r="3428" spans="1:19" x14ac:dyDescent="0.25">
      <c r="A3428" s="1">
        <v>3423</v>
      </c>
      <c r="B3428" s="1" t="s">
        <v>2</v>
      </c>
      <c r="C3428" s="1" t="str">
        <f>IF($B3428 = "Production Item", _xlfn.XLOOKUP($A3428, 'Instrument Table'!$J:$J, 'Instrument Table'!$B:$B, $C3427), IF($B3428 = "Service Item", _xlfn.XLOOKUP($A3428, 'Instrument Table'!$I:$I, 'Instrument Table'!$B:$B, $C3427), _xlfn.XLOOKUP($A3428, 'Instrument Table'!$H:$H, 'Instrument Table'!$B:$B, $C3427)))</f>
        <v>Theremin</v>
      </c>
      <c r="D3428" s="1" t="str">
        <f>VLOOKUP($C3428, 'Instrument Table'!$B:$C, 2, FALSE)</f>
        <v>Other</v>
      </c>
      <c r="E3428" s="1">
        <f t="shared" si="318"/>
        <v>1</v>
      </c>
      <c r="F3428" s="1">
        <f>_xlfn.XLOOKUP($C3428, 'Instrument Table'!$B:$B, 'Instrument Table'!$A:$A, "")</f>
        <v>60</v>
      </c>
      <c r="G3428" s="1" t="str">
        <f>TEXT(IF($B3428 = "Retail Item", IF((ROW($A3428) - 4504 - _xlfn.XMATCH($C3428, $C$4506:$C$5005, 0, 1)) &lt;= VLOOKUP($C3428, 'Instrument Table'!$B:$D, 3, FALSE), ROW($A3428) - 4504 - _xlfn.XMATCH($C3428, $C$4506:$C$5005, 0, 1), 0), 0), "00")</f>
        <v>00</v>
      </c>
      <c r="H3428" s="1" t="str">
        <f t="shared" si="319"/>
        <v>272</v>
      </c>
      <c r="I3428" s="1" t="str">
        <f t="shared" si="320"/>
        <v>16000-272</v>
      </c>
      <c r="J3428" s="1" t="str">
        <f t="shared" si="321"/>
        <v>Theremin production item #272</v>
      </c>
      <c r="K3428" s="1" t="str">
        <f>IF(SUM(COUNTIFS(I:I, I3428)) &gt; 1, "DUPLICATE", "UNIQUE")</f>
        <v>UNIQUE</v>
      </c>
      <c r="L3428" s="18">
        <v>8</v>
      </c>
      <c r="M3428" s="28">
        <v>78</v>
      </c>
      <c r="N3428" s="6">
        <v>16</v>
      </c>
      <c r="O3428" s="30">
        <f t="shared" si="322"/>
        <v>624</v>
      </c>
      <c r="P3428" s="30">
        <f t="shared" si="323"/>
        <v>1248</v>
      </c>
      <c r="Q3428" s="1">
        <f>COUNTIFS($P:$P, "&gt;" &amp; $P3428) + 1</f>
        <v>3585</v>
      </c>
      <c r="R3428" s="63">
        <f>(COUNTIFS($P:$P, "&gt;" &amp; $P3428) + 1) / (COUNTA($I:$I) - 1)</f>
        <v>0.71699999999999997</v>
      </c>
      <c r="S3428" s="23">
        <f>SUMIFS($P:$P, $Q:$Q, "&lt;" &amp; $Q3428)</f>
        <v>186051380</v>
      </c>
    </row>
    <row r="3429" spans="1:19" x14ac:dyDescent="0.25">
      <c r="A3429" s="1">
        <v>3424</v>
      </c>
      <c r="B3429" s="1" t="s">
        <v>2</v>
      </c>
      <c r="C3429" s="1" t="str">
        <f>IF($B3429 = "Production Item", _xlfn.XLOOKUP($A3429, 'Instrument Table'!$J:$J, 'Instrument Table'!$B:$B, $C3428), IF($B3429 = "Service Item", _xlfn.XLOOKUP($A3429, 'Instrument Table'!$I:$I, 'Instrument Table'!$B:$B, $C3428), _xlfn.XLOOKUP($A3429, 'Instrument Table'!$H:$H, 'Instrument Table'!$B:$B, $C3428)))</f>
        <v>Theremin</v>
      </c>
      <c r="D3429" s="1" t="str">
        <f>VLOOKUP($C3429, 'Instrument Table'!$B:$C, 2, FALSE)</f>
        <v>Other</v>
      </c>
      <c r="E3429" s="1">
        <f t="shared" si="318"/>
        <v>1</v>
      </c>
      <c r="F3429" s="1">
        <f>_xlfn.XLOOKUP($C3429, 'Instrument Table'!$B:$B, 'Instrument Table'!$A:$A, "")</f>
        <v>60</v>
      </c>
      <c r="G3429" s="1" t="str">
        <f>TEXT(IF($B3429 = "Retail Item", IF((ROW($A3429) - 4504 - _xlfn.XMATCH($C3429, $C$4506:$C$5005, 0, 1)) &lt;= VLOOKUP($C3429, 'Instrument Table'!$B:$D, 3, FALSE), ROW($A3429) - 4504 - _xlfn.XMATCH($C3429, $C$4506:$C$5005, 0, 1), 0), 0), "00")</f>
        <v>00</v>
      </c>
      <c r="H3429" s="1" t="str">
        <f t="shared" si="319"/>
        <v>273</v>
      </c>
      <c r="I3429" s="1" t="str">
        <f t="shared" si="320"/>
        <v>16000-273</v>
      </c>
      <c r="J3429" s="1" t="str">
        <f t="shared" si="321"/>
        <v>Theremin production item #273</v>
      </c>
      <c r="K3429" s="1" t="str">
        <f>IF(SUM(COUNTIFS(I:I, I3429)) &gt; 1, "DUPLICATE", "UNIQUE")</f>
        <v>UNIQUE</v>
      </c>
      <c r="L3429" s="18">
        <v>1</v>
      </c>
      <c r="M3429" s="28">
        <v>5</v>
      </c>
      <c r="N3429" s="6">
        <v>4</v>
      </c>
      <c r="O3429" s="30">
        <f t="shared" si="322"/>
        <v>5</v>
      </c>
      <c r="P3429" s="30">
        <f t="shared" si="323"/>
        <v>20</v>
      </c>
      <c r="Q3429" s="1">
        <f>COUNTIFS($P:$P, "&gt;" &amp; $P3429) + 1</f>
        <v>4692</v>
      </c>
      <c r="R3429" s="63">
        <f>(COUNTIFS($P:$P, "&gt;" &amp; $P3429) + 1) / (COUNTA($I:$I) - 1)</f>
        <v>0.93840000000000001</v>
      </c>
      <c r="S3429" s="23">
        <f>SUMIFS($P:$P, $Q:$Q, "&lt;" &amp; $Q3429)</f>
        <v>186547241</v>
      </c>
    </row>
    <row r="3430" spans="1:19" x14ac:dyDescent="0.25">
      <c r="A3430" s="1">
        <v>3425</v>
      </c>
      <c r="B3430" s="1" t="s">
        <v>2</v>
      </c>
      <c r="C3430" s="1" t="str">
        <f>IF($B3430 = "Production Item", _xlfn.XLOOKUP($A3430, 'Instrument Table'!$J:$J, 'Instrument Table'!$B:$B, $C3429), IF($B3430 = "Service Item", _xlfn.XLOOKUP($A3430, 'Instrument Table'!$I:$I, 'Instrument Table'!$B:$B, $C3429), _xlfn.XLOOKUP($A3430, 'Instrument Table'!$H:$H, 'Instrument Table'!$B:$B, $C3429)))</f>
        <v>Theremin</v>
      </c>
      <c r="D3430" s="1" t="str">
        <f>VLOOKUP($C3430, 'Instrument Table'!$B:$C, 2, FALSE)</f>
        <v>Other</v>
      </c>
      <c r="E3430" s="1">
        <f t="shared" si="318"/>
        <v>1</v>
      </c>
      <c r="F3430" s="1">
        <f>_xlfn.XLOOKUP($C3430, 'Instrument Table'!$B:$B, 'Instrument Table'!$A:$A, "")</f>
        <v>60</v>
      </c>
      <c r="G3430" s="1" t="str">
        <f>TEXT(IF($B3430 = "Retail Item", IF((ROW($A3430) - 4504 - _xlfn.XMATCH($C3430, $C$4506:$C$5005, 0, 1)) &lt;= VLOOKUP($C3430, 'Instrument Table'!$B:$D, 3, FALSE), ROW($A3430) - 4504 - _xlfn.XMATCH($C3430, $C$4506:$C$5005, 0, 1), 0), 0), "00")</f>
        <v>00</v>
      </c>
      <c r="H3430" s="1" t="str">
        <f t="shared" si="319"/>
        <v>274</v>
      </c>
      <c r="I3430" s="1" t="str">
        <f t="shared" si="320"/>
        <v>16000-274</v>
      </c>
      <c r="J3430" s="1" t="str">
        <f t="shared" si="321"/>
        <v>Theremin production item #274</v>
      </c>
      <c r="K3430" s="1" t="str">
        <f>IF(SUM(COUNTIFS(I:I, I3430)) &gt; 1, "DUPLICATE", "UNIQUE")</f>
        <v>UNIQUE</v>
      </c>
      <c r="L3430" s="18">
        <v>1</v>
      </c>
      <c r="M3430" s="28">
        <v>50</v>
      </c>
      <c r="N3430" s="6">
        <v>4</v>
      </c>
      <c r="O3430" s="30">
        <f t="shared" si="322"/>
        <v>50</v>
      </c>
      <c r="P3430" s="30">
        <f t="shared" si="323"/>
        <v>200</v>
      </c>
      <c r="Q3430" s="1">
        <f>COUNTIFS($P:$P, "&gt;" &amp; $P3430) + 1</f>
        <v>4322</v>
      </c>
      <c r="R3430" s="63">
        <f>(COUNTIFS($P:$P, "&gt;" &amp; $P3430) + 1) / (COUNTA($I:$I) - 1)</f>
        <v>0.86439999999999995</v>
      </c>
      <c r="S3430" s="23">
        <f>SUMIFS($P:$P, $Q:$Q, "&lt;" &amp; $Q3430)</f>
        <v>186512097</v>
      </c>
    </row>
    <row r="3431" spans="1:19" x14ac:dyDescent="0.25">
      <c r="A3431" s="1">
        <v>3426</v>
      </c>
      <c r="B3431" s="1" t="s">
        <v>2</v>
      </c>
      <c r="C3431" s="1" t="str">
        <f>IF($B3431 = "Production Item", _xlfn.XLOOKUP($A3431, 'Instrument Table'!$J:$J, 'Instrument Table'!$B:$B, $C3430), IF($B3431 = "Service Item", _xlfn.XLOOKUP($A3431, 'Instrument Table'!$I:$I, 'Instrument Table'!$B:$B, $C3430), _xlfn.XLOOKUP($A3431, 'Instrument Table'!$H:$H, 'Instrument Table'!$B:$B, $C3430)))</f>
        <v>Theremin</v>
      </c>
      <c r="D3431" s="1" t="str">
        <f>VLOOKUP($C3431, 'Instrument Table'!$B:$C, 2, FALSE)</f>
        <v>Other</v>
      </c>
      <c r="E3431" s="1">
        <f t="shared" si="318"/>
        <v>1</v>
      </c>
      <c r="F3431" s="1">
        <f>_xlfn.XLOOKUP($C3431, 'Instrument Table'!$B:$B, 'Instrument Table'!$A:$A, "")</f>
        <v>60</v>
      </c>
      <c r="G3431" s="1" t="str">
        <f>TEXT(IF($B3431 = "Retail Item", IF((ROW($A3431) - 4504 - _xlfn.XMATCH($C3431, $C$4506:$C$5005, 0, 1)) &lt;= VLOOKUP($C3431, 'Instrument Table'!$B:$D, 3, FALSE), ROW($A3431) - 4504 - _xlfn.XMATCH($C3431, $C$4506:$C$5005, 0, 1), 0), 0), "00")</f>
        <v>00</v>
      </c>
      <c r="H3431" s="1" t="str">
        <f t="shared" si="319"/>
        <v>275</v>
      </c>
      <c r="I3431" s="1" t="str">
        <f t="shared" si="320"/>
        <v>16000-275</v>
      </c>
      <c r="J3431" s="1" t="str">
        <f t="shared" si="321"/>
        <v>Theremin production item #275</v>
      </c>
      <c r="K3431" s="1" t="str">
        <f>IF(SUM(COUNTIFS(I:I, I3431)) &gt; 1, "DUPLICATE", "UNIQUE")</f>
        <v>UNIQUE</v>
      </c>
      <c r="L3431" s="18">
        <v>1</v>
      </c>
      <c r="M3431" s="28">
        <v>38</v>
      </c>
      <c r="N3431" s="6">
        <v>361</v>
      </c>
      <c r="O3431" s="30">
        <f t="shared" si="322"/>
        <v>38</v>
      </c>
      <c r="P3431" s="30">
        <f t="shared" si="323"/>
        <v>13718</v>
      </c>
      <c r="Q3431" s="1">
        <f>COUNTIFS($P:$P, "&gt;" &amp; $P3431) + 1</f>
        <v>1440</v>
      </c>
      <c r="R3431" s="63">
        <f>(COUNTIFS($P:$P, "&gt;" &amp; $P3431) + 1) / (COUNTA($I:$I) - 1)</f>
        <v>0.28799999999999998</v>
      </c>
      <c r="S3431" s="23">
        <f>SUMIFS($P:$P, $Q:$Q, "&lt;" &amp; $Q3431)</f>
        <v>174036329</v>
      </c>
    </row>
    <row r="3432" spans="1:19" x14ac:dyDescent="0.25">
      <c r="A3432" s="1">
        <v>3427</v>
      </c>
      <c r="B3432" s="1" t="s">
        <v>2</v>
      </c>
      <c r="C3432" s="1" t="str">
        <f>IF($B3432 = "Production Item", _xlfn.XLOOKUP($A3432, 'Instrument Table'!$J:$J, 'Instrument Table'!$B:$B, $C3431), IF($B3432 = "Service Item", _xlfn.XLOOKUP($A3432, 'Instrument Table'!$I:$I, 'Instrument Table'!$B:$B, $C3431), _xlfn.XLOOKUP($A3432, 'Instrument Table'!$H:$H, 'Instrument Table'!$B:$B, $C3431)))</f>
        <v>Theremin</v>
      </c>
      <c r="D3432" s="1" t="str">
        <f>VLOOKUP($C3432, 'Instrument Table'!$B:$C, 2, FALSE)</f>
        <v>Other</v>
      </c>
      <c r="E3432" s="1">
        <f t="shared" si="318"/>
        <v>1</v>
      </c>
      <c r="F3432" s="1">
        <f>_xlfn.XLOOKUP($C3432, 'Instrument Table'!$B:$B, 'Instrument Table'!$A:$A, "")</f>
        <v>60</v>
      </c>
      <c r="G3432" s="1" t="str">
        <f>TEXT(IF($B3432 = "Retail Item", IF((ROW($A3432) - 4504 - _xlfn.XMATCH($C3432, $C$4506:$C$5005, 0, 1)) &lt;= VLOOKUP($C3432, 'Instrument Table'!$B:$D, 3, FALSE), ROW($A3432) - 4504 - _xlfn.XMATCH($C3432, $C$4506:$C$5005, 0, 1), 0), 0), "00")</f>
        <v>00</v>
      </c>
      <c r="H3432" s="1" t="str">
        <f t="shared" si="319"/>
        <v>276</v>
      </c>
      <c r="I3432" s="1" t="str">
        <f t="shared" si="320"/>
        <v>16000-276</v>
      </c>
      <c r="J3432" s="1" t="str">
        <f t="shared" si="321"/>
        <v>Theremin production item #276</v>
      </c>
      <c r="K3432" s="1" t="str">
        <f>IF(SUM(COUNTIFS(I:I, I3432)) &gt; 1, "DUPLICATE", "UNIQUE")</f>
        <v>UNIQUE</v>
      </c>
      <c r="L3432" s="18">
        <v>0</v>
      </c>
      <c r="M3432" s="28">
        <v>24</v>
      </c>
      <c r="N3432" s="6">
        <v>225</v>
      </c>
      <c r="O3432" s="30">
        <f t="shared" si="322"/>
        <v>0</v>
      </c>
      <c r="P3432" s="30">
        <f t="shared" si="323"/>
        <v>5400</v>
      </c>
      <c r="Q3432" s="1">
        <f>COUNTIFS($P:$P, "&gt;" &amp; $P3432) + 1</f>
        <v>2373</v>
      </c>
      <c r="R3432" s="63">
        <f>(COUNTIFS($P:$P, "&gt;" &amp; $P3432) + 1) / (COUNTA($I:$I) - 1)</f>
        <v>0.47460000000000002</v>
      </c>
      <c r="S3432" s="23">
        <f>SUMIFS($P:$P, $Q:$Q, "&lt;" &amp; $Q3432)</f>
        <v>182473155</v>
      </c>
    </row>
    <row r="3433" spans="1:19" x14ac:dyDescent="0.25">
      <c r="A3433" s="1">
        <v>3428</v>
      </c>
      <c r="B3433" s="1" t="s">
        <v>2</v>
      </c>
      <c r="C3433" s="1" t="str">
        <f>IF($B3433 = "Production Item", _xlfn.XLOOKUP($A3433, 'Instrument Table'!$J:$J, 'Instrument Table'!$B:$B, $C3432), IF($B3433 = "Service Item", _xlfn.XLOOKUP($A3433, 'Instrument Table'!$I:$I, 'Instrument Table'!$B:$B, $C3432), _xlfn.XLOOKUP($A3433, 'Instrument Table'!$H:$H, 'Instrument Table'!$B:$B, $C3432)))</f>
        <v>Theremin</v>
      </c>
      <c r="D3433" s="1" t="str">
        <f>VLOOKUP($C3433, 'Instrument Table'!$B:$C, 2, FALSE)</f>
        <v>Other</v>
      </c>
      <c r="E3433" s="1">
        <f t="shared" si="318"/>
        <v>1</v>
      </c>
      <c r="F3433" s="1">
        <f>_xlfn.XLOOKUP($C3433, 'Instrument Table'!$B:$B, 'Instrument Table'!$A:$A, "")</f>
        <v>60</v>
      </c>
      <c r="G3433" s="1" t="str">
        <f>TEXT(IF($B3433 = "Retail Item", IF((ROW($A3433) - 4504 - _xlfn.XMATCH($C3433, $C$4506:$C$5005, 0, 1)) &lt;= VLOOKUP($C3433, 'Instrument Table'!$B:$D, 3, FALSE), ROW($A3433) - 4504 - _xlfn.XMATCH($C3433, $C$4506:$C$5005, 0, 1), 0), 0), "00")</f>
        <v>00</v>
      </c>
      <c r="H3433" s="1" t="str">
        <f t="shared" si="319"/>
        <v>277</v>
      </c>
      <c r="I3433" s="1" t="str">
        <f t="shared" si="320"/>
        <v>16000-277</v>
      </c>
      <c r="J3433" s="1" t="str">
        <f t="shared" si="321"/>
        <v>Theremin production item #277</v>
      </c>
      <c r="K3433" s="1" t="str">
        <f>IF(SUM(COUNTIFS(I:I, I3433)) &gt; 1, "DUPLICATE", "UNIQUE")</f>
        <v>UNIQUE</v>
      </c>
      <c r="L3433" s="18">
        <v>1</v>
      </c>
      <c r="M3433" s="28">
        <v>43</v>
      </c>
      <c r="N3433" s="6">
        <v>400</v>
      </c>
      <c r="O3433" s="30">
        <f t="shared" si="322"/>
        <v>43</v>
      </c>
      <c r="P3433" s="30">
        <f t="shared" si="323"/>
        <v>17200</v>
      </c>
      <c r="Q3433" s="1">
        <f>COUNTIFS($P:$P, "&gt;" &amp; $P3433) + 1</f>
        <v>1204</v>
      </c>
      <c r="R3433" s="63">
        <f>(COUNTIFS($P:$P, "&gt;" &amp; $P3433) + 1) / (COUNTA($I:$I) - 1)</f>
        <v>0.24079999999999999</v>
      </c>
      <c r="S3433" s="23">
        <f>SUMIFS($P:$P, $Q:$Q, "&lt;" &amp; $Q3433)</f>
        <v>170395357</v>
      </c>
    </row>
    <row r="3434" spans="1:19" x14ac:dyDescent="0.25">
      <c r="A3434" s="1">
        <v>3429</v>
      </c>
      <c r="B3434" s="1" t="s">
        <v>2</v>
      </c>
      <c r="C3434" s="1" t="str">
        <f>IF($B3434 = "Production Item", _xlfn.XLOOKUP($A3434, 'Instrument Table'!$J:$J, 'Instrument Table'!$B:$B, $C3433), IF($B3434 = "Service Item", _xlfn.XLOOKUP($A3434, 'Instrument Table'!$I:$I, 'Instrument Table'!$B:$B, $C3433), _xlfn.XLOOKUP($A3434, 'Instrument Table'!$H:$H, 'Instrument Table'!$B:$B, $C3433)))</f>
        <v>Theremin</v>
      </c>
      <c r="D3434" s="1" t="str">
        <f>VLOOKUP($C3434, 'Instrument Table'!$B:$C, 2, FALSE)</f>
        <v>Other</v>
      </c>
      <c r="E3434" s="1">
        <f t="shared" si="318"/>
        <v>1</v>
      </c>
      <c r="F3434" s="1">
        <f>_xlfn.XLOOKUP($C3434, 'Instrument Table'!$B:$B, 'Instrument Table'!$A:$A, "")</f>
        <v>60</v>
      </c>
      <c r="G3434" s="1" t="str">
        <f>TEXT(IF($B3434 = "Retail Item", IF((ROW($A3434) - 4504 - _xlfn.XMATCH($C3434, $C$4506:$C$5005, 0, 1)) &lt;= VLOOKUP($C3434, 'Instrument Table'!$B:$D, 3, FALSE), ROW($A3434) - 4504 - _xlfn.XMATCH($C3434, $C$4506:$C$5005, 0, 1), 0), 0), "00")</f>
        <v>00</v>
      </c>
      <c r="H3434" s="1" t="str">
        <f t="shared" si="319"/>
        <v>278</v>
      </c>
      <c r="I3434" s="1" t="str">
        <f t="shared" si="320"/>
        <v>16000-278</v>
      </c>
      <c r="J3434" s="1" t="str">
        <f t="shared" si="321"/>
        <v>Theremin production item #278</v>
      </c>
      <c r="K3434" s="1" t="str">
        <f>IF(SUM(COUNTIFS(I:I, I3434)) &gt; 1, "DUPLICATE", "UNIQUE")</f>
        <v>UNIQUE</v>
      </c>
      <c r="L3434" s="18">
        <v>1</v>
      </c>
      <c r="M3434" s="28">
        <v>96</v>
      </c>
      <c r="N3434" s="6">
        <v>196</v>
      </c>
      <c r="O3434" s="30">
        <f t="shared" si="322"/>
        <v>96</v>
      </c>
      <c r="P3434" s="30">
        <f t="shared" si="323"/>
        <v>18816</v>
      </c>
      <c r="Q3434" s="1">
        <f>COUNTIFS($P:$P, "&gt;" &amp; $P3434) + 1</f>
        <v>1110</v>
      </c>
      <c r="R3434" s="63">
        <f>(COUNTIFS($P:$P, "&gt;" &amp; $P3434) + 1) / (COUNTA($I:$I) - 1)</f>
        <v>0.222</v>
      </c>
      <c r="S3434" s="23">
        <f>SUMIFS($P:$P, $Q:$Q, "&lt;" &amp; $Q3434)</f>
        <v>168693970</v>
      </c>
    </row>
    <row r="3435" spans="1:19" x14ac:dyDescent="0.25">
      <c r="A3435" s="1">
        <v>3430</v>
      </c>
      <c r="B3435" s="1" t="s">
        <v>2</v>
      </c>
      <c r="C3435" s="1" t="str">
        <f>IF($B3435 = "Production Item", _xlfn.XLOOKUP($A3435, 'Instrument Table'!$J:$J, 'Instrument Table'!$B:$B, $C3434), IF($B3435 = "Service Item", _xlfn.XLOOKUP($A3435, 'Instrument Table'!$I:$I, 'Instrument Table'!$B:$B, $C3434), _xlfn.XLOOKUP($A3435, 'Instrument Table'!$H:$H, 'Instrument Table'!$B:$B, $C3434)))</f>
        <v>Theremin</v>
      </c>
      <c r="D3435" s="1" t="str">
        <f>VLOOKUP($C3435, 'Instrument Table'!$B:$C, 2, FALSE)</f>
        <v>Other</v>
      </c>
      <c r="E3435" s="1">
        <f t="shared" si="318"/>
        <v>1</v>
      </c>
      <c r="F3435" s="1">
        <f>_xlfn.XLOOKUP($C3435, 'Instrument Table'!$B:$B, 'Instrument Table'!$A:$A, "")</f>
        <v>60</v>
      </c>
      <c r="G3435" s="1" t="str">
        <f>TEXT(IF($B3435 = "Retail Item", IF((ROW($A3435) - 4504 - _xlfn.XMATCH($C3435, $C$4506:$C$5005, 0, 1)) &lt;= VLOOKUP($C3435, 'Instrument Table'!$B:$D, 3, FALSE), ROW($A3435) - 4504 - _xlfn.XMATCH($C3435, $C$4506:$C$5005, 0, 1), 0), 0), "00")</f>
        <v>00</v>
      </c>
      <c r="H3435" s="1" t="str">
        <f t="shared" si="319"/>
        <v>279</v>
      </c>
      <c r="I3435" s="1" t="str">
        <f t="shared" si="320"/>
        <v>16000-279</v>
      </c>
      <c r="J3435" s="1" t="str">
        <f t="shared" si="321"/>
        <v>Theremin production item #279</v>
      </c>
      <c r="K3435" s="1" t="str">
        <f>IF(SUM(COUNTIFS(I:I, I3435)) &gt; 1, "DUPLICATE", "UNIQUE")</f>
        <v>UNIQUE</v>
      </c>
      <c r="L3435" s="18">
        <v>4</v>
      </c>
      <c r="M3435" s="28">
        <v>18</v>
      </c>
      <c r="N3435" s="6">
        <v>1</v>
      </c>
      <c r="O3435" s="30">
        <f t="shared" si="322"/>
        <v>72</v>
      </c>
      <c r="P3435" s="30">
        <f t="shared" si="323"/>
        <v>18</v>
      </c>
      <c r="Q3435" s="1">
        <f>COUNTIFS($P:$P, "&gt;" &amp; $P3435) + 1</f>
        <v>4697</v>
      </c>
      <c r="R3435" s="63">
        <f>(COUNTIFS($P:$P, "&gt;" &amp; $P3435) + 1) / (COUNTA($I:$I) - 1)</f>
        <v>0.93940000000000001</v>
      </c>
      <c r="S3435" s="23">
        <f>SUMIFS($P:$P, $Q:$Q, "&lt;" &amp; $Q3435)</f>
        <v>186547339</v>
      </c>
    </row>
    <row r="3436" spans="1:19" x14ac:dyDescent="0.25">
      <c r="A3436" s="1">
        <v>3431</v>
      </c>
      <c r="B3436" s="1" t="s">
        <v>2</v>
      </c>
      <c r="C3436" s="1" t="str">
        <f>IF($B3436 = "Production Item", _xlfn.XLOOKUP($A3436, 'Instrument Table'!$J:$J, 'Instrument Table'!$B:$B, $C3435), IF($B3436 = "Service Item", _xlfn.XLOOKUP($A3436, 'Instrument Table'!$I:$I, 'Instrument Table'!$B:$B, $C3435), _xlfn.XLOOKUP($A3436, 'Instrument Table'!$H:$H, 'Instrument Table'!$B:$B, $C3435)))</f>
        <v>Theremin</v>
      </c>
      <c r="D3436" s="1" t="str">
        <f>VLOOKUP($C3436, 'Instrument Table'!$B:$C, 2, FALSE)</f>
        <v>Other</v>
      </c>
      <c r="E3436" s="1">
        <f t="shared" si="318"/>
        <v>1</v>
      </c>
      <c r="F3436" s="1">
        <f>_xlfn.XLOOKUP($C3436, 'Instrument Table'!$B:$B, 'Instrument Table'!$A:$A, "")</f>
        <v>60</v>
      </c>
      <c r="G3436" s="1" t="str">
        <f>TEXT(IF($B3436 = "Retail Item", IF((ROW($A3436) - 4504 - _xlfn.XMATCH($C3436, $C$4506:$C$5005, 0, 1)) &lt;= VLOOKUP($C3436, 'Instrument Table'!$B:$D, 3, FALSE), ROW($A3436) - 4504 - _xlfn.XMATCH($C3436, $C$4506:$C$5005, 0, 1), 0), 0), "00")</f>
        <v>00</v>
      </c>
      <c r="H3436" s="1" t="str">
        <f t="shared" si="319"/>
        <v>280</v>
      </c>
      <c r="I3436" s="1" t="str">
        <f t="shared" si="320"/>
        <v>16000-280</v>
      </c>
      <c r="J3436" s="1" t="str">
        <f t="shared" si="321"/>
        <v>Theremin production item #280</v>
      </c>
      <c r="K3436" s="1" t="str">
        <f>IF(SUM(COUNTIFS(I:I, I3436)) &gt; 1, "DUPLICATE", "UNIQUE")</f>
        <v>UNIQUE</v>
      </c>
      <c r="L3436" s="18">
        <v>1</v>
      </c>
      <c r="M3436" s="28">
        <v>50</v>
      </c>
      <c r="N3436" s="6">
        <v>225</v>
      </c>
      <c r="O3436" s="30">
        <f t="shared" si="322"/>
        <v>50</v>
      </c>
      <c r="P3436" s="30">
        <f t="shared" si="323"/>
        <v>11250</v>
      </c>
      <c r="Q3436" s="1">
        <f>COUNTIFS($P:$P, "&gt;" &amp; $P3436) + 1</f>
        <v>1662</v>
      </c>
      <c r="R3436" s="63">
        <f>(COUNTIFS($P:$P, "&gt;" &amp; $P3436) + 1) / (COUNTA($I:$I) - 1)</f>
        <v>0.33239999999999997</v>
      </c>
      <c r="S3436" s="23">
        <f>SUMIFS($P:$P, $Q:$Q, "&lt;" &amp; $Q3436)</f>
        <v>176793759</v>
      </c>
    </row>
    <row r="3437" spans="1:19" x14ac:dyDescent="0.25">
      <c r="A3437" s="1">
        <v>3432</v>
      </c>
      <c r="B3437" s="1" t="s">
        <v>2</v>
      </c>
      <c r="C3437" s="1" t="str">
        <f>IF($B3437 = "Production Item", _xlfn.XLOOKUP($A3437, 'Instrument Table'!$J:$J, 'Instrument Table'!$B:$B, $C3436), IF($B3437 = "Service Item", _xlfn.XLOOKUP($A3437, 'Instrument Table'!$I:$I, 'Instrument Table'!$B:$B, $C3436), _xlfn.XLOOKUP($A3437, 'Instrument Table'!$H:$H, 'Instrument Table'!$B:$B, $C3436)))</f>
        <v>Theremin</v>
      </c>
      <c r="D3437" s="1" t="str">
        <f>VLOOKUP($C3437, 'Instrument Table'!$B:$C, 2, FALSE)</f>
        <v>Other</v>
      </c>
      <c r="E3437" s="1">
        <f t="shared" si="318"/>
        <v>1</v>
      </c>
      <c r="F3437" s="1">
        <f>_xlfn.XLOOKUP($C3437, 'Instrument Table'!$B:$B, 'Instrument Table'!$A:$A, "")</f>
        <v>60</v>
      </c>
      <c r="G3437" s="1" t="str">
        <f>TEXT(IF($B3437 = "Retail Item", IF((ROW($A3437) - 4504 - _xlfn.XMATCH($C3437, $C$4506:$C$5005, 0, 1)) &lt;= VLOOKUP($C3437, 'Instrument Table'!$B:$D, 3, FALSE), ROW($A3437) - 4504 - _xlfn.XMATCH($C3437, $C$4506:$C$5005, 0, 1), 0), 0), "00")</f>
        <v>00</v>
      </c>
      <c r="H3437" s="1" t="str">
        <f t="shared" si="319"/>
        <v>281</v>
      </c>
      <c r="I3437" s="1" t="str">
        <f t="shared" si="320"/>
        <v>16000-281</v>
      </c>
      <c r="J3437" s="1" t="str">
        <f t="shared" si="321"/>
        <v>Theremin production item #281</v>
      </c>
      <c r="K3437" s="1" t="str">
        <f>IF(SUM(COUNTIFS(I:I, I3437)) &gt; 1, "DUPLICATE", "UNIQUE")</f>
        <v>UNIQUE</v>
      </c>
      <c r="L3437" s="18">
        <v>1</v>
      </c>
      <c r="M3437" s="28">
        <v>13</v>
      </c>
      <c r="N3437" s="6">
        <v>9</v>
      </c>
      <c r="O3437" s="30">
        <f t="shared" si="322"/>
        <v>13</v>
      </c>
      <c r="P3437" s="30">
        <f t="shared" si="323"/>
        <v>117</v>
      </c>
      <c r="Q3437" s="1">
        <f>COUNTIFS($P:$P, "&gt;" &amp; $P3437) + 1</f>
        <v>4429</v>
      </c>
      <c r="R3437" s="63">
        <f>(COUNTIFS($P:$P, "&gt;" &amp; $P3437) + 1) / (COUNTA($I:$I) - 1)</f>
        <v>0.88580000000000003</v>
      </c>
      <c r="S3437" s="23">
        <f>SUMIFS($P:$P, $Q:$Q, "&lt;" &amp; $Q3437)</f>
        <v>186529879</v>
      </c>
    </row>
    <row r="3438" spans="1:19" x14ac:dyDescent="0.25">
      <c r="A3438" s="1">
        <v>3433</v>
      </c>
      <c r="B3438" s="1" t="s">
        <v>2</v>
      </c>
      <c r="C3438" s="1" t="str">
        <f>IF($B3438 = "Production Item", _xlfn.XLOOKUP($A3438, 'Instrument Table'!$J:$J, 'Instrument Table'!$B:$B, $C3437), IF($B3438 = "Service Item", _xlfn.XLOOKUP($A3438, 'Instrument Table'!$I:$I, 'Instrument Table'!$B:$B, $C3437), _xlfn.XLOOKUP($A3438, 'Instrument Table'!$H:$H, 'Instrument Table'!$B:$B, $C3437)))</f>
        <v>Theremin</v>
      </c>
      <c r="D3438" s="1" t="str">
        <f>VLOOKUP($C3438, 'Instrument Table'!$B:$C, 2, FALSE)</f>
        <v>Other</v>
      </c>
      <c r="E3438" s="1">
        <f t="shared" si="318"/>
        <v>1</v>
      </c>
      <c r="F3438" s="1">
        <f>_xlfn.XLOOKUP($C3438, 'Instrument Table'!$B:$B, 'Instrument Table'!$A:$A, "")</f>
        <v>60</v>
      </c>
      <c r="G3438" s="1" t="str">
        <f>TEXT(IF($B3438 = "Retail Item", IF((ROW($A3438) - 4504 - _xlfn.XMATCH($C3438, $C$4506:$C$5005, 0, 1)) &lt;= VLOOKUP($C3438, 'Instrument Table'!$B:$D, 3, FALSE), ROW($A3438) - 4504 - _xlfn.XMATCH($C3438, $C$4506:$C$5005, 0, 1), 0), 0), "00")</f>
        <v>00</v>
      </c>
      <c r="H3438" s="1" t="str">
        <f t="shared" si="319"/>
        <v>282</v>
      </c>
      <c r="I3438" s="1" t="str">
        <f t="shared" si="320"/>
        <v>16000-282</v>
      </c>
      <c r="J3438" s="1" t="str">
        <f t="shared" si="321"/>
        <v>Theremin production item #282</v>
      </c>
      <c r="K3438" s="1" t="str">
        <f>IF(SUM(COUNTIFS(I:I, I3438)) &gt; 1, "DUPLICATE", "UNIQUE")</f>
        <v>UNIQUE</v>
      </c>
      <c r="L3438" s="18">
        <v>2</v>
      </c>
      <c r="M3438" s="28">
        <v>66</v>
      </c>
      <c r="N3438" s="6">
        <v>400</v>
      </c>
      <c r="O3438" s="30">
        <f t="shared" si="322"/>
        <v>132</v>
      </c>
      <c r="P3438" s="30">
        <f t="shared" si="323"/>
        <v>26400</v>
      </c>
      <c r="Q3438" s="1">
        <f>COUNTIFS($P:$P, "&gt;" &amp; $P3438) + 1</f>
        <v>775</v>
      </c>
      <c r="R3438" s="63">
        <f>(COUNTIFS($P:$P, "&gt;" &amp; $P3438) + 1) / (COUNTA($I:$I) - 1)</f>
        <v>0.155</v>
      </c>
      <c r="S3438" s="23">
        <f>SUMIFS($P:$P, $Q:$Q, "&lt;" &amp; $Q3438)</f>
        <v>161175960</v>
      </c>
    </row>
    <row r="3439" spans="1:19" x14ac:dyDescent="0.25">
      <c r="A3439" s="1">
        <v>3434</v>
      </c>
      <c r="B3439" s="1" t="s">
        <v>2</v>
      </c>
      <c r="C3439" s="1" t="str">
        <f>IF($B3439 = "Production Item", _xlfn.XLOOKUP($A3439, 'Instrument Table'!$J:$J, 'Instrument Table'!$B:$B, $C3438), IF($B3439 = "Service Item", _xlfn.XLOOKUP($A3439, 'Instrument Table'!$I:$I, 'Instrument Table'!$B:$B, $C3438), _xlfn.XLOOKUP($A3439, 'Instrument Table'!$H:$H, 'Instrument Table'!$B:$B, $C3438)))</f>
        <v>Theremin</v>
      </c>
      <c r="D3439" s="1" t="str">
        <f>VLOOKUP($C3439, 'Instrument Table'!$B:$C, 2, FALSE)</f>
        <v>Other</v>
      </c>
      <c r="E3439" s="1">
        <f t="shared" si="318"/>
        <v>1</v>
      </c>
      <c r="F3439" s="1">
        <f>_xlfn.XLOOKUP($C3439, 'Instrument Table'!$B:$B, 'Instrument Table'!$A:$A, "")</f>
        <v>60</v>
      </c>
      <c r="G3439" s="1" t="str">
        <f>TEXT(IF($B3439 = "Retail Item", IF((ROW($A3439) - 4504 - _xlfn.XMATCH($C3439, $C$4506:$C$5005, 0, 1)) &lt;= VLOOKUP($C3439, 'Instrument Table'!$B:$D, 3, FALSE), ROW($A3439) - 4504 - _xlfn.XMATCH($C3439, $C$4506:$C$5005, 0, 1), 0), 0), "00")</f>
        <v>00</v>
      </c>
      <c r="H3439" s="1" t="str">
        <f t="shared" si="319"/>
        <v>283</v>
      </c>
      <c r="I3439" s="1" t="str">
        <f t="shared" si="320"/>
        <v>16000-283</v>
      </c>
      <c r="J3439" s="1" t="str">
        <f t="shared" si="321"/>
        <v>Theremin production item #283</v>
      </c>
      <c r="K3439" s="1" t="str">
        <f>IF(SUM(COUNTIFS(I:I, I3439)) &gt; 1, "DUPLICATE", "UNIQUE")</f>
        <v>UNIQUE</v>
      </c>
      <c r="L3439" s="18">
        <v>1</v>
      </c>
      <c r="M3439" s="28">
        <v>34</v>
      </c>
      <c r="N3439" s="6">
        <v>4</v>
      </c>
      <c r="O3439" s="30">
        <f t="shared" si="322"/>
        <v>34</v>
      </c>
      <c r="P3439" s="30">
        <f t="shared" si="323"/>
        <v>136</v>
      </c>
      <c r="Q3439" s="1">
        <f>COUNTIFS($P:$P, "&gt;" &amp; $P3439) + 1</f>
        <v>4411</v>
      </c>
      <c r="R3439" s="63">
        <f>(COUNTIFS($P:$P, "&gt;" &amp; $P3439) + 1) / (COUNTA($I:$I) - 1)</f>
        <v>0.88219999999999998</v>
      </c>
      <c r="S3439" s="23">
        <f>SUMIFS($P:$P, $Q:$Q, "&lt;" &amp; $Q3439)</f>
        <v>186527580</v>
      </c>
    </row>
    <row r="3440" spans="1:19" x14ac:dyDescent="0.25">
      <c r="A3440" s="1">
        <v>3435</v>
      </c>
      <c r="B3440" s="1" t="s">
        <v>2</v>
      </c>
      <c r="C3440" s="1" t="str">
        <f>IF($B3440 = "Production Item", _xlfn.XLOOKUP($A3440, 'Instrument Table'!$J:$J, 'Instrument Table'!$B:$B, $C3439), IF($B3440 = "Service Item", _xlfn.XLOOKUP($A3440, 'Instrument Table'!$I:$I, 'Instrument Table'!$B:$B, $C3439), _xlfn.XLOOKUP($A3440, 'Instrument Table'!$H:$H, 'Instrument Table'!$B:$B, $C3439)))</f>
        <v>Theremin</v>
      </c>
      <c r="D3440" s="1" t="str">
        <f>VLOOKUP($C3440, 'Instrument Table'!$B:$C, 2, FALSE)</f>
        <v>Other</v>
      </c>
      <c r="E3440" s="1">
        <f t="shared" si="318"/>
        <v>1</v>
      </c>
      <c r="F3440" s="1">
        <f>_xlfn.XLOOKUP($C3440, 'Instrument Table'!$B:$B, 'Instrument Table'!$A:$A, "")</f>
        <v>60</v>
      </c>
      <c r="G3440" s="1" t="str">
        <f>TEXT(IF($B3440 = "Retail Item", IF((ROW($A3440) - 4504 - _xlfn.XMATCH($C3440, $C$4506:$C$5005, 0, 1)) &lt;= VLOOKUP($C3440, 'Instrument Table'!$B:$D, 3, FALSE), ROW($A3440) - 4504 - _xlfn.XMATCH($C3440, $C$4506:$C$5005, 0, 1), 0), 0), "00")</f>
        <v>00</v>
      </c>
      <c r="H3440" s="1" t="str">
        <f t="shared" si="319"/>
        <v>284</v>
      </c>
      <c r="I3440" s="1" t="str">
        <f t="shared" si="320"/>
        <v>16000-284</v>
      </c>
      <c r="J3440" s="1" t="str">
        <f t="shared" si="321"/>
        <v>Theremin production item #284</v>
      </c>
      <c r="K3440" s="1" t="str">
        <f>IF(SUM(COUNTIFS(I:I, I3440)) &gt; 1, "DUPLICATE", "UNIQUE")</f>
        <v>UNIQUE</v>
      </c>
      <c r="L3440" s="18">
        <v>1</v>
      </c>
      <c r="M3440" s="28">
        <v>74</v>
      </c>
      <c r="N3440" s="6">
        <v>4</v>
      </c>
      <c r="O3440" s="30">
        <f t="shared" si="322"/>
        <v>74</v>
      </c>
      <c r="P3440" s="30">
        <f t="shared" si="323"/>
        <v>296</v>
      </c>
      <c r="Q3440" s="1">
        <f>COUNTIFS($P:$P, "&gt;" &amp; $P3440) + 1</f>
        <v>4223</v>
      </c>
      <c r="R3440" s="63">
        <f>(COUNTIFS($P:$P, "&gt;" &amp; $P3440) + 1) / (COUNTA($I:$I) - 1)</f>
        <v>0.84460000000000002</v>
      </c>
      <c r="S3440" s="23">
        <f>SUMIFS($P:$P, $Q:$Q, "&lt;" &amp; $Q3440)</f>
        <v>186487421</v>
      </c>
    </row>
    <row r="3441" spans="1:19" x14ac:dyDescent="0.25">
      <c r="A3441" s="1">
        <v>3436</v>
      </c>
      <c r="B3441" s="1" t="s">
        <v>2</v>
      </c>
      <c r="C3441" s="1" t="str">
        <f>IF($B3441 = "Production Item", _xlfn.XLOOKUP($A3441, 'Instrument Table'!$J:$J, 'Instrument Table'!$B:$B, $C3440), IF($B3441 = "Service Item", _xlfn.XLOOKUP($A3441, 'Instrument Table'!$I:$I, 'Instrument Table'!$B:$B, $C3440), _xlfn.XLOOKUP($A3441, 'Instrument Table'!$H:$H, 'Instrument Table'!$B:$B, $C3440)))</f>
        <v>Theremin</v>
      </c>
      <c r="D3441" s="1" t="str">
        <f>VLOOKUP($C3441, 'Instrument Table'!$B:$C, 2, FALSE)</f>
        <v>Other</v>
      </c>
      <c r="E3441" s="1">
        <f t="shared" si="318"/>
        <v>1</v>
      </c>
      <c r="F3441" s="1">
        <f>_xlfn.XLOOKUP($C3441, 'Instrument Table'!$B:$B, 'Instrument Table'!$A:$A, "")</f>
        <v>60</v>
      </c>
      <c r="G3441" s="1" t="str">
        <f>TEXT(IF($B3441 = "Retail Item", IF((ROW($A3441) - 4504 - _xlfn.XMATCH($C3441, $C$4506:$C$5005, 0, 1)) &lt;= VLOOKUP($C3441, 'Instrument Table'!$B:$D, 3, FALSE), ROW($A3441) - 4504 - _xlfn.XMATCH($C3441, $C$4506:$C$5005, 0, 1), 0), 0), "00")</f>
        <v>00</v>
      </c>
      <c r="H3441" s="1" t="str">
        <f t="shared" si="319"/>
        <v>285</v>
      </c>
      <c r="I3441" s="1" t="str">
        <f t="shared" si="320"/>
        <v>16000-285</v>
      </c>
      <c r="J3441" s="1" t="str">
        <f t="shared" si="321"/>
        <v>Theremin production item #285</v>
      </c>
      <c r="K3441" s="1" t="str">
        <f>IF(SUM(COUNTIFS(I:I, I3441)) &gt; 1, "DUPLICATE", "UNIQUE")</f>
        <v>UNIQUE</v>
      </c>
      <c r="L3441" s="18">
        <v>1</v>
      </c>
      <c r="M3441" s="28">
        <v>82</v>
      </c>
      <c r="N3441" s="6">
        <v>324</v>
      </c>
      <c r="O3441" s="30">
        <f t="shared" si="322"/>
        <v>82</v>
      </c>
      <c r="P3441" s="30">
        <f t="shared" si="323"/>
        <v>26568</v>
      </c>
      <c r="Q3441" s="1">
        <f>COUNTIFS($P:$P, "&gt;" &amp; $P3441) + 1</f>
        <v>771</v>
      </c>
      <c r="R3441" s="63">
        <f>(COUNTIFS($P:$P, "&gt;" &amp; $P3441) + 1) / (COUNTA($I:$I) - 1)</f>
        <v>0.1542</v>
      </c>
      <c r="S3441" s="23">
        <f>SUMIFS($P:$P, $Q:$Q, "&lt;" &amp; $Q3441)</f>
        <v>161069750</v>
      </c>
    </row>
    <row r="3442" spans="1:19" x14ac:dyDescent="0.25">
      <c r="A3442" s="1">
        <v>3437</v>
      </c>
      <c r="B3442" s="1" t="s">
        <v>2</v>
      </c>
      <c r="C3442" s="1" t="str">
        <f>IF($B3442 = "Production Item", _xlfn.XLOOKUP($A3442, 'Instrument Table'!$J:$J, 'Instrument Table'!$B:$B, $C3441), IF($B3442 = "Service Item", _xlfn.XLOOKUP($A3442, 'Instrument Table'!$I:$I, 'Instrument Table'!$B:$B, $C3441), _xlfn.XLOOKUP($A3442, 'Instrument Table'!$H:$H, 'Instrument Table'!$B:$B, $C3441)))</f>
        <v>Theremin</v>
      </c>
      <c r="D3442" s="1" t="str">
        <f>VLOOKUP($C3442, 'Instrument Table'!$B:$C, 2, FALSE)</f>
        <v>Other</v>
      </c>
      <c r="E3442" s="1">
        <f t="shared" si="318"/>
        <v>1</v>
      </c>
      <c r="F3442" s="1">
        <f>_xlfn.XLOOKUP($C3442, 'Instrument Table'!$B:$B, 'Instrument Table'!$A:$A, "")</f>
        <v>60</v>
      </c>
      <c r="G3442" s="1" t="str">
        <f>TEXT(IF($B3442 = "Retail Item", IF((ROW($A3442) - 4504 - _xlfn.XMATCH($C3442, $C$4506:$C$5005, 0, 1)) &lt;= VLOOKUP($C3442, 'Instrument Table'!$B:$D, 3, FALSE), ROW($A3442) - 4504 - _xlfn.XMATCH($C3442, $C$4506:$C$5005, 0, 1), 0), 0), "00")</f>
        <v>00</v>
      </c>
      <c r="H3442" s="1" t="str">
        <f t="shared" si="319"/>
        <v>286</v>
      </c>
      <c r="I3442" s="1" t="str">
        <f t="shared" si="320"/>
        <v>16000-286</v>
      </c>
      <c r="J3442" s="1" t="str">
        <f t="shared" si="321"/>
        <v>Theremin production item #286</v>
      </c>
      <c r="K3442" s="1" t="str">
        <f>IF(SUM(COUNTIFS(I:I, I3442)) &gt; 1, "DUPLICATE", "UNIQUE")</f>
        <v>UNIQUE</v>
      </c>
      <c r="L3442" s="18">
        <v>0</v>
      </c>
      <c r="M3442" s="28">
        <v>48</v>
      </c>
      <c r="N3442" s="6">
        <v>16</v>
      </c>
      <c r="O3442" s="30">
        <f t="shared" si="322"/>
        <v>0</v>
      </c>
      <c r="P3442" s="30">
        <f t="shared" si="323"/>
        <v>768</v>
      </c>
      <c r="Q3442" s="1">
        <f>COUNTIFS($P:$P, "&gt;" &amp; $P3442) + 1</f>
        <v>3810</v>
      </c>
      <c r="R3442" s="63">
        <f>(COUNTIFS($P:$P, "&gt;" &amp; $P3442) + 1) / (COUNTA($I:$I) - 1)</f>
        <v>0.76200000000000001</v>
      </c>
      <c r="S3442" s="23">
        <f>SUMIFS($P:$P, $Q:$Q, "&lt;" &amp; $Q3442)</f>
        <v>186273454</v>
      </c>
    </row>
    <row r="3443" spans="1:19" x14ac:dyDescent="0.25">
      <c r="A3443" s="1">
        <v>3438</v>
      </c>
      <c r="B3443" s="1" t="s">
        <v>2</v>
      </c>
      <c r="C3443" s="1" t="str">
        <f>IF($B3443 = "Production Item", _xlfn.XLOOKUP($A3443, 'Instrument Table'!$J:$J, 'Instrument Table'!$B:$B, $C3442), IF($B3443 = "Service Item", _xlfn.XLOOKUP($A3443, 'Instrument Table'!$I:$I, 'Instrument Table'!$B:$B, $C3442), _xlfn.XLOOKUP($A3443, 'Instrument Table'!$H:$H, 'Instrument Table'!$B:$B, $C3442)))</f>
        <v>Theremin</v>
      </c>
      <c r="D3443" s="1" t="str">
        <f>VLOOKUP($C3443, 'Instrument Table'!$B:$C, 2, FALSE)</f>
        <v>Other</v>
      </c>
      <c r="E3443" s="1">
        <f t="shared" si="318"/>
        <v>1</v>
      </c>
      <c r="F3443" s="1">
        <f>_xlfn.XLOOKUP($C3443, 'Instrument Table'!$B:$B, 'Instrument Table'!$A:$A, "")</f>
        <v>60</v>
      </c>
      <c r="G3443" s="1" t="str">
        <f>TEXT(IF($B3443 = "Retail Item", IF((ROW($A3443) - 4504 - _xlfn.XMATCH($C3443, $C$4506:$C$5005, 0, 1)) &lt;= VLOOKUP($C3443, 'Instrument Table'!$B:$D, 3, FALSE), ROW($A3443) - 4504 - _xlfn.XMATCH($C3443, $C$4506:$C$5005, 0, 1), 0), 0), "00")</f>
        <v>00</v>
      </c>
      <c r="H3443" s="1" t="str">
        <f t="shared" si="319"/>
        <v>287</v>
      </c>
      <c r="I3443" s="1" t="str">
        <f t="shared" si="320"/>
        <v>16000-287</v>
      </c>
      <c r="J3443" s="1" t="str">
        <f t="shared" si="321"/>
        <v>Theremin production item #287</v>
      </c>
      <c r="K3443" s="1" t="str">
        <f>IF(SUM(COUNTIFS(I:I, I3443)) &gt; 1, "DUPLICATE", "UNIQUE")</f>
        <v>UNIQUE</v>
      </c>
      <c r="L3443" s="18">
        <v>1</v>
      </c>
      <c r="M3443" s="28">
        <v>30</v>
      </c>
      <c r="N3443" s="6">
        <v>0</v>
      </c>
      <c r="O3443" s="30">
        <f t="shared" si="322"/>
        <v>30</v>
      </c>
      <c r="P3443" s="30">
        <f t="shared" si="323"/>
        <v>0</v>
      </c>
      <c r="Q3443" s="1">
        <f>COUNTIFS($P:$P, "&gt;" &amp; $P3443) + 1</f>
        <v>4746</v>
      </c>
      <c r="R3443" s="63">
        <f>(COUNTIFS($P:$P, "&gt;" &amp; $P3443) + 1) / (COUNTA($I:$I) - 1)</f>
        <v>0.94920000000000004</v>
      </c>
      <c r="S3443" s="23">
        <f>SUMIFS($P:$P, $Q:$Q, "&lt;" &amp; $Q3443)</f>
        <v>186547861</v>
      </c>
    </row>
    <row r="3444" spans="1:19" x14ac:dyDescent="0.25">
      <c r="A3444" s="1">
        <v>3439</v>
      </c>
      <c r="B3444" s="1" t="s">
        <v>2</v>
      </c>
      <c r="C3444" s="1" t="str">
        <f>IF($B3444 = "Production Item", _xlfn.XLOOKUP($A3444, 'Instrument Table'!$J:$J, 'Instrument Table'!$B:$B, $C3443), IF($B3444 = "Service Item", _xlfn.XLOOKUP($A3444, 'Instrument Table'!$I:$I, 'Instrument Table'!$B:$B, $C3443), _xlfn.XLOOKUP($A3444, 'Instrument Table'!$H:$H, 'Instrument Table'!$B:$B, $C3443)))</f>
        <v>Theremin</v>
      </c>
      <c r="D3444" s="1" t="str">
        <f>VLOOKUP($C3444, 'Instrument Table'!$B:$C, 2, FALSE)</f>
        <v>Other</v>
      </c>
      <c r="E3444" s="1">
        <f t="shared" si="318"/>
        <v>1</v>
      </c>
      <c r="F3444" s="1">
        <f>_xlfn.XLOOKUP($C3444, 'Instrument Table'!$B:$B, 'Instrument Table'!$A:$A, "")</f>
        <v>60</v>
      </c>
      <c r="G3444" s="1" t="str">
        <f>TEXT(IF($B3444 = "Retail Item", IF((ROW($A3444) - 4504 - _xlfn.XMATCH($C3444, $C$4506:$C$5005, 0, 1)) &lt;= VLOOKUP($C3444, 'Instrument Table'!$B:$D, 3, FALSE), ROW($A3444) - 4504 - _xlfn.XMATCH($C3444, $C$4506:$C$5005, 0, 1), 0), 0), "00")</f>
        <v>00</v>
      </c>
      <c r="H3444" s="1" t="str">
        <f t="shared" si="319"/>
        <v>288</v>
      </c>
      <c r="I3444" s="1" t="str">
        <f t="shared" si="320"/>
        <v>16000-288</v>
      </c>
      <c r="J3444" s="1" t="str">
        <f t="shared" si="321"/>
        <v>Theremin production item #288</v>
      </c>
      <c r="K3444" s="1" t="str">
        <f>IF(SUM(COUNTIFS(I:I, I3444)) &gt; 1, "DUPLICATE", "UNIQUE")</f>
        <v>UNIQUE</v>
      </c>
      <c r="L3444" s="18">
        <v>0</v>
      </c>
      <c r="M3444" s="28">
        <v>95</v>
      </c>
      <c r="N3444" s="6">
        <v>361</v>
      </c>
      <c r="O3444" s="30">
        <f t="shared" si="322"/>
        <v>0</v>
      </c>
      <c r="P3444" s="30">
        <f t="shared" si="323"/>
        <v>34295</v>
      </c>
      <c r="Q3444" s="1">
        <f>COUNTIFS($P:$P, "&gt;" &amp; $P3444) + 1</f>
        <v>615</v>
      </c>
      <c r="R3444" s="63">
        <f>(COUNTIFS($P:$P, "&gt;" &amp; $P3444) + 1) / (COUNTA($I:$I) - 1)</f>
        <v>0.123</v>
      </c>
      <c r="S3444" s="23">
        <f>SUMIFS($P:$P, $Q:$Q, "&lt;" &amp; $Q3444)</f>
        <v>156391640</v>
      </c>
    </row>
    <row r="3445" spans="1:19" x14ac:dyDescent="0.25">
      <c r="A3445" s="1">
        <v>3440</v>
      </c>
      <c r="B3445" s="1" t="s">
        <v>2</v>
      </c>
      <c r="C3445" s="1" t="str">
        <f>IF($B3445 = "Production Item", _xlfn.XLOOKUP($A3445, 'Instrument Table'!$J:$J, 'Instrument Table'!$B:$B, $C3444), IF($B3445 = "Service Item", _xlfn.XLOOKUP($A3445, 'Instrument Table'!$I:$I, 'Instrument Table'!$B:$B, $C3444), _xlfn.XLOOKUP($A3445, 'Instrument Table'!$H:$H, 'Instrument Table'!$B:$B, $C3444)))</f>
        <v>Theremin</v>
      </c>
      <c r="D3445" s="1" t="str">
        <f>VLOOKUP($C3445, 'Instrument Table'!$B:$C, 2, FALSE)</f>
        <v>Other</v>
      </c>
      <c r="E3445" s="1">
        <f t="shared" si="318"/>
        <v>1</v>
      </c>
      <c r="F3445" s="1">
        <f>_xlfn.XLOOKUP($C3445, 'Instrument Table'!$B:$B, 'Instrument Table'!$A:$A, "")</f>
        <v>60</v>
      </c>
      <c r="G3445" s="1" t="str">
        <f>TEXT(IF($B3445 = "Retail Item", IF((ROW($A3445) - 4504 - _xlfn.XMATCH($C3445, $C$4506:$C$5005, 0, 1)) &lt;= VLOOKUP($C3445, 'Instrument Table'!$B:$D, 3, FALSE), ROW($A3445) - 4504 - _xlfn.XMATCH($C3445, $C$4506:$C$5005, 0, 1), 0), 0), "00")</f>
        <v>00</v>
      </c>
      <c r="H3445" s="1" t="str">
        <f t="shared" si="319"/>
        <v>289</v>
      </c>
      <c r="I3445" s="1" t="str">
        <f t="shared" si="320"/>
        <v>16000-289</v>
      </c>
      <c r="J3445" s="1" t="str">
        <f t="shared" si="321"/>
        <v>Theremin production item #289</v>
      </c>
      <c r="K3445" s="1" t="str">
        <f>IF(SUM(COUNTIFS(I:I, I3445)) &gt; 1, "DUPLICATE", "UNIQUE")</f>
        <v>UNIQUE</v>
      </c>
      <c r="L3445" s="18">
        <v>0</v>
      </c>
      <c r="M3445" s="28">
        <v>62</v>
      </c>
      <c r="N3445" s="6">
        <v>361</v>
      </c>
      <c r="O3445" s="30">
        <f t="shared" si="322"/>
        <v>0</v>
      </c>
      <c r="P3445" s="30">
        <f t="shared" si="323"/>
        <v>22382</v>
      </c>
      <c r="Q3445" s="1">
        <f>COUNTIFS($P:$P, "&gt;" &amp; $P3445) + 1</f>
        <v>933</v>
      </c>
      <c r="R3445" s="63">
        <f>(COUNTIFS($P:$P, "&gt;" &amp; $P3445) + 1) / (COUNTA($I:$I) - 1)</f>
        <v>0.18659999999999999</v>
      </c>
      <c r="S3445" s="23">
        <f>SUMIFS($P:$P, $Q:$Q, "&lt;" &amp; $Q3445)</f>
        <v>165031473</v>
      </c>
    </row>
    <row r="3446" spans="1:19" x14ac:dyDescent="0.25">
      <c r="A3446" s="1">
        <v>3441</v>
      </c>
      <c r="B3446" s="1" t="s">
        <v>2</v>
      </c>
      <c r="C3446" s="1" t="str">
        <f>IF($B3446 = "Production Item", _xlfn.XLOOKUP($A3446, 'Instrument Table'!$J:$J, 'Instrument Table'!$B:$B, $C3445), IF($B3446 = "Service Item", _xlfn.XLOOKUP($A3446, 'Instrument Table'!$I:$I, 'Instrument Table'!$B:$B, $C3445), _xlfn.XLOOKUP($A3446, 'Instrument Table'!$H:$H, 'Instrument Table'!$B:$B, $C3445)))</f>
        <v>Theremin</v>
      </c>
      <c r="D3446" s="1" t="str">
        <f>VLOOKUP($C3446, 'Instrument Table'!$B:$C, 2, FALSE)</f>
        <v>Other</v>
      </c>
      <c r="E3446" s="1">
        <f t="shared" si="318"/>
        <v>1</v>
      </c>
      <c r="F3446" s="1">
        <f>_xlfn.XLOOKUP($C3446, 'Instrument Table'!$B:$B, 'Instrument Table'!$A:$A, "")</f>
        <v>60</v>
      </c>
      <c r="G3446" s="1" t="str">
        <f>TEXT(IF($B3446 = "Retail Item", IF((ROW($A3446) - 4504 - _xlfn.XMATCH($C3446, $C$4506:$C$5005, 0, 1)) &lt;= VLOOKUP($C3446, 'Instrument Table'!$B:$D, 3, FALSE), ROW($A3446) - 4504 - _xlfn.XMATCH($C3446, $C$4506:$C$5005, 0, 1), 0), 0), "00")</f>
        <v>00</v>
      </c>
      <c r="H3446" s="1" t="str">
        <f t="shared" si="319"/>
        <v>290</v>
      </c>
      <c r="I3446" s="1" t="str">
        <f t="shared" si="320"/>
        <v>16000-290</v>
      </c>
      <c r="J3446" s="1" t="str">
        <f t="shared" si="321"/>
        <v>Theremin production item #290</v>
      </c>
      <c r="K3446" s="1" t="str">
        <f>IF(SUM(COUNTIFS(I:I, I3446)) &gt; 1, "DUPLICATE", "UNIQUE")</f>
        <v>UNIQUE</v>
      </c>
      <c r="L3446" s="18">
        <v>1</v>
      </c>
      <c r="M3446" s="28">
        <v>6</v>
      </c>
      <c r="N3446" s="6">
        <v>324</v>
      </c>
      <c r="O3446" s="30">
        <f t="shared" si="322"/>
        <v>6</v>
      </c>
      <c r="P3446" s="30">
        <f t="shared" si="323"/>
        <v>1944</v>
      </c>
      <c r="Q3446" s="1">
        <f>COUNTIFS($P:$P, "&gt;" &amp; $P3446) + 1</f>
        <v>3276</v>
      </c>
      <c r="R3446" s="63">
        <f>(COUNTIFS($P:$P, "&gt;" &amp; $P3446) + 1) / (COUNTA($I:$I) - 1)</f>
        <v>0.6552</v>
      </c>
      <c r="S3446" s="23">
        <f>SUMIFS($P:$P, $Q:$Q, "&lt;" &amp; $Q3446)</f>
        <v>185562800</v>
      </c>
    </row>
    <row r="3447" spans="1:19" x14ac:dyDescent="0.25">
      <c r="A3447" s="1">
        <v>3442</v>
      </c>
      <c r="B3447" s="1" t="s">
        <v>2</v>
      </c>
      <c r="C3447" s="1" t="str">
        <f>IF($B3447 = "Production Item", _xlfn.XLOOKUP($A3447, 'Instrument Table'!$J:$J, 'Instrument Table'!$B:$B, $C3446), IF($B3447 = "Service Item", _xlfn.XLOOKUP($A3447, 'Instrument Table'!$I:$I, 'Instrument Table'!$B:$B, $C3446), _xlfn.XLOOKUP($A3447, 'Instrument Table'!$H:$H, 'Instrument Table'!$B:$B, $C3446)))</f>
        <v>Theremin</v>
      </c>
      <c r="D3447" s="1" t="str">
        <f>VLOOKUP($C3447, 'Instrument Table'!$B:$C, 2, FALSE)</f>
        <v>Other</v>
      </c>
      <c r="E3447" s="1">
        <f t="shared" si="318"/>
        <v>1</v>
      </c>
      <c r="F3447" s="1">
        <f>_xlfn.XLOOKUP($C3447, 'Instrument Table'!$B:$B, 'Instrument Table'!$A:$A, "")</f>
        <v>60</v>
      </c>
      <c r="G3447" s="1" t="str">
        <f>TEXT(IF($B3447 = "Retail Item", IF((ROW($A3447) - 4504 - _xlfn.XMATCH($C3447, $C$4506:$C$5005, 0, 1)) &lt;= VLOOKUP($C3447, 'Instrument Table'!$B:$D, 3, FALSE), ROW($A3447) - 4504 - _xlfn.XMATCH($C3447, $C$4506:$C$5005, 0, 1), 0), 0), "00")</f>
        <v>00</v>
      </c>
      <c r="H3447" s="1" t="str">
        <f t="shared" si="319"/>
        <v>291</v>
      </c>
      <c r="I3447" s="1" t="str">
        <f t="shared" si="320"/>
        <v>16000-291</v>
      </c>
      <c r="J3447" s="1" t="str">
        <f t="shared" si="321"/>
        <v>Theremin production item #291</v>
      </c>
      <c r="K3447" s="1" t="str">
        <f>IF(SUM(COUNTIFS(I:I, I3447)) &gt; 1, "DUPLICATE", "UNIQUE")</f>
        <v>UNIQUE</v>
      </c>
      <c r="L3447" s="18">
        <v>1</v>
      </c>
      <c r="M3447" s="28">
        <v>52</v>
      </c>
      <c r="N3447" s="6">
        <v>0</v>
      </c>
      <c r="O3447" s="30">
        <f t="shared" si="322"/>
        <v>52</v>
      </c>
      <c r="P3447" s="30">
        <f t="shared" si="323"/>
        <v>0</v>
      </c>
      <c r="Q3447" s="1">
        <f>COUNTIFS($P:$P, "&gt;" &amp; $P3447) + 1</f>
        <v>4746</v>
      </c>
      <c r="R3447" s="63">
        <f>(COUNTIFS($P:$P, "&gt;" &amp; $P3447) + 1) / (COUNTA($I:$I) - 1)</f>
        <v>0.94920000000000004</v>
      </c>
      <c r="S3447" s="23">
        <f>SUMIFS($P:$P, $Q:$Q, "&lt;" &amp; $Q3447)</f>
        <v>186547861</v>
      </c>
    </row>
    <row r="3448" spans="1:19" x14ac:dyDescent="0.25">
      <c r="A3448" s="1">
        <v>3443</v>
      </c>
      <c r="B3448" s="1" t="s">
        <v>2</v>
      </c>
      <c r="C3448" s="1" t="str">
        <f>IF($B3448 = "Production Item", _xlfn.XLOOKUP($A3448, 'Instrument Table'!$J:$J, 'Instrument Table'!$B:$B, $C3447), IF($B3448 = "Service Item", _xlfn.XLOOKUP($A3448, 'Instrument Table'!$I:$I, 'Instrument Table'!$B:$B, $C3447), _xlfn.XLOOKUP($A3448, 'Instrument Table'!$H:$H, 'Instrument Table'!$B:$B, $C3447)))</f>
        <v>Theremin</v>
      </c>
      <c r="D3448" s="1" t="str">
        <f>VLOOKUP($C3448, 'Instrument Table'!$B:$C, 2, FALSE)</f>
        <v>Other</v>
      </c>
      <c r="E3448" s="1">
        <f t="shared" si="318"/>
        <v>1</v>
      </c>
      <c r="F3448" s="1">
        <f>_xlfn.XLOOKUP($C3448, 'Instrument Table'!$B:$B, 'Instrument Table'!$A:$A, "")</f>
        <v>60</v>
      </c>
      <c r="G3448" s="1" t="str">
        <f>TEXT(IF($B3448 = "Retail Item", IF((ROW($A3448) - 4504 - _xlfn.XMATCH($C3448, $C$4506:$C$5005, 0, 1)) &lt;= VLOOKUP($C3448, 'Instrument Table'!$B:$D, 3, FALSE), ROW($A3448) - 4504 - _xlfn.XMATCH($C3448, $C$4506:$C$5005, 0, 1), 0), 0), "00")</f>
        <v>00</v>
      </c>
      <c r="H3448" s="1" t="str">
        <f t="shared" si="319"/>
        <v>292</v>
      </c>
      <c r="I3448" s="1" t="str">
        <f t="shared" si="320"/>
        <v>16000-292</v>
      </c>
      <c r="J3448" s="1" t="str">
        <f t="shared" si="321"/>
        <v>Theremin production item #292</v>
      </c>
      <c r="K3448" s="1" t="str">
        <f>IF(SUM(COUNTIFS(I:I, I3448)) &gt; 1, "DUPLICATE", "UNIQUE")</f>
        <v>UNIQUE</v>
      </c>
      <c r="L3448" s="18">
        <v>1</v>
      </c>
      <c r="M3448" s="28">
        <v>38</v>
      </c>
      <c r="N3448" s="6">
        <v>144</v>
      </c>
      <c r="O3448" s="30">
        <f t="shared" si="322"/>
        <v>38</v>
      </c>
      <c r="P3448" s="30">
        <f t="shared" si="323"/>
        <v>5472</v>
      </c>
      <c r="Q3448" s="1">
        <f>COUNTIFS($P:$P, "&gt;" &amp; $P3448) + 1</f>
        <v>2358</v>
      </c>
      <c r="R3448" s="63">
        <f>(COUNTIFS($P:$P, "&gt;" &amp; $P3448) + 1) / (COUNTA($I:$I) - 1)</f>
        <v>0.47160000000000002</v>
      </c>
      <c r="S3448" s="23">
        <f>SUMIFS($P:$P, $Q:$Q, "&lt;" &amp; $Q3448)</f>
        <v>182391519</v>
      </c>
    </row>
    <row r="3449" spans="1:19" x14ac:dyDescent="0.25">
      <c r="A3449" s="1">
        <v>3444</v>
      </c>
      <c r="B3449" s="1" t="s">
        <v>2</v>
      </c>
      <c r="C3449" s="1" t="str">
        <f>IF($B3449 = "Production Item", _xlfn.XLOOKUP($A3449, 'Instrument Table'!$J:$J, 'Instrument Table'!$B:$B, $C3448), IF($B3449 = "Service Item", _xlfn.XLOOKUP($A3449, 'Instrument Table'!$I:$I, 'Instrument Table'!$B:$B, $C3448), _xlfn.XLOOKUP($A3449, 'Instrument Table'!$H:$H, 'Instrument Table'!$B:$B, $C3448)))</f>
        <v>Theremin</v>
      </c>
      <c r="D3449" s="1" t="str">
        <f>VLOOKUP($C3449, 'Instrument Table'!$B:$C, 2, FALSE)</f>
        <v>Other</v>
      </c>
      <c r="E3449" s="1">
        <f t="shared" si="318"/>
        <v>1</v>
      </c>
      <c r="F3449" s="1">
        <f>_xlfn.XLOOKUP($C3449, 'Instrument Table'!$B:$B, 'Instrument Table'!$A:$A, "")</f>
        <v>60</v>
      </c>
      <c r="G3449" s="1" t="str">
        <f>TEXT(IF($B3449 = "Retail Item", IF((ROW($A3449) - 4504 - _xlfn.XMATCH($C3449, $C$4506:$C$5005, 0, 1)) &lt;= VLOOKUP($C3449, 'Instrument Table'!$B:$D, 3, FALSE), ROW($A3449) - 4504 - _xlfn.XMATCH($C3449, $C$4506:$C$5005, 0, 1), 0), 0), "00")</f>
        <v>00</v>
      </c>
      <c r="H3449" s="1" t="str">
        <f t="shared" si="319"/>
        <v>293</v>
      </c>
      <c r="I3449" s="1" t="str">
        <f t="shared" si="320"/>
        <v>16000-293</v>
      </c>
      <c r="J3449" s="1" t="str">
        <f t="shared" si="321"/>
        <v>Theremin production item #293</v>
      </c>
      <c r="K3449" s="1" t="str">
        <f>IF(SUM(COUNTIFS(I:I, I3449)) &gt; 1, "DUPLICATE", "UNIQUE")</f>
        <v>UNIQUE</v>
      </c>
      <c r="L3449" s="18">
        <v>4</v>
      </c>
      <c r="M3449" s="28">
        <v>13</v>
      </c>
      <c r="N3449" s="6">
        <v>100</v>
      </c>
      <c r="O3449" s="30">
        <f t="shared" si="322"/>
        <v>52</v>
      </c>
      <c r="P3449" s="30">
        <f t="shared" si="323"/>
        <v>1300</v>
      </c>
      <c r="Q3449" s="1">
        <f>COUNTIFS($P:$P, "&gt;" &amp; $P3449) + 1</f>
        <v>3560</v>
      </c>
      <c r="R3449" s="63">
        <f>(COUNTIFS($P:$P, "&gt;" &amp; $P3449) + 1) / (COUNTA($I:$I) - 1)</f>
        <v>0.71199999999999997</v>
      </c>
      <c r="S3449" s="23">
        <f>SUMIFS($P:$P, $Q:$Q, "&lt;" &amp; $Q3449)</f>
        <v>186019328</v>
      </c>
    </row>
    <row r="3450" spans="1:19" x14ac:dyDescent="0.25">
      <c r="A3450" s="1">
        <v>3445</v>
      </c>
      <c r="B3450" s="1" t="s">
        <v>2</v>
      </c>
      <c r="C3450" s="1" t="str">
        <f>IF($B3450 = "Production Item", _xlfn.XLOOKUP($A3450, 'Instrument Table'!$J:$J, 'Instrument Table'!$B:$B, $C3449), IF($B3450 = "Service Item", _xlfn.XLOOKUP($A3450, 'Instrument Table'!$I:$I, 'Instrument Table'!$B:$B, $C3449), _xlfn.XLOOKUP($A3450, 'Instrument Table'!$H:$H, 'Instrument Table'!$B:$B, $C3449)))</f>
        <v>Theremin</v>
      </c>
      <c r="D3450" s="1" t="str">
        <f>VLOOKUP($C3450, 'Instrument Table'!$B:$C, 2, FALSE)</f>
        <v>Other</v>
      </c>
      <c r="E3450" s="1">
        <f t="shared" si="318"/>
        <v>1</v>
      </c>
      <c r="F3450" s="1">
        <f>_xlfn.XLOOKUP($C3450, 'Instrument Table'!$B:$B, 'Instrument Table'!$A:$A, "")</f>
        <v>60</v>
      </c>
      <c r="G3450" s="1" t="str">
        <f>TEXT(IF($B3450 = "Retail Item", IF((ROW($A3450) - 4504 - _xlfn.XMATCH($C3450, $C$4506:$C$5005, 0, 1)) &lt;= VLOOKUP($C3450, 'Instrument Table'!$B:$D, 3, FALSE), ROW($A3450) - 4504 - _xlfn.XMATCH($C3450, $C$4506:$C$5005, 0, 1), 0), 0), "00")</f>
        <v>00</v>
      </c>
      <c r="H3450" s="1" t="str">
        <f t="shared" si="319"/>
        <v>294</v>
      </c>
      <c r="I3450" s="1" t="str">
        <f t="shared" si="320"/>
        <v>16000-294</v>
      </c>
      <c r="J3450" s="1" t="str">
        <f t="shared" si="321"/>
        <v>Theremin production item #294</v>
      </c>
      <c r="K3450" s="1" t="str">
        <f>IF(SUM(COUNTIFS(I:I, I3450)) &gt; 1, "DUPLICATE", "UNIQUE")</f>
        <v>UNIQUE</v>
      </c>
      <c r="L3450" s="18">
        <v>1</v>
      </c>
      <c r="M3450" s="28">
        <v>12</v>
      </c>
      <c r="N3450" s="6">
        <v>64</v>
      </c>
      <c r="O3450" s="30">
        <f t="shared" si="322"/>
        <v>12</v>
      </c>
      <c r="P3450" s="30">
        <f t="shared" si="323"/>
        <v>768</v>
      </c>
      <c r="Q3450" s="1">
        <f>COUNTIFS($P:$P, "&gt;" &amp; $P3450) + 1</f>
        <v>3810</v>
      </c>
      <c r="R3450" s="63">
        <f>(COUNTIFS($P:$P, "&gt;" &amp; $P3450) + 1) / (COUNTA($I:$I) - 1)</f>
        <v>0.76200000000000001</v>
      </c>
      <c r="S3450" s="23">
        <f>SUMIFS($P:$P, $Q:$Q, "&lt;" &amp; $Q3450)</f>
        <v>186273454</v>
      </c>
    </row>
    <row r="3451" spans="1:19" x14ac:dyDescent="0.25">
      <c r="A3451" s="1">
        <v>3446</v>
      </c>
      <c r="B3451" s="1" t="s">
        <v>2</v>
      </c>
      <c r="C3451" s="1" t="str">
        <f>IF($B3451 = "Production Item", _xlfn.XLOOKUP($A3451, 'Instrument Table'!$J:$J, 'Instrument Table'!$B:$B, $C3450), IF($B3451 = "Service Item", _xlfn.XLOOKUP($A3451, 'Instrument Table'!$I:$I, 'Instrument Table'!$B:$B, $C3450), _xlfn.XLOOKUP($A3451, 'Instrument Table'!$H:$H, 'Instrument Table'!$B:$B, $C3450)))</f>
        <v>Theremin</v>
      </c>
      <c r="D3451" s="1" t="str">
        <f>VLOOKUP($C3451, 'Instrument Table'!$B:$C, 2, FALSE)</f>
        <v>Other</v>
      </c>
      <c r="E3451" s="1">
        <f t="shared" si="318"/>
        <v>1</v>
      </c>
      <c r="F3451" s="1">
        <f>_xlfn.XLOOKUP($C3451, 'Instrument Table'!$B:$B, 'Instrument Table'!$A:$A, "")</f>
        <v>60</v>
      </c>
      <c r="G3451" s="1" t="str">
        <f>TEXT(IF($B3451 = "Retail Item", IF((ROW($A3451) - 4504 - _xlfn.XMATCH($C3451, $C$4506:$C$5005, 0, 1)) &lt;= VLOOKUP($C3451, 'Instrument Table'!$B:$D, 3, FALSE), ROW($A3451) - 4504 - _xlfn.XMATCH($C3451, $C$4506:$C$5005, 0, 1), 0), 0), "00")</f>
        <v>00</v>
      </c>
      <c r="H3451" s="1" t="str">
        <f t="shared" si="319"/>
        <v>295</v>
      </c>
      <c r="I3451" s="1" t="str">
        <f t="shared" si="320"/>
        <v>16000-295</v>
      </c>
      <c r="J3451" s="1" t="str">
        <f t="shared" si="321"/>
        <v>Theremin production item #295</v>
      </c>
      <c r="K3451" s="1" t="str">
        <f>IF(SUM(COUNTIFS(I:I, I3451)) &gt; 1, "DUPLICATE", "UNIQUE")</f>
        <v>UNIQUE</v>
      </c>
      <c r="L3451" s="18">
        <v>1</v>
      </c>
      <c r="M3451" s="28">
        <v>31</v>
      </c>
      <c r="N3451" s="6">
        <v>0</v>
      </c>
      <c r="O3451" s="30">
        <f t="shared" si="322"/>
        <v>31</v>
      </c>
      <c r="P3451" s="30">
        <f t="shared" si="323"/>
        <v>0</v>
      </c>
      <c r="Q3451" s="1">
        <f>COUNTIFS($P:$P, "&gt;" &amp; $P3451) + 1</f>
        <v>4746</v>
      </c>
      <c r="R3451" s="63">
        <f>(COUNTIFS($P:$P, "&gt;" &amp; $P3451) + 1) / (COUNTA($I:$I) - 1)</f>
        <v>0.94920000000000004</v>
      </c>
      <c r="S3451" s="23">
        <f>SUMIFS($P:$P, $Q:$Q, "&lt;" &amp; $Q3451)</f>
        <v>186547861</v>
      </c>
    </row>
    <row r="3452" spans="1:19" x14ac:dyDescent="0.25">
      <c r="A3452" s="1">
        <v>3447</v>
      </c>
      <c r="B3452" s="1" t="s">
        <v>2</v>
      </c>
      <c r="C3452" s="1" t="str">
        <f>IF($B3452 = "Production Item", _xlfn.XLOOKUP($A3452, 'Instrument Table'!$J:$J, 'Instrument Table'!$B:$B, $C3451), IF($B3452 = "Service Item", _xlfn.XLOOKUP($A3452, 'Instrument Table'!$I:$I, 'Instrument Table'!$B:$B, $C3451), _xlfn.XLOOKUP($A3452, 'Instrument Table'!$H:$H, 'Instrument Table'!$B:$B, $C3451)))</f>
        <v>Theremin</v>
      </c>
      <c r="D3452" s="1" t="str">
        <f>VLOOKUP($C3452, 'Instrument Table'!$B:$C, 2, FALSE)</f>
        <v>Other</v>
      </c>
      <c r="E3452" s="1">
        <f t="shared" si="318"/>
        <v>1</v>
      </c>
      <c r="F3452" s="1">
        <f>_xlfn.XLOOKUP($C3452, 'Instrument Table'!$B:$B, 'Instrument Table'!$A:$A, "")</f>
        <v>60</v>
      </c>
      <c r="G3452" s="1" t="str">
        <f>TEXT(IF($B3452 = "Retail Item", IF((ROW($A3452) - 4504 - _xlfn.XMATCH($C3452, $C$4506:$C$5005, 0, 1)) &lt;= VLOOKUP($C3452, 'Instrument Table'!$B:$D, 3, FALSE), ROW($A3452) - 4504 - _xlfn.XMATCH($C3452, $C$4506:$C$5005, 0, 1), 0), 0), "00")</f>
        <v>00</v>
      </c>
      <c r="H3452" s="1" t="str">
        <f t="shared" si="319"/>
        <v>296</v>
      </c>
      <c r="I3452" s="1" t="str">
        <f t="shared" si="320"/>
        <v>16000-296</v>
      </c>
      <c r="J3452" s="1" t="str">
        <f t="shared" si="321"/>
        <v>Theremin production item #296</v>
      </c>
      <c r="K3452" s="1" t="str">
        <f>IF(SUM(COUNTIFS(I:I, I3452)) &gt; 1, "DUPLICATE", "UNIQUE")</f>
        <v>UNIQUE</v>
      </c>
      <c r="L3452" s="18">
        <v>1</v>
      </c>
      <c r="M3452" s="28">
        <v>98</v>
      </c>
      <c r="N3452" s="6">
        <v>49</v>
      </c>
      <c r="O3452" s="30">
        <f t="shared" si="322"/>
        <v>98</v>
      </c>
      <c r="P3452" s="30">
        <f t="shared" si="323"/>
        <v>4802</v>
      </c>
      <c r="Q3452" s="1">
        <f>COUNTIFS($P:$P, "&gt;" &amp; $P3452) + 1</f>
        <v>2483</v>
      </c>
      <c r="R3452" s="63">
        <f>(COUNTIFS($P:$P, "&gt;" &amp; $P3452) + 1) / (COUNTA($I:$I) - 1)</f>
        <v>0.49659999999999999</v>
      </c>
      <c r="S3452" s="23">
        <f>SUMIFS($P:$P, $Q:$Q, "&lt;" &amp; $Q3452)</f>
        <v>183034124</v>
      </c>
    </row>
    <row r="3453" spans="1:19" x14ac:dyDescent="0.25">
      <c r="A3453" s="1">
        <v>3448</v>
      </c>
      <c r="B3453" s="1" t="s">
        <v>2</v>
      </c>
      <c r="C3453" s="1" t="str">
        <f>IF($B3453 = "Production Item", _xlfn.XLOOKUP($A3453, 'Instrument Table'!$J:$J, 'Instrument Table'!$B:$B, $C3452), IF($B3453 = "Service Item", _xlfn.XLOOKUP($A3453, 'Instrument Table'!$I:$I, 'Instrument Table'!$B:$B, $C3452), _xlfn.XLOOKUP($A3453, 'Instrument Table'!$H:$H, 'Instrument Table'!$B:$B, $C3452)))</f>
        <v>Theremin</v>
      </c>
      <c r="D3453" s="1" t="str">
        <f>VLOOKUP($C3453, 'Instrument Table'!$B:$C, 2, FALSE)</f>
        <v>Other</v>
      </c>
      <c r="E3453" s="1">
        <f t="shared" si="318"/>
        <v>1</v>
      </c>
      <c r="F3453" s="1">
        <f>_xlfn.XLOOKUP($C3453, 'Instrument Table'!$B:$B, 'Instrument Table'!$A:$A, "")</f>
        <v>60</v>
      </c>
      <c r="G3453" s="1" t="str">
        <f>TEXT(IF($B3453 = "Retail Item", IF((ROW($A3453) - 4504 - _xlfn.XMATCH($C3453, $C$4506:$C$5005, 0, 1)) &lt;= VLOOKUP($C3453, 'Instrument Table'!$B:$D, 3, FALSE), ROW($A3453) - 4504 - _xlfn.XMATCH($C3453, $C$4506:$C$5005, 0, 1), 0), 0), "00")</f>
        <v>00</v>
      </c>
      <c r="H3453" s="1" t="str">
        <f t="shared" si="319"/>
        <v>297</v>
      </c>
      <c r="I3453" s="1" t="str">
        <f t="shared" si="320"/>
        <v>16000-297</v>
      </c>
      <c r="J3453" s="1" t="str">
        <f t="shared" si="321"/>
        <v>Theremin production item #297</v>
      </c>
      <c r="K3453" s="1" t="str">
        <f>IF(SUM(COUNTIFS(I:I, I3453)) &gt; 1, "DUPLICATE", "UNIQUE")</f>
        <v>UNIQUE</v>
      </c>
      <c r="L3453" s="18">
        <v>4</v>
      </c>
      <c r="M3453" s="28">
        <v>54</v>
      </c>
      <c r="N3453" s="6">
        <v>400</v>
      </c>
      <c r="O3453" s="30">
        <f t="shared" si="322"/>
        <v>216</v>
      </c>
      <c r="P3453" s="30">
        <f t="shared" si="323"/>
        <v>21600</v>
      </c>
      <c r="Q3453" s="1">
        <f>COUNTIFS($P:$P, "&gt;" &amp; $P3453) + 1</f>
        <v>977</v>
      </c>
      <c r="R3453" s="63">
        <f>(COUNTIFS($P:$P, "&gt;" &amp; $P3453) + 1) / (COUNTA($I:$I) - 1)</f>
        <v>0.19539999999999999</v>
      </c>
      <c r="S3453" s="23">
        <f>SUMIFS($P:$P, $Q:$Q, "&lt;" &amp; $Q3453)</f>
        <v>165999482</v>
      </c>
    </row>
    <row r="3454" spans="1:19" x14ac:dyDescent="0.25">
      <c r="A3454" s="1">
        <v>3449</v>
      </c>
      <c r="B3454" s="1" t="s">
        <v>2</v>
      </c>
      <c r="C3454" s="1" t="str">
        <f>IF($B3454 = "Production Item", _xlfn.XLOOKUP($A3454, 'Instrument Table'!$J:$J, 'Instrument Table'!$B:$B, $C3453), IF($B3454 = "Service Item", _xlfn.XLOOKUP($A3454, 'Instrument Table'!$I:$I, 'Instrument Table'!$B:$B, $C3453), _xlfn.XLOOKUP($A3454, 'Instrument Table'!$H:$H, 'Instrument Table'!$B:$B, $C3453)))</f>
        <v>Theremin</v>
      </c>
      <c r="D3454" s="1" t="str">
        <f>VLOOKUP($C3454, 'Instrument Table'!$B:$C, 2, FALSE)</f>
        <v>Other</v>
      </c>
      <c r="E3454" s="1">
        <f t="shared" si="318"/>
        <v>1</v>
      </c>
      <c r="F3454" s="1">
        <f>_xlfn.XLOOKUP($C3454, 'Instrument Table'!$B:$B, 'Instrument Table'!$A:$A, "")</f>
        <v>60</v>
      </c>
      <c r="G3454" s="1" t="str">
        <f>TEXT(IF($B3454 = "Retail Item", IF((ROW($A3454) - 4504 - _xlfn.XMATCH($C3454, $C$4506:$C$5005, 0, 1)) &lt;= VLOOKUP($C3454, 'Instrument Table'!$B:$D, 3, FALSE), ROW($A3454) - 4504 - _xlfn.XMATCH($C3454, $C$4506:$C$5005, 0, 1), 0), 0), "00")</f>
        <v>00</v>
      </c>
      <c r="H3454" s="1" t="str">
        <f t="shared" si="319"/>
        <v>298</v>
      </c>
      <c r="I3454" s="1" t="str">
        <f t="shared" si="320"/>
        <v>16000-298</v>
      </c>
      <c r="J3454" s="1" t="str">
        <f t="shared" si="321"/>
        <v>Theremin production item #298</v>
      </c>
      <c r="K3454" s="1" t="str">
        <f>IF(SUM(COUNTIFS(I:I, I3454)) &gt; 1, "DUPLICATE", "UNIQUE")</f>
        <v>UNIQUE</v>
      </c>
      <c r="L3454" s="18">
        <v>0</v>
      </c>
      <c r="M3454" s="28">
        <v>88</v>
      </c>
      <c r="N3454" s="6">
        <v>100</v>
      </c>
      <c r="O3454" s="30">
        <f t="shared" si="322"/>
        <v>0</v>
      </c>
      <c r="P3454" s="30">
        <f t="shared" si="323"/>
        <v>8800</v>
      </c>
      <c r="Q3454" s="1">
        <f>COUNTIFS($P:$P, "&gt;" &amp; $P3454) + 1</f>
        <v>1898</v>
      </c>
      <c r="R3454" s="63">
        <f>(COUNTIFS($P:$P, "&gt;" &amp; $P3454) + 1) / (COUNTA($I:$I) - 1)</f>
        <v>0.37959999999999999</v>
      </c>
      <c r="S3454" s="23">
        <f>SUMIFS($P:$P, $Q:$Q, "&lt;" &amp; $Q3454)</f>
        <v>179145927</v>
      </c>
    </row>
    <row r="3455" spans="1:19" x14ac:dyDescent="0.25">
      <c r="A3455" s="1">
        <v>3450</v>
      </c>
      <c r="B3455" s="1" t="s">
        <v>2</v>
      </c>
      <c r="C3455" s="1" t="str">
        <f>IF($B3455 = "Production Item", _xlfn.XLOOKUP($A3455, 'Instrument Table'!$J:$J, 'Instrument Table'!$B:$B, $C3454), IF($B3455 = "Service Item", _xlfn.XLOOKUP($A3455, 'Instrument Table'!$I:$I, 'Instrument Table'!$B:$B, $C3454), _xlfn.XLOOKUP($A3455, 'Instrument Table'!$H:$H, 'Instrument Table'!$B:$B, $C3454)))</f>
        <v>Theremin</v>
      </c>
      <c r="D3455" s="1" t="str">
        <f>VLOOKUP($C3455, 'Instrument Table'!$B:$C, 2, FALSE)</f>
        <v>Other</v>
      </c>
      <c r="E3455" s="1">
        <f t="shared" si="318"/>
        <v>1</v>
      </c>
      <c r="F3455" s="1">
        <f>_xlfn.XLOOKUP($C3455, 'Instrument Table'!$B:$B, 'Instrument Table'!$A:$A, "")</f>
        <v>60</v>
      </c>
      <c r="G3455" s="1" t="str">
        <f>TEXT(IF($B3455 = "Retail Item", IF((ROW($A3455) - 4504 - _xlfn.XMATCH($C3455, $C$4506:$C$5005, 0, 1)) &lt;= VLOOKUP($C3455, 'Instrument Table'!$B:$D, 3, FALSE), ROW($A3455) - 4504 - _xlfn.XMATCH($C3455, $C$4506:$C$5005, 0, 1), 0), 0), "00")</f>
        <v>00</v>
      </c>
      <c r="H3455" s="1" t="str">
        <f t="shared" si="319"/>
        <v>299</v>
      </c>
      <c r="I3455" s="1" t="str">
        <f t="shared" si="320"/>
        <v>16000-299</v>
      </c>
      <c r="J3455" s="1" t="str">
        <f t="shared" si="321"/>
        <v>Theremin production item #299</v>
      </c>
      <c r="K3455" s="1" t="str">
        <f>IF(SUM(COUNTIFS(I:I, I3455)) &gt; 1, "DUPLICATE", "UNIQUE")</f>
        <v>UNIQUE</v>
      </c>
      <c r="L3455" s="18">
        <v>0</v>
      </c>
      <c r="M3455" s="28">
        <v>20</v>
      </c>
      <c r="N3455" s="6">
        <v>289</v>
      </c>
      <c r="O3455" s="30">
        <f t="shared" si="322"/>
        <v>0</v>
      </c>
      <c r="P3455" s="30">
        <f t="shared" si="323"/>
        <v>5780</v>
      </c>
      <c r="Q3455" s="1">
        <f>COUNTIFS($P:$P, "&gt;" &amp; $P3455) + 1</f>
        <v>2305</v>
      </c>
      <c r="R3455" s="63">
        <f>(COUNTIFS($P:$P, "&gt;" &amp; $P3455) + 1) / (COUNTA($I:$I) - 1)</f>
        <v>0.46100000000000002</v>
      </c>
      <c r="S3455" s="23">
        <f>SUMIFS($P:$P, $Q:$Q, "&lt;" &amp; $Q3455)</f>
        <v>182093199</v>
      </c>
    </row>
    <row r="3456" spans="1:19" x14ac:dyDescent="0.25">
      <c r="A3456" s="1">
        <v>3451</v>
      </c>
      <c r="B3456" s="1" t="s">
        <v>2</v>
      </c>
      <c r="C3456" s="1" t="str">
        <f>IF($B3456 = "Production Item", _xlfn.XLOOKUP($A3456, 'Instrument Table'!$J:$J, 'Instrument Table'!$B:$B, $C3455), IF($B3456 = "Service Item", _xlfn.XLOOKUP($A3456, 'Instrument Table'!$I:$I, 'Instrument Table'!$B:$B, $C3455), _xlfn.XLOOKUP($A3456, 'Instrument Table'!$H:$H, 'Instrument Table'!$B:$B, $C3455)))</f>
        <v>Synthesizer</v>
      </c>
      <c r="D3456" s="1" t="str">
        <f>VLOOKUP($C3456, 'Instrument Table'!$B:$C, 2, FALSE)</f>
        <v>Other</v>
      </c>
      <c r="E3456" s="1">
        <f t="shared" si="318"/>
        <v>1</v>
      </c>
      <c r="F3456" s="1">
        <f>_xlfn.XLOOKUP($C3456, 'Instrument Table'!$B:$B, 'Instrument Table'!$A:$A, "")</f>
        <v>61</v>
      </c>
      <c r="G3456" s="1" t="str">
        <f>TEXT(IF($B3456 = "Retail Item", IF((ROW($A3456) - 4504 - _xlfn.XMATCH($C3456, $C$4506:$C$5005, 0, 1)) &lt;= VLOOKUP($C3456, 'Instrument Table'!$B:$D, 3, FALSE), ROW($A3456) - 4504 - _xlfn.XMATCH($C3456, $C$4506:$C$5005, 0, 1), 0), 0), "00")</f>
        <v>00</v>
      </c>
      <c r="H3456" s="1" t="str">
        <f t="shared" si="319"/>
        <v>000</v>
      </c>
      <c r="I3456" s="1" t="str">
        <f t="shared" si="320"/>
        <v>16100-000</v>
      </c>
      <c r="J3456" s="1" t="str">
        <f t="shared" si="321"/>
        <v>Synthesizer production item #000</v>
      </c>
      <c r="K3456" s="1" t="str">
        <f>IF(SUM(COUNTIFS(I:I, I3456)) &gt; 1, "DUPLICATE", "UNIQUE")</f>
        <v>UNIQUE</v>
      </c>
      <c r="L3456" s="18">
        <v>1</v>
      </c>
      <c r="M3456" s="28">
        <v>59</v>
      </c>
      <c r="N3456" s="6">
        <v>36</v>
      </c>
      <c r="O3456" s="30">
        <f t="shared" si="322"/>
        <v>59</v>
      </c>
      <c r="P3456" s="30">
        <f t="shared" si="323"/>
        <v>2124</v>
      </c>
      <c r="Q3456" s="1">
        <f>COUNTIFS($P:$P, "&gt;" &amp; $P3456) + 1</f>
        <v>3194</v>
      </c>
      <c r="R3456" s="63">
        <f>(COUNTIFS($P:$P, "&gt;" &amp; $P3456) + 1) / (COUNTA($I:$I) - 1)</f>
        <v>0.63880000000000003</v>
      </c>
      <c r="S3456" s="23">
        <f>SUMIFS($P:$P, $Q:$Q, "&lt;" &amp; $Q3456)</f>
        <v>185394931</v>
      </c>
    </row>
    <row r="3457" spans="1:19" x14ac:dyDescent="0.25">
      <c r="A3457" s="1">
        <v>3452</v>
      </c>
      <c r="B3457" s="1" t="s">
        <v>2</v>
      </c>
      <c r="C3457" s="1" t="str">
        <f>IF($B3457 = "Production Item", _xlfn.XLOOKUP($A3457, 'Instrument Table'!$J:$J, 'Instrument Table'!$B:$B, $C3456), IF($B3457 = "Service Item", _xlfn.XLOOKUP($A3457, 'Instrument Table'!$I:$I, 'Instrument Table'!$B:$B, $C3456), _xlfn.XLOOKUP($A3457, 'Instrument Table'!$H:$H, 'Instrument Table'!$B:$B, $C3456)))</f>
        <v>Synthesizer</v>
      </c>
      <c r="D3457" s="1" t="str">
        <f>VLOOKUP($C3457, 'Instrument Table'!$B:$C, 2, FALSE)</f>
        <v>Other</v>
      </c>
      <c r="E3457" s="1">
        <f t="shared" si="318"/>
        <v>1</v>
      </c>
      <c r="F3457" s="1">
        <f>_xlfn.XLOOKUP($C3457, 'Instrument Table'!$B:$B, 'Instrument Table'!$A:$A, "")</f>
        <v>61</v>
      </c>
      <c r="G3457" s="1" t="str">
        <f>TEXT(IF($B3457 = "Retail Item", IF((ROW($A3457) - 4504 - _xlfn.XMATCH($C3457, $C$4506:$C$5005, 0, 1)) &lt;= VLOOKUP($C3457, 'Instrument Table'!$B:$D, 3, FALSE), ROW($A3457) - 4504 - _xlfn.XMATCH($C3457, $C$4506:$C$5005, 0, 1), 0), 0), "00")</f>
        <v>00</v>
      </c>
      <c r="H3457" s="1" t="str">
        <f t="shared" si="319"/>
        <v>001</v>
      </c>
      <c r="I3457" s="1" t="str">
        <f t="shared" si="320"/>
        <v>16100-001</v>
      </c>
      <c r="J3457" s="1" t="str">
        <f t="shared" si="321"/>
        <v>Synthesizer production item #001</v>
      </c>
      <c r="K3457" s="1" t="str">
        <f>IF(SUM(COUNTIFS(I:I, I3457)) &gt; 1, "DUPLICATE", "UNIQUE")</f>
        <v>UNIQUE</v>
      </c>
      <c r="L3457" s="18">
        <v>1</v>
      </c>
      <c r="M3457" s="28">
        <v>12</v>
      </c>
      <c r="N3457" s="6">
        <v>4</v>
      </c>
      <c r="O3457" s="30">
        <f t="shared" si="322"/>
        <v>12</v>
      </c>
      <c r="P3457" s="30">
        <f t="shared" si="323"/>
        <v>48</v>
      </c>
      <c r="Q3457" s="1">
        <f>COUNTIFS($P:$P, "&gt;" &amp; $P3457) + 1</f>
        <v>4621</v>
      </c>
      <c r="R3457" s="63">
        <f>(COUNTIFS($P:$P, "&gt;" &amp; $P3457) + 1) / (COUNTA($I:$I) - 1)</f>
        <v>0.92420000000000002</v>
      </c>
      <c r="S3457" s="23">
        <f>SUMIFS($P:$P, $Q:$Q, "&lt;" &amp; $Q3457)</f>
        <v>186544781</v>
      </c>
    </row>
    <row r="3458" spans="1:19" x14ac:dyDescent="0.25">
      <c r="A3458" s="1">
        <v>3453</v>
      </c>
      <c r="B3458" s="1" t="s">
        <v>2</v>
      </c>
      <c r="C3458" s="1" t="str">
        <f>IF($B3458 = "Production Item", _xlfn.XLOOKUP($A3458, 'Instrument Table'!$J:$J, 'Instrument Table'!$B:$B, $C3457), IF($B3458 = "Service Item", _xlfn.XLOOKUP($A3458, 'Instrument Table'!$I:$I, 'Instrument Table'!$B:$B, $C3457), _xlfn.XLOOKUP($A3458, 'Instrument Table'!$H:$H, 'Instrument Table'!$B:$B, $C3457)))</f>
        <v>Synthesizer</v>
      </c>
      <c r="D3458" s="1" t="str">
        <f>VLOOKUP($C3458, 'Instrument Table'!$B:$C, 2, FALSE)</f>
        <v>Other</v>
      </c>
      <c r="E3458" s="1">
        <f t="shared" si="318"/>
        <v>1</v>
      </c>
      <c r="F3458" s="1">
        <f>_xlfn.XLOOKUP($C3458, 'Instrument Table'!$B:$B, 'Instrument Table'!$A:$A, "")</f>
        <v>61</v>
      </c>
      <c r="G3458" s="1" t="str">
        <f>TEXT(IF($B3458 = "Retail Item", IF((ROW($A3458) - 4504 - _xlfn.XMATCH($C3458, $C$4506:$C$5005, 0, 1)) &lt;= VLOOKUP($C3458, 'Instrument Table'!$B:$D, 3, FALSE), ROW($A3458) - 4504 - _xlfn.XMATCH($C3458, $C$4506:$C$5005, 0, 1), 0), 0), "00")</f>
        <v>00</v>
      </c>
      <c r="H3458" s="1" t="str">
        <f t="shared" si="319"/>
        <v>002</v>
      </c>
      <c r="I3458" s="1" t="str">
        <f t="shared" si="320"/>
        <v>16100-002</v>
      </c>
      <c r="J3458" s="1" t="str">
        <f t="shared" si="321"/>
        <v>Synthesizer production item #002</v>
      </c>
      <c r="K3458" s="1" t="str">
        <f>IF(SUM(COUNTIFS(I:I, I3458)) &gt; 1, "DUPLICATE", "UNIQUE")</f>
        <v>UNIQUE</v>
      </c>
      <c r="L3458" s="18">
        <v>0</v>
      </c>
      <c r="M3458" s="28">
        <v>27</v>
      </c>
      <c r="N3458" s="6">
        <v>169</v>
      </c>
      <c r="O3458" s="30">
        <f t="shared" si="322"/>
        <v>0</v>
      </c>
      <c r="P3458" s="30">
        <f t="shared" si="323"/>
        <v>4563</v>
      </c>
      <c r="Q3458" s="1">
        <f>COUNTIFS($P:$P, "&gt;" &amp; $P3458) + 1</f>
        <v>2531</v>
      </c>
      <c r="R3458" s="63">
        <f>(COUNTIFS($P:$P, "&gt;" &amp; $P3458) + 1) / (COUNTA($I:$I) - 1)</f>
        <v>0.50619999999999998</v>
      </c>
      <c r="S3458" s="23">
        <f>SUMIFS($P:$P, $Q:$Q, "&lt;" &amp; $Q3458)</f>
        <v>183259039</v>
      </c>
    </row>
    <row r="3459" spans="1:19" x14ac:dyDescent="0.25">
      <c r="A3459" s="1">
        <v>3454</v>
      </c>
      <c r="B3459" s="1" t="s">
        <v>2</v>
      </c>
      <c r="C3459" s="1" t="str">
        <f>IF($B3459 = "Production Item", _xlfn.XLOOKUP($A3459, 'Instrument Table'!$J:$J, 'Instrument Table'!$B:$B, $C3458), IF($B3459 = "Service Item", _xlfn.XLOOKUP($A3459, 'Instrument Table'!$I:$I, 'Instrument Table'!$B:$B, $C3458), _xlfn.XLOOKUP($A3459, 'Instrument Table'!$H:$H, 'Instrument Table'!$B:$B, $C3458)))</f>
        <v>Synthesizer</v>
      </c>
      <c r="D3459" s="1" t="str">
        <f>VLOOKUP($C3459, 'Instrument Table'!$B:$C, 2, FALSE)</f>
        <v>Other</v>
      </c>
      <c r="E3459" s="1">
        <f t="shared" si="318"/>
        <v>1</v>
      </c>
      <c r="F3459" s="1">
        <f>_xlfn.XLOOKUP($C3459, 'Instrument Table'!$B:$B, 'Instrument Table'!$A:$A, "")</f>
        <v>61</v>
      </c>
      <c r="G3459" s="1" t="str">
        <f>TEXT(IF($B3459 = "Retail Item", IF((ROW($A3459) - 4504 - _xlfn.XMATCH($C3459, $C$4506:$C$5005, 0, 1)) &lt;= VLOOKUP($C3459, 'Instrument Table'!$B:$D, 3, FALSE), ROW($A3459) - 4504 - _xlfn.XMATCH($C3459, $C$4506:$C$5005, 0, 1), 0), 0), "00")</f>
        <v>00</v>
      </c>
      <c r="H3459" s="1" t="str">
        <f t="shared" si="319"/>
        <v>003</v>
      </c>
      <c r="I3459" s="1" t="str">
        <f t="shared" si="320"/>
        <v>16100-003</v>
      </c>
      <c r="J3459" s="1" t="str">
        <f t="shared" si="321"/>
        <v>Synthesizer production item #003</v>
      </c>
      <c r="K3459" s="1" t="str">
        <f>IF(SUM(COUNTIFS(I:I, I3459)) &gt; 1, "DUPLICATE", "UNIQUE")</f>
        <v>UNIQUE</v>
      </c>
      <c r="L3459" s="18">
        <v>2</v>
      </c>
      <c r="M3459" s="28">
        <v>4</v>
      </c>
      <c r="N3459" s="6">
        <v>400</v>
      </c>
      <c r="O3459" s="30">
        <f t="shared" si="322"/>
        <v>8</v>
      </c>
      <c r="P3459" s="30">
        <f t="shared" si="323"/>
        <v>1600</v>
      </c>
      <c r="Q3459" s="1">
        <f>COUNTIFS($P:$P, "&gt;" &amp; $P3459) + 1</f>
        <v>3401</v>
      </c>
      <c r="R3459" s="63">
        <f>(COUNTIFS($P:$P, "&gt;" &amp; $P3459) + 1) / (COUNTA($I:$I) - 1)</f>
        <v>0.68020000000000003</v>
      </c>
      <c r="S3459" s="23">
        <f>SUMIFS($P:$P, $Q:$Q, "&lt;" &amp; $Q3459)</f>
        <v>185786623</v>
      </c>
    </row>
    <row r="3460" spans="1:19" x14ac:dyDescent="0.25">
      <c r="A3460" s="1">
        <v>3455</v>
      </c>
      <c r="B3460" s="1" t="s">
        <v>2</v>
      </c>
      <c r="C3460" s="1" t="str">
        <f>IF($B3460 = "Production Item", _xlfn.XLOOKUP($A3460, 'Instrument Table'!$J:$J, 'Instrument Table'!$B:$B, $C3459), IF($B3460 = "Service Item", _xlfn.XLOOKUP($A3460, 'Instrument Table'!$I:$I, 'Instrument Table'!$B:$B, $C3459), _xlfn.XLOOKUP($A3460, 'Instrument Table'!$H:$H, 'Instrument Table'!$B:$B, $C3459)))</f>
        <v>Synthesizer</v>
      </c>
      <c r="D3460" s="1" t="str">
        <f>VLOOKUP($C3460, 'Instrument Table'!$B:$C, 2, FALSE)</f>
        <v>Other</v>
      </c>
      <c r="E3460" s="1">
        <f t="shared" si="318"/>
        <v>1</v>
      </c>
      <c r="F3460" s="1">
        <f>_xlfn.XLOOKUP($C3460, 'Instrument Table'!$B:$B, 'Instrument Table'!$A:$A, "")</f>
        <v>61</v>
      </c>
      <c r="G3460" s="1" t="str">
        <f>TEXT(IF($B3460 = "Retail Item", IF((ROW($A3460) - 4504 - _xlfn.XMATCH($C3460, $C$4506:$C$5005, 0, 1)) &lt;= VLOOKUP($C3460, 'Instrument Table'!$B:$D, 3, FALSE), ROW($A3460) - 4504 - _xlfn.XMATCH($C3460, $C$4506:$C$5005, 0, 1), 0), 0), "00")</f>
        <v>00</v>
      </c>
      <c r="H3460" s="1" t="str">
        <f t="shared" si="319"/>
        <v>004</v>
      </c>
      <c r="I3460" s="1" t="str">
        <f t="shared" si="320"/>
        <v>16100-004</v>
      </c>
      <c r="J3460" s="1" t="str">
        <f t="shared" si="321"/>
        <v>Synthesizer production item #004</v>
      </c>
      <c r="K3460" s="1" t="str">
        <f>IF(SUM(COUNTIFS(I:I, I3460)) &gt; 1, "DUPLICATE", "UNIQUE")</f>
        <v>UNIQUE</v>
      </c>
      <c r="L3460" s="18">
        <v>1</v>
      </c>
      <c r="M3460" s="28">
        <v>88</v>
      </c>
      <c r="N3460" s="6">
        <v>4</v>
      </c>
      <c r="O3460" s="30">
        <f t="shared" si="322"/>
        <v>88</v>
      </c>
      <c r="P3460" s="30">
        <f t="shared" si="323"/>
        <v>352</v>
      </c>
      <c r="Q3460" s="1">
        <f>COUNTIFS($P:$P, "&gt;" &amp; $P3460) + 1</f>
        <v>4147</v>
      </c>
      <c r="R3460" s="63">
        <f>(COUNTIFS($P:$P, "&gt;" &amp; $P3460) + 1) / (COUNTA($I:$I) - 1)</f>
        <v>0.82940000000000003</v>
      </c>
      <c r="S3460" s="23">
        <f>SUMIFS($P:$P, $Q:$Q, "&lt;" &amp; $Q3460)</f>
        <v>186462669</v>
      </c>
    </row>
    <row r="3461" spans="1:19" x14ac:dyDescent="0.25">
      <c r="A3461" s="1">
        <v>3456</v>
      </c>
      <c r="B3461" s="1" t="s">
        <v>2</v>
      </c>
      <c r="C3461" s="1" t="str">
        <f>IF($B3461 = "Production Item", _xlfn.XLOOKUP($A3461, 'Instrument Table'!$J:$J, 'Instrument Table'!$B:$B, $C3460), IF($B3461 = "Service Item", _xlfn.XLOOKUP($A3461, 'Instrument Table'!$I:$I, 'Instrument Table'!$B:$B, $C3460), _xlfn.XLOOKUP($A3461, 'Instrument Table'!$H:$H, 'Instrument Table'!$B:$B, $C3460)))</f>
        <v>Synthesizer</v>
      </c>
      <c r="D3461" s="1" t="str">
        <f>VLOOKUP($C3461, 'Instrument Table'!$B:$C, 2, FALSE)</f>
        <v>Other</v>
      </c>
      <c r="E3461" s="1">
        <f t="shared" si="318"/>
        <v>1</v>
      </c>
      <c r="F3461" s="1">
        <f>_xlfn.XLOOKUP($C3461, 'Instrument Table'!$B:$B, 'Instrument Table'!$A:$A, "")</f>
        <v>61</v>
      </c>
      <c r="G3461" s="1" t="str">
        <f>TEXT(IF($B3461 = "Retail Item", IF((ROW($A3461) - 4504 - _xlfn.XMATCH($C3461, $C$4506:$C$5005, 0, 1)) &lt;= VLOOKUP($C3461, 'Instrument Table'!$B:$D, 3, FALSE), ROW($A3461) - 4504 - _xlfn.XMATCH($C3461, $C$4506:$C$5005, 0, 1), 0), 0), "00")</f>
        <v>00</v>
      </c>
      <c r="H3461" s="1" t="str">
        <f t="shared" si="319"/>
        <v>005</v>
      </c>
      <c r="I3461" s="1" t="str">
        <f t="shared" si="320"/>
        <v>16100-005</v>
      </c>
      <c r="J3461" s="1" t="str">
        <f t="shared" si="321"/>
        <v>Synthesizer production item #005</v>
      </c>
      <c r="K3461" s="1" t="str">
        <f>IF(SUM(COUNTIFS(I:I, I3461)) &gt; 1, "DUPLICATE", "UNIQUE")</f>
        <v>UNIQUE</v>
      </c>
      <c r="L3461" s="18">
        <v>0</v>
      </c>
      <c r="M3461" s="28">
        <v>29</v>
      </c>
      <c r="N3461" s="6">
        <v>36</v>
      </c>
      <c r="O3461" s="30">
        <f t="shared" si="322"/>
        <v>0</v>
      </c>
      <c r="P3461" s="30">
        <f t="shared" si="323"/>
        <v>1044</v>
      </c>
      <c r="Q3461" s="1">
        <f>COUNTIFS($P:$P, "&gt;" &amp; $P3461) + 1</f>
        <v>3665</v>
      </c>
      <c r="R3461" s="63">
        <f>(COUNTIFS($P:$P, "&gt;" &amp; $P3461) + 1) / (COUNTA($I:$I) - 1)</f>
        <v>0.73299999999999998</v>
      </c>
      <c r="S3461" s="23">
        <f>SUMIFS($P:$P, $Q:$Q, "&lt;" &amp; $Q3461)</f>
        <v>186143877</v>
      </c>
    </row>
    <row r="3462" spans="1:19" x14ac:dyDescent="0.25">
      <c r="A3462" s="1">
        <v>3457</v>
      </c>
      <c r="B3462" s="1" t="s">
        <v>2</v>
      </c>
      <c r="C3462" s="1" t="str">
        <f>IF($B3462 = "Production Item", _xlfn.XLOOKUP($A3462, 'Instrument Table'!$J:$J, 'Instrument Table'!$B:$B, $C3461), IF($B3462 = "Service Item", _xlfn.XLOOKUP($A3462, 'Instrument Table'!$I:$I, 'Instrument Table'!$B:$B, $C3461), _xlfn.XLOOKUP($A3462, 'Instrument Table'!$H:$H, 'Instrument Table'!$B:$B, $C3461)))</f>
        <v>Synthesizer</v>
      </c>
      <c r="D3462" s="1" t="str">
        <f>VLOOKUP($C3462, 'Instrument Table'!$B:$C, 2, FALSE)</f>
        <v>Other</v>
      </c>
      <c r="E3462" s="1">
        <f t="shared" si="318"/>
        <v>1</v>
      </c>
      <c r="F3462" s="1">
        <f>_xlfn.XLOOKUP($C3462, 'Instrument Table'!$B:$B, 'Instrument Table'!$A:$A, "")</f>
        <v>61</v>
      </c>
      <c r="G3462" s="1" t="str">
        <f>TEXT(IF($B3462 = "Retail Item", IF((ROW($A3462) - 4504 - _xlfn.XMATCH($C3462, $C$4506:$C$5005, 0, 1)) &lt;= VLOOKUP($C3462, 'Instrument Table'!$B:$D, 3, FALSE), ROW($A3462) - 4504 - _xlfn.XMATCH($C3462, $C$4506:$C$5005, 0, 1), 0), 0), "00")</f>
        <v>00</v>
      </c>
      <c r="H3462" s="1" t="str">
        <f t="shared" si="319"/>
        <v>006</v>
      </c>
      <c r="I3462" s="1" t="str">
        <f t="shared" si="320"/>
        <v>16100-006</v>
      </c>
      <c r="J3462" s="1" t="str">
        <f t="shared" si="321"/>
        <v>Synthesizer production item #006</v>
      </c>
      <c r="K3462" s="1" t="str">
        <f>IF(SUM(COUNTIFS(I:I, I3462)) &gt; 1, "DUPLICATE", "UNIQUE")</f>
        <v>UNIQUE</v>
      </c>
      <c r="L3462" s="18">
        <v>8</v>
      </c>
      <c r="M3462" s="28">
        <v>59</v>
      </c>
      <c r="N3462" s="6">
        <v>400</v>
      </c>
      <c r="O3462" s="30">
        <f t="shared" si="322"/>
        <v>472</v>
      </c>
      <c r="P3462" s="30">
        <f t="shared" si="323"/>
        <v>23600</v>
      </c>
      <c r="Q3462" s="1">
        <f>COUNTIFS($P:$P, "&gt;" &amp; $P3462) + 1</f>
        <v>886</v>
      </c>
      <c r="R3462" s="63">
        <f>(COUNTIFS($P:$P, "&gt;" &amp; $P3462) + 1) / (COUNTA($I:$I) - 1)</f>
        <v>0.1772</v>
      </c>
      <c r="S3462" s="23">
        <f>SUMIFS($P:$P, $Q:$Q, "&lt;" &amp; $Q3462)</f>
        <v>163953654</v>
      </c>
    </row>
    <row r="3463" spans="1:19" x14ac:dyDescent="0.25">
      <c r="A3463" s="1">
        <v>3458</v>
      </c>
      <c r="B3463" s="1" t="s">
        <v>2</v>
      </c>
      <c r="C3463" s="1" t="str">
        <f>IF($B3463 = "Production Item", _xlfn.XLOOKUP($A3463, 'Instrument Table'!$J:$J, 'Instrument Table'!$B:$B, $C3462), IF($B3463 = "Service Item", _xlfn.XLOOKUP($A3463, 'Instrument Table'!$I:$I, 'Instrument Table'!$B:$B, $C3462), _xlfn.XLOOKUP($A3463, 'Instrument Table'!$H:$H, 'Instrument Table'!$B:$B, $C3462)))</f>
        <v>Synthesizer</v>
      </c>
      <c r="D3463" s="1" t="str">
        <f>VLOOKUP($C3463, 'Instrument Table'!$B:$C, 2, FALSE)</f>
        <v>Other</v>
      </c>
      <c r="E3463" s="1">
        <f t="shared" ref="E3463:E3526" si="324">IF($B3463 = "Production Item", 1, IF($B3463 = "Service Item", 2, IF($B3463 = "Retail Item", 3, "")))</f>
        <v>1</v>
      </c>
      <c r="F3463" s="1">
        <f>_xlfn.XLOOKUP($C3463, 'Instrument Table'!$B:$B, 'Instrument Table'!$A:$A, "")</f>
        <v>61</v>
      </c>
      <c r="G3463" s="1" t="str">
        <f>TEXT(IF($B3463 = "Retail Item", IF((ROW($A3463) - 4504 - _xlfn.XMATCH($C3463, $C$4506:$C$5005, 0, 1)) &lt;= VLOOKUP($C3463, 'Instrument Table'!$B:$D, 3, FALSE), ROW($A3463) - 4504 - _xlfn.XMATCH($C3463, $C$4506:$C$5005, 0, 1), 0), 0), "00")</f>
        <v>00</v>
      </c>
      <c r="H3463" s="1" t="str">
        <f t="shared" ref="H3463:H3526" si="325">TEXT(IF($E3463 &amp; $F3463 &amp; $G3463 = $E3462 &amp; $F3462 &amp; $G3462, 1 + H3462, 0), "000")</f>
        <v>007</v>
      </c>
      <c r="I3463" s="1" t="str">
        <f t="shared" ref="I3463:I3526" si="326" xml:space="preserve"> _xlfn.CONCAT($E3463, $F3463, $G3463, "-", H3463)</f>
        <v>16100-007</v>
      </c>
      <c r="J3463" s="1" t="str">
        <f t="shared" ref="J3463:J3526" si="327">LEFT($C3463, 1) &amp; LOWER(RIGHT($C3463, LEN($C3463) - 1)) &amp; IF(AND($G3463 &lt;&gt; "00", $B3463 = "Retail Item"), " model #" &amp; $G3463, " " &amp; LOWER($B3463) &amp; " #" &amp; $H3463)</f>
        <v>Synthesizer production item #007</v>
      </c>
      <c r="K3463" s="1" t="str">
        <f>IF(SUM(COUNTIFS(I:I, I3463)) &gt; 1, "DUPLICATE", "UNIQUE")</f>
        <v>UNIQUE</v>
      </c>
      <c r="L3463" s="18">
        <v>1</v>
      </c>
      <c r="M3463" s="28">
        <v>34</v>
      </c>
      <c r="N3463" s="6">
        <v>289</v>
      </c>
      <c r="O3463" s="30">
        <f t="shared" ref="O3463:O3526" si="328">$L3463 * $M3463</f>
        <v>34</v>
      </c>
      <c r="P3463" s="30">
        <f t="shared" ref="P3463:P3526" si="329">$N3463 * $M3463</f>
        <v>9826</v>
      </c>
      <c r="Q3463" s="1">
        <f>COUNTIFS($P:$P, "&gt;" &amp; $P3463) + 1</f>
        <v>1784</v>
      </c>
      <c r="R3463" s="63">
        <f>(COUNTIFS($P:$P, "&gt;" &amp; $P3463) + 1) / (COUNTA($I:$I) - 1)</f>
        <v>0.35680000000000001</v>
      </c>
      <c r="S3463" s="23">
        <f>SUMIFS($P:$P, $Q:$Q, "&lt;" &amp; $Q3463)</f>
        <v>178085076</v>
      </c>
    </row>
    <row r="3464" spans="1:19" x14ac:dyDescent="0.25">
      <c r="A3464" s="1">
        <v>3459</v>
      </c>
      <c r="B3464" s="1" t="s">
        <v>2</v>
      </c>
      <c r="C3464" s="1" t="str">
        <f>IF($B3464 = "Production Item", _xlfn.XLOOKUP($A3464, 'Instrument Table'!$J:$J, 'Instrument Table'!$B:$B, $C3463), IF($B3464 = "Service Item", _xlfn.XLOOKUP($A3464, 'Instrument Table'!$I:$I, 'Instrument Table'!$B:$B, $C3463), _xlfn.XLOOKUP($A3464, 'Instrument Table'!$H:$H, 'Instrument Table'!$B:$B, $C3463)))</f>
        <v>Synthesizer</v>
      </c>
      <c r="D3464" s="1" t="str">
        <f>VLOOKUP($C3464, 'Instrument Table'!$B:$C, 2, FALSE)</f>
        <v>Other</v>
      </c>
      <c r="E3464" s="1">
        <f t="shared" si="324"/>
        <v>1</v>
      </c>
      <c r="F3464" s="1">
        <f>_xlfn.XLOOKUP($C3464, 'Instrument Table'!$B:$B, 'Instrument Table'!$A:$A, "")</f>
        <v>61</v>
      </c>
      <c r="G3464" s="1" t="str">
        <f>TEXT(IF($B3464 = "Retail Item", IF((ROW($A3464) - 4504 - _xlfn.XMATCH($C3464, $C$4506:$C$5005, 0, 1)) &lt;= VLOOKUP($C3464, 'Instrument Table'!$B:$D, 3, FALSE), ROW($A3464) - 4504 - _xlfn.XMATCH($C3464, $C$4506:$C$5005, 0, 1), 0), 0), "00")</f>
        <v>00</v>
      </c>
      <c r="H3464" s="1" t="str">
        <f t="shared" si="325"/>
        <v>008</v>
      </c>
      <c r="I3464" s="1" t="str">
        <f t="shared" si="326"/>
        <v>16100-008</v>
      </c>
      <c r="J3464" s="1" t="str">
        <f t="shared" si="327"/>
        <v>Synthesizer production item #008</v>
      </c>
      <c r="K3464" s="1" t="str">
        <f>IF(SUM(COUNTIFS(I:I, I3464)) &gt; 1, "DUPLICATE", "UNIQUE")</f>
        <v>UNIQUE</v>
      </c>
      <c r="L3464" s="18">
        <v>1</v>
      </c>
      <c r="M3464" s="28">
        <v>18</v>
      </c>
      <c r="N3464" s="6">
        <v>0</v>
      </c>
      <c r="O3464" s="30">
        <f t="shared" si="328"/>
        <v>18</v>
      </c>
      <c r="P3464" s="30">
        <f t="shared" si="329"/>
        <v>0</v>
      </c>
      <c r="Q3464" s="1">
        <f>COUNTIFS($P:$P, "&gt;" &amp; $P3464) + 1</f>
        <v>4746</v>
      </c>
      <c r="R3464" s="63">
        <f>(COUNTIFS($P:$P, "&gt;" &amp; $P3464) + 1) / (COUNTA($I:$I) - 1)</f>
        <v>0.94920000000000004</v>
      </c>
      <c r="S3464" s="23">
        <f>SUMIFS($P:$P, $Q:$Q, "&lt;" &amp; $Q3464)</f>
        <v>186547861</v>
      </c>
    </row>
    <row r="3465" spans="1:19" x14ac:dyDescent="0.25">
      <c r="A3465" s="1">
        <v>3460</v>
      </c>
      <c r="B3465" s="1" t="s">
        <v>2</v>
      </c>
      <c r="C3465" s="1" t="str">
        <f>IF($B3465 = "Production Item", _xlfn.XLOOKUP($A3465, 'Instrument Table'!$J:$J, 'Instrument Table'!$B:$B, $C3464), IF($B3465 = "Service Item", _xlfn.XLOOKUP($A3465, 'Instrument Table'!$I:$I, 'Instrument Table'!$B:$B, $C3464), _xlfn.XLOOKUP($A3465, 'Instrument Table'!$H:$H, 'Instrument Table'!$B:$B, $C3464)))</f>
        <v>Synthesizer</v>
      </c>
      <c r="D3465" s="1" t="str">
        <f>VLOOKUP($C3465, 'Instrument Table'!$B:$C, 2, FALSE)</f>
        <v>Other</v>
      </c>
      <c r="E3465" s="1">
        <f t="shared" si="324"/>
        <v>1</v>
      </c>
      <c r="F3465" s="1">
        <f>_xlfn.XLOOKUP($C3465, 'Instrument Table'!$B:$B, 'Instrument Table'!$A:$A, "")</f>
        <v>61</v>
      </c>
      <c r="G3465" s="1" t="str">
        <f>TEXT(IF($B3465 = "Retail Item", IF((ROW($A3465) - 4504 - _xlfn.XMATCH($C3465, $C$4506:$C$5005, 0, 1)) &lt;= VLOOKUP($C3465, 'Instrument Table'!$B:$D, 3, FALSE), ROW($A3465) - 4504 - _xlfn.XMATCH($C3465, $C$4506:$C$5005, 0, 1), 0), 0), "00")</f>
        <v>00</v>
      </c>
      <c r="H3465" s="1" t="str">
        <f t="shared" si="325"/>
        <v>009</v>
      </c>
      <c r="I3465" s="1" t="str">
        <f t="shared" si="326"/>
        <v>16100-009</v>
      </c>
      <c r="J3465" s="1" t="str">
        <f t="shared" si="327"/>
        <v>Synthesizer production item #009</v>
      </c>
      <c r="K3465" s="1" t="str">
        <f>IF(SUM(COUNTIFS(I:I, I3465)) &gt; 1, "DUPLICATE", "UNIQUE")</f>
        <v>UNIQUE</v>
      </c>
      <c r="L3465" s="18">
        <v>0</v>
      </c>
      <c r="M3465" s="28">
        <v>67</v>
      </c>
      <c r="N3465" s="6">
        <v>400</v>
      </c>
      <c r="O3465" s="30">
        <f t="shared" si="328"/>
        <v>0</v>
      </c>
      <c r="P3465" s="30">
        <f t="shared" si="329"/>
        <v>26800</v>
      </c>
      <c r="Q3465" s="1">
        <f>COUNTIFS($P:$P, "&gt;" &amp; $P3465) + 1</f>
        <v>762</v>
      </c>
      <c r="R3465" s="63">
        <f>(COUNTIFS($P:$P, "&gt;" &amp; $P3465) + 1) / (COUNTA($I:$I) - 1)</f>
        <v>0.15240000000000001</v>
      </c>
      <c r="S3465" s="23">
        <f>SUMIFS($P:$P, $Q:$Q, "&lt;" &amp; $Q3465)</f>
        <v>160829350</v>
      </c>
    </row>
    <row r="3466" spans="1:19" x14ac:dyDescent="0.25">
      <c r="A3466" s="1">
        <v>3461</v>
      </c>
      <c r="B3466" s="1" t="s">
        <v>2</v>
      </c>
      <c r="C3466" s="1" t="str">
        <f>IF($B3466 = "Production Item", _xlfn.XLOOKUP($A3466, 'Instrument Table'!$J:$J, 'Instrument Table'!$B:$B, $C3465), IF($B3466 = "Service Item", _xlfn.XLOOKUP($A3466, 'Instrument Table'!$I:$I, 'Instrument Table'!$B:$B, $C3465), _xlfn.XLOOKUP($A3466, 'Instrument Table'!$H:$H, 'Instrument Table'!$B:$B, $C3465)))</f>
        <v>Synthesizer</v>
      </c>
      <c r="D3466" s="1" t="str">
        <f>VLOOKUP($C3466, 'Instrument Table'!$B:$C, 2, FALSE)</f>
        <v>Other</v>
      </c>
      <c r="E3466" s="1">
        <f t="shared" si="324"/>
        <v>1</v>
      </c>
      <c r="F3466" s="1">
        <f>_xlfn.XLOOKUP($C3466, 'Instrument Table'!$B:$B, 'Instrument Table'!$A:$A, "")</f>
        <v>61</v>
      </c>
      <c r="G3466" s="1" t="str">
        <f>TEXT(IF($B3466 = "Retail Item", IF((ROW($A3466) - 4504 - _xlfn.XMATCH($C3466, $C$4506:$C$5005, 0, 1)) &lt;= VLOOKUP($C3466, 'Instrument Table'!$B:$D, 3, FALSE), ROW($A3466) - 4504 - _xlfn.XMATCH($C3466, $C$4506:$C$5005, 0, 1), 0), 0), "00")</f>
        <v>00</v>
      </c>
      <c r="H3466" s="1" t="str">
        <f t="shared" si="325"/>
        <v>010</v>
      </c>
      <c r="I3466" s="1" t="str">
        <f t="shared" si="326"/>
        <v>16100-010</v>
      </c>
      <c r="J3466" s="1" t="str">
        <f t="shared" si="327"/>
        <v>Synthesizer production item #010</v>
      </c>
      <c r="K3466" s="1" t="str">
        <f>IF(SUM(COUNTIFS(I:I, I3466)) &gt; 1, "DUPLICATE", "UNIQUE")</f>
        <v>UNIQUE</v>
      </c>
      <c r="L3466" s="18">
        <v>2</v>
      </c>
      <c r="M3466" s="28">
        <v>8</v>
      </c>
      <c r="N3466" s="6">
        <v>256</v>
      </c>
      <c r="O3466" s="30">
        <f t="shared" si="328"/>
        <v>16</v>
      </c>
      <c r="P3466" s="30">
        <f t="shared" si="329"/>
        <v>2048</v>
      </c>
      <c r="Q3466" s="1">
        <f>COUNTIFS($P:$P, "&gt;" &amp; $P3466) + 1</f>
        <v>3234</v>
      </c>
      <c r="R3466" s="63">
        <f>(COUNTIFS($P:$P, "&gt;" &amp; $P3466) + 1) / (COUNTA($I:$I) - 1)</f>
        <v>0.64680000000000004</v>
      </c>
      <c r="S3466" s="23">
        <f>SUMIFS($P:$P, $Q:$Q, "&lt;" &amp; $Q3466)</f>
        <v>185478555</v>
      </c>
    </row>
    <row r="3467" spans="1:19" x14ac:dyDescent="0.25">
      <c r="A3467" s="1">
        <v>3462</v>
      </c>
      <c r="B3467" s="1" t="s">
        <v>2</v>
      </c>
      <c r="C3467" s="1" t="str">
        <f>IF($B3467 = "Production Item", _xlfn.XLOOKUP($A3467, 'Instrument Table'!$J:$J, 'Instrument Table'!$B:$B, $C3466), IF($B3467 = "Service Item", _xlfn.XLOOKUP($A3467, 'Instrument Table'!$I:$I, 'Instrument Table'!$B:$B, $C3466), _xlfn.XLOOKUP($A3467, 'Instrument Table'!$H:$H, 'Instrument Table'!$B:$B, $C3466)))</f>
        <v>Synthesizer</v>
      </c>
      <c r="D3467" s="1" t="str">
        <f>VLOOKUP($C3467, 'Instrument Table'!$B:$C, 2, FALSE)</f>
        <v>Other</v>
      </c>
      <c r="E3467" s="1">
        <f t="shared" si="324"/>
        <v>1</v>
      </c>
      <c r="F3467" s="1">
        <f>_xlfn.XLOOKUP($C3467, 'Instrument Table'!$B:$B, 'Instrument Table'!$A:$A, "")</f>
        <v>61</v>
      </c>
      <c r="G3467" s="1" t="str">
        <f>TEXT(IF($B3467 = "Retail Item", IF((ROW($A3467) - 4504 - _xlfn.XMATCH($C3467, $C$4506:$C$5005, 0, 1)) &lt;= VLOOKUP($C3467, 'Instrument Table'!$B:$D, 3, FALSE), ROW($A3467) - 4504 - _xlfn.XMATCH($C3467, $C$4506:$C$5005, 0, 1), 0), 0), "00")</f>
        <v>00</v>
      </c>
      <c r="H3467" s="1" t="str">
        <f t="shared" si="325"/>
        <v>011</v>
      </c>
      <c r="I3467" s="1" t="str">
        <f t="shared" si="326"/>
        <v>16100-011</v>
      </c>
      <c r="J3467" s="1" t="str">
        <f t="shared" si="327"/>
        <v>Synthesizer production item #011</v>
      </c>
      <c r="K3467" s="1" t="str">
        <f>IF(SUM(COUNTIFS(I:I, I3467)) &gt; 1, "DUPLICATE", "UNIQUE")</f>
        <v>UNIQUE</v>
      </c>
      <c r="L3467" s="18">
        <v>0</v>
      </c>
      <c r="M3467" s="28">
        <v>61</v>
      </c>
      <c r="N3467" s="6">
        <v>169</v>
      </c>
      <c r="O3467" s="30">
        <f t="shared" si="328"/>
        <v>0</v>
      </c>
      <c r="P3467" s="30">
        <f t="shared" si="329"/>
        <v>10309</v>
      </c>
      <c r="Q3467" s="1">
        <f>COUNTIFS($P:$P, "&gt;" &amp; $P3467) + 1</f>
        <v>1750</v>
      </c>
      <c r="R3467" s="63">
        <f>(COUNTIFS($P:$P, "&gt;" &amp; $P3467) + 1) / (COUNTA($I:$I) - 1)</f>
        <v>0.35</v>
      </c>
      <c r="S3467" s="23">
        <f>SUMIFS($P:$P, $Q:$Q, "&lt;" &amp; $Q3467)</f>
        <v>177742202</v>
      </c>
    </row>
    <row r="3468" spans="1:19" x14ac:dyDescent="0.25">
      <c r="A3468" s="1">
        <v>3463</v>
      </c>
      <c r="B3468" s="1" t="s">
        <v>2</v>
      </c>
      <c r="C3468" s="1" t="str">
        <f>IF($B3468 = "Production Item", _xlfn.XLOOKUP($A3468, 'Instrument Table'!$J:$J, 'Instrument Table'!$B:$B, $C3467), IF($B3468 = "Service Item", _xlfn.XLOOKUP($A3468, 'Instrument Table'!$I:$I, 'Instrument Table'!$B:$B, $C3467), _xlfn.XLOOKUP($A3468, 'Instrument Table'!$H:$H, 'Instrument Table'!$B:$B, $C3467)))</f>
        <v>Synthesizer</v>
      </c>
      <c r="D3468" s="1" t="str">
        <f>VLOOKUP($C3468, 'Instrument Table'!$B:$C, 2, FALSE)</f>
        <v>Other</v>
      </c>
      <c r="E3468" s="1">
        <f t="shared" si="324"/>
        <v>1</v>
      </c>
      <c r="F3468" s="1">
        <f>_xlfn.XLOOKUP($C3468, 'Instrument Table'!$B:$B, 'Instrument Table'!$A:$A, "")</f>
        <v>61</v>
      </c>
      <c r="G3468" s="1" t="str">
        <f>TEXT(IF($B3468 = "Retail Item", IF((ROW($A3468) - 4504 - _xlfn.XMATCH($C3468, $C$4506:$C$5005, 0, 1)) &lt;= VLOOKUP($C3468, 'Instrument Table'!$B:$D, 3, FALSE), ROW($A3468) - 4504 - _xlfn.XMATCH($C3468, $C$4506:$C$5005, 0, 1), 0), 0), "00")</f>
        <v>00</v>
      </c>
      <c r="H3468" s="1" t="str">
        <f t="shared" si="325"/>
        <v>012</v>
      </c>
      <c r="I3468" s="1" t="str">
        <f t="shared" si="326"/>
        <v>16100-012</v>
      </c>
      <c r="J3468" s="1" t="str">
        <f t="shared" si="327"/>
        <v>Synthesizer production item #012</v>
      </c>
      <c r="K3468" s="1" t="str">
        <f>IF(SUM(COUNTIFS(I:I, I3468)) &gt; 1, "DUPLICATE", "UNIQUE")</f>
        <v>UNIQUE</v>
      </c>
      <c r="L3468" s="18">
        <v>32</v>
      </c>
      <c r="M3468" s="28">
        <v>5</v>
      </c>
      <c r="N3468" s="6">
        <v>0</v>
      </c>
      <c r="O3468" s="30">
        <f t="shared" si="328"/>
        <v>160</v>
      </c>
      <c r="P3468" s="30">
        <f t="shared" si="329"/>
        <v>0</v>
      </c>
      <c r="Q3468" s="1">
        <f>COUNTIFS($P:$P, "&gt;" &amp; $P3468) + 1</f>
        <v>4746</v>
      </c>
      <c r="R3468" s="63">
        <f>(COUNTIFS($P:$P, "&gt;" &amp; $P3468) + 1) / (COUNTA($I:$I) - 1)</f>
        <v>0.94920000000000004</v>
      </c>
      <c r="S3468" s="23">
        <f>SUMIFS($P:$P, $Q:$Q, "&lt;" &amp; $Q3468)</f>
        <v>186547861</v>
      </c>
    </row>
    <row r="3469" spans="1:19" x14ac:dyDescent="0.25">
      <c r="A3469" s="1">
        <v>3464</v>
      </c>
      <c r="B3469" s="1" t="s">
        <v>2</v>
      </c>
      <c r="C3469" s="1" t="str">
        <f>IF($B3469 = "Production Item", _xlfn.XLOOKUP($A3469, 'Instrument Table'!$J:$J, 'Instrument Table'!$B:$B, $C3468), IF($B3469 = "Service Item", _xlfn.XLOOKUP($A3469, 'Instrument Table'!$I:$I, 'Instrument Table'!$B:$B, $C3468), _xlfn.XLOOKUP($A3469, 'Instrument Table'!$H:$H, 'Instrument Table'!$B:$B, $C3468)))</f>
        <v>Synthesizer</v>
      </c>
      <c r="D3469" s="1" t="str">
        <f>VLOOKUP($C3469, 'Instrument Table'!$B:$C, 2, FALSE)</f>
        <v>Other</v>
      </c>
      <c r="E3469" s="1">
        <f t="shared" si="324"/>
        <v>1</v>
      </c>
      <c r="F3469" s="1">
        <f>_xlfn.XLOOKUP($C3469, 'Instrument Table'!$B:$B, 'Instrument Table'!$A:$A, "")</f>
        <v>61</v>
      </c>
      <c r="G3469" s="1" t="str">
        <f>TEXT(IF($B3469 = "Retail Item", IF((ROW($A3469) - 4504 - _xlfn.XMATCH($C3469, $C$4506:$C$5005, 0, 1)) &lt;= VLOOKUP($C3469, 'Instrument Table'!$B:$D, 3, FALSE), ROW($A3469) - 4504 - _xlfn.XMATCH($C3469, $C$4506:$C$5005, 0, 1), 0), 0), "00")</f>
        <v>00</v>
      </c>
      <c r="H3469" s="1" t="str">
        <f t="shared" si="325"/>
        <v>013</v>
      </c>
      <c r="I3469" s="1" t="str">
        <f t="shared" si="326"/>
        <v>16100-013</v>
      </c>
      <c r="J3469" s="1" t="str">
        <f t="shared" si="327"/>
        <v>Synthesizer production item #013</v>
      </c>
      <c r="K3469" s="1" t="str">
        <f>IF(SUM(COUNTIFS(I:I, I3469)) &gt; 1, "DUPLICATE", "UNIQUE")</f>
        <v>UNIQUE</v>
      </c>
      <c r="L3469" s="18">
        <v>0</v>
      </c>
      <c r="M3469" s="28">
        <v>95</v>
      </c>
      <c r="N3469" s="6">
        <v>196</v>
      </c>
      <c r="O3469" s="30">
        <f t="shared" si="328"/>
        <v>0</v>
      </c>
      <c r="P3469" s="30">
        <f t="shared" si="329"/>
        <v>18620</v>
      </c>
      <c r="Q3469" s="1">
        <f>COUNTIFS($P:$P, "&gt;" &amp; $P3469) + 1</f>
        <v>1127</v>
      </c>
      <c r="R3469" s="63">
        <f>(COUNTIFS($P:$P, "&gt;" &amp; $P3469) + 1) / (COUNTA($I:$I) - 1)</f>
        <v>0.22539999999999999</v>
      </c>
      <c r="S3469" s="23">
        <f>SUMIFS($P:$P, $Q:$Q, "&lt;" &amp; $Q3469)</f>
        <v>169012435</v>
      </c>
    </row>
    <row r="3470" spans="1:19" x14ac:dyDescent="0.25">
      <c r="A3470" s="1">
        <v>3465</v>
      </c>
      <c r="B3470" s="1" t="s">
        <v>2</v>
      </c>
      <c r="C3470" s="1" t="str">
        <f>IF($B3470 = "Production Item", _xlfn.XLOOKUP($A3470, 'Instrument Table'!$J:$J, 'Instrument Table'!$B:$B, $C3469), IF($B3470 = "Service Item", _xlfn.XLOOKUP($A3470, 'Instrument Table'!$I:$I, 'Instrument Table'!$B:$B, $C3469), _xlfn.XLOOKUP($A3470, 'Instrument Table'!$H:$H, 'Instrument Table'!$B:$B, $C3469)))</f>
        <v>Synthesizer</v>
      </c>
      <c r="D3470" s="1" t="str">
        <f>VLOOKUP($C3470, 'Instrument Table'!$B:$C, 2, FALSE)</f>
        <v>Other</v>
      </c>
      <c r="E3470" s="1">
        <f t="shared" si="324"/>
        <v>1</v>
      </c>
      <c r="F3470" s="1">
        <f>_xlfn.XLOOKUP($C3470, 'Instrument Table'!$B:$B, 'Instrument Table'!$A:$A, "")</f>
        <v>61</v>
      </c>
      <c r="G3470" s="1" t="str">
        <f>TEXT(IF($B3470 = "Retail Item", IF((ROW($A3470) - 4504 - _xlfn.XMATCH($C3470, $C$4506:$C$5005, 0, 1)) &lt;= VLOOKUP($C3470, 'Instrument Table'!$B:$D, 3, FALSE), ROW($A3470) - 4504 - _xlfn.XMATCH($C3470, $C$4506:$C$5005, 0, 1), 0), 0), "00")</f>
        <v>00</v>
      </c>
      <c r="H3470" s="1" t="str">
        <f t="shared" si="325"/>
        <v>014</v>
      </c>
      <c r="I3470" s="1" t="str">
        <f t="shared" si="326"/>
        <v>16100-014</v>
      </c>
      <c r="J3470" s="1" t="str">
        <f t="shared" si="327"/>
        <v>Synthesizer production item #014</v>
      </c>
      <c r="K3470" s="1" t="str">
        <f>IF(SUM(COUNTIFS(I:I, I3470)) &gt; 1, "DUPLICATE", "UNIQUE")</f>
        <v>UNIQUE</v>
      </c>
      <c r="L3470" s="18">
        <v>1</v>
      </c>
      <c r="M3470" s="28">
        <v>22</v>
      </c>
      <c r="N3470" s="6">
        <v>9</v>
      </c>
      <c r="O3470" s="30">
        <f t="shared" si="328"/>
        <v>22</v>
      </c>
      <c r="P3470" s="30">
        <f t="shared" si="329"/>
        <v>198</v>
      </c>
      <c r="Q3470" s="1">
        <f>COUNTIFS($P:$P, "&gt;" &amp; $P3470) + 1</f>
        <v>4332</v>
      </c>
      <c r="R3470" s="63">
        <f>(COUNTIFS($P:$P, "&gt;" &amp; $P3470) + 1) / (COUNTA($I:$I) - 1)</f>
        <v>0.86639999999999995</v>
      </c>
      <c r="S3470" s="23">
        <f>SUMIFS($P:$P, $Q:$Q, "&lt;" &amp; $Q3470)</f>
        <v>186514097</v>
      </c>
    </row>
    <row r="3471" spans="1:19" x14ac:dyDescent="0.25">
      <c r="A3471" s="1">
        <v>3466</v>
      </c>
      <c r="B3471" s="1" t="s">
        <v>2</v>
      </c>
      <c r="C3471" s="1" t="str">
        <f>IF($B3471 = "Production Item", _xlfn.XLOOKUP($A3471, 'Instrument Table'!$J:$J, 'Instrument Table'!$B:$B, $C3470), IF($B3471 = "Service Item", _xlfn.XLOOKUP($A3471, 'Instrument Table'!$I:$I, 'Instrument Table'!$B:$B, $C3470), _xlfn.XLOOKUP($A3471, 'Instrument Table'!$H:$H, 'Instrument Table'!$B:$B, $C3470)))</f>
        <v>Synthesizer</v>
      </c>
      <c r="D3471" s="1" t="str">
        <f>VLOOKUP($C3471, 'Instrument Table'!$B:$C, 2, FALSE)</f>
        <v>Other</v>
      </c>
      <c r="E3471" s="1">
        <f t="shared" si="324"/>
        <v>1</v>
      </c>
      <c r="F3471" s="1">
        <f>_xlfn.XLOOKUP($C3471, 'Instrument Table'!$B:$B, 'Instrument Table'!$A:$A, "")</f>
        <v>61</v>
      </c>
      <c r="G3471" s="1" t="str">
        <f>TEXT(IF($B3471 = "Retail Item", IF((ROW($A3471) - 4504 - _xlfn.XMATCH($C3471, $C$4506:$C$5005, 0, 1)) &lt;= VLOOKUP($C3471, 'Instrument Table'!$B:$D, 3, FALSE), ROW($A3471) - 4504 - _xlfn.XMATCH($C3471, $C$4506:$C$5005, 0, 1), 0), 0), "00")</f>
        <v>00</v>
      </c>
      <c r="H3471" s="1" t="str">
        <f t="shared" si="325"/>
        <v>015</v>
      </c>
      <c r="I3471" s="1" t="str">
        <f t="shared" si="326"/>
        <v>16100-015</v>
      </c>
      <c r="J3471" s="1" t="str">
        <f t="shared" si="327"/>
        <v>Synthesizer production item #015</v>
      </c>
      <c r="K3471" s="1" t="str">
        <f>IF(SUM(COUNTIFS(I:I, I3471)) &gt; 1, "DUPLICATE", "UNIQUE")</f>
        <v>UNIQUE</v>
      </c>
      <c r="L3471" s="18">
        <v>0</v>
      </c>
      <c r="M3471" s="28">
        <v>80</v>
      </c>
      <c r="N3471" s="6">
        <v>400</v>
      </c>
      <c r="O3471" s="30">
        <f t="shared" si="328"/>
        <v>0</v>
      </c>
      <c r="P3471" s="30">
        <f t="shared" si="329"/>
        <v>32000</v>
      </c>
      <c r="Q3471" s="1">
        <f>COUNTIFS($P:$P, "&gt;" &amp; $P3471) + 1</f>
        <v>649</v>
      </c>
      <c r="R3471" s="63">
        <f>(COUNTIFS($P:$P, "&gt;" &amp; $P3471) + 1) / (COUNTA($I:$I) - 1)</f>
        <v>0.1298</v>
      </c>
      <c r="S3471" s="23">
        <f>SUMIFS($P:$P, $Q:$Q, "&lt;" &amp; $Q3471)</f>
        <v>157513685</v>
      </c>
    </row>
    <row r="3472" spans="1:19" x14ac:dyDescent="0.25">
      <c r="A3472" s="1">
        <v>3467</v>
      </c>
      <c r="B3472" s="1" t="s">
        <v>2</v>
      </c>
      <c r="C3472" s="1" t="str">
        <f>IF($B3472 = "Production Item", _xlfn.XLOOKUP($A3472, 'Instrument Table'!$J:$J, 'Instrument Table'!$B:$B, $C3471), IF($B3472 = "Service Item", _xlfn.XLOOKUP($A3472, 'Instrument Table'!$I:$I, 'Instrument Table'!$B:$B, $C3471), _xlfn.XLOOKUP($A3472, 'Instrument Table'!$H:$H, 'Instrument Table'!$B:$B, $C3471)))</f>
        <v>Synthesizer</v>
      </c>
      <c r="D3472" s="1" t="str">
        <f>VLOOKUP($C3472, 'Instrument Table'!$B:$C, 2, FALSE)</f>
        <v>Other</v>
      </c>
      <c r="E3472" s="1">
        <f t="shared" si="324"/>
        <v>1</v>
      </c>
      <c r="F3472" s="1">
        <f>_xlfn.XLOOKUP($C3472, 'Instrument Table'!$B:$B, 'Instrument Table'!$A:$A, "")</f>
        <v>61</v>
      </c>
      <c r="G3472" s="1" t="str">
        <f>TEXT(IF($B3472 = "Retail Item", IF((ROW($A3472) - 4504 - _xlfn.XMATCH($C3472, $C$4506:$C$5005, 0, 1)) &lt;= VLOOKUP($C3472, 'Instrument Table'!$B:$D, 3, FALSE), ROW($A3472) - 4504 - _xlfn.XMATCH($C3472, $C$4506:$C$5005, 0, 1), 0), 0), "00")</f>
        <v>00</v>
      </c>
      <c r="H3472" s="1" t="str">
        <f t="shared" si="325"/>
        <v>016</v>
      </c>
      <c r="I3472" s="1" t="str">
        <f t="shared" si="326"/>
        <v>16100-016</v>
      </c>
      <c r="J3472" s="1" t="str">
        <f t="shared" si="327"/>
        <v>Synthesizer production item #016</v>
      </c>
      <c r="K3472" s="1" t="str">
        <f>IF(SUM(COUNTIFS(I:I, I3472)) &gt; 1, "DUPLICATE", "UNIQUE")</f>
        <v>UNIQUE</v>
      </c>
      <c r="L3472" s="18">
        <v>1</v>
      </c>
      <c r="M3472" s="28">
        <v>71</v>
      </c>
      <c r="N3472" s="6">
        <v>16</v>
      </c>
      <c r="O3472" s="30">
        <f t="shared" si="328"/>
        <v>71</v>
      </c>
      <c r="P3472" s="30">
        <f t="shared" si="329"/>
        <v>1136</v>
      </c>
      <c r="Q3472" s="1">
        <f>COUNTIFS($P:$P, "&gt;" &amp; $P3472) + 1</f>
        <v>3634</v>
      </c>
      <c r="R3472" s="63">
        <f>(COUNTIFS($P:$P, "&gt;" &amp; $P3472) + 1) / (COUNTA($I:$I) - 1)</f>
        <v>0.7268</v>
      </c>
      <c r="S3472" s="23">
        <f>SUMIFS($P:$P, $Q:$Q, "&lt;" &amp; $Q3472)</f>
        <v>186109854</v>
      </c>
    </row>
    <row r="3473" spans="1:19" x14ac:dyDescent="0.25">
      <c r="A3473" s="1">
        <v>3468</v>
      </c>
      <c r="B3473" s="1" t="s">
        <v>2</v>
      </c>
      <c r="C3473" s="1" t="str">
        <f>IF($B3473 = "Production Item", _xlfn.XLOOKUP($A3473, 'Instrument Table'!$J:$J, 'Instrument Table'!$B:$B, $C3472), IF($B3473 = "Service Item", _xlfn.XLOOKUP($A3473, 'Instrument Table'!$I:$I, 'Instrument Table'!$B:$B, $C3472), _xlfn.XLOOKUP($A3473, 'Instrument Table'!$H:$H, 'Instrument Table'!$B:$B, $C3472)))</f>
        <v>Synthesizer</v>
      </c>
      <c r="D3473" s="1" t="str">
        <f>VLOOKUP($C3473, 'Instrument Table'!$B:$C, 2, FALSE)</f>
        <v>Other</v>
      </c>
      <c r="E3473" s="1">
        <f t="shared" si="324"/>
        <v>1</v>
      </c>
      <c r="F3473" s="1">
        <f>_xlfn.XLOOKUP($C3473, 'Instrument Table'!$B:$B, 'Instrument Table'!$A:$A, "")</f>
        <v>61</v>
      </c>
      <c r="G3473" s="1" t="str">
        <f>TEXT(IF($B3473 = "Retail Item", IF((ROW($A3473) - 4504 - _xlfn.XMATCH($C3473, $C$4506:$C$5005, 0, 1)) &lt;= VLOOKUP($C3473, 'Instrument Table'!$B:$D, 3, FALSE), ROW($A3473) - 4504 - _xlfn.XMATCH($C3473, $C$4506:$C$5005, 0, 1), 0), 0), "00")</f>
        <v>00</v>
      </c>
      <c r="H3473" s="1" t="str">
        <f t="shared" si="325"/>
        <v>017</v>
      </c>
      <c r="I3473" s="1" t="str">
        <f t="shared" si="326"/>
        <v>16100-017</v>
      </c>
      <c r="J3473" s="1" t="str">
        <f t="shared" si="327"/>
        <v>Synthesizer production item #017</v>
      </c>
      <c r="K3473" s="1" t="str">
        <f>IF(SUM(COUNTIFS(I:I, I3473)) &gt; 1, "DUPLICATE", "UNIQUE")</f>
        <v>UNIQUE</v>
      </c>
      <c r="L3473" s="18">
        <v>0</v>
      </c>
      <c r="M3473" s="28">
        <v>52</v>
      </c>
      <c r="N3473" s="6">
        <v>324</v>
      </c>
      <c r="O3473" s="30">
        <f t="shared" si="328"/>
        <v>0</v>
      </c>
      <c r="P3473" s="30">
        <f t="shared" si="329"/>
        <v>16848</v>
      </c>
      <c r="Q3473" s="1">
        <f>COUNTIFS($P:$P, "&gt;" &amp; $P3473) + 1</f>
        <v>1227</v>
      </c>
      <c r="R3473" s="63">
        <f>(COUNTIFS($P:$P, "&gt;" &amp; $P3473) + 1) / (COUNTA($I:$I) - 1)</f>
        <v>0.24540000000000001</v>
      </c>
      <c r="S3473" s="23">
        <f>SUMIFS($P:$P, $Q:$Q, "&lt;" &amp; $Q3473)</f>
        <v>170786371</v>
      </c>
    </row>
    <row r="3474" spans="1:19" x14ac:dyDescent="0.25">
      <c r="A3474" s="1">
        <v>3469</v>
      </c>
      <c r="B3474" s="1" t="s">
        <v>2</v>
      </c>
      <c r="C3474" s="1" t="str">
        <f>IF($B3474 = "Production Item", _xlfn.XLOOKUP($A3474, 'Instrument Table'!$J:$J, 'Instrument Table'!$B:$B, $C3473), IF($B3474 = "Service Item", _xlfn.XLOOKUP($A3474, 'Instrument Table'!$I:$I, 'Instrument Table'!$B:$B, $C3473), _xlfn.XLOOKUP($A3474, 'Instrument Table'!$H:$H, 'Instrument Table'!$B:$B, $C3473)))</f>
        <v>Synthesizer</v>
      </c>
      <c r="D3474" s="1" t="str">
        <f>VLOOKUP($C3474, 'Instrument Table'!$B:$C, 2, FALSE)</f>
        <v>Other</v>
      </c>
      <c r="E3474" s="1">
        <f t="shared" si="324"/>
        <v>1</v>
      </c>
      <c r="F3474" s="1">
        <f>_xlfn.XLOOKUP($C3474, 'Instrument Table'!$B:$B, 'Instrument Table'!$A:$A, "")</f>
        <v>61</v>
      </c>
      <c r="G3474" s="1" t="str">
        <f>TEXT(IF($B3474 = "Retail Item", IF((ROW($A3474) - 4504 - _xlfn.XMATCH($C3474, $C$4506:$C$5005, 0, 1)) &lt;= VLOOKUP($C3474, 'Instrument Table'!$B:$D, 3, FALSE), ROW($A3474) - 4504 - _xlfn.XMATCH($C3474, $C$4506:$C$5005, 0, 1), 0), 0), "00")</f>
        <v>00</v>
      </c>
      <c r="H3474" s="1" t="str">
        <f t="shared" si="325"/>
        <v>018</v>
      </c>
      <c r="I3474" s="1" t="str">
        <f t="shared" si="326"/>
        <v>16100-018</v>
      </c>
      <c r="J3474" s="1" t="str">
        <f t="shared" si="327"/>
        <v>Synthesizer production item #018</v>
      </c>
      <c r="K3474" s="1" t="str">
        <f>IF(SUM(COUNTIFS(I:I, I3474)) &gt; 1, "DUPLICATE", "UNIQUE")</f>
        <v>UNIQUE</v>
      </c>
      <c r="L3474" s="18">
        <v>0</v>
      </c>
      <c r="M3474" s="28">
        <v>44</v>
      </c>
      <c r="N3474" s="6">
        <v>225</v>
      </c>
      <c r="O3474" s="30">
        <f t="shared" si="328"/>
        <v>0</v>
      </c>
      <c r="P3474" s="30">
        <f t="shared" si="329"/>
        <v>9900</v>
      </c>
      <c r="Q3474" s="1">
        <f>COUNTIFS($P:$P, "&gt;" &amp; $P3474) + 1</f>
        <v>1779</v>
      </c>
      <c r="R3474" s="63">
        <f>(COUNTIFS($P:$P, "&gt;" &amp; $P3474) + 1) / (COUNTA($I:$I) - 1)</f>
        <v>0.35580000000000001</v>
      </c>
      <c r="S3474" s="23">
        <f>SUMIFS($P:$P, $Q:$Q, "&lt;" &amp; $Q3474)</f>
        <v>178035601</v>
      </c>
    </row>
    <row r="3475" spans="1:19" x14ac:dyDescent="0.25">
      <c r="A3475" s="1">
        <v>3470</v>
      </c>
      <c r="B3475" s="1" t="s">
        <v>2</v>
      </c>
      <c r="C3475" s="1" t="str">
        <f>IF($B3475 = "Production Item", _xlfn.XLOOKUP($A3475, 'Instrument Table'!$J:$J, 'Instrument Table'!$B:$B, $C3474), IF($B3475 = "Service Item", _xlfn.XLOOKUP($A3475, 'Instrument Table'!$I:$I, 'Instrument Table'!$B:$B, $C3474), _xlfn.XLOOKUP($A3475, 'Instrument Table'!$H:$H, 'Instrument Table'!$B:$B, $C3474)))</f>
        <v>Synthesizer</v>
      </c>
      <c r="D3475" s="1" t="str">
        <f>VLOOKUP($C3475, 'Instrument Table'!$B:$C, 2, FALSE)</f>
        <v>Other</v>
      </c>
      <c r="E3475" s="1">
        <f t="shared" si="324"/>
        <v>1</v>
      </c>
      <c r="F3475" s="1">
        <f>_xlfn.XLOOKUP($C3475, 'Instrument Table'!$B:$B, 'Instrument Table'!$A:$A, "")</f>
        <v>61</v>
      </c>
      <c r="G3475" s="1" t="str">
        <f>TEXT(IF($B3475 = "Retail Item", IF((ROW($A3475) - 4504 - _xlfn.XMATCH($C3475, $C$4506:$C$5005, 0, 1)) &lt;= VLOOKUP($C3475, 'Instrument Table'!$B:$D, 3, FALSE), ROW($A3475) - 4504 - _xlfn.XMATCH($C3475, $C$4506:$C$5005, 0, 1), 0), 0), "00")</f>
        <v>00</v>
      </c>
      <c r="H3475" s="1" t="str">
        <f t="shared" si="325"/>
        <v>019</v>
      </c>
      <c r="I3475" s="1" t="str">
        <f t="shared" si="326"/>
        <v>16100-019</v>
      </c>
      <c r="J3475" s="1" t="str">
        <f t="shared" si="327"/>
        <v>Synthesizer production item #019</v>
      </c>
      <c r="K3475" s="1" t="str">
        <f>IF(SUM(COUNTIFS(I:I, I3475)) &gt; 1, "DUPLICATE", "UNIQUE")</f>
        <v>UNIQUE</v>
      </c>
      <c r="L3475" s="18">
        <v>1</v>
      </c>
      <c r="M3475" s="28">
        <v>66</v>
      </c>
      <c r="N3475" s="6">
        <v>81</v>
      </c>
      <c r="O3475" s="30">
        <f t="shared" si="328"/>
        <v>66</v>
      </c>
      <c r="P3475" s="30">
        <f t="shared" si="329"/>
        <v>5346</v>
      </c>
      <c r="Q3475" s="1">
        <f>COUNTIFS($P:$P, "&gt;" &amp; $P3475) + 1</f>
        <v>2378</v>
      </c>
      <c r="R3475" s="63">
        <f>(COUNTIFS($P:$P, "&gt;" &amp; $P3475) + 1) / (COUNTA($I:$I) - 1)</f>
        <v>0.47560000000000002</v>
      </c>
      <c r="S3475" s="23">
        <f>SUMIFS($P:$P, $Q:$Q, "&lt;" &amp; $Q3475)</f>
        <v>182500083</v>
      </c>
    </row>
    <row r="3476" spans="1:19" x14ac:dyDescent="0.25">
      <c r="A3476" s="1">
        <v>3471</v>
      </c>
      <c r="B3476" s="1" t="s">
        <v>2</v>
      </c>
      <c r="C3476" s="1" t="str">
        <f>IF($B3476 = "Production Item", _xlfn.XLOOKUP($A3476, 'Instrument Table'!$J:$J, 'Instrument Table'!$B:$B, $C3475), IF($B3476 = "Service Item", _xlfn.XLOOKUP($A3476, 'Instrument Table'!$I:$I, 'Instrument Table'!$B:$B, $C3475), _xlfn.XLOOKUP($A3476, 'Instrument Table'!$H:$H, 'Instrument Table'!$B:$B, $C3475)))</f>
        <v>Synthesizer</v>
      </c>
      <c r="D3476" s="1" t="str">
        <f>VLOOKUP($C3476, 'Instrument Table'!$B:$C, 2, FALSE)</f>
        <v>Other</v>
      </c>
      <c r="E3476" s="1">
        <f t="shared" si="324"/>
        <v>1</v>
      </c>
      <c r="F3476" s="1">
        <f>_xlfn.XLOOKUP($C3476, 'Instrument Table'!$B:$B, 'Instrument Table'!$A:$A, "")</f>
        <v>61</v>
      </c>
      <c r="G3476" s="1" t="str">
        <f>TEXT(IF($B3476 = "Retail Item", IF((ROW($A3476) - 4504 - _xlfn.XMATCH($C3476, $C$4506:$C$5005, 0, 1)) &lt;= VLOOKUP($C3476, 'Instrument Table'!$B:$D, 3, FALSE), ROW($A3476) - 4504 - _xlfn.XMATCH($C3476, $C$4506:$C$5005, 0, 1), 0), 0), "00")</f>
        <v>00</v>
      </c>
      <c r="H3476" s="1" t="str">
        <f t="shared" si="325"/>
        <v>020</v>
      </c>
      <c r="I3476" s="1" t="str">
        <f t="shared" si="326"/>
        <v>16100-020</v>
      </c>
      <c r="J3476" s="1" t="str">
        <f t="shared" si="327"/>
        <v>Synthesizer production item #020</v>
      </c>
      <c r="K3476" s="1" t="str">
        <f>IF(SUM(COUNTIFS(I:I, I3476)) &gt; 1, "DUPLICATE", "UNIQUE")</f>
        <v>UNIQUE</v>
      </c>
      <c r="L3476" s="18">
        <v>0</v>
      </c>
      <c r="M3476" s="28">
        <v>50</v>
      </c>
      <c r="N3476" s="6">
        <v>289</v>
      </c>
      <c r="O3476" s="30">
        <f t="shared" si="328"/>
        <v>0</v>
      </c>
      <c r="P3476" s="30">
        <f t="shared" si="329"/>
        <v>14450</v>
      </c>
      <c r="Q3476" s="1">
        <f>COUNTIFS($P:$P, "&gt;" &amp; $P3476) + 1</f>
        <v>1386</v>
      </c>
      <c r="R3476" s="63">
        <f>(COUNTIFS($P:$P, "&gt;" &amp; $P3476) + 1) / (COUNTA($I:$I) - 1)</f>
        <v>0.2772</v>
      </c>
      <c r="S3476" s="23">
        <f>SUMIFS($P:$P, $Q:$Q, "&lt;" &amp; $Q3476)</f>
        <v>173274218</v>
      </c>
    </row>
    <row r="3477" spans="1:19" x14ac:dyDescent="0.25">
      <c r="A3477" s="1">
        <v>3472</v>
      </c>
      <c r="B3477" s="1" t="s">
        <v>2</v>
      </c>
      <c r="C3477" s="1" t="str">
        <f>IF($B3477 = "Production Item", _xlfn.XLOOKUP($A3477, 'Instrument Table'!$J:$J, 'Instrument Table'!$B:$B, $C3476), IF($B3477 = "Service Item", _xlfn.XLOOKUP($A3477, 'Instrument Table'!$I:$I, 'Instrument Table'!$B:$B, $C3476), _xlfn.XLOOKUP($A3477, 'Instrument Table'!$H:$H, 'Instrument Table'!$B:$B, $C3476)))</f>
        <v>Synthesizer</v>
      </c>
      <c r="D3477" s="1" t="str">
        <f>VLOOKUP($C3477, 'Instrument Table'!$B:$C, 2, FALSE)</f>
        <v>Other</v>
      </c>
      <c r="E3477" s="1">
        <f t="shared" si="324"/>
        <v>1</v>
      </c>
      <c r="F3477" s="1">
        <f>_xlfn.XLOOKUP($C3477, 'Instrument Table'!$B:$B, 'Instrument Table'!$A:$A, "")</f>
        <v>61</v>
      </c>
      <c r="G3477" s="1" t="str">
        <f>TEXT(IF($B3477 = "Retail Item", IF((ROW($A3477) - 4504 - _xlfn.XMATCH($C3477, $C$4506:$C$5005, 0, 1)) &lt;= VLOOKUP($C3477, 'Instrument Table'!$B:$D, 3, FALSE), ROW($A3477) - 4504 - _xlfn.XMATCH($C3477, $C$4506:$C$5005, 0, 1), 0), 0), "00")</f>
        <v>00</v>
      </c>
      <c r="H3477" s="1" t="str">
        <f t="shared" si="325"/>
        <v>021</v>
      </c>
      <c r="I3477" s="1" t="str">
        <f t="shared" si="326"/>
        <v>16100-021</v>
      </c>
      <c r="J3477" s="1" t="str">
        <f t="shared" si="327"/>
        <v>Synthesizer production item #021</v>
      </c>
      <c r="K3477" s="1" t="str">
        <f>IF(SUM(COUNTIFS(I:I, I3477)) &gt; 1, "DUPLICATE", "UNIQUE")</f>
        <v>UNIQUE</v>
      </c>
      <c r="L3477" s="18">
        <v>1</v>
      </c>
      <c r="M3477" s="28">
        <v>73</v>
      </c>
      <c r="N3477" s="6">
        <v>4</v>
      </c>
      <c r="O3477" s="30">
        <f t="shared" si="328"/>
        <v>73</v>
      </c>
      <c r="P3477" s="30">
        <f t="shared" si="329"/>
        <v>292</v>
      </c>
      <c r="Q3477" s="1">
        <f>COUNTIFS($P:$P, "&gt;" &amp; $P3477) + 1</f>
        <v>4228</v>
      </c>
      <c r="R3477" s="63">
        <f>(COUNTIFS($P:$P, "&gt;" &amp; $P3477) + 1) / (COUNTA($I:$I) - 1)</f>
        <v>0.84560000000000002</v>
      </c>
      <c r="S3477" s="23">
        <f>SUMIFS($P:$P, $Q:$Q, "&lt;" &amp; $Q3477)</f>
        <v>186488901</v>
      </c>
    </row>
    <row r="3478" spans="1:19" x14ac:dyDescent="0.25">
      <c r="A3478" s="1">
        <v>3473</v>
      </c>
      <c r="B3478" s="1" t="s">
        <v>2</v>
      </c>
      <c r="C3478" s="1" t="str">
        <f>IF($B3478 = "Production Item", _xlfn.XLOOKUP($A3478, 'Instrument Table'!$J:$J, 'Instrument Table'!$B:$B, $C3477), IF($B3478 = "Service Item", _xlfn.XLOOKUP($A3478, 'Instrument Table'!$I:$I, 'Instrument Table'!$B:$B, $C3477), _xlfn.XLOOKUP($A3478, 'Instrument Table'!$H:$H, 'Instrument Table'!$B:$B, $C3477)))</f>
        <v>Synthesizer</v>
      </c>
      <c r="D3478" s="1" t="str">
        <f>VLOOKUP($C3478, 'Instrument Table'!$B:$C, 2, FALSE)</f>
        <v>Other</v>
      </c>
      <c r="E3478" s="1">
        <f t="shared" si="324"/>
        <v>1</v>
      </c>
      <c r="F3478" s="1">
        <f>_xlfn.XLOOKUP($C3478, 'Instrument Table'!$B:$B, 'Instrument Table'!$A:$A, "")</f>
        <v>61</v>
      </c>
      <c r="G3478" s="1" t="str">
        <f>TEXT(IF($B3478 = "Retail Item", IF((ROW($A3478) - 4504 - _xlfn.XMATCH($C3478, $C$4506:$C$5005, 0, 1)) &lt;= VLOOKUP($C3478, 'Instrument Table'!$B:$D, 3, FALSE), ROW($A3478) - 4504 - _xlfn.XMATCH($C3478, $C$4506:$C$5005, 0, 1), 0), 0), "00")</f>
        <v>00</v>
      </c>
      <c r="H3478" s="1" t="str">
        <f t="shared" si="325"/>
        <v>022</v>
      </c>
      <c r="I3478" s="1" t="str">
        <f t="shared" si="326"/>
        <v>16100-022</v>
      </c>
      <c r="J3478" s="1" t="str">
        <f t="shared" si="327"/>
        <v>Synthesizer production item #022</v>
      </c>
      <c r="K3478" s="1" t="str">
        <f>IF(SUM(COUNTIFS(I:I, I3478)) &gt; 1, "DUPLICATE", "UNIQUE")</f>
        <v>UNIQUE</v>
      </c>
      <c r="L3478" s="18">
        <v>8</v>
      </c>
      <c r="M3478" s="28">
        <v>78</v>
      </c>
      <c r="N3478" s="6">
        <v>49</v>
      </c>
      <c r="O3478" s="30">
        <f t="shared" si="328"/>
        <v>624</v>
      </c>
      <c r="P3478" s="30">
        <f t="shared" si="329"/>
        <v>3822</v>
      </c>
      <c r="Q3478" s="1">
        <f>COUNTIFS($P:$P, "&gt;" &amp; $P3478) + 1</f>
        <v>2696</v>
      </c>
      <c r="R3478" s="63">
        <f>(COUNTIFS($P:$P, "&gt;" &amp; $P3478) + 1) / (COUNTA($I:$I) - 1)</f>
        <v>0.53920000000000001</v>
      </c>
      <c r="S3478" s="23">
        <f>SUMIFS($P:$P, $Q:$Q, "&lt;" &amp; $Q3478)</f>
        <v>183951473</v>
      </c>
    </row>
    <row r="3479" spans="1:19" x14ac:dyDescent="0.25">
      <c r="A3479" s="1">
        <v>3474</v>
      </c>
      <c r="B3479" s="1" t="s">
        <v>2</v>
      </c>
      <c r="C3479" s="1" t="str">
        <f>IF($B3479 = "Production Item", _xlfn.XLOOKUP($A3479, 'Instrument Table'!$J:$J, 'Instrument Table'!$B:$B, $C3478), IF($B3479 = "Service Item", _xlfn.XLOOKUP($A3479, 'Instrument Table'!$I:$I, 'Instrument Table'!$B:$B, $C3478), _xlfn.XLOOKUP($A3479, 'Instrument Table'!$H:$H, 'Instrument Table'!$B:$B, $C3478)))</f>
        <v>Synthesizer</v>
      </c>
      <c r="D3479" s="1" t="str">
        <f>VLOOKUP($C3479, 'Instrument Table'!$B:$C, 2, FALSE)</f>
        <v>Other</v>
      </c>
      <c r="E3479" s="1">
        <f t="shared" si="324"/>
        <v>1</v>
      </c>
      <c r="F3479" s="1">
        <f>_xlfn.XLOOKUP($C3479, 'Instrument Table'!$B:$B, 'Instrument Table'!$A:$A, "")</f>
        <v>61</v>
      </c>
      <c r="G3479" s="1" t="str">
        <f>TEXT(IF($B3479 = "Retail Item", IF((ROW($A3479) - 4504 - _xlfn.XMATCH($C3479, $C$4506:$C$5005, 0, 1)) &lt;= VLOOKUP($C3479, 'Instrument Table'!$B:$D, 3, FALSE), ROW($A3479) - 4504 - _xlfn.XMATCH($C3479, $C$4506:$C$5005, 0, 1), 0), 0), "00")</f>
        <v>00</v>
      </c>
      <c r="H3479" s="1" t="str">
        <f t="shared" si="325"/>
        <v>023</v>
      </c>
      <c r="I3479" s="1" t="str">
        <f t="shared" si="326"/>
        <v>16100-023</v>
      </c>
      <c r="J3479" s="1" t="str">
        <f t="shared" si="327"/>
        <v>Synthesizer production item #023</v>
      </c>
      <c r="K3479" s="1" t="str">
        <f>IF(SUM(COUNTIFS(I:I, I3479)) &gt; 1, "DUPLICATE", "UNIQUE")</f>
        <v>UNIQUE</v>
      </c>
      <c r="L3479" s="18">
        <v>1</v>
      </c>
      <c r="M3479" s="28">
        <v>54</v>
      </c>
      <c r="N3479" s="6">
        <v>100</v>
      </c>
      <c r="O3479" s="30">
        <f t="shared" si="328"/>
        <v>54</v>
      </c>
      <c r="P3479" s="30">
        <f t="shared" si="329"/>
        <v>5400</v>
      </c>
      <c r="Q3479" s="1">
        <f>COUNTIFS($P:$P, "&gt;" &amp; $P3479) + 1</f>
        <v>2373</v>
      </c>
      <c r="R3479" s="63">
        <f>(COUNTIFS($P:$P, "&gt;" &amp; $P3479) + 1) / (COUNTA($I:$I) - 1)</f>
        <v>0.47460000000000002</v>
      </c>
      <c r="S3479" s="23">
        <f>SUMIFS($P:$P, $Q:$Q, "&lt;" &amp; $Q3479)</f>
        <v>182473155</v>
      </c>
    </row>
    <row r="3480" spans="1:19" x14ac:dyDescent="0.25">
      <c r="A3480" s="1">
        <v>3475</v>
      </c>
      <c r="B3480" s="1" t="s">
        <v>2</v>
      </c>
      <c r="C3480" s="1" t="str">
        <f>IF($B3480 = "Production Item", _xlfn.XLOOKUP($A3480, 'Instrument Table'!$J:$J, 'Instrument Table'!$B:$B, $C3479), IF($B3480 = "Service Item", _xlfn.XLOOKUP($A3480, 'Instrument Table'!$I:$I, 'Instrument Table'!$B:$B, $C3479), _xlfn.XLOOKUP($A3480, 'Instrument Table'!$H:$H, 'Instrument Table'!$B:$B, $C3479)))</f>
        <v>Synthesizer</v>
      </c>
      <c r="D3480" s="1" t="str">
        <f>VLOOKUP($C3480, 'Instrument Table'!$B:$C, 2, FALSE)</f>
        <v>Other</v>
      </c>
      <c r="E3480" s="1">
        <f t="shared" si="324"/>
        <v>1</v>
      </c>
      <c r="F3480" s="1">
        <f>_xlfn.XLOOKUP($C3480, 'Instrument Table'!$B:$B, 'Instrument Table'!$A:$A, "")</f>
        <v>61</v>
      </c>
      <c r="G3480" s="1" t="str">
        <f>TEXT(IF($B3480 = "Retail Item", IF((ROW($A3480) - 4504 - _xlfn.XMATCH($C3480, $C$4506:$C$5005, 0, 1)) &lt;= VLOOKUP($C3480, 'Instrument Table'!$B:$D, 3, FALSE), ROW($A3480) - 4504 - _xlfn.XMATCH($C3480, $C$4506:$C$5005, 0, 1), 0), 0), "00")</f>
        <v>00</v>
      </c>
      <c r="H3480" s="1" t="str">
        <f t="shared" si="325"/>
        <v>024</v>
      </c>
      <c r="I3480" s="1" t="str">
        <f t="shared" si="326"/>
        <v>16100-024</v>
      </c>
      <c r="J3480" s="1" t="str">
        <f t="shared" si="327"/>
        <v>Synthesizer production item #024</v>
      </c>
      <c r="K3480" s="1" t="str">
        <f>IF(SUM(COUNTIFS(I:I, I3480)) &gt; 1, "DUPLICATE", "UNIQUE")</f>
        <v>UNIQUE</v>
      </c>
      <c r="L3480" s="18">
        <v>32</v>
      </c>
      <c r="M3480" s="28">
        <v>31</v>
      </c>
      <c r="N3480" s="6">
        <v>1</v>
      </c>
      <c r="O3480" s="30">
        <f t="shared" si="328"/>
        <v>992</v>
      </c>
      <c r="P3480" s="30">
        <f t="shared" si="329"/>
        <v>31</v>
      </c>
      <c r="Q3480" s="1">
        <f>COUNTIFS($P:$P, "&gt;" &amp; $P3480) + 1</f>
        <v>4666</v>
      </c>
      <c r="R3480" s="63">
        <f>(COUNTIFS($P:$P, "&gt;" &amp; $P3480) + 1) / (COUNTA($I:$I) - 1)</f>
        <v>0.93320000000000003</v>
      </c>
      <c r="S3480" s="23">
        <f>SUMIFS($P:$P, $Q:$Q, "&lt;" &amp; $Q3480)</f>
        <v>186546564</v>
      </c>
    </row>
    <row r="3481" spans="1:19" x14ac:dyDescent="0.25">
      <c r="A3481" s="1">
        <v>3476</v>
      </c>
      <c r="B3481" s="1" t="s">
        <v>2</v>
      </c>
      <c r="C3481" s="1" t="str">
        <f>IF($B3481 = "Production Item", _xlfn.XLOOKUP($A3481, 'Instrument Table'!$J:$J, 'Instrument Table'!$B:$B, $C3480), IF($B3481 = "Service Item", _xlfn.XLOOKUP($A3481, 'Instrument Table'!$I:$I, 'Instrument Table'!$B:$B, $C3480), _xlfn.XLOOKUP($A3481, 'Instrument Table'!$H:$H, 'Instrument Table'!$B:$B, $C3480)))</f>
        <v>Synthesizer</v>
      </c>
      <c r="D3481" s="1" t="str">
        <f>VLOOKUP($C3481, 'Instrument Table'!$B:$C, 2, FALSE)</f>
        <v>Other</v>
      </c>
      <c r="E3481" s="1">
        <f t="shared" si="324"/>
        <v>1</v>
      </c>
      <c r="F3481" s="1">
        <f>_xlfn.XLOOKUP($C3481, 'Instrument Table'!$B:$B, 'Instrument Table'!$A:$A, "")</f>
        <v>61</v>
      </c>
      <c r="G3481" s="1" t="str">
        <f>TEXT(IF($B3481 = "Retail Item", IF((ROW($A3481) - 4504 - _xlfn.XMATCH($C3481, $C$4506:$C$5005, 0, 1)) &lt;= VLOOKUP($C3481, 'Instrument Table'!$B:$D, 3, FALSE), ROW($A3481) - 4504 - _xlfn.XMATCH($C3481, $C$4506:$C$5005, 0, 1), 0), 0), "00")</f>
        <v>00</v>
      </c>
      <c r="H3481" s="1" t="str">
        <f t="shared" si="325"/>
        <v>025</v>
      </c>
      <c r="I3481" s="1" t="str">
        <f t="shared" si="326"/>
        <v>16100-025</v>
      </c>
      <c r="J3481" s="1" t="str">
        <f t="shared" si="327"/>
        <v>Synthesizer production item #025</v>
      </c>
      <c r="K3481" s="1" t="str">
        <f>IF(SUM(COUNTIFS(I:I, I3481)) &gt; 1, "DUPLICATE", "UNIQUE")</f>
        <v>UNIQUE</v>
      </c>
      <c r="L3481" s="18">
        <v>1</v>
      </c>
      <c r="M3481" s="28">
        <v>22</v>
      </c>
      <c r="N3481" s="6">
        <v>225</v>
      </c>
      <c r="O3481" s="30">
        <f t="shared" si="328"/>
        <v>22</v>
      </c>
      <c r="P3481" s="30">
        <f t="shared" si="329"/>
        <v>4950</v>
      </c>
      <c r="Q3481" s="1">
        <f>COUNTIFS($P:$P, "&gt;" &amp; $P3481) + 1</f>
        <v>2452</v>
      </c>
      <c r="R3481" s="63">
        <f>(COUNTIFS($P:$P, "&gt;" &amp; $P3481) + 1) / (COUNTA($I:$I) - 1)</f>
        <v>0.4904</v>
      </c>
      <c r="S3481" s="23">
        <f>SUMIFS($P:$P, $Q:$Q, "&lt;" &amp; $Q3481)</f>
        <v>182882449</v>
      </c>
    </row>
    <row r="3482" spans="1:19" x14ac:dyDescent="0.25">
      <c r="A3482" s="1">
        <v>3477</v>
      </c>
      <c r="B3482" s="1" t="s">
        <v>2</v>
      </c>
      <c r="C3482" s="1" t="str">
        <f>IF($B3482 = "Production Item", _xlfn.XLOOKUP($A3482, 'Instrument Table'!$J:$J, 'Instrument Table'!$B:$B, $C3481), IF($B3482 = "Service Item", _xlfn.XLOOKUP($A3482, 'Instrument Table'!$I:$I, 'Instrument Table'!$B:$B, $C3481), _xlfn.XLOOKUP($A3482, 'Instrument Table'!$H:$H, 'Instrument Table'!$B:$B, $C3481)))</f>
        <v>Synthesizer</v>
      </c>
      <c r="D3482" s="1" t="str">
        <f>VLOOKUP($C3482, 'Instrument Table'!$B:$C, 2, FALSE)</f>
        <v>Other</v>
      </c>
      <c r="E3482" s="1">
        <f t="shared" si="324"/>
        <v>1</v>
      </c>
      <c r="F3482" s="1">
        <f>_xlfn.XLOOKUP($C3482, 'Instrument Table'!$B:$B, 'Instrument Table'!$A:$A, "")</f>
        <v>61</v>
      </c>
      <c r="G3482" s="1" t="str">
        <f>TEXT(IF($B3482 = "Retail Item", IF((ROW($A3482) - 4504 - _xlfn.XMATCH($C3482, $C$4506:$C$5005, 0, 1)) &lt;= VLOOKUP($C3482, 'Instrument Table'!$B:$D, 3, FALSE), ROW($A3482) - 4504 - _xlfn.XMATCH($C3482, $C$4506:$C$5005, 0, 1), 0), 0), "00")</f>
        <v>00</v>
      </c>
      <c r="H3482" s="1" t="str">
        <f t="shared" si="325"/>
        <v>026</v>
      </c>
      <c r="I3482" s="1" t="str">
        <f t="shared" si="326"/>
        <v>16100-026</v>
      </c>
      <c r="J3482" s="1" t="str">
        <f t="shared" si="327"/>
        <v>Synthesizer production item #026</v>
      </c>
      <c r="K3482" s="1" t="str">
        <f>IF(SUM(COUNTIFS(I:I, I3482)) &gt; 1, "DUPLICATE", "UNIQUE")</f>
        <v>UNIQUE</v>
      </c>
      <c r="L3482" s="18">
        <v>1</v>
      </c>
      <c r="M3482" s="28">
        <v>89</v>
      </c>
      <c r="N3482" s="6">
        <v>49</v>
      </c>
      <c r="O3482" s="30">
        <f t="shared" si="328"/>
        <v>89</v>
      </c>
      <c r="P3482" s="30">
        <f t="shared" si="329"/>
        <v>4361</v>
      </c>
      <c r="Q3482" s="1">
        <f>COUNTIFS($P:$P, "&gt;" &amp; $P3482) + 1</f>
        <v>2572</v>
      </c>
      <c r="R3482" s="63">
        <f>(COUNTIFS($P:$P, "&gt;" &amp; $P3482) + 1) / (COUNTA($I:$I) - 1)</f>
        <v>0.51439999999999997</v>
      </c>
      <c r="S3482" s="23">
        <f>SUMIFS($P:$P, $Q:$Q, "&lt;" &amp; $Q3482)</f>
        <v>183442642</v>
      </c>
    </row>
    <row r="3483" spans="1:19" x14ac:dyDescent="0.25">
      <c r="A3483" s="1">
        <v>3478</v>
      </c>
      <c r="B3483" s="1" t="s">
        <v>2</v>
      </c>
      <c r="C3483" s="1" t="str">
        <f>IF($B3483 = "Production Item", _xlfn.XLOOKUP($A3483, 'Instrument Table'!$J:$J, 'Instrument Table'!$B:$B, $C3482), IF($B3483 = "Service Item", _xlfn.XLOOKUP($A3483, 'Instrument Table'!$I:$I, 'Instrument Table'!$B:$B, $C3482), _xlfn.XLOOKUP($A3483, 'Instrument Table'!$H:$H, 'Instrument Table'!$B:$B, $C3482)))</f>
        <v>Synthesizer</v>
      </c>
      <c r="D3483" s="1" t="str">
        <f>VLOOKUP($C3483, 'Instrument Table'!$B:$C, 2, FALSE)</f>
        <v>Other</v>
      </c>
      <c r="E3483" s="1">
        <f t="shared" si="324"/>
        <v>1</v>
      </c>
      <c r="F3483" s="1">
        <f>_xlfn.XLOOKUP($C3483, 'Instrument Table'!$B:$B, 'Instrument Table'!$A:$A, "")</f>
        <v>61</v>
      </c>
      <c r="G3483" s="1" t="str">
        <f>TEXT(IF($B3483 = "Retail Item", IF((ROW($A3483) - 4504 - _xlfn.XMATCH($C3483, $C$4506:$C$5005, 0, 1)) &lt;= VLOOKUP($C3483, 'Instrument Table'!$B:$D, 3, FALSE), ROW($A3483) - 4504 - _xlfn.XMATCH($C3483, $C$4506:$C$5005, 0, 1), 0), 0), "00")</f>
        <v>00</v>
      </c>
      <c r="H3483" s="1" t="str">
        <f t="shared" si="325"/>
        <v>027</v>
      </c>
      <c r="I3483" s="1" t="str">
        <f t="shared" si="326"/>
        <v>16100-027</v>
      </c>
      <c r="J3483" s="1" t="str">
        <f t="shared" si="327"/>
        <v>Synthesizer production item #027</v>
      </c>
      <c r="K3483" s="1" t="str">
        <f>IF(SUM(COUNTIFS(I:I, I3483)) &gt; 1, "DUPLICATE", "UNIQUE")</f>
        <v>UNIQUE</v>
      </c>
      <c r="L3483" s="18">
        <v>1</v>
      </c>
      <c r="M3483" s="28">
        <v>66</v>
      </c>
      <c r="N3483" s="6">
        <v>64</v>
      </c>
      <c r="O3483" s="30">
        <f t="shared" si="328"/>
        <v>66</v>
      </c>
      <c r="P3483" s="30">
        <f t="shared" si="329"/>
        <v>4224</v>
      </c>
      <c r="Q3483" s="1">
        <f>COUNTIFS($P:$P, "&gt;" &amp; $P3483) + 1</f>
        <v>2605</v>
      </c>
      <c r="R3483" s="63">
        <f>(COUNTIFS($P:$P, "&gt;" &amp; $P3483) + 1) / (COUNTA($I:$I) - 1)</f>
        <v>0.52100000000000002</v>
      </c>
      <c r="S3483" s="23">
        <f>SUMIFS($P:$P, $Q:$Q, "&lt;" &amp; $Q3483)</f>
        <v>183584543</v>
      </c>
    </row>
    <row r="3484" spans="1:19" x14ac:dyDescent="0.25">
      <c r="A3484" s="1">
        <v>3479</v>
      </c>
      <c r="B3484" s="1" t="s">
        <v>2</v>
      </c>
      <c r="C3484" s="1" t="str">
        <f>IF($B3484 = "Production Item", _xlfn.XLOOKUP($A3484, 'Instrument Table'!$J:$J, 'Instrument Table'!$B:$B, $C3483), IF($B3484 = "Service Item", _xlfn.XLOOKUP($A3484, 'Instrument Table'!$I:$I, 'Instrument Table'!$B:$B, $C3483), _xlfn.XLOOKUP($A3484, 'Instrument Table'!$H:$H, 'Instrument Table'!$B:$B, $C3483)))</f>
        <v>Synthesizer</v>
      </c>
      <c r="D3484" s="1" t="str">
        <f>VLOOKUP($C3484, 'Instrument Table'!$B:$C, 2, FALSE)</f>
        <v>Other</v>
      </c>
      <c r="E3484" s="1">
        <f t="shared" si="324"/>
        <v>1</v>
      </c>
      <c r="F3484" s="1">
        <f>_xlfn.XLOOKUP($C3484, 'Instrument Table'!$B:$B, 'Instrument Table'!$A:$A, "")</f>
        <v>61</v>
      </c>
      <c r="G3484" s="1" t="str">
        <f>TEXT(IF($B3484 = "Retail Item", IF((ROW($A3484) - 4504 - _xlfn.XMATCH($C3484, $C$4506:$C$5005, 0, 1)) &lt;= VLOOKUP($C3484, 'Instrument Table'!$B:$D, 3, FALSE), ROW($A3484) - 4504 - _xlfn.XMATCH($C3484, $C$4506:$C$5005, 0, 1), 0), 0), "00")</f>
        <v>00</v>
      </c>
      <c r="H3484" s="1" t="str">
        <f t="shared" si="325"/>
        <v>028</v>
      </c>
      <c r="I3484" s="1" t="str">
        <f t="shared" si="326"/>
        <v>16100-028</v>
      </c>
      <c r="J3484" s="1" t="str">
        <f t="shared" si="327"/>
        <v>Synthesizer production item #028</v>
      </c>
      <c r="K3484" s="1" t="str">
        <f>IF(SUM(COUNTIFS(I:I, I3484)) &gt; 1, "DUPLICATE", "UNIQUE")</f>
        <v>UNIQUE</v>
      </c>
      <c r="L3484" s="18">
        <v>8</v>
      </c>
      <c r="M3484" s="28">
        <v>45</v>
      </c>
      <c r="N3484" s="6">
        <v>0</v>
      </c>
      <c r="O3484" s="30">
        <f t="shared" si="328"/>
        <v>360</v>
      </c>
      <c r="P3484" s="30">
        <f t="shared" si="329"/>
        <v>0</v>
      </c>
      <c r="Q3484" s="1">
        <f>COUNTIFS($P:$P, "&gt;" &amp; $P3484) + 1</f>
        <v>4746</v>
      </c>
      <c r="R3484" s="63">
        <f>(COUNTIFS($P:$P, "&gt;" &amp; $P3484) + 1) / (COUNTA($I:$I) - 1)</f>
        <v>0.94920000000000004</v>
      </c>
      <c r="S3484" s="23">
        <f>SUMIFS($P:$P, $Q:$Q, "&lt;" &amp; $Q3484)</f>
        <v>186547861</v>
      </c>
    </row>
    <row r="3485" spans="1:19" x14ac:dyDescent="0.25">
      <c r="A3485" s="1">
        <v>3480</v>
      </c>
      <c r="B3485" s="1" t="s">
        <v>2</v>
      </c>
      <c r="C3485" s="1" t="str">
        <f>IF($B3485 = "Production Item", _xlfn.XLOOKUP($A3485, 'Instrument Table'!$J:$J, 'Instrument Table'!$B:$B, $C3484), IF($B3485 = "Service Item", _xlfn.XLOOKUP($A3485, 'Instrument Table'!$I:$I, 'Instrument Table'!$B:$B, $C3484), _xlfn.XLOOKUP($A3485, 'Instrument Table'!$H:$H, 'Instrument Table'!$B:$B, $C3484)))</f>
        <v>Synthesizer</v>
      </c>
      <c r="D3485" s="1" t="str">
        <f>VLOOKUP($C3485, 'Instrument Table'!$B:$C, 2, FALSE)</f>
        <v>Other</v>
      </c>
      <c r="E3485" s="1">
        <f t="shared" si="324"/>
        <v>1</v>
      </c>
      <c r="F3485" s="1">
        <f>_xlfn.XLOOKUP($C3485, 'Instrument Table'!$B:$B, 'Instrument Table'!$A:$A, "")</f>
        <v>61</v>
      </c>
      <c r="G3485" s="1" t="str">
        <f>TEXT(IF($B3485 = "Retail Item", IF((ROW($A3485) - 4504 - _xlfn.XMATCH($C3485, $C$4506:$C$5005, 0, 1)) &lt;= VLOOKUP($C3485, 'Instrument Table'!$B:$D, 3, FALSE), ROW($A3485) - 4504 - _xlfn.XMATCH($C3485, $C$4506:$C$5005, 0, 1), 0), 0), "00")</f>
        <v>00</v>
      </c>
      <c r="H3485" s="1" t="str">
        <f t="shared" si="325"/>
        <v>029</v>
      </c>
      <c r="I3485" s="1" t="str">
        <f t="shared" si="326"/>
        <v>16100-029</v>
      </c>
      <c r="J3485" s="1" t="str">
        <f t="shared" si="327"/>
        <v>Synthesizer production item #029</v>
      </c>
      <c r="K3485" s="1" t="str">
        <f>IF(SUM(COUNTIFS(I:I, I3485)) &gt; 1, "DUPLICATE", "UNIQUE")</f>
        <v>UNIQUE</v>
      </c>
      <c r="L3485" s="18">
        <v>0</v>
      </c>
      <c r="M3485" s="28">
        <v>53</v>
      </c>
      <c r="N3485" s="6">
        <v>256</v>
      </c>
      <c r="O3485" s="30">
        <f t="shared" si="328"/>
        <v>0</v>
      </c>
      <c r="P3485" s="30">
        <f t="shared" si="329"/>
        <v>13568</v>
      </c>
      <c r="Q3485" s="1">
        <f>COUNTIFS($P:$P, "&gt;" &amp; $P3485) + 1</f>
        <v>1454</v>
      </c>
      <c r="R3485" s="63">
        <f>(COUNTIFS($P:$P, "&gt;" &amp; $P3485) + 1) / (COUNTA($I:$I) - 1)</f>
        <v>0.2908</v>
      </c>
      <c r="S3485" s="23">
        <f>SUMIFS($P:$P, $Q:$Q, "&lt;" &amp; $Q3485)</f>
        <v>174227505</v>
      </c>
    </row>
    <row r="3486" spans="1:19" x14ac:dyDescent="0.25">
      <c r="A3486" s="1">
        <v>3481</v>
      </c>
      <c r="B3486" s="1" t="s">
        <v>2</v>
      </c>
      <c r="C3486" s="1" t="str">
        <f>IF($B3486 = "Production Item", _xlfn.XLOOKUP($A3486, 'Instrument Table'!$J:$J, 'Instrument Table'!$B:$B, $C3485), IF($B3486 = "Service Item", _xlfn.XLOOKUP($A3486, 'Instrument Table'!$I:$I, 'Instrument Table'!$B:$B, $C3485), _xlfn.XLOOKUP($A3486, 'Instrument Table'!$H:$H, 'Instrument Table'!$B:$B, $C3485)))</f>
        <v>Synthesizer</v>
      </c>
      <c r="D3486" s="1" t="str">
        <f>VLOOKUP($C3486, 'Instrument Table'!$B:$C, 2, FALSE)</f>
        <v>Other</v>
      </c>
      <c r="E3486" s="1">
        <f t="shared" si="324"/>
        <v>1</v>
      </c>
      <c r="F3486" s="1">
        <f>_xlfn.XLOOKUP($C3486, 'Instrument Table'!$B:$B, 'Instrument Table'!$A:$A, "")</f>
        <v>61</v>
      </c>
      <c r="G3486" s="1" t="str">
        <f>TEXT(IF($B3486 = "Retail Item", IF((ROW($A3486) - 4504 - _xlfn.XMATCH($C3486, $C$4506:$C$5005, 0, 1)) &lt;= VLOOKUP($C3486, 'Instrument Table'!$B:$D, 3, FALSE), ROW($A3486) - 4504 - _xlfn.XMATCH($C3486, $C$4506:$C$5005, 0, 1), 0), 0), "00")</f>
        <v>00</v>
      </c>
      <c r="H3486" s="1" t="str">
        <f t="shared" si="325"/>
        <v>030</v>
      </c>
      <c r="I3486" s="1" t="str">
        <f t="shared" si="326"/>
        <v>16100-030</v>
      </c>
      <c r="J3486" s="1" t="str">
        <f t="shared" si="327"/>
        <v>Synthesizer production item #030</v>
      </c>
      <c r="K3486" s="1" t="str">
        <f>IF(SUM(COUNTIFS(I:I, I3486)) &gt; 1, "DUPLICATE", "UNIQUE")</f>
        <v>UNIQUE</v>
      </c>
      <c r="L3486" s="18">
        <v>0</v>
      </c>
      <c r="M3486" s="28">
        <v>25</v>
      </c>
      <c r="N3486" s="6">
        <v>9</v>
      </c>
      <c r="O3486" s="30">
        <f t="shared" si="328"/>
        <v>0</v>
      </c>
      <c r="P3486" s="30">
        <f t="shared" si="329"/>
        <v>225</v>
      </c>
      <c r="Q3486" s="1">
        <f>COUNTIFS($P:$P, "&gt;" &amp; $P3486) + 1</f>
        <v>4292</v>
      </c>
      <c r="R3486" s="63">
        <f>(COUNTIFS($P:$P, "&gt;" &amp; $P3486) + 1) / (COUNTA($I:$I) - 1)</f>
        <v>0.85840000000000005</v>
      </c>
      <c r="S3486" s="23">
        <f>SUMIFS($P:$P, $Q:$Q, "&lt;" &amp; $Q3486)</f>
        <v>186505641</v>
      </c>
    </row>
    <row r="3487" spans="1:19" x14ac:dyDescent="0.25">
      <c r="A3487" s="1">
        <v>3482</v>
      </c>
      <c r="B3487" s="1" t="s">
        <v>2</v>
      </c>
      <c r="C3487" s="1" t="str">
        <f>IF($B3487 = "Production Item", _xlfn.XLOOKUP($A3487, 'Instrument Table'!$J:$J, 'Instrument Table'!$B:$B, $C3486), IF($B3487 = "Service Item", _xlfn.XLOOKUP($A3487, 'Instrument Table'!$I:$I, 'Instrument Table'!$B:$B, $C3486), _xlfn.XLOOKUP($A3487, 'Instrument Table'!$H:$H, 'Instrument Table'!$B:$B, $C3486)))</f>
        <v>Synthesizer</v>
      </c>
      <c r="D3487" s="1" t="str">
        <f>VLOOKUP($C3487, 'Instrument Table'!$B:$C, 2, FALSE)</f>
        <v>Other</v>
      </c>
      <c r="E3487" s="1">
        <f t="shared" si="324"/>
        <v>1</v>
      </c>
      <c r="F3487" s="1">
        <f>_xlfn.XLOOKUP($C3487, 'Instrument Table'!$B:$B, 'Instrument Table'!$A:$A, "")</f>
        <v>61</v>
      </c>
      <c r="G3487" s="1" t="str">
        <f>TEXT(IF($B3487 = "Retail Item", IF((ROW($A3487) - 4504 - _xlfn.XMATCH($C3487, $C$4506:$C$5005, 0, 1)) &lt;= VLOOKUP($C3487, 'Instrument Table'!$B:$D, 3, FALSE), ROW($A3487) - 4504 - _xlfn.XMATCH($C3487, $C$4506:$C$5005, 0, 1), 0), 0), "00")</f>
        <v>00</v>
      </c>
      <c r="H3487" s="1" t="str">
        <f t="shared" si="325"/>
        <v>031</v>
      </c>
      <c r="I3487" s="1" t="str">
        <f t="shared" si="326"/>
        <v>16100-031</v>
      </c>
      <c r="J3487" s="1" t="str">
        <f t="shared" si="327"/>
        <v>Synthesizer production item #031</v>
      </c>
      <c r="K3487" s="1" t="str">
        <f>IF(SUM(COUNTIFS(I:I, I3487)) &gt; 1, "DUPLICATE", "UNIQUE")</f>
        <v>UNIQUE</v>
      </c>
      <c r="L3487" s="18">
        <v>1</v>
      </c>
      <c r="M3487" s="28">
        <v>67</v>
      </c>
      <c r="N3487" s="6">
        <v>64</v>
      </c>
      <c r="O3487" s="30">
        <f t="shared" si="328"/>
        <v>67</v>
      </c>
      <c r="P3487" s="30">
        <f t="shared" si="329"/>
        <v>4288</v>
      </c>
      <c r="Q3487" s="1">
        <f>COUNTIFS($P:$P, "&gt;" &amp; $P3487) + 1</f>
        <v>2593</v>
      </c>
      <c r="R3487" s="63">
        <f>(COUNTIFS($P:$P, "&gt;" &amp; $P3487) + 1) / (COUNTA($I:$I) - 1)</f>
        <v>0.51859999999999995</v>
      </c>
      <c r="S3487" s="23">
        <f>SUMIFS($P:$P, $Q:$Q, "&lt;" &amp; $Q3487)</f>
        <v>183533510</v>
      </c>
    </row>
    <row r="3488" spans="1:19" x14ac:dyDescent="0.25">
      <c r="A3488" s="1">
        <v>3483</v>
      </c>
      <c r="B3488" s="1" t="s">
        <v>2</v>
      </c>
      <c r="C3488" s="1" t="str">
        <f>IF($B3488 = "Production Item", _xlfn.XLOOKUP($A3488, 'Instrument Table'!$J:$J, 'Instrument Table'!$B:$B, $C3487), IF($B3488 = "Service Item", _xlfn.XLOOKUP($A3488, 'Instrument Table'!$I:$I, 'Instrument Table'!$B:$B, $C3487), _xlfn.XLOOKUP($A3488, 'Instrument Table'!$H:$H, 'Instrument Table'!$B:$B, $C3487)))</f>
        <v>Synthesizer</v>
      </c>
      <c r="D3488" s="1" t="str">
        <f>VLOOKUP($C3488, 'Instrument Table'!$B:$C, 2, FALSE)</f>
        <v>Other</v>
      </c>
      <c r="E3488" s="1">
        <f t="shared" si="324"/>
        <v>1</v>
      </c>
      <c r="F3488" s="1">
        <f>_xlfn.XLOOKUP($C3488, 'Instrument Table'!$B:$B, 'Instrument Table'!$A:$A, "")</f>
        <v>61</v>
      </c>
      <c r="G3488" s="1" t="str">
        <f>TEXT(IF($B3488 = "Retail Item", IF((ROW($A3488) - 4504 - _xlfn.XMATCH($C3488, $C$4506:$C$5005, 0, 1)) &lt;= VLOOKUP($C3488, 'Instrument Table'!$B:$D, 3, FALSE), ROW($A3488) - 4504 - _xlfn.XMATCH($C3488, $C$4506:$C$5005, 0, 1), 0), 0), "00")</f>
        <v>00</v>
      </c>
      <c r="H3488" s="1" t="str">
        <f t="shared" si="325"/>
        <v>032</v>
      </c>
      <c r="I3488" s="1" t="str">
        <f t="shared" si="326"/>
        <v>16100-032</v>
      </c>
      <c r="J3488" s="1" t="str">
        <f t="shared" si="327"/>
        <v>Synthesizer production item #032</v>
      </c>
      <c r="K3488" s="1" t="str">
        <f>IF(SUM(COUNTIFS(I:I, I3488)) &gt; 1, "DUPLICATE", "UNIQUE")</f>
        <v>UNIQUE</v>
      </c>
      <c r="L3488" s="18">
        <v>0</v>
      </c>
      <c r="M3488" s="28">
        <v>28</v>
      </c>
      <c r="N3488" s="6">
        <v>9</v>
      </c>
      <c r="O3488" s="30">
        <f t="shared" si="328"/>
        <v>0</v>
      </c>
      <c r="P3488" s="30">
        <f t="shared" si="329"/>
        <v>252</v>
      </c>
      <c r="Q3488" s="1">
        <f>COUNTIFS($P:$P, "&gt;" &amp; $P3488) + 1</f>
        <v>4269</v>
      </c>
      <c r="R3488" s="63">
        <f>(COUNTIFS($P:$P, "&gt;" &amp; $P3488) + 1) / (COUNTA($I:$I) - 1)</f>
        <v>0.8538</v>
      </c>
      <c r="S3488" s="23">
        <f>SUMIFS($P:$P, $Q:$Q, "&lt;" &amp; $Q3488)</f>
        <v>186500011</v>
      </c>
    </row>
    <row r="3489" spans="1:19" x14ac:dyDescent="0.25">
      <c r="A3489" s="1">
        <v>3484</v>
      </c>
      <c r="B3489" s="1" t="s">
        <v>2</v>
      </c>
      <c r="C3489" s="1" t="str">
        <f>IF($B3489 = "Production Item", _xlfn.XLOOKUP($A3489, 'Instrument Table'!$J:$J, 'Instrument Table'!$B:$B, $C3488), IF($B3489 = "Service Item", _xlfn.XLOOKUP($A3489, 'Instrument Table'!$I:$I, 'Instrument Table'!$B:$B, $C3488), _xlfn.XLOOKUP($A3489, 'Instrument Table'!$H:$H, 'Instrument Table'!$B:$B, $C3488)))</f>
        <v>Synthesizer</v>
      </c>
      <c r="D3489" s="1" t="str">
        <f>VLOOKUP($C3489, 'Instrument Table'!$B:$C, 2, FALSE)</f>
        <v>Other</v>
      </c>
      <c r="E3489" s="1">
        <f t="shared" si="324"/>
        <v>1</v>
      </c>
      <c r="F3489" s="1">
        <f>_xlfn.XLOOKUP($C3489, 'Instrument Table'!$B:$B, 'Instrument Table'!$A:$A, "")</f>
        <v>61</v>
      </c>
      <c r="G3489" s="1" t="str">
        <f>TEXT(IF($B3489 = "Retail Item", IF((ROW($A3489) - 4504 - _xlfn.XMATCH($C3489, $C$4506:$C$5005, 0, 1)) &lt;= VLOOKUP($C3489, 'Instrument Table'!$B:$D, 3, FALSE), ROW($A3489) - 4504 - _xlfn.XMATCH($C3489, $C$4506:$C$5005, 0, 1), 0), 0), "00")</f>
        <v>00</v>
      </c>
      <c r="H3489" s="1" t="str">
        <f t="shared" si="325"/>
        <v>033</v>
      </c>
      <c r="I3489" s="1" t="str">
        <f t="shared" si="326"/>
        <v>16100-033</v>
      </c>
      <c r="J3489" s="1" t="str">
        <f t="shared" si="327"/>
        <v>Synthesizer production item #033</v>
      </c>
      <c r="K3489" s="1" t="str">
        <f>IF(SUM(COUNTIFS(I:I, I3489)) &gt; 1, "DUPLICATE", "UNIQUE")</f>
        <v>UNIQUE</v>
      </c>
      <c r="L3489" s="18">
        <v>0</v>
      </c>
      <c r="M3489" s="28">
        <v>53</v>
      </c>
      <c r="N3489" s="6">
        <v>1</v>
      </c>
      <c r="O3489" s="30">
        <f t="shared" si="328"/>
        <v>0</v>
      </c>
      <c r="P3489" s="30">
        <f t="shared" si="329"/>
        <v>53</v>
      </c>
      <c r="Q3489" s="1">
        <f>COUNTIFS($P:$P, "&gt;" &amp; $P3489) + 1</f>
        <v>4606</v>
      </c>
      <c r="R3489" s="63">
        <f>(COUNTIFS($P:$P, "&gt;" &amp; $P3489) + 1) / (COUNTA($I:$I) - 1)</f>
        <v>0.92120000000000002</v>
      </c>
      <c r="S3489" s="23">
        <f>SUMIFS($P:$P, $Q:$Q, "&lt;" &amp; $Q3489)</f>
        <v>186544018</v>
      </c>
    </row>
    <row r="3490" spans="1:19" x14ac:dyDescent="0.25">
      <c r="A3490" s="1">
        <v>3485</v>
      </c>
      <c r="B3490" s="1" t="s">
        <v>2</v>
      </c>
      <c r="C3490" s="1" t="str">
        <f>IF($B3490 = "Production Item", _xlfn.XLOOKUP($A3490, 'Instrument Table'!$J:$J, 'Instrument Table'!$B:$B, $C3489), IF($B3490 = "Service Item", _xlfn.XLOOKUP($A3490, 'Instrument Table'!$I:$I, 'Instrument Table'!$B:$B, $C3489), _xlfn.XLOOKUP($A3490, 'Instrument Table'!$H:$H, 'Instrument Table'!$B:$B, $C3489)))</f>
        <v>Synthesizer</v>
      </c>
      <c r="D3490" s="1" t="str">
        <f>VLOOKUP($C3490, 'Instrument Table'!$B:$C, 2, FALSE)</f>
        <v>Other</v>
      </c>
      <c r="E3490" s="1">
        <f t="shared" si="324"/>
        <v>1</v>
      </c>
      <c r="F3490" s="1">
        <f>_xlfn.XLOOKUP($C3490, 'Instrument Table'!$B:$B, 'Instrument Table'!$A:$A, "")</f>
        <v>61</v>
      </c>
      <c r="G3490" s="1" t="str">
        <f>TEXT(IF($B3490 = "Retail Item", IF((ROW($A3490) - 4504 - _xlfn.XMATCH($C3490, $C$4506:$C$5005, 0, 1)) &lt;= VLOOKUP($C3490, 'Instrument Table'!$B:$D, 3, FALSE), ROW($A3490) - 4504 - _xlfn.XMATCH($C3490, $C$4506:$C$5005, 0, 1), 0), 0), "00")</f>
        <v>00</v>
      </c>
      <c r="H3490" s="1" t="str">
        <f t="shared" si="325"/>
        <v>034</v>
      </c>
      <c r="I3490" s="1" t="str">
        <f t="shared" si="326"/>
        <v>16100-034</v>
      </c>
      <c r="J3490" s="1" t="str">
        <f t="shared" si="327"/>
        <v>Synthesizer production item #034</v>
      </c>
      <c r="K3490" s="1" t="str">
        <f>IF(SUM(COUNTIFS(I:I, I3490)) &gt; 1, "DUPLICATE", "UNIQUE")</f>
        <v>UNIQUE</v>
      </c>
      <c r="L3490" s="18">
        <v>1</v>
      </c>
      <c r="M3490" s="28">
        <v>100</v>
      </c>
      <c r="N3490" s="6">
        <v>400</v>
      </c>
      <c r="O3490" s="30">
        <f t="shared" si="328"/>
        <v>100</v>
      </c>
      <c r="P3490" s="30">
        <f t="shared" si="329"/>
        <v>40000</v>
      </c>
      <c r="Q3490" s="1">
        <f>COUNTIFS($P:$P, "&gt;" &amp; $P3490) + 1</f>
        <v>551</v>
      </c>
      <c r="R3490" s="63">
        <f>(COUNTIFS($P:$P, "&gt;" &amp; $P3490) + 1) / (COUNTA($I:$I) - 1)</f>
        <v>0.11020000000000001</v>
      </c>
      <c r="S3490" s="23">
        <f>SUMIFS($P:$P, $Q:$Q, "&lt;" &amp; $Q3490)</f>
        <v>154017534</v>
      </c>
    </row>
    <row r="3491" spans="1:19" x14ac:dyDescent="0.25">
      <c r="A3491" s="1">
        <v>3486</v>
      </c>
      <c r="B3491" s="1" t="s">
        <v>2</v>
      </c>
      <c r="C3491" s="1" t="str">
        <f>IF($B3491 = "Production Item", _xlfn.XLOOKUP($A3491, 'Instrument Table'!$J:$J, 'Instrument Table'!$B:$B, $C3490), IF($B3491 = "Service Item", _xlfn.XLOOKUP($A3491, 'Instrument Table'!$I:$I, 'Instrument Table'!$B:$B, $C3490), _xlfn.XLOOKUP($A3491, 'Instrument Table'!$H:$H, 'Instrument Table'!$B:$B, $C3490)))</f>
        <v>Synthesizer</v>
      </c>
      <c r="D3491" s="1" t="str">
        <f>VLOOKUP($C3491, 'Instrument Table'!$B:$C, 2, FALSE)</f>
        <v>Other</v>
      </c>
      <c r="E3491" s="1">
        <f t="shared" si="324"/>
        <v>1</v>
      </c>
      <c r="F3491" s="1">
        <f>_xlfn.XLOOKUP($C3491, 'Instrument Table'!$B:$B, 'Instrument Table'!$A:$A, "")</f>
        <v>61</v>
      </c>
      <c r="G3491" s="1" t="str">
        <f>TEXT(IF($B3491 = "Retail Item", IF((ROW($A3491) - 4504 - _xlfn.XMATCH($C3491, $C$4506:$C$5005, 0, 1)) &lt;= VLOOKUP($C3491, 'Instrument Table'!$B:$D, 3, FALSE), ROW($A3491) - 4504 - _xlfn.XMATCH($C3491, $C$4506:$C$5005, 0, 1), 0), 0), "00")</f>
        <v>00</v>
      </c>
      <c r="H3491" s="1" t="str">
        <f t="shared" si="325"/>
        <v>035</v>
      </c>
      <c r="I3491" s="1" t="str">
        <f t="shared" si="326"/>
        <v>16100-035</v>
      </c>
      <c r="J3491" s="1" t="str">
        <f t="shared" si="327"/>
        <v>Synthesizer production item #035</v>
      </c>
      <c r="K3491" s="1" t="str">
        <f>IF(SUM(COUNTIFS(I:I, I3491)) &gt; 1, "DUPLICATE", "UNIQUE")</f>
        <v>UNIQUE</v>
      </c>
      <c r="L3491" s="18">
        <v>1</v>
      </c>
      <c r="M3491" s="28">
        <v>74</v>
      </c>
      <c r="N3491" s="6">
        <v>100</v>
      </c>
      <c r="O3491" s="30">
        <f t="shared" si="328"/>
        <v>74</v>
      </c>
      <c r="P3491" s="30">
        <f t="shared" si="329"/>
        <v>7400</v>
      </c>
      <c r="Q3491" s="1">
        <f>COUNTIFS($P:$P, "&gt;" &amp; $P3491) + 1</f>
        <v>2082</v>
      </c>
      <c r="R3491" s="63">
        <f>(COUNTIFS($P:$P, "&gt;" &amp; $P3491) + 1) / (COUNTA($I:$I) - 1)</f>
        <v>0.41639999999999999</v>
      </c>
      <c r="S3491" s="23">
        <f>SUMIFS($P:$P, $Q:$Q, "&lt;" &amp; $Q3491)</f>
        <v>180626249</v>
      </c>
    </row>
    <row r="3492" spans="1:19" x14ac:dyDescent="0.25">
      <c r="A3492" s="1">
        <v>3487</v>
      </c>
      <c r="B3492" s="1" t="s">
        <v>2</v>
      </c>
      <c r="C3492" s="1" t="str">
        <f>IF($B3492 = "Production Item", _xlfn.XLOOKUP($A3492, 'Instrument Table'!$J:$J, 'Instrument Table'!$B:$B, $C3491), IF($B3492 = "Service Item", _xlfn.XLOOKUP($A3492, 'Instrument Table'!$I:$I, 'Instrument Table'!$B:$B, $C3491), _xlfn.XLOOKUP($A3492, 'Instrument Table'!$H:$H, 'Instrument Table'!$B:$B, $C3491)))</f>
        <v>Synthesizer</v>
      </c>
      <c r="D3492" s="1" t="str">
        <f>VLOOKUP($C3492, 'Instrument Table'!$B:$C, 2, FALSE)</f>
        <v>Other</v>
      </c>
      <c r="E3492" s="1">
        <f t="shared" si="324"/>
        <v>1</v>
      </c>
      <c r="F3492" s="1">
        <f>_xlfn.XLOOKUP($C3492, 'Instrument Table'!$B:$B, 'Instrument Table'!$A:$A, "")</f>
        <v>61</v>
      </c>
      <c r="G3492" s="1" t="str">
        <f>TEXT(IF($B3492 = "Retail Item", IF((ROW($A3492) - 4504 - _xlfn.XMATCH($C3492, $C$4506:$C$5005, 0, 1)) &lt;= VLOOKUP($C3492, 'Instrument Table'!$B:$D, 3, FALSE), ROW($A3492) - 4504 - _xlfn.XMATCH($C3492, $C$4506:$C$5005, 0, 1), 0), 0), "00")</f>
        <v>00</v>
      </c>
      <c r="H3492" s="1" t="str">
        <f t="shared" si="325"/>
        <v>036</v>
      </c>
      <c r="I3492" s="1" t="str">
        <f t="shared" si="326"/>
        <v>16100-036</v>
      </c>
      <c r="J3492" s="1" t="str">
        <f t="shared" si="327"/>
        <v>Synthesizer production item #036</v>
      </c>
      <c r="K3492" s="1" t="str">
        <f>IF(SUM(COUNTIFS(I:I, I3492)) &gt; 1, "DUPLICATE", "UNIQUE")</f>
        <v>UNIQUE</v>
      </c>
      <c r="L3492" s="18">
        <v>0</v>
      </c>
      <c r="M3492" s="28">
        <v>64</v>
      </c>
      <c r="N3492" s="6">
        <v>100</v>
      </c>
      <c r="O3492" s="30">
        <f t="shared" si="328"/>
        <v>0</v>
      </c>
      <c r="P3492" s="30">
        <f t="shared" si="329"/>
        <v>6400</v>
      </c>
      <c r="Q3492" s="1">
        <f>COUNTIFS($P:$P, "&gt;" &amp; $P3492) + 1</f>
        <v>2216</v>
      </c>
      <c r="R3492" s="63">
        <f>(COUNTIFS($P:$P, "&gt;" &amp; $P3492) + 1) / (COUNTA($I:$I) - 1)</f>
        <v>0.44319999999999998</v>
      </c>
      <c r="S3492" s="23">
        <f>SUMIFS($P:$P, $Q:$Q, "&lt;" &amp; $Q3492)</f>
        <v>181555271</v>
      </c>
    </row>
    <row r="3493" spans="1:19" x14ac:dyDescent="0.25">
      <c r="A3493" s="1">
        <v>3488</v>
      </c>
      <c r="B3493" s="1" t="s">
        <v>2</v>
      </c>
      <c r="C3493" s="1" t="str">
        <f>IF($B3493 = "Production Item", _xlfn.XLOOKUP($A3493, 'Instrument Table'!$J:$J, 'Instrument Table'!$B:$B, $C3492), IF($B3493 = "Service Item", _xlfn.XLOOKUP($A3493, 'Instrument Table'!$I:$I, 'Instrument Table'!$B:$B, $C3492), _xlfn.XLOOKUP($A3493, 'Instrument Table'!$H:$H, 'Instrument Table'!$B:$B, $C3492)))</f>
        <v>Synthesizer</v>
      </c>
      <c r="D3493" s="1" t="str">
        <f>VLOOKUP($C3493, 'Instrument Table'!$B:$C, 2, FALSE)</f>
        <v>Other</v>
      </c>
      <c r="E3493" s="1">
        <f t="shared" si="324"/>
        <v>1</v>
      </c>
      <c r="F3493" s="1">
        <f>_xlfn.XLOOKUP($C3493, 'Instrument Table'!$B:$B, 'Instrument Table'!$A:$A, "")</f>
        <v>61</v>
      </c>
      <c r="G3493" s="1" t="str">
        <f>TEXT(IF($B3493 = "Retail Item", IF((ROW($A3493) - 4504 - _xlfn.XMATCH($C3493, $C$4506:$C$5005, 0, 1)) &lt;= VLOOKUP($C3493, 'Instrument Table'!$B:$D, 3, FALSE), ROW($A3493) - 4504 - _xlfn.XMATCH($C3493, $C$4506:$C$5005, 0, 1), 0), 0), "00")</f>
        <v>00</v>
      </c>
      <c r="H3493" s="1" t="str">
        <f t="shared" si="325"/>
        <v>037</v>
      </c>
      <c r="I3493" s="1" t="str">
        <f t="shared" si="326"/>
        <v>16100-037</v>
      </c>
      <c r="J3493" s="1" t="str">
        <f t="shared" si="327"/>
        <v>Synthesizer production item #037</v>
      </c>
      <c r="K3493" s="1" t="str">
        <f>IF(SUM(COUNTIFS(I:I, I3493)) &gt; 1, "DUPLICATE", "UNIQUE")</f>
        <v>UNIQUE</v>
      </c>
      <c r="L3493" s="18">
        <v>2</v>
      </c>
      <c r="M3493" s="28">
        <v>32</v>
      </c>
      <c r="N3493" s="6">
        <v>361</v>
      </c>
      <c r="O3493" s="30">
        <f t="shared" si="328"/>
        <v>64</v>
      </c>
      <c r="P3493" s="30">
        <f t="shared" si="329"/>
        <v>11552</v>
      </c>
      <c r="Q3493" s="1">
        <f>COUNTIFS($P:$P, "&gt;" &amp; $P3493) + 1</f>
        <v>1631</v>
      </c>
      <c r="R3493" s="63">
        <f>(COUNTIFS($P:$P, "&gt;" &amp; $P3493) + 1) / (COUNTA($I:$I) - 1)</f>
        <v>0.32619999999999999</v>
      </c>
      <c r="S3493" s="23">
        <f>SUMIFS($P:$P, $Q:$Q, "&lt;" &amp; $Q3493)</f>
        <v>176439819</v>
      </c>
    </row>
    <row r="3494" spans="1:19" x14ac:dyDescent="0.25">
      <c r="A3494" s="1">
        <v>3489</v>
      </c>
      <c r="B3494" s="1" t="s">
        <v>2</v>
      </c>
      <c r="C3494" s="1" t="str">
        <f>IF($B3494 = "Production Item", _xlfn.XLOOKUP($A3494, 'Instrument Table'!$J:$J, 'Instrument Table'!$B:$B, $C3493), IF($B3494 = "Service Item", _xlfn.XLOOKUP($A3494, 'Instrument Table'!$I:$I, 'Instrument Table'!$B:$B, $C3493), _xlfn.XLOOKUP($A3494, 'Instrument Table'!$H:$H, 'Instrument Table'!$B:$B, $C3493)))</f>
        <v>Synthesizer</v>
      </c>
      <c r="D3494" s="1" t="str">
        <f>VLOOKUP($C3494, 'Instrument Table'!$B:$C, 2, FALSE)</f>
        <v>Other</v>
      </c>
      <c r="E3494" s="1">
        <f t="shared" si="324"/>
        <v>1</v>
      </c>
      <c r="F3494" s="1">
        <f>_xlfn.XLOOKUP($C3494, 'Instrument Table'!$B:$B, 'Instrument Table'!$A:$A, "")</f>
        <v>61</v>
      </c>
      <c r="G3494" s="1" t="str">
        <f>TEXT(IF($B3494 = "Retail Item", IF((ROW($A3494) - 4504 - _xlfn.XMATCH($C3494, $C$4506:$C$5005, 0, 1)) &lt;= VLOOKUP($C3494, 'Instrument Table'!$B:$D, 3, FALSE), ROW($A3494) - 4504 - _xlfn.XMATCH($C3494, $C$4506:$C$5005, 0, 1), 0), 0), "00")</f>
        <v>00</v>
      </c>
      <c r="H3494" s="1" t="str">
        <f t="shared" si="325"/>
        <v>038</v>
      </c>
      <c r="I3494" s="1" t="str">
        <f t="shared" si="326"/>
        <v>16100-038</v>
      </c>
      <c r="J3494" s="1" t="str">
        <f t="shared" si="327"/>
        <v>Synthesizer production item #038</v>
      </c>
      <c r="K3494" s="1" t="str">
        <f>IF(SUM(COUNTIFS(I:I, I3494)) &gt; 1, "DUPLICATE", "UNIQUE")</f>
        <v>UNIQUE</v>
      </c>
      <c r="L3494" s="18">
        <v>0</v>
      </c>
      <c r="M3494" s="28">
        <v>45</v>
      </c>
      <c r="N3494" s="6">
        <v>144</v>
      </c>
      <c r="O3494" s="30">
        <f t="shared" si="328"/>
        <v>0</v>
      </c>
      <c r="P3494" s="30">
        <f t="shared" si="329"/>
        <v>6480</v>
      </c>
      <c r="Q3494" s="1">
        <f>COUNTIFS($P:$P, "&gt;" &amp; $P3494) + 1</f>
        <v>2209</v>
      </c>
      <c r="R3494" s="63">
        <f>(COUNTIFS($P:$P, "&gt;" &amp; $P3494) + 1) / (COUNTA($I:$I) - 1)</f>
        <v>0.44180000000000003</v>
      </c>
      <c r="S3494" s="23">
        <f>SUMIFS($P:$P, $Q:$Q, "&lt;" &amp; $Q3494)</f>
        <v>181510092</v>
      </c>
    </row>
    <row r="3495" spans="1:19" x14ac:dyDescent="0.25">
      <c r="A3495" s="1">
        <v>3490</v>
      </c>
      <c r="B3495" s="1" t="s">
        <v>2</v>
      </c>
      <c r="C3495" s="1" t="str">
        <f>IF($B3495 = "Production Item", _xlfn.XLOOKUP($A3495, 'Instrument Table'!$J:$J, 'Instrument Table'!$B:$B, $C3494), IF($B3495 = "Service Item", _xlfn.XLOOKUP($A3495, 'Instrument Table'!$I:$I, 'Instrument Table'!$B:$B, $C3494), _xlfn.XLOOKUP($A3495, 'Instrument Table'!$H:$H, 'Instrument Table'!$B:$B, $C3494)))</f>
        <v>Synthesizer</v>
      </c>
      <c r="D3495" s="1" t="str">
        <f>VLOOKUP($C3495, 'Instrument Table'!$B:$C, 2, FALSE)</f>
        <v>Other</v>
      </c>
      <c r="E3495" s="1">
        <f t="shared" si="324"/>
        <v>1</v>
      </c>
      <c r="F3495" s="1">
        <f>_xlfn.XLOOKUP($C3495, 'Instrument Table'!$B:$B, 'Instrument Table'!$A:$A, "")</f>
        <v>61</v>
      </c>
      <c r="G3495" s="1" t="str">
        <f>TEXT(IF($B3495 = "Retail Item", IF((ROW($A3495) - 4504 - _xlfn.XMATCH($C3495, $C$4506:$C$5005, 0, 1)) &lt;= VLOOKUP($C3495, 'Instrument Table'!$B:$D, 3, FALSE), ROW($A3495) - 4504 - _xlfn.XMATCH($C3495, $C$4506:$C$5005, 0, 1), 0), 0), "00")</f>
        <v>00</v>
      </c>
      <c r="H3495" s="1" t="str">
        <f t="shared" si="325"/>
        <v>039</v>
      </c>
      <c r="I3495" s="1" t="str">
        <f t="shared" si="326"/>
        <v>16100-039</v>
      </c>
      <c r="J3495" s="1" t="str">
        <f t="shared" si="327"/>
        <v>Synthesizer production item #039</v>
      </c>
      <c r="K3495" s="1" t="str">
        <f>IF(SUM(COUNTIFS(I:I, I3495)) &gt; 1, "DUPLICATE", "UNIQUE")</f>
        <v>UNIQUE</v>
      </c>
      <c r="L3495" s="18">
        <v>4</v>
      </c>
      <c r="M3495" s="28">
        <v>75</v>
      </c>
      <c r="N3495" s="6">
        <v>25</v>
      </c>
      <c r="O3495" s="30">
        <f t="shared" si="328"/>
        <v>300</v>
      </c>
      <c r="P3495" s="30">
        <f t="shared" si="329"/>
        <v>1875</v>
      </c>
      <c r="Q3495" s="1">
        <f>COUNTIFS($P:$P, "&gt;" &amp; $P3495) + 1</f>
        <v>3303</v>
      </c>
      <c r="R3495" s="63">
        <f>(COUNTIFS($P:$P, "&gt;" &amp; $P3495) + 1) / (COUNTA($I:$I) - 1)</f>
        <v>0.66059999999999997</v>
      </c>
      <c r="S3495" s="23">
        <f>SUMIFS($P:$P, $Q:$Q, "&lt;" &amp; $Q3495)</f>
        <v>185614755</v>
      </c>
    </row>
    <row r="3496" spans="1:19" x14ac:dyDescent="0.25">
      <c r="A3496" s="1">
        <v>3491</v>
      </c>
      <c r="B3496" s="1" t="s">
        <v>2</v>
      </c>
      <c r="C3496" s="1" t="str">
        <f>IF($B3496 = "Production Item", _xlfn.XLOOKUP($A3496, 'Instrument Table'!$J:$J, 'Instrument Table'!$B:$B, $C3495), IF($B3496 = "Service Item", _xlfn.XLOOKUP($A3496, 'Instrument Table'!$I:$I, 'Instrument Table'!$B:$B, $C3495), _xlfn.XLOOKUP($A3496, 'Instrument Table'!$H:$H, 'Instrument Table'!$B:$B, $C3495)))</f>
        <v>Synthesizer</v>
      </c>
      <c r="D3496" s="1" t="str">
        <f>VLOOKUP($C3496, 'Instrument Table'!$B:$C, 2, FALSE)</f>
        <v>Other</v>
      </c>
      <c r="E3496" s="1">
        <f t="shared" si="324"/>
        <v>1</v>
      </c>
      <c r="F3496" s="1">
        <f>_xlfn.XLOOKUP($C3496, 'Instrument Table'!$B:$B, 'Instrument Table'!$A:$A, "")</f>
        <v>61</v>
      </c>
      <c r="G3496" s="1" t="str">
        <f>TEXT(IF($B3496 = "Retail Item", IF((ROW($A3496) - 4504 - _xlfn.XMATCH($C3496, $C$4506:$C$5005, 0, 1)) &lt;= VLOOKUP($C3496, 'Instrument Table'!$B:$D, 3, FALSE), ROW($A3496) - 4504 - _xlfn.XMATCH($C3496, $C$4506:$C$5005, 0, 1), 0), 0), "00")</f>
        <v>00</v>
      </c>
      <c r="H3496" s="1" t="str">
        <f t="shared" si="325"/>
        <v>040</v>
      </c>
      <c r="I3496" s="1" t="str">
        <f t="shared" si="326"/>
        <v>16100-040</v>
      </c>
      <c r="J3496" s="1" t="str">
        <f t="shared" si="327"/>
        <v>Synthesizer production item #040</v>
      </c>
      <c r="K3496" s="1" t="str">
        <f>IF(SUM(COUNTIFS(I:I, I3496)) &gt; 1, "DUPLICATE", "UNIQUE")</f>
        <v>UNIQUE</v>
      </c>
      <c r="L3496" s="18">
        <v>1</v>
      </c>
      <c r="M3496" s="28">
        <v>61</v>
      </c>
      <c r="N3496" s="6">
        <v>225</v>
      </c>
      <c r="O3496" s="30">
        <f t="shared" si="328"/>
        <v>61</v>
      </c>
      <c r="P3496" s="30">
        <f t="shared" si="329"/>
        <v>13725</v>
      </c>
      <c r="Q3496" s="1">
        <f>COUNTIFS($P:$P, "&gt;" &amp; $P3496) + 1</f>
        <v>1438</v>
      </c>
      <c r="R3496" s="63">
        <f>(COUNTIFS($P:$P, "&gt;" &amp; $P3496) + 1) / (COUNTA($I:$I) - 1)</f>
        <v>0.28760000000000002</v>
      </c>
      <c r="S3496" s="23">
        <f>SUMIFS($P:$P, $Q:$Q, "&lt;" &amp; $Q3496)</f>
        <v>174008884</v>
      </c>
    </row>
    <row r="3497" spans="1:19" x14ac:dyDescent="0.25">
      <c r="A3497" s="1">
        <v>3492</v>
      </c>
      <c r="B3497" s="1" t="s">
        <v>2</v>
      </c>
      <c r="C3497" s="1" t="str">
        <f>IF($B3497 = "Production Item", _xlfn.XLOOKUP($A3497, 'Instrument Table'!$J:$J, 'Instrument Table'!$B:$B, $C3496), IF($B3497 = "Service Item", _xlfn.XLOOKUP($A3497, 'Instrument Table'!$I:$I, 'Instrument Table'!$B:$B, $C3496), _xlfn.XLOOKUP($A3497, 'Instrument Table'!$H:$H, 'Instrument Table'!$B:$B, $C3496)))</f>
        <v>Synthesizer</v>
      </c>
      <c r="D3497" s="1" t="str">
        <f>VLOOKUP($C3497, 'Instrument Table'!$B:$C, 2, FALSE)</f>
        <v>Other</v>
      </c>
      <c r="E3497" s="1">
        <f t="shared" si="324"/>
        <v>1</v>
      </c>
      <c r="F3497" s="1">
        <f>_xlfn.XLOOKUP($C3497, 'Instrument Table'!$B:$B, 'Instrument Table'!$A:$A, "")</f>
        <v>61</v>
      </c>
      <c r="G3497" s="1" t="str">
        <f>TEXT(IF($B3497 = "Retail Item", IF((ROW($A3497) - 4504 - _xlfn.XMATCH($C3497, $C$4506:$C$5005, 0, 1)) &lt;= VLOOKUP($C3497, 'Instrument Table'!$B:$D, 3, FALSE), ROW($A3497) - 4504 - _xlfn.XMATCH($C3497, $C$4506:$C$5005, 0, 1), 0), 0), "00")</f>
        <v>00</v>
      </c>
      <c r="H3497" s="1" t="str">
        <f t="shared" si="325"/>
        <v>041</v>
      </c>
      <c r="I3497" s="1" t="str">
        <f t="shared" si="326"/>
        <v>16100-041</v>
      </c>
      <c r="J3497" s="1" t="str">
        <f t="shared" si="327"/>
        <v>Synthesizer production item #041</v>
      </c>
      <c r="K3497" s="1" t="str">
        <f>IF(SUM(COUNTIFS(I:I, I3497)) &gt; 1, "DUPLICATE", "UNIQUE")</f>
        <v>UNIQUE</v>
      </c>
      <c r="L3497" s="18">
        <v>32</v>
      </c>
      <c r="M3497" s="28">
        <v>66</v>
      </c>
      <c r="N3497" s="6">
        <v>1</v>
      </c>
      <c r="O3497" s="30">
        <f t="shared" si="328"/>
        <v>2112</v>
      </c>
      <c r="P3497" s="30">
        <f t="shared" si="329"/>
        <v>66</v>
      </c>
      <c r="Q3497" s="1">
        <f>COUNTIFS($P:$P, "&gt;" &amp; $P3497) + 1</f>
        <v>4547</v>
      </c>
      <c r="R3497" s="63">
        <f>(COUNTIFS($P:$P, "&gt;" &amp; $P3497) + 1) / (COUNTA($I:$I) - 1)</f>
        <v>0.90939999999999999</v>
      </c>
      <c r="S3497" s="23">
        <f>SUMIFS($P:$P, $Q:$Q, "&lt;" &amp; $Q3497)</f>
        <v>186540456</v>
      </c>
    </row>
    <row r="3498" spans="1:19" x14ac:dyDescent="0.25">
      <c r="A3498" s="1">
        <v>3493</v>
      </c>
      <c r="B3498" s="1" t="s">
        <v>2</v>
      </c>
      <c r="C3498" s="1" t="str">
        <f>IF($B3498 = "Production Item", _xlfn.XLOOKUP($A3498, 'Instrument Table'!$J:$J, 'Instrument Table'!$B:$B, $C3497), IF($B3498 = "Service Item", _xlfn.XLOOKUP($A3498, 'Instrument Table'!$I:$I, 'Instrument Table'!$B:$B, $C3497), _xlfn.XLOOKUP($A3498, 'Instrument Table'!$H:$H, 'Instrument Table'!$B:$B, $C3497)))</f>
        <v>Synthesizer</v>
      </c>
      <c r="D3498" s="1" t="str">
        <f>VLOOKUP($C3498, 'Instrument Table'!$B:$C, 2, FALSE)</f>
        <v>Other</v>
      </c>
      <c r="E3498" s="1">
        <f t="shared" si="324"/>
        <v>1</v>
      </c>
      <c r="F3498" s="1">
        <f>_xlfn.XLOOKUP($C3498, 'Instrument Table'!$B:$B, 'Instrument Table'!$A:$A, "")</f>
        <v>61</v>
      </c>
      <c r="G3498" s="1" t="str">
        <f>TEXT(IF($B3498 = "Retail Item", IF((ROW($A3498) - 4504 - _xlfn.XMATCH($C3498, $C$4506:$C$5005, 0, 1)) &lt;= VLOOKUP($C3498, 'Instrument Table'!$B:$D, 3, FALSE), ROW($A3498) - 4504 - _xlfn.XMATCH($C3498, $C$4506:$C$5005, 0, 1), 0), 0), "00")</f>
        <v>00</v>
      </c>
      <c r="H3498" s="1" t="str">
        <f t="shared" si="325"/>
        <v>042</v>
      </c>
      <c r="I3498" s="1" t="str">
        <f t="shared" si="326"/>
        <v>16100-042</v>
      </c>
      <c r="J3498" s="1" t="str">
        <f t="shared" si="327"/>
        <v>Synthesizer production item #042</v>
      </c>
      <c r="K3498" s="1" t="str">
        <f>IF(SUM(COUNTIFS(I:I, I3498)) &gt; 1, "DUPLICATE", "UNIQUE")</f>
        <v>UNIQUE</v>
      </c>
      <c r="L3498" s="18">
        <v>0</v>
      </c>
      <c r="M3498" s="28">
        <v>77</v>
      </c>
      <c r="N3498" s="6">
        <v>225</v>
      </c>
      <c r="O3498" s="30">
        <f t="shared" si="328"/>
        <v>0</v>
      </c>
      <c r="P3498" s="30">
        <f t="shared" si="329"/>
        <v>17325</v>
      </c>
      <c r="Q3498" s="1">
        <f>COUNTIFS($P:$P, "&gt;" &amp; $P3498) + 1</f>
        <v>1200</v>
      </c>
      <c r="R3498" s="63">
        <f>(COUNTIFS($P:$P, "&gt;" &amp; $P3498) + 1) / (COUNTA($I:$I) - 1)</f>
        <v>0.24</v>
      </c>
      <c r="S3498" s="23">
        <f>SUMIFS($P:$P, $Q:$Q, "&lt;" &amp; $Q3498)</f>
        <v>170326211</v>
      </c>
    </row>
    <row r="3499" spans="1:19" x14ac:dyDescent="0.25">
      <c r="A3499" s="1">
        <v>3494</v>
      </c>
      <c r="B3499" s="1" t="s">
        <v>2</v>
      </c>
      <c r="C3499" s="1" t="str">
        <f>IF($B3499 = "Production Item", _xlfn.XLOOKUP($A3499, 'Instrument Table'!$J:$J, 'Instrument Table'!$B:$B, $C3498), IF($B3499 = "Service Item", _xlfn.XLOOKUP($A3499, 'Instrument Table'!$I:$I, 'Instrument Table'!$B:$B, $C3498), _xlfn.XLOOKUP($A3499, 'Instrument Table'!$H:$H, 'Instrument Table'!$B:$B, $C3498)))</f>
        <v>Synthesizer</v>
      </c>
      <c r="D3499" s="1" t="str">
        <f>VLOOKUP($C3499, 'Instrument Table'!$B:$C, 2, FALSE)</f>
        <v>Other</v>
      </c>
      <c r="E3499" s="1">
        <f t="shared" si="324"/>
        <v>1</v>
      </c>
      <c r="F3499" s="1">
        <f>_xlfn.XLOOKUP($C3499, 'Instrument Table'!$B:$B, 'Instrument Table'!$A:$A, "")</f>
        <v>61</v>
      </c>
      <c r="G3499" s="1" t="str">
        <f>TEXT(IF($B3499 = "Retail Item", IF((ROW($A3499) - 4504 - _xlfn.XMATCH($C3499, $C$4506:$C$5005, 0, 1)) &lt;= VLOOKUP($C3499, 'Instrument Table'!$B:$D, 3, FALSE), ROW($A3499) - 4504 - _xlfn.XMATCH($C3499, $C$4506:$C$5005, 0, 1), 0), 0), "00")</f>
        <v>00</v>
      </c>
      <c r="H3499" s="1" t="str">
        <f t="shared" si="325"/>
        <v>043</v>
      </c>
      <c r="I3499" s="1" t="str">
        <f t="shared" si="326"/>
        <v>16100-043</v>
      </c>
      <c r="J3499" s="1" t="str">
        <f t="shared" si="327"/>
        <v>Synthesizer production item #043</v>
      </c>
      <c r="K3499" s="1" t="str">
        <f>IF(SUM(COUNTIFS(I:I, I3499)) &gt; 1, "DUPLICATE", "UNIQUE")</f>
        <v>UNIQUE</v>
      </c>
      <c r="L3499" s="18">
        <v>0</v>
      </c>
      <c r="M3499" s="28">
        <v>70</v>
      </c>
      <c r="N3499" s="6">
        <v>81</v>
      </c>
      <c r="O3499" s="30">
        <f t="shared" si="328"/>
        <v>0</v>
      </c>
      <c r="P3499" s="30">
        <f t="shared" si="329"/>
        <v>5670</v>
      </c>
      <c r="Q3499" s="1">
        <f>COUNTIFS($P:$P, "&gt;" &amp; $P3499) + 1</f>
        <v>2325</v>
      </c>
      <c r="R3499" s="63">
        <f>(COUNTIFS($P:$P, "&gt;" &amp; $P3499) + 1) / (COUNTA($I:$I) - 1)</f>
        <v>0.46500000000000002</v>
      </c>
      <c r="S3499" s="23">
        <f>SUMIFS($P:$P, $Q:$Q, "&lt;" &amp; $Q3499)</f>
        <v>182207708</v>
      </c>
    </row>
    <row r="3500" spans="1:19" x14ac:dyDescent="0.25">
      <c r="A3500" s="1">
        <v>3495</v>
      </c>
      <c r="B3500" s="1" t="s">
        <v>2</v>
      </c>
      <c r="C3500" s="1" t="str">
        <f>IF($B3500 = "Production Item", _xlfn.XLOOKUP($A3500, 'Instrument Table'!$J:$J, 'Instrument Table'!$B:$B, $C3499), IF($B3500 = "Service Item", _xlfn.XLOOKUP($A3500, 'Instrument Table'!$I:$I, 'Instrument Table'!$B:$B, $C3499), _xlfn.XLOOKUP($A3500, 'Instrument Table'!$H:$H, 'Instrument Table'!$B:$B, $C3499)))</f>
        <v>Synthesizer</v>
      </c>
      <c r="D3500" s="1" t="str">
        <f>VLOOKUP($C3500, 'Instrument Table'!$B:$C, 2, FALSE)</f>
        <v>Other</v>
      </c>
      <c r="E3500" s="1">
        <f t="shared" si="324"/>
        <v>1</v>
      </c>
      <c r="F3500" s="1">
        <f>_xlfn.XLOOKUP($C3500, 'Instrument Table'!$B:$B, 'Instrument Table'!$A:$A, "")</f>
        <v>61</v>
      </c>
      <c r="G3500" s="1" t="str">
        <f>TEXT(IF($B3500 = "Retail Item", IF((ROW($A3500) - 4504 - _xlfn.XMATCH($C3500, $C$4506:$C$5005, 0, 1)) &lt;= VLOOKUP($C3500, 'Instrument Table'!$B:$D, 3, FALSE), ROW($A3500) - 4504 - _xlfn.XMATCH($C3500, $C$4506:$C$5005, 0, 1), 0), 0), "00")</f>
        <v>00</v>
      </c>
      <c r="H3500" s="1" t="str">
        <f t="shared" si="325"/>
        <v>044</v>
      </c>
      <c r="I3500" s="1" t="str">
        <f t="shared" si="326"/>
        <v>16100-044</v>
      </c>
      <c r="J3500" s="1" t="str">
        <f t="shared" si="327"/>
        <v>Synthesizer production item #044</v>
      </c>
      <c r="K3500" s="1" t="str">
        <f>IF(SUM(COUNTIFS(I:I, I3500)) &gt; 1, "DUPLICATE", "UNIQUE")</f>
        <v>UNIQUE</v>
      </c>
      <c r="L3500" s="18">
        <v>4</v>
      </c>
      <c r="M3500" s="28">
        <v>13</v>
      </c>
      <c r="N3500" s="6">
        <v>0</v>
      </c>
      <c r="O3500" s="30">
        <f t="shared" si="328"/>
        <v>52</v>
      </c>
      <c r="P3500" s="30">
        <f t="shared" si="329"/>
        <v>0</v>
      </c>
      <c r="Q3500" s="1">
        <f>COUNTIFS($P:$P, "&gt;" &amp; $P3500) + 1</f>
        <v>4746</v>
      </c>
      <c r="R3500" s="63">
        <f>(COUNTIFS($P:$P, "&gt;" &amp; $P3500) + 1) / (COUNTA($I:$I) - 1)</f>
        <v>0.94920000000000004</v>
      </c>
      <c r="S3500" s="23">
        <f>SUMIFS($P:$P, $Q:$Q, "&lt;" &amp; $Q3500)</f>
        <v>186547861</v>
      </c>
    </row>
    <row r="3501" spans="1:19" x14ac:dyDescent="0.25">
      <c r="A3501" s="1">
        <v>3496</v>
      </c>
      <c r="B3501" s="1" t="s">
        <v>2</v>
      </c>
      <c r="C3501" s="1" t="str">
        <f>IF($B3501 = "Production Item", _xlfn.XLOOKUP($A3501, 'Instrument Table'!$J:$J, 'Instrument Table'!$B:$B, $C3500), IF($B3501 = "Service Item", _xlfn.XLOOKUP($A3501, 'Instrument Table'!$I:$I, 'Instrument Table'!$B:$B, $C3500), _xlfn.XLOOKUP($A3501, 'Instrument Table'!$H:$H, 'Instrument Table'!$B:$B, $C3500)))</f>
        <v>Synthesizer</v>
      </c>
      <c r="D3501" s="1" t="str">
        <f>VLOOKUP($C3501, 'Instrument Table'!$B:$C, 2, FALSE)</f>
        <v>Other</v>
      </c>
      <c r="E3501" s="1">
        <f t="shared" si="324"/>
        <v>1</v>
      </c>
      <c r="F3501" s="1">
        <f>_xlfn.XLOOKUP($C3501, 'Instrument Table'!$B:$B, 'Instrument Table'!$A:$A, "")</f>
        <v>61</v>
      </c>
      <c r="G3501" s="1" t="str">
        <f>TEXT(IF($B3501 = "Retail Item", IF((ROW($A3501) - 4504 - _xlfn.XMATCH($C3501, $C$4506:$C$5005, 0, 1)) &lt;= VLOOKUP($C3501, 'Instrument Table'!$B:$D, 3, FALSE), ROW($A3501) - 4504 - _xlfn.XMATCH($C3501, $C$4506:$C$5005, 0, 1), 0), 0), "00")</f>
        <v>00</v>
      </c>
      <c r="H3501" s="1" t="str">
        <f t="shared" si="325"/>
        <v>045</v>
      </c>
      <c r="I3501" s="1" t="str">
        <f t="shared" si="326"/>
        <v>16100-045</v>
      </c>
      <c r="J3501" s="1" t="str">
        <f t="shared" si="327"/>
        <v>Synthesizer production item #045</v>
      </c>
      <c r="K3501" s="1" t="str">
        <f>IF(SUM(COUNTIFS(I:I, I3501)) &gt; 1, "DUPLICATE", "UNIQUE")</f>
        <v>UNIQUE</v>
      </c>
      <c r="L3501" s="18">
        <v>8</v>
      </c>
      <c r="M3501" s="28">
        <v>3</v>
      </c>
      <c r="N3501" s="6">
        <v>256</v>
      </c>
      <c r="O3501" s="30">
        <f t="shared" si="328"/>
        <v>24</v>
      </c>
      <c r="P3501" s="30">
        <f t="shared" si="329"/>
        <v>768</v>
      </c>
      <c r="Q3501" s="1">
        <f>COUNTIFS($P:$P, "&gt;" &amp; $P3501) + 1</f>
        <v>3810</v>
      </c>
      <c r="R3501" s="63">
        <f>(COUNTIFS($P:$P, "&gt;" &amp; $P3501) + 1) / (COUNTA($I:$I) - 1)</f>
        <v>0.76200000000000001</v>
      </c>
      <c r="S3501" s="23">
        <f>SUMIFS($P:$P, $Q:$Q, "&lt;" &amp; $Q3501)</f>
        <v>186273454</v>
      </c>
    </row>
    <row r="3502" spans="1:19" x14ac:dyDescent="0.25">
      <c r="A3502" s="1">
        <v>3497</v>
      </c>
      <c r="B3502" s="1" t="s">
        <v>2</v>
      </c>
      <c r="C3502" s="1" t="str">
        <f>IF($B3502 = "Production Item", _xlfn.XLOOKUP($A3502, 'Instrument Table'!$J:$J, 'Instrument Table'!$B:$B, $C3501), IF($B3502 = "Service Item", _xlfn.XLOOKUP($A3502, 'Instrument Table'!$I:$I, 'Instrument Table'!$B:$B, $C3501), _xlfn.XLOOKUP($A3502, 'Instrument Table'!$H:$H, 'Instrument Table'!$B:$B, $C3501)))</f>
        <v>Synthesizer</v>
      </c>
      <c r="D3502" s="1" t="str">
        <f>VLOOKUP($C3502, 'Instrument Table'!$B:$C, 2, FALSE)</f>
        <v>Other</v>
      </c>
      <c r="E3502" s="1">
        <f t="shared" si="324"/>
        <v>1</v>
      </c>
      <c r="F3502" s="1">
        <f>_xlfn.XLOOKUP($C3502, 'Instrument Table'!$B:$B, 'Instrument Table'!$A:$A, "")</f>
        <v>61</v>
      </c>
      <c r="G3502" s="1" t="str">
        <f>TEXT(IF($B3502 = "Retail Item", IF((ROW($A3502) - 4504 - _xlfn.XMATCH($C3502, $C$4506:$C$5005, 0, 1)) &lt;= VLOOKUP($C3502, 'Instrument Table'!$B:$D, 3, FALSE), ROW($A3502) - 4504 - _xlfn.XMATCH($C3502, $C$4506:$C$5005, 0, 1), 0), 0), "00")</f>
        <v>00</v>
      </c>
      <c r="H3502" s="1" t="str">
        <f t="shared" si="325"/>
        <v>046</v>
      </c>
      <c r="I3502" s="1" t="str">
        <f t="shared" si="326"/>
        <v>16100-046</v>
      </c>
      <c r="J3502" s="1" t="str">
        <f t="shared" si="327"/>
        <v>Synthesizer production item #046</v>
      </c>
      <c r="K3502" s="1" t="str">
        <f>IF(SUM(COUNTIFS(I:I, I3502)) &gt; 1, "DUPLICATE", "UNIQUE")</f>
        <v>UNIQUE</v>
      </c>
      <c r="L3502" s="18">
        <v>32</v>
      </c>
      <c r="M3502" s="28">
        <v>35</v>
      </c>
      <c r="N3502" s="6">
        <v>9</v>
      </c>
      <c r="O3502" s="30">
        <f t="shared" si="328"/>
        <v>1120</v>
      </c>
      <c r="P3502" s="30">
        <f t="shared" si="329"/>
        <v>315</v>
      </c>
      <c r="Q3502" s="1">
        <f>COUNTIFS($P:$P, "&gt;" &amp; $P3502) + 1</f>
        <v>4202</v>
      </c>
      <c r="R3502" s="63">
        <f>(COUNTIFS($P:$P, "&gt;" &amp; $P3502) + 1) / (COUNTA($I:$I) - 1)</f>
        <v>0.84040000000000004</v>
      </c>
      <c r="S3502" s="23">
        <f>SUMIFS($P:$P, $Q:$Q, "&lt;" &amp; $Q3502)</f>
        <v>186481026</v>
      </c>
    </row>
    <row r="3503" spans="1:19" x14ac:dyDescent="0.25">
      <c r="A3503" s="1">
        <v>3498</v>
      </c>
      <c r="B3503" s="1" t="s">
        <v>2</v>
      </c>
      <c r="C3503" s="1" t="str">
        <f>IF($B3503 = "Production Item", _xlfn.XLOOKUP($A3503, 'Instrument Table'!$J:$J, 'Instrument Table'!$B:$B, $C3502), IF($B3503 = "Service Item", _xlfn.XLOOKUP($A3503, 'Instrument Table'!$I:$I, 'Instrument Table'!$B:$B, $C3502), _xlfn.XLOOKUP($A3503, 'Instrument Table'!$H:$H, 'Instrument Table'!$B:$B, $C3502)))</f>
        <v>Synthesizer</v>
      </c>
      <c r="D3503" s="1" t="str">
        <f>VLOOKUP($C3503, 'Instrument Table'!$B:$C, 2, FALSE)</f>
        <v>Other</v>
      </c>
      <c r="E3503" s="1">
        <f t="shared" si="324"/>
        <v>1</v>
      </c>
      <c r="F3503" s="1">
        <f>_xlfn.XLOOKUP($C3503, 'Instrument Table'!$B:$B, 'Instrument Table'!$A:$A, "")</f>
        <v>61</v>
      </c>
      <c r="G3503" s="1" t="str">
        <f>TEXT(IF($B3503 = "Retail Item", IF((ROW($A3503) - 4504 - _xlfn.XMATCH($C3503, $C$4506:$C$5005, 0, 1)) &lt;= VLOOKUP($C3503, 'Instrument Table'!$B:$D, 3, FALSE), ROW($A3503) - 4504 - _xlfn.XMATCH($C3503, $C$4506:$C$5005, 0, 1), 0), 0), "00")</f>
        <v>00</v>
      </c>
      <c r="H3503" s="1" t="str">
        <f t="shared" si="325"/>
        <v>047</v>
      </c>
      <c r="I3503" s="1" t="str">
        <f t="shared" si="326"/>
        <v>16100-047</v>
      </c>
      <c r="J3503" s="1" t="str">
        <f t="shared" si="327"/>
        <v>Synthesizer production item #047</v>
      </c>
      <c r="K3503" s="1" t="str">
        <f>IF(SUM(COUNTIFS(I:I, I3503)) &gt; 1, "DUPLICATE", "UNIQUE")</f>
        <v>UNIQUE</v>
      </c>
      <c r="L3503" s="18">
        <v>0</v>
      </c>
      <c r="M3503" s="28">
        <v>30</v>
      </c>
      <c r="N3503" s="6">
        <v>49</v>
      </c>
      <c r="O3503" s="30">
        <f t="shared" si="328"/>
        <v>0</v>
      </c>
      <c r="P3503" s="30">
        <f t="shared" si="329"/>
        <v>1470</v>
      </c>
      <c r="Q3503" s="1">
        <f>COUNTIFS($P:$P, "&gt;" &amp; $P3503) + 1</f>
        <v>3473</v>
      </c>
      <c r="R3503" s="63">
        <f>(COUNTIFS($P:$P, "&gt;" &amp; $P3503) + 1) / (COUNTA($I:$I) - 1)</f>
        <v>0.6946</v>
      </c>
      <c r="S3503" s="23">
        <f>SUMIFS($P:$P, $Q:$Q, "&lt;" &amp; $Q3503)</f>
        <v>185898270</v>
      </c>
    </row>
    <row r="3504" spans="1:19" x14ac:dyDescent="0.25">
      <c r="A3504" s="1">
        <v>3499</v>
      </c>
      <c r="B3504" s="1" t="s">
        <v>2</v>
      </c>
      <c r="C3504" s="1" t="str">
        <f>IF($B3504 = "Production Item", _xlfn.XLOOKUP($A3504, 'Instrument Table'!$J:$J, 'Instrument Table'!$B:$B, $C3503), IF($B3504 = "Service Item", _xlfn.XLOOKUP($A3504, 'Instrument Table'!$I:$I, 'Instrument Table'!$B:$B, $C3503), _xlfn.XLOOKUP($A3504, 'Instrument Table'!$H:$H, 'Instrument Table'!$B:$B, $C3503)))</f>
        <v>Synthesizer</v>
      </c>
      <c r="D3504" s="1" t="str">
        <f>VLOOKUP($C3504, 'Instrument Table'!$B:$C, 2, FALSE)</f>
        <v>Other</v>
      </c>
      <c r="E3504" s="1">
        <f t="shared" si="324"/>
        <v>1</v>
      </c>
      <c r="F3504" s="1">
        <f>_xlfn.XLOOKUP($C3504, 'Instrument Table'!$B:$B, 'Instrument Table'!$A:$A, "")</f>
        <v>61</v>
      </c>
      <c r="G3504" s="1" t="str">
        <f>TEXT(IF($B3504 = "Retail Item", IF((ROW($A3504) - 4504 - _xlfn.XMATCH($C3504, $C$4506:$C$5005, 0, 1)) &lt;= VLOOKUP($C3504, 'Instrument Table'!$B:$D, 3, FALSE), ROW($A3504) - 4504 - _xlfn.XMATCH($C3504, $C$4506:$C$5005, 0, 1), 0), 0), "00")</f>
        <v>00</v>
      </c>
      <c r="H3504" s="1" t="str">
        <f t="shared" si="325"/>
        <v>048</v>
      </c>
      <c r="I3504" s="1" t="str">
        <f t="shared" si="326"/>
        <v>16100-048</v>
      </c>
      <c r="J3504" s="1" t="str">
        <f t="shared" si="327"/>
        <v>Synthesizer production item #048</v>
      </c>
      <c r="K3504" s="1" t="str">
        <f>IF(SUM(COUNTIFS(I:I, I3504)) &gt; 1, "DUPLICATE", "UNIQUE")</f>
        <v>UNIQUE</v>
      </c>
      <c r="L3504" s="18">
        <v>4</v>
      </c>
      <c r="M3504" s="28">
        <v>99</v>
      </c>
      <c r="N3504" s="6">
        <v>169</v>
      </c>
      <c r="O3504" s="30">
        <f t="shared" si="328"/>
        <v>396</v>
      </c>
      <c r="P3504" s="30">
        <f t="shared" si="329"/>
        <v>16731</v>
      </c>
      <c r="Q3504" s="1">
        <f>COUNTIFS($P:$P, "&gt;" &amp; $P3504) + 1</f>
        <v>1233</v>
      </c>
      <c r="R3504" s="63">
        <f>(COUNTIFS($P:$P, "&gt;" &amp; $P3504) + 1) / (COUNTA($I:$I) - 1)</f>
        <v>0.24660000000000001</v>
      </c>
      <c r="S3504" s="23">
        <f>SUMIFS($P:$P, $Q:$Q, "&lt;" &amp; $Q3504)</f>
        <v>170887229</v>
      </c>
    </row>
    <row r="3505" spans="1:19" x14ac:dyDescent="0.25">
      <c r="A3505" s="1">
        <v>3500</v>
      </c>
      <c r="B3505" s="1" t="s">
        <v>2</v>
      </c>
      <c r="C3505" s="1" t="str">
        <f>IF($B3505 = "Production Item", _xlfn.XLOOKUP($A3505, 'Instrument Table'!$J:$J, 'Instrument Table'!$B:$B, $C3504), IF($B3505 = "Service Item", _xlfn.XLOOKUP($A3505, 'Instrument Table'!$I:$I, 'Instrument Table'!$B:$B, $C3504), _xlfn.XLOOKUP($A3505, 'Instrument Table'!$H:$H, 'Instrument Table'!$B:$B, $C3504)))</f>
        <v>Synthesizer</v>
      </c>
      <c r="D3505" s="1" t="str">
        <f>VLOOKUP($C3505, 'Instrument Table'!$B:$C, 2, FALSE)</f>
        <v>Other</v>
      </c>
      <c r="E3505" s="1">
        <f t="shared" si="324"/>
        <v>1</v>
      </c>
      <c r="F3505" s="1">
        <f>_xlfn.XLOOKUP($C3505, 'Instrument Table'!$B:$B, 'Instrument Table'!$A:$A, "")</f>
        <v>61</v>
      </c>
      <c r="G3505" s="1" t="str">
        <f>TEXT(IF($B3505 = "Retail Item", IF((ROW($A3505) - 4504 - _xlfn.XMATCH($C3505, $C$4506:$C$5005, 0, 1)) &lt;= VLOOKUP($C3505, 'Instrument Table'!$B:$D, 3, FALSE), ROW($A3505) - 4504 - _xlfn.XMATCH($C3505, $C$4506:$C$5005, 0, 1), 0), 0), "00")</f>
        <v>00</v>
      </c>
      <c r="H3505" s="1" t="str">
        <f t="shared" si="325"/>
        <v>049</v>
      </c>
      <c r="I3505" s="1" t="str">
        <f t="shared" si="326"/>
        <v>16100-049</v>
      </c>
      <c r="J3505" s="1" t="str">
        <f t="shared" si="327"/>
        <v>Synthesizer production item #049</v>
      </c>
      <c r="K3505" s="1" t="str">
        <f>IF(SUM(COUNTIFS(I:I, I3505)) &gt; 1, "DUPLICATE", "UNIQUE")</f>
        <v>UNIQUE</v>
      </c>
      <c r="L3505" s="18">
        <v>0</v>
      </c>
      <c r="M3505" s="28">
        <v>7</v>
      </c>
      <c r="N3505" s="6">
        <v>1</v>
      </c>
      <c r="O3505" s="30">
        <f t="shared" si="328"/>
        <v>0</v>
      </c>
      <c r="P3505" s="30">
        <f t="shared" si="329"/>
        <v>7</v>
      </c>
      <c r="Q3505" s="1">
        <f>COUNTIFS($P:$P, "&gt;" &amp; $P3505) + 1</f>
        <v>4733</v>
      </c>
      <c r="R3505" s="63">
        <f>(COUNTIFS($P:$P, "&gt;" &amp; $P3505) + 1) / (COUNTA($I:$I) - 1)</f>
        <v>0.9466</v>
      </c>
      <c r="S3505" s="23">
        <f>SUMIFS($P:$P, $Q:$Q, "&lt;" &amp; $Q3505)</f>
        <v>186547809</v>
      </c>
    </row>
    <row r="3506" spans="1:19" x14ac:dyDescent="0.25">
      <c r="A3506" s="1">
        <v>3501</v>
      </c>
      <c r="B3506" s="1" t="s">
        <v>2</v>
      </c>
      <c r="C3506" s="1" t="str">
        <f>IF($B3506 = "Production Item", _xlfn.XLOOKUP($A3506, 'Instrument Table'!$J:$J, 'Instrument Table'!$B:$B, $C3505), IF($B3506 = "Service Item", _xlfn.XLOOKUP($A3506, 'Instrument Table'!$I:$I, 'Instrument Table'!$B:$B, $C3505), _xlfn.XLOOKUP($A3506, 'Instrument Table'!$H:$H, 'Instrument Table'!$B:$B, $C3505)))</f>
        <v>Synthesizer</v>
      </c>
      <c r="D3506" s="1" t="str">
        <f>VLOOKUP($C3506, 'Instrument Table'!$B:$C, 2, FALSE)</f>
        <v>Other</v>
      </c>
      <c r="E3506" s="1">
        <f t="shared" si="324"/>
        <v>1</v>
      </c>
      <c r="F3506" s="1">
        <f>_xlfn.XLOOKUP($C3506, 'Instrument Table'!$B:$B, 'Instrument Table'!$A:$A, "")</f>
        <v>61</v>
      </c>
      <c r="G3506" s="1" t="str">
        <f>TEXT(IF($B3506 = "Retail Item", IF((ROW($A3506) - 4504 - _xlfn.XMATCH($C3506, $C$4506:$C$5005, 0, 1)) &lt;= VLOOKUP($C3506, 'Instrument Table'!$B:$D, 3, FALSE), ROW($A3506) - 4504 - _xlfn.XMATCH($C3506, $C$4506:$C$5005, 0, 1), 0), 0), "00")</f>
        <v>00</v>
      </c>
      <c r="H3506" s="1" t="str">
        <f t="shared" si="325"/>
        <v>050</v>
      </c>
      <c r="I3506" s="1" t="str">
        <f t="shared" si="326"/>
        <v>16100-050</v>
      </c>
      <c r="J3506" s="1" t="str">
        <f t="shared" si="327"/>
        <v>Synthesizer production item #050</v>
      </c>
      <c r="K3506" s="1" t="str">
        <f>IF(SUM(COUNTIFS(I:I, I3506)) &gt; 1, "DUPLICATE", "UNIQUE")</f>
        <v>UNIQUE</v>
      </c>
      <c r="L3506" s="18">
        <v>1</v>
      </c>
      <c r="M3506" s="28">
        <v>96</v>
      </c>
      <c r="N3506" s="6">
        <v>144</v>
      </c>
      <c r="O3506" s="30">
        <f t="shared" si="328"/>
        <v>96</v>
      </c>
      <c r="P3506" s="30">
        <f t="shared" si="329"/>
        <v>13824</v>
      </c>
      <c r="Q3506" s="1">
        <f>COUNTIFS($P:$P, "&gt;" &amp; $P3506) + 1</f>
        <v>1432</v>
      </c>
      <c r="R3506" s="63">
        <f>(COUNTIFS($P:$P, "&gt;" &amp; $P3506) + 1) / (COUNTA($I:$I) - 1)</f>
        <v>0.28639999999999999</v>
      </c>
      <c r="S3506" s="23">
        <f>SUMIFS($P:$P, $Q:$Q, "&lt;" &amp; $Q3506)</f>
        <v>173925940</v>
      </c>
    </row>
    <row r="3507" spans="1:19" x14ac:dyDescent="0.25">
      <c r="A3507" s="1">
        <v>3502</v>
      </c>
      <c r="B3507" s="1" t="s">
        <v>2</v>
      </c>
      <c r="C3507" s="1" t="str">
        <f>IF($B3507 = "Production Item", _xlfn.XLOOKUP($A3507, 'Instrument Table'!$J:$J, 'Instrument Table'!$B:$B, $C3506), IF($B3507 = "Service Item", _xlfn.XLOOKUP($A3507, 'Instrument Table'!$I:$I, 'Instrument Table'!$B:$B, $C3506), _xlfn.XLOOKUP($A3507, 'Instrument Table'!$H:$H, 'Instrument Table'!$B:$B, $C3506)))</f>
        <v>Synthesizer</v>
      </c>
      <c r="D3507" s="1" t="str">
        <f>VLOOKUP($C3507, 'Instrument Table'!$B:$C, 2, FALSE)</f>
        <v>Other</v>
      </c>
      <c r="E3507" s="1">
        <f t="shared" si="324"/>
        <v>1</v>
      </c>
      <c r="F3507" s="1">
        <f>_xlfn.XLOOKUP($C3507, 'Instrument Table'!$B:$B, 'Instrument Table'!$A:$A, "")</f>
        <v>61</v>
      </c>
      <c r="G3507" s="1" t="str">
        <f>TEXT(IF($B3507 = "Retail Item", IF((ROW($A3507) - 4504 - _xlfn.XMATCH($C3507, $C$4506:$C$5005, 0, 1)) &lt;= VLOOKUP($C3507, 'Instrument Table'!$B:$D, 3, FALSE), ROW($A3507) - 4504 - _xlfn.XMATCH($C3507, $C$4506:$C$5005, 0, 1), 0), 0), "00")</f>
        <v>00</v>
      </c>
      <c r="H3507" s="1" t="str">
        <f t="shared" si="325"/>
        <v>051</v>
      </c>
      <c r="I3507" s="1" t="str">
        <f t="shared" si="326"/>
        <v>16100-051</v>
      </c>
      <c r="J3507" s="1" t="str">
        <f t="shared" si="327"/>
        <v>Synthesizer production item #051</v>
      </c>
      <c r="K3507" s="1" t="str">
        <f>IF(SUM(COUNTIFS(I:I, I3507)) &gt; 1, "DUPLICATE", "UNIQUE")</f>
        <v>UNIQUE</v>
      </c>
      <c r="L3507" s="18">
        <v>1</v>
      </c>
      <c r="M3507" s="28">
        <v>6</v>
      </c>
      <c r="N3507" s="6">
        <v>81</v>
      </c>
      <c r="O3507" s="30">
        <f t="shared" si="328"/>
        <v>6</v>
      </c>
      <c r="P3507" s="30">
        <f t="shared" si="329"/>
        <v>486</v>
      </c>
      <c r="Q3507" s="1">
        <f>COUNTIFS($P:$P, "&gt;" &amp; $P3507) + 1</f>
        <v>4039</v>
      </c>
      <c r="R3507" s="63">
        <f>(COUNTIFS($P:$P, "&gt;" &amp; $P3507) + 1) / (COUNTA($I:$I) - 1)</f>
        <v>0.80779999999999996</v>
      </c>
      <c r="S3507" s="23">
        <f>SUMIFS($P:$P, $Q:$Q, "&lt;" &amp; $Q3507)</f>
        <v>186418092</v>
      </c>
    </row>
    <row r="3508" spans="1:19" x14ac:dyDescent="0.25">
      <c r="A3508" s="1">
        <v>3503</v>
      </c>
      <c r="B3508" s="1" t="s">
        <v>2</v>
      </c>
      <c r="C3508" s="1" t="str">
        <f>IF($B3508 = "Production Item", _xlfn.XLOOKUP($A3508, 'Instrument Table'!$J:$J, 'Instrument Table'!$B:$B, $C3507), IF($B3508 = "Service Item", _xlfn.XLOOKUP($A3508, 'Instrument Table'!$I:$I, 'Instrument Table'!$B:$B, $C3507), _xlfn.XLOOKUP($A3508, 'Instrument Table'!$H:$H, 'Instrument Table'!$B:$B, $C3507)))</f>
        <v>Synthesizer</v>
      </c>
      <c r="D3508" s="1" t="str">
        <f>VLOOKUP($C3508, 'Instrument Table'!$B:$C, 2, FALSE)</f>
        <v>Other</v>
      </c>
      <c r="E3508" s="1">
        <f t="shared" si="324"/>
        <v>1</v>
      </c>
      <c r="F3508" s="1">
        <f>_xlfn.XLOOKUP($C3508, 'Instrument Table'!$B:$B, 'Instrument Table'!$A:$A, "")</f>
        <v>61</v>
      </c>
      <c r="G3508" s="1" t="str">
        <f>TEXT(IF($B3508 = "Retail Item", IF((ROW($A3508) - 4504 - _xlfn.XMATCH($C3508, $C$4506:$C$5005, 0, 1)) &lt;= VLOOKUP($C3508, 'Instrument Table'!$B:$D, 3, FALSE), ROW($A3508) - 4504 - _xlfn.XMATCH($C3508, $C$4506:$C$5005, 0, 1), 0), 0), "00")</f>
        <v>00</v>
      </c>
      <c r="H3508" s="1" t="str">
        <f t="shared" si="325"/>
        <v>052</v>
      </c>
      <c r="I3508" s="1" t="str">
        <f t="shared" si="326"/>
        <v>16100-052</v>
      </c>
      <c r="J3508" s="1" t="str">
        <f t="shared" si="327"/>
        <v>Synthesizer production item #052</v>
      </c>
      <c r="K3508" s="1" t="str">
        <f>IF(SUM(COUNTIFS(I:I, I3508)) &gt; 1, "DUPLICATE", "UNIQUE")</f>
        <v>UNIQUE</v>
      </c>
      <c r="L3508" s="18">
        <v>0</v>
      </c>
      <c r="M3508" s="28">
        <v>22</v>
      </c>
      <c r="N3508" s="6">
        <v>64</v>
      </c>
      <c r="O3508" s="30">
        <f t="shared" si="328"/>
        <v>0</v>
      </c>
      <c r="P3508" s="30">
        <f t="shared" si="329"/>
        <v>1408</v>
      </c>
      <c r="Q3508" s="1">
        <f>COUNTIFS($P:$P, "&gt;" &amp; $P3508) + 1</f>
        <v>3501</v>
      </c>
      <c r="R3508" s="63">
        <f>(COUNTIFS($P:$P, "&gt;" &amp; $P3508) + 1) / (COUNTA($I:$I) - 1)</f>
        <v>0.70020000000000004</v>
      </c>
      <c r="S3508" s="23">
        <f>SUMIFS($P:$P, $Q:$Q, "&lt;" &amp; $Q3508)</f>
        <v>185938879</v>
      </c>
    </row>
    <row r="3509" spans="1:19" x14ac:dyDescent="0.25">
      <c r="A3509" s="1">
        <v>3504</v>
      </c>
      <c r="B3509" s="1" t="s">
        <v>2</v>
      </c>
      <c r="C3509" s="1" t="str">
        <f>IF($B3509 = "Production Item", _xlfn.XLOOKUP($A3509, 'Instrument Table'!$J:$J, 'Instrument Table'!$B:$B, $C3508), IF($B3509 = "Service Item", _xlfn.XLOOKUP($A3509, 'Instrument Table'!$I:$I, 'Instrument Table'!$B:$B, $C3508), _xlfn.XLOOKUP($A3509, 'Instrument Table'!$H:$H, 'Instrument Table'!$B:$B, $C3508)))</f>
        <v>Synthesizer</v>
      </c>
      <c r="D3509" s="1" t="str">
        <f>VLOOKUP($C3509, 'Instrument Table'!$B:$C, 2, FALSE)</f>
        <v>Other</v>
      </c>
      <c r="E3509" s="1">
        <f t="shared" si="324"/>
        <v>1</v>
      </c>
      <c r="F3509" s="1">
        <f>_xlfn.XLOOKUP($C3509, 'Instrument Table'!$B:$B, 'Instrument Table'!$A:$A, "")</f>
        <v>61</v>
      </c>
      <c r="G3509" s="1" t="str">
        <f>TEXT(IF($B3509 = "Retail Item", IF((ROW($A3509) - 4504 - _xlfn.XMATCH($C3509, $C$4506:$C$5005, 0, 1)) &lt;= VLOOKUP($C3509, 'Instrument Table'!$B:$D, 3, FALSE), ROW($A3509) - 4504 - _xlfn.XMATCH($C3509, $C$4506:$C$5005, 0, 1), 0), 0), "00")</f>
        <v>00</v>
      </c>
      <c r="H3509" s="1" t="str">
        <f t="shared" si="325"/>
        <v>053</v>
      </c>
      <c r="I3509" s="1" t="str">
        <f t="shared" si="326"/>
        <v>16100-053</v>
      </c>
      <c r="J3509" s="1" t="str">
        <f t="shared" si="327"/>
        <v>Synthesizer production item #053</v>
      </c>
      <c r="K3509" s="1" t="str">
        <f>IF(SUM(COUNTIFS(I:I, I3509)) &gt; 1, "DUPLICATE", "UNIQUE")</f>
        <v>UNIQUE</v>
      </c>
      <c r="L3509" s="18">
        <v>0</v>
      </c>
      <c r="M3509" s="28">
        <v>85</v>
      </c>
      <c r="N3509" s="6">
        <v>81</v>
      </c>
      <c r="O3509" s="30">
        <f t="shared" si="328"/>
        <v>0</v>
      </c>
      <c r="P3509" s="30">
        <f t="shared" si="329"/>
        <v>6885</v>
      </c>
      <c r="Q3509" s="1">
        <f>COUNTIFS($P:$P, "&gt;" &amp; $P3509) + 1</f>
        <v>2153</v>
      </c>
      <c r="R3509" s="63">
        <f>(COUNTIFS($P:$P, "&gt;" &amp; $P3509) + 1) / (COUNTA($I:$I) - 1)</f>
        <v>0.43059999999999998</v>
      </c>
      <c r="S3509" s="23">
        <f>SUMIFS($P:$P, $Q:$Q, "&lt;" &amp; $Q3509)</f>
        <v>181134369</v>
      </c>
    </row>
    <row r="3510" spans="1:19" x14ac:dyDescent="0.25">
      <c r="A3510" s="1">
        <v>3505</v>
      </c>
      <c r="B3510" s="1" t="s">
        <v>2</v>
      </c>
      <c r="C3510" s="1" t="str">
        <f>IF($B3510 = "Production Item", _xlfn.XLOOKUP($A3510, 'Instrument Table'!$J:$J, 'Instrument Table'!$B:$B, $C3509), IF($B3510 = "Service Item", _xlfn.XLOOKUP($A3510, 'Instrument Table'!$I:$I, 'Instrument Table'!$B:$B, $C3509), _xlfn.XLOOKUP($A3510, 'Instrument Table'!$H:$H, 'Instrument Table'!$B:$B, $C3509)))</f>
        <v>Synthesizer</v>
      </c>
      <c r="D3510" s="1" t="str">
        <f>VLOOKUP($C3510, 'Instrument Table'!$B:$C, 2, FALSE)</f>
        <v>Other</v>
      </c>
      <c r="E3510" s="1">
        <f t="shared" si="324"/>
        <v>1</v>
      </c>
      <c r="F3510" s="1">
        <f>_xlfn.XLOOKUP($C3510, 'Instrument Table'!$B:$B, 'Instrument Table'!$A:$A, "")</f>
        <v>61</v>
      </c>
      <c r="G3510" s="1" t="str">
        <f>TEXT(IF($B3510 = "Retail Item", IF((ROW($A3510) - 4504 - _xlfn.XMATCH($C3510, $C$4506:$C$5005, 0, 1)) &lt;= VLOOKUP($C3510, 'Instrument Table'!$B:$D, 3, FALSE), ROW($A3510) - 4504 - _xlfn.XMATCH($C3510, $C$4506:$C$5005, 0, 1), 0), 0), "00")</f>
        <v>00</v>
      </c>
      <c r="H3510" s="1" t="str">
        <f t="shared" si="325"/>
        <v>054</v>
      </c>
      <c r="I3510" s="1" t="str">
        <f t="shared" si="326"/>
        <v>16100-054</v>
      </c>
      <c r="J3510" s="1" t="str">
        <f t="shared" si="327"/>
        <v>Synthesizer production item #054</v>
      </c>
      <c r="K3510" s="1" t="str">
        <f>IF(SUM(COUNTIFS(I:I, I3510)) &gt; 1, "DUPLICATE", "UNIQUE")</f>
        <v>UNIQUE</v>
      </c>
      <c r="L3510" s="18">
        <v>8</v>
      </c>
      <c r="M3510" s="28">
        <v>24</v>
      </c>
      <c r="N3510" s="6">
        <v>144</v>
      </c>
      <c r="O3510" s="30">
        <f t="shared" si="328"/>
        <v>192</v>
      </c>
      <c r="P3510" s="30">
        <f t="shared" si="329"/>
        <v>3456</v>
      </c>
      <c r="Q3510" s="1">
        <f>COUNTIFS($P:$P, "&gt;" &amp; $P3510) + 1</f>
        <v>2787</v>
      </c>
      <c r="R3510" s="63">
        <f>(COUNTIFS($P:$P, "&gt;" &amp; $P3510) + 1) / (COUNTA($I:$I) - 1)</f>
        <v>0.55740000000000001</v>
      </c>
      <c r="S3510" s="23">
        <f>SUMIFS($P:$P, $Q:$Q, "&lt;" &amp; $Q3510)</f>
        <v>184281179</v>
      </c>
    </row>
    <row r="3511" spans="1:19" x14ac:dyDescent="0.25">
      <c r="A3511" s="1">
        <v>3506</v>
      </c>
      <c r="B3511" s="1" t="s">
        <v>2</v>
      </c>
      <c r="C3511" s="1" t="str">
        <f>IF($B3511 = "Production Item", _xlfn.XLOOKUP($A3511, 'Instrument Table'!$J:$J, 'Instrument Table'!$B:$B, $C3510), IF($B3511 = "Service Item", _xlfn.XLOOKUP($A3511, 'Instrument Table'!$I:$I, 'Instrument Table'!$B:$B, $C3510), _xlfn.XLOOKUP($A3511, 'Instrument Table'!$H:$H, 'Instrument Table'!$B:$B, $C3510)))</f>
        <v>Synthesizer</v>
      </c>
      <c r="D3511" s="1" t="str">
        <f>VLOOKUP($C3511, 'Instrument Table'!$B:$C, 2, FALSE)</f>
        <v>Other</v>
      </c>
      <c r="E3511" s="1">
        <f t="shared" si="324"/>
        <v>1</v>
      </c>
      <c r="F3511" s="1">
        <f>_xlfn.XLOOKUP($C3511, 'Instrument Table'!$B:$B, 'Instrument Table'!$A:$A, "")</f>
        <v>61</v>
      </c>
      <c r="G3511" s="1" t="str">
        <f>TEXT(IF($B3511 = "Retail Item", IF((ROW($A3511) - 4504 - _xlfn.XMATCH($C3511, $C$4506:$C$5005, 0, 1)) &lt;= VLOOKUP($C3511, 'Instrument Table'!$B:$D, 3, FALSE), ROW($A3511) - 4504 - _xlfn.XMATCH($C3511, $C$4506:$C$5005, 0, 1), 0), 0), "00")</f>
        <v>00</v>
      </c>
      <c r="H3511" s="1" t="str">
        <f t="shared" si="325"/>
        <v>055</v>
      </c>
      <c r="I3511" s="1" t="str">
        <f t="shared" si="326"/>
        <v>16100-055</v>
      </c>
      <c r="J3511" s="1" t="str">
        <f t="shared" si="327"/>
        <v>Synthesizer production item #055</v>
      </c>
      <c r="K3511" s="1" t="str">
        <f>IF(SUM(COUNTIFS(I:I, I3511)) &gt; 1, "DUPLICATE", "UNIQUE")</f>
        <v>UNIQUE</v>
      </c>
      <c r="L3511" s="18">
        <v>0</v>
      </c>
      <c r="M3511" s="28">
        <v>95</v>
      </c>
      <c r="N3511" s="6">
        <v>361</v>
      </c>
      <c r="O3511" s="30">
        <f t="shared" si="328"/>
        <v>0</v>
      </c>
      <c r="P3511" s="30">
        <f t="shared" si="329"/>
        <v>34295</v>
      </c>
      <c r="Q3511" s="1">
        <f>COUNTIFS($P:$P, "&gt;" &amp; $P3511) + 1</f>
        <v>615</v>
      </c>
      <c r="R3511" s="63">
        <f>(COUNTIFS($P:$P, "&gt;" &amp; $P3511) + 1) / (COUNTA($I:$I) - 1)</f>
        <v>0.123</v>
      </c>
      <c r="S3511" s="23">
        <f>SUMIFS($P:$P, $Q:$Q, "&lt;" &amp; $Q3511)</f>
        <v>156391640</v>
      </c>
    </row>
    <row r="3512" spans="1:19" x14ac:dyDescent="0.25">
      <c r="A3512" s="1">
        <v>3507</v>
      </c>
      <c r="B3512" s="1" t="s">
        <v>2</v>
      </c>
      <c r="C3512" s="1" t="str">
        <f>IF($B3512 = "Production Item", _xlfn.XLOOKUP($A3512, 'Instrument Table'!$J:$J, 'Instrument Table'!$B:$B, $C3511), IF($B3512 = "Service Item", _xlfn.XLOOKUP($A3512, 'Instrument Table'!$I:$I, 'Instrument Table'!$B:$B, $C3511), _xlfn.XLOOKUP($A3512, 'Instrument Table'!$H:$H, 'Instrument Table'!$B:$B, $C3511)))</f>
        <v>Synthesizer</v>
      </c>
      <c r="D3512" s="1" t="str">
        <f>VLOOKUP($C3512, 'Instrument Table'!$B:$C, 2, FALSE)</f>
        <v>Other</v>
      </c>
      <c r="E3512" s="1">
        <f t="shared" si="324"/>
        <v>1</v>
      </c>
      <c r="F3512" s="1">
        <f>_xlfn.XLOOKUP($C3512, 'Instrument Table'!$B:$B, 'Instrument Table'!$A:$A, "")</f>
        <v>61</v>
      </c>
      <c r="G3512" s="1" t="str">
        <f>TEXT(IF($B3512 = "Retail Item", IF((ROW($A3512) - 4504 - _xlfn.XMATCH($C3512, $C$4506:$C$5005, 0, 1)) &lt;= VLOOKUP($C3512, 'Instrument Table'!$B:$D, 3, FALSE), ROW($A3512) - 4504 - _xlfn.XMATCH($C3512, $C$4506:$C$5005, 0, 1), 0), 0), "00")</f>
        <v>00</v>
      </c>
      <c r="H3512" s="1" t="str">
        <f t="shared" si="325"/>
        <v>056</v>
      </c>
      <c r="I3512" s="1" t="str">
        <f t="shared" si="326"/>
        <v>16100-056</v>
      </c>
      <c r="J3512" s="1" t="str">
        <f t="shared" si="327"/>
        <v>Synthesizer production item #056</v>
      </c>
      <c r="K3512" s="1" t="str">
        <f>IF(SUM(COUNTIFS(I:I, I3512)) &gt; 1, "DUPLICATE", "UNIQUE")</f>
        <v>UNIQUE</v>
      </c>
      <c r="L3512" s="18">
        <v>1</v>
      </c>
      <c r="M3512" s="28">
        <v>59</v>
      </c>
      <c r="N3512" s="6">
        <v>289</v>
      </c>
      <c r="O3512" s="30">
        <f t="shared" si="328"/>
        <v>59</v>
      </c>
      <c r="P3512" s="30">
        <f t="shared" si="329"/>
        <v>17051</v>
      </c>
      <c r="Q3512" s="1">
        <f>COUNTIFS($P:$P, "&gt;" &amp; $P3512) + 1</f>
        <v>1213</v>
      </c>
      <c r="R3512" s="63">
        <f>(COUNTIFS($P:$P, "&gt;" &amp; $P3512) + 1) / (COUNTA($I:$I) - 1)</f>
        <v>0.24260000000000001</v>
      </c>
      <c r="S3512" s="23">
        <f>SUMIFS($P:$P, $Q:$Q, "&lt;" &amp; $Q3512)</f>
        <v>170549661</v>
      </c>
    </row>
    <row r="3513" spans="1:19" x14ac:dyDescent="0.25">
      <c r="A3513" s="1">
        <v>3508</v>
      </c>
      <c r="B3513" s="1" t="s">
        <v>2</v>
      </c>
      <c r="C3513" s="1" t="str">
        <f>IF($B3513 = "Production Item", _xlfn.XLOOKUP($A3513, 'Instrument Table'!$J:$J, 'Instrument Table'!$B:$B, $C3512), IF($B3513 = "Service Item", _xlfn.XLOOKUP($A3513, 'Instrument Table'!$I:$I, 'Instrument Table'!$B:$B, $C3512), _xlfn.XLOOKUP($A3513, 'Instrument Table'!$H:$H, 'Instrument Table'!$B:$B, $C3512)))</f>
        <v>Synthesizer</v>
      </c>
      <c r="D3513" s="1" t="str">
        <f>VLOOKUP($C3513, 'Instrument Table'!$B:$C, 2, FALSE)</f>
        <v>Other</v>
      </c>
      <c r="E3513" s="1">
        <f t="shared" si="324"/>
        <v>1</v>
      </c>
      <c r="F3513" s="1">
        <f>_xlfn.XLOOKUP($C3513, 'Instrument Table'!$B:$B, 'Instrument Table'!$A:$A, "")</f>
        <v>61</v>
      </c>
      <c r="G3513" s="1" t="str">
        <f>TEXT(IF($B3513 = "Retail Item", IF((ROW($A3513) - 4504 - _xlfn.XMATCH($C3513, $C$4506:$C$5005, 0, 1)) &lt;= VLOOKUP($C3513, 'Instrument Table'!$B:$D, 3, FALSE), ROW($A3513) - 4504 - _xlfn.XMATCH($C3513, $C$4506:$C$5005, 0, 1), 0), 0), "00")</f>
        <v>00</v>
      </c>
      <c r="H3513" s="1" t="str">
        <f t="shared" si="325"/>
        <v>057</v>
      </c>
      <c r="I3513" s="1" t="str">
        <f t="shared" si="326"/>
        <v>16100-057</v>
      </c>
      <c r="J3513" s="1" t="str">
        <f t="shared" si="327"/>
        <v>Synthesizer production item #057</v>
      </c>
      <c r="K3513" s="1" t="str">
        <f>IF(SUM(COUNTIFS(I:I, I3513)) &gt; 1, "DUPLICATE", "UNIQUE")</f>
        <v>UNIQUE</v>
      </c>
      <c r="L3513" s="18">
        <v>0</v>
      </c>
      <c r="M3513" s="28">
        <v>61</v>
      </c>
      <c r="N3513" s="6">
        <v>9</v>
      </c>
      <c r="O3513" s="30">
        <f t="shared" si="328"/>
        <v>0</v>
      </c>
      <c r="P3513" s="30">
        <f t="shared" si="329"/>
        <v>549</v>
      </c>
      <c r="Q3513" s="1">
        <f>COUNTIFS($P:$P, "&gt;" &amp; $P3513) + 1</f>
        <v>3983</v>
      </c>
      <c r="R3513" s="63">
        <f>(COUNTIFS($P:$P, "&gt;" &amp; $P3513) + 1) / (COUNTA($I:$I) - 1)</f>
        <v>0.79659999999999997</v>
      </c>
      <c r="S3513" s="23">
        <f>SUMIFS($P:$P, $Q:$Q, "&lt;" &amp; $Q3513)</f>
        <v>186389121</v>
      </c>
    </row>
    <row r="3514" spans="1:19" x14ac:dyDescent="0.25">
      <c r="A3514" s="1">
        <v>3509</v>
      </c>
      <c r="B3514" s="1" t="s">
        <v>2</v>
      </c>
      <c r="C3514" s="1" t="str">
        <f>IF($B3514 = "Production Item", _xlfn.XLOOKUP($A3514, 'Instrument Table'!$J:$J, 'Instrument Table'!$B:$B, $C3513), IF($B3514 = "Service Item", _xlfn.XLOOKUP($A3514, 'Instrument Table'!$I:$I, 'Instrument Table'!$B:$B, $C3513), _xlfn.XLOOKUP($A3514, 'Instrument Table'!$H:$H, 'Instrument Table'!$B:$B, $C3513)))</f>
        <v>Synthesizer</v>
      </c>
      <c r="D3514" s="1" t="str">
        <f>VLOOKUP($C3514, 'Instrument Table'!$B:$C, 2, FALSE)</f>
        <v>Other</v>
      </c>
      <c r="E3514" s="1">
        <f t="shared" si="324"/>
        <v>1</v>
      </c>
      <c r="F3514" s="1">
        <f>_xlfn.XLOOKUP($C3514, 'Instrument Table'!$B:$B, 'Instrument Table'!$A:$A, "")</f>
        <v>61</v>
      </c>
      <c r="G3514" s="1" t="str">
        <f>TEXT(IF($B3514 = "Retail Item", IF((ROW($A3514) - 4504 - _xlfn.XMATCH($C3514, $C$4506:$C$5005, 0, 1)) &lt;= VLOOKUP($C3514, 'Instrument Table'!$B:$D, 3, FALSE), ROW($A3514) - 4504 - _xlfn.XMATCH($C3514, $C$4506:$C$5005, 0, 1), 0), 0), "00")</f>
        <v>00</v>
      </c>
      <c r="H3514" s="1" t="str">
        <f t="shared" si="325"/>
        <v>058</v>
      </c>
      <c r="I3514" s="1" t="str">
        <f t="shared" si="326"/>
        <v>16100-058</v>
      </c>
      <c r="J3514" s="1" t="str">
        <f t="shared" si="327"/>
        <v>Synthesizer production item #058</v>
      </c>
      <c r="K3514" s="1" t="str">
        <f>IF(SUM(COUNTIFS(I:I, I3514)) &gt; 1, "DUPLICATE", "UNIQUE")</f>
        <v>UNIQUE</v>
      </c>
      <c r="L3514" s="18">
        <v>0</v>
      </c>
      <c r="M3514" s="28">
        <v>61</v>
      </c>
      <c r="N3514" s="6">
        <v>25</v>
      </c>
      <c r="O3514" s="30">
        <f t="shared" si="328"/>
        <v>0</v>
      </c>
      <c r="P3514" s="30">
        <f t="shared" si="329"/>
        <v>1525</v>
      </c>
      <c r="Q3514" s="1">
        <f>COUNTIFS($P:$P, "&gt;" &amp; $P3514) + 1</f>
        <v>3450</v>
      </c>
      <c r="R3514" s="63">
        <f>(COUNTIFS($P:$P, "&gt;" &amp; $P3514) + 1) / (COUNTA($I:$I) - 1)</f>
        <v>0.69</v>
      </c>
      <c r="S3514" s="23">
        <f>SUMIFS($P:$P, $Q:$Q, "&lt;" &amp; $Q3514)</f>
        <v>185863822</v>
      </c>
    </row>
    <row r="3515" spans="1:19" x14ac:dyDescent="0.25">
      <c r="A3515" s="1">
        <v>3510</v>
      </c>
      <c r="B3515" s="1" t="s">
        <v>2</v>
      </c>
      <c r="C3515" s="1" t="str">
        <f>IF($B3515 = "Production Item", _xlfn.XLOOKUP($A3515, 'Instrument Table'!$J:$J, 'Instrument Table'!$B:$B, $C3514), IF($B3515 = "Service Item", _xlfn.XLOOKUP($A3515, 'Instrument Table'!$I:$I, 'Instrument Table'!$B:$B, $C3514), _xlfn.XLOOKUP($A3515, 'Instrument Table'!$H:$H, 'Instrument Table'!$B:$B, $C3514)))</f>
        <v>Synthesizer</v>
      </c>
      <c r="D3515" s="1" t="str">
        <f>VLOOKUP($C3515, 'Instrument Table'!$B:$C, 2, FALSE)</f>
        <v>Other</v>
      </c>
      <c r="E3515" s="1">
        <f t="shared" si="324"/>
        <v>1</v>
      </c>
      <c r="F3515" s="1">
        <f>_xlfn.XLOOKUP($C3515, 'Instrument Table'!$B:$B, 'Instrument Table'!$A:$A, "")</f>
        <v>61</v>
      </c>
      <c r="G3515" s="1" t="str">
        <f>TEXT(IF($B3515 = "Retail Item", IF((ROW($A3515) - 4504 - _xlfn.XMATCH($C3515, $C$4506:$C$5005, 0, 1)) &lt;= VLOOKUP($C3515, 'Instrument Table'!$B:$D, 3, FALSE), ROW($A3515) - 4504 - _xlfn.XMATCH($C3515, $C$4506:$C$5005, 0, 1), 0), 0), "00")</f>
        <v>00</v>
      </c>
      <c r="H3515" s="1" t="str">
        <f t="shared" si="325"/>
        <v>059</v>
      </c>
      <c r="I3515" s="1" t="str">
        <f t="shared" si="326"/>
        <v>16100-059</v>
      </c>
      <c r="J3515" s="1" t="str">
        <f t="shared" si="327"/>
        <v>Synthesizer production item #059</v>
      </c>
      <c r="K3515" s="1" t="str">
        <f>IF(SUM(COUNTIFS(I:I, I3515)) &gt; 1, "DUPLICATE", "UNIQUE")</f>
        <v>UNIQUE</v>
      </c>
      <c r="L3515" s="18">
        <v>4</v>
      </c>
      <c r="M3515" s="28">
        <v>36</v>
      </c>
      <c r="N3515" s="6">
        <v>196</v>
      </c>
      <c r="O3515" s="30">
        <f t="shared" si="328"/>
        <v>144</v>
      </c>
      <c r="P3515" s="30">
        <f t="shared" si="329"/>
        <v>7056</v>
      </c>
      <c r="Q3515" s="1">
        <f>COUNTIFS($P:$P, "&gt;" &amp; $P3515) + 1</f>
        <v>2125</v>
      </c>
      <c r="R3515" s="63">
        <f>(COUNTIFS($P:$P, "&gt;" &amp; $P3515) + 1) / (COUNTA($I:$I) - 1)</f>
        <v>0.42499999999999999</v>
      </c>
      <c r="S3515" s="23">
        <f>SUMIFS($P:$P, $Q:$Q, "&lt;" &amp; $Q3515)</f>
        <v>180938988</v>
      </c>
    </row>
    <row r="3516" spans="1:19" x14ac:dyDescent="0.25">
      <c r="A3516" s="1">
        <v>3511</v>
      </c>
      <c r="B3516" s="1" t="s">
        <v>2</v>
      </c>
      <c r="C3516" s="1" t="str">
        <f>IF($B3516 = "Production Item", _xlfn.XLOOKUP($A3516, 'Instrument Table'!$J:$J, 'Instrument Table'!$B:$B, $C3515), IF($B3516 = "Service Item", _xlfn.XLOOKUP($A3516, 'Instrument Table'!$I:$I, 'Instrument Table'!$B:$B, $C3515), _xlfn.XLOOKUP($A3516, 'Instrument Table'!$H:$H, 'Instrument Table'!$B:$B, $C3515)))</f>
        <v>Synthesizer</v>
      </c>
      <c r="D3516" s="1" t="str">
        <f>VLOOKUP($C3516, 'Instrument Table'!$B:$C, 2, FALSE)</f>
        <v>Other</v>
      </c>
      <c r="E3516" s="1">
        <f t="shared" si="324"/>
        <v>1</v>
      </c>
      <c r="F3516" s="1">
        <f>_xlfn.XLOOKUP($C3516, 'Instrument Table'!$B:$B, 'Instrument Table'!$A:$A, "")</f>
        <v>61</v>
      </c>
      <c r="G3516" s="1" t="str">
        <f>TEXT(IF($B3516 = "Retail Item", IF((ROW($A3516) - 4504 - _xlfn.XMATCH($C3516, $C$4506:$C$5005, 0, 1)) &lt;= VLOOKUP($C3516, 'Instrument Table'!$B:$D, 3, FALSE), ROW($A3516) - 4504 - _xlfn.XMATCH($C3516, $C$4506:$C$5005, 0, 1), 0), 0), "00")</f>
        <v>00</v>
      </c>
      <c r="H3516" s="1" t="str">
        <f t="shared" si="325"/>
        <v>060</v>
      </c>
      <c r="I3516" s="1" t="str">
        <f t="shared" si="326"/>
        <v>16100-060</v>
      </c>
      <c r="J3516" s="1" t="str">
        <f t="shared" si="327"/>
        <v>Synthesizer production item #060</v>
      </c>
      <c r="K3516" s="1" t="str">
        <f>IF(SUM(COUNTIFS(I:I, I3516)) &gt; 1, "DUPLICATE", "UNIQUE")</f>
        <v>UNIQUE</v>
      </c>
      <c r="L3516" s="18">
        <v>1</v>
      </c>
      <c r="M3516" s="28">
        <v>77</v>
      </c>
      <c r="N3516" s="6">
        <v>256</v>
      </c>
      <c r="O3516" s="30">
        <f t="shared" si="328"/>
        <v>77</v>
      </c>
      <c r="P3516" s="30">
        <f t="shared" si="329"/>
        <v>19712</v>
      </c>
      <c r="Q3516" s="1">
        <f>COUNTIFS($P:$P, "&gt;" &amp; $P3516) + 1</f>
        <v>1070</v>
      </c>
      <c r="R3516" s="63">
        <f>(COUNTIFS($P:$P, "&gt;" &amp; $P3516) + 1) / (COUNTA($I:$I) - 1)</f>
        <v>0.214</v>
      </c>
      <c r="S3516" s="23">
        <f>SUMIFS($P:$P, $Q:$Q, "&lt;" &amp; $Q3516)</f>
        <v>167921769</v>
      </c>
    </row>
    <row r="3517" spans="1:19" x14ac:dyDescent="0.25">
      <c r="A3517" s="1">
        <v>3512</v>
      </c>
      <c r="B3517" s="1" t="s">
        <v>2</v>
      </c>
      <c r="C3517" s="1" t="str">
        <f>IF($B3517 = "Production Item", _xlfn.XLOOKUP($A3517, 'Instrument Table'!$J:$J, 'Instrument Table'!$B:$B, $C3516), IF($B3517 = "Service Item", _xlfn.XLOOKUP($A3517, 'Instrument Table'!$I:$I, 'Instrument Table'!$B:$B, $C3516), _xlfn.XLOOKUP($A3517, 'Instrument Table'!$H:$H, 'Instrument Table'!$B:$B, $C3516)))</f>
        <v>Synthesizer</v>
      </c>
      <c r="D3517" s="1" t="str">
        <f>VLOOKUP($C3517, 'Instrument Table'!$B:$C, 2, FALSE)</f>
        <v>Other</v>
      </c>
      <c r="E3517" s="1">
        <f t="shared" si="324"/>
        <v>1</v>
      </c>
      <c r="F3517" s="1">
        <f>_xlfn.XLOOKUP($C3517, 'Instrument Table'!$B:$B, 'Instrument Table'!$A:$A, "")</f>
        <v>61</v>
      </c>
      <c r="G3517" s="1" t="str">
        <f>TEXT(IF($B3517 = "Retail Item", IF((ROW($A3517) - 4504 - _xlfn.XMATCH($C3517, $C$4506:$C$5005, 0, 1)) &lt;= VLOOKUP($C3517, 'Instrument Table'!$B:$D, 3, FALSE), ROW($A3517) - 4504 - _xlfn.XMATCH($C3517, $C$4506:$C$5005, 0, 1), 0), 0), "00")</f>
        <v>00</v>
      </c>
      <c r="H3517" s="1" t="str">
        <f t="shared" si="325"/>
        <v>061</v>
      </c>
      <c r="I3517" s="1" t="str">
        <f t="shared" si="326"/>
        <v>16100-061</v>
      </c>
      <c r="J3517" s="1" t="str">
        <f t="shared" si="327"/>
        <v>Synthesizer production item #061</v>
      </c>
      <c r="K3517" s="1" t="str">
        <f>IF(SUM(COUNTIFS(I:I, I3517)) &gt; 1, "DUPLICATE", "UNIQUE")</f>
        <v>UNIQUE</v>
      </c>
      <c r="L3517" s="18">
        <v>2</v>
      </c>
      <c r="M3517" s="28">
        <v>99</v>
      </c>
      <c r="N3517" s="6">
        <v>196</v>
      </c>
      <c r="O3517" s="30">
        <f t="shared" si="328"/>
        <v>198</v>
      </c>
      <c r="P3517" s="30">
        <f t="shared" si="329"/>
        <v>19404</v>
      </c>
      <c r="Q3517" s="1">
        <f>COUNTIFS($P:$P, "&gt;" &amp; $P3517) + 1</f>
        <v>1083</v>
      </c>
      <c r="R3517" s="63">
        <f>(COUNTIFS($P:$P, "&gt;" &amp; $P3517) + 1) / (COUNTA($I:$I) - 1)</f>
        <v>0.21659999999999999</v>
      </c>
      <c r="S3517" s="23">
        <f>SUMIFS($P:$P, $Q:$Q, "&lt;" &amp; $Q3517)</f>
        <v>168176845</v>
      </c>
    </row>
    <row r="3518" spans="1:19" x14ac:dyDescent="0.25">
      <c r="A3518" s="1">
        <v>3513</v>
      </c>
      <c r="B3518" s="1" t="s">
        <v>2</v>
      </c>
      <c r="C3518" s="1" t="str">
        <f>IF($B3518 = "Production Item", _xlfn.XLOOKUP($A3518, 'Instrument Table'!$J:$J, 'Instrument Table'!$B:$B, $C3517), IF($B3518 = "Service Item", _xlfn.XLOOKUP($A3518, 'Instrument Table'!$I:$I, 'Instrument Table'!$B:$B, $C3517), _xlfn.XLOOKUP($A3518, 'Instrument Table'!$H:$H, 'Instrument Table'!$B:$B, $C3517)))</f>
        <v>Synthesizer</v>
      </c>
      <c r="D3518" s="1" t="str">
        <f>VLOOKUP($C3518, 'Instrument Table'!$B:$C, 2, FALSE)</f>
        <v>Other</v>
      </c>
      <c r="E3518" s="1">
        <f t="shared" si="324"/>
        <v>1</v>
      </c>
      <c r="F3518" s="1">
        <f>_xlfn.XLOOKUP($C3518, 'Instrument Table'!$B:$B, 'Instrument Table'!$A:$A, "")</f>
        <v>61</v>
      </c>
      <c r="G3518" s="1" t="str">
        <f>TEXT(IF($B3518 = "Retail Item", IF((ROW($A3518) - 4504 - _xlfn.XMATCH($C3518, $C$4506:$C$5005, 0, 1)) &lt;= VLOOKUP($C3518, 'Instrument Table'!$B:$D, 3, FALSE), ROW($A3518) - 4504 - _xlfn.XMATCH($C3518, $C$4506:$C$5005, 0, 1), 0), 0), "00")</f>
        <v>00</v>
      </c>
      <c r="H3518" s="1" t="str">
        <f t="shared" si="325"/>
        <v>062</v>
      </c>
      <c r="I3518" s="1" t="str">
        <f t="shared" si="326"/>
        <v>16100-062</v>
      </c>
      <c r="J3518" s="1" t="str">
        <f t="shared" si="327"/>
        <v>Synthesizer production item #062</v>
      </c>
      <c r="K3518" s="1" t="str">
        <f>IF(SUM(COUNTIFS(I:I, I3518)) &gt; 1, "DUPLICATE", "UNIQUE")</f>
        <v>UNIQUE</v>
      </c>
      <c r="L3518" s="18">
        <v>1</v>
      </c>
      <c r="M3518" s="28">
        <v>87</v>
      </c>
      <c r="N3518" s="6">
        <v>4</v>
      </c>
      <c r="O3518" s="30">
        <f t="shared" si="328"/>
        <v>87</v>
      </c>
      <c r="P3518" s="30">
        <f t="shared" si="329"/>
        <v>348</v>
      </c>
      <c r="Q3518" s="1">
        <f>COUNTIFS($P:$P, "&gt;" &amp; $P3518) + 1</f>
        <v>4157</v>
      </c>
      <c r="R3518" s="63">
        <f>(COUNTIFS($P:$P, "&gt;" &amp; $P3518) + 1) / (COUNTA($I:$I) - 1)</f>
        <v>0.83140000000000003</v>
      </c>
      <c r="S3518" s="23">
        <f>SUMIFS($P:$P, $Q:$Q, "&lt;" &amp; $Q3518)</f>
        <v>186466187</v>
      </c>
    </row>
    <row r="3519" spans="1:19" x14ac:dyDescent="0.25">
      <c r="A3519" s="1">
        <v>3514</v>
      </c>
      <c r="B3519" s="1" t="s">
        <v>2</v>
      </c>
      <c r="C3519" s="1" t="str">
        <f>IF($B3519 = "Production Item", _xlfn.XLOOKUP($A3519, 'Instrument Table'!$J:$J, 'Instrument Table'!$B:$B, $C3518), IF($B3519 = "Service Item", _xlfn.XLOOKUP($A3519, 'Instrument Table'!$I:$I, 'Instrument Table'!$B:$B, $C3518), _xlfn.XLOOKUP($A3519, 'Instrument Table'!$H:$H, 'Instrument Table'!$B:$B, $C3518)))</f>
        <v>Synthesizer</v>
      </c>
      <c r="D3519" s="1" t="str">
        <f>VLOOKUP($C3519, 'Instrument Table'!$B:$C, 2, FALSE)</f>
        <v>Other</v>
      </c>
      <c r="E3519" s="1">
        <f t="shared" si="324"/>
        <v>1</v>
      </c>
      <c r="F3519" s="1">
        <f>_xlfn.XLOOKUP($C3519, 'Instrument Table'!$B:$B, 'Instrument Table'!$A:$A, "")</f>
        <v>61</v>
      </c>
      <c r="G3519" s="1" t="str">
        <f>TEXT(IF($B3519 = "Retail Item", IF((ROW($A3519) - 4504 - _xlfn.XMATCH($C3519, $C$4506:$C$5005, 0, 1)) &lt;= VLOOKUP($C3519, 'Instrument Table'!$B:$D, 3, FALSE), ROW($A3519) - 4504 - _xlfn.XMATCH($C3519, $C$4506:$C$5005, 0, 1), 0), 0), "00")</f>
        <v>00</v>
      </c>
      <c r="H3519" s="1" t="str">
        <f t="shared" si="325"/>
        <v>063</v>
      </c>
      <c r="I3519" s="1" t="str">
        <f t="shared" si="326"/>
        <v>16100-063</v>
      </c>
      <c r="J3519" s="1" t="str">
        <f t="shared" si="327"/>
        <v>Synthesizer production item #063</v>
      </c>
      <c r="K3519" s="1" t="str">
        <f>IF(SUM(COUNTIFS(I:I, I3519)) &gt; 1, "DUPLICATE", "UNIQUE")</f>
        <v>UNIQUE</v>
      </c>
      <c r="L3519" s="18">
        <v>0</v>
      </c>
      <c r="M3519" s="28">
        <v>76</v>
      </c>
      <c r="N3519" s="6">
        <v>4</v>
      </c>
      <c r="O3519" s="30">
        <f t="shared" si="328"/>
        <v>0</v>
      </c>
      <c r="P3519" s="30">
        <f t="shared" si="329"/>
        <v>304</v>
      </c>
      <c r="Q3519" s="1">
        <f>COUNTIFS($P:$P, "&gt;" &amp; $P3519) + 1</f>
        <v>4210</v>
      </c>
      <c r="R3519" s="63">
        <f>(COUNTIFS($P:$P, "&gt;" &amp; $P3519) + 1) / (COUNTA($I:$I) - 1)</f>
        <v>0.84199999999999997</v>
      </c>
      <c r="S3519" s="23">
        <f>SUMIFS($P:$P, $Q:$Q, "&lt;" &amp; $Q3519)</f>
        <v>186483507</v>
      </c>
    </row>
    <row r="3520" spans="1:19" x14ac:dyDescent="0.25">
      <c r="A3520" s="1">
        <v>3515</v>
      </c>
      <c r="B3520" s="1" t="s">
        <v>2</v>
      </c>
      <c r="C3520" s="1" t="str">
        <f>IF($B3520 = "Production Item", _xlfn.XLOOKUP($A3520, 'Instrument Table'!$J:$J, 'Instrument Table'!$B:$B, $C3519), IF($B3520 = "Service Item", _xlfn.XLOOKUP($A3520, 'Instrument Table'!$I:$I, 'Instrument Table'!$B:$B, $C3519), _xlfn.XLOOKUP($A3520, 'Instrument Table'!$H:$H, 'Instrument Table'!$B:$B, $C3519)))</f>
        <v>Synthesizer</v>
      </c>
      <c r="D3520" s="1" t="str">
        <f>VLOOKUP($C3520, 'Instrument Table'!$B:$C, 2, FALSE)</f>
        <v>Other</v>
      </c>
      <c r="E3520" s="1">
        <f t="shared" si="324"/>
        <v>1</v>
      </c>
      <c r="F3520" s="1">
        <f>_xlfn.XLOOKUP($C3520, 'Instrument Table'!$B:$B, 'Instrument Table'!$A:$A, "")</f>
        <v>61</v>
      </c>
      <c r="G3520" s="1" t="str">
        <f>TEXT(IF($B3520 = "Retail Item", IF((ROW($A3520) - 4504 - _xlfn.XMATCH($C3520, $C$4506:$C$5005, 0, 1)) &lt;= VLOOKUP($C3520, 'Instrument Table'!$B:$D, 3, FALSE), ROW($A3520) - 4504 - _xlfn.XMATCH($C3520, $C$4506:$C$5005, 0, 1), 0), 0), "00")</f>
        <v>00</v>
      </c>
      <c r="H3520" s="1" t="str">
        <f t="shared" si="325"/>
        <v>064</v>
      </c>
      <c r="I3520" s="1" t="str">
        <f t="shared" si="326"/>
        <v>16100-064</v>
      </c>
      <c r="J3520" s="1" t="str">
        <f t="shared" si="327"/>
        <v>Synthesizer production item #064</v>
      </c>
      <c r="K3520" s="1" t="str">
        <f>IF(SUM(COUNTIFS(I:I, I3520)) &gt; 1, "DUPLICATE", "UNIQUE")</f>
        <v>UNIQUE</v>
      </c>
      <c r="L3520" s="18">
        <v>32</v>
      </c>
      <c r="M3520" s="28">
        <v>93</v>
      </c>
      <c r="N3520" s="6">
        <v>196</v>
      </c>
      <c r="O3520" s="30">
        <f t="shared" si="328"/>
        <v>2976</v>
      </c>
      <c r="P3520" s="30">
        <f t="shared" si="329"/>
        <v>18228</v>
      </c>
      <c r="Q3520" s="1">
        <f>COUNTIFS($P:$P, "&gt;" &amp; $P3520) + 1</f>
        <v>1149</v>
      </c>
      <c r="R3520" s="63">
        <f>(COUNTIFS($P:$P, "&gt;" &amp; $P3520) + 1) / (COUNTA($I:$I) - 1)</f>
        <v>0.2298</v>
      </c>
      <c r="S3520" s="23">
        <f>SUMIFS($P:$P, $Q:$Q, "&lt;" &amp; $Q3520)</f>
        <v>169418319</v>
      </c>
    </row>
    <row r="3521" spans="1:19" x14ac:dyDescent="0.25">
      <c r="A3521" s="1">
        <v>3516</v>
      </c>
      <c r="B3521" s="1" t="s">
        <v>2</v>
      </c>
      <c r="C3521" s="1" t="str">
        <f>IF($B3521 = "Production Item", _xlfn.XLOOKUP($A3521, 'Instrument Table'!$J:$J, 'Instrument Table'!$B:$B, $C3520), IF($B3521 = "Service Item", _xlfn.XLOOKUP($A3521, 'Instrument Table'!$I:$I, 'Instrument Table'!$B:$B, $C3520), _xlfn.XLOOKUP($A3521, 'Instrument Table'!$H:$H, 'Instrument Table'!$B:$B, $C3520)))</f>
        <v>Synthesizer</v>
      </c>
      <c r="D3521" s="1" t="str">
        <f>VLOOKUP($C3521, 'Instrument Table'!$B:$C, 2, FALSE)</f>
        <v>Other</v>
      </c>
      <c r="E3521" s="1">
        <f t="shared" si="324"/>
        <v>1</v>
      </c>
      <c r="F3521" s="1">
        <f>_xlfn.XLOOKUP($C3521, 'Instrument Table'!$B:$B, 'Instrument Table'!$A:$A, "")</f>
        <v>61</v>
      </c>
      <c r="G3521" s="1" t="str">
        <f>TEXT(IF($B3521 = "Retail Item", IF((ROW($A3521) - 4504 - _xlfn.XMATCH($C3521, $C$4506:$C$5005, 0, 1)) &lt;= VLOOKUP($C3521, 'Instrument Table'!$B:$D, 3, FALSE), ROW($A3521) - 4504 - _xlfn.XMATCH($C3521, $C$4506:$C$5005, 0, 1), 0), 0), "00")</f>
        <v>00</v>
      </c>
      <c r="H3521" s="1" t="str">
        <f t="shared" si="325"/>
        <v>065</v>
      </c>
      <c r="I3521" s="1" t="str">
        <f t="shared" si="326"/>
        <v>16100-065</v>
      </c>
      <c r="J3521" s="1" t="str">
        <f t="shared" si="327"/>
        <v>Synthesizer production item #065</v>
      </c>
      <c r="K3521" s="1" t="str">
        <f>IF(SUM(COUNTIFS(I:I, I3521)) &gt; 1, "DUPLICATE", "UNIQUE")</f>
        <v>UNIQUE</v>
      </c>
      <c r="L3521" s="18">
        <v>2</v>
      </c>
      <c r="M3521" s="28">
        <v>94</v>
      </c>
      <c r="N3521" s="6">
        <v>16</v>
      </c>
      <c r="O3521" s="30">
        <f t="shared" si="328"/>
        <v>188</v>
      </c>
      <c r="P3521" s="30">
        <f t="shared" si="329"/>
        <v>1504</v>
      </c>
      <c r="Q3521" s="1">
        <f>COUNTIFS($P:$P, "&gt;" &amp; $P3521) + 1</f>
        <v>3457</v>
      </c>
      <c r="R3521" s="63">
        <f>(COUNTIFS($P:$P, "&gt;" &amp; $P3521) + 1) / (COUNTA($I:$I) - 1)</f>
        <v>0.69140000000000001</v>
      </c>
      <c r="S3521" s="23">
        <f>SUMIFS($P:$P, $Q:$Q, "&lt;" &amp; $Q3521)</f>
        <v>185874463</v>
      </c>
    </row>
    <row r="3522" spans="1:19" x14ac:dyDescent="0.25">
      <c r="A3522" s="1">
        <v>3517</v>
      </c>
      <c r="B3522" s="1" t="s">
        <v>2</v>
      </c>
      <c r="C3522" s="1" t="str">
        <f>IF($B3522 = "Production Item", _xlfn.XLOOKUP($A3522, 'Instrument Table'!$J:$J, 'Instrument Table'!$B:$B, $C3521), IF($B3522 = "Service Item", _xlfn.XLOOKUP($A3522, 'Instrument Table'!$I:$I, 'Instrument Table'!$B:$B, $C3521), _xlfn.XLOOKUP($A3522, 'Instrument Table'!$H:$H, 'Instrument Table'!$B:$B, $C3521)))</f>
        <v>Synthesizer</v>
      </c>
      <c r="D3522" s="1" t="str">
        <f>VLOOKUP($C3522, 'Instrument Table'!$B:$C, 2, FALSE)</f>
        <v>Other</v>
      </c>
      <c r="E3522" s="1">
        <f t="shared" si="324"/>
        <v>1</v>
      </c>
      <c r="F3522" s="1">
        <f>_xlfn.XLOOKUP($C3522, 'Instrument Table'!$B:$B, 'Instrument Table'!$A:$A, "")</f>
        <v>61</v>
      </c>
      <c r="G3522" s="1" t="str">
        <f>TEXT(IF($B3522 = "Retail Item", IF((ROW($A3522) - 4504 - _xlfn.XMATCH($C3522, $C$4506:$C$5005, 0, 1)) &lt;= VLOOKUP($C3522, 'Instrument Table'!$B:$D, 3, FALSE), ROW($A3522) - 4504 - _xlfn.XMATCH($C3522, $C$4506:$C$5005, 0, 1), 0), 0), "00")</f>
        <v>00</v>
      </c>
      <c r="H3522" s="1" t="str">
        <f t="shared" si="325"/>
        <v>066</v>
      </c>
      <c r="I3522" s="1" t="str">
        <f t="shared" si="326"/>
        <v>16100-066</v>
      </c>
      <c r="J3522" s="1" t="str">
        <f t="shared" si="327"/>
        <v>Synthesizer production item #066</v>
      </c>
      <c r="K3522" s="1" t="str">
        <f>IF(SUM(COUNTIFS(I:I, I3522)) &gt; 1, "DUPLICATE", "UNIQUE")</f>
        <v>UNIQUE</v>
      </c>
      <c r="L3522" s="18">
        <v>0</v>
      </c>
      <c r="M3522" s="28">
        <v>6</v>
      </c>
      <c r="N3522" s="6">
        <v>225</v>
      </c>
      <c r="O3522" s="30">
        <f t="shared" si="328"/>
        <v>0</v>
      </c>
      <c r="P3522" s="30">
        <f t="shared" si="329"/>
        <v>1350</v>
      </c>
      <c r="Q3522" s="1">
        <f>COUNTIFS($P:$P, "&gt;" &amp; $P3522) + 1</f>
        <v>3536</v>
      </c>
      <c r="R3522" s="63">
        <f>(COUNTIFS($P:$P, "&gt;" &amp; $P3522) + 1) / (COUNTA($I:$I) - 1)</f>
        <v>0.70720000000000005</v>
      </c>
      <c r="S3522" s="23">
        <f>SUMIFS($P:$P, $Q:$Q, "&lt;" &amp; $Q3522)</f>
        <v>185987313</v>
      </c>
    </row>
    <row r="3523" spans="1:19" x14ac:dyDescent="0.25">
      <c r="A3523" s="1">
        <v>3518</v>
      </c>
      <c r="B3523" s="1" t="s">
        <v>2</v>
      </c>
      <c r="C3523" s="1" t="str">
        <f>IF($B3523 = "Production Item", _xlfn.XLOOKUP($A3523, 'Instrument Table'!$J:$J, 'Instrument Table'!$B:$B, $C3522), IF($B3523 = "Service Item", _xlfn.XLOOKUP($A3523, 'Instrument Table'!$I:$I, 'Instrument Table'!$B:$B, $C3522), _xlfn.XLOOKUP($A3523, 'Instrument Table'!$H:$H, 'Instrument Table'!$B:$B, $C3522)))</f>
        <v>Synthesizer</v>
      </c>
      <c r="D3523" s="1" t="str">
        <f>VLOOKUP($C3523, 'Instrument Table'!$B:$C, 2, FALSE)</f>
        <v>Other</v>
      </c>
      <c r="E3523" s="1">
        <f t="shared" si="324"/>
        <v>1</v>
      </c>
      <c r="F3523" s="1">
        <f>_xlfn.XLOOKUP($C3523, 'Instrument Table'!$B:$B, 'Instrument Table'!$A:$A, "")</f>
        <v>61</v>
      </c>
      <c r="G3523" s="1" t="str">
        <f>TEXT(IF($B3523 = "Retail Item", IF((ROW($A3523) - 4504 - _xlfn.XMATCH($C3523, $C$4506:$C$5005, 0, 1)) &lt;= VLOOKUP($C3523, 'Instrument Table'!$B:$D, 3, FALSE), ROW($A3523) - 4504 - _xlfn.XMATCH($C3523, $C$4506:$C$5005, 0, 1), 0), 0), "00")</f>
        <v>00</v>
      </c>
      <c r="H3523" s="1" t="str">
        <f t="shared" si="325"/>
        <v>067</v>
      </c>
      <c r="I3523" s="1" t="str">
        <f t="shared" si="326"/>
        <v>16100-067</v>
      </c>
      <c r="J3523" s="1" t="str">
        <f t="shared" si="327"/>
        <v>Synthesizer production item #067</v>
      </c>
      <c r="K3523" s="1" t="str">
        <f>IF(SUM(COUNTIFS(I:I, I3523)) &gt; 1, "DUPLICATE", "UNIQUE")</f>
        <v>UNIQUE</v>
      </c>
      <c r="L3523" s="18">
        <v>0</v>
      </c>
      <c r="M3523" s="28">
        <v>95</v>
      </c>
      <c r="N3523" s="6">
        <v>4</v>
      </c>
      <c r="O3523" s="30">
        <f t="shared" si="328"/>
        <v>0</v>
      </c>
      <c r="P3523" s="30">
        <f t="shared" si="329"/>
        <v>380</v>
      </c>
      <c r="Q3523" s="1">
        <f>COUNTIFS($P:$P, "&gt;" &amp; $P3523) + 1</f>
        <v>4121</v>
      </c>
      <c r="R3523" s="63">
        <f>(COUNTIFS($P:$P, "&gt;" &amp; $P3523) + 1) / (COUNTA($I:$I) - 1)</f>
        <v>0.82420000000000004</v>
      </c>
      <c r="S3523" s="23">
        <f>SUMIFS($P:$P, $Q:$Q, "&lt;" &amp; $Q3523)</f>
        <v>186453113</v>
      </c>
    </row>
    <row r="3524" spans="1:19" x14ac:dyDescent="0.25">
      <c r="A3524" s="1">
        <v>3519</v>
      </c>
      <c r="B3524" s="1" t="s">
        <v>2</v>
      </c>
      <c r="C3524" s="1" t="str">
        <f>IF($B3524 = "Production Item", _xlfn.XLOOKUP($A3524, 'Instrument Table'!$J:$J, 'Instrument Table'!$B:$B, $C3523), IF($B3524 = "Service Item", _xlfn.XLOOKUP($A3524, 'Instrument Table'!$I:$I, 'Instrument Table'!$B:$B, $C3523), _xlfn.XLOOKUP($A3524, 'Instrument Table'!$H:$H, 'Instrument Table'!$B:$B, $C3523)))</f>
        <v>Synthesizer</v>
      </c>
      <c r="D3524" s="1" t="str">
        <f>VLOOKUP($C3524, 'Instrument Table'!$B:$C, 2, FALSE)</f>
        <v>Other</v>
      </c>
      <c r="E3524" s="1">
        <f t="shared" si="324"/>
        <v>1</v>
      </c>
      <c r="F3524" s="1">
        <f>_xlfn.XLOOKUP($C3524, 'Instrument Table'!$B:$B, 'Instrument Table'!$A:$A, "")</f>
        <v>61</v>
      </c>
      <c r="G3524" s="1" t="str">
        <f>TEXT(IF($B3524 = "Retail Item", IF((ROW($A3524) - 4504 - _xlfn.XMATCH($C3524, $C$4506:$C$5005, 0, 1)) &lt;= VLOOKUP($C3524, 'Instrument Table'!$B:$D, 3, FALSE), ROW($A3524) - 4504 - _xlfn.XMATCH($C3524, $C$4506:$C$5005, 0, 1), 0), 0), "00")</f>
        <v>00</v>
      </c>
      <c r="H3524" s="1" t="str">
        <f t="shared" si="325"/>
        <v>068</v>
      </c>
      <c r="I3524" s="1" t="str">
        <f t="shared" si="326"/>
        <v>16100-068</v>
      </c>
      <c r="J3524" s="1" t="str">
        <f t="shared" si="327"/>
        <v>Synthesizer production item #068</v>
      </c>
      <c r="K3524" s="1" t="str">
        <f>IF(SUM(COUNTIFS(I:I, I3524)) &gt; 1, "DUPLICATE", "UNIQUE")</f>
        <v>UNIQUE</v>
      </c>
      <c r="L3524" s="18">
        <v>8</v>
      </c>
      <c r="M3524" s="28">
        <v>79</v>
      </c>
      <c r="N3524" s="6">
        <v>81</v>
      </c>
      <c r="O3524" s="30">
        <f t="shared" si="328"/>
        <v>632</v>
      </c>
      <c r="P3524" s="30">
        <f t="shared" si="329"/>
        <v>6399</v>
      </c>
      <c r="Q3524" s="1">
        <f>COUNTIFS($P:$P, "&gt;" &amp; $P3524) + 1</f>
        <v>2219</v>
      </c>
      <c r="R3524" s="63">
        <f>(COUNTIFS($P:$P, "&gt;" &amp; $P3524) + 1) / (COUNTA($I:$I) - 1)</f>
        <v>0.44379999999999997</v>
      </c>
      <c r="S3524" s="23">
        <f>SUMIFS($P:$P, $Q:$Q, "&lt;" &amp; $Q3524)</f>
        <v>181574471</v>
      </c>
    </row>
    <row r="3525" spans="1:19" x14ac:dyDescent="0.25">
      <c r="A3525" s="1">
        <v>3520</v>
      </c>
      <c r="B3525" s="1" t="s">
        <v>2</v>
      </c>
      <c r="C3525" s="1" t="str">
        <f>IF($B3525 = "Production Item", _xlfn.XLOOKUP($A3525, 'Instrument Table'!$J:$J, 'Instrument Table'!$B:$B, $C3524), IF($B3525 = "Service Item", _xlfn.XLOOKUP($A3525, 'Instrument Table'!$I:$I, 'Instrument Table'!$B:$B, $C3524), _xlfn.XLOOKUP($A3525, 'Instrument Table'!$H:$H, 'Instrument Table'!$B:$B, $C3524)))</f>
        <v>Synthesizer</v>
      </c>
      <c r="D3525" s="1" t="str">
        <f>VLOOKUP($C3525, 'Instrument Table'!$B:$C, 2, FALSE)</f>
        <v>Other</v>
      </c>
      <c r="E3525" s="1">
        <f t="shared" si="324"/>
        <v>1</v>
      </c>
      <c r="F3525" s="1">
        <f>_xlfn.XLOOKUP($C3525, 'Instrument Table'!$B:$B, 'Instrument Table'!$A:$A, "")</f>
        <v>61</v>
      </c>
      <c r="G3525" s="1" t="str">
        <f>TEXT(IF($B3525 = "Retail Item", IF((ROW($A3525) - 4504 - _xlfn.XMATCH($C3525, $C$4506:$C$5005, 0, 1)) &lt;= VLOOKUP($C3525, 'Instrument Table'!$B:$D, 3, FALSE), ROW($A3525) - 4504 - _xlfn.XMATCH($C3525, $C$4506:$C$5005, 0, 1), 0), 0), "00")</f>
        <v>00</v>
      </c>
      <c r="H3525" s="1" t="str">
        <f t="shared" si="325"/>
        <v>069</v>
      </c>
      <c r="I3525" s="1" t="str">
        <f t="shared" si="326"/>
        <v>16100-069</v>
      </c>
      <c r="J3525" s="1" t="str">
        <f t="shared" si="327"/>
        <v>Synthesizer production item #069</v>
      </c>
      <c r="K3525" s="1" t="str">
        <f>IF(SUM(COUNTIFS(I:I, I3525)) &gt; 1, "DUPLICATE", "UNIQUE")</f>
        <v>UNIQUE</v>
      </c>
      <c r="L3525" s="18">
        <v>4</v>
      </c>
      <c r="M3525" s="28">
        <v>10</v>
      </c>
      <c r="N3525" s="6">
        <v>4</v>
      </c>
      <c r="O3525" s="30">
        <f t="shared" si="328"/>
        <v>40</v>
      </c>
      <c r="P3525" s="30">
        <f t="shared" si="329"/>
        <v>40</v>
      </c>
      <c r="Q3525" s="1">
        <f>COUNTIFS($P:$P, "&gt;" &amp; $P3525) + 1</f>
        <v>4640</v>
      </c>
      <c r="R3525" s="63">
        <f>(COUNTIFS($P:$P, "&gt;" &amp; $P3525) + 1) / (COUNTA($I:$I) - 1)</f>
        <v>0.92800000000000005</v>
      </c>
      <c r="S3525" s="23">
        <f>SUMIFS($P:$P, $Q:$Q, "&lt;" &amp; $Q3525)</f>
        <v>186545638</v>
      </c>
    </row>
    <row r="3526" spans="1:19" x14ac:dyDescent="0.25">
      <c r="A3526" s="1">
        <v>3521</v>
      </c>
      <c r="B3526" s="1" t="s">
        <v>2</v>
      </c>
      <c r="C3526" s="1" t="str">
        <f>IF($B3526 = "Production Item", _xlfn.XLOOKUP($A3526, 'Instrument Table'!$J:$J, 'Instrument Table'!$B:$B, $C3525), IF($B3526 = "Service Item", _xlfn.XLOOKUP($A3526, 'Instrument Table'!$I:$I, 'Instrument Table'!$B:$B, $C3525), _xlfn.XLOOKUP($A3526, 'Instrument Table'!$H:$H, 'Instrument Table'!$B:$B, $C3525)))</f>
        <v>Synthesizer</v>
      </c>
      <c r="D3526" s="1" t="str">
        <f>VLOOKUP($C3526, 'Instrument Table'!$B:$C, 2, FALSE)</f>
        <v>Other</v>
      </c>
      <c r="E3526" s="1">
        <f t="shared" si="324"/>
        <v>1</v>
      </c>
      <c r="F3526" s="1">
        <f>_xlfn.XLOOKUP($C3526, 'Instrument Table'!$B:$B, 'Instrument Table'!$A:$A, "")</f>
        <v>61</v>
      </c>
      <c r="G3526" s="1" t="str">
        <f>TEXT(IF($B3526 = "Retail Item", IF((ROW($A3526) - 4504 - _xlfn.XMATCH($C3526, $C$4506:$C$5005, 0, 1)) &lt;= VLOOKUP($C3526, 'Instrument Table'!$B:$D, 3, FALSE), ROW($A3526) - 4504 - _xlfn.XMATCH($C3526, $C$4506:$C$5005, 0, 1), 0), 0), "00")</f>
        <v>00</v>
      </c>
      <c r="H3526" s="1" t="str">
        <f t="shared" si="325"/>
        <v>070</v>
      </c>
      <c r="I3526" s="1" t="str">
        <f t="shared" si="326"/>
        <v>16100-070</v>
      </c>
      <c r="J3526" s="1" t="str">
        <f t="shared" si="327"/>
        <v>Synthesizer production item #070</v>
      </c>
      <c r="K3526" s="1" t="str">
        <f>IF(SUM(COUNTIFS(I:I, I3526)) &gt; 1, "DUPLICATE", "UNIQUE")</f>
        <v>UNIQUE</v>
      </c>
      <c r="L3526" s="18">
        <v>1</v>
      </c>
      <c r="M3526" s="28">
        <v>86</v>
      </c>
      <c r="N3526" s="6">
        <v>144</v>
      </c>
      <c r="O3526" s="30">
        <f t="shared" si="328"/>
        <v>86</v>
      </c>
      <c r="P3526" s="30">
        <f t="shared" si="329"/>
        <v>12384</v>
      </c>
      <c r="Q3526" s="1">
        <f>COUNTIFS($P:$P, "&gt;" &amp; $P3526) + 1</f>
        <v>1547</v>
      </c>
      <c r="R3526" s="63">
        <f>(COUNTIFS($P:$P, "&gt;" &amp; $P3526) + 1) / (COUNTA($I:$I) - 1)</f>
        <v>0.30940000000000001</v>
      </c>
      <c r="S3526" s="23">
        <f>SUMIFS($P:$P, $Q:$Q, "&lt;" &amp; $Q3526)</f>
        <v>175437848</v>
      </c>
    </row>
    <row r="3527" spans="1:19" x14ac:dyDescent="0.25">
      <c r="A3527" s="1">
        <v>3522</v>
      </c>
      <c r="B3527" s="1" t="s">
        <v>2</v>
      </c>
      <c r="C3527" s="1" t="str">
        <f>IF($B3527 = "Production Item", _xlfn.XLOOKUP($A3527, 'Instrument Table'!$J:$J, 'Instrument Table'!$B:$B, $C3526), IF($B3527 = "Service Item", _xlfn.XLOOKUP($A3527, 'Instrument Table'!$I:$I, 'Instrument Table'!$B:$B, $C3526), _xlfn.XLOOKUP($A3527, 'Instrument Table'!$H:$H, 'Instrument Table'!$B:$B, $C3526)))</f>
        <v>Synthesizer</v>
      </c>
      <c r="D3527" s="1" t="str">
        <f>VLOOKUP($C3527, 'Instrument Table'!$B:$C, 2, FALSE)</f>
        <v>Other</v>
      </c>
      <c r="E3527" s="1">
        <f t="shared" ref="E3527:E3590" si="330">IF($B3527 = "Production Item", 1, IF($B3527 = "Service Item", 2, IF($B3527 = "Retail Item", 3, "")))</f>
        <v>1</v>
      </c>
      <c r="F3527" s="1">
        <f>_xlfn.XLOOKUP($C3527, 'Instrument Table'!$B:$B, 'Instrument Table'!$A:$A, "")</f>
        <v>61</v>
      </c>
      <c r="G3527" s="1" t="str">
        <f>TEXT(IF($B3527 = "Retail Item", IF((ROW($A3527) - 4504 - _xlfn.XMATCH($C3527, $C$4506:$C$5005, 0, 1)) &lt;= VLOOKUP($C3527, 'Instrument Table'!$B:$D, 3, FALSE), ROW($A3527) - 4504 - _xlfn.XMATCH($C3527, $C$4506:$C$5005, 0, 1), 0), 0), "00")</f>
        <v>00</v>
      </c>
      <c r="H3527" s="1" t="str">
        <f t="shared" ref="H3527:H3590" si="331">TEXT(IF($E3527 &amp; $F3527 &amp; $G3527 = $E3526 &amp; $F3526 &amp; $G3526, 1 + H3526, 0), "000")</f>
        <v>071</v>
      </c>
      <c r="I3527" s="1" t="str">
        <f t="shared" ref="I3527:I3590" si="332" xml:space="preserve"> _xlfn.CONCAT($E3527, $F3527, $G3527, "-", H3527)</f>
        <v>16100-071</v>
      </c>
      <c r="J3527" s="1" t="str">
        <f t="shared" ref="J3527:J3590" si="333">LEFT($C3527, 1) &amp; LOWER(RIGHT($C3527, LEN($C3527) - 1)) &amp; IF(AND($G3527 &lt;&gt; "00", $B3527 = "Retail Item"), " model #" &amp; $G3527, " " &amp; LOWER($B3527) &amp; " #" &amp; $H3527)</f>
        <v>Synthesizer production item #071</v>
      </c>
      <c r="K3527" s="1" t="str">
        <f>IF(SUM(COUNTIFS(I:I, I3527)) &gt; 1, "DUPLICATE", "UNIQUE")</f>
        <v>UNIQUE</v>
      </c>
      <c r="L3527" s="18">
        <v>1</v>
      </c>
      <c r="M3527" s="28">
        <v>85</v>
      </c>
      <c r="N3527" s="6">
        <v>4</v>
      </c>
      <c r="O3527" s="30">
        <f t="shared" ref="O3527:O3590" si="334">$L3527 * $M3527</f>
        <v>85</v>
      </c>
      <c r="P3527" s="30">
        <f t="shared" ref="P3527:P3590" si="335">$N3527 * $M3527</f>
        <v>340</v>
      </c>
      <c r="Q3527" s="1">
        <f>COUNTIFS($P:$P, "&gt;" &amp; $P3527) + 1</f>
        <v>4165</v>
      </c>
      <c r="R3527" s="63">
        <f>(COUNTIFS($P:$P, "&gt;" &amp; $P3527) + 1) / (COUNTA($I:$I) - 1)</f>
        <v>0.83299999999999996</v>
      </c>
      <c r="S3527" s="23">
        <f>SUMIFS($P:$P, $Q:$Q, "&lt;" &amp; $Q3527)</f>
        <v>186468944</v>
      </c>
    </row>
    <row r="3528" spans="1:19" x14ac:dyDescent="0.25">
      <c r="A3528" s="1">
        <v>3523</v>
      </c>
      <c r="B3528" s="1" t="s">
        <v>2</v>
      </c>
      <c r="C3528" s="1" t="str">
        <f>IF($B3528 = "Production Item", _xlfn.XLOOKUP($A3528, 'Instrument Table'!$J:$J, 'Instrument Table'!$B:$B, $C3527), IF($B3528 = "Service Item", _xlfn.XLOOKUP($A3528, 'Instrument Table'!$I:$I, 'Instrument Table'!$B:$B, $C3527), _xlfn.XLOOKUP($A3528, 'Instrument Table'!$H:$H, 'Instrument Table'!$B:$B, $C3527)))</f>
        <v>Synthesizer</v>
      </c>
      <c r="D3528" s="1" t="str">
        <f>VLOOKUP($C3528, 'Instrument Table'!$B:$C, 2, FALSE)</f>
        <v>Other</v>
      </c>
      <c r="E3528" s="1">
        <f t="shared" si="330"/>
        <v>1</v>
      </c>
      <c r="F3528" s="1">
        <f>_xlfn.XLOOKUP($C3528, 'Instrument Table'!$B:$B, 'Instrument Table'!$A:$A, "")</f>
        <v>61</v>
      </c>
      <c r="G3528" s="1" t="str">
        <f>TEXT(IF($B3528 = "Retail Item", IF((ROW($A3528) - 4504 - _xlfn.XMATCH($C3528, $C$4506:$C$5005, 0, 1)) &lt;= VLOOKUP($C3528, 'Instrument Table'!$B:$D, 3, FALSE), ROW($A3528) - 4504 - _xlfn.XMATCH($C3528, $C$4506:$C$5005, 0, 1), 0), 0), "00")</f>
        <v>00</v>
      </c>
      <c r="H3528" s="1" t="str">
        <f t="shared" si="331"/>
        <v>072</v>
      </c>
      <c r="I3528" s="1" t="str">
        <f t="shared" si="332"/>
        <v>16100-072</v>
      </c>
      <c r="J3528" s="1" t="str">
        <f t="shared" si="333"/>
        <v>Synthesizer production item #072</v>
      </c>
      <c r="K3528" s="1" t="str">
        <f>IF(SUM(COUNTIFS(I:I, I3528)) &gt; 1, "DUPLICATE", "UNIQUE")</f>
        <v>UNIQUE</v>
      </c>
      <c r="L3528" s="18">
        <v>4</v>
      </c>
      <c r="M3528" s="28">
        <v>9</v>
      </c>
      <c r="N3528" s="6">
        <v>36</v>
      </c>
      <c r="O3528" s="30">
        <f t="shared" si="334"/>
        <v>36</v>
      </c>
      <c r="P3528" s="30">
        <f t="shared" si="335"/>
        <v>324</v>
      </c>
      <c r="Q3528" s="1">
        <f>COUNTIFS($P:$P, "&gt;" &amp; $P3528) + 1</f>
        <v>4180</v>
      </c>
      <c r="R3528" s="63">
        <f>(COUNTIFS($P:$P, "&gt;" &amp; $P3528) + 1) / (COUNTA($I:$I) - 1)</f>
        <v>0.83599999999999997</v>
      </c>
      <c r="S3528" s="23">
        <f>SUMIFS($P:$P, $Q:$Q, "&lt;" &amp; $Q3528)</f>
        <v>186473950</v>
      </c>
    </row>
    <row r="3529" spans="1:19" x14ac:dyDescent="0.25">
      <c r="A3529" s="1">
        <v>3524</v>
      </c>
      <c r="B3529" s="1" t="s">
        <v>2</v>
      </c>
      <c r="C3529" s="1" t="str">
        <f>IF($B3529 = "Production Item", _xlfn.XLOOKUP($A3529, 'Instrument Table'!$J:$J, 'Instrument Table'!$B:$B, $C3528), IF($B3529 = "Service Item", _xlfn.XLOOKUP($A3529, 'Instrument Table'!$I:$I, 'Instrument Table'!$B:$B, $C3528), _xlfn.XLOOKUP($A3529, 'Instrument Table'!$H:$H, 'Instrument Table'!$B:$B, $C3528)))</f>
        <v>Synthesizer</v>
      </c>
      <c r="D3529" s="1" t="str">
        <f>VLOOKUP($C3529, 'Instrument Table'!$B:$C, 2, FALSE)</f>
        <v>Other</v>
      </c>
      <c r="E3529" s="1">
        <f t="shared" si="330"/>
        <v>1</v>
      </c>
      <c r="F3529" s="1">
        <f>_xlfn.XLOOKUP($C3529, 'Instrument Table'!$B:$B, 'Instrument Table'!$A:$A, "")</f>
        <v>61</v>
      </c>
      <c r="G3529" s="1" t="str">
        <f>TEXT(IF($B3529 = "Retail Item", IF((ROW($A3529) - 4504 - _xlfn.XMATCH($C3529, $C$4506:$C$5005, 0, 1)) &lt;= VLOOKUP($C3529, 'Instrument Table'!$B:$D, 3, FALSE), ROW($A3529) - 4504 - _xlfn.XMATCH($C3529, $C$4506:$C$5005, 0, 1), 0), 0), "00")</f>
        <v>00</v>
      </c>
      <c r="H3529" s="1" t="str">
        <f t="shared" si="331"/>
        <v>073</v>
      </c>
      <c r="I3529" s="1" t="str">
        <f t="shared" si="332"/>
        <v>16100-073</v>
      </c>
      <c r="J3529" s="1" t="str">
        <f t="shared" si="333"/>
        <v>Synthesizer production item #073</v>
      </c>
      <c r="K3529" s="1" t="str">
        <f>IF(SUM(COUNTIFS(I:I, I3529)) &gt; 1, "DUPLICATE", "UNIQUE")</f>
        <v>UNIQUE</v>
      </c>
      <c r="L3529" s="18">
        <v>1</v>
      </c>
      <c r="M3529" s="28">
        <v>19</v>
      </c>
      <c r="N3529" s="6">
        <v>324</v>
      </c>
      <c r="O3529" s="30">
        <f t="shared" si="334"/>
        <v>19</v>
      </c>
      <c r="P3529" s="30">
        <f t="shared" si="335"/>
        <v>6156</v>
      </c>
      <c r="Q3529" s="1">
        <f>COUNTIFS($P:$P, "&gt;" &amp; $P3529) + 1</f>
        <v>2238</v>
      </c>
      <c r="R3529" s="63">
        <f>(COUNTIFS($P:$P, "&gt;" &amp; $P3529) + 1) / (COUNTA($I:$I) - 1)</f>
        <v>0.4476</v>
      </c>
      <c r="S3529" s="23">
        <f>SUMIFS($P:$P, $Q:$Q, "&lt;" &amp; $Q3529)</f>
        <v>181693871</v>
      </c>
    </row>
    <row r="3530" spans="1:19" x14ac:dyDescent="0.25">
      <c r="A3530" s="1">
        <v>3525</v>
      </c>
      <c r="B3530" s="1" t="s">
        <v>2</v>
      </c>
      <c r="C3530" s="1" t="str">
        <f>IF($B3530 = "Production Item", _xlfn.XLOOKUP($A3530, 'Instrument Table'!$J:$J, 'Instrument Table'!$B:$B, $C3529), IF($B3530 = "Service Item", _xlfn.XLOOKUP($A3530, 'Instrument Table'!$I:$I, 'Instrument Table'!$B:$B, $C3529), _xlfn.XLOOKUP($A3530, 'Instrument Table'!$H:$H, 'Instrument Table'!$B:$B, $C3529)))</f>
        <v>Synthesizer</v>
      </c>
      <c r="D3530" s="1" t="str">
        <f>VLOOKUP($C3530, 'Instrument Table'!$B:$C, 2, FALSE)</f>
        <v>Other</v>
      </c>
      <c r="E3530" s="1">
        <f t="shared" si="330"/>
        <v>1</v>
      </c>
      <c r="F3530" s="1">
        <f>_xlfn.XLOOKUP($C3530, 'Instrument Table'!$B:$B, 'Instrument Table'!$A:$A, "")</f>
        <v>61</v>
      </c>
      <c r="G3530" s="1" t="str">
        <f>TEXT(IF($B3530 = "Retail Item", IF((ROW($A3530) - 4504 - _xlfn.XMATCH($C3530, $C$4506:$C$5005, 0, 1)) &lt;= VLOOKUP($C3530, 'Instrument Table'!$B:$D, 3, FALSE), ROW($A3530) - 4504 - _xlfn.XMATCH($C3530, $C$4506:$C$5005, 0, 1), 0), 0), "00")</f>
        <v>00</v>
      </c>
      <c r="H3530" s="1" t="str">
        <f t="shared" si="331"/>
        <v>074</v>
      </c>
      <c r="I3530" s="1" t="str">
        <f t="shared" si="332"/>
        <v>16100-074</v>
      </c>
      <c r="J3530" s="1" t="str">
        <f t="shared" si="333"/>
        <v>Synthesizer production item #074</v>
      </c>
      <c r="K3530" s="1" t="str">
        <f>IF(SUM(COUNTIFS(I:I, I3530)) &gt; 1, "DUPLICATE", "UNIQUE")</f>
        <v>UNIQUE</v>
      </c>
      <c r="L3530" s="18">
        <v>1</v>
      </c>
      <c r="M3530" s="28">
        <v>79</v>
      </c>
      <c r="N3530" s="6">
        <v>9</v>
      </c>
      <c r="O3530" s="30">
        <f t="shared" si="334"/>
        <v>79</v>
      </c>
      <c r="P3530" s="30">
        <f t="shared" si="335"/>
        <v>711</v>
      </c>
      <c r="Q3530" s="1">
        <f>COUNTIFS($P:$P, "&gt;" &amp; $P3530) + 1</f>
        <v>3870</v>
      </c>
      <c r="R3530" s="63">
        <f>(COUNTIFS($P:$P, "&gt;" &amp; $P3530) + 1) / (COUNTA($I:$I) - 1)</f>
        <v>0.77400000000000002</v>
      </c>
      <c r="S3530" s="23">
        <f>SUMIFS($P:$P, $Q:$Q, "&lt;" &amp; $Q3530)</f>
        <v>186318007</v>
      </c>
    </row>
    <row r="3531" spans="1:19" x14ac:dyDescent="0.25">
      <c r="A3531" s="1">
        <v>3526</v>
      </c>
      <c r="B3531" s="1" t="s">
        <v>2</v>
      </c>
      <c r="C3531" s="1" t="str">
        <f>IF($B3531 = "Production Item", _xlfn.XLOOKUP($A3531, 'Instrument Table'!$J:$J, 'Instrument Table'!$B:$B, $C3530), IF($B3531 = "Service Item", _xlfn.XLOOKUP($A3531, 'Instrument Table'!$I:$I, 'Instrument Table'!$B:$B, $C3530), _xlfn.XLOOKUP($A3531, 'Instrument Table'!$H:$H, 'Instrument Table'!$B:$B, $C3530)))</f>
        <v>Synthesizer</v>
      </c>
      <c r="D3531" s="1" t="str">
        <f>VLOOKUP($C3531, 'Instrument Table'!$B:$C, 2, FALSE)</f>
        <v>Other</v>
      </c>
      <c r="E3531" s="1">
        <f t="shared" si="330"/>
        <v>1</v>
      </c>
      <c r="F3531" s="1">
        <f>_xlfn.XLOOKUP($C3531, 'Instrument Table'!$B:$B, 'Instrument Table'!$A:$A, "")</f>
        <v>61</v>
      </c>
      <c r="G3531" s="1" t="str">
        <f>TEXT(IF($B3531 = "Retail Item", IF((ROW($A3531) - 4504 - _xlfn.XMATCH($C3531, $C$4506:$C$5005, 0, 1)) &lt;= VLOOKUP($C3531, 'Instrument Table'!$B:$D, 3, FALSE), ROW($A3531) - 4504 - _xlfn.XMATCH($C3531, $C$4506:$C$5005, 0, 1), 0), 0), "00")</f>
        <v>00</v>
      </c>
      <c r="H3531" s="1" t="str">
        <f t="shared" si="331"/>
        <v>075</v>
      </c>
      <c r="I3531" s="1" t="str">
        <f t="shared" si="332"/>
        <v>16100-075</v>
      </c>
      <c r="J3531" s="1" t="str">
        <f t="shared" si="333"/>
        <v>Synthesizer production item #075</v>
      </c>
      <c r="K3531" s="1" t="str">
        <f>IF(SUM(COUNTIFS(I:I, I3531)) &gt; 1, "DUPLICATE", "UNIQUE")</f>
        <v>UNIQUE</v>
      </c>
      <c r="L3531" s="18">
        <v>32</v>
      </c>
      <c r="M3531" s="28">
        <v>72</v>
      </c>
      <c r="N3531" s="6">
        <v>0</v>
      </c>
      <c r="O3531" s="30">
        <f t="shared" si="334"/>
        <v>2304</v>
      </c>
      <c r="P3531" s="30">
        <f t="shared" si="335"/>
        <v>0</v>
      </c>
      <c r="Q3531" s="1">
        <f>COUNTIFS($P:$P, "&gt;" &amp; $P3531) + 1</f>
        <v>4746</v>
      </c>
      <c r="R3531" s="63">
        <f>(COUNTIFS($P:$P, "&gt;" &amp; $P3531) + 1) / (COUNTA($I:$I) - 1)</f>
        <v>0.94920000000000004</v>
      </c>
      <c r="S3531" s="23">
        <f>SUMIFS($P:$P, $Q:$Q, "&lt;" &amp; $Q3531)</f>
        <v>186547861</v>
      </c>
    </row>
    <row r="3532" spans="1:19" x14ac:dyDescent="0.25">
      <c r="A3532" s="1">
        <v>3527</v>
      </c>
      <c r="B3532" s="1" t="s">
        <v>2</v>
      </c>
      <c r="C3532" s="1" t="str">
        <f>IF($B3532 = "Production Item", _xlfn.XLOOKUP($A3532, 'Instrument Table'!$J:$J, 'Instrument Table'!$B:$B, $C3531), IF($B3532 = "Service Item", _xlfn.XLOOKUP($A3532, 'Instrument Table'!$I:$I, 'Instrument Table'!$B:$B, $C3531), _xlfn.XLOOKUP($A3532, 'Instrument Table'!$H:$H, 'Instrument Table'!$B:$B, $C3531)))</f>
        <v>Synthesizer</v>
      </c>
      <c r="D3532" s="1" t="str">
        <f>VLOOKUP($C3532, 'Instrument Table'!$B:$C, 2, FALSE)</f>
        <v>Other</v>
      </c>
      <c r="E3532" s="1">
        <f t="shared" si="330"/>
        <v>1</v>
      </c>
      <c r="F3532" s="1">
        <f>_xlfn.XLOOKUP($C3532, 'Instrument Table'!$B:$B, 'Instrument Table'!$A:$A, "")</f>
        <v>61</v>
      </c>
      <c r="G3532" s="1" t="str">
        <f>TEXT(IF($B3532 = "Retail Item", IF((ROW($A3532) - 4504 - _xlfn.XMATCH($C3532, $C$4506:$C$5005, 0, 1)) &lt;= VLOOKUP($C3532, 'Instrument Table'!$B:$D, 3, FALSE), ROW($A3532) - 4504 - _xlfn.XMATCH($C3532, $C$4506:$C$5005, 0, 1), 0), 0), "00")</f>
        <v>00</v>
      </c>
      <c r="H3532" s="1" t="str">
        <f t="shared" si="331"/>
        <v>076</v>
      </c>
      <c r="I3532" s="1" t="str">
        <f t="shared" si="332"/>
        <v>16100-076</v>
      </c>
      <c r="J3532" s="1" t="str">
        <f t="shared" si="333"/>
        <v>Synthesizer production item #076</v>
      </c>
      <c r="K3532" s="1" t="str">
        <f>IF(SUM(COUNTIFS(I:I, I3532)) &gt; 1, "DUPLICATE", "UNIQUE")</f>
        <v>UNIQUE</v>
      </c>
      <c r="L3532" s="18">
        <v>0</v>
      </c>
      <c r="M3532" s="28">
        <v>13</v>
      </c>
      <c r="N3532" s="6">
        <v>9</v>
      </c>
      <c r="O3532" s="30">
        <f t="shared" si="334"/>
        <v>0</v>
      </c>
      <c r="P3532" s="30">
        <f t="shared" si="335"/>
        <v>117</v>
      </c>
      <c r="Q3532" s="1">
        <f>COUNTIFS($P:$P, "&gt;" &amp; $P3532) + 1</f>
        <v>4429</v>
      </c>
      <c r="R3532" s="63">
        <f>(COUNTIFS($P:$P, "&gt;" &amp; $P3532) + 1) / (COUNTA($I:$I) - 1)</f>
        <v>0.88580000000000003</v>
      </c>
      <c r="S3532" s="23">
        <f>SUMIFS($P:$P, $Q:$Q, "&lt;" &amp; $Q3532)</f>
        <v>186529879</v>
      </c>
    </row>
    <row r="3533" spans="1:19" x14ac:dyDescent="0.25">
      <c r="A3533" s="1">
        <v>3528</v>
      </c>
      <c r="B3533" s="1" t="s">
        <v>2</v>
      </c>
      <c r="C3533" s="1" t="str">
        <f>IF($B3533 = "Production Item", _xlfn.XLOOKUP($A3533, 'Instrument Table'!$J:$J, 'Instrument Table'!$B:$B, $C3532), IF($B3533 = "Service Item", _xlfn.XLOOKUP($A3533, 'Instrument Table'!$I:$I, 'Instrument Table'!$B:$B, $C3532), _xlfn.XLOOKUP($A3533, 'Instrument Table'!$H:$H, 'Instrument Table'!$B:$B, $C3532)))</f>
        <v>Synthesizer</v>
      </c>
      <c r="D3533" s="1" t="str">
        <f>VLOOKUP($C3533, 'Instrument Table'!$B:$C, 2, FALSE)</f>
        <v>Other</v>
      </c>
      <c r="E3533" s="1">
        <f t="shared" si="330"/>
        <v>1</v>
      </c>
      <c r="F3533" s="1">
        <f>_xlfn.XLOOKUP($C3533, 'Instrument Table'!$B:$B, 'Instrument Table'!$A:$A, "")</f>
        <v>61</v>
      </c>
      <c r="G3533" s="1" t="str">
        <f>TEXT(IF($B3533 = "Retail Item", IF((ROW($A3533) - 4504 - _xlfn.XMATCH($C3533, $C$4506:$C$5005, 0, 1)) &lt;= VLOOKUP($C3533, 'Instrument Table'!$B:$D, 3, FALSE), ROW($A3533) - 4504 - _xlfn.XMATCH($C3533, $C$4506:$C$5005, 0, 1), 0), 0), "00")</f>
        <v>00</v>
      </c>
      <c r="H3533" s="1" t="str">
        <f t="shared" si="331"/>
        <v>077</v>
      </c>
      <c r="I3533" s="1" t="str">
        <f t="shared" si="332"/>
        <v>16100-077</v>
      </c>
      <c r="J3533" s="1" t="str">
        <f t="shared" si="333"/>
        <v>Synthesizer production item #077</v>
      </c>
      <c r="K3533" s="1" t="str">
        <f>IF(SUM(COUNTIFS(I:I, I3533)) &gt; 1, "DUPLICATE", "UNIQUE")</f>
        <v>UNIQUE</v>
      </c>
      <c r="L3533" s="18">
        <v>0</v>
      </c>
      <c r="M3533" s="28">
        <v>79</v>
      </c>
      <c r="N3533" s="6">
        <v>361</v>
      </c>
      <c r="O3533" s="30">
        <f t="shared" si="334"/>
        <v>0</v>
      </c>
      <c r="P3533" s="30">
        <f t="shared" si="335"/>
        <v>28519</v>
      </c>
      <c r="Q3533" s="1">
        <f>COUNTIFS($P:$P, "&gt;" &amp; $P3533) + 1</f>
        <v>723</v>
      </c>
      <c r="R3533" s="63">
        <f>(COUNTIFS($P:$P, "&gt;" &amp; $P3533) + 1) / (COUNTA($I:$I) - 1)</f>
        <v>0.14460000000000001</v>
      </c>
      <c r="S3533" s="23">
        <f>SUMIFS($P:$P, $Q:$Q, "&lt;" &amp; $Q3533)</f>
        <v>159757197</v>
      </c>
    </row>
    <row r="3534" spans="1:19" x14ac:dyDescent="0.25">
      <c r="A3534" s="1">
        <v>3529</v>
      </c>
      <c r="B3534" s="1" t="s">
        <v>2</v>
      </c>
      <c r="C3534" s="1" t="str">
        <f>IF($B3534 = "Production Item", _xlfn.XLOOKUP($A3534, 'Instrument Table'!$J:$J, 'Instrument Table'!$B:$B, $C3533), IF($B3534 = "Service Item", _xlfn.XLOOKUP($A3534, 'Instrument Table'!$I:$I, 'Instrument Table'!$B:$B, $C3533), _xlfn.XLOOKUP($A3534, 'Instrument Table'!$H:$H, 'Instrument Table'!$B:$B, $C3533)))</f>
        <v>Synthesizer</v>
      </c>
      <c r="D3534" s="1" t="str">
        <f>VLOOKUP($C3534, 'Instrument Table'!$B:$C, 2, FALSE)</f>
        <v>Other</v>
      </c>
      <c r="E3534" s="1">
        <f t="shared" si="330"/>
        <v>1</v>
      </c>
      <c r="F3534" s="1">
        <f>_xlfn.XLOOKUP($C3534, 'Instrument Table'!$B:$B, 'Instrument Table'!$A:$A, "")</f>
        <v>61</v>
      </c>
      <c r="G3534" s="1" t="str">
        <f>TEXT(IF($B3534 = "Retail Item", IF((ROW($A3534) - 4504 - _xlfn.XMATCH($C3534, $C$4506:$C$5005, 0, 1)) &lt;= VLOOKUP($C3534, 'Instrument Table'!$B:$D, 3, FALSE), ROW($A3534) - 4504 - _xlfn.XMATCH($C3534, $C$4506:$C$5005, 0, 1), 0), 0), "00")</f>
        <v>00</v>
      </c>
      <c r="H3534" s="1" t="str">
        <f t="shared" si="331"/>
        <v>078</v>
      </c>
      <c r="I3534" s="1" t="str">
        <f t="shared" si="332"/>
        <v>16100-078</v>
      </c>
      <c r="J3534" s="1" t="str">
        <f t="shared" si="333"/>
        <v>Synthesizer production item #078</v>
      </c>
      <c r="K3534" s="1" t="str">
        <f>IF(SUM(COUNTIFS(I:I, I3534)) &gt; 1, "DUPLICATE", "UNIQUE")</f>
        <v>UNIQUE</v>
      </c>
      <c r="L3534" s="18">
        <v>8</v>
      </c>
      <c r="M3534" s="28">
        <v>59</v>
      </c>
      <c r="N3534" s="6">
        <v>0</v>
      </c>
      <c r="O3534" s="30">
        <f t="shared" si="334"/>
        <v>472</v>
      </c>
      <c r="P3534" s="30">
        <f t="shared" si="335"/>
        <v>0</v>
      </c>
      <c r="Q3534" s="1">
        <f>COUNTIFS($P:$P, "&gt;" &amp; $P3534) + 1</f>
        <v>4746</v>
      </c>
      <c r="R3534" s="63">
        <f>(COUNTIFS($P:$P, "&gt;" &amp; $P3534) + 1) / (COUNTA($I:$I) - 1)</f>
        <v>0.94920000000000004</v>
      </c>
      <c r="S3534" s="23">
        <f>SUMIFS($P:$P, $Q:$Q, "&lt;" &amp; $Q3534)</f>
        <v>186547861</v>
      </c>
    </row>
    <row r="3535" spans="1:19" x14ac:dyDescent="0.25">
      <c r="A3535" s="1">
        <v>3530</v>
      </c>
      <c r="B3535" s="1" t="s">
        <v>2</v>
      </c>
      <c r="C3535" s="1" t="str">
        <f>IF($B3535 = "Production Item", _xlfn.XLOOKUP($A3535, 'Instrument Table'!$J:$J, 'Instrument Table'!$B:$B, $C3534), IF($B3535 = "Service Item", _xlfn.XLOOKUP($A3535, 'Instrument Table'!$I:$I, 'Instrument Table'!$B:$B, $C3534), _xlfn.XLOOKUP($A3535, 'Instrument Table'!$H:$H, 'Instrument Table'!$B:$B, $C3534)))</f>
        <v>Synthesizer</v>
      </c>
      <c r="D3535" s="1" t="str">
        <f>VLOOKUP($C3535, 'Instrument Table'!$B:$C, 2, FALSE)</f>
        <v>Other</v>
      </c>
      <c r="E3535" s="1">
        <f t="shared" si="330"/>
        <v>1</v>
      </c>
      <c r="F3535" s="1">
        <f>_xlfn.XLOOKUP($C3535, 'Instrument Table'!$B:$B, 'Instrument Table'!$A:$A, "")</f>
        <v>61</v>
      </c>
      <c r="G3535" s="1" t="str">
        <f>TEXT(IF($B3535 = "Retail Item", IF((ROW($A3535) - 4504 - _xlfn.XMATCH($C3535, $C$4506:$C$5005, 0, 1)) &lt;= VLOOKUP($C3535, 'Instrument Table'!$B:$D, 3, FALSE), ROW($A3535) - 4504 - _xlfn.XMATCH($C3535, $C$4506:$C$5005, 0, 1), 0), 0), "00")</f>
        <v>00</v>
      </c>
      <c r="H3535" s="1" t="str">
        <f t="shared" si="331"/>
        <v>079</v>
      </c>
      <c r="I3535" s="1" t="str">
        <f t="shared" si="332"/>
        <v>16100-079</v>
      </c>
      <c r="J3535" s="1" t="str">
        <f t="shared" si="333"/>
        <v>Synthesizer production item #079</v>
      </c>
      <c r="K3535" s="1" t="str">
        <f>IF(SUM(COUNTIFS(I:I, I3535)) &gt; 1, "DUPLICATE", "UNIQUE")</f>
        <v>UNIQUE</v>
      </c>
      <c r="L3535" s="18">
        <v>0</v>
      </c>
      <c r="M3535" s="28">
        <v>98</v>
      </c>
      <c r="N3535" s="6">
        <v>196</v>
      </c>
      <c r="O3535" s="30">
        <f t="shared" si="334"/>
        <v>0</v>
      </c>
      <c r="P3535" s="30">
        <f t="shared" si="335"/>
        <v>19208</v>
      </c>
      <c r="Q3535" s="1">
        <f>COUNTIFS($P:$P, "&gt;" &amp; $P3535) + 1</f>
        <v>1089</v>
      </c>
      <c r="R3535" s="63">
        <f>(COUNTIFS($P:$P, "&gt;" &amp; $P3535) + 1) / (COUNTA($I:$I) - 1)</f>
        <v>0.21779999999999999</v>
      </c>
      <c r="S3535" s="23">
        <f>SUMIFS($P:$P, $Q:$Q, "&lt;" &amp; $Q3535)</f>
        <v>168293133</v>
      </c>
    </row>
    <row r="3536" spans="1:19" x14ac:dyDescent="0.25">
      <c r="A3536" s="1">
        <v>3531</v>
      </c>
      <c r="B3536" s="1" t="s">
        <v>2</v>
      </c>
      <c r="C3536" s="1" t="str">
        <f>IF($B3536 = "Production Item", _xlfn.XLOOKUP($A3536, 'Instrument Table'!$J:$J, 'Instrument Table'!$B:$B, $C3535), IF($B3536 = "Service Item", _xlfn.XLOOKUP($A3536, 'Instrument Table'!$I:$I, 'Instrument Table'!$B:$B, $C3535), _xlfn.XLOOKUP($A3536, 'Instrument Table'!$H:$H, 'Instrument Table'!$B:$B, $C3535)))</f>
        <v>Synthesizer</v>
      </c>
      <c r="D3536" s="1" t="str">
        <f>VLOOKUP($C3536, 'Instrument Table'!$B:$C, 2, FALSE)</f>
        <v>Other</v>
      </c>
      <c r="E3536" s="1">
        <f t="shared" si="330"/>
        <v>1</v>
      </c>
      <c r="F3536" s="1">
        <f>_xlfn.XLOOKUP($C3536, 'Instrument Table'!$B:$B, 'Instrument Table'!$A:$A, "")</f>
        <v>61</v>
      </c>
      <c r="G3536" s="1" t="str">
        <f>TEXT(IF($B3536 = "Retail Item", IF((ROW($A3536) - 4504 - _xlfn.XMATCH($C3536, $C$4506:$C$5005, 0, 1)) &lt;= VLOOKUP($C3536, 'Instrument Table'!$B:$D, 3, FALSE), ROW($A3536) - 4504 - _xlfn.XMATCH($C3536, $C$4506:$C$5005, 0, 1), 0), 0), "00")</f>
        <v>00</v>
      </c>
      <c r="H3536" s="1" t="str">
        <f t="shared" si="331"/>
        <v>080</v>
      </c>
      <c r="I3536" s="1" t="str">
        <f t="shared" si="332"/>
        <v>16100-080</v>
      </c>
      <c r="J3536" s="1" t="str">
        <f t="shared" si="333"/>
        <v>Synthesizer production item #080</v>
      </c>
      <c r="K3536" s="1" t="str">
        <f>IF(SUM(COUNTIFS(I:I, I3536)) &gt; 1, "DUPLICATE", "UNIQUE")</f>
        <v>UNIQUE</v>
      </c>
      <c r="L3536" s="18">
        <v>0</v>
      </c>
      <c r="M3536" s="28">
        <v>94</v>
      </c>
      <c r="N3536" s="6">
        <v>49</v>
      </c>
      <c r="O3536" s="30">
        <f t="shared" si="334"/>
        <v>0</v>
      </c>
      <c r="P3536" s="30">
        <f t="shared" si="335"/>
        <v>4606</v>
      </c>
      <c r="Q3536" s="1">
        <f>COUNTIFS($P:$P, "&gt;" &amp; $P3536) + 1</f>
        <v>2521</v>
      </c>
      <c r="R3536" s="63">
        <f>(COUNTIFS($P:$P, "&gt;" &amp; $P3536) + 1) / (COUNTA($I:$I) - 1)</f>
        <v>0.50419999999999998</v>
      </c>
      <c r="S3536" s="23">
        <f>SUMIFS($P:$P, $Q:$Q, "&lt;" &amp; $Q3536)</f>
        <v>183213023</v>
      </c>
    </row>
    <row r="3537" spans="1:19" x14ac:dyDescent="0.25">
      <c r="A3537" s="1">
        <v>3532</v>
      </c>
      <c r="B3537" s="1" t="s">
        <v>2</v>
      </c>
      <c r="C3537" s="1" t="str">
        <f>IF($B3537 = "Production Item", _xlfn.XLOOKUP($A3537, 'Instrument Table'!$J:$J, 'Instrument Table'!$B:$B, $C3536), IF($B3537 = "Service Item", _xlfn.XLOOKUP($A3537, 'Instrument Table'!$I:$I, 'Instrument Table'!$B:$B, $C3536), _xlfn.XLOOKUP($A3537, 'Instrument Table'!$H:$H, 'Instrument Table'!$B:$B, $C3536)))</f>
        <v>Synthesizer</v>
      </c>
      <c r="D3537" s="1" t="str">
        <f>VLOOKUP($C3537, 'Instrument Table'!$B:$C, 2, FALSE)</f>
        <v>Other</v>
      </c>
      <c r="E3537" s="1">
        <f t="shared" si="330"/>
        <v>1</v>
      </c>
      <c r="F3537" s="1">
        <f>_xlfn.XLOOKUP($C3537, 'Instrument Table'!$B:$B, 'Instrument Table'!$A:$A, "")</f>
        <v>61</v>
      </c>
      <c r="G3537" s="1" t="str">
        <f>TEXT(IF($B3537 = "Retail Item", IF((ROW($A3537) - 4504 - _xlfn.XMATCH($C3537, $C$4506:$C$5005, 0, 1)) &lt;= VLOOKUP($C3537, 'Instrument Table'!$B:$D, 3, FALSE), ROW($A3537) - 4504 - _xlfn.XMATCH($C3537, $C$4506:$C$5005, 0, 1), 0), 0), "00")</f>
        <v>00</v>
      </c>
      <c r="H3537" s="1" t="str">
        <f t="shared" si="331"/>
        <v>081</v>
      </c>
      <c r="I3537" s="1" t="str">
        <f t="shared" si="332"/>
        <v>16100-081</v>
      </c>
      <c r="J3537" s="1" t="str">
        <f t="shared" si="333"/>
        <v>Synthesizer production item #081</v>
      </c>
      <c r="K3537" s="1" t="str">
        <f>IF(SUM(COUNTIFS(I:I, I3537)) &gt; 1, "DUPLICATE", "UNIQUE")</f>
        <v>UNIQUE</v>
      </c>
      <c r="L3537" s="18">
        <v>0</v>
      </c>
      <c r="M3537" s="28">
        <v>4</v>
      </c>
      <c r="N3537" s="6">
        <v>64</v>
      </c>
      <c r="O3537" s="30">
        <f t="shared" si="334"/>
        <v>0</v>
      </c>
      <c r="P3537" s="30">
        <f t="shared" si="335"/>
        <v>256</v>
      </c>
      <c r="Q3537" s="1">
        <f>COUNTIFS($P:$P, "&gt;" &amp; $P3537) + 1</f>
        <v>4259</v>
      </c>
      <c r="R3537" s="63">
        <f>(COUNTIFS($P:$P, "&gt;" &amp; $P3537) + 1) / (COUNTA($I:$I) - 1)</f>
        <v>0.8518</v>
      </c>
      <c r="S3537" s="23">
        <f>SUMIFS($P:$P, $Q:$Q, "&lt;" &amp; $Q3537)</f>
        <v>186497451</v>
      </c>
    </row>
    <row r="3538" spans="1:19" x14ac:dyDescent="0.25">
      <c r="A3538" s="1">
        <v>3533</v>
      </c>
      <c r="B3538" s="1" t="s">
        <v>2</v>
      </c>
      <c r="C3538" s="1" t="str">
        <f>IF($B3538 = "Production Item", _xlfn.XLOOKUP($A3538, 'Instrument Table'!$J:$J, 'Instrument Table'!$B:$B, $C3537), IF($B3538 = "Service Item", _xlfn.XLOOKUP($A3538, 'Instrument Table'!$I:$I, 'Instrument Table'!$B:$B, $C3537), _xlfn.XLOOKUP($A3538, 'Instrument Table'!$H:$H, 'Instrument Table'!$B:$B, $C3537)))</f>
        <v>Synthesizer</v>
      </c>
      <c r="D3538" s="1" t="str">
        <f>VLOOKUP($C3538, 'Instrument Table'!$B:$C, 2, FALSE)</f>
        <v>Other</v>
      </c>
      <c r="E3538" s="1">
        <f t="shared" si="330"/>
        <v>1</v>
      </c>
      <c r="F3538" s="1">
        <f>_xlfn.XLOOKUP($C3538, 'Instrument Table'!$B:$B, 'Instrument Table'!$A:$A, "")</f>
        <v>61</v>
      </c>
      <c r="G3538" s="1" t="str">
        <f>TEXT(IF($B3538 = "Retail Item", IF((ROW($A3538) - 4504 - _xlfn.XMATCH($C3538, $C$4506:$C$5005, 0, 1)) &lt;= VLOOKUP($C3538, 'Instrument Table'!$B:$D, 3, FALSE), ROW($A3538) - 4504 - _xlfn.XMATCH($C3538, $C$4506:$C$5005, 0, 1), 0), 0), "00")</f>
        <v>00</v>
      </c>
      <c r="H3538" s="1" t="str">
        <f t="shared" si="331"/>
        <v>082</v>
      </c>
      <c r="I3538" s="1" t="str">
        <f t="shared" si="332"/>
        <v>16100-082</v>
      </c>
      <c r="J3538" s="1" t="str">
        <f t="shared" si="333"/>
        <v>Synthesizer production item #082</v>
      </c>
      <c r="K3538" s="1" t="str">
        <f>IF(SUM(COUNTIFS(I:I, I3538)) &gt; 1, "DUPLICATE", "UNIQUE")</f>
        <v>UNIQUE</v>
      </c>
      <c r="L3538" s="18">
        <v>4</v>
      </c>
      <c r="M3538" s="28">
        <v>97</v>
      </c>
      <c r="N3538" s="6">
        <v>49</v>
      </c>
      <c r="O3538" s="30">
        <f t="shared" si="334"/>
        <v>388</v>
      </c>
      <c r="P3538" s="30">
        <f t="shared" si="335"/>
        <v>4753</v>
      </c>
      <c r="Q3538" s="1">
        <f>COUNTIFS($P:$P, "&gt;" &amp; $P3538) + 1</f>
        <v>2492</v>
      </c>
      <c r="R3538" s="63">
        <f>(COUNTIFS($P:$P, "&gt;" &amp; $P3538) + 1) / (COUNTA($I:$I) - 1)</f>
        <v>0.49840000000000001</v>
      </c>
      <c r="S3538" s="23">
        <f>SUMIFS($P:$P, $Q:$Q, "&lt;" &amp; $Q3538)</f>
        <v>183077330</v>
      </c>
    </row>
    <row r="3539" spans="1:19" x14ac:dyDescent="0.25">
      <c r="A3539" s="1">
        <v>3534</v>
      </c>
      <c r="B3539" s="1" t="s">
        <v>2</v>
      </c>
      <c r="C3539" s="1" t="str">
        <f>IF($B3539 = "Production Item", _xlfn.XLOOKUP($A3539, 'Instrument Table'!$J:$J, 'Instrument Table'!$B:$B, $C3538), IF($B3539 = "Service Item", _xlfn.XLOOKUP($A3539, 'Instrument Table'!$I:$I, 'Instrument Table'!$B:$B, $C3538), _xlfn.XLOOKUP($A3539, 'Instrument Table'!$H:$H, 'Instrument Table'!$B:$B, $C3538)))</f>
        <v>Synthesizer</v>
      </c>
      <c r="D3539" s="1" t="str">
        <f>VLOOKUP($C3539, 'Instrument Table'!$B:$C, 2, FALSE)</f>
        <v>Other</v>
      </c>
      <c r="E3539" s="1">
        <f t="shared" si="330"/>
        <v>1</v>
      </c>
      <c r="F3539" s="1">
        <f>_xlfn.XLOOKUP($C3539, 'Instrument Table'!$B:$B, 'Instrument Table'!$A:$A, "")</f>
        <v>61</v>
      </c>
      <c r="G3539" s="1" t="str">
        <f>TEXT(IF($B3539 = "Retail Item", IF((ROW($A3539) - 4504 - _xlfn.XMATCH($C3539, $C$4506:$C$5005, 0, 1)) &lt;= VLOOKUP($C3539, 'Instrument Table'!$B:$D, 3, FALSE), ROW($A3539) - 4504 - _xlfn.XMATCH($C3539, $C$4506:$C$5005, 0, 1), 0), 0), "00")</f>
        <v>00</v>
      </c>
      <c r="H3539" s="1" t="str">
        <f t="shared" si="331"/>
        <v>083</v>
      </c>
      <c r="I3539" s="1" t="str">
        <f t="shared" si="332"/>
        <v>16100-083</v>
      </c>
      <c r="J3539" s="1" t="str">
        <f t="shared" si="333"/>
        <v>Synthesizer production item #083</v>
      </c>
      <c r="K3539" s="1" t="str">
        <f>IF(SUM(COUNTIFS(I:I, I3539)) &gt; 1, "DUPLICATE", "UNIQUE")</f>
        <v>UNIQUE</v>
      </c>
      <c r="L3539" s="18">
        <v>1</v>
      </c>
      <c r="M3539" s="28">
        <v>4</v>
      </c>
      <c r="N3539" s="6">
        <v>9</v>
      </c>
      <c r="O3539" s="30">
        <f t="shared" si="334"/>
        <v>4</v>
      </c>
      <c r="P3539" s="30">
        <f t="shared" si="335"/>
        <v>36</v>
      </c>
      <c r="Q3539" s="1">
        <f>COUNTIFS($P:$P, "&gt;" &amp; $P3539) + 1</f>
        <v>4650</v>
      </c>
      <c r="R3539" s="63">
        <f>(COUNTIFS($P:$P, "&gt;" &amp; $P3539) + 1) / (COUNTA($I:$I) - 1)</f>
        <v>0.93</v>
      </c>
      <c r="S3539" s="23">
        <f>SUMIFS($P:$P, $Q:$Q, "&lt;" &amp; $Q3539)</f>
        <v>186546024</v>
      </c>
    </row>
    <row r="3540" spans="1:19" x14ac:dyDescent="0.25">
      <c r="A3540" s="1">
        <v>3535</v>
      </c>
      <c r="B3540" s="1" t="s">
        <v>2</v>
      </c>
      <c r="C3540" s="1" t="str">
        <f>IF($B3540 = "Production Item", _xlfn.XLOOKUP($A3540, 'Instrument Table'!$J:$J, 'Instrument Table'!$B:$B, $C3539), IF($B3540 = "Service Item", _xlfn.XLOOKUP($A3540, 'Instrument Table'!$I:$I, 'Instrument Table'!$B:$B, $C3539), _xlfn.XLOOKUP($A3540, 'Instrument Table'!$H:$H, 'Instrument Table'!$B:$B, $C3539)))</f>
        <v>Synthesizer</v>
      </c>
      <c r="D3540" s="1" t="str">
        <f>VLOOKUP($C3540, 'Instrument Table'!$B:$C, 2, FALSE)</f>
        <v>Other</v>
      </c>
      <c r="E3540" s="1">
        <f t="shared" si="330"/>
        <v>1</v>
      </c>
      <c r="F3540" s="1">
        <f>_xlfn.XLOOKUP($C3540, 'Instrument Table'!$B:$B, 'Instrument Table'!$A:$A, "")</f>
        <v>61</v>
      </c>
      <c r="G3540" s="1" t="str">
        <f>TEXT(IF($B3540 = "Retail Item", IF((ROW($A3540) - 4504 - _xlfn.XMATCH($C3540, $C$4506:$C$5005, 0, 1)) &lt;= VLOOKUP($C3540, 'Instrument Table'!$B:$D, 3, FALSE), ROW($A3540) - 4504 - _xlfn.XMATCH($C3540, $C$4506:$C$5005, 0, 1), 0), 0), "00")</f>
        <v>00</v>
      </c>
      <c r="H3540" s="1" t="str">
        <f t="shared" si="331"/>
        <v>084</v>
      </c>
      <c r="I3540" s="1" t="str">
        <f t="shared" si="332"/>
        <v>16100-084</v>
      </c>
      <c r="J3540" s="1" t="str">
        <f t="shared" si="333"/>
        <v>Synthesizer production item #084</v>
      </c>
      <c r="K3540" s="1" t="str">
        <f>IF(SUM(COUNTIFS(I:I, I3540)) &gt; 1, "DUPLICATE", "UNIQUE")</f>
        <v>UNIQUE</v>
      </c>
      <c r="L3540" s="18">
        <v>1</v>
      </c>
      <c r="M3540" s="28">
        <v>87</v>
      </c>
      <c r="N3540" s="6">
        <v>121</v>
      </c>
      <c r="O3540" s="30">
        <f t="shared" si="334"/>
        <v>87</v>
      </c>
      <c r="P3540" s="30">
        <f t="shared" si="335"/>
        <v>10527</v>
      </c>
      <c r="Q3540" s="1">
        <f>COUNTIFS($P:$P, "&gt;" &amp; $P3540) + 1</f>
        <v>1725</v>
      </c>
      <c r="R3540" s="63">
        <f>(COUNTIFS($P:$P, "&gt;" &amp; $P3540) + 1) / (COUNTA($I:$I) - 1)</f>
        <v>0.34499999999999997</v>
      </c>
      <c r="S3540" s="23">
        <f>SUMIFS($P:$P, $Q:$Q, "&lt;" &amp; $Q3540)</f>
        <v>177481558</v>
      </c>
    </row>
    <row r="3541" spans="1:19" x14ac:dyDescent="0.25">
      <c r="A3541" s="1">
        <v>3536</v>
      </c>
      <c r="B3541" s="1" t="s">
        <v>2</v>
      </c>
      <c r="C3541" s="1" t="str">
        <f>IF($B3541 = "Production Item", _xlfn.XLOOKUP($A3541, 'Instrument Table'!$J:$J, 'Instrument Table'!$B:$B, $C3540), IF($B3541 = "Service Item", _xlfn.XLOOKUP($A3541, 'Instrument Table'!$I:$I, 'Instrument Table'!$B:$B, $C3540), _xlfn.XLOOKUP($A3541, 'Instrument Table'!$H:$H, 'Instrument Table'!$B:$B, $C3540)))</f>
        <v>Synthesizer</v>
      </c>
      <c r="D3541" s="1" t="str">
        <f>VLOOKUP($C3541, 'Instrument Table'!$B:$C, 2, FALSE)</f>
        <v>Other</v>
      </c>
      <c r="E3541" s="1">
        <f t="shared" si="330"/>
        <v>1</v>
      </c>
      <c r="F3541" s="1">
        <f>_xlfn.XLOOKUP($C3541, 'Instrument Table'!$B:$B, 'Instrument Table'!$A:$A, "")</f>
        <v>61</v>
      </c>
      <c r="G3541" s="1" t="str">
        <f>TEXT(IF($B3541 = "Retail Item", IF((ROW($A3541) - 4504 - _xlfn.XMATCH($C3541, $C$4506:$C$5005, 0, 1)) &lt;= VLOOKUP($C3541, 'Instrument Table'!$B:$D, 3, FALSE), ROW($A3541) - 4504 - _xlfn.XMATCH($C3541, $C$4506:$C$5005, 0, 1), 0), 0), "00")</f>
        <v>00</v>
      </c>
      <c r="H3541" s="1" t="str">
        <f t="shared" si="331"/>
        <v>085</v>
      </c>
      <c r="I3541" s="1" t="str">
        <f t="shared" si="332"/>
        <v>16100-085</v>
      </c>
      <c r="J3541" s="1" t="str">
        <f t="shared" si="333"/>
        <v>Synthesizer production item #085</v>
      </c>
      <c r="K3541" s="1" t="str">
        <f>IF(SUM(COUNTIFS(I:I, I3541)) &gt; 1, "DUPLICATE", "UNIQUE")</f>
        <v>UNIQUE</v>
      </c>
      <c r="L3541" s="18">
        <v>0</v>
      </c>
      <c r="M3541" s="28">
        <v>68</v>
      </c>
      <c r="N3541" s="6">
        <v>361</v>
      </c>
      <c r="O3541" s="30">
        <f t="shared" si="334"/>
        <v>0</v>
      </c>
      <c r="P3541" s="30">
        <f t="shared" si="335"/>
        <v>24548</v>
      </c>
      <c r="Q3541" s="1">
        <f>COUNTIFS($P:$P, "&gt;" &amp; $P3541) + 1</f>
        <v>852</v>
      </c>
      <c r="R3541" s="63">
        <f>(COUNTIFS($P:$P, "&gt;" &amp; $P3541) + 1) / (COUNTA($I:$I) - 1)</f>
        <v>0.1704</v>
      </c>
      <c r="S3541" s="23">
        <f>SUMIFS($P:$P, $Q:$Q, "&lt;" &amp; $Q3541)</f>
        <v>163132717</v>
      </c>
    </row>
    <row r="3542" spans="1:19" x14ac:dyDescent="0.25">
      <c r="A3542" s="1">
        <v>3537</v>
      </c>
      <c r="B3542" s="1" t="s">
        <v>2</v>
      </c>
      <c r="C3542" s="1" t="str">
        <f>IF($B3542 = "Production Item", _xlfn.XLOOKUP($A3542, 'Instrument Table'!$J:$J, 'Instrument Table'!$B:$B, $C3541), IF($B3542 = "Service Item", _xlfn.XLOOKUP($A3542, 'Instrument Table'!$I:$I, 'Instrument Table'!$B:$B, $C3541), _xlfn.XLOOKUP($A3542, 'Instrument Table'!$H:$H, 'Instrument Table'!$B:$B, $C3541)))</f>
        <v>Synthesizer</v>
      </c>
      <c r="D3542" s="1" t="str">
        <f>VLOOKUP($C3542, 'Instrument Table'!$B:$C, 2, FALSE)</f>
        <v>Other</v>
      </c>
      <c r="E3542" s="1">
        <f t="shared" si="330"/>
        <v>1</v>
      </c>
      <c r="F3542" s="1">
        <f>_xlfn.XLOOKUP($C3542, 'Instrument Table'!$B:$B, 'Instrument Table'!$A:$A, "")</f>
        <v>61</v>
      </c>
      <c r="G3542" s="1" t="str">
        <f>TEXT(IF($B3542 = "Retail Item", IF((ROW($A3542) - 4504 - _xlfn.XMATCH($C3542, $C$4506:$C$5005, 0, 1)) &lt;= VLOOKUP($C3542, 'Instrument Table'!$B:$D, 3, FALSE), ROW($A3542) - 4504 - _xlfn.XMATCH($C3542, $C$4506:$C$5005, 0, 1), 0), 0), "00")</f>
        <v>00</v>
      </c>
      <c r="H3542" s="1" t="str">
        <f t="shared" si="331"/>
        <v>086</v>
      </c>
      <c r="I3542" s="1" t="str">
        <f t="shared" si="332"/>
        <v>16100-086</v>
      </c>
      <c r="J3542" s="1" t="str">
        <f t="shared" si="333"/>
        <v>Synthesizer production item #086</v>
      </c>
      <c r="K3542" s="1" t="str">
        <f>IF(SUM(COUNTIFS(I:I, I3542)) &gt; 1, "DUPLICATE", "UNIQUE")</f>
        <v>UNIQUE</v>
      </c>
      <c r="L3542" s="18">
        <v>2</v>
      </c>
      <c r="M3542" s="28">
        <v>62</v>
      </c>
      <c r="N3542" s="6">
        <v>400</v>
      </c>
      <c r="O3542" s="30">
        <f t="shared" si="334"/>
        <v>124</v>
      </c>
      <c r="P3542" s="30">
        <f t="shared" si="335"/>
        <v>24800</v>
      </c>
      <c r="Q3542" s="1">
        <f>COUNTIFS($P:$P, "&gt;" &amp; $P3542) + 1</f>
        <v>838</v>
      </c>
      <c r="R3542" s="63">
        <f>(COUNTIFS($P:$P, "&gt;" &amp; $P3542) + 1) / (COUNTA($I:$I) - 1)</f>
        <v>0.1676</v>
      </c>
      <c r="S3542" s="23">
        <f>SUMIFS($P:$P, $Q:$Q, "&lt;" &amp; $Q3542)</f>
        <v>162788340</v>
      </c>
    </row>
    <row r="3543" spans="1:19" x14ac:dyDescent="0.25">
      <c r="A3543" s="1">
        <v>3538</v>
      </c>
      <c r="B3543" s="1" t="s">
        <v>2</v>
      </c>
      <c r="C3543" s="1" t="str">
        <f>IF($B3543 = "Production Item", _xlfn.XLOOKUP($A3543, 'Instrument Table'!$J:$J, 'Instrument Table'!$B:$B, $C3542), IF($B3543 = "Service Item", _xlfn.XLOOKUP($A3543, 'Instrument Table'!$I:$I, 'Instrument Table'!$B:$B, $C3542), _xlfn.XLOOKUP($A3543, 'Instrument Table'!$H:$H, 'Instrument Table'!$B:$B, $C3542)))</f>
        <v>Synthesizer</v>
      </c>
      <c r="D3543" s="1" t="str">
        <f>VLOOKUP($C3543, 'Instrument Table'!$B:$C, 2, FALSE)</f>
        <v>Other</v>
      </c>
      <c r="E3543" s="1">
        <f t="shared" si="330"/>
        <v>1</v>
      </c>
      <c r="F3543" s="1">
        <f>_xlfn.XLOOKUP($C3543, 'Instrument Table'!$B:$B, 'Instrument Table'!$A:$A, "")</f>
        <v>61</v>
      </c>
      <c r="G3543" s="1" t="str">
        <f>TEXT(IF($B3543 = "Retail Item", IF((ROW($A3543) - 4504 - _xlfn.XMATCH($C3543, $C$4506:$C$5005, 0, 1)) &lt;= VLOOKUP($C3543, 'Instrument Table'!$B:$D, 3, FALSE), ROW($A3543) - 4504 - _xlfn.XMATCH($C3543, $C$4506:$C$5005, 0, 1), 0), 0), "00")</f>
        <v>00</v>
      </c>
      <c r="H3543" s="1" t="str">
        <f t="shared" si="331"/>
        <v>087</v>
      </c>
      <c r="I3543" s="1" t="str">
        <f t="shared" si="332"/>
        <v>16100-087</v>
      </c>
      <c r="J3543" s="1" t="str">
        <f t="shared" si="333"/>
        <v>Synthesizer production item #087</v>
      </c>
      <c r="K3543" s="1" t="str">
        <f>IF(SUM(COUNTIFS(I:I, I3543)) &gt; 1, "DUPLICATE", "UNIQUE")</f>
        <v>UNIQUE</v>
      </c>
      <c r="L3543" s="18">
        <v>16</v>
      </c>
      <c r="M3543" s="28">
        <v>79</v>
      </c>
      <c r="N3543" s="6">
        <v>81</v>
      </c>
      <c r="O3543" s="30">
        <f t="shared" si="334"/>
        <v>1264</v>
      </c>
      <c r="P3543" s="30">
        <f t="shared" si="335"/>
        <v>6399</v>
      </c>
      <c r="Q3543" s="1">
        <f>COUNTIFS($P:$P, "&gt;" &amp; $P3543) + 1</f>
        <v>2219</v>
      </c>
      <c r="R3543" s="63">
        <f>(COUNTIFS($P:$P, "&gt;" &amp; $P3543) + 1) / (COUNTA($I:$I) - 1)</f>
        <v>0.44379999999999997</v>
      </c>
      <c r="S3543" s="23">
        <f>SUMIFS($P:$P, $Q:$Q, "&lt;" &amp; $Q3543)</f>
        <v>181574471</v>
      </c>
    </row>
    <row r="3544" spans="1:19" x14ac:dyDescent="0.25">
      <c r="A3544" s="1">
        <v>3539</v>
      </c>
      <c r="B3544" s="1" t="s">
        <v>2</v>
      </c>
      <c r="C3544" s="1" t="str">
        <f>IF($B3544 = "Production Item", _xlfn.XLOOKUP($A3544, 'Instrument Table'!$J:$J, 'Instrument Table'!$B:$B, $C3543), IF($B3544 = "Service Item", _xlfn.XLOOKUP($A3544, 'Instrument Table'!$I:$I, 'Instrument Table'!$B:$B, $C3543), _xlfn.XLOOKUP($A3544, 'Instrument Table'!$H:$H, 'Instrument Table'!$B:$B, $C3543)))</f>
        <v>Synthesizer</v>
      </c>
      <c r="D3544" s="1" t="str">
        <f>VLOOKUP($C3544, 'Instrument Table'!$B:$C, 2, FALSE)</f>
        <v>Other</v>
      </c>
      <c r="E3544" s="1">
        <f t="shared" si="330"/>
        <v>1</v>
      </c>
      <c r="F3544" s="1">
        <f>_xlfn.XLOOKUP($C3544, 'Instrument Table'!$B:$B, 'Instrument Table'!$A:$A, "")</f>
        <v>61</v>
      </c>
      <c r="G3544" s="1" t="str">
        <f>TEXT(IF($B3544 = "Retail Item", IF((ROW($A3544) - 4504 - _xlfn.XMATCH($C3544, $C$4506:$C$5005, 0, 1)) &lt;= VLOOKUP($C3544, 'Instrument Table'!$B:$D, 3, FALSE), ROW($A3544) - 4504 - _xlfn.XMATCH($C3544, $C$4506:$C$5005, 0, 1), 0), 0), "00")</f>
        <v>00</v>
      </c>
      <c r="H3544" s="1" t="str">
        <f t="shared" si="331"/>
        <v>088</v>
      </c>
      <c r="I3544" s="1" t="str">
        <f t="shared" si="332"/>
        <v>16100-088</v>
      </c>
      <c r="J3544" s="1" t="str">
        <f t="shared" si="333"/>
        <v>Synthesizer production item #088</v>
      </c>
      <c r="K3544" s="1" t="str">
        <f>IF(SUM(COUNTIFS(I:I, I3544)) &gt; 1, "DUPLICATE", "UNIQUE")</f>
        <v>UNIQUE</v>
      </c>
      <c r="L3544" s="18">
        <v>1</v>
      </c>
      <c r="M3544" s="28">
        <v>97</v>
      </c>
      <c r="N3544" s="6">
        <v>361</v>
      </c>
      <c r="O3544" s="30">
        <f t="shared" si="334"/>
        <v>97</v>
      </c>
      <c r="P3544" s="30">
        <f t="shared" si="335"/>
        <v>35017</v>
      </c>
      <c r="Q3544" s="1">
        <f>COUNTIFS($P:$P, "&gt;" &amp; $P3544) + 1</f>
        <v>603</v>
      </c>
      <c r="R3544" s="63">
        <f>(COUNTIFS($P:$P, "&gt;" &amp; $P3544) + 1) / (COUNTA($I:$I) - 1)</f>
        <v>0.1206</v>
      </c>
      <c r="S3544" s="23">
        <f>SUMIFS($P:$P, $Q:$Q, "&lt;" &amp; $Q3544)</f>
        <v>155975969</v>
      </c>
    </row>
    <row r="3545" spans="1:19" x14ac:dyDescent="0.25">
      <c r="A3545" s="1">
        <v>3540</v>
      </c>
      <c r="B3545" s="1" t="s">
        <v>2</v>
      </c>
      <c r="C3545" s="1" t="str">
        <f>IF($B3545 = "Production Item", _xlfn.XLOOKUP($A3545, 'Instrument Table'!$J:$J, 'Instrument Table'!$B:$B, $C3544), IF($B3545 = "Service Item", _xlfn.XLOOKUP($A3545, 'Instrument Table'!$I:$I, 'Instrument Table'!$B:$B, $C3544), _xlfn.XLOOKUP($A3545, 'Instrument Table'!$H:$H, 'Instrument Table'!$B:$B, $C3544)))</f>
        <v>Synthesizer</v>
      </c>
      <c r="D3545" s="1" t="str">
        <f>VLOOKUP($C3545, 'Instrument Table'!$B:$C, 2, FALSE)</f>
        <v>Other</v>
      </c>
      <c r="E3545" s="1">
        <f t="shared" si="330"/>
        <v>1</v>
      </c>
      <c r="F3545" s="1">
        <f>_xlfn.XLOOKUP($C3545, 'Instrument Table'!$B:$B, 'Instrument Table'!$A:$A, "")</f>
        <v>61</v>
      </c>
      <c r="G3545" s="1" t="str">
        <f>TEXT(IF($B3545 = "Retail Item", IF((ROW($A3545) - 4504 - _xlfn.XMATCH($C3545, $C$4506:$C$5005, 0, 1)) &lt;= VLOOKUP($C3545, 'Instrument Table'!$B:$D, 3, FALSE), ROW($A3545) - 4504 - _xlfn.XMATCH($C3545, $C$4506:$C$5005, 0, 1), 0), 0), "00")</f>
        <v>00</v>
      </c>
      <c r="H3545" s="1" t="str">
        <f t="shared" si="331"/>
        <v>089</v>
      </c>
      <c r="I3545" s="1" t="str">
        <f t="shared" si="332"/>
        <v>16100-089</v>
      </c>
      <c r="J3545" s="1" t="str">
        <f t="shared" si="333"/>
        <v>Synthesizer production item #089</v>
      </c>
      <c r="K3545" s="1" t="str">
        <f>IF(SUM(COUNTIFS(I:I, I3545)) &gt; 1, "DUPLICATE", "UNIQUE")</f>
        <v>UNIQUE</v>
      </c>
      <c r="L3545" s="18">
        <v>0</v>
      </c>
      <c r="M3545" s="28">
        <v>22</v>
      </c>
      <c r="N3545" s="6">
        <v>36</v>
      </c>
      <c r="O3545" s="30">
        <f t="shared" si="334"/>
        <v>0</v>
      </c>
      <c r="P3545" s="30">
        <f t="shared" si="335"/>
        <v>792</v>
      </c>
      <c r="Q3545" s="1">
        <f>COUNTIFS($P:$P, "&gt;" &amp; $P3545) + 1</f>
        <v>3796</v>
      </c>
      <c r="R3545" s="63">
        <f>(COUNTIFS($P:$P, "&gt;" &amp; $P3545) + 1) / (COUNTA($I:$I) - 1)</f>
        <v>0.75919999999999999</v>
      </c>
      <c r="S3545" s="23">
        <f>SUMIFS($P:$P, $Q:$Q, "&lt;" &amp; $Q3545)</f>
        <v>186262482</v>
      </c>
    </row>
    <row r="3546" spans="1:19" x14ac:dyDescent="0.25">
      <c r="A3546" s="1">
        <v>3541</v>
      </c>
      <c r="B3546" s="1" t="s">
        <v>2</v>
      </c>
      <c r="C3546" s="1" t="str">
        <f>IF($B3546 = "Production Item", _xlfn.XLOOKUP($A3546, 'Instrument Table'!$J:$J, 'Instrument Table'!$B:$B, $C3545), IF($B3546 = "Service Item", _xlfn.XLOOKUP($A3546, 'Instrument Table'!$I:$I, 'Instrument Table'!$B:$B, $C3545), _xlfn.XLOOKUP($A3546, 'Instrument Table'!$H:$H, 'Instrument Table'!$B:$B, $C3545)))</f>
        <v>Synthesizer</v>
      </c>
      <c r="D3546" s="1" t="str">
        <f>VLOOKUP($C3546, 'Instrument Table'!$B:$C, 2, FALSE)</f>
        <v>Other</v>
      </c>
      <c r="E3546" s="1">
        <f t="shared" si="330"/>
        <v>1</v>
      </c>
      <c r="F3546" s="1">
        <f>_xlfn.XLOOKUP($C3546, 'Instrument Table'!$B:$B, 'Instrument Table'!$A:$A, "")</f>
        <v>61</v>
      </c>
      <c r="G3546" s="1" t="str">
        <f>TEXT(IF($B3546 = "Retail Item", IF((ROW($A3546) - 4504 - _xlfn.XMATCH($C3546, $C$4506:$C$5005, 0, 1)) &lt;= VLOOKUP($C3546, 'Instrument Table'!$B:$D, 3, FALSE), ROW($A3546) - 4504 - _xlfn.XMATCH($C3546, $C$4506:$C$5005, 0, 1), 0), 0), "00")</f>
        <v>00</v>
      </c>
      <c r="H3546" s="1" t="str">
        <f t="shared" si="331"/>
        <v>090</v>
      </c>
      <c r="I3546" s="1" t="str">
        <f t="shared" si="332"/>
        <v>16100-090</v>
      </c>
      <c r="J3546" s="1" t="str">
        <f t="shared" si="333"/>
        <v>Synthesizer production item #090</v>
      </c>
      <c r="K3546" s="1" t="str">
        <f>IF(SUM(COUNTIFS(I:I, I3546)) &gt; 1, "DUPLICATE", "UNIQUE")</f>
        <v>UNIQUE</v>
      </c>
      <c r="L3546" s="18">
        <v>0</v>
      </c>
      <c r="M3546" s="28">
        <v>86</v>
      </c>
      <c r="N3546" s="6">
        <v>196</v>
      </c>
      <c r="O3546" s="30">
        <f t="shared" si="334"/>
        <v>0</v>
      </c>
      <c r="P3546" s="30">
        <f t="shared" si="335"/>
        <v>16856</v>
      </c>
      <c r="Q3546" s="1">
        <f>COUNTIFS($P:$P, "&gt;" &amp; $P3546) + 1</f>
        <v>1223</v>
      </c>
      <c r="R3546" s="63">
        <f>(COUNTIFS($P:$P, "&gt;" &amp; $P3546) + 1) / (COUNTA($I:$I) - 1)</f>
        <v>0.24460000000000001</v>
      </c>
      <c r="S3546" s="23">
        <f>SUMIFS($P:$P, $Q:$Q, "&lt;" &amp; $Q3546)</f>
        <v>170718947</v>
      </c>
    </row>
    <row r="3547" spans="1:19" x14ac:dyDescent="0.25">
      <c r="A3547" s="1">
        <v>3542</v>
      </c>
      <c r="B3547" s="1" t="s">
        <v>2</v>
      </c>
      <c r="C3547" s="1" t="str">
        <f>IF($B3547 = "Production Item", _xlfn.XLOOKUP($A3547, 'Instrument Table'!$J:$J, 'Instrument Table'!$B:$B, $C3546), IF($B3547 = "Service Item", _xlfn.XLOOKUP($A3547, 'Instrument Table'!$I:$I, 'Instrument Table'!$B:$B, $C3546), _xlfn.XLOOKUP($A3547, 'Instrument Table'!$H:$H, 'Instrument Table'!$B:$B, $C3546)))</f>
        <v>Synthesizer</v>
      </c>
      <c r="D3547" s="1" t="str">
        <f>VLOOKUP($C3547, 'Instrument Table'!$B:$C, 2, FALSE)</f>
        <v>Other</v>
      </c>
      <c r="E3547" s="1">
        <f t="shared" si="330"/>
        <v>1</v>
      </c>
      <c r="F3547" s="1">
        <f>_xlfn.XLOOKUP($C3547, 'Instrument Table'!$B:$B, 'Instrument Table'!$A:$A, "")</f>
        <v>61</v>
      </c>
      <c r="G3547" s="1" t="str">
        <f>TEXT(IF($B3547 = "Retail Item", IF((ROW($A3547) - 4504 - _xlfn.XMATCH($C3547, $C$4506:$C$5005, 0, 1)) &lt;= VLOOKUP($C3547, 'Instrument Table'!$B:$D, 3, FALSE), ROW($A3547) - 4504 - _xlfn.XMATCH($C3547, $C$4506:$C$5005, 0, 1), 0), 0), "00")</f>
        <v>00</v>
      </c>
      <c r="H3547" s="1" t="str">
        <f t="shared" si="331"/>
        <v>091</v>
      </c>
      <c r="I3547" s="1" t="str">
        <f t="shared" si="332"/>
        <v>16100-091</v>
      </c>
      <c r="J3547" s="1" t="str">
        <f t="shared" si="333"/>
        <v>Synthesizer production item #091</v>
      </c>
      <c r="K3547" s="1" t="str">
        <f>IF(SUM(COUNTIFS(I:I, I3547)) &gt; 1, "DUPLICATE", "UNIQUE")</f>
        <v>UNIQUE</v>
      </c>
      <c r="L3547" s="18">
        <v>16</v>
      </c>
      <c r="M3547" s="28">
        <v>85</v>
      </c>
      <c r="N3547" s="6">
        <v>196</v>
      </c>
      <c r="O3547" s="30">
        <f t="shared" si="334"/>
        <v>1360</v>
      </c>
      <c r="P3547" s="30">
        <f t="shared" si="335"/>
        <v>16660</v>
      </c>
      <c r="Q3547" s="1">
        <f>COUNTIFS($P:$P, "&gt;" &amp; $P3547) + 1</f>
        <v>1236</v>
      </c>
      <c r="R3547" s="63">
        <f>(COUNTIFS($P:$P, "&gt;" &amp; $P3547) + 1) / (COUNTA($I:$I) - 1)</f>
        <v>0.2472</v>
      </c>
      <c r="S3547" s="23">
        <f>SUMIFS($P:$P, $Q:$Q, "&lt;" &amp; $Q3547)</f>
        <v>170937404</v>
      </c>
    </row>
    <row r="3548" spans="1:19" x14ac:dyDescent="0.25">
      <c r="A3548" s="1">
        <v>3543</v>
      </c>
      <c r="B3548" s="1" t="s">
        <v>2</v>
      </c>
      <c r="C3548" s="1" t="str">
        <f>IF($B3548 = "Production Item", _xlfn.XLOOKUP($A3548, 'Instrument Table'!$J:$J, 'Instrument Table'!$B:$B, $C3547), IF($B3548 = "Service Item", _xlfn.XLOOKUP($A3548, 'Instrument Table'!$I:$I, 'Instrument Table'!$B:$B, $C3547), _xlfn.XLOOKUP($A3548, 'Instrument Table'!$H:$H, 'Instrument Table'!$B:$B, $C3547)))</f>
        <v>Synthesizer</v>
      </c>
      <c r="D3548" s="1" t="str">
        <f>VLOOKUP($C3548, 'Instrument Table'!$B:$C, 2, FALSE)</f>
        <v>Other</v>
      </c>
      <c r="E3548" s="1">
        <f t="shared" si="330"/>
        <v>1</v>
      </c>
      <c r="F3548" s="1">
        <f>_xlfn.XLOOKUP($C3548, 'Instrument Table'!$B:$B, 'Instrument Table'!$A:$A, "")</f>
        <v>61</v>
      </c>
      <c r="G3548" s="1" t="str">
        <f>TEXT(IF($B3548 = "Retail Item", IF((ROW($A3548) - 4504 - _xlfn.XMATCH($C3548, $C$4506:$C$5005, 0, 1)) &lt;= VLOOKUP($C3548, 'Instrument Table'!$B:$D, 3, FALSE), ROW($A3548) - 4504 - _xlfn.XMATCH($C3548, $C$4506:$C$5005, 0, 1), 0), 0), "00")</f>
        <v>00</v>
      </c>
      <c r="H3548" s="1" t="str">
        <f t="shared" si="331"/>
        <v>092</v>
      </c>
      <c r="I3548" s="1" t="str">
        <f t="shared" si="332"/>
        <v>16100-092</v>
      </c>
      <c r="J3548" s="1" t="str">
        <f t="shared" si="333"/>
        <v>Synthesizer production item #092</v>
      </c>
      <c r="K3548" s="1" t="str">
        <f>IF(SUM(COUNTIFS(I:I, I3548)) &gt; 1, "DUPLICATE", "UNIQUE")</f>
        <v>UNIQUE</v>
      </c>
      <c r="L3548" s="18">
        <v>0</v>
      </c>
      <c r="M3548" s="28">
        <v>8</v>
      </c>
      <c r="N3548" s="6">
        <v>16</v>
      </c>
      <c r="O3548" s="30">
        <f t="shared" si="334"/>
        <v>0</v>
      </c>
      <c r="P3548" s="30">
        <f t="shared" si="335"/>
        <v>128</v>
      </c>
      <c r="Q3548" s="1">
        <f>COUNTIFS($P:$P, "&gt;" &amp; $P3548) + 1</f>
        <v>4418</v>
      </c>
      <c r="R3548" s="63">
        <f>(COUNTIFS($P:$P, "&gt;" &amp; $P3548) + 1) / (COUNTA($I:$I) - 1)</f>
        <v>0.88360000000000005</v>
      </c>
      <c r="S3548" s="23">
        <f>SUMIFS($P:$P, $Q:$Q, "&lt;" &amp; $Q3548)</f>
        <v>186528515</v>
      </c>
    </row>
    <row r="3549" spans="1:19" x14ac:dyDescent="0.25">
      <c r="A3549" s="1">
        <v>3544</v>
      </c>
      <c r="B3549" s="1" t="s">
        <v>2</v>
      </c>
      <c r="C3549" s="1" t="str">
        <f>IF($B3549 = "Production Item", _xlfn.XLOOKUP($A3549, 'Instrument Table'!$J:$J, 'Instrument Table'!$B:$B, $C3548), IF($B3549 = "Service Item", _xlfn.XLOOKUP($A3549, 'Instrument Table'!$I:$I, 'Instrument Table'!$B:$B, $C3548), _xlfn.XLOOKUP($A3549, 'Instrument Table'!$H:$H, 'Instrument Table'!$B:$B, $C3548)))</f>
        <v>Synthesizer</v>
      </c>
      <c r="D3549" s="1" t="str">
        <f>VLOOKUP($C3549, 'Instrument Table'!$B:$C, 2, FALSE)</f>
        <v>Other</v>
      </c>
      <c r="E3549" s="1">
        <f t="shared" si="330"/>
        <v>1</v>
      </c>
      <c r="F3549" s="1">
        <f>_xlfn.XLOOKUP($C3549, 'Instrument Table'!$B:$B, 'Instrument Table'!$A:$A, "")</f>
        <v>61</v>
      </c>
      <c r="G3549" s="1" t="str">
        <f>TEXT(IF($B3549 = "Retail Item", IF((ROW($A3549) - 4504 - _xlfn.XMATCH($C3549, $C$4506:$C$5005, 0, 1)) &lt;= VLOOKUP($C3549, 'Instrument Table'!$B:$D, 3, FALSE), ROW($A3549) - 4504 - _xlfn.XMATCH($C3549, $C$4506:$C$5005, 0, 1), 0), 0), "00")</f>
        <v>00</v>
      </c>
      <c r="H3549" s="1" t="str">
        <f t="shared" si="331"/>
        <v>093</v>
      </c>
      <c r="I3549" s="1" t="str">
        <f t="shared" si="332"/>
        <v>16100-093</v>
      </c>
      <c r="J3549" s="1" t="str">
        <f t="shared" si="333"/>
        <v>Synthesizer production item #093</v>
      </c>
      <c r="K3549" s="1" t="str">
        <f>IF(SUM(COUNTIFS(I:I, I3549)) &gt; 1, "DUPLICATE", "UNIQUE")</f>
        <v>UNIQUE</v>
      </c>
      <c r="L3549" s="18">
        <v>0</v>
      </c>
      <c r="M3549" s="28">
        <v>39</v>
      </c>
      <c r="N3549" s="6">
        <v>0</v>
      </c>
      <c r="O3549" s="30">
        <f t="shared" si="334"/>
        <v>0</v>
      </c>
      <c r="P3549" s="30">
        <f t="shared" si="335"/>
        <v>0</v>
      </c>
      <c r="Q3549" s="1">
        <f>COUNTIFS($P:$P, "&gt;" &amp; $P3549) + 1</f>
        <v>4746</v>
      </c>
      <c r="R3549" s="63">
        <f>(COUNTIFS($P:$P, "&gt;" &amp; $P3549) + 1) / (COUNTA($I:$I) - 1)</f>
        <v>0.94920000000000004</v>
      </c>
      <c r="S3549" s="23">
        <f>SUMIFS($P:$P, $Q:$Q, "&lt;" &amp; $Q3549)</f>
        <v>186547861</v>
      </c>
    </row>
    <row r="3550" spans="1:19" x14ac:dyDescent="0.25">
      <c r="A3550" s="1">
        <v>3545</v>
      </c>
      <c r="B3550" s="1" t="s">
        <v>2</v>
      </c>
      <c r="C3550" s="1" t="str">
        <f>IF($B3550 = "Production Item", _xlfn.XLOOKUP($A3550, 'Instrument Table'!$J:$J, 'Instrument Table'!$B:$B, $C3549), IF($B3550 = "Service Item", _xlfn.XLOOKUP($A3550, 'Instrument Table'!$I:$I, 'Instrument Table'!$B:$B, $C3549), _xlfn.XLOOKUP($A3550, 'Instrument Table'!$H:$H, 'Instrument Table'!$B:$B, $C3549)))</f>
        <v>Synthesizer</v>
      </c>
      <c r="D3550" s="1" t="str">
        <f>VLOOKUP($C3550, 'Instrument Table'!$B:$C, 2, FALSE)</f>
        <v>Other</v>
      </c>
      <c r="E3550" s="1">
        <f t="shared" si="330"/>
        <v>1</v>
      </c>
      <c r="F3550" s="1">
        <f>_xlfn.XLOOKUP($C3550, 'Instrument Table'!$B:$B, 'Instrument Table'!$A:$A, "")</f>
        <v>61</v>
      </c>
      <c r="G3550" s="1" t="str">
        <f>TEXT(IF($B3550 = "Retail Item", IF((ROW($A3550) - 4504 - _xlfn.XMATCH($C3550, $C$4506:$C$5005, 0, 1)) &lt;= VLOOKUP($C3550, 'Instrument Table'!$B:$D, 3, FALSE), ROW($A3550) - 4504 - _xlfn.XMATCH($C3550, $C$4506:$C$5005, 0, 1), 0), 0), "00")</f>
        <v>00</v>
      </c>
      <c r="H3550" s="1" t="str">
        <f t="shared" si="331"/>
        <v>094</v>
      </c>
      <c r="I3550" s="1" t="str">
        <f t="shared" si="332"/>
        <v>16100-094</v>
      </c>
      <c r="J3550" s="1" t="str">
        <f t="shared" si="333"/>
        <v>Synthesizer production item #094</v>
      </c>
      <c r="K3550" s="1" t="str">
        <f>IF(SUM(COUNTIFS(I:I, I3550)) &gt; 1, "DUPLICATE", "UNIQUE")</f>
        <v>UNIQUE</v>
      </c>
      <c r="L3550" s="18">
        <v>1</v>
      </c>
      <c r="M3550" s="28">
        <v>73</v>
      </c>
      <c r="N3550" s="6">
        <v>324</v>
      </c>
      <c r="O3550" s="30">
        <f t="shared" si="334"/>
        <v>73</v>
      </c>
      <c r="P3550" s="30">
        <f t="shared" si="335"/>
        <v>23652</v>
      </c>
      <c r="Q3550" s="1">
        <f>COUNTIFS($P:$P, "&gt;" &amp; $P3550) + 1</f>
        <v>884</v>
      </c>
      <c r="R3550" s="63">
        <f>(COUNTIFS($P:$P, "&gt;" &amp; $P3550) + 1) / (COUNTA($I:$I) - 1)</f>
        <v>0.17680000000000001</v>
      </c>
      <c r="S3550" s="23">
        <f>SUMIFS($P:$P, $Q:$Q, "&lt;" &amp; $Q3550)</f>
        <v>163906350</v>
      </c>
    </row>
    <row r="3551" spans="1:19" x14ac:dyDescent="0.25">
      <c r="A3551" s="1">
        <v>3546</v>
      </c>
      <c r="B3551" s="1" t="s">
        <v>2</v>
      </c>
      <c r="C3551" s="1" t="str">
        <f>IF($B3551 = "Production Item", _xlfn.XLOOKUP($A3551, 'Instrument Table'!$J:$J, 'Instrument Table'!$B:$B, $C3550), IF($B3551 = "Service Item", _xlfn.XLOOKUP($A3551, 'Instrument Table'!$I:$I, 'Instrument Table'!$B:$B, $C3550), _xlfn.XLOOKUP($A3551, 'Instrument Table'!$H:$H, 'Instrument Table'!$B:$B, $C3550)))</f>
        <v>Synthesizer</v>
      </c>
      <c r="D3551" s="1" t="str">
        <f>VLOOKUP($C3551, 'Instrument Table'!$B:$C, 2, FALSE)</f>
        <v>Other</v>
      </c>
      <c r="E3551" s="1">
        <f t="shared" si="330"/>
        <v>1</v>
      </c>
      <c r="F3551" s="1">
        <f>_xlfn.XLOOKUP($C3551, 'Instrument Table'!$B:$B, 'Instrument Table'!$A:$A, "")</f>
        <v>61</v>
      </c>
      <c r="G3551" s="1" t="str">
        <f>TEXT(IF($B3551 = "Retail Item", IF((ROW($A3551) - 4504 - _xlfn.XMATCH($C3551, $C$4506:$C$5005, 0, 1)) &lt;= VLOOKUP($C3551, 'Instrument Table'!$B:$D, 3, FALSE), ROW($A3551) - 4504 - _xlfn.XMATCH($C3551, $C$4506:$C$5005, 0, 1), 0), 0), "00")</f>
        <v>00</v>
      </c>
      <c r="H3551" s="1" t="str">
        <f t="shared" si="331"/>
        <v>095</v>
      </c>
      <c r="I3551" s="1" t="str">
        <f t="shared" si="332"/>
        <v>16100-095</v>
      </c>
      <c r="J3551" s="1" t="str">
        <f t="shared" si="333"/>
        <v>Synthesizer production item #095</v>
      </c>
      <c r="K3551" s="1" t="str">
        <f>IF(SUM(COUNTIFS(I:I, I3551)) &gt; 1, "DUPLICATE", "UNIQUE")</f>
        <v>UNIQUE</v>
      </c>
      <c r="L3551" s="18">
        <v>0</v>
      </c>
      <c r="M3551" s="28">
        <v>79</v>
      </c>
      <c r="N3551" s="6">
        <v>16</v>
      </c>
      <c r="O3551" s="30">
        <f t="shared" si="334"/>
        <v>0</v>
      </c>
      <c r="P3551" s="30">
        <f t="shared" si="335"/>
        <v>1264</v>
      </c>
      <c r="Q3551" s="1">
        <f>COUNTIFS($P:$P, "&gt;" &amp; $P3551) + 1</f>
        <v>3581</v>
      </c>
      <c r="R3551" s="63">
        <f>(COUNTIFS($P:$P, "&gt;" &amp; $P3551) + 1) / (COUNTA($I:$I) - 1)</f>
        <v>0.71619999999999995</v>
      </c>
      <c r="S3551" s="23">
        <f>SUMIFS($P:$P, $Q:$Q, "&lt;" &amp; $Q3551)</f>
        <v>186046346</v>
      </c>
    </row>
    <row r="3552" spans="1:19" x14ac:dyDescent="0.25">
      <c r="A3552" s="1">
        <v>3547</v>
      </c>
      <c r="B3552" s="1" t="s">
        <v>2</v>
      </c>
      <c r="C3552" s="1" t="str">
        <f>IF($B3552 = "Production Item", _xlfn.XLOOKUP($A3552, 'Instrument Table'!$J:$J, 'Instrument Table'!$B:$B, $C3551), IF($B3552 = "Service Item", _xlfn.XLOOKUP($A3552, 'Instrument Table'!$I:$I, 'Instrument Table'!$B:$B, $C3551), _xlfn.XLOOKUP($A3552, 'Instrument Table'!$H:$H, 'Instrument Table'!$B:$B, $C3551)))</f>
        <v>Synthesizer</v>
      </c>
      <c r="D3552" s="1" t="str">
        <f>VLOOKUP($C3552, 'Instrument Table'!$B:$C, 2, FALSE)</f>
        <v>Other</v>
      </c>
      <c r="E3552" s="1">
        <f t="shared" si="330"/>
        <v>1</v>
      </c>
      <c r="F3552" s="1">
        <f>_xlfn.XLOOKUP($C3552, 'Instrument Table'!$B:$B, 'Instrument Table'!$A:$A, "")</f>
        <v>61</v>
      </c>
      <c r="G3552" s="1" t="str">
        <f>TEXT(IF($B3552 = "Retail Item", IF((ROW($A3552) - 4504 - _xlfn.XMATCH($C3552, $C$4506:$C$5005, 0, 1)) &lt;= VLOOKUP($C3552, 'Instrument Table'!$B:$D, 3, FALSE), ROW($A3552) - 4504 - _xlfn.XMATCH($C3552, $C$4506:$C$5005, 0, 1), 0), 0), "00")</f>
        <v>00</v>
      </c>
      <c r="H3552" s="1" t="str">
        <f t="shared" si="331"/>
        <v>096</v>
      </c>
      <c r="I3552" s="1" t="str">
        <f t="shared" si="332"/>
        <v>16100-096</v>
      </c>
      <c r="J3552" s="1" t="str">
        <f t="shared" si="333"/>
        <v>Synthesizer production item #096</v>
      </c>
      <c r="K3552" s="1" t="str">
        <f>IF(SUM(COUNTIFS(I:I, I3552)) &gt; 1, "DUPLICATE", "UNIQUE")</f>
        <v>UNIQUE</v>
      </c>
      <c r="L3552" s="18">
        <v>1</v>
      </c>
      <c r="M3552" s="28">
        <v>28</v>
      </c>
      <c r="N3552" s="6">
        <v>81</v>
      </c>
      <c r="O3552" s="30">
        <f t="shared" si="334"/>
        <v>28</v>
      </c>
      <c r="P3552" s="30">
        <f t="shared" si="335"/>
        <v>2268</v>
      </c>
      <c r="Q3552" s="1">
        <f>COUNTIFS($P:$P, "&gt;" &amp; $P3552) + 1</f>
        <v>3145</v>
      </c>
      <c r="R3552" s="63">
        <f>(COUNTIFS($P:$P, "&gt;" &amp; $P3552) + 1) / (COUNTA($I:$I) - 1)</f>
        <v>0.629</v>
      </c>
      <c r="S3552" s="23">
        <f>SUMIFS($P:$P, $Q:$Q, "&lt;" &amp; $Q3552)</f>
        <v>185286773</v>
      </c>
    </row>
    <row r="3553" spans="1:19" x14ac:dyDescent="0.25">
      <c r="A3553" s="1">
        <v>3548</v>
      </c>
      <c r="B3553" s="1" t="s">
        <v>2</v>
      </c>
      <c r="C3553" s="1" t="str">
        <f>IF($B3553 = "Production Item", _xlfn.XLOOKUP($A3553, 'Instrument Table'!$J:$J, 'Instrument Table'!$B:$B, $C3552), IF($B3553 = "Service Item", _xlfn.XLOOKUP($A3553, 'Instrument Table'!$I:$I, 'Instrument Table'!$B:$B, $C3552), _xlfn.XLOOKUP($A3553, 'Instrument Table'!$H:$H, 'Instrument Table'!$B:$B, $C3552)))</f>
        <v>Synthesizer</v>
      </c>
      <c r="D3553" s="1" t="str">
        <f>VLOOKUP($C3553, 'Instrument Table'!$B:$C, 2, FALSE)</f>
        <v>Other</v>
      </c>
      <c r="E3553" s="1">
        <f t="shared" si="330"/>
        <v>1</v>
      </c>
      <c r="F3553" s="1">
        <f>_xlfn.XLOOKUP($C3553, 'Instrument Table'!$B:$B, 'Instrument Table'!$A:$A, "")</f>
        <v>61</v>
      </c>
      <c r="G3553" s="1" t="str">
        <f>TEXT(IF($B3553 = "Retail Item", IF((ROW($A3553) - 4504 - _xlfn.XMATCH($C3553, $C$4506:$C$5005, 0, 1)) &lt;= VLOOKUP($C3553, 'Instrument Table'!$B:$D, 3, FALSE), ROW($A3553) - 4504 - _xlfn.XMATCH($C3553, $C$4506:$C$5005, 0, 1), 0), 0), "00")</f>
        <v>00</v>
      </c>
      <c r="H3553" s="1" t="str">
        <f t="shared" si="331"/>
        <v>097</v>
      </c>
      <c r="I3553" s="1" t="str">
        <f t="shared" si="332"/>
        <v>16100-097</v>
      </c>
      <c r="J3553" s="1" t="str">
        <f t="shared" si="333"/>
        <v>Synthesizer production item #097</v>
      </c>
      <c r="K3553" s="1" t="str">
        <f>IF(SUM(COUNTIFS(I:I, I3553)) &gt; 1, "DUPLICATE", "UNIQUE")</f>
        <v>UNIQUE</v>
      </c>
      <c r="L3553" s="18">
        <v>0</v>
      </c>
      <c r="M3553" s="28">
        <v>60</v>
      </c>
      <c r="N3553" s="6">
        <v>196</v>
      </c>
      <c r="O3553" s="30">
        <f t="shared" si="334"/>
        <v>0</v>
      </c>
      <c r="P3553" s="30">
        <f t="shared" si="335"/>
        <v>11760</v>
      </c>
      <c r="Q3553" s="1">
        <f>COUNTIFS($P:$P, "&gt;" &amp; $P3553) + 1</f>
        <v>1602</v>
      </c>
      <c r="R3553" s="63">
        <f>(COUNTIFS($P:$P, "&gt;" &amp; $P3553) + 1) / (COUNTA($I:$I) - 1)</f>
        <v>0.32040000000000002</v>
      </c>
      <c r="S3553" s="23">
        <f>SUMIFS($P:$P, $Q:$Q, "&lt;" &amp; $Q3553)</f>
        <v>176102164</v>
      </c>
    </row>
    <row r="3554" spans="1:19" x14ac:dyDescent="0.25">
      <c r="A3554" s="1">
        <v>3549</v>
      </c>
      <c r="B3554" s="1" t="s">
        <v>2</v>
      </c>
      <c r="C3554" s="1" t="str">
        <f>IF($B3554 = "Production Item", _xlfn.XLOOKUP($A3554, 'Instrument Table'!$J:$J, 'Instrument Table'!$B:$B, $C3553), IF($B3554 = "Service Item", _xlfn.XLOOKUP($A3554, 'Instrument Table'!$I:$I, 'Instrument Table'!$B:$B, $C3553), _xlfn.XLOOKUP($A3554, 'Instrument Table'!$H:$H, 'Instrument Table'!$B:$B, $C3553)))</f>
        <v>Synthesizer</v>
      </c>
      <c r="D3554" s="1" t="str">
        <f>VLOOKUP($C3554, 'Instrument Table'!$B:$C, 2, FALSE)</f>
        <v>Other</v>
      </c>
      <c r="E3554" s="1">
        <f t="shared" si="330"/>
        <v>1</v>
      </c>
      <c r="F3554" s="1">
        <f>_xlfn.XLOOKUP($C3554, 'Instrument Table'!$B:$B, 'Instrument Table'!$A:$A, "")</f>
        <v>61</v>
      </c>
      <c r="G3554" s="1" t="str">
        <f>TEXT(IF($B3554 = "Retail Item", IF((ROW($A3554) - 4504 - _xlfn.XMATCH($C3554, $C$4506:$C$5005, 0, 1)) &lt;= VLOOKUP($C3554, 'Instrument Table'!$B:$D, 3, FALSE), ROW($A3554) - 4504 - _xlfn.XMATCH($C3554, $C$4506:$C$5005, 0, 1), 0), 0), "00")</f>
        <v>00</v>
      </c>
      <c r="H3554" s="1" t="str">
        <f t="shared" si="331"/>
        <v>098</v>
      </c>
      <c r="I3554" s="1" t="str">
        <f t="shared" si="332"/>
        <v>16100-098</v>
      </c>
      <c r="J3554" s="1" t="str">
        <f t="shared" si="333"/>
        <v>Synthesizer production item #098</v>
      </c>
      <c r="K3554" s="1" t="str">
        <f>IF(SUM(COUNTIFS(I:I, I3554)) &gt; 1, "DUPLICATE", "UNIQUE")</f>
        <v>UNIQUE</v>
      </c>
      <c r="L3554" s="18">
        <v>16</v>
      </c>
      <c r="M3554" s="28">
        <v>68</v>
      </c>
      <c r="N3554" s="6">
        <v>169</v>
      </c>
      <c r="O3554" s="30">
        <f t="shared" si="334"/>
        <v>1088</v>
      </c>
      <c r="P3554" s="30">
        <f t="shared" si="335"/>
        <v>11492</v>
      </c>
      <c r="Q3554" s="1">
        <f>COUNTIFS($P:$P, "&gt;" &amp; $P3554) + 1</f>
        <v>1642</v>
      </c>
      <c r="R3554" s="63">
        <f>(COUNTIFS($P:$P, "&gt;" &amp; $P3554) + 1) / (COUNTA($I:$I) - 1)</f>
        <v>0.32840000000000003</v>
      </c>
      <c r="S3554" s="23">
        <f>SUMIFS($P:$P, $Q:$Q, "&lt;" &amp; $Q3554)</f>
        <v>176566590</v>
      </c>
    </row>
    <row r="3555" spans="1:19" x14ac:dyDescent="0.25">
      <c r="A3555" s="1">
        <v>3550</v>
      </c>
      <c r="B3555" s="1" t="s">
        <v>2</v>
      </c>
      <c r="C3555" s="1" t="str">
        <f>IF($B3555 = "Production Item", _xlfn.XLOOKUP($A3555, 'Instrument Table'!$J:$J, 'Instrument Table'!$B:$B, $C3554), IF($B3555 = "Service Item", _xlfn.XLOOKUP($A3555, 'Instrument Table'!$I:$I, 'Instrument Table'!$B:$B, $C3554), _xlfn.XLOOKUP($A3555, 'Instrument Table'!$H:$H, 'Instrument Table'!$B:$B, $C3554)))</f>
        <v>Synthesizer</v>
      </c>
      <c r="D3555" s="1" t="str">
        <f>VLOOKUP($C3555, 'Instrument Table'!$B:$C, 2, FALSE)</f>
        <v>Other</v>
      </c>
      <c r="E3555" s="1">
        <f t="shared" si="330"/>
        <v>1</v>
      </c>
      <c r="F3555" s="1">
        <f>_xlfn.XLOOKUP($C3555, 'Instrument Table'!$B:$B, 'Instrument Table'!$A:$A, "")</f>
        <v>61</v>
      </c>
      <c r="G3555" s="1" t="str">
        <f>TEXT(IF($B3555 = "Retail Item", IF((ROW($A3555) - 4504 - _xlfn.XMATCH($C3555, $C$4506:$C$5005, 0, 1)) &lt;= VLOOKUP($C3555, 'Instrument Table'!$B:$D, 3, FALSE), ROW($A3555) - 4504 - _xlfn.XMATCH($C3555, $C$4506:$C$5005, 0, 1), 0), 0), "00")</f>
        <v>00</v>
      </c>
      <c r="H3555" s="1" t="str">
        <f t="shared" si="331"/>
        <v>099</v>
      </c>
      <c r="I3555" s="1" t="str">
        <f t="shared" si="332"/>
        <v>16100-099</v>
      </c>
      <c r="J3555" s="1" t="str">
        <f t="shared" si="333"/>
        <v>Synthesizer production item #099</v>
      </c>
      <c r="K3555" s="1" t="str">
        <f>IF(SUM(COUNTIFS(I:I, I3555)) &gt; 1, "DUPLICATE", "UNIQUE")</f>
        <v>UNIQUE</v>
      </c>
      <c r="L3555" s="18">
        <v>8</v>
      </c>
      <c r="M3555" s="28">
        <v>86</v>
      </c>
      <c r="N3555" s="6">
        <v>0</v>
      </c>
      <c r="O3555" s="30">
        <f t="shared" si="334"/>
        <v>688</v>
      </c>
      <c r="P3555" s="30">
        <f t="shared" si="335"/>
        <v>0</v>
      </c>
      <c r="Q3555" s="1">
        <f>COUNTIFS($P:$P, "&gt;" &amp; $P3555) + 1</f>
        <v>4746</v>
      </c>
      <c r="R3555" s="63">
        <f>(COUNTIFS($P:$P, "&gt;" &amp; $P3555) + 1) / (COUNTA($I:$I) - 1)</f>
        <v>0.94920000000000004</v>
      </c>
      <c r="S3555" s="23">
        <f>SUMIFS($P:$P, $Q:$Q, "&lt;" &amp; $Q3555)</f>
        <v>186547861</v>
      </c>
    </row>
    <row r="3556" spans="1:19" x14ac:dyDescent="0.25">
      <c r="A3556" s="1">
        <v>3551</v>
      </c>
      <c r="B3556" s="1" t="s">
        <v>2</v>
      </c>
      <c r="C3556" s="1" t="str">
        <f>IF($B3556 = "Production Item", _xlfn.XLOOKUP($A3556, 'Instrument Table'!$J:$J, 'Instrument Table'!$B:$B, $C3555), IF($B3556 = "Service Item", _xlfn.XLOOKUP($A3556, 'Instrument Table'!$I:$I, 'Instrument Table'!$B:$B, $C3555), _xlfn.XLOOKUP($A3556, 'Instrument Table'!$H:$H, 'Instrument Table'!$B:$B, $C3555)))</f>
        <v>Synthesizer</v>
      </c>
      <c r="D3556" s="1" t="str">
        <f>VLOOKUP($C3556, 'Instrument Table'!$B:$C, 2, FALSE)</f>
        <v>Other</v>
      </c>
      <c r="E3556" s="1">
        <f t="shared" si="330"/>
        <v>1</v>
      </c>
      <c r="F3556" s="1">
        <f>_xlfn.XLOOKUP($C3556, 'Instrument Table'!$B:$B, 'Instrument Table'!$A:$A, "")</f>
        <v>61</v>
      </c>
      <c r="G3556" s="1" t="str">
        <f>TEXT(IF($B3556 = "Retail Item", IF((ROW($A3556) - 4504 - _xlfn.XMATCH($C3556, $C$4506:$C$5005, 0, 1)) &lt;= VLOOKUP($C3556, 'Instrument Table'!$B:$D, 3, FALSE), ROW($A3556) - 4504 - _xlfn.XMATCH($C3556, $C$4506:$C$5005, 0, 1), 0), 0), "00")</f>
        <v>00</v>
      </c>
      <c r="H3556" s="1" t="str">
        <f t="shared" si="331"/>
        <v>100</v>
      </c>
      <c r="I3556" s="1" t="str">
        <f t="shared" si="332"/>
        <v>16100-100</v>
      </c>
      <c r="J3556" s="1" t="str">
        <f t="shared" si="333"/>
        <v>Synthesizer production item #100</v>
      </c>
      <c r="K3556" s="1" t="str">
        <f>IF(SUM(COUNTIFS(I:I, I3556)) &gt; 1, "DUPLICATE", "UNIQUE")</f>
        <v>UNIQUE</v>
      </c>
      <c r="L3556" s="18">
        <v>1</v>
      </c>
      <c r="M3556" s="28">
        <v>60</v>
      </c>
      <c r="N3556" s="6">
        <v>64</v>
      </c>
      <c r="O3556" s="30">
        <f t="shared" si="334"/>
        <v>60</v>
      </c>
      <c r="P3556" s="30">
        <f t="shared" si="335"/>
        <v>3840</v>
      </c>
      <c r="Q3556" s="1">
        <f>COUNTIFS($P:$P, "&gt;" &amp; $P3556) + 1</f>
        <v>2690</v>
      </c>
      <c r="R3556" s="63">
        <f>(COUNTIFS($P:$P, "&gt;" &amp; $P3556) + 1) / (COUNTA($I:$I) - 1)</f>
        <v>0.53800000000000003</v>
      </c>
      <c r="S3556" s="23">
        <f>SUMIFS($P:$P, $Q:$Q, "&lt;" &amp; $Q3556)</f>
        <v>183928493</v>
      </c>
    </row>
    <row r="3557" spans="1:19" x14ac:dyDescent="0.25">
      <c r="A3557" s="1">
        <v>3552</v>
      </c>
      <c r="B3557" s="1" t="s">
        <v>2</v>
      </c>
      <c r="C3557" s="1" t="str">
        <f>IF($B3557 = "Production Item", _xlfn.XLOOKUP($A3557, 'Instrument Table'!$J:$J, 'Instrument Table'!$B:$B, $C3556), IF($B3557 = "Service Item", _xlfn.XLOOKUP($A3557, 'Instrument Table'!$I:$I, 'Instrument Table'!$B:$B, $C3556), _xlfn.XLOOKUP($A3557, 'Instrument Table'!$H:$H, 'Instrument Table'!$B:$B, $C3556)))</f>
        <v>Synthesizer</v>
      </c>
      <c r="D3557" s="1" t="str">
        <f>VLOOKUP($C3557, 'Instrument Table'!$B:$C, 2, FALSE)</f>
        <v>Other</v>
      </c>
      <c r="E3557" s="1">
        <f t="shared" si="330"/>
        <v>1</v>
      </c>
      <c r="F3557" s="1">
        <f>_xlfn.XLOOKUP($C3557, 'Instrument Table'!$B:$B, 'Instrument Table'!$A:$A, "")</f>
        <v>61</v>
      </c>
      <c r="G3557" s="1" t="str">
        <f>TEXT(IF($B3557 = "Retail Item", IF((ROW($A3557) - 4504 - _xlfn.XMATCH($C3557, $C$4506:$C$5005, 0, 1)) &lt;= VLOOKUP($C3557, 'Instrument Table'!$B:$D, 3, FALSE), ROW($A3557) - 4504 - _xlfn.XMATCH($C3557, $C$4506:$C$5005, 0, 1), 0), 0), "00")</f>
        <v>00</v>
      </c>
      <c r="H3557" s="1" t="str">
        <f t="shared" si="331"/>
        <v>101</v>
      </c>
      <c r="I3557" s="1" t="str">
        <f t="shared" si="332"/>
        <v>16100-101</v>
      </c>
      <c r="J3557" s="1" t="str">
        <f t="shared" si="333"/>
        <v>Synthesizer production item #101</v>
      </c>
      <c r="K3557" s="1" t="str">
        <f>IF(SUM(COUNTIFS(I:I, I3557)) &gt; 1, "DUPLICATE", "UNIQUE")</f>
        <v>UNIQUE</v>
      </c>
      <c r="L3557" s="18">
        <v>8</v>
      </c>
      <c r="M3557" s="28">
        <v>78</v>
      </c>
      <c r="N3557" s="6">
        <v>144</v>
      </c>
      <c r="O3557" s="30">
        <f t="shared" si="334"/>
        <v>624</v>
      </c>
      <c r="P3557" s="30">
        <f t="shared" si="335"/>
        <v>11232</v>
      </c>
      <c r="Q3557" s="1">
        <f>COUNTIFS($P:$P, "&gt;" &amp; $P3557) + 1</f>
        <v>1664</v>
      </c>
      <c r="R3557" s="63">
        <f>(COUNTIFS($P:$P, "&gt;" &amp; $P3557) + 1) / (COUNTA($I:$I) - 1)</f>
        <v>0.33279999999999998</v>
      </c>
      <c r="S3557" s="23">
        <f>SUMIFS($P:$P, $Q:$Q, "&lt;" &amp; $Q3557)</f>
        <v>176816259</v>
      </c>
    </row>
    <row r="3558" spans="1:19" x14ac:dyDescent="0.25">
      <c r="A3558" s="1">
        <v>3553</v>
      </c>
      <c r="B3558" s="1" t="s">
        <v>2</v>
      </c>
      <c r="C3558" s="1" t="str">
        <f>IF($B3558 = "Production Item", _xlfn.XLOOKUP($A3558, 'Instrument Table'!$J:$J, 'Instrument Table'!$B:$B, $C3557), IF($B3558 = "Service Item", _xlfn.XLOOKUP($A3558, 'Instrument Table'!$I:$I, 'Instrument Table'!$B:$B, $C3557), _xlfn.XLOOKUP($A3558, 'Instrument Table'!$H:$H, 'Instrument Table'!$B:$B, $C3557)))</f>
        <v>Synthesizer</v>
      </c>
      <c r="D3558" s="1" t="str">
        <f>VLOOKUP($C3558, 'Instrument Table'!$B:$C, 2, FALSE)</f>
        <v>Other</v>
      </c>
      <c r="E3558" s="1">
        <f t="shared" si="330"/>
        <v>1</v>
      </c>
      <c r="F3558" s="1">
        <f>_xlfn.XLOOKUP($C3558, 'Instrument Table'!$B:$B, 'Instrument Table'!$A:$A, "")</f>
        <v>61</v>
      </c>
      <c r="G3558" s="1" t="str">
        <f>TEXT(IF($B3558 = "Retail Item", IF((ROW($A3558) - 4504 - _xlfn.XMATCH($C3558, $C$4506:$C$5005, 0, 1)) &lt;= VLOOKUP($C3558, 'Instrument Table'!$B:$D, 3, FALSE), ROW($A3558) - 4504 - _xlfn.XMATCH($C3558, $C$4506:$C$5005, 0, 1), 0), 0), "00")</f>
        <v>00</v>
      </c>
      <c r="H3558" s="1" t="str">
        <f t="shared" si="331"/>
        <v>102</v>
      </c>
      <c r="I3558" s="1" t="str">
        <f t="shared" si="332"/>
        <v>16100-102</v>
      </c>
      <c r="J3558" s="1" t="str">
        <f t="shared" si="333"/>
        <v>Synthesizer production item #102</v>
      </c>
      <c r="K3558" s="1" t="str">
        <f>IF(SUM(COUNTIFS(I:I, I3558)) &gt; 1, "DUPLICATE", "UNIQUE")</f>
        <v>UNIQUE</v>
      </c>
      <c r="L3558" s="18">
        <v>0</v>
      </c>
      <c r="M3558" s="28">
        <v>38</v>
      </c>
      <c r="N3558" s="6">
        <v>16</v>
      </c>
      <c r="O3558" s="30">
        <f t="shared" si="334"/>
        <v>0</v>
      </c>
      <c r="P3558" s="30">
        <f t="shared" si="335"/>
        <v>608</v>
      </c>
      <c r="Q3558" s="1">
        <f>COUNTIFS($P:$P, "&gt;" &amp; $P3558) + 1</f>
        <v>3933</v>
      </c>
      <c r="R3558" s="63">
        <f>(COUNTIFS($P:$P, "&gt;" &amp; $P3558) + 1) / (COUNTA($I:$I) - 1)</f>
        <v>0.78659999999999997</v>
      </c>
      <c r="S3558" s="23">
        <f>SUMIFS($P:$P, $Q:$Q, "&lt;" &amp; $Q3558)</f>
        <v>186360088</v>
      </c>
    </row>
    <row r="3559" spans="1:19" x14ac:dyDescent="0.25">
      <c r="A3559" s="1">
        <v>3554</v>
      </c>
      <c r="B3559" s="1" t="s">
        <v>2</v>
      </c>
      <c r="C3559" s="1" t="str">
        <f>IF($B3559 = "Production Item", _xlfn.XLOOKUP($A3559, 'Instrument Table'!$J:$J, 'Instrument Table'!$B:$B, $C3558), IF($B3559 = "Service Item", _xlfn.XLOOKUP($A3559, 'Instrument Table'!$I:$I, 'Instrument Table'!$B:$B, $C3558), _xlfn.XLOOKUP($A3559, 'Instrument Table'!$H:$H, 'Instrument Table'!$B:$B, $C3558)))</f>
        <v>Synthesizer</v>
      </c>
      <c r="D3559" s="1" t="str">
        <f>VLOOKUP($C3559, 'Instrument Table'!$B:$C, 2, FALSE)</f>
        <v>Other</v>
      </c>
      <c r="E3559" s="1">
        <f t="shared" si="330"/>
        <v>1</v>
      </c>
      <c r="F3559" s="1">
        <f>_xlfn.XLOOKUP($C3559, 'Instrument Table'!$B:$B, 'Instrument Table'!$A:$A, "")</f>
        <v>61</v>
      </c>
      <c r="G3559" s="1" t="str">
        <f>TEXT(IF($B3559 = "Retail Item", IF((ROW($A3559) - 4504 - _xlfn.XMATCH($C3559, $C$4506:$C$5005, 0, 1)) &lt;= VLOOKUP($C3559, 'Instrument Table'!$B:$D, 3, FALSE), ROW($A3559) - 4504 - _xlfn.XMATCH($C3559, $C$4506:$C$5005, 0, 1), 0), 0), "00")</f>
        <v>00</v>
      </c>
      <c r="H3559" s="1" t="str">
        <f t="shared" si="331"/>
        <v>103</v>
      </c>
      <c r="I3559" s="1" t="str">
        <f t="shared" si="332"/>
        <v>16100-103</v>
      </c>
      <c r="J3559" s="1" t="str">
        <f t="shared" si="333"/>
        <v>Synthesizer production item #103</v>
      </c>
      <c r="K3559" s="1" t="str">
        <f>IF(SUM(COUNTIFS(I:I, I3559)) &gt; 1, "DUPLICATE", "UNIQUE")</f>
        <v>UNIQUE</v>
      </c>
      <c r="L3559" s="18">
        <v>0</v>
      </c>
      <c r="M3559" s="28">
        <v>36</v>
      </c>
      <c r="N3559" s="6">
        <v>4</v>
      </c>
      <c r="O3559" s="30">
        <f t="shared" si="334"/>
        <v>0</v>
      </c>
      <c r="P3559" s="30">
        <f t="shared" si="335"/>
        <v>144</v>
      </c>
      <c r="Q3559" s="1">
        <f>COUNTIFS($P:$P, "&gt;" &amp; $P3559) + 1</f>
        <v>4399</v>
      </c>
      <c r="R3559" s="63">
        <f>(COUNTIFS($P:$P, "&gt;" &amp; $P3559) + 1) / (COUNTA($I:$I) - 1)</f>
        <v>0.87980000000000003</v>
      </c>
      <c r="S3559" s="23">
        <f>SUMIFS($P:$P, $Q:$Q, "&lt;" &amp; $Q3559)</f>
        <v>186525866</v>
      </c>
    </row>
    <row r="3560" spans="1:19" x14ac:dyDescent="0.25">
      <c r="A3560" s="1">
        <v>3555</v>
      </c>
      <c r="B3560" s="1" t="s">
        <v>2</v>
      </c>
      <c r="C3560" s="1" t="str">
        <f>IF($B3560 = "Production Item", _xlfn.XLOOKUP($A3560, 'Instrument Table'!$J:$J, 'Instrument Table'!$B:$B, $C3559), IF($B3560 = "Service Item", _xlfn.XLOOKUP($A3560, 'Instrument Table'!$I:$I, 'Instrument Table'!$B:$B, $C3559), _xlfn.XLOOKUP($A3560, 'Instrument Table'!$H:$H, 'Instrument Table'!$B:$B, $C3559)))</f>
        <v>Synthesizer</v>
      </c>
      <c r="D3560" s="1" t="str">
        <f>VLOOKUP($C3560, 'Instrument Table'!$B:$C, 2, FALSE)</f>
        <v>Other</v>
      </c>
      <c r="E3560" s="1">
        <f t="shared" si="330"/>
        <v>1</v>
      </c>
      <c r="F3560" s="1">
        <f>_xlfn.XLOOKUP($C3560, 'Instrument Table'!$B:$B, 'Instrument Table'!$A:$A, "")</f>
        <v>61</v>
      </c>
      <c r="G3560" s="1" t="str">
        <f>TEXT(IF($B3560 = "Retail Item", IF((ROW($A3560) - 4504 - _xlfn.XMATCH($C3560, $C$4506:$C$5005, 0, 1)) &lt;= VLOOKUP($C3560, 'Instrument Table'!$B:$D, 3, FALSE), ROW($A3560) - 4504 - _xlfn.XMATCH($C3560, $C$4506:$C$5005, 0, 1), 0), 0), "00")</f>
        <v>00</v>
      </c>
      <c r="H3560" s="1" t="str">
        <f t="shared" si="331"/>
        <v>104</v>
      </c>
      <c r="I3560" s="1" t="str">
        <f t="shared" si="332"/>
        <v>16100-104</v>
      </c>
      <c r="J3560" s="1" t="str">
        <f t="shared" si="333"/>
        <v>Synthesizer production item #104</v>
      </c>
      <c r="K3560" s="1" t="str">
        <f>IF(SUM(COUNTIFS(I:I, I3560)) &gt; 1, "DUPLICATE", "UNIQUE")</f>
        <v>UNIQUE</v>
      </c>
      <c r="L3560" s="18">
        <v>8</v>
      </c>
      <c r="M3560" s="28">
        <v>18</v>
      </c>
      <c r="N3560" s="6">
        <v>81</v>
      </c>
      <c r="O3560" s="30">
        <f t="shared" si="334"/>
        <v>144</v>
      </c>
      <c r="P3560" s="30">
        <f t="shared" si="335"/>
        <v>1458</v>
      </c>
      <c r="Q3560" s="1">
        <f>COUNTIFS($P:$P, "&gt;" &amp; $P3560) + 1</f>
        <v>3477</v>
      </c>
      <c r="R3560" s="63">
        <f>(COUNTIFS($P:$P, "&gt;" &amp; $P3560) + 1) / (COUNTA($I:$I) - 1)</f>
        <v>0.69540000000000002</v>
      </c>
      <c r="S3560" s="23">
        <f>SUMIFS($P:$P, $Q:$Q, "&lt;" &amp; $Q3560)</f>
        <v>185904150</v>
      </c>
    </row>
    <row r="3561" spans="1:19" x14ac:dyDescent="0.25">
      <c r="A3561" s="1">
        <v>3556</v>
      </c>
      <c r="B3561" s="1" t="s">
        <v>2</v>
      </c>
      <c r="C3561" s="1" t="str">
        <f>IF($B3561 = "Production Item", _xlfn.XLOOKUP($A3561, 'Instrument Table'!$J:$J, 'Instrument Table'!$B:$B, $C3560), IF($B3561 = "Service Item", _xlfn.XLOOKUP($A3561, 'Instrument Table'!$I:$I, 'Instrument Table'!$B:$B, $C3560), _xlfn.XLOOKUP($A3561, 'Instrument Table'!$H:$H, 'Instrument Table'!$B:$B, $C3560)))</f>
        <v>Synthesizer</v>
      </c>
      <c r="D3561" s="1" t="str">
        <f>VLOOKUP($C3561, 'Instrument Table'!$B:$C, 2, FALSE)</f>
        <v>Other</v>
      </c>
      <c r="E3561" s="1">
        <f t="shared" si="330"/>
        <v>1</v>
      </c>
      <c r="F3561" s="1">
        <f>_xlfn.XLOOKUP($C3561, 'Instrument Table'!$B:$B, 'Instrument Table'!$A:$A, "")</f>
        <v>61</v>
      </c>
      <c r="G3561" s="1" t="str">
        <f>TEXT(IF($B3561 = "Retail Item", IF((ROW($A3561) - 4504 - _xlfn.XMATCH($C3561, $C$4506:$C$5005, 0, 1)) &lt;= VLOOKUP($C3561, 'Instrument Table'!$B:$D, 3, FALSE), ROW($A3561) - 4504 - _xlfn.XMATCH($C3561, $C$4506:$C$5005, 0, 1), 0), 0), "00")</f>
        <v>00</v>
      </c>
      <c r="H3561" s="1" t="str">
        <f t="shared" si="331"/>
        <v>105</v>
      </c>
      <c r="I3561" s="1" t="str">
        <f t="shared" si="332"/>
        <v>16100-105</v>
      </c>
      <c r="J3561" s="1" t="str">
        <f t="shared" si="333"/>
        <v>Synthesizer production item #105</v>
      </c>
      <c r="K3561" s="1" t="str">
        <f>IF(SUM(COUNTIFS(I:I, I3561)) &gt; 1, "DUPLICATE", "UNIQUE")</f>
        <v>UNIQUE</v>
      </c>
      <c r="L3561" s="18">
        <v>4</v>
      </c>
      <c r="M3561" s="28">
        <v>63</v>
      </c>
      <c r="N3561" s="6">
        <v>49</v>
      </c>
      <c r="O3561" s="30">
        <f t="shared" si="334"/>
        <v>252</v>
      </c>
      <c r="P3561" s="30">
        <f t="shared" si="335"/>
        <v>3087</v>
      </c>
      <c r="Q3561" s="1">
        <f>COUNTIFS($P:$P, "&gt;" &amp; $P3561) + 1</f>
        <v>2881</v>
      </c>
      <c r="R3561" s="63">
        <f>(COUNTIFS($P:$P, "&gt;" &amp; $P3561) + 1) / (COUNTA($I:$I) - 1)</f>
        <v>0.57620000000000005</v>
      </c>
      <c r="S3561" s="23">
        <f>SUMIFS($P:$P, $Q:$Q, "&lt;" &amp; $Q3561)</f>
        <v>184590094</v>
      </c>
    </row>
    <row r="3562" spans="1:19" x14ac:dyDescent="0.25">
      <c r="A3562" s="1">
        <v>3557</v>
      </c>
      <c r="B3562" s="1" t="s">
        <v>2</v>
      </c>
      <c r="C3562" s="1" t="str">
        <f>IF($B3562 = "Production Item", _xlfn.XLOOKUP($A3562, 'Instrument Table'!$J:$J, 'Instrument Table'!$B:$B, $C3561), IF($B3562 = "Service Item", _xlfn.XLOOKUP($A3562, 'Instrument Table'!$I:$I, 'Instrument Table'!$B:$B, $C3561), _xlfn.XLOOKUP($A3562, 'Instrument Table'!$H:$H, 'Instrument Table'!$B:$B, $C3561)))</f>
        <v>Synthesizer</v>
      </c>
      <c r="D3562" s="1" t="str">
        <f>VLOOKUP($C3562, 'Instrument Table'!$B:$C, 2, FALSE)</f>
        <v>Other</v>
      </c>
      <c r="E3562" s="1">
        <f t="shared" si="330"/>
        <v>1</v>
      </c>
      <c r="F3562" s="1">
        <f>_xlfn.XLOOKUP($C3562, 'Instrument Table'!$B:$B, 'Instrument Table'!$A:$A, "")</f>
        <v>61</v>
      </c>
      <c r="G3562" s="1" t="str">
        <f>TEXT(IF($B3562 = "Retail Item", IF((ROW($A3562) - 4504 - _xlfn.XMATCH($C3562, $C$4506:$C$5005, 0, 1)) &lt;= VLOOKUP($C3562, 'Instrument Table'!$B:$D, 3, FALSE), ROW($A3562) - 4504 - _xlfn.XMATCH($C3562, $C$4506:$C$5005, 0, 1), 0), 0), "00")</f>
        <v>00</v>
      </c>
      <c r="H3562" s="1" t="str">
        <f t="shared" si="331"/>
        <v>106</v>
      </c>
      <c r="I3562" s="1" t="str">
        <f t="shared" si="332"/>
        <v>16100-106</v>
      </c>
      <c r="J3562" s="1" t="str">
        <f t="shared" si="333"/>
        <v>Synthesizer production item #106</v>
      </c>
      <c r="K3562" s="1" t="str">
        <f>IF(SUM(COUNTIFS(I:I, I3562)) &gt; 1, "DUPLICATE", "UNIQUE")</f>
        <v>UNIQUE</v>
      </c>
      <c r="L3562" s="18">
        <v>4</v>
      </c>
      <c r="M3562" s="28">
        <v>7</v>
      </c>
      <c r="N3562" s="6">
        <v>196</v>
      </c>
      <c r="O3562" s="30">
        <f t="shared" si="334"/>
        <v>28</v>
      </c>
      <c r="P3562" s="30">
        <f t="shared" si="335"/>
        <v>1372</v>
      </c>
      <c r="Q3562" s="1">
        <f>COUNTIFS($P:$P, "&gt;" &amp; $P3562) + 1</f>
        <v>3523</v>
      </c>
      <c r="R3562" s="63">
        <f>(COUNTIFS($P:$P, "&gt;" &amp; $P3562) + 1) / (COUNTA($I:$I) - 1)</f>
        <v>0.7046</v>
      </c>
      <c r="S3562" s="23">
        <f>SUMIFS($P:$P, $Q:$Q, "&lt;" &amp; $Q3562)</f>
        <v>185969593</v>
      </c>
    </row>
    <row r="3563" spans="1:19" x14ac:dyDescent="0.25">
      <c r="A3563" s="1">
        <v>3558</v>
      </c>
      <c r="B3563" s="1" t="s">
        <v>2</v>
      </c>
      <c r="C3563" s="1" t="str">
        <f>IF($B3563 = "Production Item", _xlfn.XLOOKUP($A3563, 'Instrument Table'!$J:$J, 'Instrument Table'!$B:$B, $C3562), IF($B3563 = "Service Item", _xlfn.XLOOKUP($A3563, 'Instrument Table'!$I:$I, 'Instrument Table'!$B:$B, $C3562), _xlfn.XLOOKUP($A3563, 'Instrument Table'!$H:$H, 'Instrument Table'!$B:$B, $C3562)))</f>
        <v>Synthesizer</v>
      </c>
      <c r="D3563" s="1" t="str">
        <f>VLOOKUP($C3563, 'Instrument Table'!$B:$C, 2, FALSE)</f>
        <v>Other</v>
      </c>
      <c r="E3563" s="1">
        <f t="shared" si="330"/>
        <v>1</v>
      </c>
      <c r="F3563" s="1">
        <f>_xlfn.XLOOKUP($C3563, 'Instrument Table'!$B:$B, 'Instrument Table'!$A:$A, "")</f>
        <v>61</v>
      </c>
      <c r="G3563" s="1" t="str">
        <f>TEXT(IF($B3563 = "Retail Item", IF((ROW($A3563) - 4504 - _xlfn.XMATCH($C3563, $C$4506:$C$5005, 0, 1)) &lt;= VLOOKUP($C3563, 'Instrument Table'!$B:$D, 3, FALSE), ROW($A3563) - 4504 - _xlfn.XMATCH($C3563, $C$4506:$C$5005, 0, 1), 0), 0), "00")</f>
        <v>00</v>
      </c>
      <c r="H3563" s="1" t="str">
        <f t="shared" si="331"/>
        <v>107</v>
      </c>
      <c r="I3563" s="1" t="str">
        <f t="shared" si="332"/>
        <v>16100-107</v>
      </c>
      <c r="J3563" s="1" t="str">
        <f t="shared" si="333"/>
        <v>Synthesizer production item #107</v>
      </c>
      <c r="K3563" s="1" t="str">
        <f>IF(SUM(COUNTIFS(I:I, I3563)) &gt; 1, "DUPLICATE", "UNIQUE")</f>
        <v>UNIQUE</v>
      </c>
      <c r="L3563" s="18">
        <v>16</v>
      </c>
      <c r="M3563" s="28">
        <v>66</v>
      </c>
      <c r="N3563" s="6">
        <v>196</v>
      </c>
      <c r="O3563" s="30">
        <f t="shared" si="334"/>
        <v>1056</v>
      </c>
      <c r="P3563" s="30">
        <f t="shared" si="335"/>
        <v>12936</v>
      </c>
      <c r="Q3563" s="1">
        <f>COUNTIFS($P:$P, "&gt;" &amp; $P3563) + 1</f>
        <v>1505</v>
      </c>
      <c r="R3563" s="63">
        <f>(COUNTIFS($P:$P, "&gt;" &amp; $P3563) + 1) / (COUNTA($I:$I) - 1)</f>
        <v>0.30099999999999999</v>
      </c>
      <c r="S3563" s="23">
        <f>SUMIFS($P:$P, $Q:$Q, "&lt;" &amp; $Q3563)</f>
        <v>174904603</v>
      </c>
    </row>
    <row r="3564" spans="1:19" x14ac:dyDescent="0.25">
      <c r="A3564" s="1">
        <v>3559</v>
      </c>
      <c r="B3564" s="1" t="s">
        <v>2</v>
      </c>
      <c r="C3564" s="1" t="str">
        <f>IF($B3564 = "Production Item", _xlfn.XLOOKUP($A3564, 'Instrument Table'!$J:$J, 'Instrument Table'!$B:$B, $C3563), IF($B3564 = "Service Item", _xlfn.XLOOKUP($A3564, 'Instrument Table'!$I:$I, 'Instrument Table'!$B:$B, $C3563), _xlfn.XLOOKUP($A3564, 'Instrument Table'!$H:$H, 'Instrument Table'!$B:$B, $C3563)))</f>
        <v>Synthesizer</v>
      </c>
      <c r="D3564" s="1" t="str">
        <f>VLOOKUP($C3564, 'Instrument Table'!$B:$C, 2, FALSE)</f>
        <v>Other</v>
      </c>
      <c r="E3564" s="1">
        <f t="shared" si="330"/>
        <v>1</v>
      </c>
      <c r="F3564" s="1">
        <f>_xlfn.XLOOKUP($C3564, 'Instrument Table'!$B:$B, 'Instrument Table'!$A:$A, "")</f>
        <v>61</v>
      </c>
      <c r="G3564" s="1" t="str">
        <f>TEXT(IF($B3564 = "Retail Item", IF((ROW($A3564) - 4504 - _xlfn.XMATCH($C3564, $C$4506:$C$5005, 0, 1)) &lt;= VLOOKUP($C3564, 'Instrument Table'!$B:$D, 3, FALSE), ROW($A3564) - 4504 - _xlfn.XMATCH($C3564, $C$4506:$C$5005, 0, 1), 0), 0), "00")</f>
        <v>00</v>
      </c>
      <c r="H3564" s="1" t="str">
        <f t="shared" si="331"/>
        <v>108</v>
      </c>
      <c r="I3564" s="1" t="str">
        <f t="shared" si="332"/>
        <v>16100-108</v>
      </c>
      <c r="J3564" s="1" t="str">
        <f t="shared" si="333"/>
        <v>Synthesizer production item #108</v>
      </c>
      <c r="K3564" s="1" t="str">
        <f>IF(SUM(COUNTIFS(I:I, I3564)) &gt; 1, "DUPLICATE", "UNIQUE")</f>
        <v>UNIQUE</v>
      </c>
      <c r="L3564" s="18">
        <v>0</v>
      </c>
      <c r="M3564" s="28">
        <v>90</v>
      </c>
      <c r="N3564" s="6">
        <v>144</v>
      </c>
      <c r="O3564" s="30">
        <f t="shared" si="334"/>
        <v>0</v>
      </c>
      <c r="P3564" s="30">
        <f t="shared" si="335"/>
        <v>12960</v>
      </c>
      <c r="Q3564" s="1">
        <f>COUNTIFS($P:$P, "&gt;" &amp; $P3564) + 1</f>
        <v>1501</v>
      </c>
      <c r="R3564" s="63">
        <f>(COUNTIFS($P:$P, "&gt;" &amp; $P3564) + 1) / (COUNTA($I:$I) - 1)</f>
        <v>0.30020000000000002</v>
      </c>
      <c r="S3564" s="23">
        <f>SUMIFS($P:$P, $Q:$Q, "&lt;" &amp; $Q3564)</f>
        <v>174852763</v>
      </c>
    </row>
    <row r="3565" spans="1:19" x14ac:dyDescent="0.25">
      <c r="A3565" s="1">
        <v>3560</v>
      </c>
      <c r="B3565" s="1" t="s">
        <v>2</v>
      </c>
      <c r="C3565" s="1" t="str">
        <f>IF($B3565 = "Production Item", _xlfn.XLOOKUP($A3565, 'Instrument Table'!$J:$J, 'Instrument Table'!$B:$B, $C3564), IF($B3565 = "Service Item", _xlfn.XLOOKUP($A3565, 'Instrument Table'!$I:$I, 'Instrument Table'!$B:$B, $C3564), _xlfn.XLOOKUP($A3565, 'Instrument Table'!$H:$H, 'Instrument Table'!$B:$B, $C3564)))</f>
        <v>Synthesizer</v>
      </c>
      <c r="D3565" s="1" t="str">
        <f>VLOOKUP($C3565, 'Instrument Table'!$B:$C, 2, FALSE)</f>
        <v>Other</v>
      </c>
      <c r="E3565" s="1">
        <f t="shared" si="330"/>
        <v>1</v>
      </c>
      <c r="F3565" s="1">
        <f>_xlfn.XLOOKUP($C3565, 'Instrument Table'!$B:$B, 'Instrument Table'!$A:$A, "")</f>
        <v>61</v>
      </c>
      <c r="G3565" s="1" t="str">
        <f>TEXT(IF($B3565 = "Retail Item", IF((ROW($A3565) - 4504 - _xlfn.XMATCH($C3565, $C$4506:$C$5005, 0, 1)) &lt;= VLOOKUP($C3565, 'Instrument Table'!$B:$D, 3, FALSE), ROW($A3565) - 4504 - _xlfn.XMATCH($C3565, $C$4506:$C$5005, 0, 1), 0), 0), "00")</f>
        <v>00</v>
      </c>
      <c r="H3565" s="1" t="str">
        <f t="shared" si="331"/>
        <v>109</v>
      </c>
      <c r="I3565" s="1" t="str">
        <f t="shared" si="332"/>
        <v>16100-109</v>
      </c>
      <c r="J3565" s="1" t="str">
        <f t="shared" si="333"/>
        <v>Synthesizer production item #109</v>
      </c>
      <c r="K3565" s="1" t="str">
        <f>IF(SUM(COUNTIFS(I:I, I3565)) &gt; 1, "DUPLICATE", "UNIQUE")</f>
        <v>UNIQUE</v>
      </c>
      <c r="L3565" s="18">
        <v>1</v>
      </c>
      <c r="M3565" s="28">
        <v>75</v>
      </c>
      <c r="N3565" s="6">
        <v>225</v>
      </c>
      <c r="O3565" s="30">
        <f t="shared" si="334"/>
        <v>75</v>
      </c>
      <c r="P3565" s="30">
        <f t="shared" si="335"/>
        <v>16875</v>
      </c>
      <c r="Q3565" s="1">
        <f>COUNTIFS($P:$P, "&gt;" &amp; $P3565) + 1</f>
        <v>1221</v>
      </c>
      <c r="R3565" s="63">
        <f>(COUNTIFS($P:$P, "&gt;" &amp; $P3565) + 1) / (COUNTA($I:$I) - 1)</f>
        <v>0.2442</v>
      </c>
      <c r="S3565" s="23">
        <f>SUMIFS($P:$P, $Q:$Q, "&lt;" &amp; $Q3565)</f>
        <v>170685197</v>
      </c>
    </row>
    <row r="3566" spans="1:19" x14ac:dyDescent="0.25">
      <c r="A3566" s="1">
        <v>3561</v>
      </c>
      <c r="B3566" s="1" t="s">
        <v>2</v>
      </c>
      <c r="C3566" s="1" t="str">
        <f>IF($B3566 = "Production Item", _xlfn.XLOOKUP($A3566, 'Instrument Table'!$J:$J, 'Instrument Table'!$B:$B, $C3565), IF($B3566 = "Service Item", _xlfn.XLOOKUP($A3566, 'Instrument Table'!$I:$I, 'Instrument Table'!$B:$B, $C3565), _xlfn.XLOOKUP($A3566, 'Instrument Table'!$H:$H, 'Instrument Table'!$B:$B, $C3565)))</f>
        <v>Synthesizer</v>
      </c>
      <c r="D3566" s="1" t="str">
        <f>VLOOKUP($C3566, 'Instrument Table'!$B:$C, 2, FALSE)</f>
        <v>Other</v>
      </c>
      <c r="E3566" s="1">
        <f t="shared" si="330"/>
        <v>1</v>
      </c>
      <c r="F3566" s="1">
        <f>_xlfn.XLOOKUP($C3566, 'Instrument Table'!$B:$B, 'Instrument Table'!$A:$A, "")</f>
        <v>61</v>
      </c>
      <c r="G3566" s="1" t="str">
        <f>TEXT(IF($B3566 = "Retail Item", IF((ROW($A3566) - 4504 - _xlfn.XMATCH($C3566, $C$4506:$C$5005, 0, 1)) &lt;= VLOOKUP($C3566, 'Instrument Table'!$B:$D, 3, FALSE), ROW($A3566) - 4504 - _xlfn.XMATCH($C3566, $C$4506:$C$5005, 0, 1), 0), 0), "00")</f>
        <v>00</v>
      </c>
      <c r="H3566" s="1" t="str">
        <f t="shared" si="331"/>
        <v>110</v>
      </c>
      <c r="I3566" s="1" t="str">
        <f t="shared" si="332"/>
        <v>16100-110</v>
      </c>
      <c r="J3566" s="1" t="str">
        <f t="shared" si="333"/>
        <v>Synthesizer production item #110</v>
      </c>
      <c r="K3566" s="1" t="str">
        <f>IF(SUM(COUNTIFS(I:I, I3566)) &gt; 1, "DUPLICATE", "UNIQUE")</f>
        <v>UNIQUE</v>
      </c>
      <c r="L3566" s="18">
        <v>0</v>
      </c>
      <c r="M3566" s="28">
        <v>80</v>
      </c>
      <c r="N3566" s="6">
        <v>16</v>
      </c>
      <c r="O3566" s="30">
        <f t="shared" si="334"/>
        <v>0</v>
      </c>
      <c r="P3566" s="30">
        <f t="shared" si="335"/>
        <v>1280</v>
      </c>
      <c r="Q3566" s="1">
        <f>COUNTIFS($P:$P, "&gt;" &amp; $P3566) + 1</f>
        <v>3569</v>
      </c>
      <c r="R3566" s="63">
        <f>(COUNTIFS($P:$P, "&gt;" &amp; $P3566) + 1) / (COUNTA($I:$I) - 1)</f>
        <v>0.71379999999999999</v>
      </c>
      <c r="S3566" s="23">
        <f>SUMIFS($P:$P, $Q:$Q, "&lt;" &amp; $Q3566)</f>
        <v>186031008</v>
      </c>
    </row>
    <row r="3567" spans="1:19" x14ac:dyDescent="0.25">
      <c r="A3567" s="1">
        <v>3562</v>
      </c>
      <c r="B3567" s="1" t="s">
        <v>2</v>
      </c>
      <c r="C3567" s="1" t="str">
        <f>IF($B3567 = "Production Item", _xlfn.XLOOKUP($A3567, 'Instrument Table'!$J:$J, 'Instrument Table'!$B:$B, $C3566), IF($B3567 = "Service Item", _xlfn.XLOOKUP($A3567, 'Instrument Table'!$I:$I, 'Instrument Table'!$B:$B, $C3566), _xlfn.XLOOKUP($A3567, 'Instrument Table'!$H:$H, 'Instrument Table'!$B:$B, $C3566)))</f>
        <v>Synthesizer</v>
      </c>
      <c r="D3567" s="1" t="str">
        <f>VLOOKUP($C3567, 'Instrument Table'!$B:$C, 2, FALSE)</f>
        <v>Other</v>
      </c>
      <c r="E3567" s="1">
        <f t="shared" si="330"/>
        <v>1</v>
      </c>
      <c r="F3567" s="1">
        <f>_xlfn.XLOOKUP($C3567, 'Instrument Table'!$B:$B, 'Instrument Table'!$A:$A, "")</f>
        <v>61</v>
      </c>
      <c r="G3567" s="1" t="str">
        <f>TEXT(IF($B3567 = "Retail Item", IF((ROW($A3567) - 4504 - _xlfn.XMATCH($C3567, $C$4506:$C$5005, 0, 1)) &lt;= VLOOKUP($C3567, 'Instrument Table'!$B:$D, 3, FALSE), ROW($A3567) - 4504 - _xlfn.XMATCH($C3567, $C$4506:$C$5005, 0, 1), 0), 0), "00")</f>
        <v>00</v>
      </c>
      <c r="H3567" s="1" t="str">
        <f t="shared" si="331"/>
        <v>111</v>
      </c>
      <c r="I3567" s="1" t="str">
        <f t="shared" si="332"/>
        <v>16100-111</v>
      </c>
      <c r="J3567" s="1" t="str">
        <f t="shared" si="333"/>
        <v>Synthesizer production item #111</v>
      </c>
      <c r="K3567" s="1" t="str">
        <f>IF(SUM(COUNTIFS(I:I, I3567)) &gt; 1, "DUPLICATE", "UNIQUE")</f>
        <v>UNIQUE</v>
      </c>
      <c r="L3567" s="18">
        <v>0</v>
      </c>
      <c r="M3567" s="28">
        <v>27</v>
      </c>
      <c r="N3567" s="6">
        <v>121</v>
      </c>
      <c r="O3567" s="30">
        <f t="shared" si="334"/>
        <v>0</v>
      </c>
      <c r="P3567" s="30">
        <f t="shared" si="335"/>
        <v>3267</v>
      </c>
      <c r="Q3567" s="1">
        <f>COUNTIFS($P:$P, "&gt;" &amp; $P3567) + 1</f>
        <v>2836</v>
      </c>
      <c r="R3567" s="63">
        <f>(COUNTIFS($P:$P, "&gt;" &amp; $P3567) + 1) / (COUNTA($I:$I) - 1)</f>
        <v>0.56720000000000004</v>
      </c>
      <c r="S3567" s="23">
        <f>SUMIFS($P:$P, $Q:$Q, "&lt;" &amp; $Q3567)</f>
        <v>184446392</v>
      </c>
    </row>
    <row r="3568" spans="1:19" x14ac:dyDescent="0.25">
      <c r="A3568" s="1">
        <v>3563</v>
      </c>
      <c r="B3568" s="1" t="s">
        <v>2</v>
      </c>
      <c r="C3568" s="1" t="str">
        <f>IF($B3568 = "Production Item", _xlfn.XLOOKUP($A3568, 'Instrument Table'!$J:$J, 'Instrument Table'!$B:$B, $C3567), IF($B3568 = "Service Item", _xlfn.XLOOKUP($A3568, 'Instrument Table'!$I:$I, 'Instrument Table'!$B:$B, $C3567), _xlfn.XLOOKUP($A3568, 'Instrument Table'!$H:$H, 'Instrument Table'!$B:$B, $C3567)))</f>
        <v>Synthesizer</v>
      </c>
      <c r="D3568" s="1" t="str">
        <f>VLOOKUP($C3568, 'Instrument Table'!$B:$C, 2, FALSE)</f>
        <v>Other</v>
      </c>
      <c r="E3568" s="1">
        <f t="shared" si="330"/>
        <v>1</v>
      </c>
      <c r="F3568" s="1">
        <f>_xlfn.XLOOKUP($C3568, 'Instrument Table'!$B:$B, 'Instrument Table'!$A:$A, "")</f>
        <v>61</v>
      </c>
      <c r="G3568" s="1" t="str">
        <f>TEXT(IF($B3568 = "Retail Item", IF((ROW($A3568) - 4504 - _xlfn.XMATCH($C3568, $C$4506:$C$5005, 0, 1)) &lt;= VLOOKUP($C3568, 'Instrument Table'!$B:$D, 3, FALSE), ROW($A3568) - 4504 - _xlfn.XMATCH($C3568, $C$4506:$C$5005, 0, 1), 0), 0), "00")</f>
        <v>00</v>
      </c>
      <c r="H3568" s="1" t="str">
        <f t="shared" si="331"/>
        <v>112</v>
      </c>
      <c r="I3568" s="1" t="str">
        <f t="shared" si="332"/>
        <v>16100-112</v>
      </c>
      <c r="J3568" s="1" t="str">
        <f t="shared" si="333"/>
        <v>Synthesizer production item #112</v>
      </c>
      <c r="K3568" s="1" t="str">
        <f>IF(SUM(COUNTIFS(I:I, I3568)) &gt; 1, "DUPLICATE", "UNIQUE")</f>
        <v>UNIQUE</v>
      </c>
      <c r="L3568" s="18">
        <v>32</v>
      </c>
      <c r="M3568" s="28">
        <v>19</v>
      </c>
      <c r="N3568" s="6">
        <v>64</v>
      </c>
      <c r="O3568" s="30">
        <f t="shared" si="334"/>
        <v>608</v>
      </c>
      <c r="P3568" s="30">
        <f t="shared" si="335"/>
        <v>1216</v>
      </c>
      <c r="Q3568" s="1">
        <f>COUNTIFS($P:$P, "&gt;" &amp; $P3568) + 1</f>
        <v>3593</v>
      </c>
      <c r="R3568" s="63">
        <f>(COUNTIFS($P:$P, "&gt;" &amp; $P3568) + 1) / (COUNTA($I:$I) - 1)</f>
        <v>0.71860000000000002</v>
      </c>
      <c r="S3568" s="23">
        <f>SUMIFS($P:$P, $Q:$Q, "&lt;" &amp; $Q3568)</f>
        <v>186061231</v>
      </c>
    </row>
    <row r="3569" spans="1:19" x14ac:dyDescent="0.25">
      <c r="A3569" s="1">
        <v>3564</v>
      </c>
      <c r="B3569" s="1" t="s">
        <v>2</v>
      </c>
      <c r="C3569" s="1" t="str">
        <f>IF($B3569 = "Production Item", _xlfn.XLOOKUP($A3569, 'Instrument Table'!$J:$J, 'Instrument Table'!$B:$B, $C3568), IF($B3569 = "Service Item", _xlfn.XLOOKUP($A3569, 'Instrument Table'!$I:$I, 'Instrument Table'!$B:$B, $C3568), _xlfn.XLOOKUP($A3569, 'Instrument Table'!$H:$H, 'Instrument Table'!$B:$B, $C3568)))</f>
        <v>Synthesizer</v>
      </c>
      <c r="D3569" s="1" t="str">
        <f>VLOOKUP($C3569, 'Instrument Table'!$B:$C, 2, FALSE)</f>
        <v>Other</v>
      </c>
      <c r="E3569" s="1">
        <f t="shared" si="330"/>
        <v>1</v>
      </c>
      <c r="F3569" s="1">
        <f>_xlfn.XLOOKUP($C3569, 'Instrument Table'!$B:$B, 'Instrument Table'!$A:$A, "")</f>
        <v>61</v>
      </c>
      <c r="G3569" s="1" t="str">
        <f>TEXT(IF($B3569 = "Retail Item", IF((ROW($A3569) - 4504 - _xlfn.XMATCH($C3569, $C$4506:$C$5005, 0, 1)) &lt;= VLOOKUP($C3569, 'Instrument Table'!$B:$D, 3, FALSE), ROW($A3569) - 4504 - _xlfn.XMATCH($C3569, $C$4506:$C$5005, 0, 1), 0), 0), "00")</f>
        <v>00</v>
      </c>
      <c r="H3569" s="1" t="str">
        <f t="shared" si="331"/>
        <v>113</v>
      </c>
      <c r="I3569" s="1" t="str">
        <f t="shared" si="332"/>
        <v>16100-113</v>
      </c>
      <c r="J3569" s="1" t="str">
        <f t="shared" si="333"/>
        <v>Synthesizer production item #113</v>
      </c>
      <c r="K3569" s="1" t="str">
        <f>IF(SUM(COUNTIFS(I:I, I3569)) &gt; 1, "DUPLICATE", "UNIQUE")</f>
        <v>UNIQUE</v>
      </c>
      <c r="L3569" s="18">
        <v>1</v>
      </c>
      <c r="M3569" s="28">
        <v>11</v>
      </c>
      <c r="N3569" s="6">
        <v>100</v>
      </c>
      <c r="O3569" s="30">
        <f t="shared" si="334"/>
        <v>11</v>
      </c>
      <c r="P3569" s="30">
        <f t="shared" si="335"/>
        <v>1100</v>
      </c>
      <c r="Q3569" s="1">
        <f>COUNTIFS($P:$P, "&gt;" &amp; $P3569) + 1</f>
        <v>3648</v>
      </c>
      <c r="R3569" s="63">
        <f>(COUNTIFS($P:$P, "&gt;" &amp; $P3569) + 1) / (COUNTA($I:$I) - 1)</f>
        <v>0.72960000000000003</v>
      </c>
      <c r="S3569" s="23">
        <f>SUMIFS($P:$P, $Q:$Q, "&lt;" &amp; $Q3569)</f>
        <v>186125615</v>
      </c>
    </row>
    <row r="3570" spans="1:19" x14ac:dyDescent="0.25">
      <c r="A3570" s="1">
        <v>3565</v>
      </c>
      <c r="B3570" s="1" t="s">
        <v>2</v>
      </c>
      <c r="C3570" s="1" t="str">
        <f>IF($B3570 = "Production Item", _xlfn.XLOOKUP($A3570, 'Instrument Table'!$J:$J, 'Instrument Table'!$B:$B, $C3569), IF($B3570 = "Service Item", _xlfn.XLOOKUP($A3570, 'Instrument Table'!$I:$I, 'Instrument Table'!$B:$B, $C3569), _xlfn.XLOOKUP($A3570, 'Instrument Table'!$H:$H, 'Instrument Table'!$B:$B, $C3569)))</f>
        <v>Synthesizer</v>
      </c>
      <c r="D3570" s="1" t="str">
        <f>VLOOKUP($C3570, 'Instrument Table'!$B:$C, 2, FALSE)</f>
        <v>Other</v>
      </c>
      <c r="E3570" s="1">
        <f t="shared" si="330"/>
        <v>1</v>
      </c>
      <c r="F3570" s="1">
        <f>_xlfn.XLOOKUP($C3570, 'Instrument Table'!$B:$B, 'Instrument Table'!$A:$A, "")</f>
        <v>61</v>
      </c>
      <c r="G3570" s="1" t="str">
        <f>TEXT(IF($B3570 = "Retail Item", IF((ROW($A3570) - 4504 - _xlfn.XMATCH($C3570, $C$4506:$C$5005, 0, 1)) &lt;= VLOOKUP($C3570, 'Instrument Table'!$B:$D, 3, FALSE), ROW($A3570) - 4504 - _xlfn.XMATCH($C3570, $C$4506:$C$5005, 0, 1), 0), 0), "00")</f>
        <v>00</v>
      </c>
      <c r="H3570" s="1" t="str">
        <f t="shared" si="331"/>
        <v>114</v>
      </c>
      <c r="I3570" s="1" t="str">
        <f t="shared" si="332"/>
        <v>16100-114</v>
      </c>
      <c r="J3570" s="1" t="str">
        <f t="shared" si="333"/>
        <v>Synthesizer production item #114</v>
      </c>
      <c r="K3570" s="1" t="str">
        <f>IF(SUM(COUNTIFS(I:I, I3570)) &gt; 1, "DUPLICATE", "UNIQUE")</f>
        <v>UNIQUE</v>
      </c>
      <c r="L3570" s="18">
        <v>32</v>
      </c>
      <c r="M3570" s="28">
        <v>41</v>
      </c>
      <c r="N3570" s="6">
        <v>289</v>
      </c>
      <c r="O3570" s="30">
        <f t="shared" si="334"/>
        <v>1312</v>
      </c>
      <c r="P3570" s="30">
        <f t="shared" si="335"/>
        <v>11849</v>
      </c>
      <c r="Q3570" s="1">
        <f>COUNTIFS($P:$P, "&gt;" &amp; $P3570) + 1</f>
        <v>1594</v>
      </c>
      <c r="R3570" s="63">
        <f>(COUNTIFS($P:$P, "&gt;" &amp; $P3570) + 1) / (COUNTA($I:$I) - 1)</f>
        <v>0.31879999999999997</v>
      </c>
      <c r="S3570" s="23">
        <f>SUMIFS($P:$P, $Q:$Q, "&lt;" &amp; $Q3570)</f>
        <v>176007747</v>
      </c>
    </row>
    <row r="3571" spans="1:19" x14ac:dyDescent="0.25">
      <c r="A3571" s="1">
        <v>3566</v>
      </c>
      <c r="B3571" s="1" t="s">
        <v>2</v>
      </c>
      <c r="C3571" s="1" t="str">
        <f>IF($B3571 = "Production Item", _xlfn.XLOOKUP($A3571, 'Instrument Table'!$J:$J, 'Instrument Table'!$B:$B, $C3570), IF($B3571 = "Service Item", _xlfn.XLOOKUP($A3571, 'Instrument Table'!$I:$I, 'Instrument Table'!$B:$B, $C3570), _xlfn.XLOOKUP($A3571, 'Instrument Table'!$H:$H, 'Instrument Table'!$B:$B, $C3570)))</f>
        <v>Synthesizer</v>
      </c>
      <c r="D3571" s="1" t="str">
        <f>VLOOKUP($C3571, 'Instrument Table'!$B:$C, 2, FALSE)</f>
        <v>Other</v>
      </c>
      <c r="E3571" s="1">
        <f t="shared" si="330"/>
        <v>1</v>
      </c>
      <c r="F3571" s="1">
        <f>_xlfn.XLOOKUP($C3571, 'Instrument Table'!$B:$B, 'Instrument Table'!$A:$A, "")</f>
        <v>61</v>
      </c>
      <c r="G3571" s="1" t="str">
        <f>TEXT(IF($B3571 = "Retail Item", IF((ROW($A3571) - 4504 - _xlfn.XMATCH($C3571, $C$4506:$C$5005, 0, 1)) &lt;= VLOOKUP($C3571, 'Instrument Table'!$B:$D, 3, FALSE), ROW($A3571) - 4504 - _xlfn.XMATCH($C3571, $C$4506:$C$5005, 0, 1), 0), 0), "00")</f>
        <v>00</v>
      </c>
      <c r="H3571" s="1" t="str">
        <f t="shared" si="331"/>
        <v>115</v>
      </c>
      <c r="I3571" s="1" t="str">
        <f t="shared" si="332"/>
        <v>16100-115</v>
      </c>
      <c r="J3571" s="1" t="str">
        <f t="shared" si="333"/>
        <v>Synthesizer production item #115</v>
      </c>
      <c r="K3571" s="1" t="str">
        <f>IF(SUM(COUNTIFS(I:I, I3571)) &gt; 1, "DUPLICATE", "UNIQUE")</f>
        <v>UNIQUE</v>
      </c>
      <c r="L3571" s="18">
        <v>1</v>
      </c>
      <c r="M3571" s="28">
        <v>11</v>
      </c>
      <c r="N3571" s="6">
        <v>1</v>
      </c>
      <c r="O3571" s="30">
        <f t="shared" si="334"/>
        <v>11</v>
      </c>
      <c r="P3571" s="30">
        <f t="shared" si="335"/>
        <v>11</v>
      </c>
      <c r="Q3571" s="1">
        <f>COUNTIFS($P:$P, "&gt;" &amp; $P3571) + 1</f>
        <v>4717</v>
      </c>
      <c r="R3571" s="63">
        <f>(COUNTIFS($P:$P, "&gt;" &amp; $P3571) + 1) / (COUNTA($I:$I) - 1)</f>
        <v>0.94340000000000002</v>
      </c>
      <c r="S3571" s="23">
        <f>SUMIFS($P:$P, $Q:$Q, "&lt;" &amp; $Q3571)</f>
        <v>186547660</v>
      </c>
    </row>
    <row r="3572" spans="1:19" x14ac:dyDescent="0.25">
      <c r="A3572" s="1">
        <v>3567</v>
      </c>
      <c r="B3572" s="1" t="s">
        <v>2</v>
      </c>
      <c r="C3572" s="1" t="str">
        <f>IF($B3572 = "Production Item", _xlfn.XLOOKUP($A3572, 'Instrument Table'!$J:$J, 'Instrument Table'!$B:$B, $C3571), IF($B3572 = "Service Item", _xlfn.XLOOKUP($A3572, 'Instrument Table'!$I:$I, 'Instrument Table'!$B:$B, $C3571), _xlfn.XLOOKUP($A3572, 'Instrument Table'!$H:$H, 'Instrument Table'!$B:$B, $C3571)))</f>
        <v>Synthesizer</v>
      </c>
      <c r="D3572" s="1" t="str">
        <f>VLOOKUP($C3572, 'Instrument Table'!$B:$C, 2, FALSE)</f>
        <v>Other</v>
      </c>
      <c r="E3572" s="1">
        <f t="shared" si="330"/>
        <v>1</v>
      </c>
      <c r="F3572" s="1">
        <f>_xlfn.XLOOKUP($C3572, 'Instrument Table'!$B:$B, 'Instrument Table'!$A:$A, "")</f>
        <v>61</v>
      </c>
      <c r="G3572" s="1" t="str">
        <f>TEXT(IF($B3572 = "Retail Item", IF((ROW($A3572) - 4504 - _xlfn.XMATCH($C3572, $C$4506:$C$5005, 0, 1)) &lt;= VLOOKUP($C3572, 'Instrument Table'!$B:$D, 3, FALSE), ROW($A3572) - 4504 - _xlfn.XMATCH($C3572, $C$4506:$C$5005, 0, 1), 0), 0), "00")</f>
        <v>00</v>
      </c>
      <c r="H3572" s="1" t="str">
        <f t="shared" si="331"/>
        <v>116</v>
      </c>
      <c r="I3572" s="1" t="str">
        <f t="shared" si="332"/>
        <v>16100-116</v>
      </c>
      <c r="J3572" s="1" t="str">
        <f t="shared" si="333"/>
        <v>Synthesizer production item #116</v>
      </c>
      <c r="K3572" s="1" t="str">
        <f>IF(SUM(COUNTIFS(I:I, I3572)) &gt; 1, "DUPLICATE", "UNIQUE")</f>
        <v>UNIQUE</v>
      </c>
      <c r="L3572" s="18">
        <v>4</v>
      </c>
      <c r="M3572" s="28">
        <v>38</v>
      </c>
      <c r="N3572" s="6">
        <v>36</v>
      </c>
      <c r="O3572" s="30">
        <f t="shared" si="334"/>
        <v>152</v>
      </c>
      <c r="P3572" s="30">
        <f t="shared" si="335"/>
        <v>1368</v>
      </c>
      <c r="Q3572" s="1">
        <f>COUNTIFS($P:$P, "&gt;" &amp; $P3572) + 1</f>
        <v>3527</v>
      </c>
      <c r="R3572" s="63">
        <f>(COUNTIFS($P:$P, "&gt;" &amp; $P3572) + 1) / (COUNTA($I:$I) - 1)</f>
        <v>0.70540000000000003</v>
      </c>
      <c r="S3572" s="23">
        <f>SUMIFS($P:$P, $Q:$Q, "&lt;" &amp; $Q3572)</f>
        <v>185975081</v>
      </c>
    </row>
    <row r="3573" spans="1:19" x14ac:dyDescent="0.25">
      <c r="A3573" s="1">
        <v>3568</v>
      </c>
      <c r="B3573" s="1" t="s">
        <v>2</v>
      </c>
      <c r="C3573" s="1" t="str">
        <f>IF($B3573 = "Production Item", _xlfn.XLOOKUP($A3573, 'Instrument Table'!$J:$J, 'Instrument Table'!$B:$B, $C3572), IF($B3573 = "Service Item", _xlfn.XLOOKUP($A3573, 'Instrument Table'!$I:$I, 'Instrument Table'!$B:$B, $C3572), _xlfn.XLOOKUP($A3573, 'Instrument Table'!$H:$H, 'Instrument Table'!$B:$B, $C3572)))</f>
        <v>Synthesizer</v>
      </c>
      <c r="D3573" s="1" t="str">
        <f>VLOOKUP($C3573, 'Instrument Table'!$B:$C, 2, FALSE)</f>
        <v>Other</v>
      </c>
      <c r="E3573" s="1">
        <f t="shared" si="330"/>
        <v>1</v>
      </c>
      <c r="F3573" s="1">
        <f>_xlfn.XLOOKUP($C3573, 'Instrument Table'!$B:$B, 'Instrument Table'!$A:$A, "")</f>
        <v>61</v>
      </c>
      <c r="G3573" s="1" t="str">
        <f>TEXT(IF($B3573 = "Retail Item", IF((ROW($A3573) - 4504 - _xlfn.XMATCH($C3573, $C$4506:$C$5005, 0, 1)) &lt;= VLOOKUP($C3573, 'Instrument Table'!$B:$D, 3, FALSE), ROW($A3573) - 4504 - _xlfn.XMATCH($C3573, $C$4506:$C$5005, 0, 1), 0), 0), "00")</f>
        <v>00</v>
      </c>
      <c r="H3573" s="1" t="str">
        <f t="shared" si="331"/>
        <v>117</v>
      </c>
      <c r="I3573" s="1" t="str">
        <f t="shared" si="332"/>
        <v>16100-117</v>
      </c>
      <c r="J3573" s="1" t="str">
        <f t="shared" si="333"/>
        <v>Synthesizer production item #117</v>
      </c>
      <c r="K3573" s="1" t="str">
        <f>IF(SUM(COUNTIFS(I:I, I3573)) &gt; 1, "DUPLICATE", "UNIQUE")</f>
        <v>UNIQUE</v>
      </c>
      <c r="L3573" s="18">
        <v>8</v>
      </c>
      <c r="M3573" s="28">
        <v>5</v>
      </c>
      <c r="N3573" s="6">
        <v>100</v>
      </c>
      <c r="O3573" s="30">
        <f t="shared" si="334"/>
        <v>40</v>
      </c>
      <c r="P3573" s="30">
        <f t="shared" si="335"/>
        <v>500</v>
      </c>
      <c r="Q3573" s="1">
        <f>COUNTIFS($P:$P, "&gt;" &amp; $P3573) + 1</f>
        <v>4026</v>
      </c>
      <c r="R3573" s="63">
        <f>(COUNTIFS($P:$P, "&gt;" &amp; $P3573) + 1) / (COUNTA($I:$I) - 1)</f>
        <v>0.80520000000000003</v>
      </c>
      <c r="S3573" s="23">
        <f>SUMIFS($P:$P, $Q:$Q, "&lt;" &amp; $Q3573)</f>
        <v>186411659</v>
      </c>
    </row>
    <row r="3574" spans="1:19" x14ac:dyDescent="0.25">
      <c r="A3574" s="1">
        <v>3569</v>
      </c>
      <c r="B3574" s="1" t="s">
        <v>2</v>
      </c>
      <c r="C3574" s="1" t="str">
        <f>IF($B3574 = "Production Item", _xlfn.XLOOKUP($A3574, 'Instrument Table'!$J:$J, 'Instrument Table'!$B:$B, $C3573), IF($B3574 = "Service Item", _xlfn.XLOOKUP($A3574, 'Instrument Table'!$I:$I, 'Instrument Table'!$B:$B, $C3573), _xlfn.XLOOKUP($A3574, 'Instrument Table'!$H:$H, 'Instrument Table'!$B:$B, $C3573)))</f>
        <v>Synthesizer</v>
      </c>
      <c r="D3574" s="1" t="str">
        <f>VLOOKUP($C3574, 'Instrument Table'!$B:$C, 2, FALSE)</f>
        <v>Other</v>
      </c>
      <c r="E3574" s="1">
        <f t="shared" si="330"/>
        <v>1</v>
      </c>
      <c r="F3574" s="1">
        <f>_xlfn.XLOOKUP($C3574, 'Instrument Table'!$B:$B, 'Instrument Table'!$A:$A, "")</f>
        <v>61</v>
      </c>
      <c r="G3574" s="1" t="str">
        <f>TEXT(IF($B3574 = "Retail Item", IF((ROW($A3574) - 4504 - _xlfn.XMATCH($C3574, $C$4506:$C$5005, 0, 1)) &lt;= VLOOKUP($C3574, 'Instrument Table'!$B:$D, 3, FALSE), ROW($A3574) - 4504 - _xlfn.XMATCH($C3574, $C$4506:$C$5005, 0, 1), 0), 0), "00")</f>
        <v>00</v>
      </c>
      <c r="H3574" s="1" t="str">
        <f t="shared" si="331"/>
        <v>118</v>
      </c>
      <c r="I3574" s="1" t="str">
        <f t="shared" si="332"/>
        <v>16100-118</v>
      </c>
      <c r="J3574" s="1" t="str">
        <f t="shared" si="333"/>
        <v>Synthesizer production item #118</v>
      </c>
      <c r="K3574" s="1" t="str">
        <f>IF(SUM(COUNTIFS(I:I, I3574)) &gt; 1, "DUPLICATE", "UNIQUE")</f>
        <v>UNIQUE</v>
      </c>
      <c r="L3574" s="18">
        <v>0</v>
      </c>
      <c r="M3574" s="28">
        <v>60</v>
      </c>
      <c r="N3574" s="6">
        <v>4</v>
      </c>
      <c r="O3574" s="30">
        <f t="shared" si="334"/>
        <v>0</v>
      </c>
      <c r="P3574" s="30">
        <f t="shared" si="335"/>
        <v>240</v>
      </c>
      <c r="Q3574" s="1">
        <f>COUNTIFS($P:$P, "&gt;" &amp; $P3574) + 1</f>
        <v>4286</v>
      </c>
      <c r="R3574" s="63">
        <f>(COUNTIFS($P:$P, "&gt;" &amp; $P3574) + 1) / (COUNTA($I:$I) - 1)</f>
        <v>0.85719999999999996</v>
      </c>
      <c r="S3574" s="23">
        <f>SUMIFS($P:$P, $Q:$Q, "&lt;" &amp; $Q3574)</f>
        <v>186504231</v>
      </c>
    </row>
    <row r="3575" spans="1:19" x14ac:dyDescent="0.25">
      <c r="A3575" s="1">
        <v>3570</v>
      </c>
      <c r="B3575" s="1" t="s">
        <v>2</v>
      </c>
      <c r="C3575" s="1" t="str">
        <f>IF($B3575 = "Production Item", _xlfn.XLOOKUP($A3575, 'Instrument Table'!$J:$J, 'Instrument Table'!$B:$B, $C3574), IF($B3575 = "Service Item", _xlfn.XLOOKUP($A3575, 'Instrument Table'!$I:$I, 'Instrument Table'!$B:$B, $C3574), _xlfn.XLOOKUP($A3575, 'Instrument Table'!$H:$H, 'Instrument Table'!$B:$B, $C3574)))</f>
        <v>Synthesizer</v>
      </c>
      <c r="D3575" s="1" t="str">
        <f>VLOOKUP($C3575, 'Instrument Table'!$B:$C, 2, FALSE)</f>
        <v>Other</v>
      </c>
      <c r="E3575" s="1">
        <f t="shared" si="330"/>
        <v>1</v>
      </c>
      <c r="F3575" s="1">
        <f>_xlfn.XLOOKUP($C3575, 'Instrument Table'!$B:$B, 'Instrument Table'!$A:$A, "")</f>
        <v>61</v>
      </c>
      <c r="G3575" s="1" t="str">
        <f>TEXT(IF($B3575 = "Retail Item", IF((ROW($A3575) - 4504 - _xlfn.XMATCH($C3575, $C$4506:$C$5005, 0, 1)) &lt;= VLOOKUP($C3575, 'Instrument Table'!$B:$D, 3, FALSE), ROW($A3575) - 4504 - _xlfn.XMATCH($C3575, $C$4506:$C$5005, 0, 1), 0), 0), "00")</f>
        <v>00</v>
      </c>
      <c r="H3575" s="1" t="str">
        <f t="shared" si="331"/>
        <v>119</v>
      </c>
      <c r="I3575" s="1" t="str">
        <f t="shared" si="332"/>
        <v>16100-119</v>
      </c>
      <c r="J3575" s="1" t="str">
        <f t="shared" si="333"/>
        <v>Synthesizer production item #119</v>
      </c>
      <c r="K3575" s="1" t="str">
        <f>IF(SUM(COUNTIFS(I:I, I3575)) &gt; 1, "DUPLICATE", "UNIQUE")</f>
        <v>UNIQUE</v>
      </c>
      <c r="L3575" s="18">
        <v>0</v>
      </c>
      <c r="M3575" s="28">
        <v>78</v>
      </c>
      <c r="N3575" s="6">
        <v>49</v>
      </c>
      <c r="O3575" s="30">
        <f t="shared" si="334"/>
        <v>0</v>
      </c>
      <c r="P3575" s="30">
        <f t="shared" si="335"/>
        <v>3822</v>
      </c>
      <c r="Q3575" s="1">
        <f>COUNTIFS($P:$P, "&gt;" &amp; $P3575) + 1</f>
        <v>2696</v>
      </c>
      <c r="R3575" s="63">
        <f>(COUNTIFS($P:$P, "&gt;" &amp; $P3575) + 1) / (COUNTA($I:$I) - 1)</f>
        <v>0.53920000000000001</v>
      </c>
      <c r="S3575" s="23">
        <f>SUMIFS($P:$P, $Q:$Q, "&lt;" &amp; $Q3575)</f>
        <v>183951473</v>
      </c>
    </row>
    <row r="3576" spans="1:19" x14ac:dyDescent="0.25">
      <c r="A3576" s="1">
        <v>3571</v>
      </c>
      <c r="B3576" s="1" t="s">
        <v>2</v>
      </c>
      <c r="C3576" s="1" t="str">
        <f>IF($B3576 = "Production Item", _xlfn.XLOOKUP($A3576, 'Instrument Table'!$J:$J, 'Instrument Table'!$B:$B, $C3575), IF($B3576 = "Service Item", _xlfn.XLOOKUP($A3576, 'Instrument Table'!$I:$I, 'Instrument Table'!$B:$B, $C3575), _xlfn.XLOOKUP($A3576, 'Instrument Table'!$H:$H, 'Instrument Table'!$B:$B, $C3575)))</f>
        <v>Synthesizer</v>
      </c>
      <c r="D3576" s="1" t="str">
        <f>VLOOKUP($C3576, 'Instrument Table'!$B:$C, 2, FALSE)</f>
        <v>Other</v>
      </c>
      <c r="E3576" s="1">
        <f t="shared" si="330"/>
        <v>1</v>
      </c>
      <c r="F3576" s="1">
        <f>_xlfn.XLOOKUP($C3576, 'Instrument Table'!$B:$B, 'Instrument Table'!$A:$A, "")</f>
        <v>61</v>
      </c>
      <c r="G3576" s="1" t="str">
        <f>TEXT(IF($B3576 = "Retail Item", IF((ROW($A3576) - 4504 - _xlfn.XMATCH($C3576, $C$4506:$C$5005, 0, 1)) &lt;= VLOOKUP($C3576, 'Instrument Table'!$B:$D, 3, FALSE), ROW($A3576) - 4504 - _xlfn.XMATCH($C3576, $C$4506:$C$5005, 0, 1), 0), 0), "00")</f>
        <v>00</v>
      </c>
      <c r="H3576" s="1" t="str">
        <f t="shared" si="331"/>
        <v>120</v>
      </c>
      <c r="I3576" s="1" t="str">
        <f t="shared" si="332"/>
        <v>16100-120</v>
      </c>
      <c r="J3576" s="1" t="str">
        <f t="shared" si="333"/>
        <v>Synthesizer production item #120</v>
      </c>
      <c r="K3576" s="1" t="str">
        <f>IF(SUM(COUNTIFS(I:I, I3576)) &gt; 1, "DUPLICATE", "UNIQUE")</f>
        <v>UNIQUE</v>
      </c>
      <c r="L3576" s="18">
        <v>8</v>
      </c>
      <c r="M3576" s="28">
        <v>83</v>
      </c>
      <c r="N3576" s="6">
        <v>1</v>
      </c>
      <c r="O3576" s="30">
        <f t="shared" si="334"/>
        <v>664</v>
      </c>
      <c r="P3576" s="30">
        <f t="shared" si="335"/>
        <v>83</v>
      </c>
      <c r="Q3576" s="1">
        <f>COUNTIFS($P:$P, "&gt;" &amp; $P3576) + 1</f>
        <v>4501</v>
      </c>
      <c r="R3576" s="63">
        <f>(COUNTIFS($P:$P, "&gt;" &amp; $P3576) + 1) / (COUNTA($I:$I) - 1)</f>
        <v>0.9002</v>
      </c>
      <c r="S3576" s="23">
        <f>SUMIFS($P:$P, $Q:$Q, "&lt;" &amp; $Q3576)</f>
        <v>186536943</v>
      </c>
    </row>
    <row r="3577" spans="1:19" x14ac:dyDescent="0.25">
      <c r="A3577" s="1">
        <v>3572</v>
      </c>
      <c r="B3577" s="1" t="s">
        <v>2</v>
      </c>
      <c r="C3577" s="1" t="str">
        <f>IF($B3577 = "Production Item", _xlfn.XLOOKUP($A3577, 'Instrument Table'!$J:$J, 'Instrument Table'!$B:$B, $C3576), IF($B3577 = "Service Item", _xlfn.XLOOKUP($A3577, 'Instrument Table'!$I:$I, 'Instrument Table'!$B:$B, $C3576), _xlfn.XLOOKUP($A3577, 'Instrument Table'!$H:$H, 'Instrument Table'!$B:$B, $C3576)))</f>
        <v>Synthesizer</v>
      </c>
      <c r="D3577" s="1" t="str">
        <f>VLOOKUP($C3577, 'Instrument Table'!$B:$C, 2, FALSE)</f>
        <v>Other</v>
      </c>
      <c r="E3577" s="1">
        <f t="shared" si="330"/>
        <v>1</v>
      </c>
      <c r="F3577" s="1">
        <f>_xlfn.XLOOKUP($C3577, 'Instrument Table'!$B:$B, 'Instrument Table'!$A:$A, "")</f>
        <v>61</v>
      </c>
      <c r="G3577" s="1" t="str">
        <f>TEXT(IF($B3577 = "Retail Item", IF((ROW($A3577) - 4504 - _xlfn.XMATCH($C3577, $C$4506:$C$5005, 0, 1)) &lt;= VLOOKUP($C3577, 'Instrument Table'!$B:$D, 3, FALSE), ROW($A3577) - 4504 - _xlfn.XMATCH($C3577, $C$4506:$C$5005, 0, 1), 0), 0), "00")</f>
        <v>00</v>
      </c>
      <c r="H3577" s="1" t="str">
        <f t="shared" si="331"/>
        <v>121</v>
      </c>
      <c r="I3577" s="1" t="str">
        <f t="shared" si="332"/>
        <v>16100-121</v>
      </c>
      <c r="J3577" s="1" t="str">
        <f t="shared" si="333"/>
        <v>Synthesizer production item #121</v>
      </c>
      <c r="K3577" s="1" t="str">
        <f>IF(SUM(COUNTIFS(I:I, I3577)) &gt; 1, "DUPLICATE", "UNIQUE")</f>
        <v>UNIQUE</v>
      </c>
      <c r="L3577" s="18">
        <v>0</v>
      </c>
      <c r="M3577" s="28">
        <v>82</v>
      </c>
      <c r="N3577" s="6">
        <v>9</v>
      </c>
      <c r="O3577" s="30">
        <f t="shared" si="334"/>
        <v>0</v>
      </c>
      <c r="P3577" s="30">
        <f t="shared" si="335"/>
        <v>738</v>
      </c>
      <c r="Q3577" s="1">
        <f>COUNTIFS($P:$P, "&gt;" &amp; $P3577) + 1</f>
        <v>3839</v>
      </c>
      <c r="R3577" s="63">
        <f>(COUNTIFS($P:$P, "&gt;" &amp; $P3577) + 1) / (COUNTA($I:$I) - 1)</f>
        <v>0.76780000000000004</v>
      </c>
      <c r="S3577" s="23">
        <f>SUMIFS($P:$P, $Q:$Q, "&lt;" &amp; $Q3577)</f>
        <v>186295479</v>
      </c>
    </row>
    <row r="3578" spans="1:19" x14ac:dyDescent="0.25">
      <c r="A3578" s="1">
        <v>3573</v>
      </c>
      <c r="B3578" s="1" t="s">
        <v>2</v>
      </c>
      <c r="C3578" s="1" t="str">
        <f>IF($B3578 = "Production Item", _xlfn.XLOOKUP($A3578, 'Instrument Table'!$J:$J, 'Instrument Table'!$B:$B, $C3577), IF($B3578 = "Service Item", _xlfn.XLOOKUP($A3578, 'Instrument Table'!$I:$I, 'Instrument Table'!$B:$B, $C3577), _xlfn.XLOOKUP($A3578, 'Instrument Table'!$H:$H, 'Instrument Table'!$B:$B, $C3577)))</f>
        <v>Synthesizer</v>
      </c>
      <c r="D3578" s="1" t="str">
        <f>VLOOKUP($C3578, 'Instrument Table'!$B:$C, 2, FALSE)</f>
        <v>Other</v>
      </c>
      <c r="E3578" s="1">
        <f t="shared" si="330"/>
        <v>1</v>
      </c>
      <c r="F3578" s="1">
        <f>_xlfn.XLOOKUP($C3578, 'Instrument Table'!$B:$B, 'Instrument Table'!$A:$A, "")</f>
        <v>61</v>
      </c>
      <c r="G3578" s="1" t="str">
        <f>TEXT(IF($B3578 = "Retail Item", IF((ROW($A3578) - 4504 - _xlfn.XMATCH($C3578, $C$4506:$C$5005, 0, 1)) &lt;= VLOOKUP($C3578, 'Instrument Table'!$B:$D, 3, FALSE), ROW($A3578) - 4504 - _xlfn.XMATCH($C3578, $C$4506:$C$5005, 0, 1), 0), 0), "00")</f>
        <v>00</v>
      </c>
      <c r="H3578" s="1" t="str">
        <f t="shared" si="331"/>
        <v>122</v>
      </c>
      <c r="I3578" s="1" t="str">
        <f t="shared" si="332"/>
        <v>16100-122</v>
      </c>
      <c r="J3578" s="1" t="str">
        <f t="shared" si="333"/>
        <v>Synthesizer production item #122</v>
      </c>
      <c r="K3578" s="1" t="str">
        <f>IF(SUM(COUNTIFS(I:I, I3578)) &gt; 1, "DUPLICATE", "UNIQUE")</f>
        <v>UNIQUE</v>
      </c>
      <c r="L3578" s="18">
        <v>4</v>
      </c>
      <c r="M3578" s="28">
        <v>17</v>
      </c>
      <c r="N3578" s="6">
        <v>225</v>
      </c>
      <c r="O3578" s="30">
        <f t="shared" si="334"/>
        <v>68</v>
      </c>
      <c r="P3578" s="30">
        <f t="shared" si="335"/>
        <v>3825</v>
      </c>
      <c r="Q3578" s="1">
        <f>COUNTIFS($P:$P, "&gt;" &amp; $P3578) + 1</f>
        <v>2692</v>
      </c>
      <c r="R3578" s="63">
        <f>(COUNTIFS($P:$P, "&gt;" &amp; $P3578) + 1) / (COUNTA($I:$I) - 1)</f>
        <v>0.53839999999999999</v>
      </c>
      <c r="S3578" s="23">
        <f>SUMIFS($P:$P, $Q:$Q, "&lt;" &amp; $Q3578)</f>
        <v>183936173</v>
      </c>
    </row>
    <row r="3579" spans="1:19" x14ac:dyDescent="0.25">
      <c r="A3579" s="1">
        <v>3574</v>
      </c>
      <c r="B3579" s="1" t="s">
        <v>2</v>
      </c>
      <c r="C3579" s="1" t="str">
        <f>IF($B3579 = "Production Item", _xlfn.XLOOKUP($A3579, 'Instrument Table'!$J:$J, 'Instrument Table'!$B:$B, $C3578), IF($B3579 = "Service Item", _xlfn.XLOOKUP($A3579, 'Instrument Table'!$I:$I, 'Instrument Table'!$B:$B, $C3578), _xlfn.XLOOKUP($A3579, 'Instrument Table'!$H:$H, 'Instrument Table'!$B:$B, $C3578)))</f>
        <v>Synthesizer</v>
      </c>
      <c r="D3579" s="1" t="str">
        <f>VLOOKUP($C3579, 'Instrument Table'!$B:$C, 2, FALSE)</f>
        <v>Other</v>
      </c>
      <c r="E3579" s="1">
        <f t="shared" si="330"/>
        <v>1</v>
      </c>
      <c r="F3579" s="1">
        <f>_xlfn.XLOOKUP($C3579, 'Instrument Table'!$B:$B, 'Instrument Table'!$A:$A, "")</f>
        <v>61</v>
      </c>
      <c r="G3579" s="1" t="str">
        <f>TEXT(IF($B3579 = "Retail Item", IF((ROW($A3579) - 4504 - _xlfn.XMATCH($C3579, $C$4506:$C$5005, 0, 1)) &lt;= VLOOKUP($C3579, 'Instrument Table'!$B:$D, 3, FALSE), ROW($A3579) - 4504 - _xlfn.XMATCH($C3579, $C$4506:$C$5005, 0, 1), 0), 0), "00")</f>
        <v>00</v>
      </c>
      <c r="H3579" s="1" t="str">
        <f t="shared" si="331"/>
        <v>123</v>
      </c>
      <c r="I3579" s="1" t="str">
        <f t="shared" si="332"/>
        <v>16100-123</v>
      </c>
      <c r="J3579" s="1" t="str">
        <f t="shared" si="333"/>
        <v>Synthesizer production item #123</v>
      </c>
      <c r="K3579" s="1" t="str">
        <f>IF(SUM(COUNTIFS(I:I, I3579)) &gt; 1, "DUPLICATE", "UNIQUE")</f>
        <v>UNIQUE</v>
      </c>
      <c r="L3579" s="18">
        <v>32</v>
      </c>
      <c r="M3579" s="28">
        <v>11</v>
      </c>
      <c r="N3579" s="6">
        <v>0</v>
      </c>
      <c r="O3579" s="30">
        <f t="shared" si="334"/>
        <v>352</v>
      </c>
      <c r="P3579" s="30">
        <f t="shared" si="335"/>
        <v>0</v>
      </c>
      <c r="Q3579" s="1">
        <f>COUNTIFS($P:$P, "&gt;" &amp; $P3579) + 1</f>
        <v>4746</v>
      </c>
      <c r="R3579" s="63">
        <f>(COUNTIFS($P:$P, "&gt;" &amp; $P3579) + 1) / (COUNTA($I:$I) - 1)</f>
        <v>0.94920000000000004</v>
      </c>
      <c r="S3579" s="23">
        <f>SUMIFS($P:$P, $Q:$Q, "&lt;" &amp; $Q3579)</f>
        <v>186547861</v>
      </c>
    </row>
    <row r="3580" spans="1:19" x14ac:dyDescent="0.25">
      <c r="A3580" s="1">
        <v>3575</v>
      </c>
      <c r="B3580" s="1" t="s">
        <v>2</v>
      </c>
      <c r="C3580" s="1" t="str">
        <f>IF($B3580 = "Production Item", _xlfn.XLOOKUP($A3580, 'Instrument Table'!$J:$J, 'Instrument Table'!$B:$B, $C3579), IF($B3580 = "Service Item", _xlfn.XLOOKUP($A3580, 'Instrument Table'!$I:$I, 'Instrument Table'!$B:$B, $C3579), _xlfn.XLOOKUP($A3580, 'Instrument Table'!$H:$H, 'Instrument Table'!$B:$B, $C3579)))</f>
        <v>Synthesizer</v>
      </c>
      <c r="D3580" s="1" t="str">
        <f>VLOOKUP($C3580, 'Instrument Table'!$B:$C, 2, FALSE)</f>
        <v>Other</v>
      </c>
      <c r="E3580" s="1">
        <f t="shared" si="330"/>
        <v>1</v>
      </c>
      <c r="F3580" s="1">
        <f>_xlfn.XLOOKUP($C3580, 'Instrument Table'!$B:$B, 'Instrument Table'!$A:$A, "")</f>
        <v>61</v>
      </c>
      <c r="G3580" s="1" t="str">
        <f>TEXT(IF($B3580 = "Retail Item", IF((ROW($A3580) - 4504 - _xlfn.XMATCH($C3580, $C$4506:$C$5005, 0, 1)) &lt;= VLOOKUP($C3580, 'Instrument Table'!$B:$D, 3, FALSE), ROW($A3580) - 4504 - _xlfn.XMATCH($C3580, $C$4506:$C$5005, 0, 1), 0), 0), "00")</f>
        <v>00</v>
      </c>
      <c r="H3580" s="1" t="str">
        <f t="shared" si="331"/>
        <v>124</v>
      </c>
      <c r="I3580" s="1" t="str">
        <f t="shared" si="332"/>
        <v>16100-124</v>
      </c>
      <c r="J3580" s="1" t="str">
        <f t="shared" si="333"/>
        <v>Synthesizer production item #124</v>
      </c>
      <c r="K3580" s="1" t="str">
        <f>IF(SUM(COUNTIFS(I:I, I3580)) &gt; 1, "DUPLICATE", "UNIQUE")</f>
        <v>UNIQUE</v>
      </c>
      <c r="L3580" s="18">
        <v>1</v>
      </c>
      <c r="M3580" s="28">
        <v>37</v>
      </c>
      <c r="N3580" s="6">
        <v>16</v>
      </c>
      <c r="O3580" s="30">
        <f t="shared" si="334"/>
        <v>37</v>
      </c>
      <c r="P3580" s="30">
        <f t="shared" si="335"/>
        <v>592</v>
      </c>
      <c r="Q3580" s="1">
        <f>COUNTIFS($P:$P, "&gt;" &amp; $P3580) + 1</f>
        <v>3947</v>
      </c>
      <c r="R3580" s="63">
        <f>(COUNTIFS($P:$P, "&gt;" &amp; $P3580) + 1) / (COUNTA($I:$I) - 1)</f>
        <v>0.78939999999999999</v>
      </c>
      <c r="S3580" s="23">
        <f>SUMIFS($P:$P, $Q:$Q, "&lt;" &amp; $Q3580)</f>
        <v>186368477</v>
      </c>
    </row>
    <row r="3581" spans="1:19" x14ac:dyDescent="0.25">
      <c r="A3581" s="1">
        <v>3576</v>
      </c>
      <c r="B3581" s="1" t="s">
        <v>2</v>
      </c>
      <c r="C3581" s="1" t="str">
        <f>IF($B3581 = "Production Item", _xlfn.XLOOKUP($A3581, 'Instrument Table'!$J:$J, 'Instrument Table'!$B:$B, $C3580), IF($B3581 = "Service Item", _xlfn.XLOOKUP($A3581, 'Instrument Table'!$I:$I, 'Instrument Table'!$B:$B, $C3580), _xlfn.XLOOKUP($A3581, 'Instrument Table'!$H:$H, 'Instrument Table'!$B:$B, $C3580)))</f>
        <v>Synthesizer</v>
      </c>
      <c r="D3581" s="1" t="str">
        <f>VLOOKUP($C3581, 'Instrument Table'!$B:$C, 2, FALSE)</f>
        <v>Other</v>
      </c>
      <c r="E3581" s="1">
        <f t="shared" si="330"/>
        <v>1</v>
      </c>
      <c r="F3581" s="1">
        <f>_xlfn.XLOOKUP($C3581, 'Instrument Table'!$B:$B, 'Instrument Table'!$A:$A, "")</f>
        <v>61</v>
      </c>
      <c r="G3581" s="1" t="str">
        <f>TEXT(IF($B3581 = "Retail Item", IF((ROW($A3581) - 4504 - _xlfn.XMATCH($C3581, $C$4506:$C$5005, 0, 1)) &lt;= VLOOKUP($C3581, 'Instrument Table'!$B:$D, 3, FALSE), ROW($A3581) - 4504 - _xlfn.XMATCH($C3581, $C$4506:$C$5005, 0, 1), 0), 0), "00")</f>
        <v>00</v>
      </c>
      <c r="H3581" s="1" t="str">
        <f t="shared" si="331"/>
        <v>125</v>
      </c>
      <c r="I3581" s="1" t="str">
        <f t="shared" si="332"/>
        <v>16100-125</v>
      </c>
      <c r="J3581" s="1" t="str">
        <f t="shared" si="333"/>
        <v>Synthesizer production item #125</v>
      </c>
      <c r="K3581" s="1" t="str">
        <f>IF(SUM(COUNTIFS(I:I, I3581)) &gt; 1, "DUPLICATE", "UNIQUE")</f>
        <v>UNIQUE</v>
      </c>
      <c r="L3581" s="18">
        <v>32</v>
      </c>
      <c r="M3581" s="28">
        <v>99</v>
      </c>
      <c r="N3581" s="6">
        <v>16</v>
      </c>
      <c r="O3581" s="30">
        <f t="shared" si="334"/>
        <v>3168</v>
      </c>
      <c r="P3581" s="30">
        <f t="shared" si="335"/>
        <v>1584</v>
      </c>
      <c r="Q3581" s="1">
        <f>COUNTIFS($P:$P, "&gt;" &amp; $P3581) + 1</f>
        <v>3415</v>
      </c>
      <c r="R3581" s="63">
        <f>(COUNTIFS($P:$P, "&gt;" &amp; $P3581) + 1) / (COUNTA($I:$I) - 1)</f>
        <v>0.68300000000000005</v>
      </c>
      <c r="S3581" s="23">
        <f>SUMIFS($P:$P, $Q:$Q, "&lt;" &amp; $Q3581)</f>
        <v>185809023</v>
      </c>
    </row>
    <row r="3582" spans="1:19" x14ac:dyDescent="0.25">
      <c r="A3582" s="1">
        <v>3577</v>
      </c>
      <c r="B3582" s="1" t="s">
        <v>2</v>
      </c>
      <c r="C3582" s="1" t="str">
        <f>IF($B3582 = "Production Item", _xlfn.XLOOKUP($A3582, 'Instrument Table'!$J:$J, 'Instrument Table'!$B:$B, $C3581), IF($B3582 = "Service Item", _xlfn.XLOOKUP($A3582, 'Instrument Table'!$I:$I, 'Instrument Table'!$B:$B, $C3581), _xlfn.XLOOKUP($A3582, 'Instrument Table'!$H:$H, 'Instrument Table'!$B:$B, $C3581)))</f>
        <v>Synthesizer</v>
      </c>
      <c r="D3582" s="1" t="str">
        <f>VLOOKUP($C3582, 'Instrument Table'!$B:$C, 2, FALSE)</f>
        <v>Other</v>
      </c>
      <c r="E3582" s="1">
        <f t="shared" si="330"/>
        <v>1</v>
      </c>
      <c r="F3582" s="1">
        <f>_xlfn.XLOOKUP($C3582, 'Instrument Table'!$B:$B, 'Instrument Table'!$A:$A, "")</f>
        <v>61</v>
      </c>
      <c r="G3582" s="1" t="str">
        <f>TEXT(IF($B3582 = "Retail Item", IF((ROW($A3582) - 4504 - _xlfn.XMATCH($C3582, $C$4506:$C$5005, 0, 1)) &lt;= VLOOKUP($C3582, 'Instrument Table'!$B:$D, 3, FALSE), ROW($A3582) - 4504 - _xlfn.XMATCH($C3582, $C$4506:$C$5005, 0, 1), 0), 0), "00")</f>
        <v>00</v>
      </c>
      <c r="H3582" s="1" t="str">
        <f t="shared" si="331"/>
        <v>126</v>
      </c>
      <c r="I3582" s="1" t="str">
        <f t="shared" si="332"/>
        <v>16100-126</v>
      </c>
      <c r="J3582" s="1" t="str">
        <f t="shared" si="333"/>
        <v>Synthesizer production item #126</v>
      </c>
      <c r="K3582" s="1" t="str">
        <f>IF(SUM(COUNTIFS(I:I, I3582)) &gt; 1, "DUPLICATE", "UNIQUE")</f>
        <v>UNIQUE</v>
      </c>
      <c r="L3582" s="18">
        <v>0</v>
      </c>
      <c r="M3582" s="28">
        <v>18</v>
      </c>
      <c r="N3582" s="6">
        <v>400</v>
      </c>
      <c r="O3582" s="30">
        <f t="shared" si="334"/>
        <v>0</v>
      </c>
      <c r="P3582" s="30">
        <f t="shared" si="335"/>
        <v>7200</v>
      </c>
      <c r="Q3582" s="1">
        <f>COUNTIFS($P:$P, "&gt;" &amp; $P3582) + 1</f>
        <v>2115</v>
      </c>
      <c r="R3582" s="63">
        <f>(COUNTIFS($P:$P, "&gt;" &amp; $P3582) + 1) / (COUNTA($I:$I) - 1)</f>
        <v>0.42299999999999999</v>
      </c>
      <c r="S3582" s="23">
        <f>SUMIFS($P:$P, $Q:$Q, "&lt;" &amp; $Q3582)</f>
        <v>180867271</v>
      </c>
    </row>
    <row r="3583" spans="1:19" x14ac:dyDescent="0.25">
      <c r="A3583" s="1">
        <v>3578</v>
      </c>
      <c r="B3583" s="1" t="s">
        <v>2</v>
      </c>
      <c r="C3583" s="1" t="str">
        <f>IF($B3583 = "Production Item", _xlfn.XLOOKUP($A3583, 'Instrument Table'!$J:$J, 'Instrument Table'!$B:$B, $C3582), IF($B3583 = "Service Item", _xlfn.XLOOKUP($A3583, 'Instrument Table'!$I:$I, 'Instrument Table'!$B:$B, $C3582), _xlfn.XLOOKUP($A3583, 'Instrument Table'!$H:$H, 'Instrument Table'!$B:$B, $C3582)))</f>
        <v>Synthesizer</v>
      </c>
      <c r="D3583" s="1" t="str">
        <f>VLOOKUP($C3583, 'Instrument Table'!$B:$C, 2, FALSE)</f>
        <v>Other</v>
      </c>
      <c r="E3583" s="1">
        <f t="shared" si="330"/>
        <v>1</v>
      </c>
      <c r="F3583" s="1">
        <f>_xlfn.XLOOKUP($C3583, 'Instrument Table'!$B:$B, 'Instrument Table'!$A:$A, "")</f>
        <v>61</v>
      </c>
      <c r="G3583" s="1" t="str">
        <f>TEXT(IF($B3583 = "Retail Item", IF((ROW($A3583) - 4504 - _xlfn.XMATCH($C3583, $C$4506:$C$5005, 0, 1)) &lt;= VLOOKUP($C3583, 'Instrument Table'!$B:$D, 3, FALSE), ROW($A3583) - 4504 - _xlfn.XMATCH($C3583, $C$4506:$C$5005, 0, 1), 0), 0), "00")</f>
        <v>00</v>
      </c>
      <c r="H3583" s="1" t="str">
        <f t="shared" si="331"/>
        <v>127</v>
      </c>
      <c r="I3583" s="1" t="str">
        <f t="shared" si="332"/>
        <v>16100-127</v>
      </c>
      <c r="J3583" s="1" t="str">
        <f t="shared" si="333"/>
        <v>Synthesizer production item #127</v>
      </c>
      <c r="K3583" s="1" t="str">
        <f>IF(SUM(COUNTIFS(I:I, I3583)) &gt; 1, "DUPLICATE", "UNIQUE")</f>
        <v>UNIQUE</v>
      </c>
      <c r="L3583" s="18">
        <v>1</v>
      </c>
      <c r="M3583" s="28">
        <v>8</v>
      </c>
      <c r="N3583" s="6">
        <v>64</v>
      </c>
      <c r="O3583" s="30">
        <f t="shared" si="334"/>
        <v>8</v>
      </c>
      <c r="P3583" s="30">
        <f t="shared" si="335"/>
        <v>512</v>
      </c>
      <c r="Q3583" s="1">
        <f>COUNTIFS($P:$P, "&gt;" &amp; $P3583) + 1</f>
        <v>4012</v>
      </c>
      <c r="R3583" s="63">
        <f>(COUNTIFS($P:$P, "&gt;" &amp; $P3583) + 1) / (COUNTA($I:$I) - 1)</f>
        <v>0.8024</v>
      </c>
      <c r="S3583" s="23">
        <f>SUMIFS($P:$P, $Q:$Q, "&lt;" &amp; $Q3583)</f>
        <v>186404530</v>
      </c>
    </row>
    <row r="3584" spans="1:19" x14ac:dyDescent="0.25">
      <c r="A3584" s="1">
        <v>3579</v>
      </c>
      <c r="B3584" s="1" t="s">
        <v>2</v>
      </c>
      <c r="C3584" s="1" t="str">
        <f>IF($B3584 = "Production Item", _xlfn.XLOOKUP($A3584, 'Instrument Table'!$J:$J, 'Instrument Table'!$B:$B, $C3583), IF($B3584 = "Service Item", _xlfn.XLOOKUP($A3584, 'Instrument Table'!$I:$I, 'Instrument Table'!$B:$B, $C3583), _xlfn.XLOOKUP($A3584, 'Instrument Table'!$H:$H, 'Instrument Table'!$B:$B, $C3583)))</f>
        <v>Synthesizer</v>
      </c>
      <c r="D3584" s="1" t="str">
        <f>VLOOKUP($C3584, 'Instrument Table'!$B:$C, 2, FALSE)</f>
        <v>Other</v>
      </c>
      <c r="E3584" s="1">
        <f t="shared" si="330"/>
        <v>1</v>
      </c>
      <c r="F3584" s="1">
        <f>_xlfn.XLOOKUP($C3584, 'Instrument Table'!$B:$B, 'Instrument Table'!$A:$A, "")</f>
        <v>61</v>
      </c>
      <c r="G3584" s="1" t="str">
        <f>TEXT(IF($B3584 = "Retail Item", IF((ROW($A3584) - 4504 - _xlfn.XMATCH($C3584, $C$4506:$C$5005, 0, 1)) &lt;= VLOOKUP($C3584, 'Instrument Table'!$B:$D, 3, FALSE), ROW($A3584) - 4504 - _xlfn.XMATCH($C3584, $C$4506:$C$5005, 0, 1), 0), 0), "00")</f>
        <v>00</v>
      </c>
      <c r="H3584" s="1" t="str">
        <f t="shared" si="331"/>
        <v>128</v>
      </c>
      <c r="I3584" s="1" t="str">
        <f t="shared" si="332"/>
        <v>16100-128</v>
      </c>
      <c r="J3584" s="1" t="str">
        <f t="shared" si="333"/>
        <v>Synthesizer production item #128</v>
      </c>
      <c r="K3584" s="1" t="str">
        <f>IF(SUM(COUNTIFS(I:I, I3584)) &gt; 1, "DUPLICATE", "UNIQUE")</f>
        <v>UNIQUE</v>
      </c>
      <c r="L3584" s="18">
        <v>16</v>
      </c>
      <c r="M3584" s="28">
        <v>85</v>
      </c>
      <c r="N3584" s="6">
        <v>225</v>
      </c>
      <c r="O3584" s="30">
        <f t="shared" si="334"/>
        <v>1360</v>
      </c>
      <c r="P3584" s="30">
        <f t="shared" si="335"/>
        <v>19125</v>
      </c>
      <c r="Q3584" s="1">
        <f>COUNTIFS($P:$P, "&gt;" &amp; $P3584) + 1</f>
        <v>1097</v>
      </c>
      <c r="R3584" s="63">
        <f>(COUNTIFS($P:$P, "&gt;" &amp; $P3584) + 1) / (COUNTA($I:$I) - 1)</f>
        <v>0.21940000000000001</v>
      </c>
      <c r="S3584" s="23">
        <f>SUMIFS($P:$P, $Q:$Q, "&lt;" &amp; $Q3584)</f>
        <v>168446540</v>
      </c>
    </row>
    <row r="3585" spans="1:19" x14ac:dyDescent="0.25">
      <c r="A3585" s="1">
        <v>3580</v>
      </c>
      <c r="B3585" s="1" t="s">
        <v>2</v>
      </c>
      <c r="C3585" s="1" t="str">
        <f>IF($B3585 = "Production Item", _xlfn.XLOOKUP($A3585, 'Instrument Table'!$J:$J, 'Instrument Table'!$B:$B, $C3584), IF($B3585 = "Service Item", _xlfn.XLOOKUP($A3585, 'Instrument Table'!$I:$I, 'Instrument Table'!$B:$B, $C3584), _xlfn.XLOOKUP($A3585, 'Instrument Table'!$H:$H, 'Instrument Table'!$B:$B, $C3584)))</f>
        <v>Synthesizer</v>
      </c>
      <c r="D3585" s="1" t="str">
        <f>VLOOKUP($C3585, 'Instrument Table'!$B:$C, 2, FALSE)</f>
        <v>Other</v>
      </c>
      <c r="E3585" s="1">
        <f t="shared" si="330"/>
        <v>1</v>
      </c>
      <c r="F3585" s="1">
        <f>_xlfn.XLOOKUP($C3585, 'Instrument Table'!$B:$B, 'Instrument Table'!$A:$A, "")</f>
        <v>61</v>
      </c>
      <c r="G3585" s="1" t="str">
        <f>TEXT(IF($B3585 = "Retail Item", IF((ROW($A3585) - 4504 - _xlfn.XMATCH($C3585, $C$4506:$C$5005, 0, 1)) &lt;= VLOOKUP($C3585, 'Instrument Table'!$B:$D, 3, FALSE), ROW($A3585) - 4504 - _xlfn.XMATCH($C3585, $C$4506:$C$5005, 0, 1), 0), 0), "00")</f>
        <v>00</v>
      </c>
      <c r="H3585" s="1" t="str">
        <f t="shared" si="331"/>
        <v>129</v>
      </c>
      <c r="I3585" s="1" t="str">
        <f t="shared" si="332"/>
        <v>16100-129</v>
      </c>
      <c r="J3585" s="1" t="str">
        <f t="shared" si="333"/>
        <v>Synthesizer production item #129</v>
      </c>
      <c r="K3585" s="1" t="str">
        <f>IF(SUM(COUNTIFS(I:I, I3585)) &gt; 1, "DUPLICATE", "UNIQUE")</f>
        <v>UNIQUE</v>
      </c>
      <c r="L3585" s="18">
        <v>1</v>
      </c>
      <c r="M3585" s="28">
        <v>31</v>
      </c>
      <c r="N3585" s="6">
        <v>289</v>
      </c>
      <c r="O3585" s="30">
        <f t="shared" si="334"/>
        <v>31</v>
      </c>
      <c r="P3585" s="30">
        <f t="shared" si="335"/>
        <v>8959</v>
      </c>
      <c r="Q3585" s="1">
        <f>COUNTIFS($P:$P, "&gt;" &amp; $P3585) + 1</f>
        <v>1869</v>
      </c>
      <c r="R3585" s="63">
        <f>(COUNTIFS($P:$P, "&gt;" &amp; $P3585) + 1) / (COUNTA($I:$I) - 1)</f>
        <v>0.37380000000000002</v>
      </c>
      <c r="S3585" s="23">
        <f>SUMIFS($P:$P, $Q:$Q, "&lt;" &amp; $Q3585)</f>
        <v>178887373</v>
      </c>
    </row>
    <row r="3586" spans="1:19" x14ac:dyDescent="0.25">
      <c r="A3586" s="1">
        <v>3581</v>
      </c>
      <c r="B3586" s="1" t="s">
        <v>2</v>
      </c>
      <c r="C3586" s="1" t="str">
        <f>IF($B3586 = "Production Item", _xlfn.XLOOKUP($A3586, 'Instrument Table'!$J:$J, 'Instrument Table'!$B:$B, $C3585), IF($B3586 = "Service Item", _xlfn.XLOOKUP($A3586, 'Instrument Table'!$I:$I, 'Instrument Table'!$B:$B, $C3585), _xlfn.XLOOKUP($A3586, 'Instrument Table'!$H:$H, 'Instrument Table'!$B:$B, $C3585)))</f>
        <v>Synthesizer</v>
      </c>
      <c r="D3586" s="1" t="str">
        <f>VLOOKUP($C3586, 'Instrument Table'!$B:$C, 2, FALSE)</f>
        <v>Other</v>
      </c>
      <c r="E3586" s="1">
        <f t="shared" si="330"/>
        <v>1</v>
      </c>
      <c r="F3586" s="1">
        <f>_xlfn.XLOOKUP($C3586, 'Instrument Table'!$B:$B, 'Instrument Table'!$A:$A, "")</f>
        <v>61</v>
      </c>
      <c r="G3586" s="1" t="str">
        <f>TEXT(IF($B3586 = "Retail Item", IF((ROW($A3586) - 4504 - _xlfn.XMATCH($C3586, $C$4506:$C$5005, 0, 1)) &lt;= VLOOKUP($C3586, 'Instrument Table'!$B:$D, 3, FALSE), ROW($A3586) - 4504 - _xlfn.XMATCH($C3586, $C$4506:$C$5005, 0, 1), 0), 0), "00")</f>
        <v>00</v>
      </c>
      <c r="H3586" s="1" t="str">
        <f t="shared" si="331"/>
        <v>130</v>
      </c>
      <c r="I3586" s="1" t="str">
        <f t="shared" si="332"/>
        <v>16100-130</v>
      </c>
      <c r="J3586" s="1" t="str">
        <f t="shared" si="333"/>
        <v>Synthesizer production item #130</v>
      </c>
      <c r="K3586" s="1" t="str">
        <f>IF(SUM(COUNTIFS(I:I, I3586)) &gt; 1, "DUPLICATE", "UNIQUE")</f>
        <v>UNIQUE</v>
      </c>
      <c r="L3586" s="18">
        <v>0</v>
      </c>
      <c r="M3586" s="28">
        <v>27</v>
      </c>
      <c r="N3586" s="6">
        <v>400</v>
      </c>
      <c r="O3586" s="30">
        <f t="shared" si="334"/>
        <v>0</v>
      </c>
      <c r="P3586" s="30">
        <f t="shared" si="335"/>
        <v>10800</v>
      </c>
      <c r="Q3586" s="1">
        <f>COUNTIFS($P:$P, "&gt;" &amp; $P3586) + 1</f>
        <v>1703</v>
      </c>
      <c r="R3586" s="63">
        <f>(COUNTIFS($P:$P, "&gt;" &amp; $P3586) + 1) / (COUNTA($I:$I) - 1)</f>
        <v>0.34060000000000001</v>
      </c>
      <c r="S3586" s="23">
        <f>SUMIFS($P:$P, $Q:$Q, "&lt;" &amp; $Q3586)</f>
        <v>177245912</v>
      </c>
    </row>
    <row r="3587" spans="1:19" x14ac:dyDescent="0.25">
      <c r="A3587" s="1">
        <v>3582</v>
      </c>
      <c r="B3587" s="1" t="s">
        <v>2</v>
      </c>
      <c r="C3587" s="1" t="str">
        <f>IF($B3587 = "Production Item", _xlfn.XLOOKUP($A3587, 'Instrument Table'!$J:$J, 'Instrument Table'!$B:$B, $C3586), IF($B3587 = "Service Item", _xlfn.XLOOKUP($A3587, 'Instrument Table'!$I:$I, 'Instrument Table'!$B:$B, $C3586), _xlfn.XLOOKUP($A3587, 'Instrument Table'!$H:$H, 'Instrument Table'!$B:$B, $C3586)))</f>
        <v>Synthesizer</v>
      </c>
      <c r="D3587" s="1" t="str">
        <f>VLOOKUP($C3587, 'Instrument Table'!$B:$C, 2, FALSE)</f>
        <v>Other</v>
      </c>
      <c r="E3587" s="1">
        <f t="shared" si="330"/>
        <v>1</v>
      </c>
      <c r="F3587" s="1">
        <f>_xlfn.XLOOKUP($C3587, 'Instrument Table'!$B:$B, 'Instrument Table'!$A:$A, "")</f>
        <v>61</v>
      </c>
      <c r="G3587" s="1" t="str">
        <f>TEXT(IF($B3587 = "Retail Item", IF((ROW($A3587) - 4504 - _xlfn.XMATCH($C3587, $C$4506:$C$5005, 0, 1)) &lt;= VLOOKUP($C3587, 'Instrument Table'!$B:$D, 3, FALSE), ROW($A3587) - 4504 - _xlfn.XMATCH($C3587, $C$4506:$C$5005, 0, 1), 0), 0), "00")</f>
        <v>00</v>
      </c>
      <c r="H3587" s="1" t="str">
        <f t="shared" si="331"/>
        <v>131</v>
      </c>
      <c r="I3587" s="1" t="str">
        <f t="shared" si="332"/>
        <v>16100-131</v>
      </c>
      <c r="J3587" s="1" t="str">
        <f t="shared" si="333"/>
        <v>Synthesizer production item #131</v>
      </c>
      <c r="K3587" s="1" t="str">
        <f>IF(SUM(COUNTIFS(I:I, I3587)) &gt; 1, "DUPLICATE", "UNIQUE")</f>
        <v>UNIQUE</v>
      </c>
      <c r="L3587" s="18">
        <v>1</v>
      </c>
      <c r="M3587" s="28">
        <v>23</v>
      </c>
      <c r="N3587" s="6">
        <v>121</v>
      </c>
      <c r="O3587" s="30">
        <f t="shared" si="334"/>
        <v>23</v>
      </c>
      <c r="P3587" s="30">
        <f t="shared" si="335"/>
        <v>2783</v>
      </c>
      <c r="Q3587" s="1">
        <f>COUNTIFS($P:$P, "&gt;" &amp; $P3587) + 1</f>
        <v>2963</v>
      </c>
      <c r="R3587" s="63">
        <f>(COUNTIFS($P:$P, "&gt;" &amp; $P3587) + 1) / (COUNTA($I:$I) - 1)</f>
        <v>0.59260000000000002</v>
      </c>
      <c r="S3587" s="23">
        <f>SUMIFS($P:$P, $Q:$Q, "&lt;" &amp; $Q3587)</f>
        <v>184831742</v>
      </c>
    </row>
    <row r="3588" spans="1:19" x14ac:dyDescent="0.25">
      <c r="A3588" s="1">
        <v>3583</v>
      </c>
      <c r="B3588" s="1" t="s">
        <v>2</v>
      </c>
      <c r="C3588" s="1" t="str">
        <f>IF($B3588 = "Production Item", _xlfn.XLOOKUP($A3588, 'Instrument Table'!$J:$J, 'Instrument Table'!$B:$B, $C3587), IF($B3588 = "Service Item", _xlfn.XLOOKUP($A3588, 'Instrument Table'!$I:$I, 'Instrument Table'!$B:$B, $C3587), _xlfn.XLOOKUP($A3588, 'Instrument Table'!$H:$H, 'Instrument Table'!$B:$B, $C3587)))</f>
        <v>Synthesizer</v>
      </c>
      <c r="D3588" s="1" t="str">
        <f>VLOOKUP($C3588, 'Instrument Table'!$B:$C, 2, FALSE)</f>
        <v>Other</v>
      </c>
      <c r="E3588" s="1">
        <f t="shared" si="330"/>
        <v>1</v>
      </c>
      <c r="F3588" s="1">
        <f>_xlfn.XLOOKUP($C3588, 'Instrument Table'!$B:$B, 'Instrument Table'!$A:$A, "")</f>
        <v>61</v>
      </c>
      <c r="G3588" s="1" t="str">
        <f>TEXT(IF($B3588 = "Retail Item", IF((ROW($A3588) - 4504 - _xlfn.XMATCH($C3588, $C$4506:$C$5005, 0, 1)) &lt;= VLOOKUP($C3588, 'Instrument Table'!$B:$D, 3, FALSE), ROW($A3588) - 4504 - _xlfn.XMATCH($C3588, $C$4506:$C$5005, 0, 1), 0), 0), "00")</f>
        <v>00</v>
      </c>
      <c r="H3588" s="1" t="str">
        <f t="shared" si="331"/>
        <v>132</v>
      </c>
      <c r="I3588" s="1" t="str">
        <f t="shared" si="332"/>
        <v>16100-132</v>
      </c>
      <c r="J3588" s="1" t="str">
        <f t="shared" si="333"/>
        <v>Synthesizer production item #132</v>
      </c>
      <c r="K3588" s="1" t="str">
        <f>IF(SUM(COUNTIFS(I:I, I3588)) &gt; 1, "DUPLICATE", "UNIQUE")</f>
        <v>UNIQUE</v>
      </c>
      <c r="L3588" s="18">
        <v>16</v>
      </c>
      <c r="M3588" s="28">
        <v>52</v>
      </c>
      <c r="N3588" s="6">
        <v>361</v>
      </c>
      <c r="O3588" s="30">
        <f t="shared" si="334"/>
        <v>832</v>
      </c>
      <c r="P3588" s="30">
        <f t="shared" si="335"/>
        <v>18772</v>
      </c>
      <c r="Q3588" s="1">
        <f>COUNTIFS($P:$P, "&gt;" &amp; $P3588) + 1</f>
        <v>1117</v>
      </c>
      <c r="R3588" s="63">
        <f>(COUNTIFS($P:$P, "&gt;" &amp; $P3588) + 1) / (COUNTA($I:$I) - 1)</f>
        <v>0.22339999999999999</v>
      </c>
      <c r="S3588" s="23">
        <f>SUMIFS($P:$P, $Q:$Q, "&lt;" &amp; $Q3588)</f>
        <v>168825579</v>
      </c>
    </row>
    <row r="3589" spans="1:19" x14ac:dyDescent="0.25">
      <c r="A3589" s="1">
        <v>3584</v>
      </c>
      <c r="B3589" s="1" t="s">
        <v>2</v>
      </c>
      <c r="C3589" s="1" t="str">
        <f>IF($B3589 = "Production Item", _xlfn.XLOOKUP($A3589, 'Instrument Table'!$J:$J, 'Instrument Table'!$B:$B, $C3588), IF($B3589 = "Service Item", _xlfn.XLOOKUP($A3589, 'Instrument Table'!$I:$I, 'Instrument Table'!$B:$B, $C3588), _xlfn.XLOOKUP($A3589, 'Instrument Table'!$H:$H, 'Instrument Table'!$B:$B, $C3588)))</f>
        <v>Synthesizer</v>
      </c>
      <c r="D3589" s="1" t="str">
        <f>VLOOKUP($C3589, 'Instrument Table'!$B:$C, 2, FALSE)</f>
        <v>Other</v>
      </c>
      <c r="E3589" s="1">
        <f t="shared" si="330"/>
        <v>1</v>
      </c>
      <c r="F3589" s="1">
        <f>_xlfn.XLOOKUP($C3589, 'Instrument Table'!$B:$B, 'Instrument Table'!$A:$A, "")</f>
        <v>61</v>
      </c>
      <c r="G3589" s="1" t="str">
        <f>TEXT(IF($B3589 = "Retail Item", IF((ROW($A3589) - 4504 - _xlfn.XMATCH($C3589, $C$4506:$C$5005, 0, 1)) &lt;= VLOOKUP($C3589, 'Instrument Table'!$B:$D, 3, FALSE), ROW($A3589) - 4504 - _xlfn.XMATCH($C3589, $C$4506:$C$5005, 0, 1), 0), 0), "00")</f>
        <v>00</v>
      </c>
      <c r="H3589" s="1" t="str">
        <f t="shared" si="331"/>
        <v>133</v>
      </c>
      <c r="I3589" s="1" t="str">
        <f t="shared" si="332"/>
        <v>16100-133</v>
      </c>
      <c r="J3589" s="1" t="str">
        <f t="shared" si="333"/>
        <v>Synthesizer production item #133</v>
      </c>
      <c r="K3589" s="1" t="str">
        <f>IF(SUM(COUNTIFS(I:I, I3589)) &gt; 1, "DUPLICATE", "UNIQUE")</f>
        <v>UNIQUE</v>
      </c>
      <c r="L3589" s="18">
        <v>0</v>
      </c>
      <c r="M3589" s="28">
        <v>13</v>
      </c>
      <c r="N3589" s="6">
        <v>144</v>
      </c>
      <c r="O3589" s="30">
        <f t="shared" si="334"/>
        <v>0</v>
      </c>
      <c r="P3589" s="30">
        <f t="shared" si="335"/>
        <v>1872</v>
      </c>
      <c r="Q3589" s="1">
        <f>COUNTIFS($P:$P, "&gt;" &amp; $P3589) + 1</f>
        <v>3307</v>
      </c>
      <c r="R3589" s="63">
        <f>(COUNTIFS($P:$P, "&gt;" &amp; $P3589) + 1) / (COUNTA($I:$I) - 1)</f>
        <v>0.66139999999999999</v>
      </c>
      <c r="S3589" s="23">
        <f>SUMIFS($P:$P, $Q:$Q, "&lt;" &amp; $Q3589)</f>
        <v>185622255</v>
      </c>
    </row>
    <row r="3590" spans="1:19" x14ac:dyDescent="0.25">
      <c r="A3590" s="1">
        <v>3585</v>
      </c>
      <c r="B3590" s="1" t="s">
        <v>2</v>
      </c>
      <c r="C3590" s="1" t="str">
        <f>IF($B3590 = "Production Item", _xlfn.XLOOKUP($A3590, 'Instrument Table'!$J:$J, 'Instrument Table'!$B:$B, $C3589), IF($B3590 = "Service Item", _xlfn.XLOOKUP($A3590, 'Instrument Table'!$I:$I, 'Instrument Table'!$B:$B, $C3589), _xlfn.XLOOKUP($A3590, 'Instrument Table'!$H:$H, 'Instrument Table'!$B:$B, $C3589)))</f>
        <v>Synthesizer</v>
      </c>
      <c r="D3590" s="1" t="str">
        <f>VLOOKUP($C3590, 'Instrument Table'!$B:$C, 2, FALSE)</f>
        <v>Other</v>
      </c>
      <c r="E3590" s="1">
        <f t="shared" si="330"/>
        <v>1</v>
      </c>
      <c r="F3590" s="1">
        <f>_xlfn.XLOOKUP($C3590, 'Instrument Table'!$B:$B, 'Instrument Table'!$A:$A, "")</f>
        <v>61</v>
      </c>
      <c r="G3590" s="1" t="str">
        <f>TEXT(IF($B3590 = "Retail Item", IF((ROW($A3590) - 4504 - _xlfn.XMATCH($C3590, $C$4506:$C$5005, 0, 1)) &lt;= VLOOKUP($C3590, 'Instrument Table'!$B:$D, 3, FALSE), ROW($A3590) - 4504 - _xlfn.XMATCH($C3590, $C$4506:$C$5005, 0, 1), 0), 0), "00")</f>
        <v>00</v>
      </c>
      <c r="H3590" s="1" t="str">
        <f t="shared" si="331"/>
        <v>134</v>
      </c>
      <c r="I3590" s="1" t="str">
        <f t="shared" si="332"/>
        <v>16100-134</v>
      </c>
      <c r="J3590" s="1" t="str">
        <f t="shared" si="333"/>
        <v>Synthesizer production item #134</v>
      </c>
      <c r="K3590" s="1" t="str">
        <f>IF(SUM(COUNTIFS(I:I, I3590)) &gt; 1, "DUPLICATE", "UNIQUE")</f>
        <v>UNIQUE</v>
      </c>
      <c r="L3590" s="18">
        <v>1</v>
      </c>
      <c r="M3590" s="28">
        <v>65</v>
      </c>
      <c r="N3590" s="6">
        <v>256</v>
      </c>
      <c r="O3590" s="30">
        <f t="shared" si="334"/>
        <v>65</v>
      </c>
      <c r="P3590" s="30">
        <f t="shared" si="335"/>
        <v>16640</v>
      </c>
      <c r="Q3590" s="1">
        <f>COUNTIFS($P:$P, "&gt;" &amp; $P3590) + 1</f>
        <v>1240</v>
      </c>
      <c r="R3590" s="63">
        <f>(COUNTIFS($P:$P, "&gt;" &amp; $P3590) + 1) / (COUNTA($I:$I) - 1)</f>
        <v>0.248</v>
      </c>
      <c r="S3590" s="23">
        <f>SUMIFS($P:$P, $Q:$Q, "&lt;" &amp; $Q3590)</f>
        <v>171004024</v>
      </c>
    </row>
    <row r="3591" spans="1:19" x14ac:dyDescent="0.25">
      <c r="A3591" s="1">
        <v>3586</v>
      </c>
      <c r="B3591" s="1" t="s">
        <v>2</v>
      </c>
      <c r="C3591" s="1" t="str">
        <f>IF($B3591 = "Production Item", _xlfn.XLOOKUP($A3591, 'Instrument Table'!$J:$J, 'Instrument Table'!$B:$B, $C3590), IF($B3591 = "Service Item", _xlfn.XLOOKUP($A3591, 'Instrument Table'!$I:$I, 'Instrument Table'!$B:$B, $C3590), _xlfn.XLOOKUP($A3591, 'Instrument Table'!$H:$H, 'Instrument Table'!$B:$B, $C3590)))</f>
        <v>Synthesizer</v>
      </c>
      <c r="D3591" s="1" t="str">
        <f>VLOOKUP($C3591, 'Instrument Table'!$B:$C, 2, FALSE)</f>
        <v>Other</v>
      </c>
      <c r="E3591" s="1">
        <f t="shared" ref="E3591:E3654" si="336">IF($B3591 = "Production Item", 1, IF($B3591 = "Service Item", 2, IF($B3591 = "Retail Item", 3, "")))</f>
        <v>1</v>
      </c>
      <c r="F3591" s="1">
        <f>_xlfn.XLOOKUP($C3591, 'Instrument Table'!$B:$B, 'Instrument Table'!$A:$A, "")</f>
        <v>61</v>
      </c>
      <c r="G3591" s="1" t="str">
        <f>TEXT(IF($B3591 = "Retail Item", IF((ROW($A3591) - 4504 - _xlfn.XMATCH($C3591, $C$4506:$C$5005, 0, 1)) &lt;= VLOOKUP($C3591, 'Instrument Table'!$B:$D, 3, FALSE), ROW($A3591) - 4504 - _xlfn.XMATCH($C3591, $C$4506:$C$5005, 0, 1), 0), 0), "00")</f>
        <v>00</v>
      </c>
      <c r="H3591" s="1" t="str">
        <f t="shared" ref="H3591:H3654" si="337">TEXT(IF($E3591 &amp; $F3591 &amp; $G3591 = $E3590 &amp; $F3590 &amp; $G3590, 1 + H3590, 0), "000")</f>
        <v>135</v>
      </c>
      <c r="I3591" s="1" t="str">
        <f t="shared" ref="I3591:I3654" si="338" xml:space="preserve"> _xlfn.CONCAT($E3591, $F3591, $G3591, "-", H3591)</f>
        <v>16100-135</v>
      </c>
      <c r="J3591" s="1" t="str">
        <f t="shared" ref="J3591:J3654" si="339">LEFT($C3591, 1) &amp; LOWER(RIGHT($C3591, LEN($C3591) - 1)) &amp; IF(AND($G3591 &lt;&gt; "00", $B3591 = "Retail Item"), " model #" &amp; $G3591, " " &amp; LOWER($B3591) &amp; " #" &amp; $H3591)</f>
        <v>Synthesizer production item #135</v>
      </c>
      <c r="K3591" s="1" t="str">
        <f>IF(SUM(COUNTIFS(I:I, I3591)) &gt; 1, "DUPLICATE", "UNIQUE")</f>
        <v>UNIQUE</v>
      </c>
      <c r="L3591" s="18">
        <v>0</v>
      </c>
      <c r="M3591" s="28">
        <v>65</v>
      </c>
      <c r="N3591" s="6">
        <v>0</v>
      </c>
      <c r="O3591" s="30">
        <f t="shared" ref="O3591:O3654" si="340">$L3591 * $M3591</f>
        <v>0</v>
      </c>
      <c r="P3591" s="30">
        <f t="shared" ref="P3591:P3654" si="341">$N3591 * $M3591</f>
        <v>0</v>
      </c>
      <c r="Q3591" s="1">
        <f>COUNTIFS($P:$P, "&gt;" &amp; $P3591) + 1</f>
        <v>4746</v>
      </c>
      <c r="R3591" s="63">
        <f>(COUNTIFS($P:$P, "&gt;" &amp; $P3591) + 1) / (COUNTA($I:$I) - 1)</f>
        <v>0.94920000000000004</v>
      </c>
      <c r="S3591" s="23">
        <f>SUMIFS($P:$P, $Q:$Q, "&lt;" &amp; $Q3591)</f>
        <v>186547861</v>
      </c>
    </row>
    <row r="3592" spans="1:19" x14ac:dyDescent="0.25">
      <c r="A3592" s="1">
        <v>3587</v>
      </c>
      <c r="B3592" s="1" t="s">
        <v>2</v>
      </c>
      <c r="C3592" s="1" t="str">
        <f>IF($B3592 = "Production Item", _xlfn.XLOOKUP($A3592, 'Instrument Table'!$J:$J, 'Instrument Table'!$B:$B, $C3591), IF($B3592 = "Service Item", _xlfn.XLOOKUP($A3592, 'Instrument Table'!$I:$I, 'Instrument Table'!$B:$B, $C3591), _xlfn.XLOOKUP($A3592, 'Instrument Table'!$H:$H, 'Instrument Table'!$B:$B, $C3591)))</f>
        <v>Synthesizer</v>
      </c>
      <c r="D3592" s="1" t="str">
        <f>VLOOKUP($C3592, 'Instrument Table'!$B:$C, 2, FALSE)</f>
        <v>Other</v>
      </c>
      <c r="E3592" s="1">
        <f t="shared" si="336"/>
        <v>1</v>
      </c>
      <c r="F3592" s="1">
        <f>_xlfn.XLOOKUP($C3592, 'Instrument Table'!$B:$B, 'Instrument Table'!$A:$A, "")</f>
        <v>61</v>
      </c>
      <c r="G3592" s="1" t="str">
        <f>TEXT(IF($B3592 = "Retail Item", IF((ROW($A3592) - 4504 - _xlfn.XMATCH($C3592, $C$4506:$C$5005, 0, 1)) &lt;= VLOOKUP($C3592, 'Instrument Table'!$B:$D, 3, FALSE), ROW($A3592) - 4504 - _xlfn.XMATCH($C3592, $C$4506:$C$5005, 0, 1), 0), 0), "00")</f>
        <v>00</v>
      </c>
      <c r="H3592" s="1" t="str">
        <f t="shared" si="337"/>
        <v>136</v>
      </c>
      <c r="I3592" s="1" t="str">
        <f t="shared" si="338"/>
        <v>16100-136</v>
      </c>
      <c r="J3592" s="1" t="str">
        <f t="shared" si="339"/>
        <v>Synthesizer production item #136</v>
      </c>
      <c r="K3592" s="1" t="str">
        <f>IF(SUM(COUNTIFS(I:I, I3592)) &gt; 1, "DUPLICATE", "UNIQUE")</f>
        <v>UNIQUE</v>
      </c>
      <c r="L3592" s="18">
        <v>0</v>
      </c>
      <c r="M3592" s="28">
        <v>54</v>
      </c>
      <c r="N3592" s="6">
        <v>121</v>
      </c>
      <c r="O3592" s="30">
        <f t="shared" si="340"/>
        <v>0</v>
      </c>
      <c r="P3592" s="30">
        <f t="shared" si="341"/>
        <v>6534</v>
      </c>
      <c r="Q3592" s="1">
        <f>COUNTIFS($P:$P, "&gt;" &amp; $P3592) + 1</f>
        <v>2201</v>
      </c>
      <c r="R3592" s="63">
        <f>(COUNTIFS($P:$P, "&gt;" &amp; $P3592) + 1) / (COUNTA($I:$I) - 1)</f>
        <v>0.44019999999999998</v>
      </c>
      <c r="S3592" s="23">
        <f>SUMIFS($P:$P, $Q:$Q, "&lt;" &amp; $Q3592)</f>
        <v>181457992</v>
      </c>
    </row>
    <row r="3593" spans="1:19" x14ac:dyDescent="0.25">
      <c r="A3593" s="1">
        <v>3588</v>
      </c>
      <c r="B3593" s="1" t="s">
        <v>2</v>
      </c>
      <c r="C3593" s="1" t="str">
        <f>IF($B3593 = "Production Item", _xlfn.XLOOKUP($A3593, 'Instrument Table'!$J:$J, 'Instrument Table'!$B:$B, $C3592), IF($B3593 = "Service Item", _xlfn.XLOOKUP($A3593, 'Instrument Table'!$I:$I, 'Instrument Table'!$B:$B, $C3592), _xlfn.XLOOKUP($A3593, 'Instrument Table'!$H:$H, 'Instrument Table'!$B:$B, $C3592)))</f>
        <v>Synthesizer</v>
      </c>
      <c r="D3593" s="1" t="str">
        <f>VLOOKUP($C3593, 'Instrument Table'!$B:$C, 2, FALSE)</f>
        <v>Other</v>
      </c>
      <c r="E3593" s="1">
        <f t="shared" si="336"/>
        <v>1</v>
      </c>
      <c r="F3593" s="1">
        <f>_xlfn.XLOOKUP($C3593, 'Instrument Table'!$B:$B, 'Instrument Table'!$A:$A, "")</f>
        <v>61</v>
      </c>
      <c r="G3593" s="1" t="str">
        <f>TEXT(IF($B3593 = "Retail Item", IF((ROW($A3593) - 4504 - _xlfn.XMATCH($C3593, $C$4506:$C$5005, 0, 1)) &lt;= VLOOKUP($C3593, 'Instrument Table'!$B:$D, 3, FALSE), ROW($A3593) - 4504 - _xlfn.XMATCH($C3593, $C$4506:$C$5005, 0, 1), 0), 0), "00")</f>
        <v>00</v>
      </c>
      <c r="H3593" s="1" t="str">
        <f t="shared" si="337"/>
        <v>137</v>
      </c>
      <c r="I3593" s="1" t="str">
        <f t="shared" si="338"/>
        <v>16100-137</v>
      </c>
      <c r="J3593" s="1" t="str">
        <f t="shared" si="339"/>
        <v>Synthesizer production item #137</v>
      </c>
      <c r="K3593" s="1" t="str">
        <f>IF(SUM(COUNTIFS(I:I, I3593)) &gt; 1, "DUPLICATE", "UNIQUE")</f>
        <v>UNIQUE</v>
      </c>
      <c r="L3593" s="18">
        <v>1</v>
      </c>
      <c r="M3593" s="28">
        <v>90</v>
      </c>
      <c r="N3593" s="6">
        <v>25</v>
      </c>
      <c r="O3593" s="30">
        <f t="shared" si="340"/>
        <v>90</v>
      </c>
      <c r="P3593" s="30">
        <f t="shared" si="341"/>
        <v>2250</v>
      </c>
      <c r="Q3593" s="1">
        <f>COUNTIFS($P:$P, "&gt;" &amp; $P3593) + 1</f>
        <v>3159</v>
      </c>
      <c r="R3593" s="63">
        <f>(COUNTIFS($P:$P, "&gt;" &amp; $P3593) + 1) / (COUNTA($I:$I) - 1)</f>
        <v>0.63180000000000003</v>
      </c>
      <c r="S3593" s="23">
        <f>SUMIFS($P:$P, $Q:$Q, "&lt;" &amp; $Q3593)</f>
        <v>185318469</v>
      </c>
    </row>
    <row r="3594" spans="1:19" x14ac:dyDescent="0.25">
      <c r="A3594" s="1">
        <v>3589</v>
      </c>
      <c r="B3594" s="1" t="s">
        <v>2</v>
      </c>
      <c r="C3594" s="1" t="str">
        <f>IF($B3594 = "Production Item", _xlfn.XLOOKUP($A3594, 'Instrument Table'!$J:$J, 'Instrument Table'!$B:$B, $C3593), IF($B3594 = "Service Item", _xlfn.XLOOKUP($A3594, 'Instrument Table'!$I:$I, 'Instrument Table'!$B:$B, $C3593), _xlfn.XLOOKUP($A3594, 'Instrument Table'!$H:$H, 'Instrument Table'!$B:$B, $C3593)))</f>
        <v>Synthesizer</v>
      </c>
      <c r="D3594" s="1" t="str">
        <f>VLOOKUP($C3594, 'Instrument Table'!$B:$C, 2, FALSE)</f>
        <v>Other</v>
      </c>
      <c r="E3594" s="1">
        <f t="shared" si="336"/>
        <v>1</v>
      </c>
      <c r="F3594" s="1">
        <f>_xlfn.XLOOKUP($C3594, 'Instrument Table'!$B:$B, 'Instrument Table'!$A:$A, "")</f>
        <v>61</v>
      </c>
      <c r="G3594" s="1" t="str">
        <f>TEXT(IF($B3594 = "Retail Item", IF((ROW($A3594) - 4504 - _xlfn.XMATCH($C3594, $C$4506:$C$5005, 0, 1)) &lt;= VLOOKUP($C3594, 'Instrument Table'!$B:$D, 3, FALSE), ROW($A3594) - 4504 - _xlfn.XMATCH($C3594, $C$4506:$C$5005, 0, 1), 0), 0), "00")</f>
        <v>00</v>
      </c>
      <c r="H3594" s="1" t="str">
        <f t="shared" si="337"/>
        <v>138</v>
      </c>
      <c r="I3594" s="1" t="str">
        <f t="shared" si="338"/>
        <v>16100-138</v>
      </c>
      <c r="J3594" s="1" t="str">
        <f t="shared" si="339"/>
        <v>Synthesizer production item #138</v>
      </c>
      <c r="K3594" s="1" t="str">
        <f>IF(SUM(COUNTIFS(I:I, I3594)) &gt; 1, "DUPLICATE", "UNIQUE")</f>
        <v>UNIQUE</v>
      </c>
      <c r="L3594" s="18">
        <v>0</v>
      </c>
      <c r="M3594" s="28">
        <v>47</v>
      </c>
      <c r="N3594" s="6">
        <v>121</v>
      </c>
      <c r="O3594" s="30">
        <f t="shared" si="340"/>
        <v>0</v>
      </c>
      <c r="P3594" s="30">
        <f t="shared" si="341"/>
        <v>5687</v>
      </c>
      <c r="Q3594" s="1">
        <f>COUNTIFS($P:$P, "&gt;" &amp; $P3594) + 1</f>
        <v>2321</v>
      </c>
      <c r="R3594" s="63">
        <f>(COUNTIFS($P:$P, "&gt;" &amp; $P3594) + 1) / (COUNTA($I:$I) - 1)</f>
        <v>0.4642</v>
      </c>
      <c r="S3594" s="23">
        <f>SUMIFS($P:$P, $Q:$Q, "&lt;" &amp; $Q3594)</f>
        <v>182184969</v>
      </c>
    </row>
    <row r="3595" spans="1:19" x14ac:dyDescent="0.25">
      <c r="A3595" s="1">
        <v>3590</v>
      </c>
      <c r="B3595" s="1" t="s">
        <v>2</v>
      </c>
      <c r="C3595" s="1" t="str">
        <f>IF($B3595 = "Production Item", _xlfn.XLOOKUP($A3595, 'Instrument Table'!$J:$J, 'Instrument Table'!$B:$B, $C3594), IF($B3595 = "Service Item", _xlfn.XLOOKUP($A3595, 'Instrument Table'!$I:$I, 'Instrument Table'!$B:$B, $C3594), _xlfn.XLOOKUP($A3595, 'Instrument Table'!$H:$H, 'Instrument Table'!$B:$B, $C3594)))</f>
        <v>Synthesizer</v>
      </c>
      <c r="D3595" s="1" t="str">
        <f>VLOOKUP($C3595, 'Instrument Table'!$B:$C, 2, FALSE)</f>
        <v>Other</v>
      </c>
      <c r="E3595" s="1">
        <f t="shared" si="336"/>
        <v>1</v>
      </c>
      <c r="F3595" s="1">
        <f>_xlfn.XLOOKUP($C3595, 'Instrument Table'!$B:$B, 'Instrument Table'!$A:$A, "")</f>
        <v>61</v>
      </c>
      <c r="G3595" s="1" t="str">
        <f>TEXT(IF($B3595 = "Retail Item", IF((ROW($A3595) - 4504 - _xlfn.XMATCH($C3595, $C$4506:$C$5005, 0, 1)) &lt;= VLOOKUP($C3595, 'Instrument Table'!$B:$D, 3, FALSE), ROW($A3595) - 4504 - _xlfn.XMATCH($C3595, $C$4506:$C$5005, 0, 1), 0), 0), "00")</f>
        <v>00</v>
      </c>
      <c r="H3595" s="1" t="str">
        <f t="shared" si="337"/>
        <v>139</v>
      </c>
      <c r="I3595" s="1" t="str">
        <f t="shared" si="338"/>
        <v>16100-139</v>
      </c>
      <c r="J3595" s="1" t="str">
        <f t="shared" si="339"/>
        <v>Synthesizer production item #139</v>
      </c>
      <c r="K3595" s="1" t="str">
        <f>IF(SUM(COUNTIFS(I:I, I3595)) &gt; 1, "DUPLICATE", "UNIQUE")</f>
        <v>UNIQUE</v>
      </c>
      <c r="L3595" s="18">
        <v>32</v>
      </c>
      <c r="M3595" s="28">
        <v>9</v>
      </c>
      <c r="N3595" s="6">
        <v>0</v>
      </c>
      <c r="O3595" s="30">
        <f t="shared" si="340"/>
        <v>288</v>
      </c>
      <c r="P3595" s="30">
        <f t="shared" si="341"/>
        <v>0</v>
      </c>
      <c r="Q3595" s="1">
        <f>COUNTIFS($P:$P, "&gt;" &amp; $P3595) + 1</f>
        <v>4746</v>
      </c>
      <c r="R3595" s="63">
        <f>(COUNTIFS($P:$P, "&gt;" &amp; $P3595) + 1) / (COUNTA($I:$I) - 1)</f>
        <v>0.94920000000000004</v>
      </c>
      <c r="S3595" s="23">
        <f>SUMIFS($P:$P, $Q:$Q, "&lt;" &amp; $Q3595)</f>
        <v>186547861</v>
      </c>
    </row>
    <row r="3596" spans="1:19" x14ac:dyDescent="0.25">
      <c r="A3596" s="1">
        <v>3591</v>
      </c>
      <c r="B3596" s="1" t="s">
        <v>2</v>
      </c>
      <c r="C3596" s="1" t="str">
        <f>IF($B3596 = "Production Item", _xlfn.XLOOKUP($A3596, 'Instrument Table'!$J:$J, 'Instrument Table'!$B:$B, $C3595), IF($B3596 = "Service Item", _xlfn.XLOOKUP($A3596, 'Instrument Table'!$I:$I, 'Instrument Table'!$B:$B, $C3595), _xlfn.XLOOKUP($A3596, 'Instrument Table'!$H:$H, 'Instrument Table'!$B:$B, $C3595)))</f>
        <v>Synthesizer</v>
      </c>
      <c r="D3596" s="1" t="str">
        <f>VLOOKUP($C3596, 'Instrument Table'!$B:$C, 2, FALSE)</f>
        <v>Other</v>
      </c>
      <c r="E3596" s="1">
        <f t="shared" si="336"/>
        <v>1</v>
      </c>
      <c r="F3596" s="1">
        <f>_xlfn.XLOOKUP($C3596, 'Instrument Table'!$B:$B, 'Instrument Table'!$A:$A, "")</f>
        <v>61</v>
      </c>
      <c r="G3596" s="1" t="str">
        <f>TEXT(IF($B3596 = "Retail Item", IF((ROW($A3596) - 4504 - _xlfn.XMATCH($C3596, $C$4506:$C$5005, 0, 1)) &lt;= VLOOKUP($C3596, 'Instrument Table'!$B:$D, 3, FALSE), ROW($A3596) - 4504 - _xlfn.XMATCH($C3596, $C$4506:$C$5005, 0, 1), 0), 0), "00")</f>
        <v>00</v>
      </c>
      <c r="H3596" s="1" t="str">
        <f t="shared" si="337"/>
        <v>140</v>
      </c>
      <c r="I3596" s="1" t="str">
        <f t="shared" si="338"/>
        <v>16100-140</v>
      </c>
      <c r="J3596" s="1" t="str">
        <f t="shared" si="339"/>
        <v>Synthesizer production item #140</v>
      </c>
      <c r="K3596" s="1" t="str">
        <f>IF(SUM(COUNTIFS(I:I, I3596)) &gt; 1, "DUPLICATE", "UNIQUE")</f>
        <v>UNIQUE</v>
      </c>
      <c r="L3596" s="18">
        <v>0</v>
      </c>
      <c r="M3596" s="28">
        <v>76</v>
      </c>
      <c r="N3596" s="6">
        <v>16</v>
      </c>
      <c r="O3596" s="30">
        <f t="shared" si="340"/>
        <v>0</v>
      </c>
      <c r="P3596" s="30">
        <f t="shared" si="341"/>
        <v>1216</v>
      </c>
      <c r="Q3596" s="1">
        <f>COUNTIFS($P:$P, "&gt;" &amp; $P3596) + 1</f>
        <v>3593</v>
      </c>
      <c r="R3596" s="63">
        <f>(COUNTIFS($P:$P, "&gt;" &amp; $P3596) + 1) / (COUNTA($I:$I) - 1)</f>
        <v>0.71860000000000002</v>
      </c>
      <c r="S3596" s="23">
        <f>SUMIFS($P:$P, $Q:$Q, "&lt;" &amp; $Q3596)</f>
        <v>186061231</v>
      </c>
    </row>
    <row r="3597" spans="1:19" x14ac:dyDescent="0.25">
      <c r="A3597" s="1">
        <v>3592</v>
      </c>
      <c r="B3597" s="1" t="s">
        <v>2</v>
      </c>
      <c r="C3597" s="1" t="str">
        <f>IF($B3597 = "Production Item", _xlfn.XLOOKUP($A3597, 'Instrument Table'!$J:$J, 'Instrument Table'!$B:$B, $C3596), IF($B3597 = "Service Item", _xlfn.XLOOKUP($A3597, 'Instrument Table'!$I:$I, 'Instrument Table'!$B:$B, $C3596), _xlfn.XLOOKUP($A3597, 'Instrument Table'!$H:$H, 'Instrument Table'!$B:$B, $C3596)))</f>
        <v>Synthesizer</v>
      </c>
      <c r="D3597" s="1" t="str">
        <f>VLOOKUP($C3597, 'Instrument Table'!$B:$C, 2, FALSE)</f>
        <v>Other</v>
      </c>
      <c r="E3597" s="1">
        <f t="shared" si="336"/>
        <v>1</v>
      </c>
      <c r="F3597" s="1">
        <f>_xlfn.XLOOKUP($C3597, 'Instrument Table'!$B:$B, 'Instrument Table'!$A:$A, "")</f>
        <v>61</v>
      </c>
      <c r="G3597" s="1" t="str">
        <f>TEXT(IF($B3597 = "Retail Item", IF((ROW($A3597) - 4504 - _xlfn.XMATCH($C3597, $C$4506:$C$5005, 0, 1)) &lt;= VLOOKUP($C3597, 'Instrument Table'!$B:$D, 3, FALSE), ROW($A3597) - 4504 - _xlfn.XMATCH($C3597, $C$4506:$C$5005, 0, 1), 0), 0), "00")</f>
        <v>00</v>
      </c>
      <c r="H3597" s="1" t="str">
        <f t="shared" si="337"/>
        <v>141</v>
      </c>
      <c r="I3597" s="1" t="str">
        <f t="shared" si="338"/>
        <v>16100-141</v>
      </c>
      <c r="J3597" s="1" t="str">
        <f t="shared" si="339"/>
        <v>Synthesizer production item #141</v>
      </c>
      <c r="K3597" s="1" t="str">
        <f>IF(SUM(COUNTIFS(I:I, I3597)) &gt; 1, "DUPLICATE", "UNIQUE")</f>
        <v>UNIQUE</v>
      </c>
      <c r="L3597" s="18">
        <v>1</v>
      </c>
      <c r="M3597" s="28">
        <v>13</v>
      </c>
      <c r="N3597" s="6">
        <v>169</v>
      </c>
      <c r="O3597" s="30">
        <f t="shared" si="340"/>
        <v>13</v>
      </c>
      <c r="P3597" s="30">
        <f t="shared" si="341"/>
        <v>2197</v>
      </c>
      <c r="Q3597" s="1">
        <f>COUNTIFS($P:$P, "&gt;" &amp; $P3597) + 1</f>
        <v>3172</v>
      </c>
      <c r="R3597" s="63">
        <f>(COUNTIFS($P:$P, "&gt;" &amp; $P3597) + 1) / (COUNTA($I:$I) - 1)</f>
        <v>0.63439999999999996</v>
      </c>
      <c r="S3597" s="23">
        <f>SUMIFS($P:$P, $Q:$Q, "&lt;" &amp; $Q3597)</f>
        <v>185347395</v>
      </c>
    </row>
    <row r="3598" spans="1:19" x14ac:dyDescent="0.25">
      <c r="A3598" s="1">
        <v>3593</v>
      </c>
      <c r="B3598" s="1" t="s">
        <v>2</v>
      </c>
      <c r="C3598" s="1" t="str">
        <f>IF($B3598 = "Production Item", _xlfn.XLOOKUP($A3598, 'Instrument Table'!$J:$J, 'Instrument Table'!$B:$B, $C3597), IF($B3598 = "Service Item", _xlfn.XLOOKUP($A3598, 'Instrument Table'!$I:$I, 'Instrument Table'!$B:$B, $C3597), _xlfn.XLOOKUP($A3598, 'Instrument Table'!$H:$H, 'Instrument Table'!$B:$B, $C3597)))</f>
        <v>Synthesizer</v>
      </c>
      <c r="D3598" s="1" t="str">
        <f>VLOOKUP($C3598, 'Instrument Table'!$B:$C, 2, FALSE)</f>
        <v>Other</v>
      </c>
      <c r="E3598" s="1">
        <f t="shared" si="336"/>
        <v>1</v>
      </c>
      <c r="F3598" s="1">
        <f>_xlfn.XLOOKUP($C3598, 'Instrument Table'!$B:$B, 'Instrument Table'!$A:$A, "")</f>
        <v>61</v>
      </c>
      <c r="G3598" s="1" t="str">
        <f>TEXT(IF($B3598 = "Retail Item", IF((ROW($A3598) - 4504 - _xlfn.XMATCH($C3598, $C$4506:$C$5005, 0, 1)) &lt;= VLOOKUP($C3598, 'Instrument Table'!$B:$D, 3, FALSE), ROW($A3598) - 4504 - _xlfn.XMATCH($C3598, $C$4506:$C$5005, 0, 1), 0), 0), "00")</f>
        <v>00</v>
      </c>
      <c r="H3598" s="1" t="str">
        <f t="shared" si="337"/>
        <v>142</v>
      </c>
      <c r="I3598" s="1" t="str">
        <f t="shared" si="338"/>
        <v>16100-142</v>
      </c>
      <c r="J3598" s="1" t="str">
        <f t="shared" si="339"/>
        <v>Synthesizer production item #142</v>
      </c>
      <c r="K3598" s="1" t="str">
        <f>IF(SUM(COUNTIFS(I:I, I3598)) &gt; 1, "DUPLICATE", "UNIQUE")</f>
        <v>UNIQUE</v>
      </c>
      <c r="L3598" s="18">
        <v>0</v>
      </c>
      <c r="M3598" s="28">
        <v>57</v>
      </c>
      <c r="N3598" s="6">
        <v>256</v>
      </c>
      <c r="O3598" s="30">
        <f t="shared" si="340"/>
        <v>0</v>
      </c>
      <c r="P3598" s="30">
        <f t="shared" si="341"/>
        <v>14592</v>
      </c>
      <c r="Q3598" s="1">
        <f>COUNTIFS($P:$P, "&gt;" &amp; $P3598) + 1</f>
        <v>1379</v>
      </c>
      <c r="R3598" s="63">
        <f>(COUNTIFS($P:$P, "&gt;" &amp; $P3598) + 1) / (COUNTA($I:$I) - 1)</f>
        <v>0.27579999999999999</v>
      </c>
      <c r="S3598" s="23">
        <f>SUMIFS($P:$P, $Q:$Q, "&lt;" &amp; $Q3598)</f>
        <v>173172256</v>
      </c>
    </row>
    <row r="3599" spans="1:19" x14ac:dyDescent="0.25">
      <c r="A3599" s="1">
        <v>3594</v>
      </c>
      <c r="B3599" s="1" t="s">
        <v>2</v>
      </c>
      <c r="C3599" s="1" t="str">
        <f>IF($B3599 = "Production Item", _xlfn.XLOOKUP($A3599, 'Instrument Table'!$J:$J, 'Instrument Table'!$B:$B, $C3598), IF($B3599 = "Service Item", _xlfn.XLOOKUP($A3599, 'Instrument Table'!$I:$I, 'Instrument Table'!$B:$B, $C3598), _xlfn.XLOOKUP($A3599, 'Instrument Table'!$H:$H, 'Instrument Table'!$B:$B, $C3598)))</f>
        <v>Synthesizer</v>
      </c>
      <c r="D3599" s="1" t="str">
        <f>VLOOKUP($C3599, 'Instrument Table'!$B:$C, 2, FALSE)</f>
        <v>Other</v>
      </c>
      <c r="E3599" s="1">
        <f t="shared" si="336"/>
        <v>1</v>
      </c>
      <c r="F3599" s="1">
        <f>_xlfn.XLOOKUP($C3599, 'Instrument Table'!$B:$B, 'Instrument Table'!$A:$A, "")</f>
        <v>61</v>
      </c>
      <c r="G3599" s="1" t="str">
        <f>TEXT(IF($B3599 = "Retail Item", IF((ROW($A3599) - 4504 - _xlfn.XMATCH($C3599, $C$4506:$C$5005, 0, 1)) &lt;= VLOOKUP($C3599, 'Instrument Table'!$B:$D, 3, FALSE), ROW($A3599) - 4504 - _xlfn.XMATCH($C3599, $C$4506:$C$5005, 0, 1), 0), 0), "00")</f>
        <v>00</v>
      </c>
      <c r="H3599" s="1" t="str">
        <f t="shared" si="337"/>
        <v>143</v>
      </c>
      <c r="I3599" s="1" t="str">
        <f t="shared" si="338"/>
        <v>16100-143</v>
      </c>
      <c r="J3599" s="1" t="str">
        <f t="shared" si="339"/>
        <v>Synthesizer production item #143</v>
      </c>
      <c r="K3599" s="1" t="str">
        <f>IF(SUM(COUNTIFS(I:I, I3599)) &gt; 1, "DUPLICATE", "UNIQUE")</f>
        <v>UNIQUE</v>
      </c>
      <c r="L3599" s="18">
        <v>1</v>
      </c>
      <c r="M3599" s="28">
        <v>79</v>
      </c>
      <c r="N3599" s="6">
        <v>36</v>
      </c>
      <c r="O3599" s="30">
        <f t="shared" si="340"/>
        <v>79</v>
      </c>
      <c r="P3599" s="30">
        <f t="shared" si="341"/>
        <v>2844</v>
      </c>
      <c r="Q3599" s="1">
        <f>COUNTIFS($P:$P, "&gt;" &amp; $P3599) + 1</f>
        <v>2950</v>
      </c>
      <c r="R3599" s="63">
        <f>(COUNTIFS($P:$P, "&gt;" &amp; $P3599) + 1) / (COUNTA($I:$I) - 1)</f>
        <v>0.59</v>
      </c>
      <c r="S3599" s="23">
        <f>SUMIFS($P:$P, $Q:$Q, "&lt;" &amp; $Q3599)</f>
        <v>184795087</v>
      </c>
    </row>
    <row r="3600" spans="1:19" x14ac:dyDescent="0.25">
      <c r="A3600" s="1">
        <v>3595</v>
      </c>
      <c r="B3600" s="1" t="s">
        <v>2</v>
      </c>
      <c r="C3600" s="1" t="str">
        <f>IF($B3600 = "Production Item", _xlfn.XLOOKUP($A3600, 'Instrument Table'!$J:$J, 'Instrument Table'!$B:$B, $C3599), IF($B3600 = "Service Item", _xlfn.XLOOKUP($A3600, 'Instrument Table'!$I:$I, 'Instrument Table'!$B:$B, $C3599), _xlfn.XLOOKUP($A3600, 'Instrument Table'!$H:$H, 'Instrument Table'!$B:$B, $C3599)))</f>
        <v>Synthesizer</v>
      </c>
      <c r="D3600" s="1" t="str">
        <f>VLOOKUP($C3600, 'Instrument Table'!$B:$C, 2, FALSE)</f>
        <v>Other</v>
      </c>
      <c r="E3600" s="1">
        <f t="shared" si="336"/>
        <v>1</v>
      </c>
      <c r="F3600" s="1">
        <f>_xlfn.XLOOKUP($C3600, 'Instrument Table'!$B:$B, 'Instrument Table'!$A:$A, "")</f>
        <v>61</v>
      </c>
      <c r="G3600" s="1" t="str">
        <f>TEXT(IF($B3600 = "Retail Item", IF((ROW($A3600) - 4504 - _xlfn.XMATCH($C3600, $C$4506:$C$5005, 0, 1)) &lt;= VLOOKUP($C3600, 'Instrument Table'!$B:$D, 3, FALSE), ROW($A3600) - 4504 - _xlfn.XMATCH($C3600, $C$4506:$C$5005, 0, 1), 0), 0), "00")</f>
        <v>00</v>
      </c>
      <c r="H3600" s="1" t="str">
        <f t="shared" si="337"/>
        <v>144</v>
      </c>
      <c r="I3600" s="1" t="str">
        <f t="shared" si="338"/>
        <v>16100-144</v>
      </c>
      <c r="J3600" s="1" t="str">
        <f t="shared" si="339"/>
        <v>Synthesizer production item #144</v>
      </c>
      <c r="K3600" s="1" t="str">
        <f>IF(SUM(COUNTIFS(I:I, I3600)) &gt; 1, "DUPLICATE", "UNIQUE")</f>
        <v>UNIQUE</v>
      </c>
      <c r="L3600" s="18">
        <v>1</v>
      </c>
      <c r="M3600" s="28">
        <v>56</v>
      </c>
      <c r="N3600" s="6">
        <v>400</v>
      </c>
      <c r="O3600" s="30">
        <f t="shared" si="340"/>
        <v>56</v>
      </c>
      <c r="P3600" s="30">
        <f t="shared" si="341"/>
        <v>22400</v>
      </c>
      <c r="Q3600" s="1">
        <f>COUNTIFS($P:$P, "&gt;" &amp; $P3600) + 1</f>
        <v>930</v>
      </c>
      <c r="R3600" s="63">
        <f>(COUNTIFS($P:$P, "&gt;" &amp; $P3600) + 1) / (COUNTA($I:$I) - 1)</f>
        <v>0.186</v>
      </c>
      <c r="S3600" s="23">
        <f>SUMIFS($P:$P, $Q:$Q, "&lt;" &amp; $Q3600)</f>
        <v>164964273</v>
      </c>
    </row>
    <row r="3601" spans="1:19" x14ac:dyDescent="0.25">
      <c r="A3601" s="1">
        <v>3596</v>
      </c>
      <c r="B3601" s="1" t="s">
        <v>2</v>
      </c>
      <c r="C3601" s="1" t="str">
        <f>IF($B3601 = "Production Item", _xlfn.XLOOKUP($A3601, 'Instrument Table'!$J:$J, 'Instrument Table'!$B:$B, $C3600), IF($B3601 = "Service Item", _xlfn.XLOOKUP($A3601, 'Instrument Table'!$I:$I, 'Instrument Table'!$B:$B, $C3600), _xlfn.XLOOKUP($A3601, 'Instrument Table'!$H:$H, 'Instrument Table'!$B:$B, $C3600)))</f>
        <v>Synthesizer</v>
      </c>
      <c r="D3601" s="1" t="str">
        <f>VLOOKUP($C3601, 'Instrument Table'!$B:$C, 2, FALSE)</f>
        <v>Other</v>
      </c>
      <c r="E3601" s="1">
        <f t="shared" si="336"/>
        <v>1</v>
      </c>
      <c r="F3601" s="1">
        <f>_xlfn.XLOOKUP($C3601, 'Instrument Table'!$B:$B, 'Instrument Table'!$A:$A, "")</f>
        <v>61</v>
      </c>
      <c r="G3601" s="1" t="str">
        <f>TEXT(IF($B3601 = "Retail Item", IF((ROW($A3601) - 4504 - _xlfn.XMATCH($C3601, $C$4506:$C$5005, 0, 1)) &lt;= VLOOKUP($C3601, 'Instrument Table'!$B:$D, 3, FALSE), ROW($A3601) - 4504 - _xlfn.XMATCH($C3601, $C$4506:$C$5005, 0, 1), 0), 0), "00")</f>
        <v>00</v>
      </c>
      <c r="H3601" s="1" t="str">
        <f t="shared" si="337"/>
        <v>145</v>
      </c>
      <c r="I3601" s="1" t="str">
        <f t="shared" si="338"/>
        <v>16100-145</v>
      </c>
      <c r="J3601" s="1" t="str">
        <f t="shared" si="339"/>
        <v>Synthesizer production item #145</v>
      </c>
      <c r="K3601" s="1" t="str">
        <f>IF(SUM(COUNTIFS(I:I, I3601)) &gt; 1, "DUPLICATE", "UNIQUE")</f>
        <v>UNIQUE</v>
      </c>
      <c r="L3601" s="18">
        <v>1</v>
      </c>
      <c r="M3601" s="28">
        <v>14</v>
      </c>
      <c r="N3601" s="6">
        <v>324</v>
      </c>
      <c r="O3601" s="30">
        <f t="shared" si="340"/>
        <v>14</v>
      </c>
      <c r="P3601" s="30">
        <f t="shared" si="341"/>
        <v>4536</v>
      </c>
      <c r="Q3601" s="1">
        <f>COUNTIFS($P:$P, "&gt;" &amp; $P3601) + 1</f>
        <v>2534</v>
      </c>
      <c r="R3601" s="63">
        <f>(COUNTIFS($P:$P, "&gt;" &amp; $P3601) + 1) / (COUNTA($I:$I) - 1)</f>
        <v>0.50680000000000003</v>
      </c>
      <c r="S3601" s="23">
        <f>SUMIFS($P:$P, $Q:$Q, "&lt;" &amp; $Q3601)</f>
        <v>183272703</v>
      </c>
    </row>
    <row r="3602" spans="1:19" x14ac:dyDescent="0.25">
      <c r="A3602" s="1">
        <v>3597</v>
      </c>
      <c r="B3602" s="1" t="s">
        <v>2</v>
      </c>
      <c r="C3602" s="1" t="str">
        <f>IF($B3602 = "Production Item", _xlfn.XLOOKUP($A3602, 'Instrument Table'!$J:$J, 'Instrument Table'!$B:$B, $C3601), IF($B3602 = "Service Item", _xlfn.XLOOKUP($A3602, 'Instrument Table'!$I:$I, 'Instrument Table'!$B:$B, $C3601), _xlfn.XLOOKUP($A3602, 'Instrument Table'!$H:$H, 'Instrument Table'!$B:$B, $C3601)))</f>
        <v>Synthesizer</v>
      </c>
      <c r="D3602" s="1" t="str">
        <f>VLOOKUP($C3602, 'Instrument Table'!$B:$C, 2, FALSE)</f>
        <v>Other</v>
      </c>
      <c r="E3602" s="1">
        <f t="shared" si="336"/>
        <v>1</v>
      </c>
      <c r="F3602" s="1">
        <f>_xlfn.XLOOKUP($C3602, 'Instrument Table'!$B:$B, 'Instrument Table'!$A:$A, "")</f>
        <v>61</v>
      </c>
      <c r="G3602" s="1" t="str">
        <f>TEXT(IF($B3602 = "Retail Item", IF((ROW($A3602) - 4504 - _xlfn.XMATCH($C3602, $C$4506:$C$5005, 0, 1)) &lt;= VLOOKUP($C3602, 'Instrument Table'!$B:$D, 3, FALSE), ROW($A3602) - 4504 - _xlfn.XMATCH($C3602, $C$4506:$C$5005, 0, 1), 0), 0), "00")</f>
        <v>00</v>
      </c>
      <c r="H3602" s="1" t="str">
        <f t="shared" si="337"/>
        <v>146</v>
      </c>
      <c r="I3602" s="1" t="str">
        <f t="shared" si="338"/>
        <v>16100-146</v>
      </c>
      <c r="J3602" s="1" t="str">
        <f t="shared" si="339"/>
        <v>Synthesizer production item #146</v>
      </c>
      <c r="K3602" s="1" t="str">
        <f>IF(SUM(COUNTIFS(I:I, I3602)) &gt; 1, "DUPLICATE", "UNIQUE")</f>
        <v>UNIQUE</v>
      </c>
      <c r="L3602" s="18">
        <v>16</v>
      </c>
      <c r="M3602" s="28">
        <v>28</v>
      </c>
      <c r="N3602" s="6">
        <v>64</v>
      </c>
      <c r="O3602" s="30">
        <f t="shared" si="340"/>
        <v>448</v>
      </c>
      <c r="P3602" s="30">
        <f t="shared" si="341"/>
        <v>1792</v>
      </c>
      <c r="Q3602" s="1">
        <f>COUNTIFS($P:$P, "&gt;" &amp; $P3602) + 1</f>
        <v>3339</v>
      </c>
      <c r="R3602" s="63">
        <f>(COUNTIFS($P:$P, "&gt;" &amp; $P3602) + 1) / (COUNTA($I:$I) - 1)</f>
        <v>0.66779999999999995</v>
      </c>
      <c r="S3602" s="23">
        <f>SUMIFS($P:$P, $Q:$Q, "&lt;" &amp; $Q3602)</f>
        <v>185680781</v>
      </c>
    </row>
    <row r="3603" spans="1:19" x14ac:dyDescent="0.25">
      <c r="A3603" s="1">
        <v>3598</v>
      </c>
      <c r="B3603" s="1" t="s">
        <v>2</v>
      </c>
      <c r="C3603" s="1" t="str">
        <f>IF($B3603 = "Production Item", _xlfn.XLOOKUP($A3603, 'Instrument Table'!$J:$J, 'Instrument Table'!$B:$B, $C3602), IF($B3603 = "Service Item", _xlfn.XLOOKUP($A3603, 'Instrument Table'!$I:$I, 'Instrument Table'!$B:$B, $C3602), _xlfn.XLOOKUP($A3603, 'Instrument Table'!$H:$H, 'Instrument Table'!$B:$B, $C3602)))</f>
        <v>Synthesizer</v>
      </c>
      <c r="D3603" s="1" t="str">
        <f>VLOOKUP($C3603, 'Instrument Table'!$B:$C, 2, FALSE)</f>
        <v>Other</v>
      </c>
      <c r="E3603" s="1">
        <f t="shared" si="336"/>
        <v>1</v>
      </c>
      <c r="F3603" s="1">
        <f>_xlfn.XLOOKUP($C3603, 'Instrument Table'!$B:$B, 'Instrument Table'!$A:$A, "")</f>
        <v>61</v>
      </c>
      <c r="G3603" s="1" t="str">
        <f>TEXT(IF($B3603 = "Retail Item", IF((ROW($A3603) - 4504 - _xlfn.XMATCH($C3603, $C$4506:$C$5005, 0, 1)) &lt;= VLOOKUP($C3603, 'Instrument Table'!$B:$D, 3, FALSE), ROW($A3603) - 4504 - _xlfn.XMATCH($C3603, $C$4506:$C$5005, 0, 1), 0), 0), "00")</f>
        <v>00</v>
      </c>
      <c r="H3603" s="1" t="str">
        <f t="shared" si="337"/>
        <v>147</v>
      </c>
      <c r="I3603" s="1" t="str">
        <f t="shared" si="338"/>
        <v>16100-147</v>
      </c>
      <c r="J3603" s="1" t="str">
        <f t="shared" si="339"/>
        <v>Synthesizer production item #147</v>
      </c>
      <c r="K3603" s="1" t="str">
        <f>IF(SUM(COUNTIFS(I:I, I3603)) &gt; 1, "DUPLICATE", "UNIQUE")</f>
        <v>UNIQUE</v>
      </c>
      <c r="L3603" s="18">
        <v>1</v>
      </c>
      <c r="M3603" s="28">
        <v>32</v>
      </c>
      <c r="N3603" s="6">
        <v>144</v>
      </c>
      <c r="O3603" s="30">
        <f t="shared" si="340"/>
        <v>32</v>
      </c>
      <c r="P3603" s="30">
        <f t="shared" si="341"/>
        <v>4608</v>
      </c>
      <c r="Q3603" s="1">
        <f>COUNTIFS($P:$P, "&gt;" &amp; $P3603) + 1</f>
        <v>2515</v>
      </c>
      <c r="R3603" s="63">
        <f>(COUNTIFS($P:$P, "&gt;" &amp; $P3603) + 1) / (COUNTA($I:$I) - 1)</f>
        <v>0.503</v>
      </c>
      <c r="S3603" s="23">
        <f>SUMIFS($P:$P, $Q:$Q, "&lt;" &amp; $Q3603)</f>
        <v>183185375</v>
      </c>
    </row>
    <row r="3604" spans="1:19" x14ac:dyDescent="0.25">
      <c r="A3604" s="1">
        <v>3599</v>
      </c>
      <c r="B3604" s="1" t="s">
        <v>2</v>
      </c>
      <c r="C3604" s="1" t="str">
        <f>IF($B3604 = "Production Item", _xlfn.XLOOKUP($A3604, 'Instrument Table'!$J:$J, 'Instrument Table'!$B:$B, $C3603), IF($B3604 = "Service Item", _xlfn.XLOOKUP($A3604, 'Instrument Table'!$I:$I, 'Instrument Table'!$B:$B, $C3603), _xlfn.XLOOKUP($A3604, 'Instrument Table'!$H:$H, 'Instrument Table'!$B:$B, $C3603)))</f>
        <v>Synthesizer</v>
      </c>
      <c r="D3604" s="1" t="str">
        <f>VLOOKUP($C3604, 'Instrument Table'!$B:$C, 2, FALSE)</f>
        <v>Other</v>
      </c>
      <c r="E3604" s="1">
        <f t="shared" si="336"/>
        <v>1</v>
      </c>
      <c r="F3604" s="1">
        <f>_xlfn.XLOOKUP($C3604, 'Instrument Table'!$B:$B, 'Instrument Table'!$A:$A, "")</f>
        <v>61</v>
      </c>
      <c r="G3604" s="1" t="str">
        <f>TEXT(IF($B3604 = "Retail Item", IF((ROW($A3604) - 4504 - _xlfn.XMATCH($C3604, $C$4506:$C$5005, 0, 1)) &lt;= VLOOKUP($C3604, 'Instrument Table'!$B:$D, 3, FALSE), ROW($A3604) - 4504 - _xlfn.XMATCH($C3604, $C$4506:$C$5005, 0, 1), 0), 0), "00")</f>
        <v>00</v>
      </c>
      <c r="H3604" s="1" t="str">
        <f t="shared" si="337"/>
        <v>148</v>
      </c>
      <c r="I3604" s="1" t="str">
        <f t="shared" si="338"/>
        <v>16100-148</v>
      </c>
      <c r="J3604" s="1" t="str">
        <f t="shared" si="339"/>
        <v>Synthesizer production item #148</v>
      </c>
      <c r="K3604" s="1" t="str">
        <f>IF(SUM(COUNTIFS(I:I, I3604)) &gt; 1, "DUPLICATE", "UNIQUE")</f>
        <v>UNIQUE</v>
      </c>
      <c r="L3604" s="18">
        <v>2</v>
      </c>
      <c r="M3604" s="28">
        <v>22</v>
      </c>
      <c r="N3604" s="6">
        <v>64</v>
      </c>
      <c r="O3604" s="30">
        <f t="shared" si="340"/>
        <v>44</v>
      </c>
      <c r="P3604" s="30">
        <f t="shared" si="341"/>
        <v>1408</v>
      </c>
      <c r="Q3604" s="1">
        <f>COUNTIFS($P:$P, "&gt;" &amp; $P3604) + 1</f>
        <v>3501</v>
      </c>
      <c r="R3604" s="63">
        <f>(COUNTIFS($P:$P, "&gt;" &amp; $P3604) + 1) / (COUNTA($I:$I) - 1)</f>
        <v>0.70020000000000004</v>
      </c>
      <c r="S3604" s="23">
        <f>SUMIFS($P:$P, $Q:$Q, "&lt;" &amp; $Q3604)</f>
        <v>185938879</v>
      </c>
    </row>
    <row r="3605" spans="1:19" x14ac:dyDescent="0.25">
      <c r="A3605" s="1">
        <v>3600</v>
      </c>
      <c r="B3605" s="1" t="s">
        <v>2</v>
      </c>
      <c r="C3605" s="1" t="str">
        <f>IF($B3605 = "Production Item", _xlfn.XLOOKUP($A3605, 'Instrument Table'!$J:$J, 'Instrument Table'!$B:$B, $C3604), IF($B3605 = "Service Item", _xlfn.XLOOKUP($A3605, 'Instrument Table'!$I:$I, 'Instrument Table'!$B:$B, $C3604), _xlfn.XLOOKUP($A3605, 'Instrument Table'!$H:$H, 'Instrument Table'!$B:$B, $C3604)))</f>
        <v>Synthesizer</v>
      </c>
      <c r="D3605" s="1" t="str">
        <f>VLOOKUP($C3605, 'Instrument Table'!$B:$C, 2, FALSE)</f>
        <v>Other</v>
      </c>
      <c r="E3605" s="1">
        <f t="shared" si="336"/>
        <v>1</v>
      </c>
      <c r="F3605" s="1">
        <f>_xlfn.XLOOKUP($C3605, 'Instrument Table'!$B:$B, 'Instrument Table'!$A:$A, "")</f>
        <v>61</v>
      </c>
      <c r="G3605" s="1" t="str">
        <f>TEXT(IF($B3605 = "Retail Item", IF((ROW($A3605) - 4504 - _xlfn.XMATCH($C3605, $C$4506:$C$5005, 0, 1)) &lt;= VLOOKUP($C3605, 'Instrument Table'!$B:$D, 3, FALSE), ROW($A3605) - 4504 - _xlfn.XMATCH($C3605, $C$4506:$C$5005, 0, 1), 0), 0), "00")</f>
        <v>00</v>
      </c>
      <c r="H3605" s="1" t="str">
        <f t="shared" si="337"/>
        <v>149</v>
      </c>
      <c r="I3605" s="1" t="str">
        <f t="shared" si="338"/>
        <v>16100-149</v>
      </c>
      <c r="J3605" s="1" t="str">
        <f t="shared" si="339"/>
        <v>Synthesizer production item #149</v>
      </c>
      <c r="K3605" s="1" t="str">
        <f>IF(SUM(COUNTIFS(I:I, I3605)) &gt; 1, "DUPLICATE", "UNIQUE")</f>
        <v>UNIQUE</v>
      </c>
      <c r="L3605" s="18">
        <v>32</v>
      </c>
      <c r="M3605" s="28">
        <v>45</v>
      </c>
      <c r="N3605" s="6">
        <v>16</v>
      </c>
      <c r="O3605" s="30">
        <f t="shared" si="340"/>
        <v>1440</v>
      </c>
      <c r="P3605" s="30">
        <f t="shared" si="341"/>
        <v>720</v>
      </c>
      <c r="Q3605" s="1">
        <f>COUNTIFS($P:$P, "&gt;" &amp; $P3605) + 1</f>
        <v>3863</v>
      </c>
      <c r="R3605" s="63">
        <f>(COUNTIFS($P:$P, "&gt;" &amp; $P3605) + 1) / (COUNTA($I:$I) - 1)</f>
        <v>0.77259999999999995</v>
      </c>
      <c r="S3605" s="23">
        <f>SUMIFS($P:$P, $Q:$Q, "&lt;" &amp; $Q3605)</f>
        <v>186312976</v>
      </c>
    </row>
    <row r="3606" spans="1:19" x14ac:dyDescent="0.25">
      <c r="A3606" s="1">
        <v>3601</v>
      </c>
      <c r="B3606" s="1" t="s">
        <v>2</v>
      </c>
      <c r="C3606" s="1" t="str">
        <f>IF($B3606 = "Production Item", _xlfn.XLOOKUP($A3606, 'Instrument Table'!$J:$J, 'Instrument Table'!$B:$B, $C3605), IF($B3606 = "Service Item", _xlfn.XLOOKUP($A3606, 'Instrument Table'!$I:$I, 'Instrument Table'!$B:$B, $C3605), _xlfn.XLOOKUP($A3606, 'Instrument Table'!$H:$H, 'Instrument Table'!$B:$B, $C3605)))</f>
        <v>Synthesizer</v>
      </c>
      <c r="D3606" s="1" t="str">
        <f>VLOOKUP($C3606, 'Instrument Table'!$B:$C, 2, FALSE)</f>
        <v>Other</v>
      </c>
      <c r="E3606" s="1">
        <f t="shared" si="336"/>
        <v>1</v>
      </c>
      <c r="F3606" s="1">
        <f>_xlfn.XLOOKUP($C3606, 'Instrument Table'!$B:$B, 'Instrument Table'!$A:$A, "")</f>
        <v>61</v>
      </c>
      <c r="G3606" s="1" t="str">
        <f>TEXT(IF($B3606 = "Retail Item", IF((ROW($A3606) - 4504 - _xlfn.XMATCH($C3606, $C$4506:$C$5005, 0, 1)) &lt;= VLOOKUP($C3606, 'Instrument Table'!$B:$D, 3, FALSE), ROW($A3606) - 4504 - _xlfn.XMATCH($C3606, $C$4506:$C$5005, 0, 1), 0), 0), "00")</f>
        <v>00</v>
      </c>
      <c r="H3606" s="1" t="str">
        <f t="shared" si="337"/>
        <v>150</v>
      </c>
      <c r="I3606" s="1" t="str">
        <f t="shared" si="338"/>
        <v>16100-150</v>
      </c>
      <c r="J3606" s="1" t="str">
        <f t="shared" si="339"/>
        <v>Synthesizer production item #150</v>
      </c>
      <c r="K3606" s="1" t="str">
        <f>IF(SUM(COUNTIFS(I:I, I3606)) &gt; 1, "DUPLICATE", "UNIQUE")</f>
        <v>UNIQUE</v>
      </c>
      <c r="L3606" s="18">
        <v>0</v>
      </c>
      <c r="M3606" s="28">
        <v>39</v>
      </c>
      <c r="N3606" s="6">
        <v>64</v>
      </c>
      <c r="O3606" s="30">
        <f t="shared" si="340"/>
        <v>0</v>
      </c>
      <c r="P3606" s="30">
        <f t="shared" si="341"/>
        <v>2496</v>
      </c>
      <c r="Q3606" s="1">
        <f>COUNTIFS($P:$P, "&gt;" &amp; $P3606) + 1</f>
        <v>3053</v>
      </c>
      <c r="R3606" s="63">
        <f>(COUNTIFS($P:$P, "&gt;" &amp; $P3606) + 1) / (COUNTA($I:$I) - 1)</f>
        <v>0.61060000000000003</v>
      </c>
      <c r="S3606" s="23">
        <f>SUMIFS($P:$P, $Q:$Q, "&lt;" &amp; $Q3606)</f>
        <v>185068046</v>
      </c>
    </row>
    <row r="3607" spans="1:19" x14ac:dyDescent="0.25">
      <c r="A3607" s="1">
        <v>3602</v>
      </c>
      <c r="B3607" s="1" t="s">
        <v>2</v>
      </c>
      <c r="C3607" s="1" t="str">
        <f>IF($B3607 = "Production Item", _xlfn.XLOOKUP($A3607, 'Instrument Table'!$J:$J, 'Instrument Table'!$B:$B, $C3606), IF($B3607 = "Service Item", _xlfn.XLOOKUP($A3607, 'Instrument Table'!$I:$I, 'Instrument Table'!$B:$B, $C3606), _xlfn.XLOOKUP($A3607, 'Instrument Table'!$H:$H, 'Instrument Table'!$B:$B, $C3606)))</f>
        <v>Synthesizer</v>
      </c>
      <c r="D3607" s="1" t="str">
        <f>VLOOKUP($C3607, 'Instrument Table'!$B:$C, 2, FALSE)</f>
        <v>Other</v>
      </c>
      <c r="E3607" s="1">
        <f t="shared" si="336"/>
        <v>1</v>
      </c>
      <c r="F3607" s="1">
        <f>_xlfn.XLOOKUP($C3607, 'Instrument Table'!$B:$B, 'Instrument Table'!$A:$A, "")</f>
        <v>61</v>
      </c>
      <c r="G3607" s="1" t="str">
        <f>TEXT(IF($B3607 = "Retail Item", IF((ROW($A3607) - 4504 - _xlfn.XMATCH($C3607, $C$4506:$C$5005, 0, 1)) &lt;= VLOOKUP($C3607, 'Instrument Table'!$B:$D, 3, FALSE), ROW($A3607) - 4504 - _xlfn.XMATCH($C3607, $C$4506:$C$5005, 0, 1), 0), 0), "00")</f>
        <v>00</v>
      </c>
      <c r="H3607" s="1" t="str">
        <f t="shared" si="337"/>
        <v>151</v>
      </c>
      <c r="I3607" s="1" t="str">
        <f t="shared" si="338"/>
        <v>16100-151</v>
      </c>
      <c r="J3607" s="1" t="str">
        <f t="shared" si="339"/>
        <v>Synthesizer production item #151</v>
      </c>
      <c r="K3607" s="1" t="str">
        <f>IF(SUM(COUNTIFS(I:I, I3607)) &gt; 1, "DUPLICATE", "UNIQUE")</f>
        <v>UNIQUE</v>
      </c>
      <c r="L3607" s="18">
        <v>1</v>
      </c>
      <c r="M3607" s="28">
        <v>47</v>
      </c>
      <c r="N3607" s="6">
        <v>49</v>
      </c>
      <c r="O3607" s="30">
        <f t="shared" si="340"/>
        <v>47</v>
      </c>
      <c r="P3607" s="30">
        <f t="shared" si="341"/>
        <v>2303</v>
      </c>
      <c r="Q3607" s="1">
        <f>COUNTIFS($P:$P, "&gt;" &amp; $P3607) + 1</f>
        <v>3130</v>
      </c>
      <c r="R3607" s="63">
        <f>(COUNTIFS($P:$P, "&gt;" &amp; $P3607) + 1) / (COUNTA($I:$I) - 1)</f>
        <v>0.626</v>
      </c>
      <c r="S3607" s="23">
        <f>SUMIFS($P:$P, $Q:$Q, "&lt;" &amp; $Q3607)</f>
        <v>185252302</v>
      </c>
    </row>
    <row r="3608" spans="1:19" x14ac:dyDescent="0.25">
      <c r="A3608" s="1">
        <v>3603</v>
      </c>
      <c r="B3608" s="1" t="s">
        <v>2</v>
      </c>
      <c r="C3608" s="1" t="str">
        <f>IF($B3608 = "Production Item", _xlfn.XLOOKUP($A3608, 'Instrument Table'!$J:$J, 'Instrument Table'!$B:$B, $C3607), IF($B3608 = "Service Item", _xlfn.XLOOKUP($A3608, 'Instrument Table'!$I:$I, 'Instrument Table'!$B:$B, $C3607), _xlfn.XLOOKUP($A3608, 'Instrument Table'!$H:$H, 'Instrument Table'!$B:$B, $C3607)))</f>
        <v>Synthesizer</v>
      </c>
      <c r="D3608" s="1" t="str">
        <f>VLOOKUP($C3608, 'Instrument Table'!$B:$C, 2, FALSE)</f>
        <v>Other</v>
      </c>
      <c r="E3608" s="1">
        <f t="shared" si="336"/>
        <v>1</v>
      </c>
      <c r="F3608" s="1">
        <f>_xlfn.XLOOKUP($C3608, 'Instrument Table'!$B:$B, 'Instrument Table'!$A:$A, "")</f>
        <v>61</v>
      </c>
      <c r="G3608" s="1" t="str">
        <f>TEXT(IF($B3608 = "Retail Item", IF((ROW($A3608) - 4504 - _xlfn.XMATCH($C3608, $C$4506:$C$5005, 0, 1)) &lt;= VLOOKUP($C3608, 'Instrument Table'!$B:$D, 3, FALSE), ROW($A3608) - 4504 - _xlfn.XMATCH($C3608, $C$4506:$C$5005, 0, 1), 0), 0), "00")</f>
        <v>00</v>
      </c>
      <c r="H3608" s="1" t="str">
        <f t="shared" si="337"/>
        <v>152</v>
      </c>
      <c r="I3608" s="1" t="str">
        <f t="shared" si="338"/>
        <v>16100-152</v>
      </c>
      <c r="J3608" s="1" t="str">
        <f t="shared" si="339"/>
        <v>Synthesizer production item #152</v>
      </c>
      <c r="K3608" s="1" t="str">
        <f>IF(SUM(COUNTIFS(I:I, I3608)) &gt; 1, "DUPLICATE", "UNIQUE")</f>
        <v>UNIQUE</v>
      </c>
      <c r="L3608" s="18">
        <v>32</v>
      </c>
      <c r="M3608" s="28">
        <v>95</v>
      </c>
      <c r="N3608" s="6">
        <v>81</v>
      </c>
      <c r="O3608" s="30">
        <f t="shared" si="340"/>
        <v>3040</v>
      </c>
      <c r="P3608" s="30">
        <f t="shared" si="341"/>
        <v>7695</v>
      </c>
      <c r="Q3608" s="1">
        <f>COUNTIFS($P:$P, "&gt;" &amp; $P3608) + 1</f>
        <v>2037</v>
      </c>
      <c r="R3608" s="63">
        <f>(COUNTIFS($P:$P, "&gt;" &amp; $P3608) + 1) / (COUNTA($I:$I) - 1)</f>
        <v>0.40739999999999998</v>
      </c>
      <c r="S3608" s="23">
        <f>SUMIFS($P:$P, $Q:$Q, "&lt;" &amp; $Q3608)</f>
        <v>180285279</v>
      </c>
    </row>
    <row r="3609" spans="1:19" x14ac:dyDescent="0.25">
      <c r="A3609" s="1">
        <v>3604</v>
      </c>
      <c r="B3609" s="1" t="s">
        <v>2</v>
      </c>
      <c r="C3609" s="1" t="str">
        <f>IF($B3609 = "Production Item", _xlfn.XLOOKUP($A3609, 'Instrument Table'!$J:$J, 'Instrument Table'!$B:$B, $C3608), IF($B3609 = "Service Item", _xlfn.XLOOKUP($A3609, 'Instrument Table'!$I:$I, 'Instrument Table'!$B:$B, $C3608), _xlfn.XLOOKUP($A3609, 'Instrument Table'!$H:$H, 'Instrument Table'!$B:$B, $C3608)))</f>
        <v>Synthesizer</v>
      </c>
      <c r="D3609" s="1" t="str">
        <f>VLOOKUP($C3609, 'Instrument Table'!$B:$C, 2, FALSE)</f>
        <v>Other</v>
      </c>
      <c r="E3609" s="1">
        <f t="shared" si="336"/>
        <v>1</v>
      </c>
      <c r="F3609" s="1">
        <f>_xlfn.XLOOKUP($C3609, 'Instrument Table'!$B:$B, 'Instrument Table'!$A:$A, "")</f>
        <v>61</v>
      </c>
      <c r="G3609" s="1" t="str">
        <f>TEXT(IF($B3609 = "Retail Item", IF((ROW($A3609) - 4504 - _xlfn.XMATCH($C3609, $C$4506:$C$5005, 0, 1)) &lt;= VLOOKUP($C3609, 'Instrument Table'!$B:$D, 3, FALSE), ROW($A3609) - 4504 - _xlfn.XMATCH($C3609, $C$4506:$C$5005, 0, 1), 0), 0), "00")</f>
        <v>00</v>
      </c>
      <c r="H3609" s="1" t="str">
        <f t="shared" si="337"/>
        <v>153</v>
      </c>
      <c r="I3609" s="1" t="str">
        <f t="shared" si="338"/>
        <v>16100-153</v>
      </c>
      <c r="J3609" s="1" t="str">
        <f t="shared" si="339"/>
        <v>Synthesizer production item #153</v>
      </c>
      <c r="K3609" s="1" t="str">
        <f>IF(SUM(COUNTIFS(I:I, I3609)) &gt; 1, "DUPLICATE", "UNIQUE")</f>
        <v>UNIQUE</v>
      </c>
      <c r="L3609" s="18">
        <v>0</v>
      </c>
      <c r="M3609" s="28">
        <v>58</v>
      </c>
      <c r="N3609" s="6">
        <v>256</v>
      </c>
      <c r="O3609" s="30">
        <f t="shared" si="340"/>
        <v>0</v>
      </c>
      <c r="P3609" s="30">
        <f t="shared" si="341"/>
        <v>14848</v>
      </c>
      <c r="Q3609" s="1">
        <f>COUNTIFS($P:$P, "&gt;" &amp; $P3609) + 1</f>
        <v>1363</v>
      </c>
      <c r="R3609" s="63">
        <f>(COUNTIFS($P:$P, "&gt;" &amp; $P3609) + 1) / (COUNTA($I:$I) - 1)</f>
        <v>0.27260000000000001</v>
      </c>
      <c r="S3609" s="23">
        <f>SUMIFS($P:$P, $Q:$Q, "&lt;" &amp; $Q3609)</f>
        <v>172936906</v>
      </c>
    </row>
    <row r="3610" spans="1:19" x14ac:dyDescent="0.25">
      <c r="A3610" s="1">
        <v>3605</v>
      </c>
      <c r="B3610" s="1" t="s">
        <v>2</v>
      </c>
      <c r="C3610" s="1" t="str">
        <f>IF($B3610 = "Production Item", _xlfn.XLOOKUP($A3610, 'Instrument Table'!$J:$J, 'Instrument Table'!$B:$B, $C3609), IF($B3610 = "Service Item", _xlfn.XLOOKUP($A3610, 'Instrument Table'!$I:$I, 'Instrument Table'!$B:$B, $C3609), _xlfn.XLOOKUP($A3610, 'Instrument Table'!$H:$H, 'Instrument Table'!$B:$B, $C3609)))</f>
        <v>Synthesizer</v>
      </c>
      <c r="D3610" s="1" t="str">
        <f>VLOOKUP($C3610, 'Instrument Table'!$B:$C, 2, FALSE)</f>
        <v>Other</v>
      </c>
      <c r="E3610" s="1">
        <f t="shared" si="336"/>
        <v>1</v>
      </c>
      <c r="F3610" s="1">
        <f>_xlfn.XLOOKUP($C3610, 'Instrument Table'!$B:$B, 'Instrument Table'!$A:$A, "")</f>
        <v>61</v>
      </c>
      <c r="G3610" s="1" t="str">
        <f>TEXT(IF($B3610 = "Retail Item", IF((ROW($A3610) - 4504 - _xlfn.XMATCH($C3610, $C$4506:$C$5005, 0, 1)) &lt;= VLOOKUP($C3610, 'Instrument Table'!$B:$D, 3, FALSE), ROW($A3610) - 4504 - _xlfn.XMATCH($C3610, $C$4506:$C$5005, 0, 1), 0), 0), "00")</f>
        <v>00</v>
      </c>
      <c r="H3610" s="1" t="str">
        <f t="shared" si="337"/>
        <v>154</v>
      </c>
      <c r="I3610" s="1" t="str">
        <f t="shared" si="338"/>
        <v>16100-154</v>
      </c>
      <c r="J3610" s="1" t="str">
        <f t="shared" si="339"/>
        <v>Synthesizer production item #154</v>
      </c>
      <c r="K3610" s="1" t="str">
        <f>IF(SUM(COUNTIFS(I:I, I3610)) &gt; 1, "DUPLICATE", "UNIQUE")</f>
        <v>UNIQUE</v>
      </c>
      <c r="L3610" s="18">
        <v>1</v>
      </c>
      <c r="M3610" s="28">
        <v>10</v>
      </c>
      <c r="N3610" s="6">
        <v>121</v>
      </c>
      <c r="O3610" s="30">
        <f t="shared" si="340"/>
        <v>10</v>
      </c>
      <c r="P3610" s="30">
        <f t="shared" si="341"/>
        <v>1210</v>
      </c>
      <c r="Q3610" s="1">
        <f>COUNTIFS($P:$P, "&gt;" &amp; $P3610) + 1</f>
        <v>3603</v>
      </c>
      <c r="R3610" s="63">
        <f>(COUNTIFS($P:$P, "&gt;" &amp; $P3610) + 1) / (COUNTA($I:$I) - 1)</f>
        <v>0.72060000000000002</v>
      </c>
      <c r="S3610" s="23">
        <f>SUMIFS($P:$P, $Q:$Q, "&lt;" &amp; $Q3610)</f>
        <v>186073388</v>
      </c>
    </row>
    <row r="3611" spans="1:19" x14ac:dyDescent="0.25">
      <c r="A3611" s="1">
        <v>3606</v>
      </c>
      <c r="B3611" s="1" t="s">
        <v>2</v>
      </c>
      <c r="C3611" s="1" t="str">
        <f>IF($B3611 = "Production Item", _xlfn.XLOOKUP($A3611, 'Instrument Table'!$J:$J, 'Instrument Table'!$B:$B, $C3610), IF($B3611 = "Service Item", _xlfn.XLOOKUP($A3611, 'Instrument Table'!$I:$I, 'Instrument Table'!$B:$B, $C3610), _xlfn.XLOOKUP($A3611, 'Instrument Table'!$H:$H, 'Instrument Table'!$B:$B, $C3610)))</f>
        <v>Synthesizer</v>
      </c>
      <c r="D3611" s="1" t="str">
        <f>VLOOKUP($C3611, 'Instrument Table'!$B:$C, 2, FALSE)</f>
        <v>Other</v>
      </c>
      <c r="E3611" s="1">
        <f t="shared" si="336"/>
        <v>1</v>
      </c>
      <c r="F3611" s="1">
        <f>_xlfn.XLOOKUP($C3611, 'Instrument Table'!$B:$B, 'Instrument Table'!$A:$A, "")</f>
        <v>61</v>
      </c>
      <c r="G3611" s="1" t="str">
        <f>TEXT(IF($B3611 = "Retail Item", IF((ROW($A3611) - 4504 - _xlfn.XMATCH($C3611, $C$4506:$C$5005, 0, 1)) &lt;= VLOOKUP($C3611, 'Instrument Table'!$B:$D, 3, FALSE), ROW($A3611) - 4504 - _xlfn.XMATCH($C3611, $C$4506:$C$5005, 0, 1), 0), 0), "00")</f>
        <v>00</v>
      </c>
      <c r="H3611" s="1" t="str">
        <f t="shared" si="337"/>
        <v>155</v>
      </c>
      <c r="I3611" s="1" t="str">
        <f t="shared" si="338"/>
        <v>16100-155</v>
      </c>
      <c r="J3611" s="1" t="str">
        <f t="shared" si="339"/>
        <v>Synthesizer production item #155</v>
      </c>
      <c r="K3611" s="1" t="str">
        <f>IF(SUM(COUNTIFS(I:I, I3611)) &gt; 1, "DUPLICATE", "UNIQUE")</f>
        <v>UNIQUE</v>
      </c>
      <c r="L3611" s="18">
        <v>16</v>
      </c>
      <c r="M3611" s="28">
        <v>13</v>
      </c>
      <c r="N3611" s="6">
        <v>81</v>
      </c>
      <c r="O3611" s="30">
        <f t="shared" si="340"/>
        <v>208</v>
      </c>
      <c r="P3611" s="30">
        <f t="shared" si="341"/>
        <v>1053</v>
      </c>
      <c r="Q3611" s="1">
        <f>COUNTIFS($P:$P, "&gt;" &amp; $P3611) + 1</f>
        <v>3662</v>
      </c>
      <c r="R3611" s="63">
        <f>(COUNTIFS($P:$P, "&gt;" &amp; $P3611) + 1) / (COUNTA($I:$I) - 1)</f>
        <v>0.73240000000000005</v>
      </c>
      <c r="S3611" s="23">
        <f>SUMIFS($P:$P, $Q:$Q, "&lt;" &amp; $Q3611)</f>
        <v>186140728</v>
      </c>
    </row>
    <row r="3612" spans="1:19" x14ac:dyDescent="0.25">
      <c r="A3612" s="1">
        <v>3607</v>
      </c>
      <c r="B3612" s="1" t="s">
        <v>2</v>
      </c>
      <c r="C3612" s="1" t="str">
        <f>IF($B3612 = "Production Item", _xlfn.XLOOKUP($A3612, 'Instrument Table'!$J:$J, 'Instrument Table'!$B:$B, $C3611), IF($B3612 = "Service Item", _xlfn.XLOOKUP($A3612, 'Instrument Table'!$I:$I, 'Instrument Table'!$B:$B, $C3611), _xlfn.XLOOKUP($A3612, 'Instrument Table'!$H:$H, 'Instrument Table'!$B:$B, $C3611)))</f>
        <v>Synthesizer</v>
      </c>
      <c r="D3612" s="1" t="str">
        <f>VLOOKUP($C3612, 'Instrument Table'!$B:$C, 2, FALSE)</f>
        <v>Other</v>
      </c>
      <c r="E3612" s="1">
        <f t="shared" si="336"/>
        <v>1</v>
      </c>
      <c r="F3612" s="1">
        <f>_xlfn.XLOOKUP($C3612, 'Instrument Table'!$B:$B, 'Instrument Table'!$A:$A, "")</f>
        <v>61</v>
      </c>
      <c r="G3612" s="1" t="str">
        <f>TEXT(IF($B3612 = "Retail Item", IF((ROW($A3612) - 4504 - _xlfn.XMATCH($C3612, $C$4506:$C$5005, 0, 1)) &lt;= VLOOKUP($C3612, 'Instrument Table'!$B:$D, 3, FALSE), ROW($A3612) - 4504 - _xlfn.XMATCH($C3612, $C$4506:$C$5005, 0, 1), 0), 0), "00")</f>
        <v>00</v>
      </c>
      <c r="H3612" s="1" t="str">
        <f t="shared" si="337"/>
        <v>156</v>
      </c>
      <c r="I3612" s="1" t="str">
        <f t="shared" si="338"/>
        <v>16100-156</v>
      </c>
      <c r="J3612" s="1" t="str">
        <f t="shared" si="339"/>
        <v>Synthesizer production item #156</v>
      </c>
      <c r="K3612" s="1" t="str">
        <f>IF(SUM(COUNTIFS(I:I, I3612)) &gt; 1, "DUPLICATE", "UNIQUE")</f>
        <v>UNIQUE</v>
      </c>
      <c r="L3612" s="18">
        <v>0</v>
      </c>
      <c r="M3612" s="28">
        <v>14</v>
      </c>
      <c r="N3612" s="6">
        <v>400</v>
      </c>
      <c r="O3612" s="30">
        <f t="shared" si="340"/>
        <v>0</v>
      </c>
      <c r="P3612" s="30">
        <f t="shared" si="341"/>
        <v>5600</v>
      </c>
      <c r="Q3612" s="1">
        <f>COUNTIFS($P:$P, "&gt;" &amp; $P3612) + 1</f>
        <v>2334</v>
      </c>
      <c r="R3612" s="63">
        <f>(COUNTIFS($P:$P, "&gt;" &amp; $P3612) + 1) / (COUNTA($I:$I) - 1)</f>
        <v>0.46679999999999999</v>
      </c>
      <c r="S3612" s="23">
        <f>SUMIFS($P:$P, $Q:$Q, "&lt;" &amp; $Q3612)</f>
        <v>182258520</v>
      </c>
    </row>
    <row r="3613" spans="1:19" x14ac:dyDescent="0.25">
      <c r="A3613" s="1">
        <v>3608</v>
      </c>
      <c r="B3613" s="1" t="s">
        <v>2</v>
      </c>
      <c r="C3613" s="1" t="str">
        <f>IF($B3613 = "Production Item", _xlfn.XLOOKUP($A3613, 'Instrument Table'!$J:$J, 'Instrument Table'!$B:$B, $C3612), IF($B3613 = "Service Item", _xlfn.XLOOKUP($A3613, 'Instrument Table'!$I:$I, 'Instrument Table'!$B:$B, $C3612), _xlfn.XLOOKUP($A3613, 'Instrument Table'!$H:$H, 'Instrument Table'!$B:$B, $C3612)))</f>
        <v>Synthesizer</v>
      </c>
      <c r="D3613" s="1" t="str">
        <f>VLOOKUP($C3613, 'Instrument Table'!$B:$C, 2, FALSE)</f>
        <v>Other</v>
      </c>
      <c r="E3613" s="1">
        <f t="shared" si="336"/>
        <v>1</v>
      </c>
      <c r="F3613" s="1">
        <f>_xlfn.XLOOKUP($C3613, 'Instrument Table'!$B:$B, 'Instrument Table'!$A:$A, "")</f>
        <v>61</v>
      </c>
      <c r="G3613" s="1" t="str">
        <f>TEXT(IF($B3613 = "Retail Item", IF((ROW($A3613) - 4504 - _xlfn.XMATCH($C3613, $C$4506:$C$5005, 0, 1)) &lt;= VLOOKUP($C3613, 'Instrument Table'!$B:$D, 3, FALSE), ROW($A3613) - 4504 - _xlfn.XMATCH($C3613, $C$4506:$C$5005, 0, 1), 0), 0), "00")</f>
        <v>00</v>
      </c>
      <c r="H3613" s="1" t="str">
        <f t="shared" si="337"/>
        <v>157</v>
      </c>
      <c r="I3613" s="1" t="str">
        <f t="shared" si="338"/>
        <v>16100-157</v>
      </c>
      <c r="J3613" s="1" t="str">
        <f t="shared" si="339"/>
        <v>Synthesizer production item #157</v>
      </c>
      <c r="K3613" s="1" t="str">
        <f>IF(SUM(COUNTIFS(I:I, I3613)) &gt; 1, "DUPLICATE", "UNIQUE")</f>
        <v>UNIQUE</v>
      </c>
      <c r="L3613" s="18">
        <v>1</v>
      </c>
      <c r="M3613" s="28">
        <v>92</v>
      </c>
      <c r="N3613" s="6">
        <v>25</v>
      </c>
      <c r="O3613" s="30">
        <f t="shared" si="340"/>
        <v>92</v>
      </c>
      <c r="P3613" s="30">
        <f t="shared" si="341"/>
        <v>2300</v>
      </c>
      <c r="Q3613" s="1">
        <f>COUNTIFS($P:$P, "&gt;" &amp; $P3613) + 1</f>
        <v>3131</v>
      </c>
      <c r="R3613" s="63">
        <f>(COUNTIFS($P:$P, "&gt;" &amp; $P3613) + 1) / (COUNTA($I:$I) - 1)</f>
        <v>0.62619999999999998</v>
      </c>
      <c r="S3613" s="23">
        <f>SUMIFS($P:$P, $Q:$Q, "&lt;" &amp; $Q3613)</f>
        <v>185254605</v>
      </c>
    </row>
    <row r="3614" spans="1:19" x14ac:dyDescent="0.25">
      <c r="A3614" s="1">
        <v>3609</v>
      </c>
      <c r="B3614" s="1" t="s">
        <v>2</v>
      </c>
      <c r="C3614" s="1" t="str">
        <f>IF($B3614 = "Production Item", _xlfn.XLOOKUP($A3614, 'Instrument Table'!$J:$J, 'Instrument Table'!$B:$B, $C3613), IF($B3614 = "Service Item", _xlfn.XLOOKUP($A3614, 'Instrument Table'!$I:$I, 'Instrument Table'!$B:$B, $C3613), _xlfn.XLOOKUP($A3614, 'Instrument Table'!$H:$H, 'Instrument Table'!$B:$B, $C3613)))</f>
        <v>Synthesizer</v>
      </c>
      <c r="D3614" s="1" t="str">
        <f>VLOOKUP($C3614, 'Instrument Table'!$B:$C, 2, FALSE)</f>
        <v>Other</v>
      </c>
      <c r="E3614" s="1">
        <f t="shared" si="336"/>
        <v>1</v>
      </c>
      <c r="F3614" s="1">
        <f>_xlfn.XLOOKUP($C3614, 'Instrument Table'!$B:$B, 'Instrument Table'!$A:$A, "")</f>
        <v>61</v>
      </c>
      <c r="G3614" s="1" t="str">
        <f>TEXT(IF($B3614 = "Retail Item", IF((ROW($A3614) - 4504 - _xlfn.XMATCH($C3614, $C$4506:$C$5005, 0, 1)) &lt;= VLOOKUP($C3614, 'Instrument Table'!$B:$D, 3, FALSE), ROW($A3614) - 4504 - _xlfn.XMATCH($C3614, $C$4506:$C$5005, 0, 1), 0), 0), "00")</f>
        <v>00</v>
      </c>
      <c r="H3614" s="1" t="str">
        <f t="shared" si="337"/>
        <v>158</v>
      </c>
      <c r="I3614" s="1" t="str">
        <f t="shared" si="338"/>
        <v>16100-158</v>
      </c>
      <c r="J3614" s="1" t="str">
        <f t="shared" si="339"/>
        <v>Synthesizer production item #158</v>
      </c>
      <c r="K3614" s="1" t="str">
        <f>IF(SUM(COUNTIFS(I:I, I3614)) &gt; 1, "DUPLICATE", "UNIQUE")</f>
        <v>UNIQUE</v>
      </c>
      <c r="L3614" s="18">
        <v>0</v>
      </c>
      <c r="M3614" s="28">
        <v>21</v>
      </c>
      <c r="N3614" s="6">
        <v>169</v>
      </c>
      <c r="O3614" s="30">
        <f t="shared" si="340"/>
        <v>0</v>
      </c>
      <c r="P3614" s="30">
        <f t="shared" si="341"/>
        <v>3549</v>
      </c>
      <c r="Q3614" s="1">
        <f>COUNTIFS($P:$P, "&gt;" &amp; $P3614) + 1</f>
        <v>2756</v>
      </c>
      <c r="R3614" s="63">
        <f>(COUNTIFS($P:$P, "&gt;" &amp; $P3614) + 1) / (COUNTA($I:$I) - 1)</f>
        <v>0.55120000000000002</v>
      </c>
      <c r="S3614" s="23">
        <f>SUMIFS($P:$P, $Q:$Q, "&lt;" &amp; $Q3614)</f>
        <v>184172230</v>
      </c>
    </row>
    <row r="3615" spans="1:19" x14ac:dyDescent="0.25">
      <c r="A3615" s="1">
        <v>3610</v>
      </c>
      <c r="B3615" s="1" t="s">
        <v>2</v>
      </c>
      <c r="C3615" s="1" t="str">
        <f>IF($B3615 = "Production Item", _xlfn.XLOOKUP($A3615, 'Instrument Table'!$J:$J, 'Instrument Table'!$B:$B, $C3614), IF($B3615 = "Service Item", _xlfn.XLOOKUP($A3615, 'Instrument Table'!$I:$I, 'Instrument Table'!$B:$B, $C3614), _xlfn.XLOOKUP($A3615, 'Instrument Table'!$H:$H, 'Instrument Table'!$B:$B, $C3614)))</f>
        <v>Synthesizer</v>
      </c>
      <c r="D3615" s="1" t="str">
        <f>VLOOKUP($C3615, 'Instrument Table'!$B:$C, 2, FALSE)</f>
        <v>Other</v>
      </c>
      <c r="E3615" s="1">
        <f t="shared" si="336"/>
        <v>1</v>
      </c>
      <c r="F3615" s="1">
        <f>_xlfn.XLOOKUP($C3615, 'Instrument Table'!$B:$B, 'Instrument Table'!$A:$A, "")</f>
        <v>61</v>
      </c>
      <c r="G3615" s="1" t="str">
        <f>TEXT(IF($B3615 = "Retail Item", IF((ROW($A3615) - 4504 - _xlfn.XMATCH($C3615, $C$4506:$C$5005, 0, 1)) &lt;= VLOOKUP($C3615, 'Instrument Table'!$B:$D, 3, FALSE), ROW($A3615) - 4504 - _xlfn.XMATCH($C3615, $C$4506:$C$5005, 0, 1), 0), 0), "00")</f>
        <v>00</v>
      </c>
      <c r="H3615" s="1" t="str">
        <f t="shared" si="337"/>
        <v>159</v>
      </c>
      <c r="I3615" s="1" t="str">
        <f t="shared" si="338"/>
        <v>16100-159</v>
      </c>
      <c r="J3615" s="1" t="str">
        <f t="shared" si="339"/>
        <v>Synthesizer production item #159</v>
      </c>
      <c r="K3615" s="1" t="str">
        <f>IF(SUM(COUNTIFS(I:I, I3615)) &gt; 1, "DUPLICATE", "UNIQUE")</f>
        <v>UNIQUE</v>
      </c>
      <c r="L3615" s="18">
        <v>1</v>
      </c>
      <c r="M3615" s="28">
        <v>52</v>
      </c>
      <c r="N3615" s="6">
        <v>64</v>
      </c>
      <c r="O3615" s="30">
        <f t="shared" si="340"/>
        <v>52</v>
      </c>
      <c r="P3615" s="30">
        <f t="shared" si="341"/>
        <v>3328</v>
      </c>
      <c r="Q3615" s="1">
        <f>COUNTIFS($P:$P, "&gt;" &amp; $P3615) + 1</f>
        <v>2820</v>
      </c>
      <c r="R3615" s="63">
        <f>(COUNTIFS($P:$P, "&gt;" &amp; $P3615) + 1) / (COUNTA($I:$I) - 1)</f>
        <v>0.56399999999999995</v>
      </c>
      <c r="S3615" s="23">
        <f>SUMIFS($P:$P, $Q:$Q, "&lt;" &amp; $Q3615)</f>
        <v>184393383</v>
      </c>
    </row>
    <row r="3616" spans="1:19" x14ac:dyDescent="0.25">
      <c r="A3616" s="1">
        <v>3611</v>
      </c>
      <c r="B3616" s="1" t="s">
        <v>2</v>
      </c>
      <c r="C3616" s="1" t="str">
        <f>IF($B3616 = "Production Item", _xlfn.XLOOKUP($A3616, 'Instrument Table'!$J:$J, 'Instrument Table'!$B:$B, $C3615), IF($B3616 = "Service Item", _xlfn.XLOOKUP($A3616, 'Instrument Table'!$I:$I, 'Instrument Table'!$B:$B, $C3615), _xlfn.XLOOKUP($A3616, 'Instrument Table'!$H:$H, 'Instrument Table'!$B:$B, $C3615)))</f>
        <v>Synthesizer</v>
      </c>
      <c r="D3616" s="1" t="str">
        <f>VLOOKUP($C3616, 'Instrument Table'!$B:$C, 2, FALSE)</f>
        <v>Other</v>
      </c>
      <c r="E3616" s="1">
        <f t="shared" si="336"/>
        <v>1</v>
      </c>
      <c r="F3616" s="1">
        <f>_xlfn.XLOOKUP($C3616, 'Instrument Table'!$B:$B, 'Instrument Table'!$A:$A, "")</f>
        <v>61</v>
      </c>
      <c r="G3616" s="1" t="str">
        <f>TEXT(IF($B3616 = "Retail Item", IF((ROW($A3616) - 4504 - _xlfn.XMATCH($C3616, $C$4506:$C$5005, 0, 1)) &lt;= VLOOKUP($C3616, 'Instrument Table'!$B:$D, 3, FALSE), ROW($A3616) - 4504 - _xlfn.XMATCH($C3616, $C$4506:$C$5005, 0, 1), 0), 0), "00")</f>
        <v>00</v>
      </c>
      <c r="H3616" s="1" t="str">
        <f t="shared" si="337"/>
        <v>160</v>
      </c>
      <c r="I3616" s="1" t="str">
        <f t="shared" si="338"/>
        <v>16100-160</v>
      </c>
      <c r="J3616" s="1" t="str">
        <f t="shared" si="339"/>
        <v>Synthesizer production item #160</v>
      </c>
      <c r="K3616" s="1" t="str">
        <f>IF(SUM(COUNTIFS(I:I, I3616)) &gt; 1, "DUPLICATE", "UNIQUE")</f>
        <v>UNIQUE</v>
      </c>
      <c r="L3616" s="18">
        <v>4</v>
      </c>
      <c r="M3616" s="28">
        <v>38</v>
      </c>
      <c r="N3616" s="6">
        <v>0</v>
      </c>
      <c r="O3616" s="30">
        <f t="shared" si="340"/>
        <v>152</v>
      </c>
      <c r="P3616" s="30">
        <f t="shared" si="341"/>
        <v>0</v>
      </c>
      <c r="Q3616" s="1">
        <f>COUNTIFS($P:$P, "&gt;" &amp; $P3616) + 1</f>
        <v>4746</v>
      </c>
      <c r="R3616" s="63">
        <f>(COUNTIFS($P:$P, "&gt;" &amp; $P3616) + 1) / (COUNTA($I:$I) - 1)</f>
        <v>0.94920000000000004</v>
      </c>
      <c r="S3616" s="23">
        <f>SUMIFS($P:$P, $Q:$Q, "&lt;" &amp; $Q3616)</f>
        <v>186547861</v>
      </c>
    </row>
    <row r="3617" spans="1:19" x14ac:dyDescent="0.25">
      <c r="A3617" s="1">
        <v>3612</v>
      </c>
      <c r="B3617" s="1" t="s">
        <v>2</v>
      </c>
      <c r="C3617" s="1" t="str">
        <f>IF($B3617 = "Production Item", _xlfn.XLOOKUP($A3617, 'Instrument Table'!$J:$J, 'Instrument Table'!$B:$B, $C3616), IF($B3617 = "Service Item", _xlfn.XLOOKUP($A3617, 'Instrument Table'!$I:$I, 'Instrument Table'!$B:$B, $C3616), _xlfn.XLOOKUP($A3617, 'Instrument Table'!$H:$H, 'Instrument Table'!$B:$B, $C3616)))</f>
        <v>Synthesizer</v>
      </c>
      <c r="D3617" s="1" t="str">
        <f>VLOOKUP($C3617, 'Instrument Table'!$B:$C, 2, FALSE)</f>
        <v>Other</v>
      </c>
      <c r="E3617" s="1">
        <f t="shared" si="336"/>
        <v>1</v>
      </c>
      <c r="F3617" s="1">
        <f>_xlfn.XLOOKUP($C3617, 'Instrument Table'!$B:$B, 'Instrument Table'!$A:$A, "")</f>
        <v>61</v>
      </c>
      <c r="G3617" s="1" t="str">
        <f>TEXT(IF($B3617 = "Retail Item", IF((ROW($A3617) - 4504 - _xlfn.XMATCH($C3617, $C$4506:$C$5005, 0, 1)) &lt;= VLOOKUP($C3617, 'Instrument Table'!$B:$D, 3, FALSE), ROW($A3617) - 4504 - _xlfn.XMATCH($C3617, $C$4506:$C$5005, 0, 1), 0), 0), "00")</f>
        <v>00</v>
      </c>
      <c r="H3617" s="1" t="str">
        <f t="shared" si="337"/>
        <v>161</v>
      </c>
      <c r="I3617" s="1" t="str">
        <f t="shared" si="338"/>
        <v>16100-161</v>
      </c>
      <c r="J3617" s="1" t="str">
        <f t="shared" si="339"/>
        <v>Synthesizer production item #161</v>
      </c>
      <c r="K3617" s="1" t="str">
        <f>IF(SUM(COUNTIFS(I:I, I3617)) &gt; 1, "DUPLICATE", "UNIQUE")</f>
        <v>UNIQUE</v>
      </c>
      <c r="L3617" s="18">
        <v>16</v>
      </c>
      <c r="M3617" s="28">
        <v>28</v>
      </c>
      <c r="N3617" s="6">
        <v>1</v>
      </c>
      <c r="O3617" s="30">
        <f t="shared" si="340"/>
        <v>448</v>
      </c>
      <c r="P3617" s="30">
        <f t="shared" si="341"/>
        <v>28</v>
      </c>
      <c r="Q3617" s="1">
        <f>COUNTIFS($P:$P, "&gt;" &amp; $P3617) + 1</f>
        <v>4673</v>
      </c>
      <c r="R3617" s="63">
        <f>(COUNTIFS($P:$P, "&gt;" &amp; $P3617) + 1) / (COUNTA($I:$I) - 1)</f>
        <v>0.93459999999999999</v>
      </c>
      <c r="S3617" s="23">
        <f>SUMIFS($P:$P, $Q:$Q, "&lt;" &amp; $Q3617)</f>
        <v>186546776</v>
      </c>
    </row>
    <row r="3618" spans="1:19" x14ac:dyDescent="0.25">
      <c r="A3618" s="1">
        <v>3613</v>
      </c>
      <c r="B3618" s="1" t="s">
        <v>2</v>
      </c>
      <c r="C3618" s="1" t="str">
        <f>IF($B3618 = "Production Item", _xlfn.XLOOKUP($A3618, 'Instrument Table'!$J:$J, 'Instrument Table'!$B:$B, $C3617), IF($B3618 = "Service Item", _xlfn.XLOOKUP($A3618, 'Instrument Table'!$I:$I, 'Instrument Table'!$B:$B, $C3617), _xlfn.XLOOKUP($A3618, 'Instrument Table'!$H:$H, 'Instrument Table'!$B:$B, $C3617)))</f>
        <v>Synthesizer</v>
      </c>
      <c r="D3618" s="1" t="str">
        <f>VLOOKUP($C3618, 'Instrument Table'!$B:$C, 2, FALSE)</f>
        <v>Other</v>
      </c>
      <c r="E3618" s="1">
        <f t="shared" si="336"/>
        <v>1</v>
      </c>
      <c r="F3618" s="1">
        <f>_xlfn.XLOOKUP($C3618, 'Instrument Table'!$B:$B, 'Instrument Table'!$A:$A, "")</f>
        <v>61</v>
      </c>
      <c r="G3618" s="1" t="str">
        <f>TEXT(IF($B3618 = "Retail Item", IF((ROW($A3618) - 4504 - _xlfn.XMATCH($C3618, $C$4506:$C$5005, 0, 1)) &lt;= VLOOKUP($C3618, 'Instrument Table'!$B:$D, 3, FALSE), ROW($A3618) - 4504 - _xlfn.XMATCH($C3618, $C$4506:$C$5005, 0, 1), 0), 0), "00")</f>
        <v>00</v>
      </c>
      <c r="H3618" s="1" t="str">
        <f t="shared" si="337"/>
        <v>162</v>
      </c>
      <c r="I3618" s="1" t="str">
        <f t="shared" si="338"/>
        <v>16100-162</v>
      </c>
      <c r="J3618" s="1" t="str">
        <f t="shared" si="339"/>
        <v>Synthesizer production item #162</v>
      </c>
      <c r="K3618" s="1" t="str">
        <f>IF(SUM(COUNTIFS(I:I, I3618)) &gt; 1, "DUPLICATE", "UNIQUE")</f>
        <v>UNIQUE</v>
      </c>
      <c r="L3618" s="18">
        <v>2</v>
      </c>
      <c r="M3618" s="28">
        <v>81</v>
      </c>
      <c r="N3618" s="6">
        <v>25</v>
      </c>
      <c r="O3618" s="30">
        <f t="shared" si="340"/>
        <v>162</v>
      </c>
      <c r="P3618" s="30">
        <f t="shared" si="341"/>
        <v>2025</v>
      </c>
      <c r="Q3618" s="1">
        <f>COUNTIFS($P:$P, "&gt;" &amp; $P3618) + 1</f>
        <v>3241</v>
      </c>
      <c r="R3618" s="63">
        <f>(COUNTIFS($P:$P, "&gt;" &amp; $P3618) + 1) / (COUNTA($I:$I) - 1)</f>
        <v>0.6482</v>
      </c>
      <c r="S3618" s="23">
        <f>SUMIFS($P:$P, $Q:$Q, "&lt;" &amp; $Q3618)</f>
        <v>185492863</v>
      </c>
    </row>
    <row r="3619" spans="1:19" x14ac:dyDescent="0.25">
      <c r="A3619" s="1">
        <v>3614</v>
      </c>
      <c r="B3619" s="1" t="s">
        <v>2</v>
      </c>
      <c r="C3619" s="1" t="str">
        <f>IF($B3619 = "Production Item", _xlfn.XLOOKUP($A3619, 'Instrument Table'!$J:$J, 'Instrument Table'!$B:$B, $C3618), IF($B3619 = "Service Item", _xlfn.XLOOKUP($A3619, 'Instrument Table'!$I:$I, 'Instrument Table'!$B:$B, $C3618), _xlfn.XLOOKUP($A3619, 'Instrument Table'!$H:$H, 'Instrument Table'!$B:$B, $C3618)))</f>
        <v>Synthesizer</v>
      </c>
      <c r="D3619" s="1" t="str">
        <f>VLOOKUP($C3619, 'Instrument Table'!$B:$C, 2, FALSE)</f>
        <v>Other</v>
      </c>
      <c r="E3619" s="1">
        <f t="shared" si="336"/>
        <v>1</v>
      </c>
      <c r="F3619" s="1">
        <f>_xlfn.XLOOKUP($C3619, 'Instrument Table'!$B:$B, 'Instrument Table'!$A:$A, "")</f>
        <v>61</v>
      </c>
      <c r="G3619" s="1" t="str">
        <f>TEXT(IF($B3619 = "Retail Item", IF((ROW($A3619) - 4504 - _xlfn.XMATCH($C3619, $C$4506:$C$5005, 0, 1)) &lt;= VLOOKUP($C3619, 'Instrument Table'!$B:$D, 3, FALSE), ROW($A3619) - 4504 - _xlfn.XMATCH($C3619, $C$4506:$C$5005, 0, 1), 0), 0), "00")</f>
        <v>00</v>
      </c>
      <c r="H3619" s="1" t="str">
        <f t="shared" si="337"/>
        <v>163</v>
      </c>
      <c r="I3619" s="1" t="str">
        <f t="shared" si="338"/>
        <v>16100-163</v>
      </c>
      <c r="J3619" s="1" t="str">
        <f t="shared" si="339"/>
        <v>Synthesizer production item #163</v>
      </c>
      <c r="K3619" s="1" t="str">
        <f>IF(SUM(COUNTIFS(I:I, I3619)) &gt; 1, "DUPLICATE", "UNIQUE")</f>
        <v>UNIQUE</v>
      </c>
      <c r="L3619" s="18">
        <v>8</v>
      </c>
      <c r="M3619" s="28">
        <v>73</v>
      </c>
      <c r="N3619" s="6">
        <v>36</v>
      </c>
      <c r="O3619" s="30">
        <f t="shared" si="340"/>
        <v>584</v>
      </c>
      <c r="P3619" s="30">
        <f t="shared" si="341"/>
        <v>2628</v>
      </c>
      <c r="Q3619" s="1">
        <f>COUNTIFS($P:$P, "&gt;" &amp; $P3619) + 1</f>
        <v>3001</v>
      </c>
      <c r="R3619" s="63">
        <f>(COUNTIFS($P:$P, "&gt;" &amp; $P3619) + 1) / (COUNTA($I:$I) - 1)</f>
        <v>0.60019999999999996</v>
      </c>
      <c r="S3619" s="23">
        <f>SUMIFS($P:$P, $Q:$Q, "&lt;" &amp; $Q3619)</f>
        <v>184934746</v>
      </c>
    </row>
    <row r="3620" spans="1:19" x14ac:dyDescent="0.25">
      <c r="A3620" s="1">
        <v>3615</v>
      </c>
      <c r="B3620" s="1" t="s">
        <v>2</v>
      </c>
      <c r="C3620" s="1" t="str">
        <f>IF($B3620 = "Production Item", _xlfn.XLOOKUP($A3620, 'Instrument Table'!$J:$J, 'Instrument Table'!$B:$B, $C3619), IF($B3620 = "Service Item", _xlfn.XLOOKUP($A3620, 'Instrument Table'!$I:$I, 'Instrument Table'!$B:$B, $C3619), _xlfn.XLOOKUP($A3620, 'Instrument Table'!$H:$H, 'Instrument Table'!$B:$B, $C3619)))</f>
        <v>Synthesizer</v>
      </c>
      <c r="D3620" s="1" t="str">
        <f>VLOOKUP($C3620, 'Instrument Table'!$B:$C, 2, FALSE)</f>
        <v>Other</v>
      </c>
      <c r="E3620" s="1">
        <f t="shared" si="336"/>
        <v>1</v>
      </c>
      <c r="F3620" s="1">
        <f>_xlfn.XLOOKUP($C3620, 'Instrument Table'!$B:$B, 'Instrument Table'!$A:$A, "")</f>
        <v>61</v>
      </c>
      <c r="G3620" s="1" t="str">
        <f>TEXT(IF($B3620 = "Retail Item", IF((ROW($A3620) - 4504 - _xlfn.XMATCH($C3620, $C$4506:$C$5005, 0, 1)) &lt;= VLOOKUP($C3620, 'Instrument Table'!$B:$D, 3, FALSE), ROW($A3620) - 4504 - _xlfn.XMATCH($C3620, $C$4506:$C$5005, 0, 1), 0), 0), "00")</f>
        <v>00</v>
      </c>
      <c r="H3620" s="1" t="str">
        <f t="shared" si="337"/>
        <v>164</v>
      </c>
      <c r="I3620" s="1" t="str">
        <f t="shared" si="338"/>
        <v>16100-164</v>
      </c>
      <c r="J3620" s="1" t="str">
        <f t="shared" si="339"/>
        <v>Synthesizer production item #164</v>
      </c>
      <c r="K3620" s="1" t="str">
        <f>IF(SUM(COUNTIFS(I:I, I3620)) &gt; 1, "DUPLICATE", "UNIQUE")</f>
        <v>UNIQUE</v>
      </c>
      <c r="L3620" s="18">
        <v>1</v>
      </c>
      <c r="M3620" s="28">
        <v>80</v>
      </c>
      <c r="N3620" s="6">
        <v>0</v>
      </c>
      <c r="O3620" s="30">
        <f t="shared" si="340"/>
        <v>80</v>
      </c>
      <c r="P3620" s="30">
        <f t="shared" si="341"/>
        <v>0</v>
      </c>
      <c r="Q3620" s="1">
        <f>COUNTIFS($P:$P, "&gt;" &amp; $P3620) + 1</f>
        <v>4746</v>
      </c>
      <c r="R3620" s="63">
        <f>(COUNTIFS($P:$P, "&gt;" &amp; $P3620) + 1) / (COUNTA($I:$I) - 1)</f>
        <v>0.94920000000000004</v>
      </c>
      <c r="S3620" s="23">
        <f>SUMIFS($P:$P, $Q:$Q, "&lt;" &amp; $Q3620)</f>
        <v>186547861</v>
      </c>
    </row>
    <row r="3621" spans="1:19" x14ac:dyDescent="0.25">
      <c r="A3621" s="1">
        <v>3616</v>
      </c>
      <c r="B3621" s="1" t="s">
        <v>2</v>
      </c>
      <c r="C3621" s="1" t="str">
        <f>IF($B3621 = "Production Item", _xlfn.XLOOKUP($A3621, 'Instrument Table'!$J:$J, 'Instrument Table'!$B:$B, $C3620), IF($B3621 = "Service Item", _xlfn.XLOOKUP($A3621, 'Instrument Table'!$I:$I, 'Instrument Table'!$B:$B, $C3620), _xlfn.XLOOKUP($A3621, 'Instrument Table'!$H:$H, 'Instrument Table'!$B:$B, $C3620)))</f>
        <v>Synthesizer</v>
      </c>
      <c r="D3621" s="1" t="str">
        <f>VLOOKUP($C3621, 'Instrument Table'!$B:$C, 2, FALSE)</f>
        <v>Other</v>
      </c>
      <c r="E3621" s="1">
        <f t="shared" si="336"/>
        <v>1</v>
      </c>
      <c r="F3621" s="1">
        <f>_xlfn.XLOOKUP($C3621, 'Instrument Table'!$B:$B, 'Instrument Table'!$A:$A, "")</f>
        <v>61</v>
      </c>
      <c r="G3621" s="1" t="str">
        <f>TEXT(IF($B3621 = "Retail Item", IF((ROW($A3621) - 4504 - _xlfn.XMATCH($C3621, $C$4506:$C$5005, 0, 1)) &lt;= VLOOKUP($C3621, 'Instrument Table'!$B:$D, 3, FALSE), ROW($A3621) - 4504 - _xlfn.XMATCH($C3621, $C$4506:$C$5005, 0, 1), 0), 0), "00")</f>
        <v>00</v>
      </c>
      <c r="H3621" s="1" t="str">
        <f t="shared" si="337"/>
        <v>165</v>
      </c>
      <c r="I3621" s="1" t="str">
        <f t="shared" si="338"/>
        <v>16100-165</v>
      </c>
      <c r="J3621" s="1" t="str">
        <f t="shared" si="339"/>
        <v>Synthesizer production item #165</v>
      </c>
      <c r="K3621" s="1" t="str">
        <f>IF(SUM(COUNTIFS(I:I, I3621)) &gt; 1, "DUPLICATE", "UNIQUE")</f>
        <v>UNIQUE</v>
      </c>
      <c r="L3621" s="18">
        <v>4</v>
      </c>
      <c r="M3621" s="28">
        <v>43</v>
      </c>
      <c r="N3621" s="6">
        <v>400</v>
      </c>
      <c r="O3621" s="30">
        <f t="shared" si="340"/>
        <v>172</v>
      </c>
      <c r="P3621" s="30">
        <f t="shared" si="341"/>
        <v>17200</v>
      </c>
      <c r="Q3621" s="1">
        <f>COUNTIFS($P:$P, "&gt;" &amp; $P3621) + 1</f>
        <v>1204</v>
      </c>
      <c r="R3621" s="63">
        <f>(COUNTIFS($P:$P, "&gt;" &amp; $P3621) + 1) / (COUNTA($I:$I) - 1)</f>
        <v>0.24079999999999999</v>
      </c>
      <c r="S3621" s="23">
        <f>SUMIFS($P:$P, $Q:$Q, "&lt;" &amp; $Q3621)</f>
        <v>170395357</v>
      </c>
    </row>
    <row r="3622" spans="1:19" x14ac:dyDescent="0.25">
      <c r="A3622" s="1">
        <v>3617</v>
      </c>
      <c r="B3622" s="1" t="s">
        <v>2</v>
      </c>
      <c r="C3622" s="1" t="str">
        <f>IF($B3622 = "Production Item", _xlfn.XLOOKUP($A3622, 'Instrument Table'!$J:$J, 'Instrument Table'!$B:$B, $C3621), IF($B3622 = "Service Item", _xlfn.XLOOKUP($A3622, 'Instrument Table'!$I:$I, 'Instrument Table'!$B:$B, $C3621), _xlfn.XLOOKUP($A3622, 'Instrument Table'!$H:$H, 'Instrument Table'!$B:$B, $C3621)))</f>
        <v>Synthesizer</v>
      </c>
      <c r="D3622" s="1" t="str">
        <f>VLOOKUP($C3622, 'Instrument Table'!$B:$C, 2, FALSE)</f>
        <v>Other</v>
      </c>
      <c r="E3622" s="1">
        <f t="shared" si="336"/>
        <v>1</v>
      </c>
      <c r="F3622" s="1">
        <f>_xlfn.XLOOKUP($C3622, 'Instrument Table'!$B:$B, 'Instrument Table'!$A:$A, "")</f>
        <v>61</v>
      </c>
      <c r="G3622" s="1" t="str">
        <f>TEXT(IF($B3622 = "Retail Item", IF((ROW($A3622) - 4504 - _xlfn.XMATCH($C3622, $C$4506:$C$5005, 0, 1)) &lt;= VLOOKUP($C3622, 'Instrument Table'!$B:$D, 3, FALSE), ROW($A3622) - 4504 - _xlfn.XMATCH($C3622, $C$4506:$C$5005, 0, 1), 0), 0), "00")</f>
        <v>00</v>
      </c>
      <c r="H3622" s="1" t="str">
        <f t="shared" si="337"/>
        <v>166</v>
      </c>
      <c r="I3622" s="1" t="str">
        <f t="shared" si="338"/>
        <v>16100-166</v>
      </c>
      <c r="J3622" s="1" t="str">
        <f t="shared" si="339"/>
        <v>Synthesizer production item #166</v>
      </c>
      <c r="K3622" s="1" t="str">
        <f>IF(SUM(COUNTIFS(I:I, I3622)) &gt; 1, "DUPLICATE", "UNIQUE")</f>
        <v>UNIQUE</v>
      </c>
      <c r="L3622" s="18">
        <v>0</v>
      </c>
      <c r="M3622" s="28">
        <v>35</v>
      </c>
      <c r="N3622" s="6">
        <v>0</v>
      </c>
      <c r="O3622" s="30">
        <f t="shared" si="340"/>
        <v>0</v>
      </c>
      <c r="P3622" s="30">
        <f t="shared" si="341"/>
        <v>0</v>
      </c>
      <c r="Q3622" s="1">
        <f>COUNTIFS($P:$P, "&gt;" &amp; $P3622) + 1</f>
        <v>4746</v>
      </c>
      <c r="R3622" s="63">
        <f>(COUNTIFS($P:$P, "&gt;" &amp; $P3622) + 1) / (COUNTA($I:$I) - 1)</f>
        <v>0.94920000000000004</v>
      </c>
      <c r="S3622" s="23">
        <f>SUMIFS($P:$P, $Q:$Q, "&lt;" &amp; $Q3622)</f>
        <v>186547861</v>
      </c>
    </row>
    <row r="3623" spans="1:19" x14ac:dyDescent="0.25">
      <c r="A3623" s="1">
        <v>3618</v>
      </c>
      <c r="B3623" s="1" t="s">
        <v>2</v>
      </c>
      <c r="C3623" s="1" t="str">
        <f>IF($B3623 = "Production Item", _xlfn.XLOOKUP($A3623, 'Instrument Table'!$J:$J, 'Instrument Table'!$B:$B, $C3622), IF($B3623 = "Service Item", _xlfn.XLOOKUP($A3623, 'Instrument Table'!$I:$I, 'Instrument Table'!$B:$B, $C3622), _xlfn.XLOOKUP($A3623, 'Instrument Table'!$H:$H, 'Instrument Table'!$B:$B, $C3622)))</f>
        <v>Synthesizer</v>
      </c>
      <c r="D3623" s="1" t="str">
        <f>VLOOKUP($C3623, 'Instrument Table'!$B:$C, 2, FALSE)</f>
        <v>Other</v>
      </c>
      <c r="E3623" s="1">
        <f t="shared" si="336"/>
        <v>1</v>
      </c>
      <c r="F3623" s="1">
        <f>_xlfn.XLOOKUP($C3623, 'Instrument Table'!$B:$B, 'Instrument Table'!$A:$A, "")</f>
        <v>61</v>
      </c>
      <c r="G3623" s="1" t="str">
        <f>TEXT(IF($B3623 = "Retail Item", IF((ROW($A3623) - 4504 - _xlfn.XMATCH($C3623, $C$4506:$C$5005, 0, 1)) &lt;= VLOOKUP($C3623, 'Instrument Table'!$B:$D, 3, FALSE), ROW($A3623) - 4504 - _xlfn.XMATCH($C3623, $C$4506:$C$5005, 0, 1), 0), 0), "00")</f>
        <v>00</v>
      </c>
      <c r="H3623" s="1" t="str">
        <f t="shared" si="337"/>
        <v>167</v>
      </c>
      <c r="I3623" s="1" t="str">
        <f t="shared" si="338"/>
        <v>16100-167</v>
      </c>
      <c r="J3623" s="1" t="str">
        <f t="shared" si="339"/>
        <v>Synthesizer production item #167</v>
      </c>
      <c r="K3623" s="1" t="str">
        <f>IF(SUM(COUNTIFS(I:I, I3623)) &gt; 1, "DUPLICATE", "UNIQUE")</f>
        <v>UNIQUE</v>
      </c>
      <c r="L3623" s="18">
        <v>1</v>
      </c>
      <c r="M3623" s="28">
        <v>43</v>
      </c>
      <c r="N3623" s="6">
        <v>100</v>
      </c>
      <c r="O3623" s="30">
        <f t="shared" si="340"/>
        <v>43</v>
      </c>
      <c r="P3623" s="30">
        <f t="shared" si="341"/>
        <v>4300</v>
      </c>
      <c r="Q3623" s="1">
        <f>COUNTIFS($P:$P, "&gt;" &amp; $P3623) + 1</f>
        <v>2587</v>
      </c>
      <c r="R3623" s="63">
        <f>(COUNTIFS($P:$P, "&gt;" &amp; $P3623) + 1) / (COUNTA($I:$I) - 1)</f>
        <v>0.51739999999999997</v>
      </c>
      <c r="S3623" s="23">
        <f>SUMIFS($P:$P, $Q:$Q, "&lt;" &amp; $Q3623)</f>
        <v>183507738</v>
      </c>
    </row>
    <row r="3624" spans="1:19" x14ac:dyDescent="0.25">
      <c r="A3624" s="1">
        <v>3619</v>
      </c>
      <c r="B3624" s="1" t="s">
        <v>2</v>
      </c>
      <c r="C3624" s="1" t="str">
        <f>IF($B3624 = "Production Item", _xlfn.XLOOKUP($A3624, 'Instrument Table'!$J:$J, 'Instrument Table'!$B:$B, $C3623), IF($B3624 = "Service Item", _xlfn.XLOOKUP($A3624, 'Instrument Table'!$I:$I, 'Instrument Table'!$B:$B, $C3623), _xlfn.XLOOKUP($A3624, 'Instrument Table'!$H:$H, 'Instrument Table'!$B:$B, $C3623)))</f>
        <v>Synthesizer</v>
      </c>
      <c r="D3624" s="1" t="str">
        <f>VLOOKUP($C3624, 'Instrument Table'!$B:$C, 2, FALSE)</f>
        <v>Other</v>
      </c>
      <c r="E3624" s="1">
        <f t="shared" si="336"/>
        <v>1</v>
      </c>
      <c r="F3624" s="1">
        <f>_xlfn.XLOOKUP($C3624, 'Instrument Table'!$B:$B, 'Instrument Table'!$A:$A, "")</f>
        <v>61</v>
      </c>
      <c r="G3624" s="1" t="str">
        <f>TEXT(IF($B3624 = "Retail Item", IF((ROW($A3624) - 4504 - _xlfn.XMATCH($C3624, $C$4506:$C$5005, 0, 1)) &lt;= VLOOKUP($C3624, 'Instrument Table'!$B:$D, 3, FALSE), ROW($A3624) - 4504 - _xlfn.XMATCH($C3624, $C$4506:$C$5005, 0, 1), 0), 0), "00")</f>
        <v>00</v>
      </c>
      <c r="H3624" s="1" t="str">
        <f t="shared" si="337"/>
        <v>168</v>
      </c>
      <c r="I3624" s="1" t="str">
        <f t="shared" si="338"/>
        <v>16100-168</v>
      </c>
      <c r="J3624" s="1" t="str">
        <f t="shared" si="339"/>
        <v>Synthesizer production item #168</v>
      </c>
      <c r="K3624" s="1" t="str">
        <f>IF(SUM(COUNTIFS(I:I, I3624)) &gt; 1, "DUPLICATE", "UNIQUE")</f>
        <v>UNIQUE</v>
      </c>
      <c r="L3624" s="18">
        <v>0</v>
      </c>
      <c r="M3624" s="28">
        <v>60</v>
      </c>
      <c r="N3624" s="6">
        <v>0</v>
      </c>
      <c r="O3624" s="30">
        <f t="shared" si="340"/>
        <v>0</v>
      </c>
      <c r="P3624" s="30">
        <f t="shared" si="341"/>
        <v>0</v>
      </c>
      <c r="Q3624" s="1">
        <f>COUNTIFS($P:$P, "&gt;" &amp; $P3624) + 1</f>
        <v>4746</v>
      </c>
      <c r="R3624" s="63">
        <f>(COUNTIFS($P:$P, "&gt;" &amp; $P3624) + 1) / (COUNTA($I:$I) - 1)</f>
        <v>0.94920000000000004</v>
      </c>
      <c r="S3624" s="23">
        <f>SUMIFS($P:$P, $Q:$Q, "&lt;" &amp; $Q3624)</f>
        <v>186547861</v>
      </c>
    </row>
    <row r="3625" spans="1:19" x14ac:dyDescent="0.25">
      <c r="A3625" s="1">
        <v>3620</v>
      </c>
      <c r="B3625" s="1" t="s">
        <v>2</v>
      </c>
      <c r="C3625" s="1" t="str">
        <f>IF($B3625 = "Production Item", _xlfn.XLOOKUP($A3625, 'Instrument Table'!$J:$J, 'Instrument Table'!$B:$B, $C3624), IF($B3625 = "Service Item", _xlfn.XLOOKUP($A3625, 'Instrument Table'!$I:$I, 'Instrument Table'!$B:$B, $C3624), _xlfn.XLOOKUP($A3625, 'Instrument Table'!$H:$H, 'Instrument Table'!$B:$B, $C3624)))</f>
        <v>Synthesizer</v>
      </c>
      <c r="D3625" s="1" t="str">
        <f>VLOOKUP($C3625, 'Instrument Table'!$B:$C, 2, FALSE)</f>
        <v>Other</v>
      </c>
      <c r="E3625" s="1">
        <f t="shared" si="336"/>
        <v>1</v>
      </c>
      <c r="F3625" s="1">
        <f>_xlfn.XLOOKUP($C3625, 'Instrument Table'!$B:$B, 'Instrument Table'!$A:$A, "")</f>
        <v>61</v>
      </c>
      <c r="G3625" s="1" t="str">
        <f>TEXT(IF($B3625 = "Retail Item", IF((ROW($A3625) - 4504 - _xlfn.XMATCH($C3625, $C$4506:$C$5005, 0, 1)) &lt;= VLOOKUP($C3625, 'Instrument Table'!$B:$D, 3, FALSE), ROW($A3625) - 4504 - _xlfn.XMATCH($C3625, $C$4506:$C$5005, 0, 1), 0), 0), "00")</f>
        <v>00</v>
      </c>
      <c r="H3625" s="1" t="str">
        <f t="shared" si="337"/>
        <v>169</v>
      </c>
      <c r="I3625" s="1" t="str">
        <f t="shared" si="338"/>
        <v>16100-169</v>
      </c>
      <c r="J3625" s="1" t="str">
        <f t="shared" si="339"/>
        <v>Synthesizer production item #169</v>
      </c>
      <c r="K3625" s="1" t="str">
        <f>IF(SUM(COUNTIFS(I:I, I3625)) &gt; 1, "DUPLICATE", "UNIQUE")</f>
        <v>UNIQUE</v>
      </c>
      <c r="L3625" s="18">
        <v>1</v>
      </c>
      <c r="M3625" s="28">
        <v>28</v>
      </c>
      <c r="N3625" s="6">
        <v>0</v>
      </c>
      <c r="O3625" s="30">
        <f t="shared" si="340"/>
        <v>28</v>
      </c>
      <c r="P3625" s="30">
        <f t="shared" si="341"/>
        <v>0</v>
      </c>
      <c r="Q3625" s="1">
        <f>COUNTIFS($P:$P, "&gt;" &amp; $P3625) + 1</f>
        <v>4746</v>
      </c>
      <c r="R3625" s="63">
        <f>(COUNTIFS($P:$P, "&gt;" &amp; $P3625) + 1) / (COUNTA($I:$I) - 1)</f>
        <v>0.94920000000000004</v>
      </c>
      <c r="S3625" s="23">
        <f>SUMIFS($P:$P, $Q:$Q, "&lt;" &amp; $Q3625)</f>
        <v>186547861</v>
      </c>
    </row>
    <row r="3626" spans="1:19" x14ac:dyDescent="0.25">
      <c r="A3626" s="1">
        <v>3621</v>
      </c>
      <c r="B3626" s="1" t="s">
        <v>2</v>
      </c>
      <c r="C3626" s="1" t="str">
        <f>IF($B3626 = "Production Item", _xlfn.XLOOKUP($A3626, 'Instrument Table'!$J:$J, 'Instrument Table'!$B:$B, $C3625), IF($B3626 = "Service Item", _xlfn.XLOOKUP($A3626, 'Instrument Table'!$I:$I, 'Instrument Table'!$B:$B, $C3625), _xlfn.XLOOKUP($A3626, 'Instrument Table'!$H:$H, 'Instrument Table'!$B:$B, $C3625)))</f>
        <v>Synthesizer</v>
      </c>
      <c r="D3626" s="1" t="str">
        <f>VLOOKUP($C3626, 'Instrument Table'!$B:$C, 2, FALSE)</f>
        <v>Other</v>
      </c>
      <c r="E3626" s="1">
        <f t="shared" si="336"/>
        <v>1</v>
      </c>
      <c r="F3626" s="1">
        <f>_xlfn.XLOOKUP($C3626, 'Instrument Table'!$B:$B, 'Instrument Table'!$A:$A, "")</f>
        <v>61</v>
      </c>
      <c r="G3626" s="1" t="str">
        <f>TEXT(IF($B3626 = "Retail Item", IF((ROW($A3626) - 4504 - _xlfn.XMATCH($C3626, $C$4506:$C$5005, 0, 1)) &lt;= VLOOKUP($C3626, 'Instrument Table'!$B:$D, 3, FALSE), ROW($A3626) - 4504 - _xlfn.XMATCH($C3626, $C$4506:$C$5005, 0, 1), 0), 0), "00")</f>
        <v>00</v>
      </c>
      <c r="H3626" s="1" t="str">
        <f t="shared" si="337"/>
        <v>170</v>
      </c>
      <c r="I3626" s="1" t="str">
        <f t="shared" si="338"/>
        <v>16100-170</v>
      </c>
      <c r="J3626" s="1" t="str">
        <f t="shared" si="339"/>
        <v>Synthesizer production item #170</v>
      </c>
      <c r="K3626" s="1" t="str">
        <f>IF(SUM(COUNTIFS(I:I, I3626)) &gt; 1, "DUPLICATE", "UNIQUE")</f>
        <v>UNIQUE</v>
      </c>
      <c r="L3626" s="18">
        <v>0</v>
      </c>
      <c r="M3626" s="28">
        <v>64</v>
      </c>
      <c r="N3626" s="6">
        <v>1</v>
      </c>
      <c r="O3626" s="30">
        <f t="shared" si="340"/>
        <v>0</v>
      </c>
      <c r="P3626" s="30">
        <f t="shared" si="341"/>
        <v>64</v>
      </c>
      <c r="Q3626" s="1">
        <f>COUNTIFS($P:$P, "&gt;" &amp; $P3626) + 1</f>
        <v>4553</v>
      </c>
      <c r="R3626" s="63">
        <f>(COUNTIFS($P:$P, "&gt;" &amp; $P3626) + 1) / (COUNTA($I:$I) - 1)</f>
        <v>0.91059999999999997</v>
      </c>
      <c r="S3626" s="23">
        <f>SUMIFS($P:$P, $Q:$Q, "&lt;" &amp; $Q3626)</f>
        <v>186540850</v>
      </c>
    </row>
    <row r="3627" spans="1:19" x14ac:dyDescent="0.25">
      <c r="A3627" s="1">
        <v>3622</v>
      </c>
      <c r="B3627" s="1" t="s">
        <v>2</v>
      </c>
      <c r="C3627" s="1" t="str">
        <f>IF($B3627 = "Production Item", _xlfn.XLOOKUP($A3627, 'Instrument Table'!$J:$J, 'Instrument Table'!$B:$B, $C3626), IF($B3627 = "Service Item", _xlfn.XLOOKUP($A3627, 'Instrument Table'!$I:$I, 'Instrument Table'!$B:$B, $C3626), _xlfn.XLOOKUP($A3627, 'Instrument Table'!$H:$H, 'Instrument Table'!$B:$B, $C3626)))</f>
        <v>Synthesizer</v>
      </c>
      <c r="D3627" s="1" t="str">
        <f>VLOOKUP($C3627, 'Instrument Table'!$B:$C, 2, FALSE)</f>
        <v>Other</v>
      </c>
      <c r="E3627" s="1">
        <f t="shared" si="336"/>
        <v>1</v>
      </c>
      <c r="F3627" s="1">
        <f>_xlfn.XLOOKUP($C3627, 'Instrument Table'!$B:$B, 'Instrument Table'!$A:$A, "")</f>
        <v>61</v>
      </c>
      <c r="G3627" s="1" t="str">
        <f>TEXT(IF($B3627 = "Retail Item", IF((ROW($A3627) - 4504 - _xlfn.XMATCH($C3627, $C$4506:$C$5005, 0, 1)) &lt;= VLOOKUP($C3627, 'Instrument Table'!$B:$D, 3, FALSE), ROW($A3627) - 4504 - _xlfn.XMATCH($C3627, $C$4506:$C$5005, 0, 1), 0), 0), "00")</f>
        <v>00</v>
      </c>
      <c r="H3627" s="1" t="str">
        <f t="shared" si="337"/>
        <v>171</v>
      </c>
      <c r="I3627" s="1" t="str">
        <f t="shared" si="338"/>
        <v>16100-171</v>
      </c>
      <c r="J3627" s="1" t="str">
        <f t="shared" si="339"/>
        <v>Synthesizer production item #171</v>
      </c>
      <c r="K3627" s="1" t="str">
        <f>IF(SUM(COUNTIFS(I:I, I3627)) &gt; 1, "DUPLICATE", "UNIQUE")</f>
        <v>UNIQUE</v>
      </c>
      <c r="L3627" s="18">
        <v>16</v>
      </c>
      <c r="M3627" s="28">
        <v>18</v>
      </c>
      <c r="N3627" s="6">
        <v>400</v>
      </c>
      <c r="O3627" s="30">
        <f t="shared" si="340"/>
        <v>288</v>
      </c>
      <c r="P3627" s="30">
        <f t="shared" si="341"/>
        <v>7200</v>
      </c>
      <c r="Q3627" s="1">
        <f>COUNTIFS($P:$P, "&gt;" &amp; $P3627) + 1</f>
        <v>2115</v>
      </c>
      <c r="R3627" s="63">
        <f>(COUNTIFS($P:$P, "&gt;" &amp; $P3627) + 1) / (COUNTA($I:$I) - 1)</f>
        <v>0.42299999999999999</v>
      </c>
      <c r="S3627" s="23">
        <f>SUMIFS($P:$P, $Q:$Q, "&lt;" &amp; $Q3627)</f>
        <v>180867271</v>
      </c>
    </row>
    <row r="3628" spans="1:19" x14ac:dyDescent="0.25">
      <c r="A3628" s="1">
        <v>3623</v>
      </c>
      <c r="B3628" s="1" t="s">
        <v>2</v>
      </c>
      <c r="C3628" s="1" t="str">
        <f>IF($B3628 = "Production Item", _xlfn.XLOOKUP($A3628, 'Instrument Table'!$J:$J, 'Instrument Table'!$B:$B, $C3627), IF($B3628 = "Service Item", _xlfn.XLOOKUP($A3628, 'Instrument Table'!$I:$I, 'Instrument Table'!$B:$B, $C3627), _xlfn.XLOOKUP($A3628, 'Instrument Table'!$H:$H, 'Instrument Table'!$B:$B, $C3627)))</f>
        <v>Synthesizer</v>
      </c>
      <c r="D3628" s="1" t="str">
        <f>VLOOKUP($C3628, 'Instrument Table'!$B:$C, 2, FALSE)</f>
        <v>Other</v>
      </c>
      <c r="E3628" s="1">
        <f t="shared" si="336"/>
        <v>1</v>
      </c>
      <c r="F3628" s="1">
        <f>_xlfn.XLOOKUP($C3628, 'Instrument Table'!$B:$B, 'Instrument Table'!$A:$A, "")</f>
        <v>61</v>
      </c>
      <c r="G3628" s="1" t="str">
        <f>TEXT(IF($B3628 = "Retail Item", IF((ROW($A3628) - 4504 - _xlfn.XMATCH($C3628, $C$4506:$C$5005, 0, 1)) &lt;= VLOOKUP($C3628, 'Instrument Table'!$B:$D, 3, FALSE), ROW($A3628) - 4504 - _xlfn.XMATCH($C3628, $C$4506:$C$5005, 0, 1), 0), 0), "00")</f>
        <v>00</v>
      </c>
      <c r="H3628" s="1" t="str">
        <f t="shared" si="337"/>
        <v>172</v>
      </c>
      <c r="I3628" s="1" t="str">
        <f t="shared" si="338"/>
        <v>16100-172</v>
      </c>
      <c r="J3628" s="1" t="str">
        <f t="shared" si="339"/>
        <v>Synthesizer production item #172</v>
      </c>
      <c r="K3628" s="1" t="str">
        <f>IF(SUM(COUNTIFS(I:I, I3628)) &gt; 1, "DUPLICATE", "UNIQUE")</f>
        <v>UNIQUE</v>
      </c>
      <c r="L3628" s="18">
        <v>16</v>
      </c>
      <c r="M3628" s="28">
        <v>50</v>
      </c>
      <c r="N3628" s="6">
        <v>36</v>
      </c>
      <c r="O3628" s="30">
        <f t="shared" si="340"/>
        <v>800</v>
      </c>
      <c r="P3628" s="30">
        <f t="shared" si="341"/>
        <v>1800</v>
      </c>
      <c r="Q3628" s="1">
        <f>COUNTIFS($P:$P, "&gt;" &amp; $P3628) + 1</f>
        <v>3333</v>
      </c>
      <c r="R3628" s="63">
        <f>(COUNTIFS($P:$P, "&gt;" &amp; $P3628) + 1) / (COUNTA($I:$I) - 1)</f>
        <v>0.66659999999999997</v>
      </c>
      <c r="S3628" s="23">
        <f>SUMIFS($P:$P, $Q:$Q, "&lt;" &amp; $Q3628)</f>
        <v>185669981</v>
      </c>
    </row>
    <row r="3629" spans="1:19" x14ac:dyDescent="0.25">
      <c r="A3629" s="1">
        <v>3624</v>
      </c>
      <c r="B3629" s="1" t="s">
        <v>2</v>
      </c>
      <c r="C3629" s="1" t="str">
        <f>IF($B3629 = "Production Item", _xlfn.XLOOKUP($A3629, 'Instrument Table'!$J:$J, 'Instrument Table'!$B:$B, $C3628), IF($B3629 = "Service Item", _xlfn.XLOOKUP($A3629, 'Instrument Table'!$I:$I, 'Instrument Table'!$B:$B, $C3628), _xlfn.XLOOKUP($A3629, 'Instrument Table'!$H:$H, 'Instrument Table'!$B:$B, $C3628)))</f>
        <v>Synthesizer</v>
      </c>
      <c r="D3629" s="1" t="str">
        <f>VLOOKUP($C3629, 'Instrument Table'!$B:$C, 2, FALSE)</f>
        <v>Other</v>
      </c>
      <c r="E3629" s="1">
        <f t="shared" si="336"/>
        <v>1</v>
      </c>
      <c r="F3629" s="1">
        <f>_xlfn.XLOOKUP($C3629, 'Instrument Table'!$B:$B, 'Instrument Table'!$A:$A, "")</f>
        <v>61</v>
      </c>
      <c r="G3629" s="1" t="str">
        <f>TEXT(IF($B3629 = "Retail Item", IF((ROW($A3629) - 4504 - _xlfn.XMATCH($C3629, $C$4506:$C$5005, 0, 1)) &lt;= VLOOKUP($C3629, 'Instrument Table'!$B:$D, 3, FALSE), ROW($A3629) - 4504 - _xlfn.XMATCH($C3629, $C$4506:$C$5005, 0, 1), 0), 0), "00")</f>
        <v>00</v>
      </c>
      <c r="H3629" s="1" t="str">
        <f t="shared" si="337"/>
        <v>173</v>
      </c>
      <c r="I3629" s="1" t="str">
        <f t="shared" si="338"/>
        <v>16100-173</v>
      </c>
      <c r="J3629" s="1" t="str">
        <f t="shared" si="339"/>
        <v>Synthesizer production item #173</v>
      </c>
      <c r="K3629" s="1" t="str">
        <f>IF(SUM(COUNTIFS(I:I, I3629)) &gt; 1, "DUPLICATE", "UNIQUE")</f>
        <v>UNIQUE</v>
      </c>
      <c r="L3629" s="18">
        <v>1</v>
      </c>
      <c r="M3629" s="28">
        <v>57</v>
      </c>
      <c r="N3629" s="6">
        <v>361</v>
      </c>
      <c r="O3629" s="30">
        <f t="shared" si="340"/>
        <v>57</v>
      </c>
      <c r="P3629" s="30">
        <f t="shared" si="341"/>
        <v>20577</v>
      </c>
      <c r="Q3629" s="1">
        <f>COUNTIFS($P:$P, "&gt;" &amp; $P3629) + 1</f>
        <v>1022</v>
      </c>
      <c r="R3629" s="63">
        <f>(COUNTIFS($P:$P, "&gt;" &amp; $P3629) + 1) / (COUNTA($I:$I) - 1)</f>
        <v>0.2044</v>
      </c>
      <c r="S3629" s="23">
        <f>SUMIFS($P:$P, $Q:$Q, "&lt;" &amp; $Q3629)</f>
        <v>166950697</v>
      </c>
    </row>
    <row r="3630" spans="1:19" x14ac:dyDescent="0.25">
      <c r="A3630" s="1">
        <v>3625</v>
      </c>
      <c r="B3630" s="1" t="s">
        <v>2</v>
      </c>
      <c r="C3630" s="1" t="str">
        <f>IF($B3630 = "Production Item", _xlfn.XLOOKUP($A3630, 'Instrument Table'!$J:$J, 'Instrument Table'!$B:$B, $C3629), IF($B3630 = "Service Item", _xlfn.XLOOKUP($A3630, 'Instrument Table'!$I:$I, 'Instrument Table'!$B:$B, $C3629), _xlfn.XLOOKUP($A3630, 'Instrument Table'!$H:$H, 'Instrument Table'!$B:$B, $C3629)))</f>
        <v>Synthesizer</v>
      </c>
      <c r="D3630" s="1" t="str">
        <f>VLOOKUP($C3630, 'Instrument Table'!$B:$C, 2, FALSE)</f>
        <v>Other</v>
      </c>
      <c r="E3630" s="1">
        <f t="shared" si="336"/>
        <v>1</v>
      </c>
      <c r="F3630" s="1">
        <f>_xlfn.XLOOKUP($C3630, 'Instrument Table'!$B:$B, 'Instrument Table'!$A:$A, "")</f>
        <v>61</v>
      </c>
      <c r="G3630" s="1" t="str">
        <f>TEXT(IF($B3630 = "Retail Item", IF((ROW($A3630) - 4504 - _xlfn.XMATCH($C3630, $C$4506:$C$5005, 0, 1)) &lt;= VLOOKUP($C3630, 'Instrument Table'!$B:$D, 3, FALSE), ROW($A3630) - 4504 - _xlfn.XMATCH($C3630, $C$4506:$C$5005, 0, 1), 0), 0), "00")</f>
        <v>00</v>
      </c>
      <c r="H3630" s="1" t="str">
        <f t="shared" si="337"/>
        <v>174</v>
      </c>
      <c r="I3630" s="1" t="str">
        <f t="shared" si="338"/>
        <v>16100-174</v>
      </c>
      <c r="J3630" s="1" t="str">
        <f t="shared" si="339"/>
        <v>Synthesizer production item #174</v>
      </c>
      <c r="K3630" s="1" t="str">
        <f>IF(SUM(COUNTIFS(I:I, I3630)) &gt; 1, "DUPLICATE", "UNIQUE")</f>
        <v>UNIQUE</v>
      </c>
      <c r="L3630" s="18">
        <v>0</v>
      </c>
      <c r="M3630" s="28">
        <v>70</v>
      </c>
      <c r="N3630" s="6">
        <v>0</v>
      </c>
      <c r="O3630" s="30">
        <f t="shared" si="340"/>
        <v>0</v>
      </c>
      <c r="P3630" s="30">
        <f t="shared" si="341"/>
        <v>0</v>
      </c>
      <c r="Q3630" s="1">
        <f>COUNTIFS($P:$P, "&gt;" &amp; $P3630) + 1</f>
        <v>4746</v>
      </c>
      <c r="R3630" s="63">
        <f>(COUNTIFS($P:$P, "&gt;" &amp; $P3630) + 1) / (COUNTA($I:$I) - 1)</f>
        <v>0.94920000000000004</v>
      </c>
      <c r="S3630" s="23">
        <f>SUMIFS($P:$P, $Q:$Q, "&lt;" &amp; $Q3630)</f>
        <v>186547861</v>
      </c>
    </row>
    <row r="3631" spans="1:19" x14ac:dyDescent="0.25">
      <c r="A3631" s="1">
        <v>3626</v>
      </c>
      <c r="B3631" s="1" t="s">
        <v>2</v>
      </c>
      <c r="C3631" s="1" t="str">
        <f>IF($B3631 = "Production Item", _xlfn.XLOOKUP($A3631, 'Instrument Table'!$J:$J, 'Instrument Table'!$B:$B, $C3630), IF($B3631 = "Service Item", _xlfn.XLOOKUP($A3631, 'Instrument Table'!$I:$I, 'Instrument Table'!$B:$B, $C3630), _xlfn.XLOOKUP($A3631, 'Instrument Table'!$H:$H, 'Instrument Table'!$B:$B, $C3630)))</f>
        <v>Synthesizer</v>
      </c>
      <c r="D3631" s="1" t="str">
        <f>VLOOKUP($C3631, 'Instrument Table'!$B:$C, 2, FALSE)</f>
        <v>Other</v>
      </c>
      <c r="E3631" s="1">
        <f t="shared" si="336"/>
        <v>1</v>
      </c>
      <c r="F3631" s="1">
        <f>_xlfn.XLOOKUP($C3631, 'Instrument Table'!$B:$B, 'Instrument Table'!$A:$A, "")</f>
        <v>61</v>
      </c>
      <c r="G3631" s="1" t="str">
        <f>TEXT(IF($B3631 = "Retail Item", IF((ROW($A3631) - 4504 - _xlfn.XMATCH($C3631, $C$4506:$C$5005, 0, 1)) &lt;= VLOOKUP($C3631, 'Instrument Table'!$B:$D, 3, FALSE), ROW($A3631) - 4504 - _xlfn.XMATCH($C3631, $C$4506:$C$5005, 0, 1), 0), 0), "00")</f>
        <v>00</v>
      </c>
      <c r="H3631" s="1" t="str">
        <f t="shared" si="337"/>
        <v>175</v>
      </c>
      <c r="I3631" s="1" t="str">
        <f t="shared" si="338"/>
        <v>16100-175</v>
      </c>
      <c r="J3631" s="1" t="str">
        <f t="shared" si="339"/>
        <v>Synthesizer production item #175</v>
      </c>
      <c r="K3631" s="1" t="str">
        <f>IF(SUM(COUNTIFS(I:I, I3631)) &gt; 1, "DUPLICATE", "UNIQUE")</f>
        <v>UNIQUE</v>
      </c>
      <c r="L3631" s="18">
        <v>0</v>
      </c>
      <c r="M3631" s="28">
        <v>83</v>
      </c>
      <c r="N3631" s="6">
        <v>289</v>
      </c>
      <c r="O3631" s="30">
        <f t="shared" si="340"/>
        <v>0</v>
      </c>
      <c r="P3631" s="30">
        <f t="shared" si="341"/>
        <v>23987</v>
      </c>
      <c r="Q3631" s="1">
        <f>COUNTIFS($P:$P, "&gt;" &amp; $P3631) + 1</f>
        <v>874</v>
      </c>
      <c r="R3631" s="63">
        <f>(COUNTIFS($P:$P, "&gt;" &amp; $P3631) + 1) / (COUNTA($I:$I) - 1)</f>
        <v>0.17480000000000001</v>
      </c>
      <c r="S3631" s="23">
        <f>SUMIFS($P:$P, $Q:$Q, "&lt;" &amp; $Q3631)</f>
        <v>163667085</v>
      </c>
    </row>
    <row r="3632" spans="1:19" x14ac:dyDescent="0.25">
      <c r="A3632" s="1">
        <v>3627</v>
      </c>
      <c r="B3632" s="1" t="s">
        <v>2</v>
      </c>
      <c r="C3632" s="1" t="str">
        <f>IF($B3632 = "Production Item", _xlfn.XLOOKUP($A3632, 'Instrument Table'!$J:$J, 'Instrument Table'!$B:$B, $C3631), IF($B3632 = "Service Item", _xlfn.XLOOKUP($A3632, 'Instrument Table'!$I:$I, 'Instrument Table'!$B:$B, $C3631), _xlfn.XLOOKUP($A3632, 'Instrument Table'!$H:$H, 'Instrument Table'!$B:$B, $C3631)))</f>
        <v>Synthesizer</v>
      </c>
      <c r="D3632" s="1" t="str">
        <f>VLOOKUP($C3632, 'Instrument Table'!$B:$C, 2, FALSE)</f>
        <v>Other</v>
      </c>
      <c r="E3632" s="1">
        <f t="shared" si="336"/>
        <v>1</v>
      </c>
      <c r="F3632" s="1">
        <f>_xlfn.XLOOKUP($C3632, 'Instrument Table'!$B:$B, 'Instrument Table'!$A:$A, "")</f>
        <v>61</v>
      </c>
      <c r="G3632" s="1" t="str">
        <f>TEXT(IF($B3632 = "Retail Item", IF((ROW($A3632) - 4504 - _xlfn.XMATCH($C3632, $C$4506:$C$5005, 0, 1)) &lt;= VLOOKUP($C3632, 'Instrument Table'!$B:$D, 3, FALSE), ROW($A3632) - 4504 - _xlfn.XMATCH($C3632, $C$4506:$C$5005, 0, 1), 0), 0), "00")</f>
        <v>00</v>
      </c>
      <c r="H3632" s="1" t="str">
        <f t="shared" si="337"/>
        <v>176</v>
      </c>
      <c r="I3632" s="1" t="str">
        <f t="shared" si="338"/>
        <v>16100-176</v>
      </c>
      <c r="J3632" s="1" t="str">
        <f t="shared" si="339"/>
        <v>Synthesizer production item #176</v>
      </c>
      <c r="K3632" s="1" t="str">
        <f>IF(SUM(COUNTIFS(I:I, I3632)) &gt; 1, "DUPLICATE", "UNIQUE")</f>
        <v>UNIQUE</v>
      </c>
      <c r="L3632" s="18">
        <v>1</v>
      </c>
      <c r="M3632" s="28">
        <v>6</v>
      </c>
      <c r="N3632" s="6">
        <v>361</v>
      </c>
      <c r="O3632" s="30">
        <f t="shared" si="340"/>
        <v>6</v>
      </c>
      <c r="P3632" s="30">
        <f t="shared" si="341"/>
        <v>2166</v>
      </c>
      <c r="Q3632" s="1">
        <f>COUNTIFS($P:$P, "&gt;" &amp; $P3632) + 1</f>
        <v>3180</v>
      </c>
      <c r="R3632" s="63">
        <f>(COUNTIFS($P:$P, "&gt;" &amp; $P3632) + 1) / (COUNTA($I:$I) - 1)</f>
        <v>0.63600000000000001</v>
      </c>
      <c r="S3632" s="23">
        <f>SUMIFS($P:$P, $Q:$Q, "&lt;" &amp; $Q3632)</f>
        <v>185364886</v>
      </c>
    </row>
    <row r="3633" spans="1:19" x14ac:dyDescent="0.25">
      <c r="A3633" s="1">
        <v>3628</v>
      </c>
      <c r="B3633" s="1" t="s">
        <v>2</v>
      </c>
      <c r="C3633" s="1" t="str">
        <f>IF($B3633 = "Production Item", _xlfn.XLOOKUP($A3633, 'Instrument Table'!$J:$J, 'Instrument Table'!$B:$B, $C3632), IF($B3633 = "Service Item", _xlfn.XLOOKUP($A3633, 'Instrument Table'!$I:$I, 'Instrument Table'!$B:$B, $C3632), _xlfn.XLOOKUP($A3633, 'Instrument Table'!$H:$H, 'Instrument Table'!$B:$B, $C3632)))</f>
        <v>Synthesizer</v>
      </c>
      <c r="D3633" s="1" t="str">
        <f>VLOOKUP($C3633, 'Instrument Table'!$B:$C, 2, FALSE)</f>
        <v>Other</v>
      </c>
      <c r="E3633" s="1">
        <f t="shared" si="336"/>
        <v>1</v>
      </c>
      <c r="F3633" s="1">
        <f>_xlfn.XLOOKUP($C3633, 'Instrument Table'!$B:$B, 'Instrument Table'!$A:$A, "")</f>
        <v>61</v>
      </c>
      <c r="G3633" s="1" t="str">
        <f>TEXT(IF($B3633 = "Retail Item", IF((ROW($A3633) - 4504 - _xlfn.XMATCH($C3633, $C$4506:$C$5005, 0, 1)) &lt;= VLOOKUP($C3633, 'Instrument Table'!$B:$D, 3, FALSE), ROW($A3633) - 4504 - _xlfn.XMATCH($C3633, $C$4506:$C$5005, 0, 1), 0), 0), "00")</f>
        <v>00</v>
      </c>
      <c r="H3633" s="1" t="str">
        <f t="shared" si="337"/>
        <v>177</v>
      </c>
      <c r="I3633" s="1" t="str">
        <f t="shared" si="338"/>
        <v>16100-177</v>
      </c>
      <c r="J3633" s="1" t="str">
        <f t="shared" si="339"/>
        <v>Synthesizer production item #177</v>
      </c>
      <c r="K3633" s="1" t="str">
        <f>IF(SUM(COUNTIFS(I:I, I3633)) &gt; 1, "DUPLICATE", "UNIQUE")</f>
        <v>UNIQUE</v>
      </c>
      <c r="L3633" s="18">
        <v>1</v>
      </c>
      <c r="M3633" s="28">
        <v>70</v>
      </c>
      <c r="N3633" s="6">
        <v>25</v>
      </c>
      <c r="O3633" s="30">
        <f t="shared" si="340"/>
        <v>70</v>
      </c>
      <c r="P3633" s="30">
        <f t="shared" si="341"/>
        <v>1750</v>
      </c>
      <c r="Q3633" s="1">
        <f>COUNTIFS($P:$P, "&gt;" &amp; $P3633) + 1</f>
        <v>3356</v>
      </c>
      <c r="R3633" s="63">
        <f>(COUNTIFS($P:$P, "&gt;" &amp; $P3633) + 1) / (COUNTA($I:$I) - 1)</f>
        <v>0.67120000000000002</v>
      </c>
      <c r="S3633" s="23">
        <f>SUMIFS($P:$P, $Q:$Q, "&lt;" &amp; $Q3633)</f>
        <v>185711037</v>
      </c>
    </row>
    <row r="3634" spans="1:19" x14ac:dyDescent="0.25">
      <c r="A3634" s="1">
        <v>3629</v>
      </c>
      <c r="B3634" s="1" t="s">
        <v>2</v>
      </c>
      <c r="C3634" s="1" t="str">
        <f>IF($B3634 = "Production Item", _xlfn.XLOOKUP($A3634, 'Instrument Table'!$J:$J, 'Instrument Table'!$B:$B, $C3633), IF($B3634 = "Service Item", _xlfn.XLOOKUP($A3634, 'Instrument Table'!$I:$I, 'Instrument Table'!$B:$B, $C3633), _xlfn.XLOOKUP($A3634, 'Instrument Table'!$H:$H, 'Instrument Table'!$B:$B, $C3633)))</f>
        <v>Synthesizer</v>
      </c>
      <c r="D3634" s="1" t="str">
        <f>VLOOKUP($C3634, 'Instrument Table'!$B:$C, 2, FALSE)</f>
        <v>Other</v>
      </c>
      <c r="E3634" s="1">
        <f t="shared" si="336"/>
        <v>1</v>
      </c>
      <c r="F3634" s="1">
        <f>_xlfn.XLOOKUP($C3634, 'Instrument Table'!$B:$B, 'Instrument Table'!$A:$A, "")</f>
        <v>61</v>
      </c>
      <c r="G3634" s="1" t="str">
        <f>TEXT(IF($B3634 = "Retail Item", IF((ROW($A3634) - 4504 - _xlfn.XMATCH($C3634, $C$4506:$C$5005, 0, 1)) &lt;= VLOOKUP($C3634, 'Instrument Table'!$B:$D, 3, FALSE), ROW($A3634) - 4504 - _xlfn.XMATCH($C3634, $C$4506:$C$5005, 0, 1), 0), 0), "00")</f>
        <v>00</v>
      </c>
      <c r="H3634" s="1" t="str">
        <f t="shared" si="337"/>
        <v>178</v>
      </c>
      <c r="I3634" s="1" t="str">
        <f t="shared" si="338"/>
        <v>16100-178</v>
      </c>
      <c r="J3634" s="1" t="str">
        <f t="shared" si="339"/>
        <v>Synthesizer production item #178</v>
      </c>
      <c r="K3634" s="1" t="str">
        <f>IF(SUM(COUNTIFS(I:I, I3634)) &gt; 1, "DUPLICATE", "UNIQUE")</f>
        <v>UNIQUE</v>
      </c>
      <c r="L3634" s="18">
        <v>1</v>
      </c>
      <c r="M3634" s="28">
        <v>21</v>
      </c>
      <c r="N3634" s="6">
        <v>196</v>
      </c>
      <c r="O3634" s="30">
        <f t="shared" si="340"/>
        <v>21</v>
      </c>
      <c r="P3634" s="30">
        <f t="shared" si="341"/>
        <v>4116</v>
      </c>
      <c r="Q3634" s="1">
        <f>COUNTIFS($P:$P, "&gt;" &amp; $P3634) + 1</f>
        <v>2630</v>
      </c>
      <c r="R3634" s="63">
        <f>(COUNTIFS($P:$P, "&gt;" &amp; $P3634) + 1) / (COUNTA($I:$I) - 1)</f>
        <v>0.52600000000000002</v>
      </c>
      <c r="S3634" s="23">
        <f>SUMIFS($P:$P, $Q:$Q, "&lt;" &amp; $Q3634)</f>
        <v>183689305</v>
      </c>
    </row>
    <row r="3635" spans="1:19" x14ac:dyDescent="0.25">
      <c r="A3635" s="1">
        <v>3630</v>
      </c>
      <c r="B3635" s="1" t="s">
        <v>2</v>
      </c>
      <c r="C3635" s="1" t="str">
        <f>IF($B3635 = "Production Item", _xlfn.XLOOKUP($A3635, 'Instrument Table'!$J:$J, 'Instrument Table'!$B:$B, $C3634), IF($B3635 = "Service Item", _xlfn.XLOOKUP($A3635, 'Instrument Table'!$I:$I, 'Instrument Table'!$B:$B, $C3634), _xlfn.XLOOKUP($A3635, 'Instrument Table'!$H:$H, 'Instrument Table'!$B:$B, $C3634)))</f>
        <v>Synthesizer</v>
      </c>
      <c r="D3635" s="1" t="str">
        <f>VLOOKUP($C3635, 'Instrument Table'!$B:$C, 2, FALSE)</f>
        <v>Other</v>
      </c>
      <c r="E3635" s="1">
        <f t="shared" si="336"/>
        <v>1</v>
      </c>
      <c r="F3635" s="1">
        <f>_xlfn.XLOOKUP($C3635, 'Instrument Table'!$B:$B, 'Instrument Table'!$A:$A, "")</f>
        <v>61</v>
      </c>
      <c r="G3635" s="1" t="str">
        <f>TEXT(IF($B3635 = "Retail Item", IF((ROW($A3635) - 4504 - _xlfn.XMATCH($C3635, $C$4506:$C$5005, 0, 1)) &lt;= VLOOKUP($C3635, 'Instrument Table'!$B:$D, 3, FALSE), ROW($A3635) - 4504 - _xlfn.XMATCH($C3635, $C$4506:$C$5005, 0, 1), 0), 0), "00")</f>
        <v>00</v>
      </c>
      <c r="H3635" s="1" t="str">
        <f t="shared" si="337"/>
        <v>179</v>
      </c>
      <c r="I3635" s="1" t="str">
        <f t="shared" si="338"/>
        <v>16100-179</v>
      </c>
      <c r="J3635" s="1" t="str">
        <f t="shared" si="339"/>
        <v>Synthesizer production item #179</v>
      </c>
      <c r="K3635" s="1" t="str">
        <f>IF(SUM(COUNTIFS(I:I, I3635)) &gt; 1, "DUPLICATE", "UNIQUE")</f>
        <v>UNIQUE</v>
      </c>
      <c r="L3635" s="18">
        <v>0</v>
      </c>
      <c r="M3635" s="28">
        <v>33</v>
      </c>
      <c r="N3635" s="6">
        <v>36</v>
      </c>
      <c r="O3635" s="30">
        <f t="shared" si="340"/>
        <v>0</v>
      </c>
      <c r="P3635" s="30">
        <f t="shared" si="341"/>
        <v>1188</v>
      </c>
      <c r="Q3635" s="1">
        <f>COUNTIFS($P:$P, "&gt;" &amp; $P3635) + 1</f>
        <v>3614</v>
      </c>
      <c r="R3635" s="63">
        <f>(COUNTIFS($P:$P, "&gt;" &amp; $P3635) + 1) / (COUNTA($I:$I) - 1)</f>
        <v>0.7228</v>
      </c>
      <c r="S3635" s="23">
        <f>SUMIFS($P:$P, $Q:$Q, "&lt;" &amp; $Q3635)</f>
        <v>186086638</v>
      </c>
    </row>
    <row r="3636" spans="1:19" x14ac:dyDescent="0.25">
      <c r="A3636" s="1">
        <v>3631</v>
      </c>
      <c r="B3636" s="1" t="s">
        <v>2</v>
      </c>
      <c r="C3636" s="1" t="str">
        <f>IF($B3636 = "Production Item", _xlfn.XLOOKUP($A3636, 'Instrument Table'!$J:$J, 'Instrument Table'!$B:$B, $C3635), IF($B3636 = "Service Item", _xlfn.XLOOKUP($A3636, 'Instrument Table'!$I:$I, 'Instrument Table'!$B:$B, $C3635), _xlfn.XLOOKUP($A3636, 'Instrument Table'!$H:$H, 'Instrument Table'!$B:$B, $C3635)))</f>
        <v>Synthesizer</v>
      </c>
      <c r="D3636" s="1" t="str">
        <f>VLOOKUP($C3636, 'Instrument Table'!$B:$C, 2, FALSE)</f>
        <v>Other</v>
      </c>
      <c r="E3636" s="1">
        <f t="shared" si="336"/>
        <v>1</v>
      </c>
      <c r="F3636" s="1">
        <f>_xlfn.XLOOKUP($C3636, 'Instrument Table'!$B:$B, 'Instrument Table'!$A:$A, "")</f>
        <v>61</v>
      </c>
      <c r="G3636" s="1" t="str">
        <f>TEXT(IF($B3636 = "Retail Item", IF((ROW($A3636) - 4504 - _xlfn.XMATCH($C3636, $C$4506:$C$5005, 0, 1)) &lt;= VLOOKUP($C3636, 'Instrument Table'!$B:$D, 3, FALSE), ROW($A3636) - 4504 - _xlfn.XMATCH($C3636, $C$4506:$C$5005, 0, 1), 0), 0), "00")</f>
        <v>00</v>
      </c>
      <c r="H3636" s="1" t="str">
        <f t="shared" si="337"/>
        <v>180</v>
      </c>
      <c r="I3636" s="1" t="str">
        <f t="shared" si="338"/>
        <v>16100-180</v>
      </c>
      <c r="J3636" s="1" t="str">
        <f t="shared" si="339"/>
        <v>Synthesizer production item #180</v>
      </c>
      <c r="K3636" s="1" t="str">
        <f>IF(SUM(COUNTIFS(I:I, I3636)) &gt; 1, "DUPLICATE", "UNIQUE")</f>
        <v>UNIQUE</v>
      </c>
      <c r="L3636" s="18">
        <v>0</v>
      </c>
      <c r="M3636" s="28">
        <v>29</v>
      </c>
      <c r="N3636" s="6">
        <v>16</v>
      </c>
      <c r="O3636" s="30">
        <f t="shared" si="340"/>
        <v>0</v>
      </c>
      <c r="P3636" s="30">
        <f t="shared" si="341"/>
        <v>464</v>
      </c>
      <c r="Q3636" s="1">
        <f>COUNTIFS($P:$P, "&gt;" &amp; $P3636) + 1</f>
        <v>4052</v>
      </c>
      <c r="R3636" s="63">
        <f>(COUNTIFS($P:$P, "&gt;" &amp; $P3636) + 1) / (COUNTA($I:$I) - 1)</f>
        <v>0.81040000000000001</v>
      </c>
      <c r="S3636" s="23">
        <f>SUMIFS($P:$P, $Q:$Q, "&lt;" &amp; $Q3636)</f>
        <v>186424322</v>
      </c>
    </row>
    <row r="3637" spans="1:19" x14ac:dyDescent="0.25">
      <c r="A3637" s="1">
        <v>3632</v>
      </c>
      <c r="B3637" s="1" t="s">
        <v>2</v>
      </c>
      <c r="C3637" s="1" t="str">
        <f>IF($B3637 = "Production Item", _xlfn.XLOOKUP($A3637, 'Instrument Table'!$J:$J, 'Instrument Table'!$B:$B, $C3636), IF($B3637 = "Service Item", _xlfn.XLOOKUP($A3637, 'Instrument Table'!$I:$I, 'Instrument Table'!$B:$B, $C3636), _xlfn.XLOOKUP($A3637, 'Instrument Table'!$H:$H, 'Instrument Table'!$B:$B, $C3636)))</f>
        <v>Synthesizer</v>
      </c>
      <c r="D3637" s="1" t="str">
        <f>VLOOKUP($C3637, 'Instrument Table'!$B:$C, 2, FALSE)</f>
        <v>Other</v>
      </c>
      <c r="E3637" s="1">
        <f t="shared" si="336"/>
        <v>1</v>
      </c>
      <c r="F3637" s="1">
        <f>_xlfn.XLOOKUP($C3637, 'Instrument Table'!$B:$B, 'Instrument Table'!$A:$A, "")</f>
        <v>61</v>
      </c>
      <c r="G3637" s="1" t="str">
        <f>TEXT(IF($B3637 = "Retail Item", IF((ROW($A3637) - 4504 - _xlfn.XMATCH($C3637, $C$4506:$C$5005, 0, 1)) &lt;= VLOOKUP($C3637, 'Instrument Table'!$B:$D, 3, FALSE), ROW($A3637) - 4504 - _xlfn.XMATCH($C3637, $C$4506:$C$5005, 0, 1), 0), 0), "00")</f>
        <v>00</v>
      </c>
      <c r="H3637" s="1" t="str">
        <f t="shared" si="337"/>
        <v>181</v>
      </c>
      <c r="I3637" s="1" t="str">
        <f t="shared" si="338"/>
        <v>16100-181</v>
      </c>
      <c r="J3637" s="1" t="str">
        <f t="shared" si="339"/>
        <v>Synthesizer production item #181</v>
      </c>
      <c r="K3637" s="1" t="str">
        <f>IF(SUM(COUNTIFS(I:I, I3637)) &gt; 1, "DUPLICATE", "UNIQUE")</f>
        <v>UNIQUE</v>
      </c>
      <c r="L3637" s="18">
        <v>0</v>
      </c>
      <c r="M3637" s="28">
        <v>54</v>
      </c>
      <c r="N3637" s="6">
        <v>49</v>
      </c>
      <c r="O3637" s="30">
        <f t="shared" si="340"/>
        <v>0</v>
      </c>
      <c r="P3637" s="30">
        <f t="shared" si="341"/>
        <v>2646</v>
      </c>
      <c r="Q3637" s="1">
        <f>COUNTIFS($P:$P, "&gt;" &amp; $P3637) + 1</f>
        <v>2999</v>
      </c>
      <c r="R3637" s="63">
        <f>(COUNTIFS($P:$P, "&gt;" &amp; $P3637) + 1) / (COUNTA($I:$I) - 1)</f>
        <v>0.5998</v>
      </c>
      <c r="S3637" s="23">
        <f>SUMIFS($P:$P, $Q:$Q, "&lt;" &amp; $Q3637)</f>
        <v>184929454</v>
      </c>
    </row>
    <row r="3638" spans="1:19" x14ac:dyDescent="0.25">
      <c r="A3638" s="1">
        <v>3633</v>
      </c>
      <c r="B3638" s="1" t="s">
        <v>2</v>
      </c>
      <c r="C3638" s="1" t="str">
        <f>IF($B3638 = "Production Item", _xlfn.XLOOKUP($A3638, 'Instrument Table'!$J:$J, 'Instrument Table'!$B:$B, $C3637), IF($B3638 = "Service Item", _xlfn.XLOOKUP($A3638, 'Instrument Table'!$I:$I, 'Instrument Table'!$B:$B, $C3637), _xlfn.XLOOKUP($A3638, 'Instrument Table'!$H:$H, 'Instrument Table'!$B:$B, $C3637)))</f>
        <v>Synthesizer</v>
      </c>
      <c r="D3638" s="1" t="str">
        <f>VLOOKUP($C3638, 'Instrument Table'!$B:$C, 2, FALSE)</f>
        <v>Other</v>
      </c>
      <c r="E3638" s="1">
        <f t="shared" si="336"/>
        <v>1</v>
      </c>
      <c r="F3638" s="1">
        <f>_xlfn.XLOOKUP($C3638, 'Instrument Table'!$B:$B, 'Instrument Table'!$A:$A, "")</f>
        <v>61</v>
      </c>
      <c r="G3638" s="1" t="str">
        <f>TEXT(IF($B3638 = "Retail Item", IF((ROW($A3638) - 4504 - _xlfn.XMATCH($C3638, $C$4506:$C$5005, 0, 1)) &lt;= VLOOKUP($C3638, 'Instrument Table'!$B:$D, 3, FALSE), ROW($A3638) - 4504 - _xlfn.XMATCH($C3638, $C$4506:$C$5005, 0, 1), 0), 0), "00")</f>
        <v>00</v>
      </c>
      <c r="H3638" s="1" t="str">
        <f t="shared" si="337"/>
        <v>182</v>
      </c>
      <c r="I3638" s="1" t="str">
        <f t="shared" si="338"/>
        <v>16100-182</v>
      </c>
      <c r="J3638" s="1" t="str">
        <f t="shared" si="339"/>
        <v>Synthesizer production item #182</v>
      </c>
      <c r="K3638" s="1" t="str">
        <f>IF(SUM(COUNTIFS(I:I, I3638)) &gt; 1, "DUPLICATE", "UNIQUE")</f>
        <v>UNIQUE</v>
      </c>
      <c r="L3638" s="18">
        <v>0</v>
      </c>
      <c r="M3638" s="28">
        <v>33</v>
      </c>
      <c r="N3638" s="6">
        <v>81</v>
      </c>
      <c r="O3638" s="30">
        <f t="shared" si="340"/>
        <v>0</v>
      </c>
      <c r="P3638" s="30">
        <f t="shared" si="341"/>
        <v>2673</v>
      </c>
      <c r="Q3638" s="1">
        <f>COUNTIFS($P:$P, "&gt;" &amp; $P3638) + 1</f>
        <v>2990</v>
      </c>
      <c r="R3638" s="63">
        <f>(COUNTIFS($P:$P, "&gt;" &amp; $P3638) + 1) / (COUNTA($I:$I) - 1)</f>
        <v>0.59799999999999998</v>
      </c>
      <c r="S3638" s="23">
        <f>SUMIFS($P:$P, $Q:$Q, "&lt;" &amp; $Q3638)</f>
        <v>184905466</v>
      </c>
    </row>
    <row r="3639" spans="1:19" x14ac:dyDescent="0.25">
      <c r="A3639" s="1">
        <v>3634</v>
      </c>
      <c r="B3639" s="1" t="s">
        <v>2</v>
      </c>
      <c r="C3639" s="1" t="str">
        <f>IF($B3639 = "Production Item", _xlfn.XLOOKUP($A3639, 'Instrument Table'!$J:$J, 'Instrument Table'!$B:$B, $C3638), IF($B3639 = "Service Item", _xlfn.XLOOKUP($A3639, 'Instrument Table'!$I:$I, 'Instrument Table'!$B:$B, $C3638), _xlfn.XLOOKUP($A3639, 'Instrument Table'!$H:$H, 'Instrument Table'!$B:$B, $C3638)))</f>
        <v>Synthesizer</v>
      </c>
      <c r="D3639" s="1" t="str">
        <f>VLOOKUP($C3639, 'Instrument Table'!$B:$C, 2, FALSE)</f>
        <v>Other</v>
      </c>
      <c r="E3639" s="1">
        <f t="shared" si="336"/>
        <v>1</v>
      </c>
      <c r="F3639" s="1">
        <f>_xlfn.XLOOKUP($C3639, 'Instrument Table'!$B:$B, 'Instrument Table'!$A:$A, "")</f>
        <v>61</v>
      </c>
      <c r="G3639" s="1" t="str">
        <f>TEXT(IF($B3639 = "Retail Item", IF((ROW($A3639) - 4504 - _xlfn.XMATCH($C3639, $C$4506:$C$5005, 0, 1)) &lt;= VLOOKUP($C3639, 'Instrument Table'!$B:$D, 3, FALSE), ROW($A3639) - 4504 - _xlfn.XMATCH($C3639, $C$4506:$C$5005, 0, 1), 0), 0), "00")</f>
        <v>00</v>
      </c>
      <c r="H3639" s="1" t="str">
        <f t="shared" si="337"/>
        <v>183</v>
      </c>
      <c r="I3639" s="1" t="str">
        <f t="shared" si="338"/>
        <v>16100-183</v>
      </c>
      <c r="J3639" s="1" t="str">
        <f t="shared" si="339"/>
        <v>Synthesizer production item #183</v>
      </c>
      <c r="K3639" s="1" t="str">
        <f>IF(SUM(COUNTIFS(I:I, I3639)) &gt; 1, "DUPLICATE", "UNIQUE")</f>
        <v>UNIQUE</v>
      </c>
      <c r="L3639" s="18">
        <v>1</v>
      </c>
      <c r="M3639" s="28">
        <v>29</v>
      </c>
      <c r="N3639" s="6">
        <v>400</v>
      </c>
      <c r="O3639" s="30">
        <f t="shared" si="340"/>
        <v>29</v>
      </c>
      <c r="P3639" s="30">
        <f t="shared" si="341"/>
        <v>11600</v>
      </c>
      <c r="Q3639" s="1">
        <f>COUNTIFS($P:$P, "&gt;" &amp; $P3639) + 1</f>
        <v>1622</v>
      </c>
      <c r="R3639" s="63">
        <f>(COUNTIFS($P:$P, "&gt;" &amp; $P3639) + 1) / (COUNTA($I:$I) - 1)</f>
        <v>0.32440000000000002</v>
      </c>
      <c r="S3639" s="23">
        <f>SUMIFS($P:$P, $Q:$Q, "&lt;" &amp; $Q3639)</f>
        <v>176335567</v>
      </c>
    </row>
    <row r="3640" spans="1:19" x14ac:dyDescent="0.25">
      <c r="A3640" s="1">
        <v>3635</v>
      </c>
      <c r="B3640" s="1" t="s">
        <v>2</v>
      </c>
      <c r="C3640" s="1" t="str">
        <f>IF($B3640 = "Production Item", _xlfn.XLOOKUP($A3640, 'Instrument Table'!$J:$J, 'Instrument Table'!$B:$B, $C3639), IF($B3640 = "Service Item", _xlfn.XLOOKUP($A3640, 'Instrument Table'!$I:$I, 'Instrument Table'!$B:$B, $C3639), _xlfn.XLOOKUP($A3640, 'Instrument Table'!$H:$H, 'Instrument Table'!$B:$B, $C3639)))</f>
        <v>Synthesizer</v>
      </c>
      <c r="D3640" s="1" t="str">
        <f>VLOOKUP($C3640, 'Instrument Table'!$B:$C, 2, FALSE)</f>
        <v>Other</v>
      </c>
      <c r="E3640" s="1">
        <f t="shared" si="336"/>
        <v>1</v>
      </c>
      <c r="F3640" s="1">
        <f>_xlfn.XLOOKUP($C3640, 'Instrument Table'!$B:$B, 'Instrument Table'!$A:$A, "")</f>
        <v>61</v>
      </c>
      <c r="G3640" s="1" t="str">
        <f>TEXT(IF($B3640 = "Retail Item", IF((ROW($A3640) - 4504 - _xlfn.XMATCH($C3640, $C$4506:$C$5005, 0, 1)) &lt;= VLOOKUP($C3640, 'Instrument Table'!$B:$D, 3, FALSE), ROW($A3640) - 4504 - _xlfn.XMATCH($C3640, $C$4506:$C$5005, 0, 1), 0), 0), "00")</f>
        <v>00</v>
      </c>
      <c r="H3640" s="1" t="str">
        <f t="shared" si="337"/>
        <v>184</v>
      </c>
      <c r="I3640" s="1" t="str">
        <f t="shared" si="338"/>
        <v>16100-184</v>
      </c>
      <c r="J3640" s="1" t="str">
        <f t="shared" si="339"/>
        <v>Synthesizer production item #184</v>
      </c>
      <c r="K3640" s="1" t="str">
        <f>IF(SUM(COUNTIFS(I:I, I3640)) &gt; 1, "DUPLICATE", "UNIQUE")</f>
        <v>UNIQUE</v>
      </c>
      <c r="L3640" s="18">
        <v>1</v>
      </c>
      <c r="M3640" s="28">
        <v>73</v>
      </c>
      <c r="N3640" s="6">
        <v>225</v>
      </c>
      <c r="O3640" s="30">
        <f t="shared" si="340"/>
        <v>73</v>
      </c>
      <c r="P3640" s="30">
        <f t="shared" si="341"/>
        <v>16425</v>
      </c>
      <c r="Q3640" s="1">
        <f>COUNTIFS($P:$P, "&gt;" &amp; $P3640) + 1</f>
        <v>1252</v>
      </c>
      <c r="R3640" s="63">
        <f>(COUNTIFS($P:$P, "&gt;" &amp; $P3640) + 1) / (COUNTA($I:$I) - 1)</f>
        <v>0.25040000000000001</v>
      </c>
      <c r="S3640" s="23">
        <f>SUMIFS($P:$P, $Q:$Q, "&lt;" &amp; $Q3640)</f>
        <v>171202398</v>
      </c>
    </row>
    <row r="3641" spans="1:19" x14ac:dyDescent="0.25">
      <c r="A3641" s="1">
        <v>3636</v>
      </c>
      <c r="B3641" s="1" t="s">
        <v>2</v>
      </c>
      <c r="C3641" s="1" t="str">
        <f>IF($B3641 = "Production Item", _xlfn.XLOOKUP($A3641, 'Instrument Table'!$J:$J, 'Instrument Table'!$B:$B, $C3640), IF($B3641 = "Service Item", _xlfn.XLOOKUP($A3641, 'Instrument Table'!$I:$I, 'Instrument Table'!$B:$B, $C3640), _xlfn.XLOOKUP($A3641, 'Instrument Table'!$H:$H, 'Instrument Table'!$B:$B, $C3640)))</f>
        <v>Synthesizer</v>
      </c>
      <c r="D3641" s="1" t="str">
        <f>VLOOKUP($C3641, 'Instrument Table'!$B:$C, 2, FALSE)</f>
        <v>Other</v>
      </c>
      <c r="E3641" s="1">
        <f t="shared" si="336"/>
        <v>1</v>
      </c>
      <c r="F3641" s="1">
        <f>_xlfn.XLOOKUP($C3641, 'Instrument Table'!$B:$B, 'Instrument Table'!$A:$A, "")</f>
        <v>61</v>
      </c>
      <c r="G3641" s="1" t="str">
        <f>TEXT(IF($B3641 = "Retail Item", IF((ROW($A3641) - 4504 - _xlfn.XMATCH($C3641, $C$4506:$C$5005, 0, 1)) &lt;= VLOOKUP($C3641, 'Instrument Table'!$B:$D, 3, FALSE), ROW($A3641) - 4504 - _xlfn.XMATCH($C3641, $C$4506:$C$5005, 0, 1), 0), 0), "00")</f>
        <v>00</v>
      </c>
      <c r="H3641" s="1" t="str">
        <f t="shared" si="337"/>
        <v>185</v>
      </c>
      <c r="I3641" s="1" t="str">
        <f t="shared" si="338"/>
        <v>16100-185</v>
      </c>
      <c r="J3641" s="1" t="str">
        <f t="shared" si="339"/>
        <v>Synthesizer production item #185</v>
      </c>
      <c r="K3641" s="1" t="str">
        <f>IF(SUM(COUNTIFS(I:I, I3641)) &gt; 1, "DUPLICATE", "UNIQUE")</f>
        <v>UNIQUE</v>
      </c>
      <c r="L3641" s="18">
        <v>0</v>
      </c>
      <c r="M3641" s="28">
        <v>37</v>
      </c>
      <c r="N3641" s="6">
        <v>100</v>
      </c>
      <c r="O3641" s="30">
        <f t="shared" si="340"/>
        <v>0</v>
      </c>
      <c r="P3641" s="30">
        <f t="shared" si="341"/>
        <v>3700</v>
      </c>
      <c r="Q3641" s="1">
        <f>COUNTIFS($P:$P, "&gt;" &amp; $P3641) + 1</f>
        <v>2724</v>
      </c>
      <c r="R3641" s="63">
        <f>(COUNTIFS($P:$P, "&gt;" &amp; $P3641) + 1) / (COUNTA($I:$I) - 1)</f>
        <v>0.54479999999999995</v>
      </c>
      <c r="S3641" s="23">
        <f>SUMIFS($P:$P, $Q:$Q, "&lt;" &amp; $Q3641)</f>
        <v>184056526</v>
      </c>
    </row>
    <row r="3642" spans="1:19" x14ac:dyDescent="0.25">
      <c r="A3642" s="1">
        <v>3637</v>
      </c>
      <c r="B3642" s="1" t="s">
        <v>2</v>
      </c>
      <c r="C3642" s="1" t="str">
        <f>IF($B3642 = "Production Item", _xlfn.XLOOKUP($A3642, 'Instrument Table'!$J:$J, 'Instrument Table'!$B:$B, $C3641), IF($B3642 = "Service Item", _xlfn.XLOOKUP($A3642, 'Instrument Table'!$I:$I, 'Instrument Table'!$B:$B, $C3641), _xlfn.XLOOKUP($A3642, 'Instrument Table'!$H:$H, 'Instrument Table'!$B:$B, $C3641)))</f>
        <v>Synthesizer</v>
      </c>
      <c r="D3642" s="1" t="str">
        <f>VLOOKUP($C3642, 'Instrument Table'!$B:$C, 2, FALSE)</f>
        <v>Other</v>
      </c>
      <c r="E3642" s="1">
        <f t="shared" si="336"/>
        <v>1</v>
      </c>
      <c r="F3642" s="1">
        <f>_xlfn.XLOOKUP($C3642, 'Instrument Table'!$B:$B, 'Instrument Table'!$A:$A, "")</f>
        <v>61</v>
      </c>
      <c r="G3642" s="1" t="str">
        <f>TEXT(IF($B3642 = "Retail Item", IF((ROW($A3642) - 4504 - _xlfn.XMATCH($C3642, $C$4506:$C$5005, 0, 1)) &lt;= VLOOKUP($C3642, 'Instrument Table'!$B:$D, 3, FALSE), ROW($A3642) - 4504 - _xlfn.XMATCH($C3642, $C$4506:$C$5005, 0, 1), 0), 0), "00")</f>
        <v>00</v>
      </c>
      <c r="H3642" s="1" t="str">
        <f t="shared" si="337"/>
        <v>186</v>
      </c>
      <c r="I3642" s="1" t="str">
        <f t="shared" si="338"/>
        <v>16100-186</v>
      </c>
      <c r="J3642" s="1" t="str">
        <f t="shared" si="339"/>
        <v>Synthesizer production item #186</v>
      </c>
      <c r="K3642" s="1" t="str">
        <f>IF(SUM(COUNTIFS(I:I, I3642)) &gt; 1, "DUPLICATE", "UNIQUE")</f>
        <v>UNIQUE</v>
      </c>
      <c r="L3642" s="18">
        <v>2</v>
      </c>
      <c r="M3642" s="28">
        <v>11</v>
      </c>
      <c r="N3642" s="6">
        <v>36</v>
      </c>
      <c r="O3642" s="30">
        <f t="shared" si="340"/>
        <v>22</v>
      </c>
      <c r="P3642" s="30">
        <f t="shared" si="341"/>
        <v>396</v>
      </c>
      <c r="Q3642" s="1">
        <f>COUNTIFS($P:$P, "&gt;" &amp; $P3642) + 1</f>
        <v>4100</v>
      </c>
      <c r="R3642" s="63">
        <f>(COUNTIFS($P:$P, "&gt;" &amp; $P3642) + 1) / (COUNTA($I:$I) - 1)</f>
        <v>0.82</v>
      </c>
      <c r="S3642" s="23">
        <f>SUMIFS($P:$P, $Q:$Q, "&lt;" &amp; $Q3642)</f>
        <v>186444882</v>
      </c>
    </row>
    <row r="3643" spans="1:19" x14ac:dyDescent="0.25">
      <c r="A3643" s="1">
        <v>3638</v>
      </c>
      <c r="B3643" s="1" t="s">
        <v>2</v>
      </c>
      <c r="C3643" s="1" t="str">
        <f>IF($B3643 = "Production Item", _xlfn.XLOOKUP($A3643, 'Instrument Table'!$J:$J, 'Instrument Table'!$B:$B, $C3642), IF($B3643 = "Service Item", _xlfn.XLOOKUP($A3643, 'Instrument Table'!$I:$I, 'Instrument Table'!$B:$B, $C3642), _xlfn.XLOOKUP($A3643, 'Instrument Table'!$H:$H, 'Instrument Table'!$B:$B, $C3642)))</f>
        <v>Synthesizer</v>
      </c>
      <c r="D3643" s="1" t="str">
        <f>VLOOKUP($C3643, 'Instrument Table'!$B:$C, 2, FALSE)</f>
        <v>Other</v>
      </c>
      <c r="E3643" s="1">
        <f t="shared" si="336"/>
        <v>1</v>
      </c>
      <c r="F3643" s="1">
        <f>_xlfn.XLOOKUP($C3643, 'Instrument Table'!$B:$B, 'Instrument Table'!$A:$A, "")</f>
        <v>61</v>
      </c>
      <c r="G3643" s="1" t="str">
        <f>TEXT(IF($B3643 = "Retail Item", IF((ROW($A3643) - 4504 - _xlfn.XMATCH($C3643, $C$4506:$C$5005, 0, 1)) &lt;= VLOOKUP($C3643, 'Instrument Table'!$B:$D, 3, FALSE), ROW($A3643) - 4504 - _xlfn.XMATCH($C3643, $C$4506:$C$5005, 0, 1), 0), 0), "00")</f>
        <v>00</v>
      </c>
      <c r="H3643" s="1" t="str">
        <f t="shared" si="337"/>
        <v>187</v>
      </c>
      <c r="I3643" s="1" t="str">
        <f t="shared" si="338"/>
        <v>16100-187</v>
      </c>
      <c r="J3643" s="1" t="str">
        <f t="shared" si="339"/>
        <v>Synthesizer production item #187</v>
      </c>
      <c r="K3643" s="1" t="str">
        <f>IF(SUM(COUNTIFS(I:I, I3643)) &gt; 1, "DUPLICATE", "UNIQUE")</f>
        <v>UNIQUE</v>
      </c>
      <c r="L3643" s="18">
        <v>16</v>
      </c>
      <c r="M3643" s="28">
        <v>87</v>
      </c>
      <c r="N3643" s="6">
        <v>0</v>
      </c>
      <c r="O3643" s="30">
        <f t="shared" si="340"/>
        <v>1392</v>
      </c>
      <c r="P3643" s="30">
        <f t="shared" si="341"/>
        <v>0</v>
      </c>
      <c r="Q3643" s="1">
        <f>COUNTIFS($P:$P, "&gt;" &amp; $P3643) + 1</f>
        <v>4746</v>
      </c>
      <c r="R3643" s="63">
        <f>(COUNTIFS($P:$P, "&gt;" &amp; $P3643) + 1) / (COUNTA($I:$I) - 1)</f>
        <v>0.94920000000000004</v>
      </c>
      <c r="S3643" s="23">
        <f>SUMIFS($P:$P, $Q:$Q, "&lt;" &amp; $Q3643)</f>
        <v>186547861</v>
      </c>
    </row>
    <row r="3644" spans="1:19" x14ac:dyDescent="0.25">
      <c r="A3644" s="1">
        <v>3639</v>
      </c>
      <c r="B3644" s="1" t="s">
        <v>2</v>
      </c>
      <c r="C3644" s="1" t="str">
        <f>IF($B3644 = "Production Item", _xlfn.XLOOKUP($A3644, 'Instrument Table'!$J:$J, 'Instrument Table'!$B:$B, $C3643), IF($B3644 = "Service Item", _xlfn.XLOOKUP($A3644, 'Instrument Table'!$I:$I, 'Instrument Table'!$B:$B, $C3643), _xlfn.XLOOKUP($A3644, 'Instrument Table'!$H:$H, 'Instrument Table'!$B:$B, $C3643)))</f>
        <v>Synthesizer</v>
      </c>
      <c r="D3644" s="1" t="str">
        <f>VLOOKUP($C3644, 'Instrument Table'!$B:$C, 2, FALSE)</f>
        <v>Other</v>
      </c>
      <c r="E3644" s="1">
        <f t="shared" si="336"/>
        <v>1</v>
      </c>
      <c r="F3644" s="1">
        <f>_xlfn.XLOOKUP($C3644, 'Instrument Table'!$B:$B, 'Instrument Table'!$A:$A, "")</f>
        <v>61</v>
      </c>
      <c r="G3644" s="1" t="str">
        <f>TEXT(IF($B3644 = "Retail Item", IF((ROW($A3644) - 4504 - _xlfn.XMATCH($C3644, $C$4506:$C$5005, 0, 1)) &lt;= VLOOKUP($C3644, 'Instrument Table'!$B:$D, 3, FALSE), ROW($A3644) - 4504 - _xlfn.XMATCH($C3644, $C$4506:$C$5005, 0, 1), 0), 0), "00")</f>
        <v>00</v>
      </c>
      <c r="H3644" s="1" t="str">
        <f t="shared" si="337"/>
        <v>188</v>
      </c>
      <c r="I3644" s="1" t="str">
        <f t="shared" si="338"/>
        <v>16100-188</v>
      </c>
      <c r="J3644" s="1" t="str">
        <f t="shared" si="339"/>
        <v>Synthesizer production item #188</v>
      </c>
      <c r="K3644" s="1" t="str">
        <f>IF(SUM(COUNTIFS(I:I, I3644)) &gt; 1, "DUPLICATE", "UNIQUE")</f>
        <v>UNIQUE</v>
      </c>
      <c r="L3644" s="18">
        <v>1</v>
      </c>
      <c r="M3644" s="28">
        <v>48</v>
      </c>
      <c r="N3644" s="6">
        <v>169</v>
      </c>
      <c r="O3644" s="30">
        <f t="shared" si="340"/>
        <v>48</v>
      </c>
      <c r="P3644" s="30">
        <f t="shared" si="341"/>
        <v>8112</v>
      </c>
      <c r="Q3644" s="1">
        <f>COUNTIFS($P:$P, "&gt;" &amp; $P3644) + 1</f>
        <v>1968</v>
      </c>
      <c r="R3644" s="63">
        <f>(COUNTIFS($P:$P, "&gt;" &amp; $P3644) + 1) / (COUNTA($I:$I) - 1)</f>
        <v>0.39360000000000001</v>
      </c>
      <c r="S3644" s="23">
        <f>SUMIFS($P:$P, $Q:$Q, "&lt;" &amp; $Q3644)</f>
        <v>179739445</v>
      </c>
    </row>
    <row r="3645" spans="1:19" x14ac:dyDescent="0.25">
      <c r="A3645" s="1">
        <v>3640</v>
      </c>
      <c r="B3645" s="1" t="s">
        <v>2</v>
      </c>
      <c r="C3645" s="1" t="str">
        <f>IF($B3645 = "Production Item", _xlfn.XLOOKUP($A3645, 'Instrument Table'!$J:$J, 'Instrument Table'!$B:$B, $C3644), IF($B3645 = "Service Item", _xlfn.XLOOKUP($A3645, 'Instrument Table'!$I:$I, 'Instrument Table'!$B:$B, $C3644), _xlfn.XLOOKUP($A3645, 'Instrument Table'!$H:$H, 'Instrument Table'!$B:$B, $C3644)))</f>
        <v>Synthesizer</v>
      </c>
      <c r="D3645" s="1" t="str">
        <f>VLOOKUP($C3645, 'Instrument Table'!$B:$C, 2, FALSE)</f>
        <v>Other</v>
      </c>
      <c r="E3645" s="1">
        <f t="shared" si="336"/>
        <v>1</v>
      </c>
      <c r="F3645" s="1">
        <f>_xlfn.XLOOKUP($C3645, 'Instrument Table'!$B:$B, 'Instrument Table'!$A:$A, "")</f>
        <v>61</v>
      </c>
      <c r="G3645" s="1" t="str">
        <f>TEXT(IF($B3645 = "Retail Item", IF((ROW($A3645) - 4504 - _xlfn.XMATCH($C3645, $C$4506:$C$5005, 0, 1)) &lt;= VLOOKUP($C3645, 'Instrument Table'!$B:$D, 3, FALSE), ROW($A3645) - 4504 - _xlfn.XMATCH($C3645, $C$4506:$C$5005, 0, 1), 0), 0), "00")</f>
        <v>00</v>
      </c>
      <c r="H3645" s="1" t="str">
        <f t="shared" si="337"/>
        <v>189</v>
      </c>
      <c r="I3645" s="1" t="str">
        <f t="shared" si="338"/>
        <v>16100-189</v>
      </c>
      <c r="J3645" s="1" t="str">
        <f t="shared" si="339"/>
        <v>Synthesizer production item #189</v>
      </c>
      <c r="K3645" s="1" t="str">
        <f>IF(SUM(COUNTIFS(I:I, I3645)) &gt; 1, "DUPLICATE", "UNIQUE")</f>
        <v>UNIQUE</v>
      </c>
      <c r="L3645" s="18">
        <v>8</v>
      </c>
      <c r="M3645" s="28">
        <v>69</v>
      </c>
      <c r="N3645" s="6">
        <v>0</v>
      </c>
      <c r="O3645" s="30">
        <f t="shared" si="340"/>
        <v>552</v>
      </c>
      <c r="P3645" s="30">
        <f t="shared" si="341"/>
        <v>0</v>
      </c>
      <c r="Q3645" s="1">
        <f>COUNTIFS($P:$P, "&gt;" &amp; $P3645) + 1</f>
        <v>4746</v>
      </c>
      <c r="R3645" s="63">
        <f>(COUNTIFS($P:$P, "&gt;" &amp; $P3645) + 1) / (COUNTA($I:$I) - 1)</f>
        <v>0.94920000000000004</v>
      </c>
      <c r="S3645" s="23">
        <f>SUMIFS($P:$P, $Q:$Q, "&lt;" &amp; $Q3645)</f>
        <v>186547861</v>
      </c>
    </row>
    <row r="3646" spans="1:19" x14ac:dyDescent="0.25">
      <c r="A3646" s="1">
        <v>3641</v>
      </c>
      <c r="B3646" s="1" t="s">
        <v>2</v>
      </c>
      <c r="C3646" s="1" t="str">
        <f>IF($B3646 = "Production Item", _xlfn.XLOOKUP($A3646, 'Instrument Table'!$J:$J, 'Instrument Table'!$B:$B, $C3645), IF($B3646 = "Service Item", _xlfn.XLOOKUP($A3646, 'Instrument Table'!$I:$I, 'Instrument Table'!$B:$B, $C3645), _xlfn.XLOOKUP($A3646, 'Instrument Table'!$H:$H, 'Instrument Table'!$B:$B, $C3645)))</f>
        <v>Synthesizer</v>
      </c>
      <c r="D3646" s="1" t="str">
        <f>VLOOKUP($C3646, 'Instrument Table'!$B:$C, 2, FALSE)</f>
        <v>Other</v>
      </c>
      <c r="E3646" s="1">
        <f t="shared" si="336"/>
        <v>1</v>
      </c>
      <c r="F3646" s="1">
        <f>_xlfn.XLOOKUP($C3646, 'Instrument Table'!$B:$B, 'Instrument Table'!$A:$A, "")</f>
        <v>61</v>
      </c>
      <c r="G3646" s="1" t="str">
        <f>TEXT(IF($B3646 = "Retail Item", IF((ROW($A3646) - 4504 - _xlfn.XMATCH($C3646, $C$4506:$C$5005, 0, 1)) &lt;= VLOOKUP($C3646, 'Instrument Table'!$B:$D, 3, FALSE), ROW($A3646) - 4504 - _xlfn.XMATCH($C3646, $C$4506:$C$5005, 0, 1), 0), 0), "00")</f>
        <v>00</v>
      </c>
      <c r="H3646" s="1" t="str">
        <f t="shared" si="337"/>
        <v>190</v>
      </c>
      <c r="I3646" s="1" t="str">
        <f t="shared" si="338"/>
        <v>16100-190</v>
      </c>
      <c r="J3646" s="1" t="str">
        <f t="shared" si="339"/>
        <v>Synthesizer production item #190</v>
      </c>
      <c r="K3646" s="1" t="str">
        <f>IF(SUM(COUNTIFS(I:I, I3646)) &gt; 1, "DUPLICATE", "UNIQUE")</f>
        <v>UNIQUE</v>
      </c>
      <c r="L3646" s="18">
        <v>4</v>
      </c>
      <c r="M3646" s="28">
        <v>30</v>
      </c>
      <c r="N3646" s="6">
        <v>16</v>
      </c>
      <c r="O3646" s="30">
        <f t="shared" si="340"/>
        <v>120</v>
      </c>
      <c r="P3646" s="30">
        <f t="shared" si="341"/>
        <v>480</v>
      </c>
      <c r="Q3646" s="1">
        <f>COUNTIFS($P:$P, "&gt;" &amp; $P3646) + 1</f>
        <v>4045</v>
      </c>
      <c r="R3646" s="63">
        <f>(COUNTIFS($P:$P, "&gt;" &amp; $P3646) + 1) / (COUNTA($I:$I) - 1)</f>
        <v>0.80900000000000005</v>
      </c>
      <c r="S3646" s="23">
        <f>SUMIFS($P:$P, $Q:$Q, "&lt;" &amp; $Q3646)</f>
        <v>186421006</v>
      </c>
    </row>
    <row r="3647" spans="1:19" x14ac:dyDescent="0.25">
      <c r="A3647" s="1">
        <v>3642</v>
      </c>
      <c r="B3647" s="1" t="s">
        <v>2</v>
      </c>
      <c r="C3647" s="1" t="str">
        <f>IF($B3647 = "Production Item", _xlfn.XLOOKUP($A3647, 'Instrument Table'!$J:$J, 'Instrument Table'!$B:$B, $C3646), IF($B3647 = "Service Item", _xlfn.XLOOKUP($A3647, 'Instrument Table'!$I:$I, 'Instrument Table'!$B:$B, $C3646), _xlfn.XLOOKUP($A3647, 'Instrument Table'!$H:$H, 'Instrument Table'!$B:$B, $C3646)))</f>
        <v>Synthesizer</v>
      </c>
      <c r="D3647" s="1" t="str">
        <f>VLOOKUP($C3647, 'Instrument Table'!$B:$C, 2, FALSE)</f>
        <v>Other</v>
      </c>
      <c r="E3647" s="1">
        <f t="shared" si="336"/>
        <v>1</v>
      </c>
      <c r="F3647" s="1">
        <f>_xlfn.XLOOKUP($C3647, 'Instrument Table'!$B:$B, 'Instrument Table'!$A:$A, "")</f>
        <v>61</v>
      </c>
      <c r="G3647" s="1" t="str">
        <f>TEXT(IF($B3647 = "Retail Item", IF((ROW($A3647) - 4504 - _xlfn.XMATCH($C3647, $C$4506:$C$5005, 0, 1)) &lt;= VLOOKUP($C3647, 'Instrument Table'!$B:$D, 3, FALSE), ROW($A3647) - 4504 - _xlfn.XMATCH($C3647, $C$4506:$C$5005, 0, 1), 0), 0), "00")</f>
        <v>00</v>
      </c>
      <c r="H3647" s="1" t="str">
        <f t="shared" si="337"/>
        <v>191</v>
      </c>
      <c r="I3647" s="1" t="str">
        <f t="shared" si="338"/>
        <v>16100-191</v>
      </c>
      <c r="J3647" s="1" t="str">
        <f t="shared" si="339"/>
        <v>Synthesizer production item #191</v>
      </c>
      <c r="K3647" s="1" t="str">
        <f>IF(SUM(COUNTIFS(I:I, I3647)) &gt; 1, "DUPLICATE", "UNIQUE")</f>
        <v>UNIQUE</v>
      </c>
      <c r="L3647" s="18">
        <v>1</v>
      </c>
      <c r="M3647" s="28">
        <v>6</v>
      </c>
      <c r="N3647" s="6">
        <v>121</v>
      </c>
      <c r="O3647" s="30">
        <f t="shared" si="340"/>
        <v>6</v>
      </c>
      <c r="P3647" s="30">
        <f t="shared" si="341"/>
        <v>726</v>
      </c>
      <c r="Q3647" s="1">
        <f>COUNTIFS($P:$P, "&gt;" &amp; $P3647) + 1</f>
        <v>3852</v>
      </c>
      <c r="R3647" s="63">
        <f>(COUNTIFS($P:$P, "&gt;" &amp; $P3647) + 1) / (COUNTA($I:$I) - 1)</f>
        <v>0.77039999999999997</v>
      </c>
      <c r="S3647" s="23">
        <f>SUMIFS($P:$P, $Q:$Q, "&lt;" &amp; $Q3647)</f>
        <v>186305001</v>
      </c>
    </row>
    <row r="3648" spans="1:19" x14ac:dyDescent="0.25">
      <c r="A3648" s="1">
        <v>3643</v>
      </c>
      <c r="B3648" s="1" t="s">
        <v>2</v>
      </c>
      <c r="C3648" s="1" t="str">
        <f>IF($B3648 = "Production Item", _xlfn.XLOOKUP($A3648, 'Instrument Table'!$J:$J, 'Instrument Table'!$B:$B, $C3647), IF($B3648 = "Service Item", _xlfn.XLOOKUP($A3648, 'Instrument Table'!$I:$I, 'Instrument Table'!$B:$B, $C3647), _xlfn.XLOOKUP($A3648, 'Instrument Table'!$H:$H, 'Instrument Table'!$B:$B, $C3647)))</f>
        <v>Synthesizer</v>
      </c>
      <c r="D3648" s="1" t="str">
        <f>VLOOKUP($C3648, 'Instrument Table'!$B:$C, 2, FALSE)</f>
        <v>Other</v>
      </c>
      <c r="E3648" s="1">
        <f t="shared" si="336"/>
        <v>1</v>
      </c>
      <c r="F3648" s="1">
        <f>_xlfn.XLOOKUP($C3648, 'Instrument Table'!$B:$B, 'Instrument Table'!$A:$A, "")</f>
        <v>61</v>
      </c>
      <c r="G3648" s="1" t="str">
        <f>TEXT(IF($B3648 = "Retail Item", IF((ROW($A3648) - 4504 - _xlfn.XMATCH($C3648, $C$4506:$C$5005, 0, 1)) &lt;= VLOOKUP($C3648, 'Instrument Table'!$B:$D, 3, FALSE), ROW($A3648) - 4504 - _xlfn.XMATCH($C3648, $C$4506:$C$5005, 0, 1), 0), 0), "00")</f>
        <v>00</v>
      </c>
      <c r="H3648" s="1" t="str">
        <f t="shared" si="337"/>
        <v>192</v>
      </c>
      <c r="I3648" s="1" t="str">
        <f t="shared" si="338"/>
        <v>16100-192</v>
      </c>
      <c r="J3648" s="1" t="str">
        <f t="shared" si="339"/>
        <v>Synthesizer production item #192</v>
      </c>
      <c r="K3648" s="1" t="str">
        <f>IF(SUM(COUNTIFS(I:I, I3648)) &gt; 1, "DUPLICATE", "UNIQUE")</f>
        <v>UNIQUE</v>
      </c>
      <c r="L3648" s="18">
        <v>1</v>
      </c>
      <c r="M3648" s="28">
        <v>14</v>
      </c>
      <c r="N3648" s="6">
        <v>0</v>
      </c>
      <c r="O3648" s="30">
        <f t="shared" si="340"/>
        <v>14</v>
      </c>
      <c r="P3648" s="30">
        <f t="shared" si="341"/>
        <v>0</v>
      </c>
      <c r="Q3648" s="1">
        <f>COUNTIFS($P:$P, "&gt;" &amp; $P3648) + 1</f>
        <v>4746</v>
      </c>
      <c r="R3648" s="63">
        <f>(COUNTIFS($P:$P, "&gt;" &amp; $P3648) + 1) / (COUNTA($I:$I) - 1)</f>
        <v>0.94920000000000004</v>
      </c>
      <c r="S3648" s="23">
        <f>SUMIFS($P:$P, $Q:$Q, "&lt;" &amp; $Q3648)</f>
        <v>186547861</v>
      </c>
    </row>
    <row r="3649" spans="1:19" x14ac:dyDescent="0.25">
      <c r="A3649" s="1">
        <v>3644</v>
      </c>
      <c r="B3649" s="1" t="s">
        <v>2</v>
      </c>
      <c r="C3649" s="1" t="str">
        <f>IF($B3649 = "Production Item", _xlfn.XLOOKUP($A3649, 'Instrument Table'!$J:$J, 'Instrument Table'!$B:$B, $C3648), IF($B3649 = "Service Item", _xlfn.XLOOKUP($A3649, 'Instrument Table'!$I:$I, 'Instrument Table'!$B:$B, $C3648), _xlfn.XLOOKUP($A3649, 'Instrument Table'!$H:$H, 'Instrument Table'!$B:$B, $C3648)))</f>
        <v>Synthesizer</v>
      </c>
      <c r="D3649" s="1" t="str">
        <f>VLOOKUP($C3649, 'Instrument Table'!$B:$C, 2, FALSE)</f>
        <v>Other</v>
      </c>
      <c r="E3649" s="1">
        <f t="shared" si="336"/>
        <v>1</v>
      </c>
      <c r="F3649" s="1">
        <f>_xlfn.XLOOKUP($C3649, 'Instrument Table'!$B:$B, 'Instrument Table'!$A:$A, "")</f>
        <v>61</v>
      </c>
      <c r="G3649" s="1" t="str">
        <f>TEXT(IF($B3649 = "Retail Item", IF((ROW($A3649) - 4504 - _xlfn.XMATCH($C3649, $C$4506:$C$5005, 0, 1)) &lt;= VLOOKUP($C3649, 'Instrument Table'!$B:$D, 3, FALSE), ROW($A3649) - 4504 - _xlfn.XMATCH($C3649, $C$4506:$C$5005, 0, 1), 0), 0), "00")</f>
        <v>00</v>
      </c>
      <c r="H3649" s="1" t="str">
        <f t="shared" si="337"/>
        <v>193</v>
      </c>
      <c r="I3649" s="1" t="str">
        <f t="shared" si="338"/>
        <v>16100-193</v>
      </c>
      <c r="J3649" s="1" t="str">
        <f t="shared" si="339"/>
        <v>Synthesizer production item #193</v>
      </c>
      <c r="K3649" s="1" t="str">
        <f>IF(SUM(COUNTIFS(I:I, I3649)) &gt; 1, "DUPLICATE", "UNIQUE")</f>
        <v>UNIQUE</v>
      </c>
      <c r="L3649" s="18">
        <v>8</v>
      </c>
      <c r="M3649" s="28">
        <v>32</v>
      </c>
      <c r="N3649" s="6">
        <v>289</v>
      </c>
      <c r="O3649" s="30">
        <f t="shared" si="340"/>
        <v>256</v>
      </c>
      <c r="P3649" s="30">
        <f t="shared" si="341"/>
        <v>9248</v>
      </c>
      <c r="Q3649" s="1">
        <f>COUNTIFS($P:$P, "&gt;" &amp; $P3649) + 1</f>
        <v>1843</v>
      </c>
      <c r="R3649" s="63">
        <f>(COUNTIFS($P:$P, "&gt;" &amp; $P3649) + 1) / (COUNTA($I:$I) - 1)</f>
        <v>0.36859999999999998</v>
      </c>
      <c r="S3649" s="23">
        <f>SUMIFS($P:$P, $Q:$Q, "&lt;" &amp; $Q3649)</f>
        <v>178649134</v>
      </c>
    </row>
    <row r="3650" spans="1:19" x14ac:dyDescent="0.25">
      <c r="A3650" s="1">
        <v>3645</v>
      </c>
      <c r="B3650" s="1" t="s">
        <v>2</v>
      </c>
      <c r="C3650" s="1" t="str">
        <f>IF($B3650 = "Production Item", _xlfn.XLOOKUP($A3650, 'Instrument Table'!$J:$J, 'Instrument Table'!$B:$B, $C3649), IF($B3650 = "Service Item", _xlfn.XLOOKUP($A3650, 'Instrument Table'!$I:$I, 'Instrument Table'!$B:$B, $C3649), _xlfn.XLOOKUP($A3650, 'Instrument Table'!$H:$H, 'Instrument Table'!$B:$B, $C3649)))</f>
        <v>Synthesizer</v>
      </c>
      <c r="D3650" s="1" t="str">
        <f>VLOOKUP($C3650, 'Instrument Table'!$B:$C, 2, FALSE)</f>
        <v>Other</v>
      </c>
      <c r="E3650" s="1">
        <f t="shared" si="336"/>
        <v>1</v>
      </c>
      <c r="F3650" s="1">
        <f>_xlfn.XLOOKUP($C3650, 'Instrument Table'!$B:$B, 'Instrument Table'!$A:$A, "")</f>
        <v>61</v>
      </c>
      <c r="G3650" s="1" t="str">
        <f>TEXT(IF($B3650 = "Retail Item", IF((ROW($A3650) - 4504 - _xlfn.XMATCH($C3650, $C$4506:$C$5005, 0, 1)) &lt;= VLOOKUP($C3650, 'Instrument Table'!$B:$D, 3, FALSE), ROW($A3650) - 4504 - _xlfn.XMATCH($C3650, $C$4506:$C$5005, 0, 1), 0), 0), "00")</f>
        <v>00</v>
      </c>
      <c r="H3650" s="1" t="str">
        <f t="shared" si="337"/>
        <v>194</v>
      </c>
      <c r="I3650" s="1" t="str">
        <f t="shared" si="338"/>
        <v>16100-194</v>
      </c>
      <c r="J3650" s="1" t="str">
        <f t="shared" si="339"/>
        <v>Synthesizer production item #194</v>
      </c>
      <c r="K3650" s="1" t="str">
        <f>IF(SUM(COUNTIFS(I:I, I3650)) &gt; 1, "DUPLICATE", "UNIQUE")</f>
        <v>UNIQUE</v>
      </c>
      <c r="L3650" s="18">
        <v>0</v>
      </c>
      <c r="M3650" s="28">
        <v>49</v>
      </c>
      <c r="N3650" s="6">
        <v>16</v>
      </c>
      <c r="O3650" s="30">
        <f t="shared" si="340"/>
        <v>0</v>
      </c>
      <c r="P3650" s="30">
        <f t="shared" si="341"/>
        <v>784</v>
      </c>
      <c r="Q3650" s="1">
        <f>COUNTIFS($P:$P, "&gt;" &amp; $P3650) + 1</f>
        <v>3800</v>
      </c>
      <c r="R3650" s="63">
        <f>(COUNTIFS($P:$P, "&gt;" &amp; $P3650) + 1) / (COUNTA($I:$I) - 1)</f>
        <v>0.76</v>
      </c>
      <c r="S3650" s="23">
        <f>SUMIFS($P:$P, $Q:$Q, "&lt;" &amp; $Q3650)</f>
        <v>186265643</v>
      </c>
    </row>
    <row r="3651" spans="1:19" x14ac:dyDescent="0.25">
      <c r="A3651" s="1">
        <v>3646</v>
      </c>
      <c r="B3651" s="1" t="s">
        <v>2</v>
      </c>
      <c r="C3651" s="1" t="str">
        <f>IF($B3651 = "Production Item", _xlfn.XLOOKUP($A3651, 'Instrument Table'!$J:$J, 'Instrument Table'!$B:$B, $C3650), IF($B3651 = "Service Item", _xlfn.XLOOKUP($A3651, 'Instrument Table'!$I:$I, 'Instrument Table'!$B:$B, $C3650), _xlfn.XLOOKUP($A3651, 'Instrument Table'!$H:$H, 'Instrument Table'!$B:$B, $C3650)))</f>
        <v>Synthesizer</v>
      </c>
      <c r="D3651" s="1" t="str">
        <f>VLOOKUP($C3651, 'Instrument Table'!$B:$C, 2, FALSE)</f>
        <v>Other</v>
      </c>
      <c r="E3651" s="1">
        <f t="shared" si="336"/>
        <v>1</v>
      </c>
      <c r="F3651" s="1">
        <f>_xlfn.XLOOKUP($C3651, 'Instrument Table'!$B:$B, 'Instrument Table'!$A:$A, "")</f>
        <v>61</v>
      </c>
      <c r="G3651" s="1" t="str">
        <f>TEXT(IF($B3651 = "Retail Item", IF((ROW($A3651) - 4504 - _xlfn.XMATCH($C3651, $C$4506:$C$5005, 0, 1)) &lt;= VLOOKUP($C3651, 'Instrument Table'!$B:$D, 3, FALSE), ROW($A3651) - 4504 - _xlfn.XMATCH($C3651, $C$4506:$C$5005, 0, 1), 0), 0), "00")</f>
        <v>00</v>
      </c>
      <c r="H3651" s="1" t="str">
        <f t="shared" si="337"/>
        <v>195</v>
      </c>
      <c r="I3651" s="1" t="str">
        <f t="shared" si="338"/>
        <v>16100-195</v>
      </c>
      <c r="J3651" s="1" t="str">
        <f t="shared" si="339"/>
        <v>Synthesizer production item #195</v>
      </c>
      <c r="K3651" s="1" t="str">
        <f>IF(SUM(COUNTIFS(I:I, I3651)) &gt; 1, "DUPLICATE", "UNIQUE")</f>
        <v>UNIQUE</v>
      </c>
      <c r="L3651" s="18">
        <v>1</v>
      </c>
      <c r="M3651" s="28">
        <v>12</v>
      </c>
      <c r="N3651" s="6">
        <v>81</v>
      </c>
      <c r="O3651" s="30">
        <f t="shared" si="340"/>
        <v>12</v>
      </c>
      <c r="P3651" s="30">
        <f t="shared" si="341"/>
        <v>972</v>
      </c>
      <c r="Q3651" s="1">
        <f>COUNTIFS($P:$P, "&gt;" &amp; $P3651) + 1</f>
        <v>3695</v>
      </c>
      <c r="R3651" s="63">
        <f>(COUNTIFS($P:$P, "&gt;" &amp; $P3651) + 1) / (COUNTA($I:$I) - 1)</f>
        <v>0.73899999999999999</v>
      </c>
      <c r="S3651" s="23">
        <f>SUMIFS($P:$P, $Q:$Q, "&lt;" &amp; $Q3651)</f>
        <v>186173978</v>
      </c>
    </row>
    <row r="3652" spans="1:19" x14ac:dyDescent="0.25">
      <c r="A3652" s="1">
        <v>3647</v>
      </c>
      <c r="B3652" s="1" t="s">
        <v>2</v>
      </c>
      <c r="C3652" s="1" t="str">
        <f>IF($B3652 = "Production Item", _xlfn.XLOOKUP($A3652, 'Instrument Table'!$J:$J, 'Instrument Table'!$B:$B, $C3651), IF($B3652 = "Service Item", _xlfn.XLOOKUP($A3652, 'Instrument Table'!$I:$I, 'Instrument Table'!$B:$B, $C3651), _xlfn.XLOOKUP($A3652, 'Instrument Table'!$H:$H, 'Instrument Table'!$B:$B, $C3651)))</f>
        <v>Synthesizer</v>
      </c>
      <c r="D3652" s="1" t="str">
        <f>VLOOKUP($C3652, 'Instrument Table'!$B:$C, 2, FALSE)</f>
        <v>Other</v>
      </c>
      <c r="E3652" s="1">
        <f t="shared" si="336"/>
        <v>1</v>
      </c>
      <c r="F3652" s="1">
        <f>_xlfn.XLOOKUP($C3652, 'Instrument Table'!$B:$B, 'Instrument Table'!$A:$A, "")</f>
        <v>61</v>
      </c>
      <c r="G3652" s="1" t="str">
        <f>TEXT(IF($B3652 = "Retail Item", IF((ROW($A3652) - 4504 - _xlfn.XMATCH($C3652, $C$4506:$C$5005, 0, 1)) &lt;= VLOOKUP($C3652, 'Instrument Table'!$B:$D, 3, FALSE), ROW($A3652) - 4504 - _xlfn.XMATCH($C3652, $C$4506:$C$5005, 0, 1), 0), 0), "00")</f>
        <v>00</v>
      </c>
      <c r="H3652" s="1" t="str">
        <f t="shared" si="337"/>
        <v>196</v>
      </c>
      <c r="I3652" s="1" t="str">
        <f t="shared" si="338"/>
        <v>16100-196</v>
      </c>
      <c r="J3652" s="1" t="str">
        <f t="shared" si="339"/>
        <v>Synthesizer production item #196</v>
      </c>
      <c r="K3652" s="1" t="str">
        <f>IF(SUM(COUNTIFS(I:I, I3652)) &gt; 1, "DUPLICATE", "UNIQUE")</f>
        <v>UNIQUE</v>
      </c>
      <c r="L3652" s="18">
        <v>1</v>
      </c>
      <c r="M3652" s="28">
        <v>9</v>
      </c>
      <c r="N3652" s="6">
        <v>196</v>
      </c>
      <c r="O3652" s="30">
        <f t="shared" si="340"/>
        <v>9</v>
      </c>
      <c r="P3652" s="30">
        <f t="shared" si="341"/>
        <v>1764</v>
      </c>
      <c r="Q3652" s="1">
        <f>COUNTIFS($P:$P, "&gt;" &amp; $P3652) + 1</f>
        <v>3352</v>
      </c>
      <c r="R3652" s="63">
        <f>(COUNTIFS($P:$P, "&gt;" &amp; $P3652) + 1) / (COUNTA($I:$I) - 1)</f>
        <v>0.6704</v>
      </c>
      <c r="S3652" s="23">
        <f>SUMIFS($P:$P, $Q:$Q, "&lt;" &amp; $Q3652)</f>
        <v>185703990</v>
      </c>
    </row>
    <row r="3653" spans="1:19" x14ac:dyDescent="0.25">
      <c r="A3653" s="1">
        <v>3648</v>
      </c>
      <c r="B3653" s="1" t="s">
        <v>2</v>
      </c>
      <c r="C3653" s="1" t="str">
        <f>IF($B3653 = "Production Item", _xlfn.XLOOKUP($A3653, 'Instrument Table'!$J:$J, 'Instrument Table'!$B:$B, $C3652), IF($B3653 = "Service Item", _xlfn.XLOOKUP($A3653, 'Instrument Table'!$I:$I, 'Instrument Table'!$B:$B, $C3652), _xlfn.XLOOKUP($A3653, 'Instrument Table'!$H:$H, 'Instrument Table'!$B:$B, $C3652)))</f>
        <v>Synthesizer</v>
      </c>
      <c r="D3653" s="1" t="str">
        <f>VLOOKUP($C3653, 'Instrument Table'!$B:$C, 2, FALSE)</f>
        <v>Other</v>
      </c>
      <c r="E3653" s="1">
        <f t="shared" si="336"/>
        <v>1</v>
      </c>
      <c r="F3653" s="1">
        <f>_xlfn.XLOOKUP($C3653, 'Instrument Table'!$B:$B, 'Instrument Table'!$A:$A, "")</f>
        <v>61</v>
      </c>
      <c r="G3653" s="1" t="str">
        <f>TEXT(IF($B3653 = "Retail Item", IF((ROW($A3653) - 4504 - _xlfn.XMATCH($C3653, $C$4506:$C$5005, 0, 1)) &lt;= VLOOKUP($C3653, 'Instrument Table'!$B:$D, 3, FALSE), ROW($A3653) - 4504 - _xlfn.XMATCH($C3653, $C$4506:$C$5005, 0, 1), 0), 0), "00")</f>
        <v>00</v>
      </c>
      <c r="H3653" s="1" t="str">
        <f t="shared" si="337"/>
        <v>197</v>
      </c>
      <c r="I3653" s="1" t="str">
        <f t="shared" si="338"/>
        <v>16100-197</v>
      </c>
      <c r="J3653" s="1" t="str">
        <f t="shared" si="339"/>
        <v>Synthesizer production item #197</v>
      </c>
      <c r="K3653" s="1" t="str">
        <f>IF(SUM(COUNTIFS(I:I, I3653)) &gt; 1, "DUPLICATE", "UNIQUE")</f>
        <v>UNIQUE</v>
      </c>
      <c r="L3653" s="18">
        <v>32</v>
      </c>
      <c r="M3653" s="28">
        <v>44</v>
      </c>
      <c r="N3653" s="6">
        <v>49</v>
      </c>
      <c r="O3653" s="30">
        <f t="shared" si="340"/>
        <v>1408</v>
      </c>
      <c r="P3653" s="30">
        <f t="shared" si="341"/>
        <v>2156</v>
      </c>
      <c r="Q3653" s="1">
        <f>COUNTIFS($P:$P, "&gt;" &amp; $P3653) + 1</f>
        <v>3184</v>
      </c>
      <c r="R3653" s="63">
        <f>(COUNTIFS($P:$P, "&gt;" &amp; $P3653) + 1) / (COUNTA($I:$I) - 1)</f>
        <v>0.63680000000000003</v>
      </c>
      <c r="S3653" s="23">
        <f>SUMIFS($P:$P, $Q:$Q, "&lt;" &amp; $Q3653)</f>
        <v>185373532</v>
      </c>
    </row>
    <row r="3654" spans="1:19" x14ac:dyDescent="0.25">
      <c r="A3654" s="1">
        <v>3649</v>
      </c>
      <c r="B3654" s="1" t="s">
        <v>2</v>
      </c>
      <c r="C3654" s="1" t="str">
        <f>IF($B3654 = "Production Item", _xlfn.XLOOKUP($A3654, 'Instrument Table'!$J:$J, 'Instrument Table'!$B:$B, $C3653), IF($B3654 = "Service Item", _xlfn.XLOOKUP($A3654, 'Instrument Table'!$I:$I, 'Instrument Table'!$B:$B, $C3653), _xlfn.XLOOKUP($A3654, 'Instrument Table'!$H:$H, 'Instrument Table'!$B:$B, $C3653)))</f>
        <v>Synthesizer</v>
      </c>
      <c r="D3654" s="1" t="str">
        <f>VLOOKUP($C3654, 'Instrument Table'!$B:$C, 2, FALSE)</f>
        <v>Other</v>
      </c>
      <c r="E3654" s="1">
        <f t="shared" si="336"/>
        <v>1</v>
      </c>
      <c r="F3654" s="1">
        <f>_xlfn.XLOOKUP($C3654, 'Instrument Table'!$B:$B, 'Instrument Table'!$A:$A, "")</f>
        <v>61</v>
      </c>
      <c r="G3654" s="1" t="str">
        <f>TEXT(IF($B3654 = "Retail Item", IF((ROW($A3654) - 4504 - _xlfn.XMATCH($C3654, $C$4506:$C$5005, 0, 1)) &lt;= VLOOKUP($C3654, 'Instrument Table'!$B:$D, 3, FALSE), ROW($A3654) - 4504 - _xlfn.XMATCH($C3654, $C$4506:$C$5005, 0, 1), 0), 0), "00")</f>
        <v>00</v>
      </c>
      <c r="H3654" s="1" t="str">
        <f t="shared" si="337"/>
        <v>198</v>
      </c>
      <c r="I3654" s="1" t="str">
        <f t="shared" si="338"/>
        <v>16100-198</v>
      </c>
      <c r="J3654" s="1" t="str">
        <f t="shared" si="339"/>
        <v>Synthesizer production item #198</v>
      </c>
      <c r="K3654" s="1" t="str">
        <f>IF(SUM(COUNTIFS(I:I, I3654)) &gt; 1, "DUPLICATE", "UNIQUE")</f>
        <v>UNIQUE</v>
      </c>
      <c r="L3654" s="18">
        <v>8</v>
      </c>
      <c r="M3654" s="28">
        <v>77</v>
      </c>
      <c r="N3654" s="6">
        <v>25</v>
      </c>
      <c r="O3654" s="30">
        <f t="shared" si="340"/>
        <v>616</v>
      </c>
      <c r="P3654" s="30">
        <f t="shared" si="341"/>
        <v>1925</v>
      </c>
      <c r="Q3654" s="1">
        <f>COUNTIFS($P:$P, "&gt;" &amp; $P3654) + 1</f>
        <v>3288</v>
      </c>
      <c r="R3654" s="63">
        <f>(COUNTIFS($P:$P, "&gt;" &amp; $P3654) + 1) / (COUNTA($I:$I) - 1)</f>
        <v>0.65759999999999996</v>
      </c>
      <c r="S3654" s="23">
        <f>SUMIFS($P:$P, $Q:$Q, "&lt;" &amp; $Q3654)</f>
        <v>185586128</v>
      </c>
    </row>
    <row r="3655" spans="1:19" x14ac:dyDescent="0.25">
      <c r="A3655" s="1">
        <v>3650</v>
      </c>
      <c r="B3655" s="1" t="s">
        <v>2</v>
      </c>
      <c r="C3655" s="1" t="str">
        <f>IF($B3655 = "Production Item", _xlfn.XLOOKUP($A3655, 'Instrument Table'!$J:$J, 'Instrument Table'!$B:$B, $C3654), IF($B3655 = "Service Item", _xlfn.XLOOKUP($A3655, 'Instrument Table'!$I:$I, 'Instrument Table'!$B:$B, $C3654), _xlfn.XLOOKUP($A3655, 'Instrument Table'!$H:$H, 'Instrument Table'!$B:$B, $C3654)))</f>
        <v>Synthesizer</v>
      </c>
      <c r="D3655" s="1" t="str">
        <f>VLOOKUP($C3655, 'Instrument Table'!$B:$C, 2, FALSE)</f>
        <v>Other</v>
      </c>
      <c r="E3655" s="1">
        <f t="shared" ref="E3655:E3718" si="342">IF($B3655 = "Production Item", 1, IF($B3655 = "Service Item", 2, IF($B3655 = "Retail Item", 3, "")))</f>
        <v>1</v>
      </c>
      <c r="F3655" s="1">
        <f>_xlfn.XLOOKUP($C3655, 'Instrument Table'!$B:$B, 'Instrument Table'!$A:$A, "")</f>
        <v>61</v>
      </c>
      <c r="G3655" s="1" t="str">
        <f>TEXT(IF($B3655 = "Retail Item", IF((ROW($A3655) - 4504 - _xlfn.XMATCH($C3655, $C$4506:$C$5005, 0, 1)) &lt;= VLOOKUP($C3655, 'Instrument Table'!$B:$D, 3, FALSE), ROW($A3655) - 4504 - _xlfn.XMATCH($C3655, $C$4506:$C$5005, 0, 1), 0), 0), "00")</f>
        <v>00</v>
      </c>
      <c r="H3655" s="1" t="str">
        <f t="shared" ref="H3655:H3718" si="343">TEXT(IF($E3655 &amp; $F3655 &amp; $G3655 = $E3654 &amp; $F3654 &amp; $G3654, 1 + H3654, 0), "000")</f>
        <v>199</v>
      </c>
      <c r="I3655" s="1" t="str">
        <f t="shared" ref="I3655:I3718" si="344" xml:space="preserve"> _xlfn.CONCAT($E3655, $F3655, $G3655, "-", H3655)</f>
        <v>16100-199</v>
      </c>
      <c r="J3655" s="1" t="str">
        <f t="shared" ref="J3655:J3718" si="345">LEFT($C3655, 1) &amp; LOWER(RIGHT($C3655, LEN($C3655) - 1)) &amp; IF(AND($G3655 &lt;&gt; "00", $B3655 = "Retail Item"), " model #" &amp; $G3655, " " &amp; LOWER($B3655) &amp; " #" &amp; $H3655)</f>
        <v>Synthesizer production item #199</v>
      </c>
      <c r="K3655" s="1" t="str">
        <f>IF(SUM(COUNTIFS(I:I, I3655)) &gt; 1, "DUPLICATE", "UNIQUE")</f>
        <v>UNIQUE</v>
      </c>
      <c r="L3655" s="18">
        <v>1</v>
      </c>
      <c r="M3655" s="28">
        <v>64</v>
      </c>
      <c r="N3655" s="6">
        <v>4</v>
      </c>
      <c r="O3655" s="30">
        <f t="shared" ref="O3655:O3718" si="346">$L3655 * $M3655</f>
        <v>64</v>
      </c>
      <c r="P3655" s="30">
        <f t="shared" ref="P3655:P3718" si="347">$N3655 * $M3655</f>
        <v>256</v>
      </c>
      <c r="Q3655" s="1">
        <f>COUNTIFS($P:$P, "&gt;" &amp; $P3655) + 1</f>
        <v>4259</v>
      </c>
      <c r="R3655" s="63">
        <f>(COUNTIFS($P:$P, "&gt;" &amp; $P3655) + 1) / (COUNTA($I:$I) - 1)</f>
        <v>0.8518</v>
      </c>
      <c r="S3655" s="23">
        <f>SUMIFS($P:$P, $Q:$Q, "&lt;" &amp; $Q3655)</f>
        <v>186497451</v>
      </c>
    </row>
    <row r="3656" spans="1:19" x14ac:dyDescent="0.25">
      <c r="A3656" s="1">
        <v>3651</v>
      </c>
      <c r="B3656" s="1" t="s">
        <v>2</v>
      </c>
      <c r="C3656" s="1" t="str">
        <f>IF($B3656 = "Production Item", _xlfn.XLOOKUP($A3656, 'Instrument Table'!$J:$J, 'Instrument Table'!$B:$B, $C3655), IF($B3656 = "Service Item", _xlfn.XLOOKUP($A3656, 'Instrument Table'!$I:$I, 'Instrument Table'!$B:$B, $C3655), _xlfn.XLOOKUP($A3656, 'Instrument Table'!$H:$H, 'Instrument Table'!$B:$B, $C3655)))</f>
        <v>Synthesizer</v>
      </c>
      <c r="D3656" s="1" t="str">
        <f>VLOOKUP($C3656, 'Instrument Table'!$B:$C, 2, FALSE)</f>
        <v>Other</v>
      </c>
      <c r="E3656" s="1">
        <f t="shared" si="342"/>
        <v>1</v>
      </c>
      <c r="F3656" s="1">
        <f>_xlfn.XLOOKUP($C3656, 'Instrument Table'!$B:$B, 'Instrument Table'!$A:$A, "")</f>
        <v>61</v>
      </c>
      <c r="G3656" s="1" t="str">
        <f>TEXT(IF($B3656 = "Retail Item", IF((ROW($A3656) - 4504 - _xlfn.XMATCH($C3656, $C$4506:$C$5005, 0, 1)) &lt;= VLOOKUP($C3656, 'Instrument Table'!$B:$D, 3, FALSE), ROW($A3656) - 4504 - _xlfn.XMATCH($C3656, $C$4506:$C$5005, 0, 1), 0), 0), "00")</f>
        <v>00</v>
      </c>
      <c r="H3656" s="1" t="str">
        <f t="shared" si="343"/>
        <v>200</v>
      </c>
      <c r="I3656" s="1" t="str">
        <f t="shared" si="344"/>
        <v>16100-200</v>
      </c>
      <c r="J3656" s="1" t="str">
        <f t="shared" si="345"/>
        <v>Synthesizer production item #200</v>
      </c>
      <c r="K3656" s="1" t="str">
        <f>IF(SUM(COUNTIFS(I:I, I3656)) &gt; 1, "DUPLICATE", "UNIQUE")</f>
        <v>UNIQUE</v>
      </c>
      <c r="L3656" s="18">
        <v>8</v>
      </c>
      <c r="M3656" s="28">
        <v>79</v>
      </c>
      <c r="N3656" s="6">
        <v>196</v>
      </c>
      <c r="O3656" s="30">
        <f t="shared" si="346"/>
        <v>632</v>
      </c>
      <c r="P3656" s="30">
        <f t="shared" si="347"/>
        <v>15484</v>
      </c>
      <c r="Q3656" s="1">
        <f>COUNTIFS($P:$P, "&gt;" &amp; $P3656) + 1</f>
        <v>1323</v>
      </c>
      <c r="R3656" s="63">
        <f>(COUNTIFS($P:$P, "&gt;" &amp; $P3656) + 1) / (COUNTA($I:$I) - 1)</f>
        <v>0.2646</v>
      </c>
      <c r="S3656" s="23">
        <f>SUMIFS($P:$P, $Q:$Q, "&lt;" &amp; $Q3656)</f>
        <v>172332082</v>
      </c>
    </row>
    <row r="3657" spans="1:19" x14ac:dyDescent="0.25">
      <c r="A3657" s="1">
        <v>3652</v>
      </c>
      <c r="B3657" s="1" t="s">
        <v>2</v>
      </c>
      <c r="C3657" s="1" t="str">
        <f>IF($B3657 = "Production Item", _xlfn.XLOOKUP($A3657, 'Instrument Table'!$J:$J, 'Instrument Table'!$B:$B, $C3656), IF($B3657 = "Service Item", _xlfn.XLOOKUP($A3657, 'Instrument Table'!$I:$I, 'Instrument Table'!$B:$B, $C3656), _xlfn.XLOOKUP($A3657, 'Instrument Table'!$H:$H, 'Instrument Table'!$B:$B, $C3656)))</f>
        <v>Synthesizer</v>
      </c>
      <c r="D3657" s="1" t="str">
        <f>VLOOKUP($C3657, 'Instrument Table'!$B:$C, 2, FALSE)</f>
        <v>Other</v>
      </c>
      <c r="E3657" s="1">
        <f t="shared" si="342"/>
        <v>1</v>
      </c>
      <c r="F3657" s="1">
        <f>_xlfn.XLOOKUP($C3657, 'Instrument Table'!$B:$B, 'Instrument Table'!$A:$A, "")</f>
        <v>61</v>
      </c>
      <c r="G3657" s="1" t="str">
        <f>TEXT(IF($B3657 = "Retail Item", IF((ROW($A3657) - 4504 - _xlfn.XMATCH($C3657, $C$4506:$C$5005, 0, 1)) &lt;= VLOOKUP($C3657, 'Instrument Table'!$B:$D, 3, FALSE), ROW($A3657) - 4504 - _xlfn.XMATCH($C3657, $C$4506:$C$5005, 0, 1), 0), 0), "00")</f>
        <v>00</v>
      </c>
      <c r="H3657" s="1" t="str">
        <f t="shared" si="343"/>
        <v>201</v>
      </c>
      <c r="I3657" s="1" t="str">
        <f t="shared" si="344"/>
        <v>16100-201</v>
      </c>
      <c r="J3657" s="1" t="str">
        <f t="shared" si="345"/>
        <v>Synthesizer production item #201</v>
      </c>
      <c r="K3657" s="1" t="str">
        <f>IF(SUM(COUNTIFS(I:I, I3657)) &gt; 1, "DUPLICATE", "UNIQUE")</f>
        <v>UNIQUE</v>
      </c>
      <c r="L3657" s="18">
        <v>1</v>
      </c>
      <c r="M3657" s="28">
        <v>10</v>
      </c>
      <c r="N3657" s="6">
        <v>196</v>
      </c>
      <c r="O3657" s="30">
        <f t="shared" si="346"/>
        <v>10</v>
      </c>
      <c r="P3657" s="30">
        <f t="shared" si="347"/>
        <v>1960</v>
      </c>
      <c r="Q3657" s="1">
        <f>COUNTIFS($P:$P, "&gt;" &amp; $P3657) + 1</f>
        <v>3270</v>
      </c>
      <c r="R3657" s="63">
        <f>(COUNTIFS($P:$P, "&gt;" &amp; $P3657) + 1) / (COUNTA($I:$I) - 1)</f>
        <v>0.65400000000000003</v>
      </c>
      <c r="S3657" s="23">
        <f>SUMIFS($P:$P, $Q:$Q, "&lt;" &amp; $Q3657)</f>
        <v>185551060</v>
      </c>
    </row>
    <row r="3658" spans="1:19" x14ac:dyDescent="0.25">
      <c r="A3658" s="1">
        <v>3653</v>
      </c>
      <c r="B3658" s="1" t="s">
        <v>2</v>
      </c>
      <c r="C3658" s="1" t="str">
        <f>IF($B3658 = "Production Item", _xlfn.XLOOKUP($A3658, 'Instrument Table'!$J:$J, 'Instrument Table'!$B:$B, $C3657), IF($B3658 = "Service Item", _xlfn.XLOOKUP($A3658, 'Instrument Table'!$I:$I, 'Instrument Table'!$B:$B, $C3657), _xlfn.XLOOKUP($A3658, 'Instrument Table'!$H:$H, 'Instrument Table'!$B:$B, $C3657)))</f>
        <v>Synthesizer</v>
      </c>
      <c r="D3658" s="1" t="str">
        <f>VLOOKUP($C3658, 'Instrument Table'!$B:$C, 2, FALSE)</f>
        <v>Other</v>
      </c>
      <c r="E3658" s="1">
        <f t="shared" si="342"/>
        <v>1</v>
      </c>
      <c r="F3658" s="1">
        <f>_xlfn.XLOOKUP($C3658, 'Instrument Table'!$B:$B, 'Instrument Table'!$A:$A, "")</f>
        <v>61</v>
      </c>
      <c r="G3658" s="1" t="str">
        <f>TEXT(IF($B3658 = "Retail Item", IF((ROW($A3658) - 4504 - _xlfn.XMATCH($C3658, $C$4506:$C$5005, 0, 1)) &lt;= VLOOKUP($C3658, 'Instrument Table'!$B:$D, 3, FALSE), ROW($A3658) - 4504 - _xlfn.XMATCH($C3658, $C$4506:$C$5005, 0, 1), 0), 0), "00")</f>
        <v>00</v>
      </c>
      <c r="H3658" s="1" t="str">
        <f t="shared" si="343"/>
        <v>202</v>
      </c>
      <c r="I3658" s="1" t="str">
        <f t="shared" si="344"/>
        <v>16100-202</v>
      </c>
      <c r="J3658" s="1" t="str">
        <f t="shared" si="345"/>
        <v>Synthesizer production item #202</v>
      </c>
      <c r="K3658" s="1" t="str">
        <f>IF(SUM(COUNTIFS(I:I, I3658)) &gt; 1, "DUPLICATE", "UNIQUE")</f>
        <v>UNIQUE</v>
      </c>
      <c r="L3658" s="18">
        <v>1</v>
      </c>
      <c r="M3658" s="28">
        <v>39</v>
      </c>
      <c r="N3658" s="6">
        <v>324</v>
      </c>
      <c r="O3658" s="30">
        <f t="shared" si="346"/>
        <v>39</v>
      </c>
      <c r="P3658" s="30">
        <f t="shared" si="347"/>
        <v>12636</v>
      </c>
      <c r="Q3658" s="1">
        <f>COUNTIFS($P:$P, "&gt;" &amp; $P3658) + 1</f>
        <v>1529</v>
      </c>
      <c r="R3658" s="63">
        <f>(COUNTIFS($P:$P, "&gt;" &amp; $P3658) + 1) / (COUNTA($I:$I) - 1)</f>
        <v>0.30580000000000002</v>
      </c>
      <c r="S3658" s="23">
        <f>SUMIFS($P:$P, $Q:$Q, "&lt;" &amp; $Q3658)</f>
        <v>175212098</v>
      </c>
    </row>
    <row r="3659" spans="1:19" x14ac:dyDescent="0.25">
      <c r="A3659" s="1">
        <v>3654</v>
      </c>
      <c r="B3659" s="1" t="s">
        <v>2</v>
      </c>
      <c r="C3659" s="1" t="str">
        <f>IF($B3659 = "Production Item", _xlfn.XLOOKUP($A3659, 'Instrument Table'!$J:$J, 'Instrument Table'!$B:$B, $C3658), IF($B3659 = "Service Item", _xlfn.XLOOKUP($A3659, 'Instrument Table'!$I:$I, 'Instrument Table'!$B:$B, $C3658), _xlfn.XLOOKUP($A3659, 'Instrument Table'!$H:$H, 'Instrument Table'!$B:$B, $C3658)))</f>
        <v>Synthesizer</v>
      </c>
      <c r="D3659" s="1" t="str">
        <f>VLOOKUP($C3659, 'Instrument Table'!$B:$C, 2, FALSE)</f>
        <v>Other</v>
      </c>
      <c r="E3659" s="1">
        <f t="shared" si="342"/>
        <v>1</v>
      </c>
      <c r="F3659" s="1">
        <f>_xlfn.XLOOKUP($C3659, 'Instrument Table'!$B:$B, 'Instrument Table'!$A:$A, "")</f>
        <v>61</v>
      </c>
      <c r="G3659" s="1" t="str">
        <f>TEXT(IF($B3659 = "Retail Item", IF((ROW($A3659) - 4504 - _xlfn.XMATCH($C3659, $C$4506:$C$5005, 0, 1)) &lt;= VLOOKUP($C3659, 'Instrument Table'!$B:$D, 3, FALSE), ROW($A3659) - 4504 - _xlfn.XMATCH($C3659, $C$4506:$C$5005, 0, 1), 0), 0), "00")</f>
        <v>00</v>
      </c>
      <c r="H3659" s="1" t="str">
        <f t="shared" si="343"/>
        <v>203</v>
      </c>
      <c r="I3659" s="1" t="str">
        <f t="shared" si="344"/>
        <v>16100-203</v>
      </c>
      <c r="J3659" s="1" t="str">
        <f t="shared" si="345"/>
        <v>Synthesizer production item #203</v>
      </c>
      <c r="K3659" s="1" t="str">
        <f>IF(SUM(COUNTIFS(I:I, I3659)) &gt; 1, "DUPLICATE", "UNIQUE")</f>
        <v>UNIQUE</v>
      </c>
      <c r="L3659" s="18">
        <v>16</v>
      </c>
      <c r="M3659" s="28">
        <v>22</v>
      </c>
      <c r="N3659" s="6">
        <v>100</v>
      </c>
      <c r="O3659" s="30">
        <f t="shared" si="346"/>
        <v>352</v>
      </c>
      <c r="P3659" s="30">
        <f t="shared" si="347"/>
        <v>2200</v>
      </c>
      <c r="Q3659" s="1">
        <f>COUNTIFS($P:$P, "&gt;" &amp; $P3659) + 1</f>
        <v>3168</v>
      </c>
      <c r="R3659" s="63">
        <f>(COUNTIFS($P:$P, "&gt;" &amp; $P3659) + 1) / (COUNTA($I:$I) - 1)</f>
        <v>0.63360000000000005</v>
      </c>
      <c r="S3659" s="23">
        <f>SUMIFS($P:$P, $Q:$Q, "&lt;" &amp; $Q3659)</f>
        <v>185338595</v>
      </c>
    </row>
    <row r="3660" spans="1:19" x14ac:dyDescent="0.25">
      <c r="A3660" s="1">
        <v>3655</v>
      </c>
      <c r="B3660" s="1" t="s">
        <v>2</v>
      </c>
      <c r="C3660" s="1" t="str">
        <f>IF($B3660 = "Production Item", _xlfn.XLOOKUP($A3660, 'Instrument Table'!$J:$J, 'Instrument Table'!$B:$B, $C3659), IF($B3660 = "Service Item", _xlfn.XLOOKUP($A3660, 'Instrument Table'!$I:$I, 'Instrument Table'!$B:$B, $C3659), _xlfn.XLOOKUP($A3660, 'Instrument Table'!$H:$H, 'Instrument Table'!$B:$B, $C3659)))</f>
        <v>Synthesizer</v>
      </c>
      <c r="D3660" s="1" t="str">
        <f>VLOOKUP($C3660, 'Instrument Table'!$B:$C, 2, FALSE)</f>
        <v>Other</v>
      </c>
      <c r="E3660" s="1">
        <f t="shared" si="342"/>
        <v>1</v>
      </c>
      <c r="F3660" s="1">
        <f>_xlfn.XLOOKUP($C3660, 'Instrument Table'!$B:$B, 'Instrument Table'!$A:$A, "")</f>
        <v>61</v>
      </c>
      <c r="G3660" s="1" t="str">
        <f>TEXT(IF($B3660 = "Retail Item", IF((ROW($A3660) - 4504 - _xlfn.XMATCH($C3660, $C$4506:$C$5005, 0, 1)) &lt;= VLOOKUP($C3660, 'Instrument Table'!$B:$D, 3, FALSE), ROW($A3660) - 4504 - _xlfn.XMATCH($C3660, $C$4506:$C$5005, 0, 1), 0), 0), "00")</f>
        <v>00</v>
      </c>
      <c r="H3660" s="1" t="str">
        <f t="shared" si="343"/>
        <v>204</v>
      </c>
      <c r="I3660" s="1" t="str">
        <f t="shared" si="344"/>
        <v>16100-204</v>
      </c>
      <c r="J3660" s="1" t="str">
        <f t="shared" si="345"/>
        <v>Synthesizer production item #204</v>
      </c>
      <c r="K3660" s="1" t="str">
        <f>IF(SUM(COUNTIFS(I:I, I3660)) &gt; 1, "DUPLICATE", "UNIQUE")</f>
        <v>UNIQUE</v>
      </c>
      <c r="L3660" s="18">
        <v>0</v>
      </c>
      <c r="M3660" s="28">
        <v>87</v>
      </c>
      <c r="N3660" s="6">
        <v>361</v>
      </c>
      <c r="O3660" s="30">
        <f t="shared" si="346"/>
        <v>0</v>
      </c>
      <c r="P3660" s="30">
        <f t="shared" si="347"/>
        <v>31407</v>
      </c>
      <c r="Q3660" s="1">
        <f>COUNTIFS($P:$P, "&gt;" &amp; $P3660) + 1</f>
        <v>661</v>
      </c>
      <c r="R3660" s="63">
        <f>(COUNTIFS($P:$P, "&gt;" &amp; $P3660) + 1) / (COUNTA($I:$I) - 1)</f>
        <v>0.13220000000000001</v>
      </c>
      <c r="S3660" s="23">
        <f>SUMIFS($P:$P, $Q:$Q, "&lt;" &amp; $Q3660)</f>
        <v>157894639</v>
      </c>
    </row>
    <row r="3661" spans="1:19" x14ac:dyDescent="0.25">
      <c r="A3661" s="1">
        <v>3656</v>
      </c>
      <c r="B3661" s="1" t="s">
        <v>2</v>
      </c>
      <c r="C3661" s="1" t="str">
        <f>IF($B3661 = "Production Item", _xlfn.XLOOKUP($A3661, 'Instrument Table'!$J:$J, 'Instrument Table'!$B:$B, $C3660), IF($B3661 = "Service Item", _xlfn.XLOOKUP($A3661, 'Instrument Table'!$I:$I, 'Instrument Table'!$B:$B, $C3660), _xlfn.XLOOKUP($A3661, 'Instrument Table'!$H:$H, 'Instrument Table'!$B:$B, $C3660)))</f>
        <v>Synthesizer</v>
      </c>
      <c r="D3661" s="1" t="str">
        <f>VLOOKUP($C3661, 'Instrument Table'!$B:$C, 2, FALSE)</f>
        <v>Other</v>
      </c>
      <c r="E3661" s="1">
        <f t="shared" si="342"/>
        <v>1</v>
      </c>
      <c r="F3661" s="1">
        <f>_xlfn.XLOOKUP($C3661, 'Instrument Table'!$B:$B, 'Instrument Table'!$A:$A, "")</f>
        <v>61</v>
      </c>
      <c r="G3661" s="1" t="str">
        <f>TEXT(IF($B3661 = "Retail Item", IF((ROW($A3661) - 4504 - _xlfn.XMATCH($C3661, $C$4506:$C$5005, 0, 1)) &lt;= VLOOKUP($C3661, 'Instrument Table'!$B:$D, 3, FALSE), ROW($A3661) - 4504 - _xlfn.XMATCH($C3661, $C$4506:$C$5005, 0, 1), 0), 0), "00")</f>
        <v>00</v>
      </c>
      <c r="H3661" s="1" t="str">
        <f t="shared" si="343"/>
        <v>205</v>
      </c>
      <c r="I3661" s="1" t="str">
        <f t="shared" si="344"/>
        <v>16100-205</v>
      </c>
      <c r="J3661" s="1" t="str">
        <f t="shared" si="345"/>
        <v>Synthesizer production item #205</v>
      </c>
      <c r="K3661" s="1" t="str">
        <f>IF(SUM(COUNTIFS(I:I, I3661)) &gt; 1, "DUPLICATE", "UNIQUE")</f>
        <v>UNIQUE</v>
      </c>
      <c r="L3661" s="18">
        <v>8</v>
      </c>
      <c r="M3661" s="28">
        <v>16</v>
      </c>
      <c r="N3661" s="6">
        <v>0</v>
      </c>
      <c r="O3661" s="30">
        <f t="shared" si="346"/>
        <v>128</v>
      </c>
      <c r="P3661" s="30">
        <f t="shared" si="347"/>
        <v>0</v>
      </c>
      <c r="Q3661" s="1">
        <f>COUNTIFS($P:$P, "&gt;" &amp; $P3661) + 1</f>
        <v>4746</v>
      </c>
      <c r="R3661" s="63">
        <f>(COUNTIFS($P:$P, "&gt;" &amp; $P3661) + 1) / (COUNTA($I:$I) - 1)</f>
        <v>0.94920000000000004</v>
      </c>
      <c r="S3661" s="23">
        <f>SUMIFS($P:$P, $Q:$Q, "&lt;" &amp; $Q3661)</f>
        <v>186547861</v>
      </c>
    </row>
    <row r="3662" spans="1:19" x14ac:dyDescent="0.25">
      <c r="A3662" s="1">
        <v>3657</v>
      </c>
      <c r="B3662" s="1" t="s">
        <v>2</v>
      </c>
      <c r="C3662" s="1" t="str">
        <f>IF($B3662 = "Production Item", _xlfn.XLOOKUP($A3662, 'Instrument Table'!$J:$J, 'Instrument Table'!$B:$B, $C3661), IF($B3662 = "Service Item", _xlfn.XLOOKUP($A3662, 'Instrument Table'!$I:$I, 'Instrument Table'!$B:$B, $C3661), _xlfn.XLOOKUP($A3662, 'Instrument Table'!$H:$H, 'Instrument Table'!$B:$B, $C3661)))</f>
        <v>Synthesizer</v>
      </c>
      <c r="D3662" s="1" t="str">
        <f>VLOOKUP($C3662, 'Instrument Table'!$B:$C, 2, FALSE)</f>
        <v>Other</v>
      </c>
      <c r="E3662" s="1">
        <f t="shared" si="342"/>
        <v>1</v>
      </c>
      <c r="F3662" s="1">
        <f>_xlfn.XLOOKUP($C3662, 'Instrument Table'!$B:$B, 'Instrument Table'!$A:$A, "")</f>
        <v>61</v>
      </c>
      <c r="G3662" s="1" t="str">
        <f>TEXT(IF($B3662 = "Retail Item", IF((ROW($A3662) - 4504 - _xlfn.XMATCH($C3662, $C$4506:$C$5005, 0, 1)) &lt;= VLOOKUP($C3662, 'Instrument Table'!$B:$D, 3, FALSE), ROW($A3662) - 4504 - _xlfn.XMATCH($C3662, $C$4506:$C$5005, 0, 1), 0), 0), "00")</f>
        <v>00</v>
      </c>
      <c r="H3662" s="1" t="str">
        <f t="shared" si="343"/>
        <v>206</v>
      </c>
      <c r="I3662" s="1" t="str">
        <f t="shared" si="344"/>
        <v>16100-206</v>
      </c>
      <c r="J3662" s="1" t="str">
        <f t="shared" si="345"/>
        <v>Synthesizer production item #206</v>
      </c>
      <c r="K3662" s="1" t="str">
        <f>IF(SUM(COUNTIFS(I:I, I3662)) &gt; 1, "DUPLICATE", "UNIQUE")</f>
        <v>UNIQUE</v>
      </c>
      <c r="L3662" s="18">
        <v>8</v>
      </c>
      <c r="M3662" s="28">
        <v>76</v>
      </c>
      <c r="N3662" s="6">
        <v>1</v>
      </c>
      <c r="O3662" s="30">
        <f t="shared" si="346"/>
        <v>608</v>
      </c>
      <c r="P3662" s="30">
        <f t="shared" si="347"/>
        <v>76</v>
      </c>
      <c r="Q3662" s="1">
        <f>COUNTIFS($P:$P, "&gt;" &amp; $P3662) + 1</f>
        <v>4523</v>
      </c>
      <c r="R3662" s="63">
        <f>(COUNTIFS($P:$P, "&gt;" &amp; $P3662) + 1) / (COUNTA($I:$I) - 1)</f>
        <v>0.90459999999999996</v>
      </c>
      <c r="S3662" s="23">
        <f>SUMIFS($P:$P, $Q:$Q, "&lt;" &amp; $Q3662)</f>
        <v>186538712</v>
      </c>
    </row>
    <row r="3663" spans="1:19" x14ac:dyDescent="0.25">
      <c r="A3663" s="1">
        <v>3658</v>
      </c>
      <c r="B3663" s="1" t="s">
        <v>2</v>
      </c>
      <c r="C3663" s="1" t="str">
        <f>IF($B3663 = "Production Item", _xlfn.XLOOKUP($A3663, 'Instrument Table'!$J:$J, 'Instrument Table'!$B:$B, $C3662), IF($B3663 = "Service Item", _xlfn.XLOOKUP($A3663, 'Instrument Table'!$I:$I, 'Instrument Table'!$B:$B, $C3662), _xlfn.XLOOKUP($A3663, 'Instrument Table'!$H:$H, 'Instrument Table'!$B:$B, $C3662)))</f>
        <v>Synthesizer</v>
      </c>
      <c r="D3663" s="1" t="str">
        <f>VLOOKUP($C3663, 'Instrument Table'!$B:$C, 2, FALSE)</f>
        <v>Other</v>
      </c>
      <c r="E3663" s="1">
        <f t="shared" si="342"/>
        <v>1</v>
      </c>
      <c r="F3663" s="1">
        <f>_xlfn.XLOOKUP($C3663, 'Instrument Table'!$B:$B, 'Instrument Table'!$A:$A, "")</f>
        <v>61</v>
      </c>
      <c r="G3663" s="1" t="str">
        <f>TEXT(IF($B3663 = "Retail Item", IF((ROW($A3663) - 4504 - _xlfn.XMATCH($C3663, $C$4506:$C$5005, 0, 1)) &lt;= VLOOKUP($C3663, 'Instrument Table'!$B:$D, 3, FALSE), ROW($A3663) - 4504 - _xlfn.XMATCH($C3663, $C$4506:$C$5005, 0, 1), 0), 0), "00")</f>
        <v>00</v>
      </c>
      <c r="H3663" s="1" t="str">
        <f t="shared" si="343"/>
        <v>207</v>
      </c>
      <c r="I3663" s="1" t="str">
        <f t="shared" si="344"/>
        <v>16100-207</v>
      </c>
      <c r="J3663" s="1" t="str">
        <f t="shared" si="345"/>
        <v>Synthesizer production item #207</v>
      </c>
      <c r="K3663" s="1" t="str">
        <f>IF(SUM(COUNTIFS(I:I, I3663)) &gt; 1, "DUPLICATE", "UNIQUE")</f>
        <v>UNIQUE</v>
      </c>
      <c r="L3663" s="18">
        <v>1</v>
      </c>
      <c r="M3663" s="28">
        <v>51</v>
      </c>
      <c r="N3663" s="6">
        <v>1</v>
      </c>
      <c r="O3663" s="30">
        <f t="shared" si="346"/>
        <v>51</v>
      </c>
      <c r="P3663" s="30">
        <f t="shared" si="347"/>
        <v>51</v>
      </c>
      <c r="Q3663" s="1">
        <f>COUNTIFS($P:$P, "&gt;" &amp; $P3663) + 1</f>
        <v>4612</v>
      </c>
      <c r="R3663" s="63">
        <f>(COUNTIFS($P:$P, "&gt;" &amp; $P3663) + 1) / (COUNTA($I:$I) - 1)</f>
        <v>0.9224</v>
      </c>
      <c r="S3663" s="23">
        <f>SUMIFS($P:$P, $Q:$Q, "&lt;" &amp; $Q3663)</f>
        <v>186544333</v>
      </c>
    </row>
    <row r="3664" spans="1:19" x14ac:dyDescent="0.25">
      <c r="A3664" s="1">
        <v>3659</v>
      </c>
      <c r="B3664" s="1" t="s">
        <v>2</v>
      </c>
      <c r="C3664" s="1" t="str">
        <f>IF($B3664 = "Production Item", _xlfn.XLOOKUP($A3664, 'Instrument Table'!$J:$J, 'Instrument Table'!$B:$B, $C3663), IF($B3664 = "Service Item", _xlfn.XLOOKUP($A3664, 'Instrument Table'!$I:$I, 'Instrument Table'!$B:$B, $C3663), _xlfn.XLOOKUP($A3664, 'Instrument Table'!$H:$H, 'Instrument Table'!$B:$B, $C3663)))</f>
        <v>Synthesizer</v>
      </c>
      <c r="D3664" s="1" t="str">
        <f>VLOOKUP($C3664, 'Instrument Table'!$B:$C, 2, FALSE)</f>
        <v>Other</v>
      </c>
      <c r="E3664" s="1">
        <f t="shared" si="342"/>
        <v>1</v>
      </c>
      <c r="F3664" s="1">
        <f>_xlfn.XLOOKUP($C3664, 'Instrument Table'!$B:$B, 'Instrument Table'!$A:$A, "")</f>
        <v>61</v>
      </c>
      <c r="G3664" s="1" t="str">
        <f>TEXT(IF($B3664 = "Retail Item", IF((ROW($A3664) - 4504 - _xlfn.XMATCH($C3664, $C$4506:$C$5005, 0, 1)) &lt;= VLOOKUP($C3664, 'Instrument Table'!$B:$D, 3, FALSE), ROW($A3664) - 4504 - _xlfn.XMATCH($C3664, $C$4506:$C$5005, 0, 1), 0), 0), "00")</f>
        <v>00</v>
      </c>
      <c r="H3664" s="1" t="str">
        <f t="shared" si="343"/>
        <v>208</v>
      </c>
      <c r="I3664" s="1" t="str">
        <f t="shared" si="344"/>
        <v>16100-208</v>
      </c>
      <c r="J3664" s="1" t="str">
        <f t="shared" si="345"/>
        <v>Synthesizer production item #208</v>
      </c>
      <c r="K3664" s="1" t="str">
        <f>IF(SUM(COUNTIFS(I:I, I3664)) &gt; 1, "DUPLICATE", "UNIQUE")</f>
        <v>UNIQUE</v>
      </c>
      <c r="L3664" s="18">
        <v>0</v>
      </c>
      <c r="M3664" s="28">
        <v>18</v>
      </c>
      <c r="N3664" s="6">
        <v>36</v>
      </c>
      <c r="O3664" s="30">
        <f t="shared" si="346"/>
        <v>0</v>
      </c>
      <c r="P3664" s="30">
        <f t="shared" si="347"/>
        <v>648</v>
      </c>
      <c r="Q3664" s="1">
        <f>COUNTIFS($P:$P, "&gt;" &amp; $P3664) + 1</f>
        <v>3911</v>
      </c>
      <c r="R3664" s="63">
        <f>(COUNTIFS($P:$P, "&gt;" &amp; $P3664) + 1) / (COUNTA($I:$I) - 1)</f>
        <v>0.78220000000000001</v>
      </c>
      <c r="S3664" s="23">
        <f>SUMIFS($P:$P, $Q:$Q, "&lt;" &amp; $Q3664)</f>
        <v>186346099</v>
      </c>
    </row>
    <row r="3665" spans="1:19" x14ac:dyDescent="0.25">
      <c r="A3665" s="1">
        <v>3660</v>
      </c>
      <c r="B3665" s="1" t="s">
        <v>2</v>
      </c>
      <c r="C3665" s="1" t="str">
        <f>IF($B3665 = "Production Item", _xlfn.XLOOKUP($A3665, 'Instrument Table'!$J:$J, 'Instrument Table'!$B:$B, $C3664), IF($B3665 = "Service Item", _xlfn.XLOOKUP($A3665, 'Instrument Table'!$I:$I, 'Instrument Table'!$B:$B, $C3664), _xlfn.XLOOKUP($A3665, 'Instrument Table'!$H:$H, 'Instrument Table'!$B:$B, $C3664)))</f>
        <v>Synthesizer</v>
      </c>
      <c r="D3665" s="1" t="str">
        <f>VLOOKUP($C3665, 'Instrument Table'!$B:$C, 2, FALSE)</f>
        <v>Other</v>
      </c>
      <c r="E3665" s="1">
        <f t="shared" si="342"/>
        <v>1</v>
      </c>
      <c r="F3665" s="1">
        <f>_xlfn.XLOOKUP($C3665, 'Instrument Table'!$B:$B, 'Instrument Table'!$A:$A, "")</f>
        <v>61</v>
      </c>
      <c r="G3665" s="1" t="str">
        <f>TEXT(IF($B3665 = "Retail Item", IF((ROW($A3665) - 4504 - _xlfn.XMATCH($C3665, $C$4506:$C$5005, 0, 1)) &lt;= VLOOKUP($C3665, 'Instrument Table'!$B:$D, 3, FALSE), ROW($A3665) - 4504 - _xlfn.XMATCH($C3665, $C$4506:$C$5005, 0, 1), 0), 0), "00")</f>
        <v>00</v>
      </c>
      <c r="H3665" s="1" t="str">
        <f t="shared" si="343"/>
        <v>209</v>
      </c>
      <c r="I3665" s="1" t="str">
        <f t="shared" si="344"/>
        <v>16100-209</v>
      </c>
      <c r="J3665" s="1" t="str">
        <f t="shared" si="345"/>
        <v>Synthesizer production item #209</v>
      </c>
      <c r="K3665" s="1" t="str">
        <f>IF(SUM(COUNTIFS(I:I, I3665)) &gt; 1, "DUPLICATE", "UNIQUE")</f>
        <v>UNIQUE</v>
      </c>
      <c r="L3665" s="18">
        <v>32</v>
      </c>
      <c r="M3665" s="28">
        <v>97</v>
      </c>
      <c r="N3665" s="6">
        <v>256</v>
      </c>
      <c r="O3665" s="30">
        <f t="shared" si="346"/>
        <v>3104</v>
      </c>
      <c r="P3665" s="30">
        <f t="shared" si="347"/>
        <v>24832</v>
      </c>
      <c r="Q3665" s="1">
        <f>COUNTIFS($P:$P, "&gt;" &amp; $P3665) + 1</f>
        <v>836</v>
      </c>
      <c r="R3665" s="63">
        <f>(COUNTIFS($P:$P, "&gt;" &amp; $P3665) + 1) / (COUNTA($I:$I) - 1)</f>
        <v>0.16719999999999999</v>
      </c>
      <c r="S3665" s="23">
        <f>SUMIFS($P:$P, $Q:$Q, "&lt;" &amp; $Q3665)</f>
        <v>162738695</v>
      </c>
    </row>
    <row r="3666" spans="1:19" x14ac:dyDescent="0.25">
      <c r="A3666" s="1">
        <v>3661</v>
      </c>
      <c r="B3666" s="1" t="s">
        <v>2</v>
      </c>
      <c r="C3666" s="1" t="str">
        <f>IF($B3666 = "Production Item", _xlfn.XLOOKUP($A3666, 'Instrument Table'!$J:$J, 'Instrument Table'!$B:$B, $C3665), IF($B3666 = "Service Item", _xlfn.XLOOKUP($A3666, 'Instrument Table'!$I:$I, 'Instrument Table'!$B:$B, $C3665), _xlfn.XLOOKUP($A3666, 'Instrument Table'!$H:$H, 'Instrument Table'!$B:$B, $C3665)))</f>
        <v>Synthesizer</v>
      </c>
      <c r="D3666" s="1" t="str">
        <f>VLOOKUP($C3666, 'Instrument Table'!$B:$C, 2, FALSE)</f>
        <v>Other</v>
      </c>
      <c r="E3666" s="1">
        <f t="shared" si="342"/>
        <v>1</v>
      </c>
      <c r="F3666" s="1">
        <f>_xlfn.XLOOKUP($C3666, 'Instrument Table'!$B:$B, 'Instrument Table'!$A:$A, "")</f>
        <v>61</v>
      </c>
      <c r="G3666" s="1" t="str">
        <f>TEXT(IF($B3666 = "Retail Item", IF((ROW($A3666) - 4504 - _xlfn.XMATCH($C3666, $C$4506:$C$5005, 0, 1)) &lt;= VLOOKUP($C3666, 'Instrument Table'!$B:$D, 3, FALSE), ROW($A3666) - 4504 - _xlfn.XMATCH($C3666, $C$4506:$C$5005, 0, 1), 0), 0), "00")</f>
        <v>00</v>
      </c>
      <c r="H3666" s="1" t="str">
        <f t="shared" si="343"/>
        <v>210</v>
      </c>
      <c r="I3666" s="1" t="str">
        <f t="shared" si="344"/>
        <v>16100-210</v>
      </c>
      <c r="J3666" s="1" t="str">
        <f t="shared" si="345"/>
        <v>Synthesizer production item #210</v>
      </c>
      <c r="K3666" s="1" t="str">
        <f>IF(SUM(COUNTIFS(I:I, I3666)) &gt; 1, "DUPLICATE", "UNIQUE")</f>
        <v>UNIQUE</v>
      </c>
      <c r="L3666" s="18">
        <v>0</v>
      </c>
      <c r="M3666" s="28">
        <v>48</v>
      </c>
      <c r="N3666" s="6">
        <v>225</v>
      </c>
      <c r="O3666" s="30">
        <f t="shared" si="346"/>
        <v>0</v>
      </c>
      <c r="P3666" s="30">
        <f t="shared" si="347"/>
        <v>10800</v>
      </c>
      <c r="Q3666" s="1">
        <f>COUNTIFS($P:$P, "&gt;" &amp; $P3666) + 1</f>
        <v>1703</v>
      </c>
      <c r="R3666" s="63">
        <f>(COUNTIFS($P:$P, "&gt;" &amp; $P3666) + 1) / (COUNTA($I:$I) - 1)</f>
        <v>0.34060000000000001</v>
      </c>
      <c r="S3666" s="23">
        <f>SUMIFS($P:$P, $Q:$Q, "&lt;" &amp; $Q3666)</f>
        <v>177245912</v>
      </c>
    </row>
    <row r="3667" spans="1:19" x14ac:dyDescent="0.25">
      <c r="A3667" s="1">
        <v>3662</v>
      </c>
      <c r="B3667" s="1" t="s">
        <v>2</v>
      </c>
      <c r="C3667" s="1" t="str">
        <f>IF($B3667 = "Production Item", _xlfn.XLOOKUP($A3667, 'Instrument Table'!$J:$J, 'Instrument Table'!$B:$B, $C3666), IF($B3667 = "Service Item", _xlfn.XLOOKUP($A3667, 'Instrument Table'!$I:$I, 'Instrument Table'!$B:$B, $C3666), _xlfn.XLOOKUP($A3667, 'Instrument Table'!$H:$H, 'Instrument Table'!$B:$B, $C3666)))</f>
        <v>Synthesizer</v>
      </c>
      <c r="D3667" s="1" t="str">
        <f>VLOOKUP($C3667, 'Instrument Table'!$B:$C, 2, FALSE)</f>
        <v>Other</v>
      </c>
      <c r="E3667" s="1">
        <f t="shared" si="342"/>
        <v>1</v>
      </c>
      <c r="F3667" s="1">
        <f>_xlfn.XLOOKUP($C3667, 'Instrument Table'!$B:$B, 'Instrument Table'!$A:$A, "")</f>
        <v>61</v>
      </c>
      <c r="G3667" s="1" t="str">
        <f>TEXT(IF($B3667 = "Retail Item", IF((ROW($A3667) - 4504 - _xlfn.XMATCH($C3667, $C$4506:$C$5005, 0, 1)) &lt;= VLOOKUP($C3667, 'Instrument Table'!$B:$D, 3, FALSE), ROW($A3667) - 4504 - _xlfn.XMATCH($C3667, $C$4506:$C$5005, 0, 1), 0), 0), "00")</f>
        <v>00</v>
      </c>
      <c r="H3667" s="1" t="str">
        <f t="shared" si="343"/>
        <v>211</v>
      </c>
      <c r="I3667" s="1" t="str">
        <f t="shared" si="344"/>
        <v>16100-211</v>
      </c>
      <c r="J3667" s="1" t="str">
        <f t="shared" si="345"/>
        <v>Synthesizer production item #211</v>
      </c>
      <c r="K3667" s="1" t="str">
        <f>IF(SUM(COUNTIFS(I:I, I3667)) &gt; 1, "DUPLICATE", "UNIQUE")</f>
        <v>UNIQUE</v>
      </c>
      <c r="L3667" s="18">
        <v>0</v>
      </c>
      <c r="M3667" s="28">
        <v>95</v>
      </c>
      <c r="N3667" s="6">
        <v>400</v>
      </c>
      <c r="O3667" s="30">
        <f t="shared" si="346"/>
        <v>0</v>
      </c>
      <c r="P3667" s="30">
        <f t="shared" si="347"/>
        <v>38000</v>
      </c>
      <c r="Q3667" s="1">
        <f>COUNTIFS($P:$P, "&gt;" &amp; $P3667) + 1</f>
        <v>572</v>
      </c>
      <c r="R3667" s="63">
        <f>(COUNTIFS($P:$P, "&gt;" &amp; $P3667) + 1) / (COUNTA($I:$I) - 1)</f>
        <v>0.1144</v>
      </c>
      <c r="S3667" s="23">
        <f>SUMIFS($P:$P, $Q:$Q, "&lt;" &amp; $Q3667)</f>
        <v>154844325</v>
      </c>
    </row>
    <row r="3668" spans="1:19" x14ac:dyDescent="0.25">
      <c r="A3668" s="1">
        <v>3663</v>
      </c>
      <c r="B3668" s="1" t="s">
        <v>2</v>
      </c>
      <c r="C3668" s="1" t="str">
        <f>IF($B3668 = "Production Item", _xlfn.XLOOKUP($A3668, 'Instrument Table'!$J:$J, 'Instrument Table'!$B:$B, $C3667), IF($B3668 = "Service Item", _xlfn.XLOOKUP($A3668, 'Instrument Table'!$I:$I, 'Instrument Table'!$B:$B, $C3667), _xlfn.XLOOKUP($A3668, 'Instrument Table'!$H:$H, 'Instrument Table'!$B:$B, $C3667)))</f>
        <v>Synthesizer</v>
      </c>
      <c r="D3668" s="1" t="str">
        <f>VLOOKUP($C3668, 'Instrument Table'!$B:$C, 2, FALSE)</f>
        <v>Other</v>
      </c>
      <c r="E3668" s="1">
        <f t="shared" si="342"/>
        <v>1</v>
      </c>
      <c r="F3668" s="1">
        <f>_xlfn.XLOOKUP($C3668, 'Instrument Table'!$B:$B, 'Instrument Table'!$A:$A, "")</f>
        <v>61</v>
      </c>
      <c r="G3668" s="1" t="str">
        <f>TEXT(IF($B3668 = "Retail Item", IF((ROW($A3668) - 4504 - _xlfn.XMATCH($C3668, $C$4506:$C$5005, 0, 1)) &lt;= VLOOKUP($C3668, 'Instrument Table'!$B:$D, 3, FALSE), ROW($A3668) - 4504 - _xlfn.XMATCH($C3668, $C$4506:$C$5005, 0, 1), 0), 0), "00")</f>
        <v>00</v>
      </c>
      <c r="H3668" s="1" t="str">
        <f t="shared" si="343"/>
        <v>212</v>
      </c>
      <c r="I3668" s="1" t="str">
        <f t="shared" si="344"/>
        <v>16100-212</v>
      </c>
      <c r="J3668" s="1" t="str">
        <f t="shared" si="345"/>
        <v>Synthesizer production item #212</v>
      </c>
      <c r="K3668" s="1" t="str">
        <f>IF(SUM(COUNTIFS(I:I, I3668)) &gt; 1, "DUPLICATE", "UNIQUE")</f>
        <v>UNIQUE</v>
      </c>
      <c r="L3668" s="18">
        <v>1</v>
      </c>
      <c r="M3668" s="28">
        <v>76</v>
      </c>
      <c r="N3668" s="6">
        <v>16</v>
      </c>
      <c r="O3668" s="30">
        <f t="shared" si="346"/>
        <v>76</v>
      </c>
      <c r="P3668" s="30">
        <f t="shared" si="347"/>
        <v>1216</v>
      </c>
      <c r="Q3668" s="1">
        <f>COUNTIFS($P:$P, "&gt;" &amp; $P3668) + 1</f>
        <v>3593</v>
      </c>
      <c r="R3668" s="63">
        <f>(COUNTIFS($P:$P, "&gt;" &amp; $P3668) + 1) / (COUNTA($I:$I) - 1)</f>
        <v>0.71860000000000002</v>
      </c>
      <c r="S3668" s="23">
        <f>SUMIFS($P:$P, $Q:$Q, "&lt;" &amp; $Q3668)</f>
        <v>186061231</v>
      </c>
    </row>
    <row r="3669" spans="1:19" x14ac:dyDescent="0.25">
      <c r="A3669" s="1">
        <v>3664</v>
      </c>
      <c r="B3669" s="1" t="s">
        <v>2</v>
      </c>
      <c r="C3669" s="1" t="str">
        <f>IF($B3669 = "Production Item", _xlfn.XLOOKUP($A3669, 'Instrument Table'!$J:$J, 'Instrument Table'!$B:$B, $C3668), IF($B3669 = "Service Item", _xlfn.XLOOKUP($A3669, 'Instrument Table'!$I:$I, 'Instrument Table'!$B:$B, $C3668), _xlfn.XLOOKUP($A3669, 'Instrument Table'!$H:$H, 'Instrument Table'!$B:$B, $C3668)))</f>
        <v>Synthesizer</v>
      </c>
      <c r="D3669" s="1" t="str">
        <f>VLOOKUP($C3669, 'Instrument Table'!$B:$C, 2, FALSE)</f>
        <v>Other</v>
      </c>
      <c r="E3669" s="1">
        <f t="shared" si="342"/>
        <v>1</v>
      </c>
      <c r="F3669" s="1">
        <f>_xlfn.XLOOKUP($C3669, 'Instrument Table'!$B:$B, 'Instrument Table'!$A:$A, "")</f>
        <v>61</v>
      </c>
      <c r="G3669" s="1" t="str">
        <f>TEXT(IF($B3669 = "Retail Item", IF((ROW($A3669) - 4504 - _xlfn.XMATCH($C3669, $C$4506:$C$5005, 0, 1)) &lt;= VLOOKUP($C3669, 'Instrument Table'!$B:$D, 3, FALSE), ROW($A3669) - 4504 - _xlfn.XMATCH($C3669, $C$4506:$C$5005, 0, 1), 0), 0), "00")</f>
        <v>00</v>
      </c>
      <c r="H3669" s="1" t="str">
        <f t="shared" si="343"/>
        <v>213</v>
      </c>
      <c r="I3669" s="1" t="str">
        <f t="shared" si="344"/>
        <v>16100-213</v>
      </c>
      <c r="J3669" s="1" t="str">
        <f t="shared" si="345"/>
        <v>Synthesizer production item #213</v>
      </c>
      <c r="K3669" s="1" t="str">
        <f>IF(SUM(COUNTIFS(I:I, I3669)) &gt; 1, "DUPLICATE", "UNIQUE")</f>
        <v>UNIQUE</v>
      </c>
      <c r="L3669" s="18">
        <v>16</v>
      </c>
      <c r="M3669" s="28">
        <v>40</v>
      </c>
      <c r="N3669" s="6">
        <v>256</v>
      </c>
      <c r="O3669" s="30">
        <f t="shared" si="346"/>
        <v>640</v>
      </c>
      <c r="P3669" s="30">
        <f t="shared" si="347"/>
        <v>10240</v>
      </c>
      <c r="Q3669" s="1">
        <f>COUNTIFS($P:$P, "&gt;" &amp; $P3669) + 1</f>
        <v>1754</v>
      </c>
      <c r="R3669" s="63">
        <f>(COUNTIFS($P:$P, "&gt;" &amp; $P3669) + 1) / (COUNTA($I:$I) - 1)</f>
        <v>0.3508</v>
      </c>
      <c r="S3669" s="23">
        <f>SUMIFS($P:$P, $Q:$Q, "&lt;" &amp; $Q3669)</f>
        <v>177783414</v>
      </c>
    </row>
    <row r="3670" spans="1:19" x14ac:dyDescent="0.25">
      <c r="A3670" s="1">
        <v>3665</v>
      </c>
      <c r="B3670" s="1" t="s">
        <v>2</v>
      </c>
      <c r="C3670" s="1" t="str">
        <f>IF($B3670 = "Production Item", _xlfn.XLOOKUP($A3670, 'Instrument Table'!$J:$J, 'Instrument Table'!$B:$B, $C3669), IF($B3670 = "Service Item", _xlfn.XLOOKUP($A3670, 'Instrument Table'!$I:$I, 'Instrument Table'!$B:$B, $C3669), _xlfn.XLOOKUP($A3670, 'Instrument Table'!$H:$H, 'Instrument Table'!$B:$B, $C3669)))</f>
        <v>Synthesizer</v>
      </c>
      <c r="D3670" s="1" t="str">
        <f>VLOOKUP($C3670, 'Instrument Table'!$B:$C, 2, FALSE)</f>
        <v>Other</v>
      </c>
      <c r="E3670" s="1">
        <f t="shared" si="342"/>
        <v>1</v>
      </c>
      <c r="F3670" s="1">
        <f>_xlfn.XLOOKUP($C3670, 'Instrument Table'!$B:$B, 'Instrument Table'!$A:$A, "")</f>
        <v>61</v>
      </c>
      <c r="G3670" s="1" t="str">
        <f>TEXT(IF($B3670 = "Retail Item", IF((ROW($A3670) - 4504 - _xlfn.XMATCH($C3670, $C$4506:$C$5005, 0, 1)) &lt;= VLOOKUP($C3670, 'Instrument Table'!$B:$D, 3, FALSE), ROW($A3670) - 4504 - _xlfn.XMATCH($C3670, $C$4506:$C$5005, 0, 1), 0), 0), "00")</f>
        <v>00</v>
      </c>
      <c r="H3670" s="1" t="str">
        <f t="shared" si="343"/>
        <v>214</v>
      </c>
      <c r="I3670" s="1" t="str">
        <f t="shared" si="344"/>
        <v>16100-214</v>
      </c>
      <c r="J3670" s="1" t="str">
        <f t="shared" si="345"/>
        <v>Synthesizer production item #214</v>
      </c>
      <c r="K3670" s="1" t="str">
        <f>IF(SUM(COUNTIFS(I:I, I3670)) &gt; 1, "DUPLICATE", "UNIQUE")</f>
        <v>UNIQUE</v>
      </c>
      <c r="L3670" s="18">
        <v>2</v>
      </c>
      <c r="M3670" s="28">
        <v>73</v>
      </c>
      <c r="N3670" s="6">
        <v>16</v>
      </c>
      <c r="O3670" s="30">
        <f t="shared" si="346"/>
        <v>146</v>
      </c>
      <c r="P3670" s="30">
        <f t="shared" si="347"/>
        <v>1168</v>
      </c>
      <c r="Q3670" s="1">
        <f>COUNTIFS($P:$P, "&gt;" &amp; $P3670) + 1</f>
        <v>3619</v>
      </c>
      <c r="R3670" s="63">
        <f>(COUNTIFS($P:$P, "&gt;" &amp; $P3670) + 1) / (COUNTA($I:$I) - 1)</f>
        <v>0.7238</v>
      </c>
      <c r="S3670" s="23">
        <f>SUMIFS($P:$P, $Q:$Q, "&lt;" &amp; $Q3670)</f>
        <v>186092544</v>
      </c>
    </row>
    <row r="3671" spans="1:19" x14ac:dyDescent="0.25">
      <c r="A3671" s="1">
        <v>3666</v>
      </c>
      <c r="B3671" s="1" t="s">
        <v>2</v>
      </c>
      <c r="C3671" s="1" t="str">
        <f>IF($B3671 = "Production Item", _xlfn.XLOOKUP($A3671, 'Instrument Table'!$J:$J, 'Instrument Table'!$B:$B, $C3670), IF($B3671 = "Service Item", _xlfn.XLOOKUP($A3671, 'Instrument Table'!$I:$I, 'Instrument Table'!$B:$B, $C3670), _xlfn.XLOOKUP($A3671, 'Instrument Table'!$H:$H, 'Instrument Table'!$B:$B, $C3670)))</f>
        <v>Synthesizer</v>
      </c>
      <c r="D3671" s="1" t="str">
        <f>VLOOKUP($C3671, 'Instrument Table'!$B:$C, 2, FALSE)</f>
        <v>Other</v>
      </c>
      <c r="E3671" s="1">
        <f t="shared" si="342"/>
        <v>1</v>
      </c>
      <c r="F3671" s="1">
        <f>_xlfn.XLOOKUP($C3671, 'Instrument Table'!$B:$B, 'Instrument Table'!$A:$A, "")</f>
        <v>61</v>
      </c>
      <c r="G3671" s="1" t="str">
        <f>TEXT(IF($B3671 = "Retail Item", IF((ROW($A3671) - 4504 - _xlfn.XMATCH($C3671, $C$4506:$C$5005, 0, 1)) &lt;= VLOOKUP($C3671, 'Instrument Table'!$B:$D, 3, FALSE), ROW($A3671) - 4504 - _xlfn.XMATCH($C3671, $C$4506:$C$5005, 0, 1), 0), 0), "00")</f>
        <v>00</v>
      </c>
      <c r="H3671" s="1" t="str">
        <f t="shared" si="343"/>
        <v>215</v>
      </c>
      <c r="I3671" s="1" t="str">
        <f t="shared" si="344"/>
        <v>16100-215</v>
      </c>
      <c r="J3671" s="1" t="str">
        <f t="shared" si="345"/>
        <v>Synthesizer production item #215</v>
      </c>
      <c r="K3671" s="1" t="str">
        <f>IF(SUM(COUNTIFS(I:I, I3671)) &gt; 1, "DUPLICATE", "UNIQUE")</f>
        <v>UNIQUE</v>
      </c>
      <c r="L3671" s="18">
        <v>8</v>
      </c>
      <c r="M3671" s="28">
        <v>65</v>
      </c>
      <c r="N3671" s="6">
        <v>49</v>
      </c>
      <c r="O3671" s="30">
        <f t="shared" si="346"/>
        <v>520</v>
      </c>
      <c r="P3671" s="30">
        <f t="shared" si="347"/>
        <v>3185</v>
      </c>
      <c r="Q3671" s="1">
        <f>COUNTIFS($P:$P, "&gt;" &amp; $P3671) + 1</f>
        <v>2861</v>
      </c>
      <c r="R3671" s="63">
        <f>(COUNTIFS($P:$P, "&gt;" &amp; $P3671) + 1) / (COUNTA($I:$I) - 1)</f>
        <v>0.57220000000000004</v>
      </c>
      <c r="S3671" s="23">
        <f>SUMIFS($P:$P, $Q:$Q, "&lt;" &amp; $Q3671)</f>
        <v>184527056</v>
      </c>
    </row>
    <row r="3672" spans="1:19" x14ac:dyDescent="0.25">
      <c r="A3672" s="1">
        <v>3667</v>
      </c>
      <c r="B3672" s="1" t="s">
        <v>2</v>
      </c>
      <c r="C3672" s="1" t="str">
        <f>IF($B3672 = "Production Item", _xlfn.XLOOKUP($A3672, 'Instrument Table'!$J:$J, 'Instrument Table'!$B:$B, $C3671), IF($B3672 = "Service Item", _xlfn.XLOOKUP($A3672, 'Instrument Table'!$I:$I, 'Instrument Table'!$B:$B, $C3671), _xlfn.XLOOKUP($A3672, 'Instrument Table'!$H:$H, 'Instrument Table'!$B:$B, $C3671)))</f>
        <v>Synthesizer</v>
      </c>
      <c r="D3672" s="1" t="str">
        <f>VLOOKUP($C3672, 'Instrument Table'!$B:$C, 2, FALSE)</f>
        <v>Other</v>
      </c>
      <c r="E3672" s="1">
        <f t="shared" si="342"/>
        <v>1</v>
      </c>
      <c r="F3672" s="1">
        <f>_xlfn.XLOOKUP($C3672, 'Instrument Table'!$B:$B, 'Instrument Table'!$A:$A, "")</f>
        <v>61</v>
      </c>
      <c r="G3672" s="1" t="str">
        <f>TEXT(IF($B3672 = "Retail Item", IF((ROW($A3672) - 4504 - _xlfn.XMATCH($C3672, $C$4506:$C$5005, 0, 1)) &lt;= VLOOKUP($C3672, 'Instrument Table'!$B:$D, 3, FALSE), ROW($A3672) - 4504 - _xlfn.XMATCH($C3672, $C$4506:$C$5005, 0, 1), 0), 0), "00")</f>
        <v>00</v>
      </c>
      <c r="H3672" s="1" t="str">
        <f t="shared" si="343"/>
        <v>216</v>
      </c>
      <c r="I3672" s="1" t="str">
        <f t="shared" si="344"/>
        <v>16100-216</v>
      </c>
      <c r="J3672" s="1" t="str">
        <f t="shared" si="345"/>
        <v>Synthesizer production item #216</v>
      </c>
      <c r="K3672" s="1" t="str">
        <f>IF(SUM(COUNTIFS(I:I, I3672)) &gt; 1, "DUPLICATE", "UNIQUE")</f>
        <v>UNIQUE</v>
      </c>
      <c r="L3672" s="18">
        <v>1</v>
      </c>
      <c r="M3672" s="28">
        <v>68</v>
      </c>
      <c r="N3672" s="6">
        <v>400</v>
      </c>
      <c r="O3672" s="30">
        <f t="shared" si="346"/>
        <v>68</v>
      </c>
      <c r="P3672" s="30">
        <f t="shared" si="347"/>
        <v>27200</v>
      </c>
      <c r="Q3672" s="1">
        <f>COUNTIFS($P:$P, "&gt;" &amp; $P3672) + 1</f>
        <v>744</v>
      </c>
      <c r="R3672" s="63">
        <f>(COUNTIFS($P:$P, "&gt;" &amp; $P3672) + 1) / (COUNTA($I:$I) - 1)</f>
        <v>0.14879999999999999</v>
      </c>
      <c r="S3672" s="23">
        <f>SUMIFS($P:$P, $Q:$Q, "&lt;" &amp; $Q3672)</f>
        <v>160342430</v>
      </c>
    </row>
    <row r="3673" spans="1:19" x14ac:dyDescent="0.25">
      <c r="A3673" s="1">
        <v>3668</v>
      </c>
      <c r="B3673" s="1" t="s">
        <v>2</v>
      </c>
      <c r="C3673" s="1" t="str">
        <f>IF($B3673 = "Production Item", _xlfn.XLOOKUP($A3673, 'Instrument Table'!$J:$J, 'Instrument Table'!$B:$B, $C3672), IF($B3673 = "Service Item", _xlfn.XLOOKUP($A3673, 'Instrument Table'!$I:$I, 'Instrument Table'!$B:$B, $C3672), _xlfn.XLOOKUP($A3673, 'Instrument Table'!$H:$H, 'Instrument Table'!$B:$B, $C3672)))</f>
        <v>Synthesizer</v>
      </c>
      <c r="D3673" s="1" t="str">
        <f>VLOOKUP($C3673, 'Instrument Table'!$B:$C, 2, FALSE)</f>
        <v>Other</v>
      </c>
      <c r="E3673" s="1">
        <f t="shared" si="342"/>
        <v>1</v>
      </c>
      <c r="F3673" s="1">
        <f>_xlfn.XLOOKUP($C3673, 'Instrument Table'!$B:$B, 'Instrument Table'!$A:$A, "")</f>
        <v>61</v>
      </c>
      <c r="G3673" s="1" t="str">
        <f>TEXT(IF($B3673 = "Retail Item", IF((ROW($A3673) - 4504 - _xlfn.XMATCH($C3673, $C$4506:$C$5005, 0, 1)) &lt;= VLOOKUP($C3673, 'Instrument Table'!$B:$D, 3, FALSE), ROW($A3673) - 4504 - _xlfn.XMATCH($C3673, $C$4506:$C$5005, 0, 1), 0), 0), "00")</f>
        <v>00</v>
      </c>
      <c r="H3673" s="1" t="str">
        <f t="shared" si="343"/>
        <v>217</v>
      </c>
      <c r="I3673" s="1" t="str">
        <f t="shared" si="344"/>
        <v>16100-217</v>
      </c>
      <c r="J3673" s="1" t="str">
        <f t="shared" si="345"/>
        <v>Synthesizer production item #217</v>
      </c>
      <c r="K3673" s="1" t="str">
        <f>IF(SUM(COUNTIFS(I:I, I3673)) &gt; 1, "DUPLICATE", "UNIQUE")</f>
        <v>UNIQUE</v>
      </c>
      <c r="L3673" s="18">
        <v>1</v>
      </c>
      <c r="M3673" s="28">
        <v>69</v>
      </c>
      <c r="N3673" s="6">
        <v>4</v>
      </c>
      <c r="O3673" s="30">
        <f t="shared" si="346"/>
        <v>69</v>
      </c>
      <c r="P3673" s="30">
        <f t="shared" si="347"/>
        <v>276</v>
      </c>
      <c r="Q3673" s="1">
        <f>COUNTIFS($P:$P, "&gt;" &amp; $P3673) + 1</f>
        <v>4242</v>
      </c>
      <c r="R3673" s="63">
        <f>(COUNTIFS($P:$P, "&gt;" &amp; $P3673) + 1) / (COUNTA($I:$I) - 1)</f>
        <v>0.84840000000000004</v>
      </c>
      <c r="S3673" s="23">
        <f>SUMIFS($P:$P, $Q:$Q, "&lt;" &amp; $Q3673)</f>
        <v>186492897</v>
      </c>
    </row>
    <row r="3674" spans="1:19" x14ac:dyDescent="0.25">
      <c r="A3674" s="1">
        <v>3669</v>
      </c>
      <c r="B3674" s="1" t="s">
        <v>2</v>
      </c>
      <c r="C3674" s="1" t="str">
        <f>IF($B3674 = "Production Item", _xlfn.XLOOKUP($A3674, 'Instrument Table'!$J:$J, 'Instrument Table'!$B:$B, $C3673), IF($B3674 = "Service Item", _xlfn.XLOOKUP($A3674, 'Instrument Table'!$I:$I, 'Instrument Table'!$B:$B, $C3673), _xlfn.XLOOKUP($A3674, 'Instrument Table'!$H:$H, 'Instrument Table'!$B:$B, $C3673)))</f>
        <v>Synthesizer</v>
      </c>
      <c r="D3674" s="1" t="str">
        <f>VLOOKUP($C3674, 'Instrument Table'!$B:$C, 2, FALSE)</f>
        <v>Other</v>
      </c>
      <c r="E3674" s="1">
        <f t="shared" si="342"/>
        <v>1</v>
      </c>
      <c r="F3674" s="1">
        <f>_xlfn.XLOOKUP($C3674, 'Instrument Table'!$B:$B, 'Instrument Table'!$A:$A, "")</f>
        <v>61</v>
      </c>
      <c r="G3674" s="1" t="str">
        <f>TEXT(IF($B3674 = "Retail Item", IF((ROW($A3674) - 4504 - _xlfn.XMATCH($C3674, $C$4506:$C$5005, 0, 1)) &lt;= VLOOKUP($C3674, 'Instrument Table'!$B:$D, 3, FALSE), ROW($A3674) - 4504 - _xlfn.XMATCH($C3674, $C$4506:$C$5005, 0, 1), 0), 0), "00")</f>
        <v>00</v>
      </c>
      <c r="H3674" s="1" t="str">
        <f t="shared" si="343"/>
        <v>218</v>
      </c>
      <c r="I3674" s="1" t="str">
        <f t="shared" si="344"/>
        <v>16100-218</v>
      </c>
      <c r="J3674" s="1" t="str">
        <f t="shared" si="345"/>
        <v>Synthesizer production item #218</v>
      </c>
      <c r="K3674" s="1" t="str">
        <f>IF(SUM(COUNTIFS(I:I, I3674)) &gt; 1, "DUPLICATE", "UNIQUE")</f>
        <v>UNIQUE</v>
      </c>
      <c r="L3674" s="18">
        <v>16</v>
      </c>
      <c r="M3674" s="28">
        <v>48</v>
      </c>
      <c r="N3674" s="6">
        <v>196</v>
      </c>
      <c r="O3674" s="30">
        <f t="shared" si="346"/>
        <v>768</v>
      </c>
      <c r="P3674" s="30">
        <f t="shared" si="347"/>
        <v>9408</v>
      </c>
      <c r="Q3674" s="1">
        <f>COUNTIFS($P:$P, "&gt;" &amp; $P3674) + 1</f>
        <v>1828</v>
      </c>
      <c r="R3674" s="63">
        <f>(COUNTIFS($P:$P, "&gt;" &amp; $P3674) + 1) / (COUNTA($I:$I) - 1)</f>
        <v>0.36559999999999998</v>
      </c>
      <c r="S3674" s="23">
        <f>SUMIFS($P:$P, $Q:$Q, "&lt;" &amp; $Q3674)</f>
        <v>178508577</v>
      </c>
    </row>
    <row r="3675" spans="1:19" x14ac:dyDescent="0.25">
      <c r="A3675" s="1">
        <v>3670</v>
      </c>
      <c r="B3675" s="1" t="s">
        <v>2</v>
      </c>
      <c r="C3675" s="1" t="str">
        <f>IF($B3675 = "Production Item", _xlfn.XLOOKUP($A3675, 'Instrument Table'!$J:$J, 'Instrument Table'!$B:$B, $C3674), IF($B3675 = "Service Item", _xlfn.XLOOKUP($A3675, 'Instrument Table'!$I:$I, 'Instrument Table'!$B:$B, $C3674), _xlfn.XLOOKUP($A3675, 'Instrument Table'!$H:$H, 'Instrument Table'!$B:$B, $C3674)))</f>
        <v>Synthesizer</v>
      </c>
      <c r="D3675" s="1" t="str">
        <f>VLOOKUP($C3675, 'Instrument Table'!$B:$C, 2, FALSE)</f>
        <v>Other</v>
      </c>
      <c r="E3675" s="1">
        <f t="shared" si="342"/>
        <v>1</v>
      </c>
      <c r="F3675" s="1">
        <f>_xlfn.XLOOKUP($C3675, 'Instrument Table'!$B:$B, 'Instrument Table'!$A:$A, "")</f>
        <v>61</v>
      </c>
      <c r="G3675" s="1" t="str">
        <f>TEXT(IF($B3675 = "Retail Item", IF((ROW($A3675) - 4504 - _xlfn.XMATCH($C3675, $C$4506:$C$5005, 0, 1)) &lt;= VLOOKUP($C3675, 'Instrument Table'!$B:$D, 3, FALSE), ROW($A3675) - 4504 - _xlfn.XMATCH($C3675, $C$4506:$C$5005, 0, 1), 0), 0), "00")</f>
        <v>00</v>
      </c>
      <c r="H3675" s="1" t="str">
        <f t="shared" si="343"/>
        <v>219</v>
      </c>
      <c r="I3675" s="1" t="str">
        <f t="shared" si="344"/>
        <v>16100-219</v>
      </c>
      <c r="J3675" s="1" t="str">
        <f t="shared" si="345"/>
        <v>Synthesizer production item #219</v>
      </c>
      <c r="K3675" s="1" t="str">
        <f>IF(SUM(COUNTIFS(I:I, I3675)) &gt; 1, "DUPLICATE", "UNIQUE")</f>
        <v>UNIQUE</v>
      </c>
      <c r="L3675" s="18">
        <v>16</v>
      </c>
      <c r="M3675" s="28">
        <v>88</v>
      </c>
      <c r="N3675" s="6">
        <v>196</v>
      </c>
      <c r="O3675" s="30">
        <f t="shared" si="346"/>
        <v>1408</v>
      </c>
      <c r="P3675" s="30">
        <f t="shared" si="347"/>
        <v>17248</v>
      </c>
      <c r="Q3675" s="1">
        <f>COUNTIFS($P:$P, "&gt;" &amp; $P3675) + 1</f>
        <v>1202</v>
      </c>
      <c r="R3675" s="63">
        <f>(COUNTIFS($P:$P, "&gt;" &amp; $P3675) + 1) / (COUNTA($I:$I) - 1)</f>
        <v>0.2404</v>
      </c>
      <c r="S3675" s="23">
        <f>SUMIFS($P:$P, $Q:$Q, "&lt;" &amp; $Q3675)</f>
        <v>170360861</v>
      </c>
    </row>
    <row r="3676" spans="1:19" x14ac:dyDescent="0.25">
      <c r="A3676" s="1">
        <v>3671</v>
      </c>
      <c r="B3676" s="1" t="s">
        <v>2</v>
      </c>
      <c r="C3676" s="1" t="str">
        <f>IF($B3676 = "Production Item", _xlfn.XLOOKUP($A3676, 'Instrument Table'!$J:$J, 'Instrument Table'!$B:$B, $C3675), IF($B3676 = "Service Item", _xlfn.XLOOKUP($A3676, 'Instrument Table'!$I:$I, 'Instrument Table'!$B:$B, $C3675), _xlfn.XLOOKUP($A3676, 'Instrument Table'!$H:$H, 'Instrument Table'!$B:$B, $C3675)))</f>
        <v>Synthesizer</v>
      </c>
      <c r="D3676" s="1" t="str">
        <f>VLOOKUP($C3676, 'Instrument Table'!$B:$C, 2, FALSE)</f>
        <v>Other</v>
      </c>
      <c r="E3676" s="1">
        <f t="shared" si="342"/>
        <v>1</v>
      </c>
      <c r="F3676" s="1">
        <f>_xlfn.XLOOKUP($C3676, 'Instrument Table'!$B:$B, 'Instrument Table'!$A:$A, "")</f>
        <v>61</v>
      </c>
      <c r="G3676" s="1" t="str">
        <f>TEXT(IF($B3676 = "Retail Item", IF((ROW($A3676) - 4504 - _xlfn.XMATCH($C3676, $C$4506:$C$5005, 0, 1)) &lt;= VLOOKUP($C3676, 'Instrument Table'!$B:$D, 3, FALSE), ROW($A3676) - 4504 - _xlfn.XMATCH($C3676, $C$4506:$C$5005, 0, 1), 0), 0), "00")</f>
        <v>00</v>
      </c>
      <c r="H3676" s="1" t="str">
        <f t="shared" si="343"/>
        <v>220</v>
      </c>
      <c r="I3676" s="1" t="str">
        <f t="shared" si="344"/>
        <v>16100-220</v>
      </c>
      <c r="J3676" s="1" t="str">
        <f t="shared" si="345"/>
        <v>Synthesizer production item #220</v>
      </c>
      <c r="K3676" s="1" t="str">
        <f>IF(SUM(COUNTIFS(I:I, I3676)) &gt; 1, "DUPLICATE", "UNIQUE")</f>
        <v>UNIQUE</v>
      </c>
      <c r="L3676" s="18">
        <v>1</v>
      </c>
      <c r="M3676" s="28">
        <v>70</v>
      </c>
      <c r="N3676" s="6">
        <v>225</v>
      </c>
      <c r="O3676" s="30">
        <f t="shared" si="346"/>
        <v>70</v>
      </c>
      <c r="P3676" s="30">
        <f t="shared" si="347"/>
        <v>15750</v>
      </c>
      <c r="Q3676" s="1">
        <f>COUNTIFS($P:$P, "&gt;" &amp; $P3676) + 1</f>
        <v>1295</v>
      </c>
      <c r="R3676" s="63">
        <f>(COUNTIFS($P:$P, "&gt;" &amp; $P3676) + 1) / (COUNTA($I:$I) - 1)</f>
        <v>0.25900000000000001</v>
      </c>
      <c r="S3676" s="23">
        <f>SUMIFS($P:$P, $Q:$Q, "&lt;" &amp; $Q3676)</f>
        <v>171895204</v>
      </c>
    </row>
    <row r="3677" spans="1:19" x14ac:dyDescent="0.25">
      <c r="A3677" s="1">
        <v>3672</v>
      </c>
      <c r="B3677" s="1" t="s">
        <v>2</v>
      </c>
      <c r="C3677" s="1" t="str">
        <f>IF($B3677 = "Production Item", _xlfn.XLOOKUP($A3677, 'Instrument Table'!$J:$J, 'Instrument Table'!$B:$B, $C3676), IF($B3677 = "Service Item", _xlfn.XLOOKUP($A3677, 'Instrument Table'!$I:$I, 'Instrument Table'!$B:$B, $C3676), _xlfn.XLOOKUP($A3677, 'Instrument Table'!$H:$H, 'Instrument Table'!$B:$B, $C3676)))</f>
        <v>Synthesizer</v>
      </c>
      <c r="D3677" s="1" t="str">
        <f>VLOOKUP($C3677, 'Instrument Table'!$B:$C, 2, FALSE)</f>
        <v>Other</v>
      </c>
      <c r="E3677" s="1">
        <f t="shared" si="342"/>
        <v>1</v>
      </c>
      <c r="F3677" s="1">
        <f>_xlfn.XLOOKUP($C3677, 'Instrument Table'!$B:$B, 'Instrument Table'!$A:$A, "")</f>
        <v>61</v>
      </c>
      <c r="G3677" s="1" t="str">
        <f>TEXT(IF($B3677 = "Retail Item", IF((ROW($A3677) - 4504 - _xlfn.XMATCH($C3677, $C$4506:$C$5005, 0, 1)) &lt;= VLOOKUP($C3677, 'Instrument Table'!$B:$D, 3, FALSE), ROW($A3677) - 4504 - _xlfn.XMATCH($C3677, $C$4506:$C$5005, 0, 1), 0), 0), "00")</f>
        <v>00</v>
      </c>
      <c r="H3677" s="1" t="str">
        <f t="shared" si="343"/>
        <v>221</v>
      </c>
      <c r="I3677" s="1" t="str">
        <f t="shared" si="344"/>
        <v>16100-221</v>
      </c>
      <c r="J3677" s="1" t="str">
        <f t="shared" si="345"/>
        <v>Synthesizer production item #221</v>
      </c>
      <c r="K3677" s="1" t="str">
        <f>IF(SUM(COUNTIFS(I:I, I3677)) &gt; 1, "DUPLICATE", "UNIQUE")</f>
        <v>UNIQUE</v>
      </c>
      <c r="L3677" s="18">
        <v>1</v>
      </c>
      <c r="M3677" s="28">
        <v>8</v>
      </c>
      <c r="N3677" s="6">
        <v>81</v>
      </c>
      <c r="O3677" s="30">
        <f t="shared" si="346"/>
        <v>8</v>
      </c>
      <c r="P3677" s="30">
        <f t="shared" si="347"/>
        <v>648</v>
      </c>
      <c r="Q3677" s="1">
        <f>COUNTIFS($P:$P, "&gt;" &amp; $P3677) + 1</f>
        <v>3911</v>
      </c>
      <c r="R3677" s="63">
        <f>(COUNTIFS($P:$P, "&gt;" &amp; $P3677) + 1) / (COUNTA($I:$I) - 1)</f>
        <v>0.78220000000000001</v>
      </c>
      <c r="S3677" s="23">
        <f>SUMIFS($P:$P, $Q:$Q, "&lt;" &amp; $Q3677)</f>
        <v>186346099</v>
      </c>
    </row>
    <row r="3678" spans="1:19" x14ac:dyDescent="0.25">
      <c r="A3678" s="1">
        <v>3673</v>
      </c>
      <c r="B3678" s="1" t="s">
        <v>2</v>
      </c>
      <c r="C3678" s="1" t="str">
        <f>IF($B3678 = "Production Item", _xlfn.XLOOKUP($A3678, 'Instrument Table'!$J:$J, 'Instrument Table'!$B:$B, $C3677), IF($B3678 = "Service Item", _xlfn.XLOOKUP($A3678, 'Instrument Table'!$I:$I, 'Instrument Table'!$B:$B, $C3677), _xlfn.XLOOKUP($A3678, 'Instrument Table'!$H:$H, 'Instrument Table'!$B:$B, $C3677)))</f>
        <v>Synthesizer</v>
      </c>
      <c r="D3678" s="1" t="str">
        <f>VLOOKUP($C3678, 'Instrument Table'!$B:$C, 2, FALSE)</f>
        <v>Other</v>
      </c>
      <c r="E3678" s="1">
        <f t="shared" si="342"/>
        <v>1</v>
      </c>
      <c r="F3678" s="1">
        <f>_xlfn.XLOOKUP($C3678, 'Instrument Table'!$B:$B, 'Instrument Table'!$A:$A, "")</f>
        <v>61</v>
      </c>
      <c r="G3678" s="1" t="str">
        <f>TEXT(IF($B3678 = "Retail Item", IF((ROW($A3678) - 4504 - _xlfn.XMATCH($C3678, $C$4506:$C$5005, 0, 1)) &lt;= VLOOKUP($C3678, 'Instrument Table'!$B:$D, 3, FALSE), ROW($A3678) - 4504 - _xlfn.XMATCH($C3678, $C$4506:$C$5005, 0, 1), 0), 0), "00")</f>
        <v>00</v>
      </c>
      <c r="H3678" s="1" t="str">
        <f t="shared" si="343"/>
        <v>222</v>
      </c>
      <c r="I3678" s="1" t="str">
        <f t="shared" si="344"/>
        <v>16100-222</v>
      </c>
      <c r="J3678" s="1" t="str">
        <f t="shared" si="345"/>
        <v>Synthesizer production item #222</v>
      </c>
      <c r="K3678" s="1" t="str">
        <f>IF(SUM(COUNTIFS(I:I, I3678)) &gt; 1, "DUPLICATE", "UNIQUE")</f>
        <v>UNIQUE</v>
      </c>
      <c r="L3678" s="18">
        <v>0</v>
      </c>
      <c r="M3678" s="28">
        <v>3</v>
      </c>
      <c r="N3678" s="6">
        <v>81</v>
      </c>
      <c r="O3678" s="30">
        <f t="shared" si="346"/>
        <v>0</v>
      </c>
      <c r="P3678" s="30">
        <f t="shared" si="347"/>
        <v>243</v>
      </c>
      <c r="Q3678" s="1">
        <f>COUNTIFS($P:$P, "&gt;" &amp; $P3678) + 1</f>
        <v>4281</v>
      </c>
      <c r="R3678" s="63">
        <f>(COUNTIFS($P:$P, "&gt;" &amp; $P3678) + 1) / (COUNTA($I:$I) - 1)</f>
        <v>0.85619999999999996</v>
      </c>
      <c r="S3678" s="23">
        <f>SUMIFS($P:$P, $Q:$Q, "&lt;" &amp; $Q3678)</f>
        <v>186503016</v>
      </c>
    </row>
    <row r="3679" spans="1:19" x14ac:dyDescent="0.25">
      <c r="A3679" s="1">
        <v>3674</v>
      </c>
      <c r="B3679" s="1" t="s">
        <v>2</v>
      </c>
      <c r="C3679" s="1" t="str">
        <f>IF($B3679 = "Production Item", _xlfn.XLOOKUP($A3679, 'Instrument Table'!$J:$J, 'Instrument Table'!$B:$B, $C3678), IF($B3679 = "Service Item", _xlfn.XLOOKUP($A3679, 'Instrument Table'!$I:$I, 'Instrument Table'!$B:$B, $C3678), _xlfn.XLOOKUP($A3679, 'Instrument Table'!$H:$H, 'Instrument Table'!$B:$B, $C3678)))</f>
        <v>Synthesizer</v>
      </c>
      <c r="D3679" s="1" t="str">
        <f>VLOOKUP($C3679, 'Instrument Table'!$B:$C, 2, FALSE)</f>
        <v>Other</v>
      </c>
      <c r="E3679" s="1">
        <f t="shared" si="342"/>
        <v>1</v>
      </c>
      <c r="F3679" s="1">
        <f>_xlfn.XLOOKUP($C3679, 'Instrument Table'!$B:$B, 'Instrument Table'!$A:$A, "")</f>
        <v>61</v>
      </c>
      <c r="G3679" s="1" t="str">
        <f>TEXT(IF($B3679 = "Retail Item", IF((ROW($A3679) - 4504 - _xlfn.XMATCH($C3679, $C$4506:$C$5005, 0, 1)) &lt;= VLOOKUP($C3679, 'Instrument Table'!$B:$D, 3, FALSE), ROW($A3679) - 4504 - _xlfn.XMATCH($C3679, $C$4506:$C$5005, 0, 1), 0), 0), "00")</f>
        <v>00</v>
      </c>
      <c r="H3679" s="1" t="str">
        <f t="shared" si="343"/>
        <v>223</v>
      </c>
      <c r="I3679" s="1" t="str">
        <f t="shared" si="344"/>
        <v>16100-223</v>
      </c>
      <c r="J3679" s="1" t="str">
        <f t="shared" si="345"/>
        <v>Synthesizer production item #223</v>
      </c>
      <c r="K3679" s="1" t="str">
        <f>IF(SUM(COUNTIFS(I:I, I3679)) &gt; 1, "DUPLICATE", "UNIQUE")</f>
        <v>UNIQUE</v>
      </c>
      <c r="L3679" s="18">
        <v>1</v>
      </c>
      <c r="M3679" s="28">
        <v>29</v>
      </c>
      <c r="N3679" s="6">
        <v>9</v>
      </c>
      <c r="O3679" s="30">
        <f t="shared" si="346"/>
        <v>29</v>
      </c>
      <c r="P3679" s="30">
        <f t="shared" si="347"/>
        <v>261</v>
      </c>
      <c r="Q3679" s="1">
        <f>COUNTIFS($P:$P, "&gt;" &amp; $P3679) + 1</f>
        <v>4254</v>
      </c>
      <c r="R3679" s="63">
        <f>(COUNTIFS($P:$P, "&gt;" &amp; $P3679) + 1) / (COUNTA($I:$I) - 1)</f>
        <v>0.8508</v>
      </c>
      <c r="S3679" s="23">
        <f>SUMIFS($P:$P, $Q:$Q, "&lt;" &amp; $Q3679)</f>
        <v>186496149</v>
      </c>
    </row>
    <row r="3680" spans="1:19" x14ac:dyDescent="0.25">
      <c r="A3680" s="1">
        <v>3675</v>
      </c>
      <c r="B3680" s="1" t="s">
        <v>2</v>
      </c>
      <c r="C3680" s="1" t="str">
        <f>IF($B3680 = "Production Item", _xlfn.XLOOKUP($A3680, 'Instrument Table'!$J:$J, 'Instrument Table'!$B:$B, $C3679), IF($B3680 = "Service Item", _xlfn.XLOOKUP($A3680, 'Instrument Table'!$I:$I, 'Instrument Table'!$B:$B, $C3679), _xlfn.XLOOKUP($A3680, 'Instrument Table'!$H:$H, 'Instrument Table'!$B:$B, $C3679)))</f>
        <v>Synthesizer</v>
      </c>
      <c r="D3680" s="1" t="str">
        <f>VLOOKUP($C3680, 'Instrument Table'!$B:$C, 2, FALSE)</f>
        <v>Other</v>
      </c>
      <c r="E3680" s="1">
        <f t="shared" si="342"/>
        <v>1</v>
      </c>
      <c r="F3680" s="1">
        <f>_xlfn.XLOOKUP($C3680, 'Instrument Table'!$B:$B, 'Instrument Table'!$A:$A, "")</f>
        <v>61</v>
      </c>
      <c r="G3680" s="1" t="str">
        <f>TEXT(IF($B3680 = "Retail Item", IF((ROW($A3680) - 4504 - _xlfn.XMATCH($C3680, $C$4506:$C$5005, 0, 1)) &lt;= VLOOKUP($C3680, 'Instrument Table'!$B:$D, 3, FALSE), ROW($A3680) - 4504 - _xlfn.XMATCH($C3680, $C$4506:$C$5005, 0, 1), 0), 0), "00")</f>
        <v>00</v>
      </c>
      <c r="H3680" s="1" t="str">
        <f t="shared" si="343"/>
        <v>224</v>
      </c>
      <c r="I3680" s="1" t="str">
        <f t="shared" si="344"/>
        <v>16100-224</v>
      </c>
      <c r="J3680" s="1" t="str">
        <f t="shared" si="345"/>
        <v>Synthesizer production item #224</v>
      </c>
      <c r="K3680" s="1" t="str">
        <f>IF(SUM(COUNTIFS(I:I, I3680)) &gt; 1, "DUPLICATE", "UNIQUE")</f>
        <v>UNIQUE</v>
      </c>
      <c r="L3680" s="18">
        <v>0</v>
      </c>
      <c r="M3680" s="28">
        <v>31</v>
      </c>
      <c r="N3680" s="6">
        <v>400</v>
      </c>
      <c r="O3680" s="30">
        <f t="shared" si="346"/>
        <v>0</v>
      </c>
      <c r="P3680" s="30">
        <f t="shared" si="347"/>
        <v>12400</v>
      </c>
      <c r="Q3680" s="1">
        <f>COUNTIFS($P:$P, "&gt;" &amp; $P3680) + 1</f>
        <v>1545</v>
      </c>
      <c r="R3680" s="63">
        <f>(COUNTIFS($P:$P, "&gt;" &amp; $P3680) + 1) / (COUNTA($I:$I) - 1)</f>
        <v>0.309</v>
      </c>
      <c r="S3680" s="23">
        <f>SUMIFS($P:$P, $Q:$Q, "&lt;" &amp; $Q3680)</f>
        <v>175413048</v>
      </c>
    </row>
    <row r="3681" spans="1:19" x14ac:dyDescent="0.25">
      <c r="A3681" s="1">
        <v>3676</v>
      </c>
      <c r="B3681" s="1" t="s">
        <v>2</v>
      </c>
      <c r="C3681" s="1" t="str">
        <f>IF($B3681 = "Production Item", _xlfn.XLOOKUP($A3681, 'Instrument Table'!$J:$J, 'Instrument Table'!$B:$B, $C3680), IF($B3681 = "Service Item", _xlfn.XLOOKUP($A3681, 'Instrument Table'!$I:$I, 'Instrument Table'!$B:$B, $C3680), _xlfn.XLOOKUP($A3681, 'Instrument Table'!$H:$H, 'Instrument Table'!$B:$B, $C3680)))</f>
        <v>Synthesizer</v>
      </c>
      <c r="D3681" s="1" t="str">
        <f>VLOOKUP($C3681, 'Instrument Table'!$B:$C, 2, FALSE)</f>
        <v>Other</v>
      </c>
      <c r="E3681" s="1">
        <f t="shared" si="342"/>
        <v>1</v>
      </c>
      <c r="F3681" s="1">
        <f>_xlfn.XLOOKUP($C3681, 'Instrument Table'!$B:$B, 'Instrument Table'!$A:$A, "")</f>
        <v>61</v>
      </c>
      <c r="G3681" s="1" t="str">
        <f>TEXT(IF($B3681 = "Retail Item", IF((ROW($A3681) - 4504 - _xlfn.XMATCH($C3681, $C$4506:$C$5005, 0, 1)) &lt;= VLOOKUP($C3681, 'Instrument Table'!$B:$D, 3, FALSE), ROW($A3681) - 4504 - _xlfn.XMATCH($C3681, $C$4506:$C$5005, 0, 1), 0), 0), "00")</f>
        <v>00</v>
      </c>
      <c r="H3681" s="1" t="str">
        <f t="shared" si="343"/>
        <v>225</v>
      </c>
      <c r="I3681" s="1" t="str">
        <f t="shared" si="344"/>
        <v>16100-225</v>
      </c>
      <c r="J3681" s="1" t="str">
        <f t="shared" si="345"/>
        <v>Synthesizer production item #225</v>
      </c>
      <c r="K3681" s="1" t="str">
        <f>IF(SUM(COUNTIFS(I:I, I3681)) &gt; 1, "DUPLICATE", "UNIQUE")</f>
        <v>UNIQUE</v>
      </c>
      <c r="L3681" s="18">
        <v>1</v>
      </c>
      <c r="M3681" s="28">
        <v>94</v>
      </c>
      <c r="N3681" s="6">
        <v>4</v>
      </c>
      <c r="O3681" s="30">
        <f t="shared" si="346"/>
        <v>94</v>
      </c>
      <c r="P3681" s="30">
        <f t="shared" si="347"/>
        <v>376</v>
      </c>
      <c r="Q3681" s="1">
        <f>COUNTIFS($P:$P, "&gt;" &amp; $P3681) + 1</f>
        <v>4125</v>
      </c>
      <c r="R3681" s="63">
        <f>(COUNTIFS($P:$P, "&gt;" &amp; $P3681) + 1) / (COUNTA($I:$I) - 1)</f>
        <v>0.82499999999999996</v>
      </c>
      <c r="S3681" s="23">
        <f>SUMIFS($P:$P, $Q:$Q, "&lt;" &amp; $Q3681)</f>
        <v>186454629</v>
      </c>
    </row>
    <row r="3682" spans="1:19" x14ac:dyDescent="0.25">
      <c r="A3682" s="1">
        <v>3677</v>
      </c>
      <c r="B3682" s="1" t="s">
        <v>2</v>
      </c>
      <c r="C3682" s="1" t="str">
        <f>IF($B3682 = "Production Item", _xlfn.XLOOKUP($A3682, 'Instrument Table'!$J:$J, 'Instrument Table'!$B:$B, $C3681), IF($B3682 = "Service Item", _xlfn.XLOOKUP($A3682, 'Instrument Table'!$I:$I, 'Instrument Table'!$B:$B, $C3681), _xlfn.XLOOKUP($A3682, 'Instrument Table'!$H:$H, 'Instrument Table'!$B:$B, $C3681)))</f>
        <v>Synthesizer</v>
      </c>
      <c r="D3682" s="1" t="str">
        <f>VLOOKUP($C3682, 'Instrument Table'!$B:$C, 2, FALSE)</f>
        <v>Other</v>
      </c>
      <c r="E3682" s="1">
        <f t="shared" si="342"/>
        <v>1</v>
      </c>
      <c r="F3682" s="1">
        <f>_xlfn.XLOOKUP($C3682, 'Instrument Table'!$B:$B, 'Instrument Table'!$A:$A, "")</f>
        <v>61</v>
      </c>
      <c r="G3682" s="1" t="str">
        <f>TEXT(IF($B3682 = "Retail Item", IF((ROW($A3682) - 4504 - _xlfn.XMATCH($C3682, $C$4506:$C$5005, 0, 1)) &lt;= VLOOKUP($C3682, 'Instrument Table'!$B:$D, 3, FALSE), ROW($A3682) - 4504 - _xlfn.XMATCH($C3682, $C$4506:$C$5005, 0, 1), 0), 0), "00")</f>
        <v>00</v>
      </c>
      <c r="H3682" s="1" t="str">
        <f t="shared" si="343"/>
        <v>226</v>
      </c>
      <c r="I3682" s="1" t="str">
        <f t="shared" si="344"/>
        <v>16100-226</v>
      </c>
      <c r="J3682" s="1" t="str">
        <f t="shared" si="345"/>
        <v>Synthesizer production item #226</v>
      </c>
      <c r="K3682" s="1" t="str">
        <f>IF(SUM(COUNTIFS(I:I, I3682)) &gt; 1, "DUPLICATE", "UNIQUE")</f>
        <v>UNIQUE</v>
      </c>
      <c r="L3682" s="18">
        <v>2</v>
      </c>
      <c r="M3682" s="28">
        <v>61</v>
      </c>
      <c r="N3682" s="6">
        <v>0</v>
      </c>
      <c r="O3682" s="30">
        <f t="shared" si="346"/>
        <v>122</v>
      </c>
      <c r="P3682" s="30">
        <f t="shared" si="347"/>
        <v>0</v>
      </c>
      <c r="Q3682" s="1">
        <f>COUNTIFS($P:$P, "&gt;" &amp; $P3682) + 1</f>
        <v>4746</v>
      </c>
      <c r="R3682" s="63">
        <f>(COUNTIFS($P:$P, "&gt;" &amp; $P3682) + 1) / (COUNTA($I:$I) - 1)</f>
        <v>0.94920000000000004</v>
      </c>
      <c r="S3682" s="23">
        <f>SUMIFS($P:$P, $Q:$Q, "&lt;" &amp; $Q3682)</f>
        <v>186547861</v>
      </c>
    </row>
    <row r="3683" spans="1:19" x14ac:dyDescent="0.25">
      <c r="A3683" s="1">
        <v>3678</v>
      </c>
      <c r="B3683" s="1" t="s">
        <v>2</v>
      </c>
      <c r="C3683" s="1" t="str">
        <f>IF($B3683 = "Production Item", _xlfn.XLOOKUP($A3683, 'Instrument Table'!$J:$J, 'Instrument Table'!$B:$B, $C3682), IF($B3683 = "Service Item", _xlfn.XLOOKUP($A3683, 'Instrument Table'!$I:$I, 'Instrument Table'!$B:$B, $C3682), _xlfn.XLOOKUP($A3683, 'Instrument Table'!$H:$H, 'Instrument Table'!$B:$B, $C3682)))</f>
        <v>Synthesizer</v>
      </c>
      <c r="D3683" s="1" t="str">
        <f>VLOOKUP($C3683, 'Instrument Table'!$B:$C, 2, FALSE)</f>
        <v>Other</v>
      </c>
      <c r="E3683" s="1">
        <f t="shared" si="342"/>
        <v>1</v>
      </c>
      <c r="F3683" s="1">
        <f>_xlfn.XLOOKUP($C3683, 'Instrument Table'!$B:$B, 'Instrument Table'!$A:$A, "")</f>
        <v>61</v>
      </c>
      <c r="G3683" s="1" t="str">
        <f>TEXT(IF($B3683 = "Retail Item", IF((ROW($A3683) - 4504 - _xlfn.XMATCH($C3683, $C$4506:$C$5005, 0, 1)) &lt;= VLOOKUP($C3683, 'Instrument Table'!$B:$D, 3, FALSE), ROW($A3683) - 4504 - _xlfn.XMATCH($C3683, $C$4506:$C$5005, 0, 1), 0), 0), "00")</f>
        <v>00</v>
      </c>
      <c r="H3683" s="1" t="str">
        <f t="shared" si="343"/>
        <v>227</v>
      </c>
      <c r="I3683" s="1" t="str">
        <f t="shared" si="344"/>
        <v>16100-227</v>
      </c>
      <c r="J3683" s="1" t="str">
        <f t="shared" si="345"/>
        <v>Synthesizer production item #227</v>
      </c>
      <c r="K3683" s="1" t="str">
        <f>IF(SUM(COUNTIFS(I:I, I3683)) &gt; 1, "DUPLICATE", "UNIQUE")</f>
        <v>UNIQUE</v>
      </c>
      <c r="L3683" s="18">
        <v>0</v>
      </c>
      <c r="M3683" s="28">
        <v>30</v>
      </c>
      <c r="N3683" s="6">
        <v>49</v>
      </c>
      <c r="O3683" s="30">
        <f t="shared" si="346"/>
        <v>0</v>
      </c>
      <c r="P3683" s="30">
        <f t="shared" si="347"/>
        <v>1470</v>
      </c>
      <c r="Q3683" s="1">
        <f>COUNTIFS($P:$P, "&gt;" &amp; $P3683) + 1</f>
        <v>3473</v>
      </c>
      <c r="R3683" s="63">
        <f>(COUNTIFS($P:$P, "&gt;" &amp; $P3683) + 1) / (COUNTA($I:$I) - 1)</f>
        <v>0.6946</v>
      </c>
      <c r="S3683" s="23">
        <f>SUMIFS($P:$P, $Q:$Q, "&lt;" &amp; $Q3683)</f>
        <v>185898270</v>
      </c>
    </row>
    <row r="3684" spans="1:19" x14ac:dyDescent="0.25">
      <c r="A3684" s="1">
        <v>3679</v>
      </c>
      <c r="B3684" s="1" t="s">
        <v>2</v>
      </c>
      <c r="C3684" s="1" t="str">
        <f>IF($B3684 = "Production Item", _xlfn.XLOOKUP($A3684, 'Instrument Table'!$J:$J, 'Instrument Table'!$B:$B, $C3683), IF($B3684 = "Service Item", _xlfn.XLOOKUP($A3684, 'Instrument Table'!$I:$I, 'Instrument Table'!$B:$B, $C3683), _xlfn.XLOOKUP($A3684, 'Instrument Table'!$H:$H, 'Instrument Table'!$B:$B, $C3683)))</f>
        <v>Synthesizer</v>
      </c>
      <c r="D3684" s="1" t="str">
        <f>VLOOKUP($C3684, 'Instrument Table'!$B:$C, 2, FALSE)</f>
        <v>Other</v>
      </c>
      <c r="E3684" s="1">
        <f t="shared" si="342"/>
        <v>1</v>
      </c>
      <c r="F3684" s="1">
        <f>_xlfn.XLOOKUP($C3684, 'Instrument Table'!$B:$B, 'Instrument Table'!$A:$A, "")</f>
        <v>61</v>
      </c>
      <c r="G3684" s="1" t="str">
        <f>TEXT(IF($B3684 = "Retail Item", IF((ROW($A3684) - 4504 - _xlfn.XMATCH($C3684, $C$4506:$C$5005, 0, 1)) &lt;= VLOOKUP($C3684, 'Instrument Table'!$B:$D, 3, FALSE), ROW($A3684) - 4504 - _xlfn.XMATCH($C3684, $C$4506:$C$5005, 0, 1), 0), 0), "00")</f>
        <v>00</v>
      </c>
      <c r="H3684" s="1" t="str">
        <f t="shared" si="343"/>
        <v>228</v>
      </c>
      <c r="I3684" s="1" t="str">
        <f t="shared" si="344"/>
        <v>16100-228</v>
      </c>
      <c r="J3684" s="1" t="str">
        <f t="shared" si="345"/>
        <v>Synthesizer production item #228</v>
      </c>
      <c r="K3684" s="1" t="str">
        <f>IF(SUM(COUNTIFS(I:I, I3684)) &gt; 1, "DUPLICATE", "UNIQUE")</f>
        <v>UNIQUE</v>
      </c>
      <c r="L3684" s="18">
        <v>1</v>
      </c>
      <c r="M3684" s="28">
        <v>54</v>
      </c>
      <c r="N3684" s="6">
        <v>196</v>
      </c>
      <c r="O3684" s="30">
        <f t="shared" si="346"/>
        <v>54</v>
      </c>
      <c r="P3684" s="30">
        <f t="shared" si="347"/>
        <v>10584</v>
      </c>
      <c r="Q3684" s="1">
        <f>COUNTIFS($P:$P, "&gt;" &amp; $P3684) + 1</f>
        <v>1724</v>
      </c>
      <c r="R3684" s="63">
        <f>(COUNTIFS($P:$P, "&gt;" &amp; $P3684) + 1) / (COUNTA($I:$I) - 1)</f>
        <v>0.3448</v>
      </c>
      <c r="S3684" s="23">
        <f>SUMIFS($P:$P, $Q:$Q, "&lt;" &amp; $Q3684)</f>
        <v>177470974</v>
      </c>
    </row>
    <row r="3685" spans="1:19" x14ac:dyDescent="0.25">
      <c r="A3685" s="1">
        <v>3680</v>
      </c>
      <c r="B3685" s="1" t="s">
        <v>2</v>
      </c>
      <c r="C3685" s="1" t="str">
        <f>IF($B3685 = "Production Item", _xlfn.XLOOKUP($A3685, 'Instrument Table'!$J:$J, 'Instrument Table'!$B:$B, $C3684), IF($B3685 = "Service Item", _xlfn.XLOOKUP($A3685, 'Instrument Table'!$I:$I, 'Instrument Table'!$B:$B, $C3684), _xlfn.XLOOKUP($A3685, 'Instrument Table'!$H:$H, 'Instrument Table'!$B:$B, $C3684)))</f>
        <v>Synthesizer</v>
      </c>
      <c r="D3685" s="1" t="str">
        <f>VLOOKUP($C3685, 'Instrument Table'!$B:$C, 2, FALSE)</f>
        <v>Other</v>
      </c>
      <c r="E3685" s="1">
        <f t="shared" si="342"/>
        <v>1</v>
      </c>
      <c r="F3685" s="1">
        <f>_xlfn.XLOOKUP($C3685, 'Instrument Table'!$B:$B, 'Instrument Table'!$A:$A, "")</f>
        <v>61</v>
      </c>
      <c r="G3685" s="1" t="str">
        <f>TEXT(IF($B3685 = "Retail Item", IF((ROW($A3685) - 4504 - _xlfn.XMATCH($C3685, $C$4506:$C$5005, 0, 1)) &lt;= VLOOKUP($C3685, 'Instrument Table'!$B:$D, 3, FALSE), ROW($A3685) - 4504 - _xlfn.XMATCH($C3685, $C$4506:$C$5005, 0, 1), 0), 0), "00")</f>
        <v>00</v>
      </c>
      <c r="H3685" s="1" t="str">
        <f t="shared" si="343"/>
        <v>229</v>
      </c>
      <c r="I3685" s="1" t="str">
        <f t="shared" si="344"/>
        <v>16100-229</v>
      </c>
      <c r="J3685" s="1" t="str">
        <f t="shared" si="345"/>
        <v>Synthesizer production item #229</v>
      </c>
      <c r="K3685" s="1" t="str">
        <f>IF(SUM(COUNTIFS(I:I, I3685)) &gt; 1, "DUPLICATE", "UNIQUE")</f>
        <v>UNIQUE</v>
      </c>
      <c r="L3685" s="18">
        <v>0</v>
      </c>
      <c r="M3685" s="28">
        <v>79</v>
      </c>
      <c r="N3685" s="6">
        <v>25</v>
      </c>
      <c r="O3685" s="30">
        <f t="shared" si="346"/>
        <v>0</v>
      </c>
      <c r="P3685" s="30">
        <f t="shared" si="347"/>
        <v>1975</v>
      </c>
      <c r="Q3685" s="1">
        <f>COUNTIFS($P:$P, "&gt;" &amp; $P3685) + 1</f>
        <v>3267</v>
      </c>
      <c r="R3685" s="63">
        <f>(COUNTIFS($P:$P, "&gt;" &amp; $P3685) + 1) / (COUNTA($I:$I) - 1)</f>
        <v>0.65339999999999998</v>
      </c>
      <c r="S3685" s="23">
        <f>SUMIFS($P:$P, $Q:$Q, "&lt;" &amp; $Q3685)</f>
        <v>185545135</v>
      </c>
    </row>
    <row r="3686" spans="1:19" x14ac:dyDescent="0.25">
      <c r="A3686" s="1">
        <v>3681</v>
      </c>
      <c r="B3686" s="1" t="s">
        <v>2</v>
      </c>
      <c r="C3686" s="1" t="str">
        <f>IF($B3686 = "Production Item", _xlfn.XLOOKUP($A3686, 'Instrument Table'!$J:$J, 'Instrument Table'!$B:$B, $C3685), IF($B3686 = "Service Item", _xlfn.XLOOKUP($A3686, 'Instrument Table'!$I:$I, 'Instrument Table'!$B:$B, $C3685), _xlfn.XLOOKUP($A3686, 'Instrument Table'!$H:$H, 'Instrument Table'!$B:$B, $C3685)))</f>
        <v>Synthesizer</v>
      </c>
      <c r="D3686" s="1" t="str">
        <f>VLOOKUP($C3686, 'Instrument Table'!$B:$C, 2, FALSE)</f>
        <v>Other</v>
      </c>
      <c r="E3686" s="1">
        <f t="shared" si="342"/>
        <v>1</v>
      </c>
      <c r="F3686" s="1">
        <f>_xlfn.XLOOKUP($C3686, 'Instrument Table'!$B:$B, 'Instrument Table'!$A:$A, "")</f>
        <v>61</v>
      </c>
      <c r="G3686" s="1" t="str">
        <f>TEXT(IF($B3686 = "Retail Item", IF((ROW($A3686) - 4504 - _xlfn.XMATCH($C3686, $C$4506:$C$5005, 0, 1)) &lt;= VLOOKUP($C3686, 'Instrument Table'!$B:$D, 3, FALSE), ROW($A3686) - 4504 - _xlfn.XMATCH($C3686, $C$4506:$C$5005, 0, 1), 0), 0), "00")</f>
        <v>00</v>
      </c>
      <c r="H3686" s="1" t="str">
        <f t="shared" si="343"/>
        <v>230</v>
      </c>
      <c r="I3686" s="1" t="str">
        <f t="shared" si="344"/>
        <v>16100-230</v>
      </c>
      <c r="J3686" s="1" t="str">
        <f t="shared" si="345"/>
        <v>Synthesizer production item #230</v>
      </c>
      <c r="K3686" s="1" t="str">
        <f>IF(SUM(COUNTIFS(I:I, I3686)) &gt; 1, "DUPLICATE", "UNIQUE")</f>
        <v>UNIQUE</v>
      </c>
      <c r="L3686" s="18">
        <v>0</v>
      </c>
      <c r="M3686" s="28">
        <v>20</v>
      </c>
      <c r="N3686" s="6">
        <v>9</v>
      </c>
      <c r="O3686" s="30">
        <f t="shared" si="346"/>
        <v>0</v>
      </c>
      <c r="P3686" s="30">
        <f t="shared" si="347"/>
        <v>180</v>
      </c>
      <c r="Q3686" s="1">
        <f>COUNTIFS($P:$P, "&gt;" &amp; $P3686) + 1</f>
        <v>4352</v>
      </c>
      <c r="R3686" s="63">
        <f>(COUNTIFS($P:$P, "&gt;" &amp; $P3686) + 1) / (COUNTA($I:$I) - 1)</f>
        <v>0.87039999999999995</v>
      </c>
      <c r="S3686" s="23">
        <f>SUMIFS($P:$P, $Q:$Q, "&lt;" &amp; $Q3686)</f>
        <v>186517952</v>
      </c>
    </row>
    <row r="3687" spans="1:19" x14ac:dyDescent="0.25">
      <c r="A3687" s="1">
        <v>3682</v>
      </c>
      <c r="B3687" s="1" t="s">
        <v>2</v>
      </c>
      <c r="C3687" s="1" t="str">
        <f>IF($B3687 = "Production Item", _xlfn.XLOOKUP($A3687, 'Instrument Table'!$J:$J, 'Instrument Table'!$B:$B, $C3686), IF($B3687 = "Service Item", _xlfn.XLOOKUP($A3687, 'Instrument Table'!$I:$I, 'Instrument Table'!$B:$B, $C3686), _xlfn.XLOOKUP($A3687, 'Instrument Table'!$H:$H, 'Instrument Table'!$B:$B, $C3686)))</f>
        <v>Synthesizer</v>
      </c>
      <c r="D3687" s="1" t="str">
        <f>VLOOKUP($C3687, 'Instrument Table'!$B:$C, 2, FALSE)</f>
        <v>Other</v>
      </c>
      <c r="E3687" s="1">
        <f t="shared" si="342"/>
        <v>1</v>
      </c>
      <c r="F3687" s="1">
        <f>_xlfn.XLOOKUP($C3687, 'Instrument Table'!$B:$B, 'Instrument Table'!$A:$A, "")</f>
        <v>61</v>
      </c>
      <c r="G3687" s="1" t="str">
        <f>TEXT(IF($B3687 = "Retail Item", IF((ROW($A3687) - 4504 - _xlfn.XMATCH($C3687, $C$4506:$C$5005, 0, 1)) &lt;= VLOOKUP($C3687, 'Instrument Table'!$B:$D, 3, FALSE), ROW($A3687) - 4504 - _xlfn.XMATCH($C3687, $C$4506:$C$5005, 0, 1), 0), 0), "00")</f>
        <v>00</v>
      </c>
      <c r="H3687" s="1" t="str">
        <f t="shared" si="343"/>
        <v>231</v>
      </c>
      <c r="I3687" s="1" t="str">
        <f t="shared" si="344"/>
        <v>16100-231</v>
      </c>
      <c r="J3687" s="1" t="str">
        <f t="shared" si="345"/>
        <v>Synthesizer production item #231</v>
      </c>
      <c r="K3687" s="1" t="str">
        <f>IF(SUM(COUNTIFS(I:I, I3687)) &gt; 1, "DUPLICATE", "UNIQUE")</f>
        <v>UNIQUE</v>
      </c>
      <c r="L3687" s="18">
        <v>1</v>
      </c>
      <c r="M3687" s="28">
        <v>15</v>
      </c>
      <c r="N3687" s="6">
        <v>289</v>
      </c>
      <c r="O3687" s="30">
        <f t="shared" si="346"/>
        <v>15</v>
      </c>
      <c r="P3687" s="30">
        <f t="shared" si="347"/>
        <v>4335</v>
      </c>
      <c r="Q3687" s="1">
        <f>COUNTIFS($P:$P, "&gt;" &amp; $P3687) + 1</f>
        <v>2578</v>
      </c>
      <c r="R3687" s="63">
        <f>(COUNTIFS($P:$P, "&gt;" &amp; $P3687) + 1) / (COUNTA($I:$I) - 1)</f>
        <v>0.51559999999999995</v>
      </c>
      <c r="S3687" s="23">
        <f>SUMIFS($P:$P, $Q:$Q, "&lt;" &amp; $Q3687)</f>
        <v>183468790</v>
      </c>
    </row>
    <row r="3688" spans="1:19" x14ac:dyDescent="0.25">
      <c r="A3688" s="1">
        <v>3683</v>
      </c>
      <c r="B3688" s="1" t="s">
        <v>2</v>
      </c>
      <c r="C3688" s="1" t="str">
        <f>IF($B3688 = "Production Item", _xlfn.XLOOKUP($A3688, 'Instrument Table'!$J:$J, 'Instrument Table'!$B:$B, $C3687), IF($B3688 = "Service Item", _xlfn.XLOOKUP($A3688, 'Instrument Table'!$I:$I, 'Instrument Table'!$B:$B, $C3687), _xlfn.XLOOKUP($A3688, 'Instrument Table'!$H:$H, 'Instrument Table'!$B:$B, $C3687)))</f>
        <v>Synthesizer</v>
      </c>
      <c r="D3688" s="1" t="str">
        <f>VLOOKUP($C3688, 'Instrument Table'!$B:$C, 2, FALSE)</f>
        <v>Other</v>
      </c>
      <c r="E3688" s="1">
        <f t="shared" si="342"/>
        <v>1</v>
      </c>
      <c r="F3688" s="1">
        <f>_xlfn.XLOOKUP($C3688, 'Instrument Table'!$B:$B, 'Instrument Table'!$A:$A, "")</f>
        <v>61</v>
      </c>
      <c r="G3688" s="1" t="str">
        <f>TEXT(IF($B3688 = "Retail Item", IF((ROW($A3688) - 4504 - _xlfn.XMATCH($C3688, $C$4506:$C$5005, 0, 1)) &lt;= VLOOKUP($C3688, 'Instrument Table'!$B:$D, 3, FALSE), ROW($A3688) - 4504 - _xlfn.XMATCH($C3688, $C$4506:$C$5005, 0, 1), 0), 0), "00")</f>
        <v>00</v>
      </c>
      <c r="H3688" s="1" t="str">
        <f t="shared" si="343"/>
        <v>232</v>
      </c>
      <c r="I3688" s="1" t="str">
        <f t="shared" si="344"/>
        <v>16100-232</v>
      </c>
      <c r="J3688" s="1" t="str">
        <f t="shared" si="345"/>
        <v>Synthesizer production item #232</v>
      </c>
      <c r="K3688" s="1" t="str">
        <f>IF(SUM(COUNTIFS(I:I, I3688)) &gt; 1, "DUPLICATE", "UNIQUE")</f>
        <v>UNIQUE</v>
      </c>
      <c r="L3688" s="18">
        <v>1</v>
      </c>
      <c r="M3688" s="28">
        <v>61</v>
      </c>
      <c r="N3688" s="6">
        <v>100</v>
      </c>
      <c r="O3688" s="30">
        <f t="shared" si="346"/>
        <v>61</v>
      </c>
      <c r="P3688" s="30">
        <f t="shared" si="347"/>
        <v>6100</v>
      </c>
      <c r="Q3688" s="1">
        <f>COUNTIFS($P:$P, "&gt;" &amp; $P3688) + 1</f>
        <v>2242</v>
      </c>
      <c r="R3688" s="63">
        <f>(COUNTIFS($P:$P, "&gt;" &amp; $P3688) + 1) / (COUNTA($I:$I) - 1)</f>
        <v>0.44840000000000002</v>
      </c>
      <c r="S3688" s="23">
        <f>SUMIFS($P:$P, $Q:$Q, "&lt;" &amp; $Q3688)</f>
        <v>181718422</v>
      </c>
    </row>
    <row r="3689" spans="1:19" x14ac:dyDescent="0.25">
      <c r="A3689" s="1">
        <v>3684</v>
      </c>
      <c r="B3689" s="1" t="s">
        <v>2</v>
      </c>
      <c r="C3689" s="1" t="str">
        <f>IF($B3689 = "Production Item", _xlfn.XLOOKUP($A3689, 'Instrument Table'!$J:$J, 'Instrument Table'!$B:$B, $C3688), IF($B3689 = "Service Item", _xlfn.XLOOKUP($A3689, 'Instrument Table'!$I:$I, 'Instrument Table'!$B:$B, $C3688), _xlfn.XLOOKUP($A3689, 'Instrument Table'!$H:$H, 'Instrument Table'!$B:$B, $C3688)))</f>
        <v>Synthesizer</v>
      </c>
      <c r="D3689" s="1" t="str">
        <f>VLOOKUP($C3689, 'Instrument Table'!$B:$C, 2, FALSE)</f>
        <v>Other</v>
      </c>
      <c r="E3689" s="1">
        <f t="shared" si="342"/>
        <v>1</v>
      </c>
      <c r="F3689" s="1">
        <f>_xlfn.XLOOKUP($C3689, 'Instrument Table'!$B:$B, 'Instrument Table'!$A:$A, "")</f>
        <v>61</v>
      </c>
      <c r="G3689" s="1" t="str">
        <f>TEXT(IF($B3689 = "Retail Item", IF((ROW($A3689) - 4504 - _xlfn.XMATCH($C3689, $C$4506:$C$5005, 0, 1)) &lt;= VLOOKUP($C3689, 'Instrument Table'!$B:$D, 3, FALSE), ROW($A3689) - 4504 - _xlfn.XMATCH($C3689, $C$4506:$C$5005, 0, 1), 0), 0), "00")</f>
        <v>00</v>
      </c>
      <c r="H3689" s="1" t="str">
        <f t="shared" si="343"/>
        <v>233</v>
      </c>
      <c r="I3689" s="1" t="str">
        <f t="shared" si="344"/>
        <v>16100-233</v>
      </c>
      <c r="J3689" s="1" t="str">
        <f t="shared" si="345"/>
        <v>Synthesizer production item #233</v>
      </c>
      <c r="K3689" s="1" t="str">
        <f>IF(SUM(COUNTIFS(I:I, I3689)) &gt; 1, "DUPLICATE", "UNIQUE")</f>
        <v>UNIQUE</v>
      </c>
      <c r="L3689" s="18">
        <v>1</v>
      </c>
      <c r="M3689" s="28">
        <v>86</v>
      </c>
      <c r="N3689" s="6">
        <v>9</v>
      </c>
      <c r="O3689" s="30">
        <f t="shared" si="346"/>
        <v>86</v>
      </c>
      <c r="P3689" s="30">
        <f t="shared" si="347"/>
        <v>774</v>
      </c>
      <c r="Q3689" s="1">
        <f>COUNTIFS($P:$P, "&gt;" &amp; $P3689) + 1</f>
        <v>3809</v>
      </c>
      <c r="R3689" s="63">
        <f>(COUNTIFS($P:$P, "&gt;" &amp; $P3689) + 1) / (COUNTA($I:$I) - 1)</f>
        <v>0.76180000000000003</v>
      </c>
      <c r="S3689" s="23">
        <f>SUMIFS($P:$P, $Q:$Q, "&lt;" &amp; $Q3689)</f>
        <v>186272680</v>
      </c>
    </row>
    <row r="3690" spans="1:19" x14ac:dyDescent="0.25">
      <c r="A3690" s="1">
        <v>3685</v>
      </c>
      <c r="B3690" s="1" t="s">
        <v>2</v>
      </c>
      <c r="C3690" s="1" t="str">
        <f>IF($B3690 = "Production Item", _xlfn.XLOOKUP($A3690, 'Instrument Table'!$J:$J, 'Instrument Table'!$B:$B, $C3689), IF($B3690 = "Service Item", _xlfn.XLOOKUP($A3690, 'Instrument Table'!$I:$I, 'Instrument Table'!$B:$B, $C3689), _xlfn.XLOOKUP($A3690, 'Instrument Table'!$H:$H, 'Instrument Table'!$B:$B, $C3689)))</f>
        <v>Synthesizer</v>
      </c>
      <c r="D3690" s="1" t="str">
        <f>VLOOKUP($C3690, 'Instrument Table'!$B:$C, 2, FALSE)</f>
        <v>Other</v>
      </c>
      <c r="E3690" s="1">
        <f t="shared" si="342"/>
        <v>1</v>
      </c>
      <c r="F3690" s="1">
        <f>_xlfn.XLOOKUP($C3690, 'Instrument Table'!$B:$B, 'Instrument Table'!$A:$A, "")</f>
        <v>61</v>
      </c>
      <c r="G3690" s="1" t="str">
        <f>TEXT(IF($B3690 = "Retail Item", IF((ROW($A3690) - 4504 - _xlfn.XMATCH($C3690, $C$4506:$C$5005, 0, 1)) &lt;= VLOOKUP($C3690, 'Instrument Table'!$B:$D, 3, FALSE), ROW($A3690) - 4504 - _xlfn.XMATCH($C3690, $C$4506:$C$5005, 0, 1), 0), 0), "00")</f>
        <v>00</v>
      </c>
      <c r="H3690" s="1" t="str">
        <f t="shared" si="343"/>
        <v>234</v>
      </c>
      <c r="I3690" s="1" t="str">
        <f t="shared" si="344"/>
        <v>16100-234</v>
      </c>
      <c r="J3690" s="1" t="str">
        <f t="shared" si="345"/>
        <v>Synthesizer production item #234</v>
      </c>
      <c r="K3690" s="1" t="str">
        <f>IF(SUM(COUNTIFS(I:I, I3690)) &gt; 1, "DUPLICATE", "UNIQUE")</f>
        <v>UNIQUE</v>
      </c>
      <c r="L3690" s="18">
        <v>1</v>
      </c>
      <c r="M3690" s="28">
        <v>45</v>
      </c>
      <c r="N3690" s="6">
        <v>9</v>
      </c>
      <c r="O3690" s="30">
        <f t="shared" si="346"/>
        <v>45</v>
      </c>
      <c r="P3690" s="30">
        <f t="shared" si="347"/>
        <v>405</v>
      </c>
      <c r="Q3690" s="1">
        <f>COUNTIFS($P:$P, "&gt;" &amp; $P3690) + 1</f>
        <v>4085</v>
      </c>
      <c r="R3690" s="63">
        <f>(COUNTIFS($P:$P, "&gt;" &amp; $P3690) + 1) / (COUNTA($I:$I) - 1)</f>
        <v>0.81699999999999995</v>
      </c>
      <c r="S3690" s="23">
        <f>SUMIFS($P:$P, $Q:$Q, "&lt;" &amp; $Q3690)</f>
        <v>186438857</v>
      </c>
    </row>
    <row r="3691" spans="1:19" x14ac:dyDescent="0.25">
      <c r="A3691" s="1">
        <v>3686</v>
      </c>
      <c r="B3691" s="1" t="s">
        <v>2</v>
      </c>
      <c r="C3691" s="1" t="str">
        <f>IF($B3691 = "Production Item", _xlfn.XLOOKUP($A3691, 'Instrument Table'!$J:$J, 'Instrument Table'!$B:$B, $C3690), IF($B3691 = "Service Item", _xlfn.XLOOKUP($A3691, 'Instrument Table'!$I:$I, 'Instrument Table'!$B:$B, $C3690), _xlfn.XLOOKUP($A3691, 'Instrument Table'!$H:$H, 'Instrument Table'!$B:$B, $C3690)))</f>
        <v>Synthesizer</v>
      </c>
      <c r="D3691" s="1" t="str">
        <f>VLOOKUP($C3691, 'Instrument Table'!$B:$C, 2, FALSE)</f>
        <v>Other</v>
      </c>
      <c r="E3691" s="1">
        <f t="shared" si="342"/>
        <v>1</v>
      </c>
      <c r="F3691" s="1">
        <f>_xlfn.XLOOKUP($C3691, 'Instrument Table'!$B:$B, 'Instrument Table'!$A:$A, "")</f>
        <v>61</v>
      </c>
      <c r="G3691" s="1" t="str">
        <f>TEXT(IF($B3691 = "Retail Item", IF((ROW($A3691) - 4504 - _xlfn.XMATCH($C3691, $C$4506:$C$5005, 0, 1)) &lt;= VLOOKUP($C3691, 'Instrument Table'!$B:$D, 3, FALSE), ROW($A3691) - 4504 - _xlfn.XMATCH($C3691, $C$4506:$C$5005, 0, 1), 0), 0), "00")</f>
        <v>00</v>
      </c>
      <c r="H3691" s="1" t="str">
        <f t="shared" si="343"/>
        <v>235</v>
      </c>
      <c r="I3691" s="1" t="str">
        <f t="shared" si="344"/>
        <v>16100-235</v>
      </c>
      <c r="J3691" s="1" t="str">
        <f t="shared" si="345"/>
        <v>Synthesizer production item #235</v>
      </c>
      <c r="K3691" s="1" t="str">
        <f>IF(SUM(COUNTIFS(I:I, I3691)) &gt; 1, "DUPLICATE", "UNIQUE")</f>
        <v>UNIQUE</v>
      </c>
      <c r="L3691" s="18">
        <v>8</v>
      </c>
      <c r="M3691" s="28">
        <v>37</v>
      </c>
      <c r="N3691" s="6">
        <v>36</v>
      </c>
      <c r="O3691" s="30">
        <f t="shared" si="346"/>
        <v>296</v>
      </c>
      <c r="P3691" s="30">
        <f t="shared" si="347"/>
        <v>1332</v>
      </c>
      <c r="Q3691" s="1">
        <f>COUNTIFS($P:$P, "&gt;" &amp; $P3691) + 1</f>
        <v>3543</v>
      </c>
      <c r="R3691" s="63">
        <f>(COUNTIFS($P:$P, "&gt;" &amp; $P3691) + 1) / (COUNTA($I:$I) - 1)</f>
        <v>0.70860000000000001</v>
      </c>
      <c r="S3691" s="23">
        <f>SUMIFS($P:$P, $Q:$Q, "&lt;" &amp; $Q3691)</f>
        <v>185996757</v>
      </c>
    </row>
    <row r="3692" spans="1:19" x14ac:dyDescent="0.25">
      <c r="A3692" s="1">
        <v>3687</v>
      </c>
      <c r="B3692" s="1" t="s">
        <v>2</v>
      </c>
      <c r="C3692" s="1" t="str">
        <f>IF($B3692 = "Production Item", _xlfn.XLOOKUP($A3692, 'Instrument Table'!$J:$J, 'Instrument Table'!$B:$B, $C3691), IF($B3692 = "Service Item", _xlfn.XLOOKUP($A3692, 'Instrument Table'!$I:$I, 'Instrument Table'!$B:$B, $C3691), _xlfn.XLOOKUP($A3692, 'Instrument Table'!$H:$H, 'Instrument Table'!$B:$B, $C3691)))</f>
        <v>Synthesizer</v>
      </c>
      <c r="D3692" s="1" t="str">
        <f>VLOOKUP($C3692, 'Instrument Table'!$B:$C, 2, FALSE)</f>
        <v>Other</v>
      </c>
      <c r="E3692" s="1">
        <f t="shared" si="342"/>
        <v>1</v>
      </c>
      <c r="F3692" s="1">
        <f>_xlfn.XLOOKUP($C3692, 'Instrument Table'!$B:$B, 'Instrument Table'!$A:$A, "")</f>
        <v>61</v>
      </c>
      <c r="G3692" s="1" t="str">
        <f>TEXT(IF($B3692 = "Retail Item", IF((ROW($A3692) - 4504 - _xlfn.XMATCH($C3692, $C$4506:$C$5005, 0, 1)) &lt;= VLOOKUP($C3692, 'Instrument Table'!$B:$D, 3, FALSE), ROW($A3692) - 4504 - _xlfn.XMATCH($C3692, $C$4506:$C$5005, 0, 1), 0), 0), "00")</f>
        <v>00</v>
      </c>
      <c r="H3692" s="1" t="str">
        <f t="shared" si="343"/>
        <v>236</v>
      </c>
      <c r="I3692" s="1" t="str">
        <f t="shared" si="344"/>
        <v>16100-236</v>
      </c>
      <c r="J3692" s="1" t="str">
        <f t="shared" si="345"/>
        <v>Synthesizer production item #236</v>
      </c>
      <c r="K3692" s="1" t="str">
        <f>IF(SUM(COUNTIFS(I:I, I3692)) &gt; 1, "DUPLICATE", "UNIQUE")</f>
        <v>UNIQUE</v>
      </c>
      <c r="L3692" s="18">
        <v>1</v>
      </c>
      <c r="M3692" s="28">
        <v>91</v>
      </c>
      <c r="N3692" s="6">
        <v>4</v>
      </c>
      <c r="O3692" s="30">
        <f t="shared" si="346"/>
        <v>91</v>
      </c>
      <c r="P3692" s="30">
        <f t="shared" si="347"/>
        <v>364</v>
      </c>
      <c r="Q3692" s="1">
        <f>COUNTIFS($P:$P, "&gt;" &amp; $P3692) + 1</f>
        <v>4133</v>
      </c>
      <c r="R3692" s="63">
        <f>(COUNTIFS($P:$P, "&gt;" &amp; $P3692) + 1) / (COUNTA($I:$I) - 1)</f>
        <v>0.8266</v>
      </c>
      <c r="S3692" s="23">
        <f>SUMIFS($P:$P, $Q:$Q, "&lt;" &amp; $Q3692)</f>
        <v>186457620</v>
      </c>
    </row>
    <row r="3693" spans="1:19" x14ac:dyDescent="0.25">
      <c r="A3693" s="1">
        <v>3688</v>
      </c>
      <c r="B3693" s="1" t="s">
        <v>2</v>
      </c>
      <c r="C3693" s="1" t="str">
        <f>IF($B3693 = "Production Item", _xlfn.XLOOKUP($A3693, 'Instrument Table'!$J:$J, 'Instrument Table'!$B:$B, $C3692), IF($B3693 = "Service Item", _xlfn.XLOOKUP($A3693, 'Instrument Table'!$I:$I, 'Instrument Table'!$B:$B, $C3692), _xlfn.XLOOKUP($A3693, 'Instrument Table'!$H:$H, 'Instrument Table'!$B:$B, $C3692)))</f>
        <v>Synthesizer</v>
      </c>
      <c r="D3693" s="1" t="str">
        <f>VLOOKUP($C3693, 'Instrument Table'!$B:$C, 2, FALSE)</f>
        <v>Other</v>
      </c>
      <c r="E3693" s="1">
        <f t="shared" si="342"/>
        <v>1</v>
      </c>
      <c r="F3693" s="1">
        <f>_xlfn.XLOOKUP($C3693, 'Instrument Table'!$B:$B, 'Instrument Table'!$A:$A, "")</f>
        <v>61</v>
      </c>
      <c r="G3693" s="1" t="str">
        <f>TEXT(IF($B3693 = "Retail Item", IF((ROW($A3693) - 4504 - _xlfn.XMATCH($C3693, $C$4506:$C$5005, 0, 1)) &lt;= VLOOKUP($C3693, 'Instrument Table'!$B:$D, 3, FALSE), ROW($A3693) - 4504 - _xlfn.XMATCH($C3693, $C$4506:$C$5005, 0, 1), 0), 0), "00")</f>
        <v>00</v>
      </c>
      <c r="H3693" s="1" t="str">
        <f t="shared" si="343"/>
        <v>237</v>
      </c>
      <c r="I3693" s="1" t="str">
        <f t="shared" si="344"/>
        <v>16100-237</v>
      </c>
      <c r="J3693" s="1" t="str">
        <f t="shared" si="345"/>
        <v>Synthesizer production item #237</v>
      </c>
      <c r="K3693" s="1" t="str">
        <f>IF(SUM(COUNTIFS(I:I, I3693)) &gt; 1, "DUPLICATE", "UNIQUE")</f>
        <v>UNIQUE</v>
      </c>
      <c r="L3693" s="18">
        <v>0</v>
      </c>
      <c r="M3693" s="28">
        <v>40</v>
      </c>
      <c r="N3693" s="6">
        <v>196</v>
      </c>
      <c r="O3693" s="30">
        <f t="shared" si="346"/>
        <v>0</v>
      </c>
      <c r="P3693" s="30">
        <f t="shared" si="347"/>
        <v>7840</v>
      </c>
      <c r="Q3693" s="1">
        <f>COUNTIFS($P:$P, "&gt;" &amp; $P3693) + 1</f>
        <v>2009</v>
      </c>
      <c r="R3693" s="63">
        <f>(COUNTIFS($P:$P, "&gt;" &amp; $P3693) + 1) / (COUNTA($I:$I) - 1)</f>
        <v>0.40179999999999999</v>
      </c>
      <c r="S3693" s="23">
        <f>SUMIFS($P:$P, $Q:$Q, "&lt;" &amp; $Q3693)</f>
        <v>180067447</v>
      </c>
    </row>
    <row r="3694" spans="1:19" x14ac:dyDescent="0.25">
      <c r="A3694" s="1">
        <v>3689</v>
      </c>
      <c r="B3694" s="1" t="s">
        <v>2</v>
      </c>
      <c r="C3694" s="1" t="str">
        <f>IF($B3694 = "Production Item", _xlfn.XLOOKUP($A3694, 'Instrument Table'!$J:$J, 'Instrument Table'!$B:$B, $C3693), IF($B3694 = "Service Item", _xlfn.XLOOKUP($A3694, 'Instrument Table'!$I:$I, 'Instrument Table'!$B:$B, $C3693), _xlfn.XLOOKUP($A3694, 'Instrument Table'!$H:$H, 'Instrument Table'!$B:$B, $C3693)))</f>
        <v>Synthesizer</v>
      </c>
      <c r="D3694" s="1" t="str">
        <f>VLOOKUP($C3694, 'Instrument Table'!$B:$C, 2, FALSE)</f>
        <v>Other</v>
      </c>
      <c r="E3694" s="1">
        <f t="shared" si="342"/>
        <v>1</v>
      </c>
      <c r="F3694" s="1">
        <f>_xlfn.XLOOKUP($C3694, 'Instrument Table'!$B:$B, 'Instrument Table'!$A:$A, "")</f>
        <v>61</v>
      </c>
      <c r="G3694" s="1" t="str">
        <f>TEXT(IF($B3694 = "Retail Item", IF((ROW($A3694) - 4504 - _xlfn.XMATCH($C3694, $C$4506:$C$5005, 0, 1)) &lt;= VLOOKUP($C3694, 'Instrument Table'!$B:$D, 3, FALSE), ROW($A3694) - 4504 - _xlfn.XMATCH($C3694, $C$4506:$C$5005, 0, 1), 0), 0), "00")</f>
        <v>00</v>
      </c>
      <c r="H3694" s="1" t="str">
        <f t="shared" si="343"/>
        <v>238</v>
      </c>
      <c r="I3694" s="1" t="str">
        <f t="shared" si="344"/>
        <v>16100-238</v>
      </c>
      <c r="J3694" s="1" t="str">
        <f t="shared" si="345"/>
        <v>Synthesizer production item #238</v>
      </c>
      <c r="K3694" s="1" t="str">
        <f>IF(SUM(COUNTIFS(I:I, I3694)) &gt; 1, "DUPLICATE", "UNIQUE")</f>
        <v>UNIQUE</v>
      </c>
      <c r="L3694" s="18">
        <v>1</v>
      </c>
      <c r="M3694" s="28">
        <v>16</v>
      </c>
      <c r="N3694" s="6">
        <v>1</v>
      </c>
      <c r="O3694" s="30">
        <f t="shared" si="346"/>
        <v>16</v>
      </c>
      <c r="P3694" s="30">
        <f t="shared" si="347"/>
        <v>16</v>
      </c>
      <c r="Q3694" s="1">
        <f>COUNTIFS($P:$P, "&gt;" &amp; $P3694) + 1</f>
        <v>4705</v>
      </c>
      <c r="R3694" s="63">
        <f>(COUNTIFS($P:$P, "&gt;" &amp; $P3694) + 1) / (COUNTA($I:$I) - 1)</f>
        <v>0.94099999999999995</v>
      </c>
      <c r="S3694" s="23">
        <f>SUMIFS($P:$P, $Q:$Q, "&lt;" &amp; $Q3694)</f>
        <v>186547483</v>
      </c>
    </row>
    <row r="3695" spans="1:19" x14ac:dyDescent="0.25">
      <c r="A3695" s="1">
        <v>3690</v>
      </c>
      <c r="B3695" s="1" t="s">
        <v>2</v>
      </c>
      <c r="C3695" s="1" t="str">
        <f>IF($B3695 = "Production Item", _xlfn.XLOOKUP($A3695, 'Instrument Table'!$J:$J, 'Instrument Table'!$B:$B, $C3694), IF($B3695 = "Service Item", _xlfn.XLOOKUP($A3695, 'Instrument Table'!$I:$I, 'Instrument Table'!$B:$B, $C3694), _xlfn.XLOOKUP($A3695, 'Instrument Table'!$H:$H, 'Instrument Table'!$B:$B, $C3694)))</f>
        <v>Synthesizer</v>
      </c>
      <c r="D3695" s="1" t="str">
        <f>VLOOKUP($C3695, 'Instrument Table'!$B:$C, 2, FALSE)</f>
        <v>Other</v>
      </c>
      <c r="E3695" s="1">
        <f t="shared" si="342"/>
        <v>1</v>
      </c>
      <c r="F3695" s="1">
        <f>_xlfn.XLOOKUP($C3695, 'Instrument Table'!$B:$B, 'Instrument Table'!$A:$A, "")</f>
        <v>61</v>
      </c>
      <c r="G3695" s="1" t="str">
        <f>TEXT(IF($B3695 = "Retail Item", IF((ROW($A3695) - 4504 - _xlfn.XMATCH($C3695, $C$4506:$C$5005, 0, 1)) &lt;= VLOOKUP($C3695, 'Instrument Table'!$B:$D, 3, FALSE), ROW($A3695) - 4504 - _xlfn.XMATCH($C3695, $C$4506:$C$5005, 0, 1), 0), 0), "00")</f>
        <v>00</v>
      </c>
      <c r="H3695" s="1" t="str">
        <f t="shared" si="343"/>
        <v>239</v>
      </c>
      <c r="I3695" s="1" t="str">
        <f t="shared" si="344"/>
        <v>16100-239</v>
      </c>
      <c r="J3695" s="1" t="str">
        <f t="shared" si="345"/>
        <v>Synthesizer production item #239</v>
      </c>
      <c r="K3695" s="1" t="str">
        <f>IF(SUM(COUNTIFS(I:I, I3695)) &gt; 1, "DUPLICATE", "UNIQUE")</f>
        <v>UNIQUE</v>
      </c>
      <c r="L3695" s="18">
        <v>16</v>
      </c>
      <c r="M3695" s="28">
        <v>66</v>
      </c>
      <c r="N3695" s="6">
        <v>225</v>
      </c>
      <c r="O3695" s="30">
        <f t="shared" si="346"/>
        <v>1056</v>
      </c>
      <c r="P3695" s="30">
        <f t="shared" si="347"/>
        <v>14850</v>
      </c>
      <c r="Q3695" s="1">
        <f>COUNTIFS($P:$P, "&gt;" &amp; $P3695) + 1</f>
        <v>1361</v>
      </c>
      <c r="R3695" s="63">
        <f>(COUNTIFS($P:$P, "&gt;" &amp; $P3695) + 1) / (COUNTA($I:$I) - 1)</f>
        <v>0.2722</v>
      </c>
      <c r="S3695" s="23">
        <f>SUMIFS($P:$P, $Q:$Q, "&lt;" &amp; $Q3695)</f>
        <v>172907206</v>
      </c>
    </row>
    <row r="3696" spans="1:19" x14ac:dyDescent="0.25">
      <c r="A3696" s="1">
        <v>3691</v>
      </c>
      <c r="B3696" s="1" t="s">
        <v>2</v>
      </c>
      <c r="C3696" s="1" t="str">
        <f>IF($B3696 = "Production Item", _xlfn.XLOOKUP($A3696, 'Instrument Table'!$J:$J, 'Instrument Table'!$B:$B, $C3695), IF($B3696 = "Service Item", _xlfn.XLOOKUP($A3696, 'Instrument Table'!$I:$I, 'Instrument Table'!$B:$B, $C3695), _xlfn.XLOOKUP($A3696, 'Instrument Table'!$H:$H, 'Instrument Table'!$B:$B, $C3695)))</f>
        <v>Synthesizer</v>
      </c>
      <c r="D3696" s="1" t="str">
        <f>VLOOKUP($C3696, 'Instrument Table'!$B:$C, 2, FALSE)</f>
        <v>Other</v>
      </c>
      <c r="E3696" s="1">
        <f t="shared" si="342"/>
        <v>1</v>
      </c>
      <c r="F3696" s="1">
        <f>_xlfn.XLOOKUP($C3696, 'Instrument Table'!$B:$B, 'Instrument Table'!$A:$A, "")</f>
        <v>61</v>
      </c>
      <c r="G3696" s="1" t="str">
        <f>TEXT(IF($B3696 = "Retail Item", IF((ROW($A3696) - 4504 - _xlfn.XMATCH($C3696, $C$4506:$C$5005, 0, 1)) &lt;= VLOOKUP($C3696, 'Instrument Table'!$B:$D, 3, FALSE), ROW($A3696) - 4504 - _xlfn.XMATCH($C3696, $C$4506:$C$5005, 0, 1), 0), 0), "00")</f>
        <v>00</v>
      </c>
      <c r="H3696" s="1" t="str">
        <f t="shared" si="343"/>
        <v>240</v>
      </c>
      <c r="I3696" s="1" t="str">
        <f t="shared" si="344"/>
        <v>16100-240</v>
      </c>
      <c r="J3696" s="1" t="str">
        <f t="shared" si="345"/>
        <v>Synthesizer production item #240</v>
      </c>
      <c r="K3696" s="1" t="str">
        <f>IF(SUM(COUNTIFS(I:I, I3696)) &gt; 1, "DUPLICATE", "UNIQUE")</f>
        <v>UNIQUE</v>
      </c>
      <c r="L3696" s="18">
        <v>1</v>
      </c>
      <c r="M3696" s="28">
        <v>1</v>
      </c>
      <c r="N3696" s="6">
        <v>400</v>
      </c>
      <c r="O3696" s="30">
        <f t="shared" si="346"/>
        <v>1</v>
      </c>
      <c r="P3696" s="30">
        <f t="shared" si="347"/>
        <v>400</v>
      </c>
      <c r="Q3696" s="1">
        <f>COUNTIFS($P:$P, "&gt;" &amp; $P3696) + 1</f>
        <v>4090</v>
      </c>
      <c r="R3696" s="63">
        <f>(COUNTIFS($P:$P, "&gt;" &amp; $P3696) + 1) / (COUNTA($I:$I) - 1)</f>
        <v>0.81799999999999995</v>
      </c>
      <c r="S3696" s="23">
        <f>SUMIFS($P:$P, $Q:$Q, "&lt;" &amp; $Q3696)</f>
        <v>186440882</v>
      </c>
    </row>
    <row r="3697" spans="1:19" x14ac:dyDescent="0.25">
      <c r="A3697" s="1">
        <v>3692</v>
      </c>
      <c r="B3697" s="1" t="s">
        <v>2</v>
      </c>
      <c r="C3697" s="1" t="str">
        <f>IF($B3697 = "Production Item", _xlfn.XLOOKUP($A3697, 'Instrument Table'!$J:$J, 'Instrument Table'!$B:$B, $C3696), IF($B3697 = "Service Item", _xlfn.XLOOKUP($A3697, 'Instrument Table'!$I:$I, 'Instrument Table'!$B:$B, $C3696), _xlfn.XLOOKUP($A3697, 'Instrument Table'!$H:$H, 'Instrument Table'!$B:$B, $C3696)))</f>
        <v>Synthesizer</v>
      </c>
      <c r="D3697" s="1" t="str">
        <f>VLOOKUP($C3697, 'Instrument Table'!$B:$C, 2, FALSE)</f>
        <v>Other</v>
      </c>
      <c r="E3697" s="1">
        <f t="shared" si="342"/>
        <v>1</v>
      </c>
      <c r="F3697" s="1">
        <f>_xlfn.XLOOKUP($C3697, 'Instrument Table'!$B:$B, 'Instrument Table'!$A:$A, "")</f>
        <v>61</v>
      </c>
      <c r="G3697" s="1" t="str">
        <f>TEXT(IF($B3697 = "Retail Item", IF((ROW($A3697) - 4504 - _xlfn.XMATCH($C3697, $C$4506:$C$5005, 0, 1)) &lt;= VLOOKUP($C3697, 'Instrument Table'!$B:$D, 3, FALSE), ROW($A3697) - 4504 - _xlfn.XMATCH($C3697, $C$4506:$C$5005, 0, 1), 0), 0), "00")</f>
        <v>00</v>
      </c>
      <c r="H3697" s="1" t="str">
        <f t="shared" si="343"/>
        <v>241</v>
      </c>
      <c r="I3697" s="1" t="str">
        <f t="shared" si="344"/>
        <v>16100-241</v>
      </c>
      <c r="J3697" s="1" t="str">
        <f t="shared" si="345"/>
        <v>Synthesizer production item #241</v>
      </c>
      <c r="K3697" s="1" t="str">
        <f>IF(SUM(COUNTIFS(I:I, I3697)) &gt; 1, "DUPLICATE", "UNIQUE")</f>
        <v>UNIQUE</v>
      </c>
      <c r="L3697" s="18">
        <v>0</v>
      </c>
      <c r="M3697" s="28">
        <v>19</v>
      </c>
      <c r="N3697" s="6">
        <v>256</v>
      </c>
      <c r="O3697" s="30">
        <f t="shared" si="346"/>
        <v>0</v>
      </c>
      <c r="P3697" s="30">
        <f t="shared" si="347"/>
        <v>4864</v>
      </c>
      <c r="Q3697" s="1">
        <f>COUNTIFS($P:$P, "&gt;" &amp; $P3697) + 1</f>
        <v>2471</v>
      </c>
      <c r="R3697" s="63">
        <f>(COUNTIFS($P:$P, "&gt;" &amp; $P3697) + 1) / (COUNTA($I:$I) - 1)</f>
        <v>0.49419999999999997</v>
      </c>
      <c r="S3697" s="23">
        <f>SUMIFS($P:$P, $Q:$Q, "&lt;" &amp; $Q3697)</f>
        <v>182975918</v>
      </c>
    </row>
    <row r="3698" spans="1:19" x14ac:dyDescent="0.25">
      <c r="A3698" s="1">
        <v>3693</v>
      </c>
      <c r="B3698" s="1" t="s">
        <v>2</v>
      </c>
      <c r="C3698" s="1" t="str">
        <f>IF($B3698 = "Production Item", _xlfn.XLOOKUP($A3698, 'Instrument Table'!$J:$J, 'Instrument Table'!$B:$B, $C3697), IF($B3698 = "Service Item", _xlfn.XLOOKUP($A3698, 'Instrument Table'!$I:$I, 'Instrument Table'!$B:$B, $C3697), _xlfn.XLOOKUP($A3698, 'Instrument Table'!$H:$H, 'Instrument Table'!$B:$B, $C3697)))</f>
        <v>Synthesizer</v>
      </c>
      <c r="D3698" s="1" t="str">
        <f>VLOOKUP($C3698, 'Instrument Table'!$B:$C, 2, FALSE)</f>
        <v>Other</v>
      </c>
      <c r="E3698" s="1">
        <f t="shared" si="342"/>
        <v>1</v>
      </c>
      <c r="F3698" s="1">
        <f>_xlfn.XLOOKUP($C3698, 'Instrument Table'!$B:$B, 'Instrument Table'!$A:$A, "")</f>
        <v>61</v>
      </c>
      <c r="G3698" s="1" t="str">
        <f>TEXT(IF($B3698 = "Retail Item", IF((ROW($A3698) - 4504 - _xlfn.XMATCH($C3698, $C$4506:$C$5005, 0, 1)) &lt;= VLOOKUP($C3698, 'Instrument Table'!$B:$D, 3, FALSE), ROW($A3698) - 4504 - _xlfn.XMATCH($C3698, $C$4506:$C$5005, 0, 1), 0), 0), "00")</f>
        <v>00</v>
      </c>
      <c r="H3698" s="1" t="str">
        <f t="shared" si="343"/>
        <v>242</v>
      </c>
      <c r="I3698" s="1" t="str">
        <f t="shared" si="344"/>
        <v>16100-242</v>
      </c>
      <c r="J3698" s="1" t="str">
        <f t="shared" si="345"/>
        <v>Synthesizer production item #242</v>
      </c>
      <c r="K3698" s="1" t="str">
        <f>IF(SUM(COUNTIFS(I:I, I3698)) &gt; 1, "DUPLICATE", "UNIQUE")</f>
        <v>UNIQUE</v>
      </c>
      <c r="L3698" s="18">
        <v>1</v>
      </c>
      <c r="M3698" s="28">
        <v>55</v>
      </c>
      <c r="N3698" s="6">
        <v>121</v>
      </c>
      <c r="O3698" s="30">
        <f t="shared" si="346"/>
        <v>55</v>
      </c>
      <c r="P3698" s="30">
        <f t="shared" si="347"/>
        <v>6655</v>
      </c>
      <c r="Q3698" s="1">
        <f>COUNTIFS($P:$P, "&gt;" &amp; $P3698) + 1</f>
        <v>2188</v>
      </c>
      <c r="R3698" s="63">
        <f>(COUNTIFS($P:$P, "&gt;" &amp; $P3698) + 1) / (COUNTA($I:$I) - 1)</f>
        <v>0.43759999999999999</v>
      </c>
      <c r="S3698" s="23">
        <f>SUMIFS($P:$P, $Q:$Q, "&lt;" &amp; $Q3698)</f>
        <v>181371952</v>
      </c>
    </row>
    <row r="3699" spans="1:19" x14ac:dyDescent="0.25">
      <c r="A3699" s="1">
        <v>3694</v>
      </c>
      <c r="B3699" s="1" t="s">
        <v>2</v>
      </c>
      <c r="C3699" s="1" t="str">
        <f>IF($B3699 = "Production Item", _xlfn.XLOOKUP($A3699, 'Instrument Table'!$J:$J, 'Instrument Table'!$B:$B, $C3698), IF($B3699 = "Service Item", _xlfn.XLOOKUP($A3699, 'Instrument Table'!$I:$I, 'Instrument Table'!$B:$B, $C3698), _xlfn.XLOOKUP($A3699, 'Instrument Table'!$H:$H, 'Instrument Table'!$B:$B, $C3698)))</f>
        <v>Synthesizer</v>
      </c>
      <c r="D3699" s="1" t="str">
        <f>VLOOKUP($C3699, 'Instrument Table'!$B:$C, 2, FALSE)</f>
        <v>Other</v>
      </c>
      <c r="E3699" s="1">
        <f t="shared" si="342"/>
        <v>1</v>
      </c>
      <c r="F3699" s="1">
        <f>_xlfn.XLOOKUP($C3699, 'Instrument Table'!$B:$B, 'Instrument Table'!$A:$A, "")</f>
        <v>61</v>
      </c>
      <c r="G3699" s="1" t="str">
        <f>TEXT(IF($B3699 = "Retail Item", IF((ROW($A3699) - 4504 - _xlfn.XMATCH($C3699, $C$4506:$C$5005, 0, 1)) &lt;= VLOOKUP($C3699, 'Instrument Table'!$B:$D, 3, FALSE), ROW($A3699) - 4504 - _xlfn.XMATCH($C3699, $C$4506:$C$5005, 0, 1), 0), 0), "00")</f>
        <v>00</v>
      </c>
      <c r="H3699" s="1" t="str">
        <f t="shared" si="343"/>
        <v>243</v>
      </c>
      <c r="I3699" s="1" t="str">
        <f t="shared" si="344"/>
        <v>16100-243</v>
      </c>
      <c r="J3699" s="1" t="str">
        <f t="shared" si="345"/>
        <v>Synthesizer production item #243</v>
      </c>
      <c r="K3699" s="1" t="str">
        <f>IF(SUM(COUNTIFS(I:I, I3699)) &gt; 1, "DUPLICATE", "UNIQUE")</f>
        <v>UNIQUE</v>
      </c>
      <c r="L3699" s="18">
        <v>1</v>
      </c>
      <c r="M3699" s="28">
        <v>29</v>
      </c>
      <c r="N3699" s="6">
        <v>81</v>
      </c>
      <c r="O3699" s="30">
        <f t="shared" si="346"/>
        <v>29</v>
      </c>
      <c r="P3699" s="30">
        <f t="shared" si="347"/>
        <v>2349</v>
      </c>
      <c r="Q3699" s="1">
        <f>COUNTIFS($P:$P, "&gt;" &amp; $P3699) + 1</f>
        <v>3107</v>
      </c>
      <c r="R3699" s="63">
        <f>(COUNTIFS($P:$P, "&gt;" &amp; $P3699) + 1) / (COUNTA($I:$I) - 1)</f>
        <v>0.62139999999999995</v>
      </c>
      <c r="S3699" s="23">
        <f>SUMIFS($P:$P, $Q:$Q, "&lt;" &amp; $Q3699)</f>
        <v>185198957</v>
      </c>
    </row>
    <row r="3700" spans="1:19" x14ac:dyDescent="0.25">
      <c r="A3700" s="1">
        <v>3695</v>
      </c>
      <c r="B3700" s="1" t="s">
        <v>2</v>
      </c>
      <c r="C3700" s="1" t="str">
        <f>IF($B3700 = "Production Item", _xlfn.XLOOKUP($A3700, 'Instrument Table'!$J:$J, 'Instrument Table'!$B:$B, $C3699), IF($B3700 = "Service Item", _xlfn.XLOOKUP($A3700, 'Instrument Table'!$I:$I, 'Instrument Table'!$B:$B, $C3699), _xlfn.XLOOKUP($A3700, 'Instrument Table'!$H:$H, 'Instrument Table'!$B:$B, $C3699)))</f>
        <v>Synthesizer</v>
      </c>
      <c r="D3700" s="1" t="str">
        <f>VLOOKUP($C3700, 'Instrument Table'!$B:$C, 2, FALSE)</f>
        <v>Other</v>
      </c>
      <c r="E3700" s="1">
        <f t="shared" si="342"/>
        <v>1</v>
      </c>
      <c r="F3700" s="1">
        <f>_xlfn.XLOOKUP($C3700, 'Instrument Table'!$B:$B, 'Instrument Table'!$A:$A, "")</f>
        <v>61</v>
      </c>
      <c r="G3700" s="1" t="str">
        <f>TEXT(IF($B3700 = "Retail Item", IF((ROW($A3700) - 4504 - _xlfn.XMATCH($C3700, $C$4506:$C$5005, 0, 1)) &lt;= VLOOKUP($C3700, 'Instrument Table'!$B:$D, 3, FALSE), ROW($A3700) - 4504 - _xlfn.XMATCH($C3700, $C$4506:$C$5005, 0, 1), 0), 0), "00")</f>
        <v>00</v>
      </c>
      <c r="H3700" s="1" t="str">
        <f t="shared" si="343"/>
        <v>244</v>
      </c>
      <c r="I3700" s="1" t="str">
        <f t="shared" si="344"/>
        <v>16100-244</v>
      </c>
      <c r="J3700" s="1" t="str">
        <f t="shared" si="345"/>
        <v>Synthesizer production item #244</v>
      </c>
      <c r="K3700" s="1" t="str">
        <f>IF(SUM(COUNTIFS(I:I, I3700)) &gt; 1, "DUPLICATE", "UNIQUE")</f>
        <v>UNIQUE</v>
      </c>
      <c r="L3700" s="18">
        <v>0</v>
      </c>
      <c r="M3700" s="28">
        <v>72</v>
      </c>
      <c r="N3700" s="6">
        <v>144</v>
      </c>
      <c r="O3700" s="30">
        <f t="shared" si="346"/>
        <v>0</v>
      </c>
      <c r="P3700" s="30">
        <f t="shared" si="347"/>
        <v>10368</v>
      </c>
      <c r="Q3700" s="1">
        <f>COUNTIFS($P:$P, "&gt;" &amp; $P3700) + 1</f>
        <v>1741</v>
      </c>
      <c r="R3700" s="63">
        <f>(COUNTIFS($P:$P, "&gt;" &amp; $P3700) + 1) / (COUNTA($I:$I) - 1)</f>
        <v>0.34820000000000001</v>
      </c>
      <c r="S3700" s="23">
        <f>SUMIFS($P:$P, $Q:$Q, "&lt;" &amp; $Q3700)</f>
        <v>177648980</v>
      </c>
    </row>
    <row r="3701" spans="1:19" x14ac:dyDescent="0.25">
      <c r="A3701" s="1">
        <v>3696</v>
      </c>
      <c r="B3701" s="1" t="s">
        <v>2</v>
      </c>
      <c r="C3701" s="1" t="str">
        <f>IF($B3701 = "Production Item", _xlfn.XLOOKUP($A3701, 'Instrument Table'!$J:$J, 'Instrument Table'!$B:$B, $C3700), IF($B3701 = "Service Item", _xlfn.XLOOKUP($A3701, 'Instrument Table'!$I:$I, 'Instrument Table'!$B:$B, $C3700), _xlfn.XLOOKUP($A3701, 'Instrument Table'!$H:$H, 'Instrument Table'!$B:$B, $C3700)))</f>
        <v>Synthesizer</v>
      </c>
      <c r="D3701" s="1" t="str">
        <f>VLOOKUP($C3701, 'Instrument Table'!$B:$C, 2, FALSE)</f>
        <v>Other</v>
      </c>
      <c r="E3701" s="1">
        <f t="shared" si="342"/>
        <v>1</v>
      </c>
      <c r="F3701" s="1">
        <f>_xlfn.XLOOKUP($C3701, 'Instrument Table'!$B:$B, 'Instrument Table'!$A:$A, "")</f>
        <v>61</v>
      </c>
      <c r="G3701" s="1" t="str">
        <f>TEXT(IF($B3701 = "Retail Item", IF((ROW($A3701) - 4504 - _xlfn.XMATCH($C3701, $C$4506:$C$5005, 0, 1)) &lt;= VLOOKUP($C3701, 'Instrument Table'!$B:$D, 3, FALSE), ROW($A3701) - 4504 - _xlfn.XMATCH($C3701, $C$4506:$C$5005, 0, 1), 0), 0), "00")</f>
        <v>00</v>
      </c>
      <c r="H3701" s="1" t="str">
        <f t="shared" si="343"/>
        <v>245</v>
      </c>
      <c r="I3701" s="1" t="str">
        <f t="shared" si="344"/>
        <v>16100-245</v>
      </c>
      <c r="J3701" s="1" t="str">
        <f t="shared" si="345"/>
        <v>Synthesizer production item #245</v>
      </c>
      <c r="K3701" s="1" t="str">
        <f>IF(SUM(COUNTIFS(I:I, I3701)) &gt; 1, "DUPLICATE", "UNIQUE")</f>
        <v>UNIQUE</v>
      </c>
      <c r="L3701" s="18">
        <v>8</v>
      </c>
      <c r="M3701" s="28">
        <v>34</v>
      </c>
      <c r="N3701" s="6">
        <v>9</v>
      </c>
      <c r="O3701" s="30">
        <f t="shared" si="346"/>
        <v>272</v>
      </c>
      <c r="P3701" s="30">
        <f t="shared" si="347"/>
        <v>306</v>
      </c>
      <c r="Q3701" s="1">
        <f>COUNTIFS($P:$P, "&gt;" &amp; $P3701) + 1</f>
        <v>4208</v>
      </c>
      <c r="R3701" s="63">
        <f>(COUNTIFS($P:$P, "&gt;" &amp; $P3701) + 1) / (COUNTA($I:$I) - 1)</f>
        <v>0.84160000000000001</v>
      </c>
      <c r="S3701" s="23">
        <f>SUMIFS($P:$P, $Q:$Q, "&lt;" &amp; $Q3701)</f>
        <v>186482895</v>
      </c>
    </row>
    <row r="3702" spans="1:19" x14ac:dyDescent="0.25">
      <c r="A3702" s="1">
        <v>3697</v>
      </c>
      <c r="B3702" s="1" t="s">
        <v>2</v>
      </c>
      <c r="C3702" s="1" t="str">
        <f>IF($B3702 = "Production Item", _xlfn.XLOOKUP($A3702, 'Instrument Table'!$J:$J, 'Instrument Table'!$B:$B, $C3701), IF($B3702 = "Service Item", _xlfn.XLOOKUP($A3702, 'Instrument Table'!$I:$I, 'Instrument Table'!$B:$B, $C3701), _xlfn.XLOOKUP($A3702, 'Instrument Table'!$H:$H, 'Instrument Table'!$B:$B, $C3701)))</f>
        <v>Synthesizer</v>
      </c>
      <c r="D3702" s="1" t="str">
        <f>VLOOKUP($C3702, 'Instrument Table'!$B:$C, 2, FALSE)</f>
        <v>Other</v>
      </c>
      <c r="E3702" s="1">
        <f t="shared" si="342"/>
        <v>1</v>
      </c>
      <c r="F3702" s="1">
        <f>_xlfn.XLOOKUP($C3702, 'Instrument Table'!$B:$B, 'Instrument Table'!$A:$A, "")</f>
        <v>61</v>
      </c>
      <c r="G3702" s="1" t="str">
        <f>TEXT(IF($B3702 = "Retail Item", IF((ROW($A3702) - 4504 - _xlfn.XMATCH($C3702, $C$4506:$C$5005, 0, 1)) &lt;= VLOOKUP($C3702, 'Instrument Table'!$B:$D, 3, FALSE), ROW($A3702) - 4504 - _xlfn.XMATCH($C3702, $C$4506:$C$5005, 0, 1), 0), 0), "00")</f>
        <v>00</v>
      </c>
      <c r="H3702" s="1" t="str">
        <f t="shared" si="343"/>
        <v>246</v>
      </c>
      <c r="I3702" s="1" t="str">
        <f t="shared" si="344"/>
        <v>16100-246</v>
      </c>
      <c r="J3702" s="1" t="str">
        <f t="shared" si="345"/>
        <v>Synthesizer production item #246</v>
      </c>
      <c r="K3702" s="1" t="str">
        <f>IF(SUM(COUNTIFS(I:I, I3702)) &gt; 1, "DUPLICATE", "UNIQUE")</f>
        <v>UNIQUE</v>
      </c>
      <c r="L3702" s="18">
        <v>0</v>
      </c>
      <c r="M3702" s="28">
        <v>59</v>
      </c>
      <c r="N3702" s="6">
        <v>36</v>
      </c>
      <c r="O3702" s="30">
        <f t="shared" si="346"/>
        <v>0</v>
      </c>
      <c r="P3702" s="30">
        <f t="shared" si="347"/>
        <v>2124</v>
      </c>
      <c r="Q3702" s="1">
        <f>COUNTIFS($P:$P, "&gt;" &amp; $P3702) + 1</f>
        <v>3194</v>
      </c>
      <c r="R3702" s="63">
        <f>(COUNTIFS($P:$P, "&gt;" &amp; $P3702) + 1) / (COUNTA($I:$I) - 1)</f>
        <v>0.63880000000000003</v>
      </c>
      <c r="S3702" s="23">
        <f>SUMIFS($P:$P, $Q:$Q, "&lt;" &amp; $Q3702)</f>
        <v>185394931</v>
      </c>
    </row>
    <row r="3703" spans="1:19" x14ac:dyDescent="0.25">
      <c r="A3703" s="1">
        <v>3698</v>
      </c>
      <c r="B3703" s="1" t="s">
        <v>2</v>
      </c>
      <c r="C3703" s="1" t="str">
        <f>IF($B3703 = "Production Item", _xlfn.XLOOKUP($A3703, 'Instrument Table'!$J:$J, 'Instrument Table'!$B:$B, $C3702), IF($B3703 = "Service Item", _xlfn.XLOOKUP($A3703, 'Instrument Table'!$I:$I, 'Instrument Table'!$B:$B, $C3702), _xlfn.XLOOKUP($A3703, 'Instrument Table'!$H:$H, 'Instrument Table'!$B:$B, $C3702)))</f>
        <v>Synthesizer</v>
      </c>
      <c r="D3703" s="1" t="str">
        <f>VLOOKUP($C3703, 'Instrument Table'!$B:$C, 2, FALSE)</f>
        <v>Other</v>
      </c>
      <c r="E3703" s="1">
        <f t="shared" si="342"/>
        <v>1</v>
      </c>
      <c r="F3703" s="1">
        <f>_xlfn.XLOOKUP($C3703, 'Instrument Table'!$B:$B, 'Instrument Table'!$A:$A, "")</f>
        <v>61</v>
      </c>
      <c r="G3703" s="1" t="str">
        <f>TEXT(IF($B3703 = "Retail Item", IF((ROW($A3703) - 4504 - _xlfn.XMATCH($C3703, $C$4506:$C$5005, 0, 1)) &lt;= VLOOKUP($C3703, 'Instrument Table'!$B:$D, 3, FALSE), ROW($A3703) - 4504 - _xlfn.XMATCH($C3703, $C$4506:$C$5005, 0, 1), 0), 0), "00")</f>
        <v>00</v>
      </c>
      <c r="H3703" s="1" t="str">
        <f t="shared" si="343"/>
        <v>247</v>
      </c>
      <c r="I3703" s="1" t="str">
        <f t="shared" si="344"/>
        <v>16100-247</v>
      </c>
      <c r="J3703" s="1" t="str">
        <f t="shared" si="345"/>
        <v>Synthesizer production item #247</v>
      </c>
      <c r="K3703" s="1" t="str">
        <f>IF(SUM(COUNTIFS(I:I, I3703)) &gt; 1, "DUPLICATE", "UNIQUE")</f>
        <v>UNIQUE</v>
      </c>
      <c r="L3703" s="18">
        <v>0</v>
      </c>
      <c r="M3703" s="28">
        <v>69</v>
      </c>
      <c r="N3703" s="6">
        <v>4</v>
      </c>
      <c r="O3703" s="30">
        <f t="shared" si="346"/>
        <v>0</v>
      </c>
      <c r="P3703" s="30">
        <f t="shared" si="347"/>
        <v>276</v>
      </c>
      <c r="Q3703" s="1">
        <f>COUNTIFS($P:$P, "&gt;" &amp; $P3703) + 1</f>
        <v>4242</v>
      </c>
      <c r="R3703" s="63">
        <f>(COUNTIFS($P:$P, "&gt;" &amp; $P3703) + 1) / (COUNTA($I:$I) - 1)</f>
        <v>0.84840000000000004</v>
      </c>
      <c r="S3703" s="23">
        <f>SUMIFS($P:$P, $Q:$Q, "&lt;" &amp; $Q3703)</f>
        <v>186492897</v>
      </c>
    </row>
    <row r="3704" spans="1:19" x14ac:dyDescent="0.25">
      <c r="A3704" s="1">
        <v>3699</v>
      </c>
      <c r="B3704" s="1" t="s">
        <v>2</v>
      </c>
      <c r="C3704" s="1" t="str">
        <f>IF($B3704 = "Production Item", _xlfn.XLOOKUP($A3704, 'Instrument Table'!$J:$J, 'Instrument Table'!$B:$B, $C3703), IF($B3704 = "Service Item", _xlfn.XLOOKUP($A3704, 'Instrument Table'!$I:$I, 'Instrument Table'!$B:$B, $C3703), _xlfn.XLOOKUP($A3704, 'Instrument Table'!$H:$H, 'Instrument Table'!$B:$B, $C3703)))</f>
        <v>Synthesizer</v>
      </c>
      <c r="D3704" s="1" t="str">
        <f>VLOOKUP($C3704, 'Instrument Table'!$B:$C, 2, FALSE)</f>
        <v>Other</v>
      </c>
      <c r="E3704" s="1">
        <f t="shared" si="342"/>
        <v>1</v>
      </c>
      <c r="F3704" s="1">
        <f>_xlfn.XLOOKUP($C3704, 'Instrument Table'!$B:$B, 'Instrument Table'!$A:$A, "")</f>
        <v>61</v>
      </c>
      <c r="G3704" s="1" t="str">
        <f>TEXT(IF($B3704 = "Retail Item", IF((ROW($A3704) - 4504 - _xlfn.XMATCH($C3704, $C$4506:$C$5005, 0, 1)) &lt;= VLOOKUP($C3704, 'Instrument Table'!$B:$D, 3, FALSE), ROW($A3704) - 4504 - _xlfn.XMATCH($C3704, $C$4506:$C$5005, 0, 1), 0), 0), "00")</f>
        <v>00</v>
      </c>
      <c r="H3704" s="1" t="str">
        <f t="shared" si="343"/>
        <v>248</v>
      </c>
      <c r="I3704" s="1" t="str">
        <f t="shared" si="344"/>
        <v>16100-248</v>
      </c>
      <c r="J3704" s="1" t="str">
        <f t="shared" si="345"/>
        <v>Synthesizer production item #248</v>
      </c>
      <c r="K3704" s="1" t="str">
        <f>IF(SUM(COUNTIFS(I:I, I3704)) &gt; 1, "DUPLICATE", "UNIQUE")</f>
        <v>UNIQUE</v>
      </c>
      <c r="L3704" s="18">
        <v>4</v>
      </c>
      <c r="M3704" s="28">
        <v>44</v>
      </c>
      <c r="N3704" s="6">
        <v>16</v>
      </c>
      <c r="O3704" s="30">
        <f t="shared" si="346"/>
        <v>176</v>
      </c>
      <c r="P3704" s="30">
        <f t="shared" si="347"/>
        <v>704</v>
      </c>
      <c r="Q3704" s="1">
        <f>COUNTIFS($P:$P, "&gt;" &amp; $P3704) + 1</f>
        <v>3876</v>
      </c>
      <c r="R3704" s="63">
        <f>(COUNTIFS($P:$P, "&gt;" &amp; $P3704) + 1) / (COUNTA($I:$I) - 1)</f>
        <v>0.7752</v>
      </c>
      <c r="S3704" s="23">
        <f>SUMIFS($P:$P, $Q:$Q, "&lt;" &amp; $Q3704)</f>
        <v>186322273</v>
      </c>
    </row>
    <row r="3705" spans="1:19" x14ac:dyDescent="0.25">
      <c r="A3705" s="1">
        <v>3700</v>
      </c>
      <c r="B3705" s="1" t="s">
        <v>2</v>
      </c>
      <c r="C3705" s="1" t="str">
        <f>IF($B3705 = "Production Item", _xlfn.XLOOKUP($A3705, 'Instrument Table'!$J:$J, 'Instrument Table'!$B:$B, $C3704), IF($B3705 = "Service Item", _xlfn.XLOOKUP($A3705, 'Instrument Table'!$I:$I, 'Instrument Table'!$B:$B, $C3704), _xlfn.XLOOKUP($A3705, 'Instrument Table'!$H:$H, 'Instrument Table'!$B:$B, $C3704)))</f>
        <v>Synthesizer</v>
      </c>
      <c r="D3705" s="1" t="str">
        <f>VLOOKUP($C3705, 'Instrument Table'!$B:$C, 2, FALSE)</f>
        <v>Other</v>
      </c>
      <c r="E3705" s="1">
        <f t="shared" si="342"/>
        <v>1</v>
      </c>
      <c r="F3705" s="1">
        <f>_xlfn.XLOOKUP($C3705, 'Instrument Table'!$B:$B, 'Instrument Table'!$A:$A, "")</f>
        <v>61</v>
      </c>
      <c r="G3705" s="1" t="str">
        <f>TEXT(IF($B3705 = "Retail Item", IF((ROW($A3705) - 4504 - _xlfn.XMATCH($C3705, $C$4506:$C$5005, 0, 1)) &lt;= VLOOKUP($C3705, 'Instrument Table'!$B:$D, 3, FALSE), ROW($A3705) - 4504 - _xlfn.XMATCH($C3705, $C$4506:$C$5005, 0, 1), 0), 0), "00")</f>
        <v>00</v>
      </c>
      <c r="H3705" s="1" t="str">
        <f t="shared" si="343"/>
        <v>249</v>
      </c>
      <c r="I3705" s="1" t="str">
        <f t="shared" si="344"/>
        <v>16100-249</v>
      </c>
      <c r="J3705" s="1" t="str">
        <f t="shared" si="345"/>
        <v>Synthesizer production item #249</v>
      </c>
      <c r="K3705" s="1" t="str">
        <f>IF(SUM(COUNTIFS(I:I, I3705)) &gt; 1, "DUPLICATE", "UNIQUE")</f>
        <v>UNIQUE</v>
      </c>
      <c r="L3705" s="18">
        <v>0</v>
      </c>
      <c r="M3705" s="28">
        <v>58</v>
      </c>
      <c r="N3705" s="6">
        <v>196</v>
      </c>
      <c r="O3705" s="30">
        <f t="shared" si="346"/>
        <v>0</v>
      </c>
      <c r="P3705" s="30">
        <f t="shared" si="347"/>
        <v>11368</v>
      </c>
      <c r="Q3705" s="1">
        <f>COUNTIFS($P:$P, "&gt;" &amp; $P3705) + 1</f>
        <v>1650</v>
      </c>
      <c r="R3705" s="63">
        <f>(COUNTIFS($P:$P, "&gt;" &amp; $P3705) + 1) / (COUNTA($I:$I) - 1)</f>
        <v>0.33</v>
      </c>
      <c r="S3705" s="23">
        <f>SUMIFS($P:$P, $Q:$Q, "&lt;" &amp; $Q3705)</f>
        <v>176658153</v>
      </c>
    </row>
    <row r="3706" spans="1:19" x14ac:dyDescent="0.25">
      <c r="A3706" s="1">
        <v>3701</v>
      </c>
      <c r="B3706" s="1" t="s">
        <v>2</v>
      </c>
      <c r="C3706" s="1" t="str">
        <f>IF($B3706 = "Production Item", _xlfn.XLOOKUP($A3706, 'Instrument Table'!$J:$J, 'Instrument Table'!$B:$B, $C3705), IF($B3706 = "Service Item", _xlfn.XLOOKUP($A3706, 'Instrument Table'!$I:$I, 'Instrument Table'!$B:$B, $C3705), _xlfn.XLOOKUP($A3706, 'Instrument Table'!$H:$H, 'Instrument Table'!$B:$B, $C3705)))</f>
        <v>Software</v>
      </c>
      <c r="D3706" s="1" t="str">
        <f>VLOOKUP($C3706, 'Instrument Table'!$B:$C, 2, FALSE)</f>
        <v>Other</v>
      </c>
      <c r="E3706" s="1">
        <f t="shared" si="342"/>
        <v>1</v>
      </c>
      <c r="F3706" s="1">
        <f>_xlfn.XLOOKUP($C3706, 'Instrument Table'!$B:$B, 'Instrument Table'!$A:$A, "")</f>
        <v>62</v>
      </c>
      <c r="G3706" s="1" t="str">
        <f>TEXT(IF($B3706 = "Retail Item", IF((ROW($A3706) - 4504 - _xlfn.XMATCH($C3706, $C$4506:$C$5005, 0, 1)) &lt;= VLOOKUP($C3706, 'Instrument Table'!$B:$D, 3, FALSE), ROW($A3706) - 4504 - _xlfn.XMATCH($C3706, $C$4506:$C$5005, 0, 1), 0), 0), "00")</f>
        <v>00</v>
      </c>
      <c r="H3706" s="1" t="str">
        <f t="shared" si="343"/>
        <v>000</v>
      </c>
      <c r="I3706" s="1" t="str">
        <f t="shared" si="344"/>
        <v>16200-000</v>
      </c>
      <c r="J3706" s="1" t="str">
        <f t="shared" si="345"/>
        <v>Software production item #000</v>
      </c>
      <c r="K3706" s="1" t="str">
        <f>IF(SUM(COUNTIFS(I:I, I3706)) &gt; 1, "DUPLICATE", "UNIQUE")</f>
        <v>UNIQUE</v>
      </c>
      <c r="L3706" s="18">
        <v>2</v>
      </c>
      <c r="M3706" s="28">
        <v>79</v>
      </c>
      <c r="N3706" s="6">
        <v>9</v>
      </c>
      <c r="O3706" s="30">
        <f t="shared" si="346"/>
        <v>158</v>
      </c>
      <c r="P3706" s="30">
        <f t="shared" si="347"/>
        <v>711</v>
      </c>
      <c r="Q3706" s="1">
        <f>COUNTIFS($P:$P, "&gt;" &amp; $P3706) + 1</f>
        <v>3870</v>
      </c>
      <c r="R3706" s="63">
        <f>(COUNTIFS($P:$P, "&gt;" &amp; $P3706) + 1) / (COUNTA($I:$I) - 1)</f>
        <v>0.77400000000000002</v>
      </c>
      <c r="S3706" s="23">
        <f>SUMIFS($P:$P, $Q:$Q, "&lt;" &amp; $Q3706)</f>
        <v>186318007</v>
      </c>
    </row>
    <row r="3707" spans="1:19" x14ac:dyDescent="0.25">
      <c r="A3707" s="1">
        <v>3702</v>
      </c>
      <c r="B3707" s="1" t="s">
        <v>2</v>
      </c>
      <c r="C3707" s="1" t="str">
        <f>IF($B3707 = "Production Item", _xlfn.XLOOKUP($A3707, 'Instrument Table'!$J:$J, 'Instrument Table'!$B:$B, $C3706), IF($B3707 = "Service Item", _xlfn.XLOOKUP($A3707, 'Instrument Table'!$I:$I, 'Instrument Table'!$B:$B, $C3706), _xlfn.XLOOKUP($A3707, 'Instrument Table'!$H:$H, 'Instrument Table'!$B:$B, $C3706)))</f>
        <v>Software</v>
      </c>
      <c r="D3707" s="1" t="str">
        <f>VLOOKUP($C3707, 'Instrument Table'!$B:$C, 2, FALSE)</f>
        <v>Other</v>
      </c>
      <c r="E3707" s="1">
        <f t="shared" si="342"/>
        <v>1</v>
      </c>
      <c r="F3707" s="1">
        <f>_xlfn.XLOOKUP($C3707, 'Instrument Table'!$B:$B, 'Instrument Table'!$A:$A, "")</f>
        <v>62</v>
      </c>
      <c r="G3707" s="1" t="str">
        <f>TEXT(IF($B3707 = "Retail Item", IF((ROW($A3707) - 4504 - _xlfn.XMATCH($C3707, $C$4506:$C$5005, 0, 1)) &lt;= VLOOKUP($C3707, 'Instrument Table'!$B:$D, 3, FALSE), ROW($A3707) - 4504 - _xlfn.XMATCH($C3707, $C$4506:$C$5005, 0, 1), 0), 0), "00")</f>
        <v>00</v>
      </c>
      <c r="H3707" s="1" t="str">
        <f t="shared" si="343"/>
        <v>001</v>
      </c>
      <c r="I3707" s="1" t="str">
        <f t="shared" si="344"/>
        <v>16200-001</v>
      </c>
      <c r="J3707" s="1" t="str">
        <f t="shared" si="345"/>
        <v>Software production item #001</v>
      </c>
      <c r="K3707" s="1" t="str">
        <f>IF(SUM(COUNTIFS(I:I, I3707)) &gt; 1, "DUPLICATE", "UNIQUE")</f>
        <v>UNIQUE</v>
      </c>
      <c r="L3707" s="18">
        <v>0</v>
      </c>
      <c r="M3707" s="28">
        <v>24</v>
      </c>
      <c r="N3707" s="6">
        <v>0</v>
      </c>
      <c r="O3707" s="30">
        <f t="shared" si="346"/>
        <v>0</v>
      </c>
      <c r="P3707" s="30">
        <f t="shared" si="347"/>
        <v>0</v>
      </c>
      <c r="Q3707" s="1">
        <f>COUNTIFS($P:$P, "&gt;" &amp; $P3707) + 1</f>
        <v>4746</v>
      </c>
      <c r="R3707" s="63">
        <f>(COUNTIFS($P:$P, "&gt;" &amp; $P3707) + 1) / (COUNTA($I:$I) - 1)</f>
        <v>0.94920000000000004</v>
      </c>
      <c r="S3707" s="23">
        <f>SUMIFS($P:$P, $Q:$Q, "&lt;" &amp; $Q3707)</f>
        <v>186547861</v>
      </c>
    </row>
    <row r="3708" spans="1:19" x14ac:dyDescent="0.25">
      <c r="A3708" s="1">
        <v>3703</v>
      </c>
      <c r="B3708" s="1" t="s">
        <v>2</v>
      </c>
      <c r="C3708" s="1" t="str">
        <f>IF($B3708 = "Production Item", _xlfn.XLOOKUP($A3708, 'Instrument Table'!$J:$J, 'Instrument Table'!$B:$B, $C3707), IF($B3708 = "Service Item", _xlfn.XLOOKUP($A3708, 'Instrument Table'!$I:$I, 'Instrument Table'!$B:$B, $C3707), _xlfn.XLOOKUP($A3708, 'Instrument Table'!$H:$H, 'Instrument Table'!$B:$B, $C3707)))</f>
        <v>Software</v>
      </c>
      <c r="D3708" s="1" t="str">
        <f>VLOOKUP($C3708, 'Instrument Table'!$B:$C, 2, FALSE)</f>
        <v>Other</v>
      </c>
      <c r="E3708" s="1">
        <f t="shared" si="342"/>
        <v>1</v>
      </c>
      <c r="F3708" s="1">
        <f>_xlfn.XLOOKUP($C3708, 'Instrument Table'!$B:$B, 'Instrument Table'!$A:$A, "")</f>
        <v>62</v>
      </c>
      <c r="G3708" s="1" t="str">
        <f>TEXT(IF($B3708 = "Retail Item", IF((ROW($A3708) - 4504 - _xlfn.XMATCH($C3708, $C$4506:$C$5005, 0, 1)) &lt;= VLOOKUP($C3708, 'Instrument Table'!$B:$D, 3, FALSE), ROW($A3708) - 4504 - _xlfn.XMATCH($C3708, $C$4506:$C$5005, 0, 1), 0), 0), "00")</f>
        <v>00</v>
      </c>
      <c r="H3708" s="1" t="str">
        <f t="shared" si="343"/>
        <v>002</v>
      </c>
      <c r="I3708" s="1" t="str">
        <f t="shared" si="344"/>
        <v>16200-002</v>
      </c>
      <c r="J3708" s="1" t="str">
        <f t="shared" si="345"/>
        <v>Software production item #002</v>
      </c>
      <c r="K3708" s="1" t="str">
        <f>IF(SUM(COUNTIFS(I:I, I3708)) &gt; 1, "DUPLICATE", "UNIQUE")</f>
        <v>UNIQUE</v>
      </c>
      <c r="L3708" s="18">
        <v>0</v>
      </c>
      <c r="M3708" s="28">
        <v>98</v>
      </c>
      <c r="N3708" s="6">
        <v>121</v>
      </c>
      <c r="O3708" s="30">
        <f t="shared" si="346"/>
        <v>0</v>
      </c>
      <c r="P3708" s="30">
        <f t="shared" si="347"/>
        <v>11858</v>
      </c>
      <c r="Q3708" s="1">
        <f>COUNTIFS($P:$P, "&gt;" &amp; $P3708) + 1</f>
        <v>1592</v>
      </c>
      <c r="R3708" s="63">
        <f>(COUNTIFS($P:$P, "&gt;" &amp; $P3708) + 1) / (COUNTA($I:$I) - 1)</f>
        <v>0.31840000000000002</v>
      </c>
      <c r="S3708" s="23">
        <f>SUMIFS($P:$P, $Q:$Q, "&lt;" &amp; $Q3708)</f>
        <v>175984031</v>
      </c>
    </row>
    <row r="3709" spans="1:19" x14ac:dyDescent="0.25">
      <c r="A3709" s="1">
        <v>3704</v>
      </c>
      <c r="B3709" s="1" t="s">
        <v>2</v>
      </c>
      <c r="C3709" s="1" t="str">
        <f>IF($B3709 = "Production Item", _xlfn.XLOOKUP($A3709, 'Instrument Table'!$J:$J, 'Instrument Table'!$B:$B, $C3708), IF($B3709 = "Service Item", _xlfn.XLOOKUP($A3709, 'Instrument Table'!$I:$I, 'Instrument Table'!$B:$B, $C3708), _xlfn.XLOOKUP($A3709, 'Instrument Table'!$H:$H, 'Instrument Table'!$B:$B, $C3708)))</f>
        <v>Software</v>
      </c>
      <c r="D3709" s="1" t="str">
        <f>VLOOKUP($C3709, 'Instrument Table'!$B:$C, 2, FALSE)</f>
        <v>Other</v>
      </c>
      <c r="E3709" s="1">
        <f t="shared" si="342"/>
        <v>1</v>
      </c>
      <c r="F3709" s="1">
        <f>_xlfn.XLOOKUP($C3709, 'Instrument Table'!$B:$B, 'Instrument Table'!$A:$A, "")</f>
        <v>62</v>
      </c>
      <c r="G3709" s="1" t="str">
        <f>TEXT(IF($B3709 = "Retail Item", IF((ROW($A3709) - 4504 - _xlfn.XMATCH($C3709, $C$4506:$C$5005, 0, 1)) &lt;= VLOOKUP($C3709, 'Instrument Table'!$B:$D, 3, FALSE), ROW($A3709) - 4504 - _xlfn.XMATCH($C3709, $C$4506:$C$5005, 0, 1), 0), 0), "00")</f>
        <v>00</v>
      </c>
      <c r="H3709" s="1" t="str">
        <f t="shared" si="343"/>
        <v>003</v>
      </c>
      <c r="I3709" s="1" t="str">
        <f t="shared" si="344"/>
        <v>16200-003</v>
      </c>
      <c r="J3709" s="1" t="str">
        <f t="shared" si="345"/>
        <v>Software production item #003</v>
      </c>
      <c r="K3709" s="1" t="str">
        <f>IF(SUM(COUNTIFS(I:I, I3709)) &gt; 1, "DUPLICATE", "UNIQUE")</f>
        <v>UNIQUE</v>
      </c>
      <c r="L3709" s="18">
        <v>0</v>
      </c>
      <c r="M3709" s="28">
        <v>52</v>
      </c>
      <c r="N3709" s="6">
        <v>25</v>
      </c>
      <c r="O3709" s="30">
        <f t="shared" si="346"/>
        <v>0</v>
      </c>
      <c r="P3709" s="30">
        <f t="shared" si="347"/>
        <v>1300</v>
      </c>
      <c r="Q3709" s="1">
        <f>COUNTIFS($P:$P, "&gt;" &amp; $P3709) + 1</f>
        <v>3560</v>
      </c>
      <c r="R3709" s="63">
        <f>(COUNTIFS($P:$P, "&gt;" &amp; $P3709) + 1) / (COUNTA($I:$I) - 1)</f>
        <v>0.71199999999999997</v>
      </c>
      <c r="S3709" s="23">
        <f>SUMIFS($P:$P, $Q:$Q, "&lt;" &amp; $Q3709)</f>
        <v>186019328</v>
      </c>
    </row>
    <row r="3710" spans="1:19" x14ac:dyDescent="0.25">
      <c r="A3710" s="1">
        <v>3705</v>
      </c>
      <c r="B3710" s="1" t="s">
        <v>2</v>
      </c>
      <c r="C3710" s="1" t="str">
        <f>IF($B3710 = "Production Item", _xlfn.XLOOKUP($A3710, 'Instrument Table'!$J:$J, 'Instrument Table'!$B:$B, $C3709), IF($B3710 = "Service Item", _xlfn.XLOOKUP($A3710, 'Instrument Table'!$I:$I, 'Instrument Table'!$B:$B, $C3709), _xlfn.XLOOKUP($A3710, 'Instrument Table'!$H:$H, 'Instrument Table'!$B:$B, $C3709)))</f>
        <v>Software</v>
      </c>
      <c r="D3710" s="1" t="str">
        <f>VLOOKUP($C3710, 'Instrument Table'!$B:$C, 2, FALSE)</f>
        <v>Other</v>
      </c>
      <c r="E3710" s="1">
        <f t="shared" si="342"/>
        <v>1</v>
      </c>
      <c r="F3710" s="1">
        <f>_xlfn.XLOOKUP($C3710, 'Instrument Table'!$B:$B, 'Instrument Table'!$A:$A, "")</f>
        <v>62</v>
      </c>
      <c r="G3710" s="1" t="str">
        <f>TEXT(IF($B3710 = "Retail Item", IF((ROW($A3710) - 4504 - _xlfn.XMATCH($C3710, $C$4506:$C$5005, 0, 1)) &lt;= VLOOKUP($C3710, 'Instrument Table'!$B:$D, 3, FALSE), ROW($A3710) - 4504 - _xlfn.XMATCH($C3710, $C$4506:$C$5005, 0, 1), 0), 0), "00")</f>
        <v>00</v>
      </c>
      <c r="H3710" s="1" t="str">
        <f t="shared" si="343"/>
        <v>004</v>
      </c>
      <c r="I3710" s="1" t="str">
        <f t="shared" si="344"/>
        <v>16200-004</v>
      </c>
      <c r="J3710" s="1" t="str">
        <f t="shared" si="345"/>
        <v>Software production item #004</v>
      </c>
      <c r="K3710" s="1" t="str">
        <f>IF(SUM(COUNTIFS(I:I, I3710)) &gt; 1, "DUPLICATE", "UNIQUE")</f>
        <v>UNIQUE</v>
      </c>
      <c r="L3710" s="18">
        <v>16</v>
      </c>
      <c r="M3710" s="28">
        <v>64</v>
      </c>
      <c r="N3710" s="6">
        <v>4</v>
      </c>
      <c r="O3710" s="30">
        <f t="shared" si="346"/>
        <v>1024</v>
      </c>
      <c r="P3710" s="30">
        <f t="shared" si="347"/>
        <v>256</v>
      </c>
      <c r="Q3710" s="1">
        <f>COUNTIFS($P:$P, "&gt;" &amp; $P3710) + 1</f>
        <v>4259</v>
      </c>
      <c r="R3710" s="63">
        <f>(COUNTIFS($P:$P, "&gt;" &amp; $P3710) + 1) / (COUNTA($I:$I) - 1)</f>
        <v>0.8518</v>
      </c>
      <c r="S3710" s="23">
        <f>SUMIFS($P:$P, $Q:$Q, "&lt;" &amp; $Q3710)</f>
        <v>186497451</v>
      </c>
    </row>
    <row r="3711" spans="1:19" x14ac:dyDescent="0.25">
      <c r="A3711" s="1">
        <v>3706</v>
      </c>
      <c r="B3711" s="1" t="s">
        <v>2</v>
      </c>
      <c r="C3711" s="1" t="str">
        <f>IF($B3711 = "Production Item", _xlfn.XLOOKUP($A3711, 'Instrument Table'!$J:$J, 'Instrument Table'!$B:$B, $C3710), IF($B3711 = "Service Item", _xlfn.XLOOKUP($A3711, 'Instrument Table'!$I:$I, 'Instrument Table'!$B:$B, $C3710), _xlfn.XLOOKUP($A3711, 'Instrument Table'!$H:$H, 'Instrument Table'!$B:$B, $C3710)))</f>
        <v>Software</v>
      </c>
      <c r="D3711" s="1" t="str">
        <f>VLOOKUP($C3711, 'Instrument Table'!$B:$C, 2, FALSE)</f>
        <v>Other</v>
      </c>
      <c r="E3711" s="1">
        <f t="shared" si="342"/>
        <v>1</v>
      </c>
      <c r="F3711" s="1">
        <f>_xlfn.XLOOKUP($C3711, 'Instrument Table'!$B:$B, 'Instrument Table'!$A:$A, "")</f>
        <v>62</v>
      </c>
      <c r="G3711" s="1" t="str">
        <f>TEXT(IF($B3711 = "Retail Item", IF((ROW($A3711) - 4504 - _xlfn.XMATCH($C3711, $C$4506:$C$5005, 0, 1)) &lt;= VLOOKUP($C3711, 'Instrument Table'!$B:$D, 3, FALSE), ROW($A3711) - 4504 - _xlfn.XMATCH($C3711, $C$4506:$C$5005, 0, 1), 0), 0), "00")</f>
        <v>00</v>
      </c>
      <c r="H3711" s="1" t="str">
        <f t="shared" si="343"/>
        <v>005</v>
      </c>
      <c r="I3711" s="1" t="str">
        <f t="shared" si="344"/>
        <v>16200-005</v>
      </c>
      <c r="J3711" s="1" t="str">
        <f t="shared" si="345"/>
        <v>Software production item #005</v>
      </c>
      <c r="K3711" s="1" t="str">
        <f>IF(SUM(COUNTIFS(I:I, I3711)) &gt; 1, "DUPLICATE", "UNIQUE")</f>
        <v>UNIQUE</v>
      </c>
      <c r="L3711" s="18">
        <v>8</v>
      </c>
      <c r="M3711" s="28">
        <v>86</v>
      </c>
      <c r="N3711" s="6">
        <v>400</v>
      </c>
      <c r="O3711" s="30">
        <f t="shared" si="346"/>
        <v>688</v>
      </c>
      <c r="P3711" s="30">
        <f t="shared" si="347"/>
        <v>34400</v>
      </c>
      <c r="Q3711" s="1">
        <f>COUNTIFS($P:$P, "&gt;" &amp; $P3711) + 1</f>
        <v>610</v>
      </c>
      <c r="R3711" s="63">
        <f>(COUNTIFS($P:$P, "&gt;" &amp; $P3711) + 1) / (COUNTA($I:$I) - 1)</f>
        <v>0.122</v>
      </c>
      <c r="S3711" s="23">
        <f>SUMIFS($P:$P, $Q:$Q, "&lt;" &amp; $Q3711)</f>
        <v>156219776</v>
      </c>
    </row>
    <row r="3712" spans="1:19" x14ac:dyDescent="0.25">
      <c r="A3712" s="1">
        <v>3707</v>
      </c>
      <c r="B3712" s="1" t="s">
        <v>2</v>
      </c>
      <c r="C3712" s="1" t="str">
        <f>IF($B3712 = "Production Item", _xlfn.XLOOKUP($A3712, 'Instrument Table'!$J:$J, 'Instrument Table'!$B:$B, $C3711), IF($B3712 = "Service Item", _xlfn.XLOOKUP($A3712, 'Instrument Table'!$I:$I, 'Instrument Table'!$B:$B, $C3711), _xlfn.XLOOKUP($A3712, 'Instrument Table'!$H:$H, 'Instrument Table'!$B:$B, $C3711)))</f>
        <v>Software</v>
      </c>
      <c r="D3712" s="1" t="str">
        <f>VLOOKUP($C3712, 'Instrument Table'!$B:$C, 2, FALSE)</f>
        <v>Other</v>
      </c>
      <c r="E3712" s="1">
        <f t="shared" si="342"/>
        <v>1</v>
      </c>
      <c r="F3712" s="1">
        <f>_xlfn.XLOOKUP($C3712, 'Instrument Table'!$B:$B, 'Instrument Table'!$A:$A, "")</f>
        <v>62</v>
      </c>
      <c r="G3712" s="1" t="str">
        <f>TEXT(IF($B3712 = "Retail Item", IF((ROW($A3712) - 4504 - _xlfn.XMATCH($C3712, $C$4506:$C$5005, 0, 1)) &lt;= VLOOKUP($C3712, 'Instrument Table'!$B:$D, 3, FALSE), ROW($A3712) - 4504 - _xlfn.XMATCH($C3712, $C$4506:$C$5005, 0, 1), 0), 0), "00")</f>
        <v>00</v>
      </c>
      <c r="H3712" s="1" t="str">
        <f t="shared" si="343"/>
        <v>006</v>
      </c>
      <c r="I3712" s="1" t="str">
        <f t="shared" si="344"/>
        <v>16200-006</v>
      </c>
      <c r="J3712" s="1" t="str">
        <f t="shared" si="345"/>
        <v>Software production item #006</v>
      </c>
      <c r="K3712" s="1" t="str">
        <f>IF(SUM(COUNTIFS(I:I, I3712)) &gt; 1, "DUPLICATE", "UNIQUE")</f>
        <v>UNIQUE</v>
      </c>
      <c r="L3712" s="18">
        <v>4</v>
      </c>
      <c r="M3712" s="28">
        <v>90</v>
      </c>
      <c r="N3712" s="6">
        <v>25</v>
      </c>
      <c r="O3712" s="30">
        <f t="shared" si="346"/>
        <v>360</v>
      </c>
      <c r="P3712" s="30">
        <f t="shared" si="347"/>
        <v>2250</v>
      </c>
      <c r="Q3712" s="1">
        <f>COUNTIFS($P:$P, "&gt;" &amp; $P3712) + 1</f>
        <v>3159</v>
      </c>
      <c r="R3712" s="63">
        <f>(COUNTIFS($P:$P, "&gt;" &amp; $P3712) + 1) / (COUNTA($I:$I) - 1)</f>
        <v>0.63180000000000003</v>
      </c>
      <c r="S3712" s="23">
        <f>SUMIFS($P:$P, $Q:$Q, "&lt;" &amp; $Q3712)</f>
        <v>185318469</v>
      </c>
    </row>
    <row r="3713" spans="1:19" x14ac:dyDescent="0.25">
      <c r="A3713" s="1">
        <v>3708</v>
      </c>
      <c r="B3713" s="1" t="s">
        <v>2</v>
      </c>
      <c r="C3713" s="1" t="str">
        <f>IF($B3713 = "Production Item", _xlfn.XLOOKUP($A3713, 'Instrument Table'!$J:$J, 'Instrument Table'!$B:$B, $C3712), IF($B3713 = "Service Item", _xlfn.XLOOKUP($A3713, 'Instrument Table'!$I:$I, 'Instrument Table'!$B:$B, $C3712), _xlfn.XLOOKUP($A3713, 'Instrument Table'!$H:$H, 'Instrument Table'!$B:$B, $C3712)))</f>
        <v>Software</v>
      </c>
      <c r="D3713" s="1" t="str">
        <f>VLOOKUP($C3713, 'Instrument Table'!$B:$C, 2, FALSE)</f>
        <v>Other</v>
      </c>
      <c r="E3713" s="1">
        <f t="shared" si="342"/>
        <v>1</v>
      </c>
      <c r="F3713" s="1">
        <f>_xlfn.XLOOKUP($C3713, 'Instrument Table'!$B:$B, 'Instrument Table'!$A:$A, "")</f>
        <v>62</v>
      </c>
      <c r="G3713" s="1" t="str">
        <f>TEXT(IF($B3713 = "Retail Item", IF((ROW($A3713) - 4504 - _xlfn.XMATCH($C3713, $C$4506:$C$5005, 0, 1)) &lt;= VLOOKUP($C3713, 'Instrument Table'!$B:$D, 3, FALSE), ROW($A3713) - 4504 - _xlfn.XMATCH($C3713, $C$4506:$C$5005, 0, 1), 0), 0), "00")</f>
        <v>00</v>
      </c>
      <c r="H3713" s="1" t="str">
        <f t="shared" si="343"/>
        <v>007</v>
      </c>
      <c r="I3713" s="1" t="str">
        <f t="shared" si="344"/>
        <v>16200-007</v>
      </c>
      <c r="J3713" s="1" t="str">
        <f t="shared" si="345"/>
        <v>Software production item #007</v>
      </c>
      <c r="K3713" s="1" t="str">
        <f>IF(SUM(COUNTIFS(I:I, I3713)) &gt; 1, "DUPLICATE", "UNIQUE")</f>
        <v>UNIQUE</v>
      </c>
      <c r="L3713" s="18">
        <v>2</v>
      </c>
      <c r="M3713" s="28">
        <v>85</v>
      </c>
      <c r="N3713" s="6">
        <v>25</v>
      </c>
      <c r="O3713" s="30">
        <f t="shared" si="346"/>
        <v>170</v>
      </c>
      <c r="P3713" s="30">
        <f t="shared" si="347"/>
        <v>2125</v>
      </c>
      <c r="Q3713" s="1">
        <f>COUNTIFS($P:$P, "&gt;" &amp; $P3713) + 1</f>
        <v>3189</v>
      </c>
      <c r="R3713" s="63">
        <f>(COUNTIFS($P:$P, "&gt;" &amp; $P3713) + 1) / (COUNTA($I:$I) - 1)</f>
        <v>0.63780000000000003</v>
      </c>
      <c r="S3713" s="23">
        <f>SUMIFS($P:$P, $Q:$Q, "&lt;" &amp; $Q3713)</f>
        <v>185384306</v>
      </c>
    </row>
    <row r="3714" spans="1:19" x14ac:dyDescent="0.25">
      <c r="A3714" s="1">
        <v>3709</v>
      </c>
      <c r="B3714" s="1" t="s">
        <v>2</v>
      </c>
      <c r="C3714" s="1" t="str">
        <f>IF($B3714 = "Production Item", _xlfn.XLOOKUP($A3714, 'Instrument Table'!$J:$J, 'Instrument Table'!$B:$B, $C3713), IF($B3714 = "Service Item", _xlfn.XLOOKUP($A3714, 'Instrument Table'!$I:$I, 'Instrument Table'!$B:$B, $C3713), _xlfn.XLOOKUP($A3714, 'Instrument Table'!$H:$H, 'Instrument Table'!$B:$B, $C3713)))</f>
        <v>Software</v>
      </c>
      <c r="D3714" s="1" t="str">
        <f>VLOOKUP($C3714, 'Instrument Table'!$B:$C, 2, FALSE)</f>
        <v>Other</v>
      </c>
      <c r="E3714" s="1">
        <f t="shared" si="342"/>
        <v>1</v>
      </c>
      <c r="F3714" s="1">
        <f>_xlfn.XLOOKUP($C3714, 'Instrument Table'!$B:$B, 'Instrument Table'!$A:$A, "")</f>
        <v>62</v>
      </c>
      <c r="G3714" s="1" t="str">
        <f>TEXT(IF($B3714 = "Retail Item", IF((ROW($A3714) - 4504 - _xlfn.XMATCH($C3714, $C$4506:$C$5005, 0, 1)) &lt;= VLOOKUP($C3714, 'Instrument Table'!$B:$D, 3, FALSE), ROW($A3714) - 4504 - _xlfn.XMATCH($C3714, $C$4506:$C$5005, 0, 1), 0), 0), "00")</f>
        <v>00</v>
      </c>
      <c r="H3714" s="1" t="str">
        <f t="shared" si="343"/>
        <v>008</v>
      </c>
      <c r="I3714" s="1" t="str">
        <f t="shared" si="344"/>
        <v>16200-008</v>
      </c>
      <c r="J3714" s="1" t="str">
        <f t="shared" si="345"/>
        <v>Software production item #008</v>
      </c>
      <c r="K3714" s="1" t="str">
        <f>IF(SUM(COUNTIFS(I:I, I3714)) &gt; 1, "DUPLICATE", "UNIQUE")</f>
        <v>UNIQUE</v>
      </c>
      <c r="L3714" s="18">
        <v>0</v>
      </c>
      <c r="M3714" s="28">
        <v>69</v>
      </c>
      <c r="N3714" s="6">
        <v>49</v>
      </c>
      <c r="O3714" s="30">
        <f t="shared" si="346"/>
        <v>0</v>
      </c>
      <c r="P3714" s="30">
        <f t="shared" si="347"/>
        <v>3381</v>
      </c>
      <c r="Q3714" s="1">
        <f>COUNTIFS($P:$P, "&gt;" &amp; $P3714) + 1</f>
        <v>2810</v>
      </c>
      <c r="R3714" s="63">
        <f>(COUNTIFS($P:$P, "&gt;" &amp; $P3714) + 1) / (COUNTA($I:$I) - 1)</f>
        <v>0.56200000000000006</v>
      </c>
      <c r="S3714" s="23">
        <f>SUMIFS($P:$P, $Q:$Q, "&lt;" &amp; $Q3714)</f>
        <v>184359851</v>
      </c>
    </row>
    <row r="3715" spans="1:19" x14ac:dyDescent="0.25">
      <c r="A3715" s="1">
        <v>3710</v>
      </c>
      <c r="B3715" s="1" t="s">
        <v>2</v>
      </c>
      <c r="C3715" s="1" t="str">
        <f>IF($B3715 = "Production Item", _xlfn.XLOOKUP($A3715, 'Instrument Table'!$J:$J, 'Instrument Table'!$B:$B, $C3714), IF($B3715 = "Service Item", _xlfn.XLOOKUP($A3715, 'Instrument Table'!$I:$I, 'Instrument Table'!$B:$B, $C3714), _xlfn.XLOOKUP($A3715, 'Instrument Table'!$H:$H, 'Instrument Table'!$B:$B, $C3714)))</f>
        <v>Software</v>
      </c>
      <c r="D3715" s="1" t="str">
        <f>VLOOKUP($C3715, 'Instrument Table'!$B:$C, 2, FALSE)</f>
        <v>Other</v>
      </c>
      <c r="E3715" s="1">
        <f t="shared" si="342"/>
        <v>1</v>
      </c>
      <c r="F3715" s="1">
        <f>_xlfn.XLOOKUP($C3715, 'Instrument Table'!$B:$B, 'Instrument Table'!$A:$A, "")</f>
        <v>62</v>
      </c>
      <c r="G3715" s="1" t="str">
        <f>TEXT(IF($B3715 = "Retail Item", IF((ROW($A3715) - 4504 - _xlfn.XMATCH($C3715, $C$4506:$C$5005, 0, 1)) &lt;= VLOOKUP($C3715, 'Instrument Table'!$B:$D, 3, FALSE), ROW($A3715) - 4504 - _xlfn.XMATCH($C3715, $C$4506:$C$5005, 0, 1), 0), 0), "00")</f>
        <v>00</v>
      </c>
      <c r="H3715" s="1" t="str">
        <f t="shared" si="343"/>
        <v>009</v>
      </c>
      <c r="I3715" s="1" t="str">
        <f t="shared" si="344"/>
        <v>16200-009</v>
      </c>
      <c r="J3715" s="1" t="str">
        <f t="shared" si="345"/>
        <v>Software production item #009</v>
      </c>
      <c r="K3715" s="1" t="str">
        <f>IF(SUM(COUNTIFS(I:I, I3715)) &gt; 1, "DUPLICATE", "UNIQUE")</f>
        <v>UNIQUE</v>
      </c>
      <c r="L3715" s="18">
        <v>8</v>
      </c>
      <c r="M3715" s="28">
        <v>58</v>
      </c>
      <c r="N3715" s="6">
        <v>36</v>
      </c>
      <c r="O3715" s="30">
        <f t="shared" si="346"/>
        <v>464</v>
      </c>
      <c r="P3715" s="30">
        <f t="shared" si="347"/>
        <v>2088</v>
      </c>
      <c r="Q3715" s="1">
        <f>COUNTIFS($P:$P, "&gt;" &amp; $P3715) + 1</f>
        <v>3213</v>
      </c>
      <c r="R3715" s="63">
        <f>(COUNTIFS($P:$P, "&gt;" &amp; $P3715) + 1) / (COUNTA($I:$I) - 1)</f>
        <v>0.64259999999999995</v>
      </c>
      <c r="S3715" s="23">
        <f>SUMIFS($P:$P, $Q:$Q, "&lt;" &amp; $Q3715)</f>
        <v>185435050</v>
      </c>
    </row>
    <row r="3716" spans="1:19" x14ac:dyDescent="0.25">
      <c r="A3716" s="1">
        <v>3711</v>
      </c>
      <c r="B3716" s="1" t="s">
        <v>2</v>
      </c>
      <c r="C3716" s="1" t="str">
        <f>IF($B3716 = "Production Item", _xlfn.XLOOKUP($A3716, 'Instrument Table'!$J:$J, 'Instrument Table'!$B:$B, $C3715), IF($B3716 = "Service Item", _xlfn.XLOOKUP($A3716, 'Instrument Table'!$I:$I, 'Instrument Table'!$B:$B, $C3715), _xlfn.XLOOKUP($A3716, 'Instrument Table'!$H:$H, 'Instrument Table'!$B:$B, $C3715)))</f>
        <v>Software</v>
      </c>
      <c r="D3716" s="1" t="str">
        <f>VLOOKUP($C3716, 'Instrument Table'!$B:$C, 2, FALSE)</f>
        <v>Other</v>
      </c>
      <c r="E3716" s="1">
        <f t="shared" si="342"/>
        <v>1</v>
      </c>
      <c r="F3716" s="1">
        <f>_xlfn.XLOOKUP($C3716, 'Instrument Table'!$B:$B, 'Instrument Table'!$A:$A, "")</f>
        <v>62</v>
      </c>
      <c r="G3716" s="1" t="str">
        <f>TEXT(IF($B3716 = "Retail Item", IF((ROW($A3716) - 4504 - _xlfn.XMATCH($C3716, $C$4506:$C$5005, 0, 1)) &lt;= VLOOKUP($C3716, 'Instrument Table'!$B:$D, 3, FALSE), ROW($A3716) - 4504 - _xlfn.XMATCH($C3716, $C$4506:$C$5005, 0, 1), 0), 0), "00")</f>
        <v>00</v>
      </c>
      <c r="H3716" s="1" t="str">
        <f t="shared" si="343"/>
        <v>010</v>
      </c>
      <c r="I3716" s="1" t="str">
        <f t="shared" si="344"/>
        <v>16200-010</v>
      </c>
      <c r="J3716" s="1" t="str">
        <f t="shared" si="345"/>
        <v>Software production item #010</v>
      </c>
      <c r="K3716" s="1" t="str">
        <f>IF(SUM(COUNTIFS(I:I, I3716)) &gt; 1, "DUPLICATE", "UNIQUE")</f>
        <v>UNIQUE</v>
      </c>
      <c r="L3716" s="18">
        <v>0</v>
      </c>
      <c r="M3716" s="28">
        <v>36</v>
      </c>
      <c r="N3716" s="6">
        <v>400</v>
      </c>
      <c r="O3716" s="30">
        <f t="shared" si="346"/>
        <v>0</v>
      </c>
      <c r="P3716" s="30">
        <f t="shared" si="347"/>
        <v>14400</v>
      </c>
      <c r="Q3716" s="1">
        <f>COUNTIFS($P:$P, "&gt;" &amp; $P3716) + 1</f>
        <v>1389</v>
      </c>
      <c r="R3716" s="63">
        <f>(COUNTIFS($P:$P, "&gt;" &amp; $P3716) + 1) / (COUNTA($I:$I) - 1)</f>
        <v>0.27779999999999999</v>
      </c>
      <c r="S3716" s="23">
        <f>SUMIFS($P:$P, $Q:$Q, "&lt;" &amp; $Q3716)</f>
        <v>173317558</v>
      </c>
    </row>
    <row r="3717" spans="1:19" x14ac:dyDescent="0.25">
      <c r="A3717" s="1">
        <v>3712</v>
      </c>
      <c r="B3717" s="1" t="s">
        <v>2</v>
      </c>
      <c r="C3717" s="1" t="str">
        <f>IF($B3717 = "Production Item", _xlfn.XLOOKUP($A3717, 'Instrument Table'!$J:$J, 'Instrument Table'!$B:$B, $C3716), IF($B3717 = "Service Item", _xlfn.XLOOKUP($A3717, 'Instrument Table'!$I:$I, 'Instrument Table'!$B:$B, $C3716), _xlfn.XLOOKUP($A3717, 'Instrument Table'!$H:$H, 'Instrument Table'!$B:$B, $C3716)))</f>
        <v>Software</v>
      </c>
      <c r="D3717" s="1" t="str">
        <f>VLOOKUP($C3717, 'Instrument Table'!$B:$C, 2, FALSE)</f>
        <v>Other</v>
      </c>
      <c r="E3717" s="1">
        <f t="shared" si="342"/>
        <v>1</v>
      </c>
      <c r="F3717" s="1">
        <f>_xlfn.XLOOKUP($C3717, 'Instrument Table'!$B:$B, 'Instrument Table'!$A:$A, "")</f>
        <v>62</v>
      </c>
      <c r="G3717" s="1" t="str">
        <f>TEXT(IF($B3717 = "Retail Item", IF((ROW($A3717) - 4504 - _xlfn.XMATCH($C3717, $C$4506:$C$5005, 0, 1)) &lt;= VLOOKUP($C3717, 'Instrument Table'!$B:$D, 3, FALSE), ROW($A3717) - 4504 - _xlfn.XMATCH($C3717, $C$4506:$C$5005, 0, 1), 0), 0), "00")</f>
        <v>00</v>
      </c>
      <c r="H3717" s="1" t="str">
        <f t="shared" si="343"/>
        <v>011</v>
      </c>
      <c r="I3717" s="1" t="str">
        <f t="shared" si="344"/>
        <v>16200-011</v>
      </c>
      <c r="J3717" s="1" t="str">
        <f t="shared" si="345"/>
        <v>Software production item #011</v>
      </c>
      <c r="K3717" s="1" t="str">
        <f>IF(SUM(COUNTIFS(I:I, I3717)) &gt; 1, "DUPLICATE", "UNIQUE")</f>
        <v>UNIQUE</v>
      </c>
      <c r="L3717" s="18">
        <v>1</v>
      </c>
      <c r="M3717" s="28">
        <v>19</v>
      </c>
      <c r="N3717" s="6">
        <v>324</v>
      </c>
      <c r="O3717" s="30">
        <f t="shared" si="346"/>
        <v>19</v>
      </c>
      <c r="P3717" s="30">
        <f t="shared" si="347"/>
        <v>6156</v>
      </c>
      <c r="Q3717" s="1">
        <f>COUNTIFS($P:$P, "&gt;" &amp; $P3717) + 1</f>
        <v>2238</v>
      </c>
      <c r="R3717" s="63">
        <f>(COUNTIFS($P:$P, "&gt;" &amp; $P3717) + 1) / (COUNTA($I:$I) - 1)</f>
        <v>0.4476</v>
      </c>
      <c r="S3717" s="23">
        <f>SUMIFS($P:$P, $Q:$Q, "&lt;" &amp; $Q3717)</f>
        <v>181693871</v>
      </c>
    </row>
    <row r="3718" spans="1:19" x14ac:dyDescent="0.25">
      <c r="A3718" s="1">
        <v>3713</v>
      </c>
      <c r="B3718" s="1" t="s">
        <v>2</v>
      </c>
      <c r="C3718" s="1" t="str">
        <f>IF($B3718 = "Production Item", _xlfn.XLOOKUP($A3718, 'Instrument Table'!$J:$J, 'Instrument Table'!$B:$B, $C3717), IF($B3718 = "Service Item", _xlfn.XLOOKUP($A3718, 'Instrument Table'!$I:$I, 'Instrument Table'!$B:$B, $C3717), _xlfn.XLOOKUP($A3718, 'Instrument Table'!$H:$H, 'Instrument Table'!$B:$B, $C3717)))</f>
        <v>Software</v>
      </c>
      <c r="D3718" s="1" t="str">
        <f>VLOOKUP($C3718, 'Instrument Table'!$B:$C, 2, FALSE)</f>
        <v>Other</v>
      </c>
      <c r="E3718" s="1">
        <f t="shared" si="342"/>
        <v>1</v>
      </c>
      <c r="F3718" s="1">
        <f>_xlfn.XLOOKUP($C3718, 'Instrument Table'!$B:$B, 'Instrument Table'!$A:$A, "")</f>
        <v>62</v>
      </c>
      <c r="G3718" s="1" t="str">
        <f>TEXT(IF($B3718 = "Retail Item", IF((ROW($A3718) - 4504 - _xlfn.XMATCH($C3718, $C$4506:$C$5005, 0, 1)) &lt;= VLOOKUP($C3718, 'Instrument Table'!$B:$D, 3, FALSE), ROW($A3718) - 4504 - _xlfn.XMATCH($C3718, $C$4506:$C$5005, 0, 1), 0), 0), "00")</f>
        <v>00</v>
      </c>
      <c r="H3718" s="1" t="str">
        <f t="shared" si="343"/>
        <v>012</v>
      </c>
      <c r="I3718" s="1" t="str">
        <f t="shared" si="344"/>
        <v>16200-012</v>
      </c>
      <c r="J3718" s="1" t="str">
        <f t="shared" si="345"/>
        <v>Software production item #012</v>
      </c>
      <c r="K3718" s="1" t="str">
        <f>IF(SUM(COUNTIFS(I:I, I3718)) &gt; 1, "DUPLICATE", "UNIQUE")</f>
        <v>UNIQUE</v>
      </c>
      <c r="L3718" s="18">
        <v>4</v>
      </c>
      <c r="M3718" s="28">
        <v>35</v>
      </c>
      <c r="N3718" s="6">
        <v>121</v>
      </c>
      <c r="O3718" s="30">
        <f t="shared" si="346"/>
        <v>140</v>
      </c>
      <c r="P3718" s="30">
        <f t="shared" si="347"/>
        <v>4235</v>
      </c>
      <c r="Q3718" s="1">
        <f>COUNTIFS($P:$P, "&gt;" &amp; $P3718) + 1</f>
        <v>2599</v>
      </c>
      <c r="R3718" s="63">
        <f>(COUNTIFS($P:$P, "&gt;" &amp; $P3718) + 1) / (COUNTA($I:$I) - 1)</f>
        <v>0.51980000000000004</v>
      </c>
      <c r="S3718" s="23">
        <f>SUMIFS($P:$P, $Q:$Q, "&lt;" &amp; $Q3718)</f>
        <v>183559163</v>
      </c>
    </row>
    <row r="3719" spans="1:19" x14ac:dyDescent="0.25">
      <c r="A3719" s="1">
        <v>3714</v>
      </c>
      <c r="B3719" s="1" t="s">
        <v>2</v>
      </c>
      <c r="C3719" s="1" t="str">
        <f>IF($B3719 = "Production Item", _xlfn.XLOOKUP($A3719, 'Instrument Table'!$J:$J, 'Instrument Table'!$B:$B, $C3718), IF($B3719 = "Service Item", _xlfn.XLOOKUP($A3719, 'Instrument Table'!$I:$I, 'Instrument Table'!$B:$B, $C3718), _xlfn.XLOOKUP($A3719, 'Instrument Table'!$H:$H, 'Instrument Table'!$B:$B, $C3718)))</f>
        <v>Software</v>
      </c>
      <c r="D3719" s="1" t="str">
        <f>VLOOKUP($C3719, 'Instrument Table'!$B:$C, 2, FALSE)</f>
        <v>Other</v>
      </c>
      <c r="E3719" s="1">
        <f t="shared" ref="E3719:E3782" si="348">IF($B3719 = "Production Item", 1, IF($B3719 = "Service Item", 2, IF($B3719 = "Retail Item", 3, "")))</f>
        <v>1</v>
      </c>
      <c r="F3719" s="1">
        <f>_xlfn.XLOOKUP($C3719, 'Instrument Table'!$B:$B, 'Instrument Table'!$A:$A, "")</f>
        <v>62</v>
      </c>
      <c r="G3719" s="1" t="str">
        <f>TEXT(IF($B3719 = "Retail Item", IF((ROW($A3719) - 4504 - _xlfn.XMATCH($C3719, $C$4506:$C$5005, 0, 1)) &lt;= VLOOKUP($C3719, 'Instrument Table'!$B:$D, 3, FALSE), ROW($A3719) - 4504 - _xlfn.XMATCH($C3719, $C$4506:$C$5005, 0, 1), 0), 0), "00")</f>
        <v>00</v>
      </c>
      <c r="H3719" s="1" t="str">
        <f t="shared" ref="H3719:H3782" si="349">TEXT(IF($E3719 &amp; $F3719 &amp; $G3719 = $E3718 &amp; $F3718 &amp; $G3718, 1 + H3718, 0), "000")</f>
        <v>013</v>
      </c>
      <c r="I3719" s="1" t="str">
        <f t="shared" ref="I3719:I3782" si="350" xml:space="preserve"> _xlfn.CONCAT($E3719, $F3719, $G3719, "-", H3719)</f>
        <v>16200-013</v>
      </c>
      <c r="J3719" s="1" t="str">
        <f t="shared" ref="J3719:J3782" si="351">LEFT($C3719, 1) &amp; LOWER(RIGHT($C3719, LEN($C3719) - 1)) &amp; IF(AND($G3719 &lt;&gt; "00", $B3719 = "Retail Item"), " model #" &amp; $G3719, " " &amp; LOWER($B3719) &amp; " #" &amp; $H3719)</f>
        <v>Software production item #013</v>
      </c>
      <c r="K3719" s="1" t="str">
        <f>IF(SUM(COUNTIFS(I:I, I3719)) &gt; 1, "DUPLICATE", "UNIQUE")</f>
        <v>UNIQUE</v>
      </c>
      <c r="L3719" s="18">
        <v>1</v>
      </c>
      <c r="M3719" s="28">
        <v>92</v>
      </c>
      <c r="N3719" s="6">
        <v>400</v>
      </c>
      <c r="O3719" s="30">
        <f t="shared" ref="O3719:O3782" si="352">$L3719 * $M3719</f>
        <v>92</v>
      </c>
      <c r="P3719" s="30">
        <f t="shared" ref="P3719:P3782" si="353">$N3719 * $M3719</f>
        <v>36800</v>
      </c>
      <c r="Q3719" s="1">
        <f>COUNTIFS($P:$P, "&gt;" &amp; $P3719) + 1</f>
        <v>583</v>
      </c>
      <c r="R3719" s="63">
        <f>(COUNTIFS($P:$P, "&gt;" &amp; $P3719) + 1) / (COUNTA($I:$I) - 1)</f>
        <v>0.1166</v>
      </c>
      <c r="S3719" s="23">
        <f>SUMIFS($P:$P, $Q:$Q, "&lt;" &amp; $Q3719)</f>
        <v>155258173</v>
      </c>
    </row>
    <row r="3720" spans="1:19" x14ac:dyDescent="0.25">
      <c r="A3720" s="1">
        <v>3715</v>
      </c>
      <c r="B3720" s="1" t="s">
        <v>2</v>
      </c>
      <c r="C3720" s="1" t="str">
        <f>IF($B3720 = "Production Item", _xlfn.XLOOKUP($A3720, 'Instrument Table'!$J:$J, 'Instrument Table'!$B:$B, $C3719), IF($B3720 = "Service Item", _xlfn.XLOOKUP($A3720, 'Instrument Table'!$I:$I, 'Instrument Table'!$B:$B, $C3719), _xlfn.XLOOKUP($A3720, 'Instrument Table'!$H:$H, 'Instrument Table'!$B:$B, $C3719)))</f>
        <v>Software</v>
      </c>
      <c r="D3720" s="1" t="str">
        <f>VLOOKUP($C3720, 'Instrument Table'!$B:$C, 2, FALSE)</f>
        <v>Other</v>
      </c>
      <c r="E3720" s="1">
        <f t="shared" si="348"/>
        <v>1</v>
      </c>
      <c r="F3720" s="1">
        <f>_xlfn.XLOOKUP($C3720, 'Instrument Table'!$B:$B, 'Instrument Table'!$A:$A, "")</f>
        <v>62</v>
      </c>
      <c r="G3720" s="1" t="str">
        <f>TEXT(IF($B3720 = "Retail Item", IF((ROW($A3720) - 4504 - _xlfn.XMATCH($C3720, $C$4506:$C$5005, 0, 1)) &lt;= VLOOKUP($C3720, 'Instrument Table'!$B:$D, 3, FALSE), ROW($A3720) - 4504 - _xlfn.XMATCH($C3720, $C$4506:$C$5005, 0, 1), 0), 0), "00")</f>
        <v>00</v>
      </c>
      <c r="H3720" s="1" t="str">
        <f t="shared" si="349"/>
        <v>014</v>
      </c>
      <c r="I3720" s="1" t="str">
        <f t="shared" si="350"/>
        <v>16200-014</v>
      </c>
      <c r="J3720" s="1" t="str">
        <f t="shared" si="351"/>
        <v>Software production item #014</v>
      </c>
      <c r="K3720" s="1" t="str">
        <f>IF(SUM(COUNTIFS(I:I, I3720)) &gt; 1, "DUPLICATE", "UNIQUE")</f>
        <v>UNIQUE</v>
      </c>
      <c r="L3720" s="18">
        <v>4</v>
      </c>
      <c r="M3720" s="28">
        <v>98</v>
      </c>
      <c r="N3720" s="6">
        <v>0</v>
      </c>
      <c r="O3720" s="30">
        <f t="shared" si="352"/>
        <v>392</v>
      </c>
      <c r="P3720" s="30">
        <f t="shared" si="353"/>
        <v>0</v>
      </c>
      <c r="Q3720" s="1">
        <f>COUNTIFS($P:$P, "&gt;" &amp; $P3720) + 1</f>
        <v>4746</v>
      </c>
      <c r="R3720" s="63">
        <f>(COUNTIFS($P:$P, "&gt;" &amp; $P3720) + 1) / (COUNTA($I:$I) - 1)</f>
        <v>0.94920000000000004</v>
      </c>
      <c r="S3720" s="23">
        <f>SUMIFS($P:$P, $Q:$Q, "&lt;" &amp; $Q3720)</f>
        <v>186547861</v>
      </c>
    </row>
    <row r="3721" spans="1:19" x14ac:dyDescent="0.25">
      <c r="A3721" s="1">
        <v>3716</v>
      </c>
      <c r="B3721" s="1" t="s">
        <v>2</v>
      </c>
      <c r="C3721" s="1" t="str">
        <f>IF($B3721 = "Production Item", _xlfn.XLOOKUP($A3721, 'Instrument Table'!$J:$J, 'Instrument Table'!$B:$B, $C3720), IF($B3721 = "Service Item", _xlfn.XLOOKUP($A3721, 'Instrument Table'!$I:$I, 'Instrument Table'!$B:$B, $C3720), _xlfn.XLOOKUP($A3721, 'Instrument Table'!$H:$H, 'Instrument Table'!$B:$B, $C3720)))</f>
        <v>Software</v>
      </c>
      <c r="D3721" s="1" t="str">
        <f>VLOOKUP($C3721, 'Instrument Table'!$B:$C, 2, FALSE)</f>
        <v>Other</v>
      </c>
      <c r="E3721" s="1">
        <f t="shared" si="348"/>
        <v>1</v>
      </c>
      <c r="F3721" s="1">
        <f>_xlfn.XLOOKUP($C3721, 'Instrument Table'!$B:$B, 'Instrument Table'!$A:$A, "")</f>
        <v>62</v>
      </c>
      <c r="G3721" s="1" t="str">
        <f>TEXT(IF($B3721 = "Retail Item", IF((ROW($A3721) - 4504 - _xlfn.XMATCH($C3721, $C$4506:$C$5005, 0, 1)) &lt;= VLOOKUP($C3721, 'Instrument Table'!$B:$D, 3, FALSE), ROW($A3721) - 4504 - _xlfn.XMATCH($C3721, $C$4506:$C$5005, 0, 1), 0), 0), "00")</f>
        <v>00</v>
      </c>
      <c r="H3721" s="1" t="str">
        <f t="shared" si="349"/>
        <v>015</v>
      </c>
      <c r="I3721" s="1" t="str">
        <f t="shared" si="350"/>
        <v>16200-015</v>
      </c>
      <c r="J3721" s="1" t="str">
        <f t="shared" si="351"/>
        <v>Software production item #015</v>
      </c>
      <c r="K3721" s="1" t="str">
        <f>IF(SUM(COUNTIFS(I:I, I3721)) &gt; 1, "DUPLICATE", "UNIQUE")</f>
        <v>UNIQUE</v>
      </c>
      <c r="L3721" s="18">
        <v>1</v>
      </c>
      <c r="M3721" s="28">
        <v>32</v>
      </c>
      <c r="N3721" s="6">
        <v>400</v>
      </c>
      <c r="O3721" s="30">
        <f t="shared" si="352"/>
        <v>32</v>
      </c>
      <c r="P3721" s="30">
        <f t="shared" si="353"/>
        <v>12800</v>
      </c>
      <c r="Q3721" s="1">
        <f>COUNTIFS($P:$P, "&gt;" &amp; $P3721) + 1</f>
        <v>1518</v>
      </c>
      <c r="R3721" s="63">
        <f>(COUNTIFS($P:$P, "&gt;" &amp; $P3721) + 1) / (COUNTA($I:$I) - 1)</f>
        <v>0.30359999999999998</v>
      </c>
      <c r="S3721" s="23">
        <f>SUMIFS($P:$P, $Q:$Q, "&lt;" &amp; $Q3721)</f>
        <v>175071913</v>
      </c>
    </row>
    <row r="3722" spans="1:19" x14ac:dyDescent="0.25">
      <c r="A3722" s="1">
        <v>3717</v>
      </c>
      <c r="B3722" s="1" t="s">
        <v>2</v>
      </c>
      <c r="C3722" s="1" t="str">
        <f>IF($B3722 = "Production Item", _xlfn.XLOOKUP($A3722, 'Instrument Table'!$J:$J, 'Instrument Table'!$B:$B, $C3721), IF($B3722 = "Service Item", _xlfn.XLOOKUP($A3722, 'Instrument Table'!$I:$I, 'Instrument Table'!$B:$B, $C3721), _xlfn.XLOOKUP($A3722, 'Instrument Table'!$H:$H, 'Instrument Table'!$B:$B, $C3721)))</f>
        <v>Software</v>
      </c>
      <c r="D3722" s="1" t="str">
        <f>VLOOKUP($C3722, 'Instrument Table'!$B:$C, 2, FALSE)</f>
        <v>Other</v>
      </c>
      <c r="E3722" s="1">
        <f t="shared" si="348"/>
        <v>1</v>
      </c>
      <c r="F3722" s="1">
        <f>_xlfn.XLOOKUP($C3722, 'Instrument Table'!$B:$B, 'Instrument Table'!$A:$A, "")</f>
        <v>62</v>
      </c>
      <c r="G3722" s="1" t="str">
        <f>TEXT(IF($B3722 = "Retail Item", IF((ROW($A3722) - 4504 - _xlfn.XMATCH($C3722, $C$4506:$C$5005, 0, 1)) &lt;= VLOOKUP($C3722, 'Instrument Table'!$B:$D, 3, FALSE), ROW($A3722) - 4504 - _xlfn.XMATCH($C3722, $C$4506:$C$5005, 0, 1), 0), 0), "00")</f>
        <v>00</v>
      </c>
      <c r="H3722" s="1" t="str">
        <f t="shared" si="349"/>
        <v>016</v>
      </c>
      <c r="I3722" s="1" t="str">
        <f t="shared" si="350"/>
        <v>16200-016</v>
      </c>
      <c r="J3722" s="1" t="str">
        <f t="shared" si="351"/>
        <v>Software production item #016</v>
      </c>
      <c r="K3722" s="1" t="str">
        <f>IF(SUM(COUNTIFS(I:I, I3722)) &gt; 1, "DUPLICATE", "UNIQUE")</f>
        <v>UNIQUE</v>
      </c>
      <c r="L3722" s="18">
        <v>0</v>
      </c>
      <c r="M3722" s="28">
        <v>66</v>
      </c>
      <c r="N3722" s="6">
        <v>256</v>
      </c>
      <c r="O3722" s="30">
        <f t="shared" si="352"/>
        <v>0</v>
      </c>
      <c r="P3722" s="30">
        <f t="shared" si="353"/>
        <v>16896</v>
      </c>
      <c r="Q3722" s="1">
        <f>COUNTIFS($P:$P, "&gt;" &amp; $P3722) + 1</f>
        <v>1217</v>
      </c>
      <c r="R3722" s="63">
        <f>(COUNTIFS($P:$P, "&gt;" &amp; $P3722) + 1) / (COUNTA($I:$I) - 1)</f>
        <v>0.24340000000000001</v>
      </c>
      <c r="S3722" s="23">
        <f>SUMIFS($P:$P, $Q:$Q, "&lt;" &amp; $Q3722)</f>
        <v>170617613</v>
      </c>
    </row>
    <row r="3723" spans="1:19" x14ac:dyDescent="0.25">
      <c r="A3723" s="1">
        <v>3718</v>
      </c>
      <c r="B3723" s="1" t="s">
        <v>2</v>
      </c>
      <c r="C3723" s="1" t="str">
        <f>IF($B3723 = "Production Item", _xlfn.XLOOKUP($A3723, 'Instrument Table'!$J:$J, 'Instrument Table'!$B:$B, $C3722), IF($B3723 = "Service Item", _xlfn.XLOOKUP($A3723, 'Instrument Table'!$I:$I, 'Instrument Table'!$B:$B, $C3722), _xlfn.XLOOKUP($A3723, 'Instrument Table'!$H:$H, 'Instrument Table'!$B:$B, $C3722)))</f>
        <v>Software</v>
      </c>
      <c r="D3723" s="1" t="str">
        <f>VLOOKUP($C3723, 'Instrument Table'!$B:$C, 2, FALSE)</f>
        <v>Other</v>
      </c>
      <c r="E3723" s="1">
        <f t="shared" si="348"/>
        <v>1</v>
      </c>
      <c r="F3723" s="1">
        <f>_xlfn.XLOOKUP($C3723, 'Instrument Table'!$B:$B, 'Instrument Table'!$A:$A, "")</f>
        <v>62</v>
      </c>
      <c r="G3723" s="1" t="str">
        <f>TEXT(IF($B3723 = "Retail Item", IF((ROW($A3723) - 4504 - _xlfn.XMATCH($C3723, $C$4506:$C$5005, 0, 1)) &lt;= VLOOKUP($C3723, 'Instrument Table'!$B:$D, 3, FALSE), ROW($A3723) - 4504 - _xlfn.XMATCH($C3723, $C$4506:$C$5005, 0, 1), 0), 0), "00")</f>
        <v>00</v>
      </c>
      <c r="H3723" s="1" t="str">
        <f t="shared" si="349"/>
        <v>017</v>
      </c>
      <c r="I3723" s="1" t="str">
        <f t="shared" si="350"/>
        <v>16200-017</v>
      </c>
      <c r="J3723" s="1" t="str">
        <f t="shared" si="351"/>
        <v>Software production item #017</v>
      </c>
      <c r="K3723" s="1" t="str">
        <f>IF(SUM(COUNTIFS(I:I, I3723)) &gt; 1, "DUPLICATE", "UNIQUE")</f>
        <v>UNIQUE</v>
      </c>
      <c r="L3723" s="18">
        <v>16</v>
      </c>
      <c r="M3723" s="28">
        <v>72</v>
      </c>
      <c r="N3723" s="6">
        <v>0</v>
      </c>
      <c r="O3723" s="30">
        <f t="shared" si="352"/>
        <v>1152</v>
      </c>
      <c r="P3723" s="30">
        <f t="shared" si="353"/>
        <v>0</v>
      </c>
      <c r="Q3723" s="1">
        <f>COUNTIFS($P:$P, "&gt;" &amp; $P3723) + 1</f>
        <v>4746</v>
      </c>
      <c r="R3723" s="63">
        <f>(COUNTIFS($P:$P, "&gt;" &amp; $P3723) + 1) / (COUNTA($I:$I) - 1)</f>
        <v>0.94920000000000004</v>
      </c>
      <c r="S3723" s="23">
        <f>SUMIFS($P:$P, $Q:$Q, "&lt;" &amp; $Q3723)</f>
        <v>186547861</v>
      </c>
    </row>
    <row r="3724" spans="1:19" x14ac:dyDescent="0.25">
      <c r="A3724" s="1">
        <v>3719</v>
      </c>
      <c r="B3724" s="1" t="s">
        <v>2</v>
      </c>
      <c r="C3724" s="1" t="str">
        <f>IF($B3724 = "Production Item", _xlfn.XLOOKUP($A3724, 'Instrument Table'!$J:$J, 'Instrument Table'!$B:$B, $C3723), IF($B3724 = "Service Item", _xlfn.XLOOKUP($A3724, 'Instrument Table'!$I:$I, 'Instrument Table'!$B:$B, $C3723), _xlfn.XLOOKUP($A3724, 'Instrument Table'!$H:$H, 'Instrument Table'!$B:$B, $C3723)))</f>
        <v>Software</v>
      </c>
      <c r="D3724" s="1" t="str">
        <f>VLOOKUP($C3724, 'Instrument Table'!$B:$C, 2, FALSE)</f>
        <v>Other</v>
      </c>
      <c r="E3724" s="1">
        <f t="shared" si="348"/>
        <v>1</v>
      </c>
      <c r="F3724" s="1">
        <f>_xlfn.XLOOKUP($C3724, 'Instrument Table'!$B:$B, 'Instrument Table'!$A:$A, "")</f>
        <v>62</v>
      </c>
      <c r="G3724" s="1" t="str">
        <f>TEXT(IF($B3724 = "Retail Item", IF((ROW($A3724) - 4504 - _xlfn.XMATCH($C3724, $C$4506:$C$5005, 0, 1)) &lt;= VLOOKUP($C3724, 'Instrument Table'!$B:$D, 3, FALSE), ROW($A3724) - 4504 - _xlfn.XMATCH($C3724, $C$4506:$C$5005, 0, 1), 0), 0), "00")</f>
        <v>00</v>
      </c>
      <c r="H3724" s="1" t="str">
        <f t="shared" si="349"/>
        <v>018</v>
      </c>
      <c r="I3724" s="1" t="str">
        <f t="shared" si="350"/>
        <v>16200-018</v>
      </c>
      <c r="J3724" s="1" t="str">
        <f t="shared" si="351"/>
        <v>Software production item #018</v>
      </c>
      <c r="K3724" s="1" t="str">
        <f>IF(SUM(COUNTIFS(I:I, I3724)) &gt; 1, "DUPLICATE", "UNIQUE")</f>
        <v>UNIQUE</v>
      </c>
      <c r="L3724" s="18">
        <v>0</v>
      </c>
      <c r="M3724" s="28">
        <v>93</v>
      </c>
      <c r="N3724" s="6">
        <v>121</v>
      </c>
      <c r="O3724" s="30">
        <f t="shared" si="352"/>
        <v>0</v>
      </c>
      <c r="P3724" s="30">
        <f t="shared" si="353"/>
        <v>11253</v>
      </c>
      <c r="Q3724" s="1">
        <f>COUNTIFS($P:$P, "&gt;" &amp; $P3724) + 1</f>
        <v>1659</v>
      </c>
      <c r="R3724" s="63">
        <f>(COUNTIFS($P:$P, "&gt;" &amp; $P3724) + 1) / (COUNTA($I:$I) - 1)</f>
        <v>0.33179999999999998</v>
      </c>
      <c r="S3724" s="23">
        <f>SUMIFS($P:$P, $Q:$Q, "&lt;" &amp; $Q3724)</f>
        <v>176760000</v>
      </c>
    </row>
    <row r="3725" spans="1:19" x14ac:dyDescent="0.25">
      <c r="A3725" s="1">
        <v>3720</v>
      </c>
      <c r="B3725" s="1" t="s">
        <v>2</v>
      </c>
      <c r="C3725" s="1" t="str">
        <f>IF($B3725 = "Production Item", _xlfn.XLOOKUP($A3725, 'Instrument Table'!$J:$J, 'Instrument Table'!$B:$B, $C3724), IF($B3725 = "Service Item", _xlfn.XLOOKUP($A3725, 'Instrument Table'!$I:$I, 'Instrument Table'!$B:$B, $C3724), _xlfn.XLOOKUP($A3725, 'Instrument Table'!$H:$H, 'Instrument Table'!$B:$B, $C3724)))</f>
        <v>Software</v>
      </c>
      <c r="D3725" s="1" t="str">
        <f>VLOOKUP($C3725, 'Instrument Table'!$B:$C, 2, FALSE)</f>
        <v>Other</v>
      </c>
      <c r="E3725" s="1">
        <f t="shared" si="348"/>
        <v>1</v>
      </c>
      <c r="F3725" s="1">
        <f>_xlfn.XLOOKUP($C3725, 'Instrument Table'!$B:$B, 'Instrument Table'!$A:$A, "")</f>
        <v>62</v>
      </c>
      <c r="G3725" s="1" t="str">
        <f>TEXT(IF($B3725 = "Retail Item", IF((ROW($A3725) - 4504 - _xlfn.XMATCH($C3725, $C$4506:$C$5005, 0, 1)) &lt;= VLOOKUP($C3725, 'Instrument Table'!$B:$D, 3, FALSE), ROW($A3725) - 4504 - _xlfn.XMATCH($C3725, $C$4506:$C$5005, 0, 1), 0), 0), "00")</f>
        <v>00</v>
      </c>
      <c r="H3725" s="1" t="str">
        <f t="shared" si="349"/>
        <v>019</v>
      </c>
      <c r="I3725" s="1" t="str">
        <f t="shared" si="350"/>
        <v>16200-019</v>
      </c>
      <c r="J3725" s="1" t="str">
        <f t="shared" si="351"/>
        <v>Software production item #019</v>
      </c>
      <c r="K3725" s="1" t="str">
        <f>IF(SUM(COUNTIFS(I:I, I3725)) &gt; 1, "DUPLICATE", "UNIQUE")</f>
        <v>UNIQUE</v>
      </c>
      <c r="L3725" s="18">
        <v>8</v>
      </c>
      <c r="M3725" s="28">
        <v>22</v>
      </c>
      <c r="N3725" s="6">
        <v>64</v>
      </c>
      <c r="O3725" s="30">
        <f t="shared" si="352"/>
        <v>176</v>
      </c>
      <c r="P3725" s="30">
        <f t="shared" si="353"/>
        <v>1408</v>
      </c>
      <c r="Q3725" s="1">
        <f>COUNTIFS($P:$P, "&gt;" &amp; $P3725) + 1</f>
        <v>3501</v>
      </c>
      <c r="R3725" s="63">
        <f>(COUNTIFS($P:$P, "&gt;" &amp; $P3725) + 1) / (COUNTA($I:$I) - 1)</f>
        <v>0.70020000000000004</v>
      </c>
      <c r="S3725" s="23">
        <f>SUMIFS($P:$P, $Q:$Q, "&lt;" &amp; $Q3725)</f>
        <v>185938879</v>
      </c>
    </row>
    <row r="3726" spans="1:19" x14ac:dyDescent="0.25">
      <c r="A3726" s="1">
        <v>3721</v>
      </c>
      <c r="B3726" s="1" t="s">
        <v>2</v>
      </c>
      <c r="C3726" s="1" t="str">
        <f>IF($B3726 = "Production Item", _xlfn.XLOOKUP($A3726, 'Instrument Table'!$J:$J, 'Instrument Table'!$B:$B, $C3725), IF($B3726 = "Service Item", _xlfn.XLOOKUP($A3726, 'Instrument Table'!$I:$I, 'Instrument Table'!$B:$B, $C3725), _xlfn.XLOOKUP($A3726, 'Instrument Table'!$H:$H, 'Instrument Table'!$B:$B, $C3725)))</f>
        <v>Software</v>
      </c>
      <c r="D3726" s="1" t="str">
        <f>VLOOKUP($C3726, 'Instrument Table'!$B:$C, 2, FALSE)</f>
        <v>Other</v>
      </c>
      <c r="E3726" s="1">
        <f t="shared" si="348"/>
        <v>1</v>
      </c>
      <c r="F3726" s="1">
        <f>_xlfn.XLOOKUP($C3726, 'Instrument Table'!$B:$B, 'Instrument Table'!$A:$A, "")</f>
        <v>62</v>
      </c>
      <c r="G3726" s="1" t="str">
        <f>TEXT(IF($B3726 = "Retail Item", IF((ROW($A3726) - 4504 - _xlfn.XMATCH($C3726, $C$4506:$C$5005, 0, 1)) &lt;= VLOOKUP($C3726, 'Instrument Table'!$B:$D, 3, FALSE), ROW($A3726) - 4504 - _xlfn.XMATCH($C3726, $C$4506:$C$5005, 0, 1), 0), 0), "00")</f>
        <v>00</v>
      </c>
      <c r="H3726" s="1" t="str">
        <f t="shared" si="349"/>
        <v>020</v>
      </c>
      <c r="I3726" s="1" t="str">
        <f t="shared" si="350"/>
        <v>16200-020</v>
      </c>
      <c r="J3726" s="1" t="str">
        <f t="shared" si="351"/>
        <v>Software production item #020</v>
      </c>
      <c r="K3726" s="1" t="str">
        <f>IF(SUM(COUNTIFS(I:I, I3726)) &gt; 1, "DUPLICATE", "UNIQUE")</f>
        <v>UNIQUE</v>
      </c>
      <c r="L3726" s="18">
        <v>16</v>
      </c>
      <c r="M3726" s="28">
        <v>47</v>
      </c>
      <c r="N3726" s="6">
        <v>144</v>
      </c>
      <c r="O3726" s="30">
        <f t="shared" si="352"/>
        <v>752</v>
      </c>
      <c r="P3726" s="30">
        <f t="shared" si="353"/>
        <v>6768</v>
      </c>
      <c r="Q3726" s="1">
        <f>COUNTIFS($P:$P, "&gt;" &amp; $P3726) + 1</f>
        <v>2174</v>
      </c>
      <c r="R3726" s="63">
        <f>(COUNTIFS($P:$P, "&gt;" &amp; $P3726) + 1) / (COUNTA($I:$I) - 1)</f>
        <v>0.43480000000000002</v>
      </c>
      <c r="S3726" s="23">
        <f>SUMIFS($P:$P, $Q:$Q, "&lt;" &amp; $Q3726)</f>
        <v>181277820</v>
      </c>
    </row>
    <row r="3727" spans="1:19" x14ac:dyDescent="0.25">
      <c r="A3727" s="1">
        <v>3722</v>
      </c>
      <c r="B3727" s="1" t="s">
        <v>2</v>
      </c>
      <c r="C3727" s="1" t="str">
        <f>IF($B3727 = "Production Item", _xlfn.XLOOKUP($A3727, 'Instrument Table'!$J:$J, 'Instrument Table'!$B:$B, $C3726), IF($B3727 = "Service Item", _xlfn.XLOOKUP($A3727, 'Instrument Table'!$I:$I, 'Instrument Table'!$B:$B, $C3726), _xlfn.XLOOKUP($A3727, 'Instrument Table'!$H:$H, 'Instrument Table'!$B:$B, $C3726)))</f>
        <v>Software</v>
      </c>
      <c r="D3727" s="1" t="str">
        <f>VLOOKUP($C3727, 'Instrument Table'!$B:$C, 2, FALSE)</f>
        <v>Other</v>
      </c>
      <c r="E3727" s="1">
        <f t="shared" si="348"/>
        <v>1</v>
      </c>
      <c r="F3727" s="1">
        <f>_xlfn.XLOOKUP($C3727, 'Instrument Table'!$B:$B, 'Instrument Table'!$A:$A, "")</f>
        <v>62</v>
      </c>
      <c r="G3727" s="1" t="str">
        <f>TEXT(IF($B3727 = "Retail Item", IF((ROW($A3727) - 4504 - _xlfn.XMATCH($C3727, $C$4506:$C$5005, 0, 1)) &lt;= VLOOKUP($C3727, 'Instrument Table'!$B:$D, 3, FALSE), ROW($A3727) - 4504 - _xlfn.XMATCH($C3727, $C$4506:$C$5005, 0, 1), 0), 0), "00")</f>
        <v>00</v>
      </c>
      <c r="H3727" s="1" t="str">
        <f t="shared" si="349"/>
        <v>021</v>
      </c>
      <c r="I3727" s="1" t="str">
        <f t="shared" si="350"/>
        <v>16200-021</v>
      </c>
      <c r="J3727" s="1" t="str">
        <f t="shared" si="351"/>
        <v>Software production item #021</v>
      </c>
      <c r="K3727" s="1" t="str">
        <f>IF(SUM(COUNTIFS(I:I, I3727)) &gt; 1, "DUPLICATE", "UNIQUE")</f>
        <v>UNIQUE</v>
      </c>
      <c r="L3727" s="18">
        <v>16</v>
      </c>
      <c r="M3727" s="28">
        <v>3</v>
      </c>
      <c r="N3727" s="6">
        <v>169</v>
      </c>
      <c r="O3727" s="30">
        <f t="shared" si="352"/>
        <v>48</v>
      </c>
      <c r="P3727" s="30">
        <f t="shared" si="353"/>
        <v>507</v>
      </c>
      <c r="Q3727" s="1">
        <f>COUNTIFS($P:$P, "&gt;" &amp; $P3727) + 1</f>
        <v>4020</v>
      </c>
      <c r="R3727" s="63">
        <f>(COUNTIFS($P:$P, "&gt;" &amp; $P3727) + 1) / (COUNTA($I:$I) - 1)</f>
        <v>0.80400000000000005</v>
      </c>
      <c r="S3727" s="23">
        <f>SUMIFS($P:$P, $Q:$Q, "&lt;" &amp; $Q3727)</f>
        <v>186408626</v>
      </c>
    </row>
    <row r="3728" spans="1:19" x14ac:dyDescent="0.25">
      <c r="A3728" s="1">
        <v>3723</v>
      </c>
      <c r="B3728" s="1" t="s">
        <v>2</v>
      </c>
      <c r="C3728" s="1" t="str">
        <f>IF($B3728 = "Production Item", _xlfn.XLOOKUP($A3728, 'Instrument Table'!$J:$J, 'Instrument Table'!$B:$B, $C3727), IF($B3728 = "Service Item", _xlfn.XLOOKUP($A3728, 'Instrument Table'!$I:$I, 'Instrument Table'!$B:$B, $C3727), _xlfn.XLOOKUP($A3728, 'Instrument Table'!$H:$H, 'Instrument Table'!$B:$B, $C3727)))</f>
        <v>Software</v>
      </c>
      <c r="D3728" s="1" t="str">
        <f>VLOOKUP($C3728, 'Instrument Table'!$B:$C, 2, FALSE)</f>
        <v>Other</v>
      </c>
      <c r="E3728" s="1">
        <f t="shared" si="348"/>
        <v>1</v>
      </c>
      <c r="F3728" s="1">
        <f>_xlfn.XLOOKUP($C3728, 'Instrument Table'!$B:$B, 'Instrument Table'!$A:$A, "")</f>
        <v>62</v>
      </c>
      <c r="G3728" s="1" t="str">
        <f>TEXT(IF($B3728 = "Retail Item", IF((ROW($A3728) - 4504 - _xlfn.XMATCH($C3728, $C$4506:$C$5005, 0, 1)) &lt;= VLOOKUP($C3728, 'Instrument Table'!$B:$D, 3, FALSE), ROW($A3728) - 4504 - _xlfn.XMATCH($C3728, $C$4506:$C$5005, 0, 1), 0), 0), "00")</f>
        <v>00</v>
      </c>
      <c r="H3728" s="1" t="str">
        <f t="shared" si="349"/>
        <v>022</v>
      </c>
      <c r="I3728" s="1" t="str">
        <f t="shared" si="350"/>
        <v>16200-022</v>
      </c>
      <c r="J3728" s="1" t="str">
        <f t="shared" si="351"/>
        <v>Software production item #022</v>
      </c>
      <c r="K3728" s="1" t="str">
        <f>IF(SUM(COUNTIFS(I:I, I3728)) &gt; 1, "DUPLICATE", "UNIQUE")</f>
        <v>UNIQUE</v>
      </c>
      <c r="L3728" s="18">
        <v>1</v>
      </c>
      <c r="M3728" s="28">
        <v>97</v>
      </c>
      <c r="N3728" s="6">
        <v>361</v>
      </c>
      <c r="O3728" s="30">
        <f t="shared" si="352"/>
        <v>97</v>
      </c>
      <c r="P3728" s="30">
        <f t="shared" si="353"/>
        <v>35017</v>
      </c>
      <c r="Q3728" s="1">
        <f>COUNTIFS($P:$P, "&gt;" &amp; $P3728) + 1</f>
        <v>603</v>
      </c>
      <c r="R3728" s="63">
        <f>(COUNTIFS($P:$P, "&gt;" &amp; $P3728) + 1) / (COUNTA($I:$I) - 1)</f>
        <v>0.1206</v>
      </c>
      <c r="S3728" s="23">
        <f>SUMIFS($P:$P, $Q:$Q, "&lt;" &amp; $Q3728)</f>
        <v>155975969</v>
      </c>
    </row>
    <row r="3729" spans="1:19" x14ac:dyDescent="0.25">
      <c r="A3729" s="1">
        <v>3724</v>
      </c>
      <c r="B3729" s="1" t="s">
        <v>2</v>
      </c>
      <c r="C3729" s="1" t="str">
        <f>IF($B3729 = "Production Item", _xlfn.XLOOKUP($A3729, 'Instrument Table'!$J:$J, 'Instrument Table'!$B:$B, $C3728), IF($B3729 = "Service Item", _xlfn.XLOOKUP($A3729, 'Instrument Table'!$I:$I, 'Instrument Table'!$B:$B, $C3728), _xlfn.XLOOKUP($A3729, 'Instrument Table'!$H:$H, 'Instrument Table'!$B:$B, $C3728)))</f>
        <v>Software</v>
      </c>
      <c r="D3729" s="1" t="str">
        <f>VLOOKUP($C3729, 'Instrument Table'!$B:$C, 2, FALSE)</f>
        <v>Other</v>
      </c>
      <c r="E3729" s="1">
        <f t="shared" si="348"/>
        <v>1</v>
      </c>
      <c r="F3729" s="1">
        <f>_xlfn.XLOOKUP($C3729, 'Instrument Table'!$B:$B, 'Instrument Table'!$A:$A, "")</f>
        <v>62</v>
      </c>
      <c r="G3729" s="1" t="str">
        <f>TEXT(IF($B3729 = "Retail Item", IF((ROW($A3729) - 4504 - _xlfn.XMATCH($C3729, $C$4506:$C$5005, 0, 1)) &lt;= VLOOKUP($C3729, 'Instrument Table'!$B:$D, 3, FALSE), ROW($A3729) - 4504 - _xlfn.XMATCH($C3729, $C$4506:$C$5005, 0, 1), 0), 0), "00")</f>
        <v>00</v>
      </c>
      <c r="H3729" s="1" t="str">
        <f t="shared" si="349"/>
        <v>023</v>
      </c>
      <c r="I3729" s="1" t="str">
        <f t="shared" si="350"/>
        <v>16200-023</v>
      </c>
      <c r="J3729" s="1" t="str">
        <f t="shared" si="351"/>
        <v>Software production item #023</v>
      </c>
      <c r="K3729" s="1" t="str">
        <f>IF(SUM(COUNTIFS(I:I, I3729)) &gt; 1, "DUPLICATE", "UNIQUE")</f>
        <v>UNIQUE</v>
      </c>
      <c r="L3729" s="18">
        <v>0</v>
      </c>
      <c r="M3729" s="28">
        <v>62</v>
      </c>
      <c r="N3729" s="6">
        <v>64</v>
      </c>
      <c r="O3729" s="30">
        <f t="shared" si="352"/>
        <v>0</v>
      </c>
      <c r="P3729" s="30">
        <f t="shared" si="353"/>
        <v>3968</v>
      </c>
      <c r="Q3729" s="1">
        <f>COUNTIFS($P:$P, "&gt;" &amp; $P3729) + 1</f>
        <v>2663</v>
      </c>
      <c r="R3729" s="63">
        <f>(COUNTIFS($P:$P, "&gt;" &amp; $P3729) + 1) / (COUNTA($I:$I) - 1)</f>
        <v>0.53259999999999996</v>
      </c>
      <c r="S3729" s="23">
        <f>SUMIFS($P:$P, $Q:$Q, "&lt;" &amp; $Q3729)</f>
        <v>183822978</v>
      </c>
    </row>
    <row r="3730" spans="1:19" x14ac:dyDescent="0.25">
      <c r="A3730" s="1">
        <v>3725</v>
      </c>
      <c r="B3730" s="1" t="s">
        <v>2</v>
      </c>
      <c r="C3730" s="1" t="str">
        <f>IF($B3730 = "Production Item", _xlfn.XLOOKUP($A3730, 'Instrument Table'!$J:$J, 'Instrument Table'!$B:$B, $C3729), IF($B3730 = "Service Item", _xlfn.XLOOKUP($A3730, 'Instrument Table'!$I:$I, 'Instrument Table'!$B:$B, $C3729), _xlfn.XLOOKUP($A3730, 'Instrument Table'!$H:$H, 'Instrument Table'!$B:$B, $C3729)))</f>
        <v>Software</v>
      </c>
      <c r="D3730" s="1" t="str">
        <f>VLOOKUP($C3730, 'Instrument Table'!$B:$C, 2, FALSE)</f>
        <v>Other</v>
      </c>
      <c r="E3730" s="1">
        <f t="shared" si="348"/>
        <v>1</v>
      </c>
      <c r="F3730" s="1">
        <f>_xlfn.XLOOKUP($C3730, 'Instrument Table'!$B:$B, 'Instrument Table'!$A:$A, "")</f>
        <v>62</v>
      </c>
      <c r="G3730" s="1" t="str">
        <f>TEXT(IF($B3730 = "Retail Item", IF((ROW($A3730) - 4504 - _xlfn.XMATCH($C3730, $C$4506:$C$5005, 0, 1)) &lt;= VLOOKUP($C3730, 'Instrument Table'!$B:$D, 3, FALSE), ROW($A3730) - 4504 - _xlfn.XMATCH($C3730, $C$4506:$C$5005, 0, 1), 0), 0), "00")</f>
        <v>00</v>
      </c>
      <c r="H3730" s="1" t="str">
        <f t="shared" si="349"/>
        <v>024</v>
      </c>
      <c r="I3730" s="1" t="str">
        <f t="shared" si="350"/>
        <v>16200-024</v>
      </c>
      <c r="J3730" s="1" t="str">
        <f t="shared" si="351"/>
        <v>Software production item #024</v>
      </c>
      <c r="K3730" s="1" t="str">
        <f>IF(SUM(COUNTIFS(I:I, I3730)) &gt; 1, "DUPLICATE", "UNIQUE")</f>
        <v>UNIQUE</v>
      </c>
      <c r="L3730" s="18">
        <v>0</v>
      </c>
      <c r="M3730" s="28">
        <v>9</v>
      </c>
      <c r="N3730" s="6">
        <v>64</v>
      </c>
      <c r="O3730" s="30">
        <f t="shared" si="352"/>
        <v>0</v>
      </c>
      <c r="P3730" s="30">
        <f t="shared" si="353"/>
        <v>576</v>
      </c>
      <c r="Q3730" s="1">
        <f>COUNTIFS($P:$P, "&gt;" &amp; $P3730) + 1</f>
        <v>3957</v>
      </c>
      <c r="R3730" s="63">
        <f>(COUNTIFS($P:$P, "&gt;" &amp; $P3730) + 1) / (COUNTA($I:$I) - 1)</f>
        <v>0.79139999999999999</v>
      </c>
      <c r="S3730" s="23">
        <f>SUMIFS($P:$P, $Q:$Q, "&lt;" &amp; $Q3730)</f>
        <v>186374368</v>
      </c>
    </row>
    <row r="3731" spans="1:19" x14ac:dyDescent="0.25">
      <c r="A3731" s="1">
        <v>3726</v>
      </c>
      <c r="B3731" s="1" t="s">
        <v>2</v>
      </c>
      <c r="C3731" s="1" t="str">
        <f>IF($B3731 = "Production Item", _xlfn.XLOOKUP($A3731, 'Instrument Table'!$J:$J, 'Instrument Table'!$B:$B, $C3730), IF($B3731 = "Service Item", _xlfn.XLOOKUP($A3731, 'Instrument Table'!$I:$I, 'Instrument Table'!$B:$B, $C3730), _xlfn.XLOOKUP($A3731, 'Instrument Table'!$H:$H, 'Instrument Table'!$B:$B, $C3730)))</f>
        <v>Software</v>
      </c>
      <c r="D3731" s="1" t="str">
        <f>VLOOKUP($C3731, 'Instrument Table'!$B:$C, 2, FALSE)</f>
        <v>Other</v>
      </c>
      <c r="E3731" s="1">
        <f t="shared" si="348"/>
        <v>1</v>
      </c>
      <c r="F3731" s="1">
        <f>_xlfn.XLOOKUP($C3731, 'Instrument Table'!$B:$B, 'Instrument Table'!$A:$A, "")</f>
        <v>62</v>
      </c>
      <c r="G3731" s="1" t="str">
        <f>TEXT(IF($B3731 = "Retail Item", IF((ROW($A3731) - 4504 - _xlfn.XMATCH($C3731, $C$4506:$C$5005, 0, 1)) &lt;= VLOOKUP($C3731, 'Instrument Table'!$B:$D, 3, FALSE), ROW($A3731) - 4504 - _xlfn.XMATCH($C3731, $C$4506:$C$5005, 0, 1), 0), 0), "00")</f>
        <v>00</v>
      </c>
      <c r="H3731" s="1" t="str">
        <f t="shared" si="349"/>
        <v>025</v>
      </c>
      <c r="I3731" s="1" t="str">
        <f t="shared" si="350"/>
        <v>16200-025</v>
      </c>
      <c r="J3731" s="1" t="str">
        <f t="shared" si="351"/>
        <v>Software production item #025</v>
      </c>
      <c r="K3731" s="1" t="str">
        <f>IF(SUM(COUNTIFS(I:I, I3731)) &gt; 1, "DUPLICATE", "UNIQUE")</f>
        <v>UNIQUE</v>
      </c>
      <c r="L3731" s="18">
        <v>1</v>
      </c>
      <c r="M3731" s="28">
        <v>79</v>
      </c>
      <c r="N3731" s="6">
        <v>324</v>
      </c>
      <c r="O3731" s="30">
        <f t="shared" si="352"/>
        <v>79</v>
      </c>
      <c r="P3731" s="30">
        <f t="shared" si="353"/>
        <v>25596</v>
      </c>
      <c r="Q3731" s="1">
        <f>COUNTIFS($P:$P, "&gt;" &amp; $P3731) + 1</f>
        <v>810</v>
      </c>
      <c r="R3731" s="63">
        <f>(COUNTIFS($P:$P, "&gt;" &amp; $P3731) + 1) / (COUNTA($I:$I) - 1)</f>
        <v>0.16200000000000001</v>
      </c>
      <c r="S3731" s="23">
        <f>SUMIFS($P:$P, $Q:$Q, "&lt;" &amp; $Q3731)</f>
        <v>162084341</v>
      </c>
    </row>
    <row r="3732" spans="1:19" x14ac:dyDescent="0.25">
      <c r="A3732" s="1">
        <v>3727</v>
      </c>
      <c r="B3732" s="1" t="s">
        <v>2</v>
      </c>
      <c r="C3732" s="1" t="str">
        <f>IF($B3732 = "Production Item", _xlfn.XLOOKUP($A3732, 'Instrument Table'!$J:$J, 'Instrument Table'!$B:$B, $C3731), IF($B3732 = "Service Item", _xlfn.XLOOKUP($A3732, 'Instrument Table'!$I:$I, 'Instrument Table'!$B:$B, $C3731), _xlfn.XLOOKUP($A3732, 'Instrument Table'!$H:$H, 'Instrument Table'!$B:$B, $C3731)))</f>
        <v>Software</v>
      </c>
      <c r="D3732" s="1" t="str">
        <f>VLOOKUP($C3732, 'Instrument Table'!$B:$C, 2, FALSE)</f>
        <v>Other</v>
      </c>
      <c r="E3732" s="1">
        <f t="shared" si="348"/>
        <v>1</v>
      </c>
      <c r="F3732" s="1">
        <f>_xlfn.XLOOKUP($C3732, 'Instrument Table'!$B:$B, 'Instrument Table'!$A:$A, "")</f>
        <v>62</v>
      </c>
      <c r="G3732" s="1" t="str">
        <f>TEXT(IF($B3732 = "Retail Item", IF((ROW($A3732) - 4504 - _xlfn.XMATCH($C3732, $C$4506:$C$5005, 0, 1)) &lt;= VLOOKUP($C3732, 'Instrument Table'!$B:$D, 3, FALSE), ROW($A3732) - 4504 - _xlfn.XMATCH($C3732, $C$4506:$C$5005, 0, 1), 0), 0), "00")</f>
        <v>00</v>
      </c>
      <c r="H3732" s="1" t="str">
        <f t="shared" si="349"/>
        <v>026</v>
      </c>
      <c r="I3732" s="1" t="str">
        <f t="shared" si="350"/>
        <v>16200-026</v>
      </c>
      <c r="J3732" s="1" t="str">
        <f t="shared" si="351"/>
        <v>Software production item #026</v>
      </c>
      <c r="K3732" s="1" t="str">
        <f>IF(SUM(COUNTIFS(I:I, I3732)) &gt; 1, "DUPLICATE", "UNIQUE")</f>
        <v>UNIQUE</v>
      </c>
      <c r="L3732" s="18">
        <v>0</v>
      </c>
      <c r="M3732" s="28">
        <v>36</v>
      </c>
      <c r="N3732" s="6">
        <v>324</v>
      </c>
      <c r="O3732" s="30">
        <f t="shared" si="352"/>
        <v>0</v>
      </c>
      <c r="P3732" s="30">
        <f t="shared" si="353"/>
        <v>11664</v>
      </c>
      <c r="Q3732" s="1">
        <f>COUNTIFS($P:$P, "&gt;" &amp; $P3732) + 1</f>
        <v>1607</v>
      </c>
      <c r="R3732" s="63">
        <f>(COUNTIFS($P:$P, "&gt;" &amp; $P3732) + 1) / (COUNTA($I:$I) - 1)</f>
        <v>0.32140000000000002</v>
      </c>
      <c r="S3732" s="23">
        <f>SUMIFS($P:$P, $Q:$Q, "&lt;" &amp; $Q3732)</f>
        <v>176160715</v>
      </c>
    </row>
    <row r="3733" spans="1:19" x14ac:dyDescent="0.25">
      <c r="A3733" s="1">
        <v>3728</v>
      </c>
      <c r="B3733" s="1" t="s">
        <v>2</v>
      </c>
      <c r="C3733" s="1" t="str">
        <f>IF($B3733 = "Production Item", _xlfn.XLOOKUP($A3733, 'Instrument Table'!$J:$J, 'Instrument Table'!$B:$B, $C3732), IF($B3733 = "Service Item", _xlfn.XLOOKUP($A3733, 'Instrument Table'!$I:$I, 'Instrument Table'!$B:$B, $C3732), _xlfn.XLOOKUP($A3733, 'Instrument Table'!$H:$H, 'Instrument Table'!$B:$B, $C3732)))</f>
        <v>Software</v>
      </c>
      <c r="D3733" s="1" t="str">
        <f>VLOOKUP($C3733, 'Instrument Table'!$B:$C, 2, FALSE)</f>
        <v>Other</v>
      </c>
      <c r="E3733" s="1">
        <f t="shared" si="348"/>
        <v>1</v>
      </c>
      <c r="F3733" s="1">
        <f>_xlfn.XLOOKUP($C3733, 'Instrument Table'!$B:$B, 'Instrument Table'!$A:$A, "")</f>
        <v>62</v>
      </c>
      <c r="G3733" s="1" t="str">
        <f>TEXT(IF($B3733 = "Retail Item", IF((ROW($A3733) - 4504 - _xlfn.XMATCH($C3733, $C$4506:$C$5005, 0, 1)) &lt;= VLOOKUP($C3733, 'Instrument Table'!$B:$D, 3, FALSE), ROW($A3733) - 4504 - _xlfn.XMATCH($C3733, $C$4506:$C$5005, 0, 1), 0), 0), "00")</f>
        <v>00</v>
      </c>
      <c r="H3733" s="1" t="str">
        <f t="shared" si="349"/>
        <v>027</v>
      </c>
      <c r="I3733" s="1" t="str">
        <f t="shared" si="350"/>
        <v>16200-027</v>
      </c>
      <c r="J3733" s="1" t="str">
        <f t="shared" si="351"/>
        <v>Software production item #027</v>
      </c>
      <c r="K3733" s="1" t="str">
        <f>IF(SUM(COUNTIFS(I:I, I3733)) &gt; 1, "DUPLICATE", "UNIQUE")</f>
        <v>UNIQUE</v>
      </c>
      <c r="L3733" s="18">
        <v>16</v>
      </c>
      <c r="M3733" s="28">
        <v>30</v>
      </c>
      <c r="N3733" s="6">
        <v>169</v>
      </c>
      <c r="O3733" s="30">
        <f t="shared" si="352"/>
        <v>480</v>
      </c>
      <c r="P3733" s="30">
        <f t="shared" si="353"/>
        <v>5070</v>
      </c>
      <c r="Q3733" s="1">
        <f>COUNTIFS($P:$P, "&gt;" &amp; $P3733) + 1</f>
        <v>2435</v>
      </c>
      <c r="R3733" s="63">
        <f>(COUNTIFS($P:$P, "&gt;" &amp; $P3733) + 1) / (COUNTA($I:$I) - 1)</f>
        <v>0.48699999999999999</v>
      </c>
      <c r="S3733" s="23">
        <f>SUMIFS($P:$P, $Q:$Q, "&lt;" &amp; $Q3733)</f>
        <v>182796975</v>
      </c>
    </row>
    <row r="3734" spans="1:19" x14ac:dyDescent="0.25">
      <c r="A3734" s="1">
        <v>3729</v>
      </c>
      <c r="B3734" s="1" t="s">
        <v>2</v>
      </c>
      <c r="C3734" s="1" t="str">
        <f>IF($B3734 = "Production Item", _xlfn.XLOOKUP($A3734, 'Instrument Table'!$J:$J, 'Instrument Table'!$B:$B, $C3733), IF($B3734 = "Service Item", _xlfn.XLOOKUP($A3734, 'Instrument Table'!$I:$I, 'Instrument Table'!$B:$B, $C3733), _xlfn.XLOOKUP($A3734, 'Instrument Table'!$H:$H, 'Instrument Table'!$B:$B, $C3733)))</f>
        <v>Software</v>
      </c>
      <c r="D3734" s="1" t="str">
        <f>VLOOKUP($C3734, 'Instrument Table'!$B:$C, 2, FALSE)</f>
        <v>Other</v>
      </c>
      <c r="E3734" s="1">
        <f t="shared" si="348"/>
        <v>1</v>
      </c>
      <c r="F3734" s="1">
        <f>_xlfn.XLOOKUP($C3734, 'Instrument Table'!$B:$B, 'Instrument Table'!$A:$A, "")</f>
        <v>62</v>
      </c>
      <c r="G3734" s="1" t="str">
        <f>TEXT(IF($B3734 = "Retail Item", IF((ROW($A3734) - 4504 - _xlfn.XMATCH($C3734, $C$4506:$C$5005, 0, 1)) &lt;= VLOOKUP($C3734, 'Instrument Table'!$B:$D, 3, FALSE), ROW($A3734) - 4504 - _xlfn.XMATCH($C3734, $C$4506:$C$5005, 0, 1), 0), 0), "00")</f>
        <v>00</v>
      </c>
      <c r="H3734" s="1" t="str">
        <f t="shared" si="349"/>
        <v>028</v>
      </c>
      <c r="I3734" s="1" t="str">
        <f t="shared" si="350"/>
        <v>16200-028</v>
      </c>
      <c r="J3734" s="1" t="str">
        <f t="shared" si="351"/>
        <v>Software production item #028</v>
      </c>
      <c r="K3734" s="1" t="str">
        <f>IF(SUM(COUNTIFS(I:I, I3734)) &gt; 1, "DUPLICATE", "UNIQUE")</f>
        <v>UNIQUE</v>
      </c>
      <c r="L3734" s="18">
        <v>1</v>
      </c>
      <c r="M3734" s="28">
        <v>45</v>
      </c>
      <c r="N3734" s="6">
        <v>361</v>
      </c>
      <c r="O3734" s="30">
        <f t="shared" si="352"/>
        <v>45</v>
      </c>
      <c r="P3734" s="30">
        <f t="shared" si="353"/>
        <v>16245</v>
      </c>
      <c r="Q3734" s="1">
        <f>COUNTIFS($P:$P, "&gt;" &amp; $P3734) + 1</f>
        <v>1260</v>
      </c>
      <c r="R3734" s="63">
        <f>(COUNTIFS($P:$P, "&gt;" &amp; $P3734) + 1) / (COUNTA($I:$I) - 1)</f>
        <v>0.252</v>
      </c>
      <c r="S3734" s="23">
        <f>SUMIFS($P:$P, $Q:$Q, "&lt;" &amp; $Q3734)</f>
        <v>171333152</v>
      </c>
    </row>
    <row r="3735" spans="1:19" x14ac:dyDescent="0.25">
      <c r="A3735" s="1">
        <v>3730</v>
      </c>
      <c r="B3735" s="1" t="s">
        <v>2</v>
      </c>
      <c r="C3735" s="1" t="str">
        <f>IF($B3735 = "Production Item", _xlfn.XLOOKUP($A3735, 'Instrument Table'!$J:$J, 'Instrument Table'!$B:$B, $C3734), IF($B3735 = "Service Item", _xlfn.XLOOKUP($A3735, 'Instrument Table'!$I:$I, 'Instrument Table'!$B:$B, $C3734), _xlfn.XLOOKUP($A3735, 'Instrument Table'!$H:$H, 'Instrument Table'!$B:$B, $C3734)))</f>
        <v>Software</v>
      </c>
      <c r="D3735" s="1" t="str">
        <f>VLOOKUP($C3735, 'Instrument Table'!$B:$C, 2, FALSE)</f>
        <v>Other</v>
      </c>
      <c r="E3735" s="1">
        <f t="shared" si="348"/>
        <v>1</v>
      </c>
      <c r="F3735" s="1">
        <f>_xlfn.XLOOKUP($C3735, 'Instrument Table'!$B:$B, 'Instrument Table'!$A:$A, "")</f>
        <v>62</v>
      </c>
      <c r="G3735" s="1" t="str">
        <f>TEXT(IF($B3735 = "Retail Item", IF((ROW($A3735) - 4504 - _xlfn.XMATCH($C3735, $C$4506:$C$5005, 0, 1)) &lt;= VLOOKUP($C3735, 'Instrument Table'!$B:$D, 3, FALSE), ROW($A3735) - 4504 - _xlfn.XMATCH($C3735, $C$4506:$C$5005, 0, 1), 0), 0), "00")</f>
        <v>00</v>
      </c>
      <c r="H3735" s="1" t="str">
        <f t="shared" si="349"/>
        <v>029</v>
      </c>
      <c r="I3735" s="1" t="str">
        <f t="shared" si="350"/>
        <v>16200-029</v>
      </c>
      <c r="J3735" s="1" t="str">
        <f t="shared" si="351"/>
        <v>Software production item #029</v>
      </c>
      <c r="K3735" s="1" t="str">
        <f>IF(SUM(COUNTIFS(I:I, I3735)) &gt; 1, "DUPLICATE", "UNIQUE")</f>
        <v>UNIQUE</v>
      </c>
      <c r="L3735" s="18">
        <v>8</v>
      </c>
      <c r="M3735" s="28">
        <v>83</v>
      </c>
      <c r="N3735" s="6">
        <v>1</v>
      </c>
      <c r="O3735" s="30">
        <f t="shared" si="352"/>
        <v>664</v>
      </c>
      <c r="P3735" s="30">
        <f t="shared" si="353"/>
        <v>83</v>
      </c>
      <c r="Q3735" s="1">
        <f>COUNTIFS($P:$P, "&gt;" &amp; $P3735) + 1</f>
        <v>4501</v>
      </c>
      <c r="R3735" s="63">
        <f>(COUNTIFS($P:$P, "&gt;" &amp; $P3735) + 1) / (COUNTA($I:$I) - 1)</f>
        <v>0.9002</v>
      </c>
      <c r="S3735" s="23">
        <f>SUMIFS($P:$P, $Q:$Q, "&lt;" &amp; $Q3735)</f>
        <v>186536943</v>
      </c>
    </row>
    <row r="3736" spans="1:19" x14ac:dyDescent="0.25">
      <c r="A3736" s="1">
        <v>3731</v>
      </c>
      <c r="B3736" s="1" t="s">
        <v>2</v>
      </c>
      <c r="C3736" s="1" t="str">
        <f>IF($B3736 = "Production Item", _xlfn.XLOOKUP($A3736, 'Instrument Table'!$J:$J, 'Instrument Table'!$B:$B, $C3735), IF($B3736 = "Service Item", _xlfn.XLOOKUP($A3736, 'Instrument Table'!$I:$I, 'Instrument Table'!$B:$B, $C3735), _xlfn.XLOOKUP($A3736, 'Instrument Table'!$H:$H, 'Instrument Table'!$B:$B, $C3735)))</f>
        <v>Software</v>
      </c>
      <c r="D3736" s="1" t="str">
        <f>VLOOKUP($C3736, 'Instrument Table'!$B:$C, 2, FALSE)</f>
        <v>Other</v>
      </c>
      <c r="E3736" s="1">
        <f t="shared" si="348"/>
        <v>1</v>
      </c>
      <c r="F3736" s="1">
        <f>_xlfn.XLOOKUP($C3736, 'Instrument Table'!$B:$B, 'Instrument Table'!$A:$A, "")</f>
        <v>62</v>
      </c>
      <c r="G3736" s="1" t="str">
        <f>TEXT(IF($B3736 = "Retail Item", IF((ROW($A3736) - 4504 - _xlfn.XMATCH($C3736, $C$4506:$C$5005, 0, 1)) &lt;= VLOOKUP($C3736, 'Instrument Table'!$B:$D, 3, FALSE), ROW($A3736) - 4504 - _xlfn.XMATCH($C3736, $C$4506:$C$5005, 0, 1), 0), 0), "00")</f>
        <v>00</v>
      </c>
      <c r="H3736" s="1" t="str">
        <f t="shared" si="349"/>
        <v>030</v>
      </c>
      <c r="I3736" s="1" t="str">
        <f t="shared" si="350"/>
        <v>16200-030</v>
      </c>
      <c r="J3736" s="1" t="str">
        <f t="shared" si="351"/>
        <v>Software production item #030</v>
      </c>
      <c r="K3736" s="1" t="str">
        <f>IF(SUM(COUNTIFS(I:I, I3736)) &gt; 1, "DUPLICATE", "UNIQUE")</f>
        <v>UNIQUE</v>
      </c>
      <c r="L3736" s="18">
        <v>1</v>
      </c>
      <c r="M3736" s="28">
        <v>48</v>
      </c>
      <c r="N3736" s="6">
        <v>36</v>
      </c>
      <c r="O3736" s="30">
        <f t="shared" si="352"/>
        <v>48</v>
      </c>
      <c r="P3736" s="30">
        <f t="shared" si="353"/>
        <v>1728</v>
      </c>
      <c r="Q3736" s="1">
        <f>COUNTIFS($P:$P, "&gt;" &amp; $P3736) + 1</f>
        <v>3360</v>
      </c>
      <c r="R3736" s="63">
        <f>(COUNTIFS($P:$P, "&gt;" &amp; $P3736) + 1) / (COUNTA($I:$I) - 1)</f>
        <v>0.67200000000000004</v>
      </c>
      <c r="S3736" s="23">
        <f>SUMIFS($P:$P, $Q:$Q, "&lt;" &amp; $Q3736)</f>
        <v>185718037</v>
      </c>
    </row>
    <row r="3737" spans="1:19" x14ac:dyDescent="0.25">
      <c r="A3737" s="1">
        <v>3732</v>
      </c>
      <c r="B3737" s="1" t="s">
        <v>2</v>
      </c>
      <c r="C3737" s="1" t="str">
        <f>IF($B3737 = "Production Item", _xlfn.XLOOKUP($A3737, 'Instrument Table'!$J:$J, 'Instrument Table'!$B:$B, $C3736), IF($B3737 = "Service Item", _xlfn.XLOOKUP($A3737, 'Instrument Table'!$I:$I, 'Instrument Table'!$B:$B, $C3736), _xlfn.XLOOKUP($A3737, 'Instrument Table'!$H:$H, 'Instrument Table'!$B:$B, $C3736)))</f>
        <v>Software</v>
      </c>
      <c r="D3737" s="1" t="str">
        <f>VLOOKUP($C3737, 'Instrument Table'!$B:$C, 2, FALSE)</f>
        <v>Other</v>
      </c>
      <c r="E3737" s="1">
        <f t="shared" si="348"/>
        <v>1</v>
      </c>
      <c r="F3737" s="1">
        <f>_xlfn.XLOOKUP($C3737, 'Instrument Table'!$B:$B, 'Instrument Table'!$A:$A, "")</f>
        <v>62</v>
      </c>
      <c r="G3737" s="1" t="str">
        <f>TEXT(IF($B3737 = "Retail Item", IF((ROW($A3737) - 4504 - _xlfn.XMATCH($C3737, $C$4506:$C$5005, 0, 1)) &lt;= VLOOKUP($C3737, 'Instrument Table'!$B:$D, 3, FALSE), ROW($A3737) - 4504 - _xlfn.XMATCH($C3737, $C$4506:$C$5005, 0, 1), 0), 0), "00")</f>
        <v>00</v>
      </c>
      <c r="H3737" s="1" t="str">
        <f t="shared" si="349"/>
        <v>031</v>
      </c>
      <c r="I3737" s="1" t="str">
        <f t="shared" si="350"/>
        <v>16200-031</v>
      </c>
      <c r="J3737" s="1" t="str">
        <f t="shared" si="351"/>
        <v>Software production item #031</v>
      </c>
      <c r="K3737" s="1" t="str">
        <f>IF(SUM(COUNTIFS(I:I, I3737)) &gt; 1, "DUPLICATE", "UNIQUE")</f>
        <v>UNIQUE</v>
      </c>
      <c r="L3737" s="18">
        <v>0</v>
      </c>
      <c r="M3737" s="28">
        <v>47</v>
      </c>
      <c r="N3737" s="6">
        <v>144</v>
      </c>
      <c r="O3737" s="30">
        <f t="shared" si="352"/>
        <v>0</v>
      </c>
      <c r="P3737" s="30">
        <f t="shared" si="353"/>
        <v>6768</v>
      </c>
      <c r="Q3737" s="1">
        <f>COUNTIFS($P:$P, "&gt;" &amp; $P3737) + 1</f>
        <v>2174</v>
      </c>
      <c r="R3737" s="63">
        <f>(COUNTIFS($P:$P, "&gt;" &amp; $P3737) + 1) / (COUNTA($I:$I) - 1)</f>
        <v>0.43480000000000002</v>
      </c>
      <c r="S3737" s="23">
        <f>SUMIFS($P:$P, $Q:$Q, "&lt;" &amp; $Q3737)</f>
        <v>181277820</v>
      </c>
    </row>
    <row r="3738" spans="1:19" x14ac:dyDescent="0.25">
      <c r="A3738" s="1">
        <v>3733</v>
      </c>
      <c r="B3738" s="1" t="s">
        <v>2</v>
      </c>
      <c r="C3738" s="1" t="str">
        <f>IF($B3738 = "Production Item", _xlfn.XLOOKUP($A3738, 'Instrument Table'!$J:$J, 'Instrument Table'!$B:$B, $C3737), IF($B3738 = "Service Item", _xlfn.XLOOKUP($A3738, 'Instrument Table'!$I:$I, 'Instrument Table'!$B:$B, $C3737), _xlfn.XLOOKUP($A3738, 'Instrument Table'!$H:$H, 'Instrument Table'!$B:$B, $C3737)))</f>
        <v>Software</v>
      </c>
      <c r="D3738" s="1" t="str">
        <f>VLOOKUP($C3738, 'Instrument Table'!$B:$C, 2, FALSE)</f>
        <v>Other</v>
      </c>
      <c r="E3738" s="1">
        <f t="shared" si="348"/>
        <v>1</v>
      </c>
      <c r="F3738" s="1">
        <f>_xlfn.XLOOKUP($C3738, 'Instrument Table'!$B:$B, 'Instrument Table'!$A:$A, "")</f>
        <v>62</v>
      </c>
      <c r="G3738" s="1" t="str">
        <f>TEXT(IF($B3738 = "Retail Item", IF((ROW($A3738) - 4504 - _xlfn.XMATCH($C3738, $C$4506:$C$5005, 0, 1)) &lt;= VLOOKUP($C3738, 'Instrument Table'!$B:$D, 3, FALSE), ROW($A3738) - 4504 - _xlfn.XMATCH($C3738, $C$4506:$C$5005, 0, 1), 0), 0), "00")</f>
        <v>00</v>
      </c>
      <c r="H3738" s="1" t="str">
        <f t="shared" si="349"/>
        <v>032</v>
      </c>
      <c r="I3738" s="1" t="str">
        <f t="shared" si="350"/>
        <v>16200-032</v>
      </c>
      <c r="J3738" s="1" t="str">
        <f t="shared" si="351"/>
        <v>Software production item #032</v>
      </c>
      <c r="K3738" s="1" t="str">
        <f>IF(SUM(COUNTIFS(I:I, I3738)) &gt; 1, "DUPLICATE", "UNIQUE")</f>
        <v>UNIQUE</v>
      </c>
      <c r="L3738" s="18">
        <v>16</v>
      </c>
      <c r="M3738" s="28">
        <v>44</v>
      </c>
      <c r="N3738" s="6">
        <v>9</v>
      </c>
      <c r="O3738" s="30">
        <f t="shared" si="352"/>
        <v>704</v>
      </c>
      <c r="P3738" s="30">
        <f t="shared" si="353"/>
        <v>396</v>
      </c>
      <c r="Q3738" s="1">
        <f>COUNTIFS($P:$P, "&gt;" &amp; $P3738) + 1</f>
        <v>4100</v>
      </c>
      <c r="R3738" s="63">
        <f>(COUNTIFS($P:$P, "&gt;" &amp; $P3738) + 1) / (COUNTA($I:$I) - 1)</f>
        <v>0.82</v>
      </c>
      <c r="S3738" s="23">
        <f>SUMIFS($P:$P, $Q:$Q, "&lt;" &amp; $Q3738)</f>
        <v>186444882</v>
      </c>
    </row>
    <row r="3739" spans="1:19" x14ac:dyDescent="0.25">
      <c r="A3739" s="1">
        <v>3734</v>
      </c>
      <c r="B3739" s="1" t="s">
        <v>2</v>
      </c>
      <c r="C3739" s="1" t="str">
        <f>IF($B3739 = "Production Item", _xlfn.XLOOKUP($A3739, 'Instrument Table'!$J:$J, 'Instrument Table'!$B:$B, $C3738), IF($B3739 = "Service Item", _xlfn.XLOOKUP($A3739, 'Instrument Table'!$I:$I, 'Instrument Table'!$B:$B, $C3738), _xlfn.XLOOKUP($A3739, 'Instrument Table'!$H:$H, 'Instrument Table'!$B:$B, $C3738)))</f>
        <v>Software</v>
      </c>
      <c r="D3739" s="1" t="str">
        <f>VLOOKUP($C3739, 'Instrument Table'!$B:$C, 2, FALSE)</f>
        <v>Other</v>
      </c>
      <c r="E3739" s="1">
        <f t="shared" si="348"/>
        <v>1</v>
      </c>
      <c r="F3739" s="1">
        <f>_xlfn.XLOOKUP($C3739, 'Instrument Table'!$B:$B, 'Instrument Table'!$A:$A, "")</f>
        <v>62</v>
      </c>
      <c r="G3739" s="1" t="str">
        <f>TEXT(IF($B3739 = "Retail Item", IF((ROW($A3739) - 4504 - _xlfn.XMATCH($C3739, $C$4506:$C$5005, 0, 1)) &lt;= VLOOKUP($C3739, 'Instrument Table'!$B:$D, 3, FALSE), ROW($A3739) - 4504 - _xlfn.XMATCH($C3739, $C$4506:$C$5005, 0, 1), 0), 0), "00")</f>
        <v>00</v>
      </c>
      <c r="H3739" s="1" t="str">
        <f t="shared" si="349"/>
        <v>033</v>
      </c>
      <c r="I3739" s="1" t="str">
        <f t="shared" si="350"/>
        <v>16200-033</v>
      </c>
      <c r="J3739" s="1" t="str">
        <f t="shared" si="351"/>
        <v>Software production item #033</v>
      </c>
      <c r="K3739" s="1" t="str">
        <f>IF(SUM(COUNTIFS(I:I, I3739)) &gt; 1, "DUPLICATE", "UNIQUE")</f>
        <v>UNIQUE</v>
      </c>
      <c r="L3739" s="18">
        <v>1</v>
      </c>
      <c r="M3739" s="28">
        <v>43</v>
      </c>
      <c r="N3739" s="6">
        <v>49</v>
      </c>
      <c r="O3739" s="30">
        <f t="shared" si="352"/>
        <v>43</v>
      </c>
      <c r="P3739" s="30">
        <f t="shared" si="353"/>
        <v>2107</v>
      </c>
      <c r="Q3739" s="1">
        <f>COUNTIFS($P:$P, "&gt;" &amp; $P3739) + 1</f>
        <v>3203</v>
      </c>
      <c r="R3739" s="63">
        <f>(COUNTIFS($P:$P, "&gt;" &amp; $P3739) + 1) / (COUNTA($I:$I) - 1)</f>
        <v>0.64059999999999995</v>
      </c>
      <c r="S3739" s="23">
        <f>SUMIFS($P:$P, $Q:$Q, "&lt;" &amp; $Q3739)</f>
        <v>185414023</v>
      </c>
    </row>
    <row r="3740" spans="1:19" x14ac:dyDescent="0.25">
      <c r="A3740" s="1">
        <v>3735</v>
      </c>
      <c r="B3740" s="1" t="s">
        <v>2</v>
      </c>
      <c r="C3740" s="1" t="str">
        <f>IF($B3740 = "Production Item", _xlfn.XLOOKUP($A3740, 'Instrument Table'!$J:$J, 'Instrument Table'!$B:$B, $C3739), IF($B3740 = "Service Item", _xlfn.XLOOKUP($A3740, 'Instrument Table'!$I:$I, 'Instrument Table'!$B:$B, $C3739), _xlfn.XLOOKUP($A3740, 'Instrument Table'!$H:$H, 'Instrument Table'!$B:$B, $C3739)))</f>
        <v>Software</v>
      </c>
      <c r="D3740" s="1" t="str">
        <f>VLOOKUP($C3740, 'Instrument Table'!$B:$C, 2, FALSE)</f>
        <v>Other</v>
      </c>
      <c r="E3740" s="1">
        <f t="shared" si="348"/>
        <v>1</v>
      </c>
      <c r="F3740" s="1">
        <f>_xlfn.XLOOKUP($C3740, 'Instrument Table'!$B:$B, 'Instrument Table'!$A:$A, "")</f>
        <v>62</v>
      </c>
      <c r="G3740" s="1" t="str">
        <f>TEXT(IF($B3740 = "Retail Item", IF((ROW($A3740) - 4504 - _xlfn.XMATCH($C3740, $C$4506:$C$5005, 0, 1)) &lt;= VLOOKUP($C3740, 'Instrument Table'!$B:$D, 3, FALSE), ROW($A3740) - 4504 - _xlfn.XMATCH($C3740, $C$4506:$C$5005, 0, 1), 0), 0), "00")</f>
        <v>00</v>
      </c>
      <c r="H3740" s="1" t="str">
        <f t="shared" si="349"/>
        <v>034</v>
      </c>
      <c r="I3740" s="1" t="str">
        <f t="shared" si="350"/>
        <v>16200-034</v>
      </c>
      <c r="J3740" s="1" t="str">
        <f t="shared" si="351"/>
        <v>Software production item #034</v>
      </c>
      <c r="K3740" s="1" t="str">
        <f>IF(SUM(COUNTIFS(I:I, I3740)) &gt; 1, "DUPLICATE", "UNIQUE")</f>
        <v>UNIQUE</v>
      </c>
      <c r="L3740" s="18">
        <v>4</v>
      </c>
      <c r="M3740" s="28">
        <v>91</v>
      </c>
      <c r="N3740" s="6">
        <v>225</v>
      </c>
      <c r="O3740" s="30">
        <f t="shared" si="352"/>
        <v>364</v>
      </c>
      <c r="P3740" s="30">
        <f t="shared" si="353"/>
        <v>20475</v>
      </c>
      <c r="Q3740" s="1">
        <f>COUNTIFS($P:$P, "&gt;" &amp; $P3740) + 1</f>
        <v>1034</v>
      </c>
      <c r="R3740" s="63">
        <f>(COUNTIFS($P:$P, "&gt;" &amp; $P3740) + 1) / (COUNTA($I:$I) - 1)</f>
        <v>0.20680000000000001</v>
      </c>
      <c r="S3740" s="23">
        <f>SUMIFS($P:$P, $Q:$Q, "&lt;" &amp; $Q3740)</f>
        <v>167197006</v>
      </c>
    </row>
    <row r="3741" spans="1:19" x14ac:dyDescent="0.25">
      <c r="A3741" s="1">
        <v>3736</v>
      </c>
      <c r="B3741" s="1" t="s">
        <v>2</v>
      </c>
      <c r="C3741" s="1" t="str">
        <f>IF($B3741 = "Production Item", _xlfn.XLOOKUP($A3741, 'Instrument Table'!$J:$J, 'Instrument Table'!$B:$B, $C3740), IF($B3741 = "Service Item", _xlfn.XLOOKUP($A3741, 'Instrument Table'!$I:$I, 'Instrument Table'!$B:$B, $C3740), _xlfn.XLOOKUP($A3741, 'Instrument Table'!$H:$H, 'Instrument Table'!$B:$B, $C3740)))</f>
        <v>Software</v>
      </c>
      <c r="D3741" s="1" t="str">
        <f>VLOOKUP($C3741, 'Instrument Table'!$B:$C, 2, FALSE)</f>
        <v>Other</v>
      </c>
      <c r="E3741" s="1">
        <f t="shared" si="348"/>
        <v>1</v>
      </c>
      <c r="F3741" s="1">
        <f>_xlfn.XLOOKUP($C3741, 'Instrument Table'!$B:$B, 'Instrument Table'!$A:$A, "")</f>
        <v>62</v>
      </c>
      <c r="G3741" s="1" t="str">
        <f>TEXT(IF($B3741 = "Retail Item", IF((ROW($A3741) - 4504 - _xlfn.XMATCH($C3741, $C$4506:$C$5005, 0, 1)) &lt;= VLOOKUP($C3741, 'Instrument Table'!$B:$D, 3, FALSE), ROW($A3741) - 4504 - _xlfn.XMATCH($C3741, $C$4506:$C$5005, 0, 1), 0), 0), "00")</f>
        <v>00</v>
      </c>
      <c r="H3741" s="1" t="str">
        <f t="shared" si="349"/>
        <v>035</v>
      </c>
      <c r="I3741" s="1" t="str">
        <f t="shared" si="350"/>
        <v>16200-035</v>
      </c>
      <c r="J3741" s="1" t="str">
        <f t="shared" si="351"/>
        <v>Software production item #035</v>
      </c>
      <c r="K3741" s="1" t="str">
        <f>IF(SUM(COUNTIFS(I:I, I3741)) &gt; 1, "DUPLICATE", "UNIQUE")</f>
        <v>UNIQUE</v>
      </c>
      <c r="L3741" s="18">
        <v>2</v>
      </c>
      <c r="M3741" s="28">
        <v>70</v>
      </c>
      <c r="N3741" s="6">
        <v>49</v>
      </c>
      <c r="O3741" s="30">
        <f t="shared" si="352"/>
        <v>140</v>
      </c>
      <c r="P3741" s="30">
        <f t="shared" si="353"/>
        <v>3430</v>
      </c>
      <c r="Q3741" s="1">
        <f>COUNTIFS($P:$P, "&gt;" &amp; $P3741) + 1</f>
        <v>2794</v>
      </c>
      <c r="R3741" s="63">
        <f>(COUNTIFS($P:$P, "&gt;" &amp; $P3741) + 1) / (COUNTA($I:$I) - 1)</f>
        <v>0.55879999999999996</v>
      </c>
      <c r="S3741" s="23">
        <f>SUMIFS($P:$P, $Q:$Q, "&lt;" &amp; $Q3741)</f>
        <v>184305371</v>
      </c>
    </row>
    <row r="3742" spans="1:19" x14ac:dyDescent="0.25">
      <c r="A3742" s="1">
        <v>3737</v>
      </c>
      <c r="B3742" s="1" t="s">
        <v>2</v>
      </c>
      <c r="C3742" s="1" t="str">
        <f>IF($B3742 = "Production Item", _xlfn.XLOOKUP($A3742, 'Instrument Table'!$J:$J, 'Instrument Table'!$B:$B, $C3741), IF($B3742 = "Service Item", _xlfn.XLOOKUP($A3742, 'Instrument Table'!$I:$I, 'Instrument Table'!$B:$B, $C3741), _xlfn.XLOOKUP($A3742, 'Instrument Table'!$H:$H, 'Instrument Table'!$B:$B, $C3741)))</f>
        <v>Software</v>
      </c>
      <c r="D3742" s="1" t="str">
        <f>VLOOKUP($C3742, 'Instrument Table'!$B:$C, 2, FALSE)</f>
        <v>Other</v>
      </c>
      <c r="E3742" s="1">
        <f t="shared" si="348"/>
        <v>1</v>
      </c>
      <c r="F3742" s="1">
        <f>_xlfn.XLOOKUP($C3742, 'Instrument Table'!$B:$B, 'Instrument Table'!$A:$A, "")</f>
        <v>62</v>
      </c>
      <c r="G3742" s="1" t="str">
        <f>TEXT(IF($B3742 = "Retail Item", IF((ROW($A3742) - 4504 - _xlfn.XMATCH($C3742, $C$4506:$C$5005, 0, 1)) &lt;= VLOOKUP($C3742, 'Instrument Table'!$B:$D, 3, FALSE), ROW($A3742) - 4504 - _xlfn.XMATCH($C3742, $C$4506:$C$5005, 0, 1), 0), 0), "00")</f>
        <v>00</v>
      </c>
      <c r="H3742" s="1" t="str">
        <f t="shared" si="349"/>
        <v>036</v>
      </c>
      <c r="I3742" s="1" t="str">
        <f t="shared" si="350"/>
        <v>16200-036</v>
      </c>
      <c r="J3742" s="1" t="str">
        <f t="shared" si="351"/>
        <v>Software production item #036</v>
      </c>
      <c r="K3742" s="1" t="str">
        <f>IF(SUM(COUNTIFS(I:I, I3742)) &gt; 1, "DUPLICATE", "UNIQUE")</f>
        <v>UNIQUE</v>
      </c>
      <c r="L3742" s="18">
        <v>0</v>
      </c>
      <c r="M3742" s="28">
        <v>22</v>
      </c>
      <c r="N3742" s="6">
        <v>121</v>
      </c>
      <c r="O3742" s="30">
        <f t="shared" si="352"/>
        <v>0</v>
      </c>
      <c r="P3742" s="30">
        <f t="shared" si="353"/>
        <v>2662</v>
      </c>
      <c r="Q3742" s="1">
        <f>COUNTIFS($P:$P, "&gt;" &amp; $P3742) + 1</f>
        <v>2994</v>
      </c>
      <c r="R3742" s="63">
        <f>(COUNTIFS($P:$P, "&gt;" &amp; $P3742) + 1) / (COUNTA($I:$I) - 1)</f>
        <v>0.5988</v>
      </c>
      <c r="S3742" s="23">
        <f>SUMIFS($P:$P, $Q:$Q, "&lt;" &amp; $Q3742)</f>
        <v>184916158</v>
      </c>
    </row>
    <row r="3743" spans="1:19" x14ac:dyDescent="0.25">
      <c r="A3743" s="1">
        <v>3738</v>
      </c>
      <c r="B3743" s="1" t="s">
        <v>2</v>
      </c>
      <c r="C3743" s="1" t="str">
        <f>IF($B3743 = "Production Item", _xlfn.XLOOKUP($A3743, 'Instrument Table'!$J:$J, 'Instrument Table'!$B:$B, $C3742), IF($B3743 = "Service Item", _xlfn.XLOOKUP($A3743, 'Instrument Table'!$I:$I, 'Instrument Table'!$B:$B, $C3742), _xlfn.XLOOKUP($A3743, 'Instrument Table'!$H:$H, 'Instrument Table'!$B:$B, $C3742)))</f>
        <v>Software</v>
      </c>
      <c r="D3743" s="1" t="str">
        <f>VLOOKUP($C3743, 'Instrument Table'!$B:$C, 2, FALSE)</f>
        <v>Other</v>
      </c>
      <c r="E3743" s="1">
        <f t="shared" si="348"/>
        <v>1</v>
      </c>
      <c r="F3743" s="1">
        <f>_xlfn.XLOOKUP($C3743, 'Instrument Table'!$B:$B, 'Instrument Table'!$A:$A, "")</f>
        <v>62</v>
      </c>
      <c r="G3743" s="1" t="str">
        <f>TEXT(IF($B3743 = "Retail Item", IF((ROW($A3743) - 4504 - _xlfn.XMATCH($C3743, $C$4506:$C$5005, 0, 1)) &lt;= VLOOKUP($C3743, 'Instrument Table'!$B:$D, 3, FALSE), ROW($A3743) - 4504 - _xlfn.XMATCH($C3743, $C$4506:$C$5005, 0, 1), 0), 0), "00")</f>
        <v>00</v>
      </c>
      <c r="H3743" s="1" t="str">
        <f t="shared" si="349"/>
        <v>037</v>
      </c>
      <c r="I3743" s="1" t="str">
        <f t="shared" si="350"/>
        <v>16200-037</v>
      </c>
      <c r="J3743" s="1" t="str">
        <f t="shared" si="351"/>
        <v>Software production item #037</v>
      </c>
      <c r="K3743" s="1" t="str">
        <f>IF(SUM(COUNTIFS(I:I, I3743)) &gt; 1, "DUPLICATE", "UNIQUE")</f>
        <v>UNIQUE</v>
      </c>
      <c r="L3743" s="18">
        <v>0</v>
      </c>
      <c r="M3743" s="28">
        <v>50</v>
      </c>
      <c r="N3743" s="6">
        <v>16</v>
      </c>
      <c r="O3743" s="30">
        <f t="shared" si="352"/>
        <v>0</v>
      </c>
      <c r="P3743" s="30">
        <f t="shared" si="353"/>
        <v>800</v>
      </c>
      <c r="Q3743" s="1">
        <f>COUNTIFS($P:$P, "&gt;" &amp; $P3743) + 1</f>
        <v>3790</v>
      </c>
      <c r="R3743" s="63">
        <f>(COUNTIFS($P:$P, "&gt;" &amp; $P3743) + 1) / (COUNTA($I:$I) - 1)</f>
        <v>0.75800000000000001</v>
      </c>
      <c r="S3743" s="23">
        <f>SUMIFS($P:$P, $Q:$Q, "&lt;" &amp; $Q3743)</f>
        <v>186257682</v>
      </c>
    </row>
    <row r="3744" spans="1:19" x14ac:dyDescent="0.25">
      <c r="A3744" s="1">
        <v>3739</v>
      </c>
      <c r="B3744" s="1" t="s">
        <v>2</v>
      </c>
      <c r="C3744" s="1" t="str">
        <f>IF($B3744 = "Production Item", _xlfn.XLOOKUP($A3744, 'Instrument Table'!$J:$J, 'Instrument Table'!$B:$B, $C3743), IF($B3744 = "Service Item", _xlfn.XLOOKUP($A3744, 'Instrument Table'!$I:$I, 'Instrument Table'!$B:$B, $C3743), _xlfn.XLOOKUP($A3744, 'Instrument Table'!$H:$H, 'Instrument Table'!$B:$B, $C3743)))</f>
        <v>Software</v>
      </c>
      <c r="D3744" s="1" t="str">
        <f>VLOOKUP($C3744, 'Instrument Table'!$B:$C, 2, FALSE)</f>
        <v>Other</v>
      </c>
      <c r="E3744" s="1">
        <f t="shared" si="348"/>
        <v>1</v>
      </c>
      <c r="F3744" s="1">
        <f>_xlfn.XLOOKUP($C3744, 'Instrument Table'!$B:$B, 'Instrument Table'!$A:$A, "")</f>
        <v>62</v>
      </c>
      <c r="G3744" s="1" t="str">
        <f>TEXT(IF($B3744 = "Retail Item", IF((ROW($A3744) - 4504 - _xlfn.XMATCH($C3744, $C$4506:$C$5005, 0, 1)) &lt;= VLOOKUP($C3744, 'Instrument Table'!$B:$D, 3, FALSE), ROW($A3744) - 4504 - _xlfn.XMATCH($C3744, $C$4506:$C$5005, 0, 1), 0), 0), "00")</f>
        <v>00</v>
      </c>
      <c r="H3744" s="1" t="str">
        <f t="shared" si="349"/>
        <v>038</v>
      </c>
      <c r="I3744" s="1" t="str">
        <f t="shared" si="350"/>
        <v>16200-038</v>
      </c>
      <c r="J3744" s="1" t="str">
        <f t="shared" si="351"/>
        <v>Software production item #038</v>
      </c>
      <c r="K3744" s="1" t="str">
        <f>IF(SUM(COUNTIFS(I:I, I3744)) &gt; 1, "DUPLICATE", "UNIQUE")</f>
        <v>UNIQUE</v>
      </c>
      <c r="L3744" s="18">
        <v>1</v>
      </c>
      <c r="M3744" s="28">
        <v>31</v>
      </c>
      <c r="N3744" s="6">
        <v>144</v>
      </c>
      <c r="O3744" s="30">
        <f t="shared" si="352"/>
        <v>31</v>
      </c>
      <c r="P3744" s="30">
        <f t="shared" si="353"/>
        <v>4464</v>
      </c>
      <c r="Q3744" s="1">
        <f>COUNTIFS($P:$P, "&gt;" &amp; $P3744) + 1</f>
        <v>2555</v>
      </c>
      <c r="R3744" s="63">
        <f>(COUNTIFS($P:$P, "&gt;" &amp; $P3744) + 1) / (COUNTA($I:$I) - 1)</f>
        <v>0.51100000000000001</v>
      </c>
      <c r="S3744" s="23">
        <f>SUMIFS($P:$P, $Q:$Q, "&lt;" &amp; $Q3744)</f>
        <v>183367348</v>
      </c>
    </row>
    <row r="3745" spans="1:19" x14ac:dyDescent="0.25">
      <c r="A3745" s="1">
        <v>3740</v>
      </c>
      <c r="B3745" s="1" t="s">
        <v>2</v>
      </c>
      <c r="C3745" s="1" t="str">
        <f>IF($B3745 = "Production Item", _xlfn.XLOOKUP($A3745, 'Instrument Table'!$J:$J, 'Instrument Table'!$B:$B, $C3744), IF($B3745 = "Service Item", _xlfn.XLOOKUP($A3745, 'Instrument Table'!$I:$I, 'Instrument Table'!$B:$B, $C3744), _xlfn.XLOOKUP($A3745, 'Instrument Table'!$H:$H, 'Instrument Table'!$B:$B, $C3744)))</f>
        <v>Software</v>
      </c>
      <c r="D3745" s="1" t="str">
        <f>VLOOKUP($C3745, 'Instrument Table'!$B:$C, 2, FALSE)</f>
        <v>Other</v>
      </c>
      <c r="E3745" s="1">
        <f t="shared" si="348"/>
        <v>1</v>
      </c>
      <c r="F3745" s="1">
        <f>_xlfn.XLOOKUP($C3745, 'Instrument Table'!$B:$B, 'Instrument Table'!$A:$A, "")</f>
        <v>62</v>
      </c>
      <c r="G3745" s="1" t="str">
        <f>TEXT(IF($B3745 = "Retail Item", IF((ROW($A3745) - 4504 - _xlfn.XMATCH($C3745, $C$4506:$C$5005, 0, 1)) &lt;= VLOOKUP($C3745, 'Instrument Table'!$B:$D, 3, FALSE), ROW($A3745) - 4504 - _xlfn.XMATCH($C3745, $C$4506:$C$5005, 0, 1), 0), 0), "00")</f>
        <v>00</v>
      </c>
      <c r="H3745" s="1" t="str">
        <f t="shared" si="349"/>
        <v>039</v>
      </c>
      <c r="I3745" s="1" t="str">
        <f t="shared" si="350"/>
        <v>16200-039</v>
      </c>
      <c r="J3745" s="1" t="str">
        <f t="shared" si="351"/>
        <v>Software production item #039</v>
      </c>
      <c r="K3745" s="1" t="str">
        <f>IF(SUM(COUNTIFS(I:I, I3745)) &gt; 1, "DUPLICATE", "UNIQUE")</f>
        <v>UNIQUE</v>
      </c>
      <c r="L3745" s="18">
        <v>0</v>
      </c>
      <c r="M3745" s="28">
        <v>11</v>
      </c>
      <c r="N3745" s="6">
        <v>121</v>
      </c>
      <c r="O3745" s="30">
        <f t="shared" si="352"/>
        <v>0</v>
      </c>
      <c r="P3745" s="30">
        <f t="shared" si="353"/>
        <v>1331</v>
      </c>
      <c r="Q3745" s="1">
        <f>COUNTIFS($P:$P, "&gt;" &amp; $P3745) + 1</f>
        <v>3548</v>
      </c>
      <c r="R3745" s="63">
        <f>(COUNTIFS($P:$P, "&gt;" &amp; $P3745) + 1) / (COUNTA($I:$I) - 1)</f>
        <v>0.70960000000000001</v>
      </c>
      <c r="S3745" s="23">
        <f>SUMIFS($P:$P, $Q:$Q, "&lt;" &amp; $Q3745)</f>
        <v>186003417</v>
      </c>
    </row>
    <row r="3746" spans="1:19" x14ac:dyDescent="0.25">
      <c r="A3746" s="1">
        <v>3741</v>
      </c>
      <c r="B3746" s="1" t="s">
        <v>2</v>
      </c>
      <c r="C3746" s="1" t="str">
        <f>IF($B3746 = "Production Item", _xlfn.XLOOKUP($A3746, 'Instrument Table'!$J:$J, 'Instrument Table'!$B:$B, $C3745), IF($B3746 = "Service Item", _xlfn.XLOOKUP($A3746, 'Instrument Table'!$I:$I, 'Instrument Table'!$B:$B, $C3745), _xlfn.XLOOKUP($A3746, 'Instrument Table'!$H:$H, 'Instrument Table'!$B:$B, $C3745)))</f>
        <v>Software</v>
      </c>
      <c r="D3746" s="1" t="str">
        <f>VLOOKUP($C3746, 'Instrument Table'!$B:$C, 2, FALSE)</f>
        <v>Other</v>
      </c>
      <c r="E3746" s="1">
        <f t="shared" si="348"/>
        <v>1</v>
      </c>
      <c r="F3746" s="1">
        <f>_xlfn.XLOOKUP($C3746, 'Instrument Table'!$B:$B, 'Instrument Table'!$A:$A, "")</f>
        <v>62</v>
      </c>
      <c r="G3746" s="1" t="str">
        <f>TEXT(IF($B3746 = "Retail Item", IF((ROW($A3746) - 4504 - _xlfn.XMATCH($C3746, $C$4506:$C$5005, 0, 1)) &lt;= VLOOKUP($C3746, 'Instrument Table'!$B:$D, 3, FALSE), ROW($A3746) - 4504 - _xlfn.XMATCH($C3746, $C$4506:$C$5005, 0, 1), 0), 0), "00")</f>
        <v>00</v>
      </c>
      <c r="H3746" s="1" t="str">
        <f t="shared" si="349"/>
        <v>040</v>
      </c>
      <c r="I3746" s="1" t="str">
        <f t="shared" si="350"/>
        <v>16200-040</v>
      </c>
      <c r="J3746" s="1" t="str">
        <f t="shared" si="351"/>
        <v>Software production item #040</v>
      </c>
      <c r="K3746" s="1" t="str">
        <f>IF(SUM(COUNTIFS(I:I, I3746)) &gt; 1, "DUPLICATE", "UNIQUE")</f>
        <v>UNIQUE</v>
      </c>
      <c r="L3746" s="18">
        <v>1</v>
      </c>
      <c r="M3746" s="28">
        <v>58</v>
      </c>
      <c r="N3746" s="6">
        <v>9</v>
      </c>
      <c r="O3746" s="30">
        <f t="shared" si="352"/>
        <v>58</v>
      </c>
      <c r="P3746" s="30">
        <f t="shared" si="353"/>
        <v>522</v>
      </c>
      <c r="Q3746" s="1">
        <f>COUNTIFS($P:$P, "&gt;" &amp; $P3746) + 1</f>
        <v>4002</v>
      </c>
      <c r="R3746" s="63">
        <f>(COUNTIFS($P:$P, "&gt;" &amp; $P3746) + 1) / (COUNTA($I:$I) - 1)</f>
        <v>0.8004</v>
      </c>
      <c r="S3746" s="23">
        <f>SUMIFS($P:$P, $Q:$Q, "&lt;" &amp; $Q3746)</f>
        <v>186399352</v>
      </c>
    </row>
    <row r="3747" spans="1:19" x14ac:dyDescent="0.25">
      <c r="A3747" s="1">
        <v>3742</v>
      </c>
      <c r="B3747" s="1" t="s">
        <v>2</v>
      </c>
      <c r="C3747" s="1" t="str">
        <f>IF($B3747 = "Production Item", _xlfn.XLOOKUP($A3747, 'Instrument Table'!$J:$J, 'Instrument Table'!$B:$B, $C3746), IF($B3747 = "Service Item", _xlfn.XLOOKUP($A3747, 'Instrument Table'!$I:$I, 'Instrument Table'!$B:$B, $C3746), _xlfn.XLOOKUP($A3747, 'Instrument Table'!$H:$H, 'Instrument Table'!$B:$B, $C3746)))</f>
        <v>Software</v>
      </c>
      <c r="D3747" s="1" t="str">
        <f>VLOOKUP($C3747, 'Instrument Table'!$B:$C, 2, FALSE)</f>
        <v>Other</v>
      </c>
      <c r="E3747" s="1">
        <f t="shared" si="348"/>
        <v>1</v>
      </c>
      <c r="F3747" s="1">
        <f>_xlfn.XLOOKUP($C3747, 'Instrument Table'!$B:$B, 'Instrument Table'!$A:$A, "")</f>
        <v>62</v>
      </c>
      <c r="G3747" s="1" t="str">
        <f>TEXT(IF($B3747 = "Retail Item", IF((ROW($A3747) - 4504 - _xlfn.XMATCH($C3747, $C$4506:$C$5005, 0, 1)) &lt;= VLOOKUP($C3747, 'Instrument Table'!$B:$D, 3, FALSE), ROW($A3747) - 4504 - _xlfn.XMATCH($C3747, $C$4506:$C$5005, 0, 1), 0), 0), "00")</f>
        <v>00</v>
      </c>
      <c r="H3747" s="1" t="str">
        <f t="shared" si="349"/>
        <v>041</v>
      </c>
      <c r="I3747" s="1" t="str">
        <f t="shared" si="350"/>
        <v>16200-041</v>
      </c>
      <c r="J3747" s="1" t="str">
        <f t="shared" si="351"/>
        <v>Software production item #041</v>
      </c>
      <c r="K3747" s="1" t="str">
        <f>IF(SUM(COUNTIFS(I:I, I3747)) &gt; 1, "DUPLICATE", "UNIQUE")</f>
        <v>UNIQUE</v>
      </c>
      <c r="L3747" s="18">
        <v>1</v>
      </c>
      <c r="M3747" s="28">
        <v>79</v>
      </c>
      <c r="N3747" s="6">
        <v>36</v>
      </c>
      <c r="O3747" s="30">
        <f t="shared" si="352"/>
        <v>79</v>
      </c>
      <c r="P3747" s="30">
        <f t="shared" si="353"/>
        <v>2844</v>
      </c>
      <c r="Q3747" s="1">
        <f>COUNTIFS($P:$P, "&gt;" &amp; $P3747) + 1</f>
        <v>2950</v>
      </c>
      <c r="R3747" s="63">
        <f>(COUNTIFS($P:$P, "&gt;" &amp; $P3747) + 1) / (COUNTA($I:$I) - 1)</f>
        <v>0.59</v>
      </c>
      <c r="S3747" s="23">
        <f>SUMIFS($P:$P, $Q:$Q, "&lt;" &amp; $Q3747)</f>
        <v>184795087</v>
      </c>
    </row>
    <row r="3748" spans="1:19" x14ac:dyDescent="0.25">
      <c r="A3748" s="1">
        <v>3743</v>
      </c>
      <c r="B3748" s="1" t="s">
        <v>2</v>
      </c>
      <c r="C3748" s="1" t="str">
        <f>IF($B3748 = "Production Item", _xlfn.XLOOKUP($A3748, 'Instrument Table'!$J:$J, 'Instrument Table'!$B:$B, $C3747), IF($B3748 = "Service Item", _xlfn.XLOOKUP($A3748, 'Instrument Table'!$I:$I, 'Instrument Table'!$B:$B, $C3747), _xlfn.XLOOKUP($A3748, 'Instrument Table'!$H:$H, 'Instrument Table'!$B:$B, $C3747)))</f>
        <v>Software</v>
      </c>
      <c r="D3748" s="1" t="str">
        <f>VLOOKUP($C3748, 'Instrument Table'!$B:$C, 2, FALSE)</f>
        <v>Other</v>
      </c>
      <c r="E3748" s="1">
        <f t="shared" si="348"/>
        <v>1</v>
      </c>
      <c r="F3748" s="1">
        <f>_xlfn.XLOOKUP($C3748, 'Instrument Table'!$B:$B, 'Instrument Table'!$A:$A, "")</f>
        <v>62</v>
      </c>
      <c r="G3748" s="1" t="str">
        <f>TEXT(IF($B3748 = "Retail Item", IF((ROW($A3748) - 4504 - _xlfn.XMATCH($C3748, $C$4506:$C$5005, 0, 1)) &lt;= VLOOKUP($C3748, 'Instrument Table'!$B:$D, 3, FALSE), ROW($A3748) - 4504 - _xlfn.XMATCH($C3748, $C$4506:$C$5005, 0, 1), 0), 0), "00")</f>
        <v>00</v>
      </c>
      <c r="H3748" s="1" t="str">
        <f t="shared" si="349"/>
        <v>042</v>
      </c>
      <c r="I3748" s="1" t="str">
        <f t="shared" si="350"/>
        <v>16200-042</v>
      </c>
      <c r="J3748" s="1" t="str">
        <f t="shared" si="351"/>
        <v>Software production item #042</v>
      </c>
      <c r="K3748" s="1" t="str">
        <f>IF(SUM(COUNTIFS(I:I, I3748)) &gt; 1, "DUPLICATE", "UNIQUE")</f>
        <v>UNIQUE</v>
      </c>
      <c r="L3748" s="18">
        <v>1</v>
      </c>
      <c r="M3748" s="28">
        <v>89</v>
      </c>
      <c r="N3748" s="6">
        <v>1</v>
      </c>
      <c r="O3748" s="30">
        <f t="shared" si="352"/>
        <v>89</v>
      </c>
      <c r="P3748" s="30">
        <f t="shared" si="353"/>
        <v>89</v>
      </c>
      <c r="Q3748" s="1">
        <f>COUNTIFS($P:$P, "&gt;" &amp; $P3748) + 1</f>
        <v>4482</v>
      </c>
      <c r="R3748" s="63">
        <f>(COUNTIFS($P:$P, "&gt;" &amp; $P3748) + 1) / (COUNTA($I:$I) - 1)</f>
        <v>0.89639999999999997</v>
      </c>
      <c r="S3748" s="23">
        <f>SUMIFS($P:$P, $Q:$Q, "&lt;" &amp; $Q3748)</f>
        <v>186535298</v>
      </c>
    </row>
    <row r="3749" spans="1:19" x14ac:dyDescent="0.25">
      <c r="A3749" s="1">
        <v>3744</v>
      </c>
      <c r="B3749" s="1" t="s">
        <v>2</v>
      </c>
      <c r="C3749" s="1" t="str">
        <f>IF($B3749 = "Production Item", _xlfn.XLOOKUP($A3749, 'Instrument Table'!$J:$J, 'Instrument Table'!$B:$B, $C3748), IF($B3749 = "Service Item", _xlfn.XLOOKUP($A3749, 'Instrument Table'!$I:$I, 'Instrument Table'!$B:$B, $C3748), _xlfn.XLOOKUP($A3749, 'Instrument Table'!$H:$H, 'Instrument Table'!$B:$B, $C3748)))</f>
        <v>Software</v>
      </c>
      <c r="D3749" s="1" t="str">
        <f>VLOOKUP($C3749, 'Instrument Table'!$B:$C, 2, FALSE)</f>
        <v>Other</v>
      </c>
      <c r="E3749" s="1">
        <f t="shared" si="348"/>
        <v>1</v>
      </c>
      <c r="F3749" s="1">
        <f>_xlfn.XLOOKUP($C3749, 'Instrument Table'!$B:$B, 'Instrument Table'!$A:$A, "")</f>
        <v>62</v>
      </c>
      <c r="G3749" s="1" t="str">
        <f>TEXT(IF($B3749 = "Retail Item", IF((ROW($A3749) - 4504 - _xlfn.XMATCH($C3749, $C$4506:$C$5005, 0, 1)) &lt;= VLOOKUP($C3749, 'Instrument Table'!$B:$D, 3, FALSE), ROW($A3749) - 4504 - _xlfn.XMATCH($C3749, $C$4506:$C$5005, 0, 1), 0), 0), "00")</f>
        <v>00</v>
      </c>
      <c r="H3749" s="1" t="str">
        <f t="shared" si="349"/>
        <v>043</v>
      </c>
      <c r="I3749" s="1" t="str">
        <f t="shared" si="350"/>
        <v>16200-043</v>
      </c>
      <c r="J3749" s="1" t="str">
        <f t="shared" si="351"/>
        <v>Software production item #043</v>
      </c>
      <c r="K3749" s="1" t="str">
        <f>IF(SUM(COUNTIFS(I:I, I3749)) &gt; 1, "DUPLICATE", "UNIQUE")</f>
        <v>UNIQUE</v>
      </c>
      <c r="L3749" s="18">
        <v>1</v>
      </c>
      <c r="M3749" s="28">
        <v>63</v>
      </c>
      <c r="N3749" s="6">
        <v>289</v>
      </c>
      <c r="O3749" s="30">
        <f t="shared" si="352"/>
        <v>63</v>
      </c>
      <c r="P3749" s="30">
        <f t="shared" si="353"/>
        <v>18207</v>
      </c>
      <c r="Q3749" s="1">
        <f>COUNTIFS($P:$P, "&gt;" &amp; $P3749) + 1</f>
        <v>1154</v>
      </c>
      <c r="R3749" s="63">
        <f>(COUNTIFS($P:$P, "&gt;" &amp; $P3749) + 1) / (COUNTA($I:$I) - 1)</f>
        <v>0.23080000000000001</v>
      </c>
      <c r="S3749" s="23">
        <f>SUMIFS($P:$P, $Q:$Q, "&lt;" &amp; $Q3749)</f>
        <v>169509450</v>
      </c>
    </row>
    <row r="3750" spans="1:19" x14ac:dyDescent="0.25">
      <c r="A3750" s="1">
        <v>3745</v>
      </c>
      <c r="B3750" s="1" t="s">
        <v>2</v>
      </c>
      <c r="C3750" s="1" t="str">
        <f>IF($B3750 = "Production Item", _xlfn.XLOOKUP($A3750, 'Instrument Table'!$J:$J, 'Instrument Table'!$B:$B, $C3749), IF($B3750 = "Service Item", _xlfn.XLOOKUP($A3750, 'Instrument Table'!$I:$I, 'Instrument Table'!$B:$B, $C3749), _xlfn.XLOOKUP($A3750, 'Instrument Table'!$H:$H, 'Instrument Table'!$B:$B, $C3749)))</f>
        <v>Software</v>
      </c>
      <c r="D3750" s="1" t="str">
        <f>VLOOKUP($C3750, 'Instrument Table'!$B:$C, 2, FALSE)</f>
        <v>Other</v>
      </c>
      <c r="E3750" s="1">
        <f t="shared" si="348"/>
        <v>1</v>
      </c>
      <c r="F3750" s="1">
        <f>_xlfn.XLOOKUP($C3750, 'Instrument Table'!$B:$B, 'Instrument Table'!$A:$A, "")</f>
        <v>62</v>
      </c>
      <c r="G3750" s="1" t="str">
        <f>TEXT(IF($B3750 = "Retail Item", IF((ROW($A3750) - 4504 - _xlfn.XMATCH($C3750, $C$4506:$C$5005, 0, 1)) &lt;= VLOOKUP($C3750, 'Instrument Table'!$B:$D, 3, FALSE), ROW($A3750) - 4504 - _xlfn.XMATCH($C3750, $C$4506:$C$5005, 0, 1), 0), 0), "00")</f>
        <v>00</v>
      </c>
      <c r="H3750" s="1" t="str">
        <f t="shared" si="349"/>
        <v>044</v>
      </c>
      <c r="I3750" s="1" t="str">
        <f t="shared" si="350"/>
        <v>16200-044</v>
      </c>
      <c r="J3750" s="1" t="str">
        <f t="shared" si="351"/>
        <v>Software production item #044</v>
      </c>
      <c r="K3750" s="1" t="str">
        <f>IF(SUM(COUNTIFS(I:I, I3750)) &gt; 1, "DUPLICATE", "UNIQUE")</f>
        <v>UNIQUE</v>
      </c>
      <c r="L3750" s="18">
        <v>0</v>
      </c>
      <c r="M3750" s="28">
        <v>69</v>
      </c>
      <c r="N3750" s="6">
        <v>49</v>
      </c>
      <c r="O3750" s="30">
        <f t="shared" si="352"/>
        <v>0</v>
      </c>
      <c r="P3750" s="30">
        <f t="shared" si="353"/>
        <v>3381</v>
      </c>
      <c r="Q3750" s="1">
        <f>COUNTIFS($P:$P, "&gt;" &amp; $P3750) + 1</f>
        <v>2810</v>
      </c>
      <c r="R3750" s="63">
        <f>(COUNTIFS($P:$P, "&gt;" &amp; $P3750) + 1) / (COUNTA($I:$I) - 1)</f>
        <v>0.56200000000000006</v>
      </c>
      <c r="S3750" s="23">
        <f>SUMIFS($P:$P, $Q:$Q, "&lt;" &amp; $Q3750)</f>
        <v>184359851</v>
      </c>
    </row>
    <row r="3751" spans="1:19" x14ac:dyDescent="0.25">
      <c r="A3751" s="1">
        <v>3746</v>
      </c>
      <c r="B3751" s="1" t="s">
        <v>2</v>
      </c>
      <c r="C3751" s="1" t="str">
        <f>IF($B3751 = "Production Item", _xlfn.XLOOKUP($A3751, 'Instrument Table'!$J:$J, 'Instrument Table'!$B:$B, $C3750), IF($B3751 = "Service Item", _xlfn.XLOOKUP($A3751, 'Instrument Table'!$I:$I, 'Instrument Table'!$B:$B, $C3750), _xlfn.XLOOKUP($A3751, 'Instrument Table'!$H:$H, 'Instrument Table'!$B:$B, $C3750)))</f>
        <v>Software</v>
      </c>
      <c r="D3751" s="1" t="str">
        <f>VLOOKUP($C3751, 'Instrument Table'!$B:$C, 2, FALSE)</f>
        <v>Other</v>
      </c>
      <c r="E3751" s="1">
        <f t="shared" si="348"/>
        <v>1</v>
      </c>
      <c r="F3751" s="1">
        <f>_xlfn.XLOOKUP($C3751, 'Instrument Table'!$B:$B, 'Instrument Table'!$A:$A, "")</f>
        <v>62</v>
      </c>
      <c r="G3751" s="1" t="str">
        <f>TEXT(IF($B3751 = "Retail Item", IF((ROW($A3751) - 4504 - _xlfn.XMATCH($C3751, $C$4506:$C$5005, 0, 1)) &lt;= VLOOKUP($C3751, 'Instrument Table'!$B:$D, 3, FALSE), ROW($A3751) - 4504 - _xlfn.XMATCH($C3751, $C$4506:$C$5005, 0, 1), 0), 0), "00")</f>
        <v>00</v>
      </c>
      <c r="H3751" s="1" t="str">
        <f t="shared" si="349"/>
        <v>045</v>
      </c>
      <c r="I3751" s="1" t="str">
        <f t="shared" si="350"/>
        <v>16200-045</v>
      </c>
      <c r="J3751" s="1" t="str">
        <f t="shared" si="351"/>
        <v>Software production item #045</v>
      </c>
      <c r="K3751" s="1" t="str">
        <f>IF(SUM(COUNTIFS(I:I, I3751)) &gt; 1, "DUPLICATE", "UNIQUE")</f>
        <v>UNIQUE</v>
      </c>
      <c r="L3751" s="18">
        <v>8</v>
      </c>
      <c r="M3751" s="28">
        <v>33</v>
      </c>
      <c r="N3751" s="6">
        <v>9</v>
      </c>
      <c r="O3751" s="30">
        <f t="shared" si="352"/>
        <v>264</v>
      </c>
      <c r="P3751" s="30">
        <f t="shared" si="353"/>
        <v>297</v>
      </c>
      <c r="Q3751" s="1">
        <f>COUNTIFS($P:$P, "&gt;" &amp; $P3751) + 1</f>
        <v>4221</v>
      </c>
      <c r="R3751" s="63">
        <f>(COUNTIFS($P:$P, "&gt;" &amp; $P3751) + 1) / (COUNTA($I:$I) - 1)</f>
        <v>0.84419999999999995</v>
      </c>
      <c r="S3751" s="23">
        <f>SUMIFS($P:$P, $Q:$Q, "&lt;" &amp; $Q3751)</f>
        <v>186486827</v>
      </c>
    </row>
    <row r="3752" spans="1:19" x14ac:dyDescent="0.25">
      <c r="A3752" s="1">
        <v>3747</v>
      </c>
      <c r="B3752" s="1" t="s">
        <v>2</v>
      </c>
      <c r="C3752" s="1" t="str">
        <f>IF($B3752 = "Production Item", _xlfn.XLOOKUP($A3752, 'Instrument Table'!$J:$J, 'Instrument Table'!$B:$B, $C3751), IF($B3752 = "Service Item", _xlfn.XLOOKUP($A3752, 'Instrument Table'!$I:$I, 'Instrument Table'!$B:$B, $C3751), _xlfn.XLOOKUP($A3752, 'Instrument Table'!$H:$H, 'Instrument Table'!$B:$B, $C3751)))</f>
        <v>Software</v>
      </c>
      <c r="D3752" s="1" t="str">
        <f>VLOOKUP($C3752, 'Instrument Table'!$B:$C, 2, FALSE)</f>
        <v>Other</v>
      </c>
      <c r="E3752" s="1">
        <f t="shared" si="348"/>
        <v>1</v>
      </c>
      <c r="F3752" s="1">
        <f>_xlfn.XLOOKUP($C3752, 'Instrument Table'!$B:$B, 'Instrument Table'!$A:$A, "")</f>
        <v>62</v>
      </c>
      <c r="G3752" s="1" t="str">
        <f>TEXT(IF($B3752 = "Retail Item", IF((ROW($A3752) - 4504 - _xlfn.XMATCH($C3752, $C$4506:$C$5005, 0, 1)) &lt;= VLOOKUP($C3752, 'Instrument Table'!$B:$D, 3, FALSE), ROW($A3752) - 4504 - _xlfn.XMATCH($C3752, $C$4506:$C$5005, 0, 1), 0), 0), "00")</f>
        <v>00</v>
      </c>
      <c r="H3752" s="1" t="str">
        <f t="shared" si="349"/>
        <v>046</v>
      </c>
      <c r="I3752" s="1" t="str">
        <f t="shared" si="350"/>
        <v>16200-046</v>
      </c>
      <c r="J3752" s="1" t="str">
        <f t="shared" si="351"/>
        <v>Software production item #046</v>
      </c>
      <c r="K3752" s="1" t="str">
        <f>IF(SUM(COUNTIFS(I:I, I3752)) &gt; 1, "DUPLICATE", "UNIQUE")</f>
        <v>UNIQUE</v>
      </c>
      <c r="L3752" s="18">
        <v>1</v>
      </c>
      <c r="M3752" s="28">
        <v>36</v>
      </c>
      <c r="N3752" s="6">
        <v>196</v>
      </c>
      <c r="O3752" s="30">
        <f t="shared" si="352"/>
        <v>36</v>
      </c>
      <c r="P3752" s="30">
        <f t="shared" si="353"/>
        <v>7056</v>
      </c>
      <c r="Q3752" s="1">
        <f>COUNTIFS($P:$P, "&gt;" &amp; $P3752) + 1</f>
        <v>2125</v>
      </c>
      <c r="R3752" s="63">
        <f>(COUNTIFS($P:$P, "&gt;" &amp; $P3752) + 1) / (COUNTA($I:$I) - 1)</f>
        <v>0.42499999999999999</v>
      </c>
      <c r="S3752" s="23">
        <f>SUMIFS($P:$P, $Q:$Q, "&lt;" &amp; $Q3752)</f>
        <v>180938988</v>
      </c>
    </row>
    <row r="3753" spans="1:19" x14ac:dyDescent="0.25">
      <c r="A3753" s="1">
        <v>3748</v>
      </c>
      <c r="B3753" s="1" t="s">
        <v>2</v>
      </c>
      <c r="C3753" s="1" t="str">
        <f>IF($B3753 = "Production Item", _xlfn.XLOOKUP($A3753, 'Instrument Table'!$J:$J, 'Instrument Table'!$B:$B, $C3752), IF($B3753 = "Service Item", _xlfn.XLOOKUP($A3753, 'Instrument Table'!$I:$I, 'Instrument Table'!$B:$B, $C3752), _xlfn.XLOOKUP($A3753, 'Instrument Table'!$H:$H, 'Instrument Table'!$B:$B, $C3752)))</f>
        <v>Software</v>
      </c>
      <c r="D3753" s="1" t="str">
        <f>VLOOKUP($C3753, 'Instrument Table'!$B:$C, 2, FALSE)</f>
        <v>Other</v>
      </c>
      <c r="E3753" s="1">
        <f t="shared" si="348"/>
        <v>1</v>
      </c>
      <c r="F3753" s="1">
        <f>_xlfn.XLOOKUP($C3753, 'Instrument Table'!$B:$B, 'Instrument Table'!$A:$A, "")</f>
        <v>62</v>
      </c>
      <c r="G3753" s="1" t="str">
        <f>TEXT(IF($B3753 = "Retail Item", IF((ROW($A3753) - 4504 - _xlfn.XMATCH($C3753, $C$4506:$C$5005, 0, 1)) &lt;= VLOOKUP($C3753, 'Instrument Table'!$B:$D, 3, FALSE), ROW($A3753) - 4504 - _xlfn.XMATCH($C3753, $C$4506:$C$5005, 0, 1), 0), 0), "00")</f>
        <v>00</v>
      </c>
      <c r="H3753" s="1" t="str">
        <f t="shared" si="349"/>
        <v>047</v>
      </c>
      <c r="I3753" s="1" t="str">
        <f t="shared" si="350"/>
        <v>16200-047</v>
      </c>
      <c r="J3753" s="1" t="str">
        <f t="shared" si="351"/>
        <v>Software production item #047</v>
      </c>
      <c r="K3753" s="1" t="str">
        <f>IF(SUM(COUNTIFS(I:I, I3753)) &gt; 1, "DUPLICATE", "UNIQUE")</f>
        <v>UNIQUE</v>
      </c>
      <c r="L3753" s="18">
        <v>1</v>
      </c>
      <c r="M3753" s="28">
        <v>43</v>
      </c>
      <c r="N3753" s="6">
        <v>196</v>
      </c>
      <c r="O3753" s="30">
        <f t="shared" si="352"/>
        <v>43</v>
      </c>
      <c r="P3753" s="30">
        <f t="shared" si="353"/>
        <v>8428</v>
      </c>
      <c r="Q3753" s="1">
        <f>COUNTIFS($P:$P, "&gt;" &amp; $P3753) + 1</f>
        <v>1933</v>
      </c>
      <c r="R3753" s="63">
        <f>(COUNTIFS($P:$P, "&gt;" &amp; $P3753) + 1) / (COUNTA($I:$I) - 1)</f>
        <v>0.3866</v>
      </c>
      <c r="S3753" s="23">
        <f>SUMIFS($P:$P, $Q:$Q, "&lt;" &amp; $Q3753)</f>
        <v>179448605</v>
      </c>
    </row>
    <row r="3754" spans="1:19" x14ac:dyDescent="0.25">
      <c r="A3754" s="1">
        <v>3749</v>
      </c>
      <c r="B3754" s="1" t="s">
        <v>2</v>
      </c>
      <c r="C3754" s="1" t="str">
        <f>IF($B3754 = "Production Item", _xlfn.XLOOKUP($A3754, 'Instrument Table'!$J:$J, 'Instrument Table'!$B:$B, $C3753), IF($B3754 = "Service Item", _xlfn.XLOOKUP($A3754, 'Instrument Table'!$I:$I, 'Instrument Table'!$B:$B, $C3753), _xlfn.XLOOKUP($A3754, 'Instrument Table'!$H:$H, 'Instrument Table'!$B:$B, $C3753)))</f>
        <v>Software</v>
      </c>
      <c r="D3754" s="1" t="str">
        <f>VLOOKUP($C3754, 'Instrument Table'!$B:$C, 2, FALSE)</f>
        <v>Other</v>
      </c>
      <c r="E3754" s="1">
        <f t="shared" si="348"/>
        <v>1</v>
      </c>
      <c r="F3754" s="1">
        <f>_xlfn.XLOOKUP($C3754, 'Instrument Table'!$B:$B, 'Instrument Table'!$A:$A, "")</f>
        <v>62</v>
      </c>
      <c r="G3754" s="1" t="str">
        <f>TEXT(IF($B3754 = "Retail Item", IF((ROW($A3754) - 4504 - _xlfn.XMATCH($C3754, $C$4506:$C$5005, 0, 1)) &lt;= VLOOKUP($C3754, 'Instrument Table'!$B:$D, 3, FALSE), ROW($A3754) - 4504 - _xlfn.XMATCH($C3754, $C$4506:$C$5005, 0, 1), 0), 0), "00")</f>
        <v>00</v>
      </c>
      <c r="H3754" s="1" t="str">
        <f t="shared" si="349"/>
        <v>048</v>
      </c>
      <c r="I3754" s="1" t="str">
        <f t="shared" si="350"/>
        <v>16200-048</v>
      </c>
      <c r="J3754" s="1" t="str">
        <f t="shared" si="351"/>
        <v>Software production item #048</v>
      </c>
      <c r="K3754" s="1" t="str">
        <f>IF(SUM(COUNTIFS(I:I, I3754)) &gt; 1, "DUPLICATE", "UNIQUE")</f>
        <v>UNIQUE</v>
      </c>
      <c r="L3754" s="18">
        <v>0</v>
      </c>
      <c r="M3754" s="28">
        <v>58</v>
      </c>
      <c r="N3754" s="6">
        <v>9</v>
      </c>
      <c r="O3754" s="30">
        <f t="shared" si="352"/>
        <v>0</v>
      </c>
      <c r="P3754" s="30">
        <f t="shared" si="353"/>
        <v>522</v>
      </c>
      <c r="Q3754" s="1">
        <f>COUNTIFS($P:$P, "&gt;" &amp; $P3754) + 1</f>
        <v>4002</v>
      </c>
      <c r="R3754" s="63">
        <f>(COUNTIFS($P:$P, "&gt;" &amp; $P3754) + 1) / (COUNTA($I:$I) - 1)</f>
        <v>0.8004</v>
      </c>
      <c r="S3754" s="23">
        <f>SUMIFS($P:$P, $Q:$Q, "&lt;" &amp; $Q3754)</f>
        <v>186399352</v>
      </c>
    </row>
    <row r="3755" spans="1:19" x14ac:dyDescent="0.25">
      <c r="A3755" s="1">
        <v>3750</v>
      </c>
      <c r="B3755" s="1" t="s">
        <v>2</v>
      </c>
      <c r="C3755" s="1" t="str">
        <f>IF($B3755 = "Production Item", _xlfn.XLOOKUP($A3755, 'Instrument Table'!$J:$J, 'Instrument Table'!$B:$B, $C3754), IF($B3755 = "Service Item", _xlfn.XLOOKUP($A3755, 'Instrument Table'!$I:$I, 'Instrument Table'!$B:$B, $C3754), _xlfn.XLOOKUP($A3755, 'Instrument Table'!$H:$H, 'Instrument Table'!$B:$B, $C3754)))</f>
        <v>Software</v>
      </c>
      <c r="D3755" s="1" t="str">
        <f>VLOOKUP($C3755, 'Instrument Table'!$B:$C, 2, FALSE)</f>
        <v>Other</v>
      </c>
      <c r="E3755" s="1">
        <f t="shared" si="348"/>
        <v>1</v>
      </c>
      <c r="F3755" s="1">
        <f>_xlfn.XLOOKUP($C3755, 'Instrument Table'!$B:$B, 'Instrument Table'!$A:$A, "")</f>
        <v>62</v>
      </c>
      <c r="G3755" s="1" t="str">
        <f>TEXT(IF($B3755 = "Retail Item", IF((ROW($A3755) - 4504 - _xlfn.XMATCH($C3755, $C$4506:$C$5005, 0, 1)) &lt;= VLOOKUP($C3755, 'Instrument Table'!$B:$D, 3, FALSE), ROW($A3755) - 4504 - _xlfn.XMATCH($C3755, $C$4506:$C$5005, 0, 1), 0), 0), "00")</f>
        <v>00</v>
      </c>
      <c r="H3755" s="1" t="str">
        <f t="shared" si="349"/>
        <v>049</v>
      </c>
      <c r="I3755" s="1" t="str">
        <f t="shared" si="350"/>
        <v>16200-049</v>
      </c>
      <c r="J3755" s="1" t="str">
        <f t="shared" si="351"/>
        <v>Software production item #049</v>
      </c>
      <c r="K3755" s="1" t="str">
        <f>IF(SUM(COUNTIFS(I:I, I3755)) &gt; 1, "DUPLICATE", "UNIQUE")</f>
        <v>UNIQUE</v>
      </c>
      <c r="L3755" s="18">
        <v>0</v>
      </c>
      <c r="M3755" s="28">
        <v>13</v>
      </c>
      <c r="N3755" s="6">
        <v>25</v>
      </c>
      <c r="O3755" s="30">
        <f t="shared" si="352"/>
        <v>0</v>
      </c>
      <c r="P3755" s="30">
        <f t="shared" si="353"/>
        <v>325</v>
      </c>
      <c r="Q3755" s="1">
        <f>COUNTIFS($P:$P, "&gt;" &amp; $P3755) + 1</f>
        <v>4178</v>
      </c>
      <c r="R3755" s="63">
        <f>(COUNTIFS($P:$P, "&gt;" &amp; $P3755) + 1) / (COUNTA($I:$I) - 1)</f>
        <v>0.83560000000000001</v>
      </c>
      <c r="S3755" s="23">
        <f>SUMIFS($P:$P, $Q:$Q, "&lt;" &amp; $Q3755)</f>
        <v>186473300</v>
      </c>
    </row>
    <row r="3756" spans="1:19" x14ac:dyDescent="0.25">
      <c r="A3756" s="1">
        <v>3751</v>
      </c>
      <c r="B3756" s="1" t="s">
        <v>2</v>
      </c>
      <c r="C3756" s="1" t="str">
        <f>IF($B3756 = "Production Item", _xlfn.XLOOKUP($A3756, 'Instrument Table'!$J:$J, 'Instrument Table'!$B:$B, $C3755), IF($B3756 = "Service Item", _xlfn.XLOOKUP($A3756, 'Instrument Table'!$I:$I, 'Instrument Table'!$B:$B, $C3755), _xlfn.XLOOKUP($A3756, 'Instrument Table'!$H:$H, 'Instrument Table'!$B:$B, $C3755)))</f>
        <v>Instructional Material</v>
      </c>
      <c r="D3756" s="1" t="str">
        <f>VLOOKUP($C3756, 'Instrument Table'!$B:$C, 2, FALSE)</f>
        <v>Other</v>
      </c>
      <c r="E3756" s="1">
        <f t="shared" si="348"/>
        <v>1</v>
      </c>
      <c r="F3756" s="1">
        <f>_xlfn.XLOOKUP($C3756, 'Instrument Table'!$B:$B, 'Instrument Table'!$A:$A, "")</f>
        <v>63</v>
      </c>
      <c r="G3756" s="1" t="str">
        <f>TEXT(IF($B3756 = "Retail Item", IF((ROW($A3756) - 4504 - _xlfn.XMATCH($C3756, $C$4506:$C$5005, 0, 1)) &lt;= VLOOKUP($C3756, 'Instrument Table'!$B:$D, 3, FALSE), ROW($A3756) - 4504 - _xlfn.XMATCH($C3756, $C$4506:$C$5005, 0, 1), 0), 0), "00")</f>
        <v>00</v>
      </c>
      <c r="H3756" s="1" t="str">
        <f t="shared" si="349"/>
        <v>000</v>
      </c>
      <c r="I3756" s="1" t="str">
        <f t="shared" si="350"/>
        <v>16300-000</v>
      </c>
      <c r="J3756" s="1" t="str">
        <f t="shared" si="351"/>
        <v>Instructional material production item #000</v>
      </c>
      <c r="K3756" s="1" t="str">
        <f>IF(SUM(COUNTIFS(I:I, I3756)) &gt; 1, "DUPLICATE", "UNIQUE")</f>
        <v>UNIQUE</v>
      </c>
      <c r="L3756" s="18">
        <v>0</v>
      </c>
      <c r="M3756" s="28">
        <v>74</v>
      </c>
      <c r="N3756" s="6">
        <v>100</v>
      </c>
      <c r="O3756" s="30">
        <f t="shared" si="352"/>
        <v>0</v>
      </c>
      <c r="P3756" s="30">
        <f t="shared" si="353"/>
        <v>7400</v>
      </c>
      <c r="Q3756" s="1">
        <f>COUNTIFS($P:$P, "&gt;" &amp; $P3756) + 1</f>
        <v>2082</v>
      </c>
      <c r="R3756" s="63">
        <f>(COUNTIFS($P:$P, "&gt;" &amp; $P3756) + 1) / (COUNTA($I:$I) - 1)</f>
        <v>0.41639999999999999</v>
      </c>
      <c r="S3756" s="23">
        <f>SUMIFS($P:$P, $Q:$Q, "&lt;" &amp; $Q3756)</f>
        <v>180626249</v>
      </c>
    </row>
    <row r="3757" spans="1:19" x14ac:dyDescent="0.25">
      <c r="A3757" s="1">
        <v>3752</v>
      </c>
      <c r="B3757" s="1" t="s">
        <v>2</v>
      </c>
      <c r="C3757" s="1" t="str">
        <f>IF($B3757 = "Production Item", _xlfn.XLOOKUP($A3757, 'Instrument Table'!$J:$J, 'Instrument Table'!$B:$B, $C3756), IF($B3757 = "Service Item", _xlfn.XLOOKUP($A3757, 'Instrument Table'!$I:$I, 'Instrument Table'!$B:$B, $C3756), _xlfn.XLOOKUP($A3757, 'Instrument Table'!$H:$H, 'Instrument Table'!$B:$B, $C3756)))</f>
        <v>Instructional Material</v>
      </c>
      <c r="D3757" s="1" t="str">
        <f>VLOOKUP($C3757, 'Instrument Table'!$B:$C, 2, FALSE)</f>
        <v>Other</v>
      </c>
      <c r="E3757" s="1">
        <f t="shared" si="348"/>
        <v>1</v>
      </c>
      <c r="F3757" s="1">
        <f>_xlfn.XLOOKUP($C3757, 'Instrument Table'!$B:$B, 'Instrument Table'!$A:$A, "")</f>
        <v>63</v>
      </c>
      <c r="G3757" s="1" t="str">
        <f>TEXT(IF($B3757 = "Retail Item", IF((ROW($A3757) - 4504 - _xlfn.XMATCH($C3757, $C$4506:$C$5005, 0, 1)) &lt;= VLOOKUP($C3757, 'Instrument Table'!$B:$D, 3, FALSE), ROW($A3757) - 4504 - _xlfn.XMATCH($C3757, $C$4506:$C$5005, 0, 1), 0), 0), "00")</f>
        <v>00</v>
      </c>
      <c r="H3757" s="1" t="str">
        <f t="shared" si="349"/>
        <v>001</v>
      </c>
      <c r="I3757" s="1" t="str">
        <f t="shared" si="350"/>
        <v>16300-001</v>
      </c>
      <c r="J3757" s="1" t="str">
        <f t="shared" si="351"/>
        <v>Instructional material production item #001</v>
      </c>
      <c r="K3757" s="1" t="str">
        <f>IF(SUM(COUNTIFS(I:I, I3757)) &gt; 1, "DUPLICATE", "UNIQUE")</f>
        <v>UNIQUE</v>
      </c>
      <c r="L3757" s="18">
        <v>1</v>
      </c>
      <c r="M3757" s="28">
        <v>80</v>
      </c>
      <c r="N3757" s="6">
        <v>256</v>
      </c>
      <c r="O3757" s="30">
        <f t="shared" si="352"/>
        <v>80</v>
      </c>
      <c r="P3757" s="30">
        <f t="shared" si="353"/>
        <v>20480</v>
      </c>
      <c r="Q3757" s="1">
        <f>COUNTIFS($P:$P, "&gt;" &amp; $P3757) + 1</f>
        <v>1031</v>
      </c>
      <c r="R3757" s="63">
        <f>(COUNTIFS($P:$P, "&gt;" &amp; $P3757) + 1) / (COUNTA($I:$I) - 1)</f>
        <v>0.20619999999999999</v>
      </c>
      <c r="S3757" s="23">
        <f>SUMIFS($P:$P, $Q:$Q, "&lt;" &amp; $Q3757)</f>
        <v>167135566</v>
      </c>
    </row>
    <row r="3758" spans="1:19" x14ac:dyDescent="0.25">
      <c r="A3758" s="1">
        <v>3753</v>
      </c>
      <c r="B3758" s="1" t="s">
        <v>2</v>
      </c>
      <c r="C3758" s="1" t="str">
        <f>IF($B3758 = "Production Item", _xlfn.XLOOKUP($A3758, 'Instrument Table'!$J:$J, 'Instrument Table'!$B:$B, $C3757), IF($B3758 = "Service Item", _xlfn.XLOOKUP($A3758, 'Instrument Table'!$I:$I, 'Instrument Table'!$B:$B, $C3757), _xlfn.XLOOKUP($A3758, 'Instrument Table'!$H:$H, 'Instrument Table'!$B:$B, $C3757)))</f>
        <v>Instructional Material</v>
      </c>
      <c r="D3758" s="1" t="str">
        <f>VLOOKUP($C3758, 'Instrument Table'!$B:$C, 2, FALSE)</f>
        <v>Other</v>
      </c>
      <c r="E3758" s="1">
        <f t="shared" si="348"/>
        <v>1</v>
      </c>
      <c r="F3758" s="1">
        <f>_xlfn.XLOOKUP($C3758, 'Instrument Table'!$B:$B, 'Instrument Table'!$A:$A, "")</f>
        <v>63</v>
      </c>
      <c r="G3758" s="1" t="str">
        <f>TEXT(IF($B3758 = "Retail Item", IF((ROW($A3758) - 4504 - _xlfn.XMATCH($C3758, $C$4506:$C$5005, 0, 1)) &lt;= VLOOKUP($C3758, 'Instrument Table'!$B:$D, 3, FALSE), ROW($A3758) - 4504 - _xlfn.XMATCH($C3758, $C$4506:$C$5005, 0, 1), 0), 0), "00")</f>
        <v>00</v>
      </c>
      <c r="H3758" s="1" t="str">
        <f t="shared" si="349"/>
        <v>002</v>
      </c>
      <c r="I3758" s="1" t="str">
        <f t="shared" si="350"/>
        <v>16300-002</v>
      </c>
      <c r="J3758" s="1" t="str">
        <f t="shared" si="351"/>
        <v>Instructional material production item #002</v>
      </c>
      <c r="K3758" s="1" t="str">
        <f>IF(SUM(COUNTIFS(I:I, I3758)) &gt; 1, "DUPLICATE", "UNIQUE")</f>
        <v>UNIQUE</v>
      </c>
      <c r="L3758" s="18">
        <v>0</v>
      </c>
      <c r="M3758" s="28">
        <v>6</v>
      </c>
      <c r="N3758" s="6">
        <v>324</v>
      </c>
      <c r="O3758" s="30">
        <f t="shared" si="352"/>
        <v>0</v>
      </c>
      <c r="P3758" s="30">
        <f t="shared" si="353"/>
        <v>1944</v>
      </c>
      <c r="Q3758" s="1">
        <f>COUNTIFS($P:$P, "&gt;" &amp; $P3758) + 1</f>
        <v>3276</v>
      </c>
      <c r="R3758" s="63">
        <f>(COUNTIFS($P:$P, "&gt;" &amp; $P3758) + 1) / (COUNTA($I:$I) - 1)</f>
        <v>0.6552</v>
      </c>
      <c r="S3758" s="23">
        <f>SUMIFS($P:$P, $Q:$Q, "&lt;" &amp; $Q3758)</f>
        <v>185562800</v>
      </c>
    </row>
    <row r="3759" spans="1:19" x14ac:dyDescent="0.25">
      <c r="A3759" s="1">
        <v>3754</v>
      </c>
      <c r="B3759" s="1" t="s">
        <v>2</v>
      </c>
      <c r="C3759" s="1" t="str">
        <f>IF($B3759 = "Production Item", _xlfn.XLOOKUP($A3759, 'Instrument Table'!$J:$J, 'Instrument Table'!$B:$B, $C3758), IF($B3759 = "Service Item", _xlfn.XLOOKUP($A3759, 'Instrument Table'!$I:$I, 'Instrument Table'!$B:$B, $C3758), _xlfn.XLOOKUP($A3759, 'Instrument Table'!$H:$H, 'Instrument Table'!$B:$B, $C3758)))</f>
        <v>Instructional Material</v>
      </c>
      <c r="D3759" s="1" t="str">
        <f>VLOOKUP($C3759, 'Instrument Table'!$B:$C, 2, FALSE)</f>
        <v>Other</v>
      </c>
      <c r="E3759" s="1">
        <f t="shared" si="348"/>
        <v>1</v>
      </c>
      <c r="F3759" s="1">
        <f>_xlfn.XLOOKUP($C3759, 'Instrument Table'!$B:$B, 'Instrument Table'!$A:$A, "")</f>
        <v>63</v>
      </c>
      <c r="G3759" s="1" t="str">
        <f>TEXT(IF($B3759 = "Retail Item", IF((ROW($A3759) - 4504 - _xlfn.XMATCH($C3759, $C$4506:$C$5005, 0, 1)) &lt;= VLOOKUP($C3759, 'Instrument Table'!$B:$D, 3, FALSE), ROW($A3759) - 4504 - _xlfn.XMATCH($C3759, $C$4506:$C$5005, 0, 1), 0), 0), "00")</f>
        <v>00</v>
      </c>
      <c r="H3759" s="1" t="str">
        <f t="shared" si="349"/>
        <v>003</v>
      </c>
      <c r="I3759" s="1" t="str">
        <f t="shared" si="350"/>
        <v>16300-003</v>
      </c>
      <c r="J3759" s="1" t="str">
        <f t="shared" si="351"/>
        <v>Instructional material production item #003</v>
      </c>
      <c r="K3759" s="1" t="str">
        <f>IF(SUM(COUNTIFS(I:I, I3759)) &gt; 1, "DUPLICATE", "UNIQUE")</f>
        <v>UNIQUE</v>
      </c>
      <c r="L3759" s="18">
        <v>1</v>
      </c>
      <c r="M3759" s="28">
        <v>66</v>
      </c>
      <c r="N3759" s="6">
        <v>144</v>
      </c>
      <c r="O3759" s="30">
        <f t="shared" si="352"/>
        <v>66</v>
      </c>
      <c r="P3759" s="30">
        <f t="shared" si="353"/>
        <v>9504</v>
      </c>
      <c r="Q3759" s="1">
        <f>COUNTIFS($P:$P, "&gt;" &amp; $P3759) + 1</f>
        <v>1815</v>
      </c>
      <c r="R3759" s="63">
        <f>(COUNTIFS($P:$P, "&gt;" &amp; $P3759) + 1) / (COUNTA($I:$I) - 1)</f>
        <v>0.36299999999999999</v>
      </c>
      <c r="S3759" s="23">
        <f>SUMIFS($P:$P, $Q:$Q, "&lt;" &amp; $Q3759)</f>
        <v>178385385</v>
      </c>
    </row>
    <row r="3760" spans="1:19" x14ac:dyDescent="0.25">
      <c r="A3760" s="1">
        <v>3755</v>
      </c>
      <c r="B3760" s="1" t="s">
        <v>2</v>
      </c>
      <c r="C3760" s="1" t="str">
        <f>IF($B3760 = "Production Item", _xlfn.XLOOKUP($A3760, 'Instrument Table'!$J:$J, 'Instrument Table'!$B:$B, $C3759), IF($B3760 = "Service Item", _xlfn.XLOOKUP($A3760, 'Instrument Table'!$I:$I, 'Instrument Table'!$B:$B, $C3759), _xlfn.XLOOKUP($A3760, 'Instrument Table'!$H:$H, 'Instrument Table'!$B:$B, $C3759)))</f>
        <v>Instructional Material</v>
      </c>
      <c r="D3760" s="1" t="str">
        <f>VLOOKUP($C3760, 'Instrument Table'!$B:$C, 2, FALSE)</f>
        <v>Other</v>
      </c>
      <c r="E3760" s="1">
        <f t="shared" si="348"/>
        <v>1</v>
      </c>
      <c r="F3760" s="1">
        <f>_xlfn.XLOOKUP($C3760, 'Instrument Table'!$B:$B, 'Instrument Table'!$A:$A, "")</f>
        <v>63</v>
      </c>
      <c r="G3760" s="1" t="str">
        <f>TEXT(IF($B3760 = "Retail Item", IF((ROW($A3760) - 4504 - _xlfn.XMATCH($C3760, $C$4506:$C$5005, 0, 1)) &lt;= VLOOKUP($C3760, 'Instrument Table'!$B:$D, 3, FALSE), ROW($A3760) - 4504 - _xlfn.XMATCH($C3760, $C$4506:$C$5005, 0, 1), 0), 0), "00")</f>
        <v>00</v>
      </c>
      <c r="H3760" s="1" t="str">
        <f t="shared" si="349"/>
        <v>004</v>
      </c>
      <c r="I3760" s="1" t="str">
        <f t="shared" si="350"/>
        <v>16300-004</v>
      </c>
      <c r="J3760" s="1" t="str">
        <f t="shared" si="351"/>
        <v>Instructional material production item #004</v>
      </c>
      <c r="K3760" s="1" t="str">
        <f>IF(SUM(COUNTIFS(I:I, I3760)) &gt; 1, "DUPLICATE", "UNIQUE")</f>
        <v>UNIQUE</v>
      </c>
      <c r="L3760" s="18">
        <v>1</v>
      </c>
      <c r="M3760" s="28">
        <v>81</v>
      </c>
      <c r="N3760" s="6">
        <v>36</v>
      </c>
      <c r="O3760" s="30">
        <f t="shared" si="352"/>
        <v>81</v>
      </c>
      <c r="P3760" s="30">
        <f t="shared" si="353"/>
        <v>2916</v>
      </c>
      <c r="Q3760" s="1">
        <f>COUNTIFS($P:$P, "&gt;" &amp; $P3760) + 1</f>
        <v>2925</v>
      </c>
      <c r="R3760" s="63">
        <f>(COUNTIFS($P:$P, "&gt;" &amp; $P3760) + 1) / (COUNTA($I:$I) - 1)</f>
        <v>0.58499999999999996</v>
      </c>
      <c r="S3760" s="23">
        <f>SUMIFS($P:$P, $Q:$Q, "&lt;" &amp; $Q3760)</f>
        <v>184722737</v>
      </c>
    </row>
    <row r="3761" spans="1:19" x14ac:dyDescent="0.25">
      <c r="A3761" s="1">
        <v>3756</v>
      </c>
      <c r="B3761" s="1" t="s">
        <v>2</v>
      </c>
      <c r="C3761" s="1" t="str">
        <f>IF($B3761 = "Production Item", _xlfn.XLOOKUP($A3761, 'Instrument Table'!$J:$J, 'Instrument Table'!$B:$B, $C3760), IF($B3761 = "Service Item", _xlfn.XLOOKUP($A3761, 'Instrument Table'!$I:$I, 'Instrument Table'!$B:$B, $C3760), _xlfn.XLOOKUP($A3761, 'Instrument Table'!$H:$H, 'Instrument Table'!$B:$B, $C3760)))</f>
        <v>Instructional Material</v>
      </c>
      <c r="D3761" s="1" t="str">
        <f>VLOOKUP($C3761, 'Instrument Table'!$B:$C, 2, FALSE)</f>
        <v>Other</v>
      </c>
      <c r="E3761" s="1">
        <f t="shared" si="348"/>
        <v>1</v>
      </c>
      <c r="F3761" s="1">
        <f>_xlfn.XLOOKUP($C3761, 'Instrument Table'!$B:$B, 'Instrument Table'!$A:$A, "")</f>
        <v>63</v>
      </c>
      <c r="G3761" s="1" t="str">
        <f>TEXT(IF($B3761 = "Retail Item", IF((ROW($A3761) - 4504 - _xlfn.XMATCH($C3761, $C$4506:$C$5005, 0, 1)) &lt;= VLOOKUP($C3761, 'Instrument Table'!$B:$D, 3, FALSE), ROW($A3761) - 4504 - _xlfn.XMATCH($C3761, $C$4506:$C$5005, 0, 1), 0), 0), "00")</f>
        <v>00</v>
      </c>
      <c r="H3761" s="1" t="str">
        <f t="shared" si="349"/>
        <v>005</v>
      </c>
      <c r="I3761" s="1" t="str">
        <f t="shared" si="350"/>
        <v>16300-005</v>
      </c>
      <c r="J3761" s="1" t="str">
        <f t="shared" si="351"/>
        <v>Instructional material production item #005</v>
      </c>
      <c r="K3761" s="1" t="str">
        <f>IF(SUM(COUNTIFS(I:I, I3761)) &gt; 1, "DUPLICATE", "UNIQUE")</f>
        <v>UNIQUE</v>
      </c>
      <c r="L3761" s="18">
        <v>0</v>
      </c>
      <c r="M3761" s="28">
        <v>89</v>
      </c>
      <c r="N3761" s="6">
        <v>9</v>
      </c>
      <c r="O3761" s="30">
        <f t="shared" si="352"/>
        <v>0</v>
      </c>
      <c r="P3761" s="30">
        <f t="shared" si="353"/>
        <v>801</v>
      </c>
      <c r="Q3761" s="1">
        <f>COUNTIFS($P:$P, "&gt;" &amp; $P3761) + 1</f>
        <v>3788</v>
      </c>
      <c r="R3761" s="63">
        <f>(COUNTIFS($P:$P, "&gt;" &amp; $P3761) + 1) / (COUNTA($I:$I) - 1)</f>
        <v>0.75760000000000005</v>
      </c>
      <c r="S3761" s="23">
        <f>SUMIFS($P:$P, $Q:$Q, "&lt;" &amp; $Q3761)</f>
        <v>186256080</v>
      </c>
    </row>
    <row r="3762" spans="1:19" x14ac:dyDescent="0.25">
      <c r="A3762" s="1">
        <v>3757</v>
      </c>
      <c r="B3762" s="1" t="s">
        <v>2</v>
      </c>
      <c r="C3762" s="1" t="str">
        <f>IF($B3762 = "Production Item", _xlfn.XLOOKUP($A3762, 'Instrument Table'!$J:$J, 'Instrument Table'!$B:$B, $C3761), IF($B3762 = "Service Item", _xlfn.XLOOKUP($A3762, 'Instrument Table'!$I:$I, 'Instrument Table'!$B:$B, $C3761), _xlfn.XLOOKUP($A3762, 'Instrument Table'!$H:$H, 'Instrument Table'!$B:$B, $C3761)))</f>
        <v>Instructional Material</v>
      </c>
      <c r="D3762" s="1" t="str">
        <f>VLOOKUP($C3762, 'Instrument Table'!$B:$C, 2, FALSE)</f>
        <v>Other</v>
      </c>
      <c r="E3762" s="1">
        <f t="shared" si="348"/>
        <v>1</v>
      </c>
      <c r="F3762" s="1">
        <f>_xlfn.XLOOKUP($C3762, 'Instrument Table'!$B:$B, 'Instrument Table'!$A:$A, "")</f>
        <v>63</v>
      </c>
      <c r="G3762" s="1" t="str">
        <f>TEXT(IF($B3762 = "Retail Item", IF((ROW($A3762) - 4504 - _xlfn.XMATCH($C3762, $C$4506:$C$5005, 0, 1)) &lt;= VLOOKUP($C3762, 'Instrument Table'!$B:$D, 3, FALSE), ROW($A3762) - 4504 - _xlfn.XMATCH($C3762, $C$4506:$C$5005, 0, 1), 0), 0), "00")</f>
        <v>00</v>
      </c>
      <c r="H3762" s="1" t="str">
        <f t="shared" si="349"/>
        <v>006</v>
      </c>
      <c r="I3762" s="1" t="str">
        <f t="shared" si="350"/>
        <v>16300-006</v>
      </c>
      <c r="J3762" s="1" t="str">
        <f t="shared" si="351"/>
        <v>Instructional material production item #006</v>
      </c>
      <c r="K3762" s="1" t="str">
        <f>IF(SUM(COUNTIFS(I:I, I3762)) &gt; 1, "DUPLICATE", "UNIQUE")</f>
        <v>UNIQUE</v>
      </c>
      <c r="L3762" s="18">
        <v>1</v>
      </c>
      <c r="M3762" s="28">
        <v>64</v>
      </c>
      <c r="N3762" s="6">
        <v>16</v>
      </c>
      <c r="O3762" s="30">
        <f t="shared" si="352"/>
        <v>64</v>
      </c>
      <c r="P3762" s="30">
        <f t="shared" si="353"/>
        <v>1024</v>
      </c>
      <c r="Q3762" s="1">
        <f>COUNTIFS($P:$P, "&gt;" &amp; $P3762) + 1</f>
        <v>3667</v>
      </c>
      <c r="R3762" s="63">
        <f>(COUNTIFS($P:$P, "&gt;" &amp; $P3762) + 1) / (COUNTA($I:$I) - 1)</f>
        <v>0.73340000000000005</v>
      </c>
      <c r="S3762" s="23">
        <f>SUMIFS($P:$P, $Q:$Q, "&lt;" &amp; $Q3762)</f>
        <v>186145961</v>
      </c>
    </row>
    <row r="3763" spans="1:19" x14ac:dyDescent="0.25">
      <c r="A3763" s="1">
        <v>3758</v>
      </c>
      <c r="B3763" s="1" t="s">
        <v>2</v>
      </c>
      <c r="C3763" s="1" t="str">
        <f>IF($B3763 = "Production Item", _xlfn.XLOOKUP($A3763, 'Instrument Table'!$J:$J, 'Instrument Table'!$B:$B, $C3762), IF($B3763 = "Service Item", _xlfn.XLOOKUP($A3763, 'Instrument Table'!$I:$I, 'Instrument Table'!$B:$B, $C3762), _xlfn.XLOOKUP($A3763, 'Instrument Table'!$H:$H, 'Instrument Table'!$B:$B, $C3762)))</f>
        <v>Instructional Material</v>
      </c>
      <c r="D3763" s="1" t="str">
        <f>VLOOKUP($C3763, 'Instrument Table'!$B:$C, 2, FALSE)</f>
        <v>Other</v>
      </c>
      <c r="E3763" s="1">
        <f t="shared" si="348"/>
        <v>1</v>
      </c>
      <c r="F3763" s="1">
        <f>_xlfn.XLOOKUP($C3763, 'Instrument Table'!$B:$B, 'Instrument Table'!$A:$A, "")</f>
        <v>63</v>
      </c>
      <c r="G3763" s="1" t="str">
        <f>TEXT(IF($B3763 = "Retail Item", IF((ROW($A3763) - 4504 - _xlfn.XMATCH($C3763, $C$4506:$C$5005, 0, 1)) &lt;= VLOOKUP($C3763, 'Instrument Table'!$B:$D, 3, FALSE), ROW($A3763) - 4504 - _xlfn.XMATCH($C3763, $C$4506:$C$5005, 0, 1), 0), 0), "00")</f>
        <v>00</v>
      </c>
      <c r="H3763" s="1" t="str">
        <f t="shared" si="349"/>
        <v>007</v>
      </c>
      <c r="I3763" s="1" t="str">
        <f t="shared" si="350"/>
        <v>16300-007</v>
      </c>
      <c r="J3763" s="1" t="str">
        <f t="shared" si="351"/>
        <v>Instructional material production item #007</v>
      </c>
      <c r="K3763" s="1" t="str">
        <f>IF(SUM(COUNTIFS(I:I, I3763)) &gt; 1, "DUPLICATE", "UNIQUE")</f>
        <v>UNIQUE</v>
      </c>
      <c r="L3763" s="18">
        <v>1</v>
      </c>
      <c r="M3763" s="28">
        <v>59</v>
      </c>
      <c r="N3763" s="6">
        <v>196</v>
      </c>
      <c r="O3763" s="30">
        <f t="shared" si="352"/>
        <v>59</v>
      </c>
      <c r="P3763" s="30">
        <f t="shared" si="353"/>
        <v>11564</v>
      </c>
      <c r="Q3763" s="1">
        <f>COUNTIFS($P:$P, "&gt;" &amp; $P3763) + 1</f>
        <v>1627</v>
      </c>
      <c r="R3763" s="63">
        <f>(COUNTIFS($P:$P, "&gt;" &amp; $P3763) + 1) / (COUNTA($I:$I) - 1)</f>
        <v>0.32540000000000002</v>
      </c>
      <c r="S3763" s="23">
        <f>SUMIFS($P:$P, $Q:$Q, "&lt;" &amp; $Q3763)</f>
        <v>176393567</v>
      </c>
    </row>
    <row r="3764" spans="1:19" x14ac:dyDescent="0.25">
      <c r="A3764" s="1">
        <v>3759</v>
      </c>
      <c r="B3764" s="1" t="s">
        <v>2</v>
      </c>
      <c r="C3764" s="1" t="str">
        <f>IF($B3764 = "Production Item", _xlfn.XLOOKUP($A3764, 'Instrument Table'!$J:$J, 'Instrument Table'!$B:$B, $C3763), IF($B3764 = "Service Item", _xlfn.XLOOKUP($A3764, 'Instrument Table'!$I:$I, 'Instrument Table'!$B:$B, $C3763), _xlfn.XLOOKUP($A3764, 'Instrument Table'!$H:$H, 'Instrument Table'!$B:$B, $C3763)))</f>
        <v>Instructional Material</v>
      </c>
      <c r="D3764" s="1" t="str">
        <f>VLOOKUP($C3764, 'Instrument Table'!$B:$C, 2, FALSE)</f>
        <v>Other</v>
      </c>
      <c r="E3764" s="1">
        <f t="shared" si="348"/>
        <v>1</v>
      </c>
      <c r="F3764" s="1">
        <f>_xlfn.XLOOKUP($C3764, 'Instrument Table'!$B:$B, 'Instrument Table'!$A:$A, "")</f>
        <v>63</v>
      </c>
      <c r="G3764" s="1" t="str">
        <f>TEXT(IF($B3764 = "Retail Item", IF((ROW($A3764) - 4504 - _xlfn.XMATCH($C3764, $C$4506:$C$5005, 0, 1)) &lt;= VLOOKUP($C3764, 'Instrument Table'!$B:$D, 3, FALSE), ROW($A3764) - 4504 - _xlfn.XMATCH($C3764, $C$4506:$C$5005, 0, 1), 0), 0), "00")</f>
        <v>00</v>
      </c>
      <c r="H3764" s="1" t="str">
        <f t="shared" si="349"/>
        <v>008</v>
      </c>
      <c r="I3764" s="1" t="str">
        <f t="shared" si="350"/>
        <v>16300-008</v>
      </c>
      <c r="J3764" s="1" t="str">
        <f t="shared" si="351"/>
        <v>Instructional material production item #008</v>
      </c>
      <c r="K3764" s="1" t="str">
        <f>IF(SUM(COUNTIFS(I:I, I3764)) &gt; 1, "DUPLICATE", "UNIQUE")</f>
        <v>UNIQUE</v>
      </c>
      <c r="L3764" s="18">
        <v>8</v>
      </c>
      <c r="M3764" s="28">
        <v>34</v>
      </c>
      <c r="N3764" s="6">
        <v>4</v>
      </c>
      <c r="O3764" s="30">
        <f t="shared" si="352"/>
        <v>272</v>
      </c>
      <c r="P3764" s="30">
        <f t="shared" si="353"/>
        <v>136</v>
      </c>
      <c r="Q3764" s="1">
        <f>COUNTIFS($P:$P, "&gt;" &amp; $P3764) + 1</f>
        <v>4411</v>
      </c>
      <c r="R3764" s="63">
        <f>(COUNTIFS($P:$P, "&gt;" &amp; $P3764) + 1) / (COUNTA($I:$I) - 1)</f>
        <v>0.88219999999999998</v>
      </c>
      <c r="S3764" s="23">
        <f>SUMIFS($P:$P, $Q:$Q, "&lt;" &amp; $Q3764)</f>
        <v>186527580</v>
      </c>
    </row>
    <row r="3765" spans="1:19" x14ac:dyDescent="0.25">
      <c r="A3765" s="1">
        <v>3760</v>
      </c>
      <c r="B3765" s="1" t="s">
        <v>2</v>
      </c>
      <c r="C3765" s="1" t="str">
        <f>IF($B3765 = "Production Item", _xlfn.XLOOKUP($A3765, 'Instrument Table'!$J:$J, 'Instrument Table'!$B:$B, $C3764), IF($B3765 = "Service Item", _xlfn.XLOOKUP($A3765, 'Instrument Table'!$I:$I, 'Instrument Table'!$B:$B, $C3764), _xlfn.XLOOKUP($A3765, 'Instrument Table'!$H:$H, 'Instrument Table'!$B:$B, $C3764)))</f>
        <v>Instructional Material</v>
      </c>
      <c r="D3765" s="1" t="str">
        <f>VLOOKUP($C3765, 'Instrument Table'!$B:$C, 2, FALSE)</f>
        <v>Other</v>
      </c>
      <c r="E3765" s="1">
        <f t="shared" si="348"/>
        <v>1</v>
      </c>
      <c r="F3765" s="1">
        <f>_xlfn.XLOOKUP($C3765, 'Instrument Table'!$B:$B, 'Instrument Table'!$A:$A, "")</f>
        <v>63</v>
      </c>
      <c r="G3765" s="1" t="str">
        <f>TEXT(IF($B3765 = "Retail Item", IF((ROW($A3765) - 4504 - _xlfn.XMATCH($C3765, $C$4506:$C$5005, 0, 1)) &lt;= VLOOKUP($C3765, 'Instrument Table'!$B:$D, 3, FALSE), ROW($A3765) - 4504 - _xlfn.XMATCH($C3765, $C$4506:$C$5005, 0, 1), 0), 0), "00")</f>
        <v>00</v>
      </c>
      <c r="H3765" s="1" t="str">
        <f t="shared" si="349"/>
        <v>009</v>
      </c>
      <c r="I3765" s="1" t="str">
        <f t="shared" si="350"/>
        <v>16300-009</v>
      </c>
      <c r="J3765" s="1" t="str">
        <f t="shared" si="351"/>
        <v>Instructional material production item #009</v>
      </c>
      <c r="K3765" s="1" t="str">
        <f>IF(SUM(COUNTIFS(I:I, I3765)) &gt; 1, "DUPLICATE", "UNIQUE")</f>
        <v>UNIQUE</v>
      </c>
      <c r="L3765" s="18">
        <v>1</v>
      </c>
      <c r="M3765" s="28">
        <v>71</v>
      </c>
      <c r="N3765" s="6">
        <v>196</v>
      </c>
      <c r="O3765" s="30">
        <f t="shared" si="352"/>
        <v>71</v>
      </c>
      <c r="P3765" s="30">
        <f t="shared" si="353"/>
        <v>13916</v>
      </c>
      <c r="Q3765" s="1">
        <f>COUNTIFS($P:$P, "&gt;" &amp; $P3765) + 1</f>
        <v>1428</v>
      </c>
      <c r="R3765" s="63">
        <f>(COUNTIFS($P:$P, "&gt;" &amp; $P3765) + 1) / (COUNTA($I:$I) - 1)</f>
        <v>0.28560000000000002</v>
      </c>
      <c r="S3765" s="23">
        <f>SUMIFS($P:$P, $Q:$Q, "&lt;" &amp; $Q3765)</f>
        <v>173870436</v>
      </c>
    </row>
    <row r="3766" spans="1:19" x14ac:dyDescent="0.25">
      <c r="A3766" s="1">
        <v>3761</v>
      </c>
      <c r="B3766" s="1" t="s">
        <v>2</v>
      </c>
      <c r="C3766" s="1" t="str">
        <f>IF($B3766 = "Production Item", _xlfn.XLOOKUP($A3766, 'Instrument Table'!$J:$J, 'Instrument Table'!$B:$B, $C3765), IF($B3766 = "Service Item", _xlfn.XLOOKUP($A3766, 'Instrument Table'!$I:$I, 'Instrument Table'!$B:$B, $C3765), _xlfn.XLOOKUP($A3766, 'Instrument Table'!$H:$H, 'Instrument Table'!$B:$B, $C3765)))</f>
        <v>Instructional Material</v>
      </c>
      <c r="D3766" s="1" t="str">
        <f>VLOOKUP($C3766, 'Instrument Table'!$B:$C, 2, FALSE)</f>
        <v>Other</v>
      </c>
      <c r="E3766" s="1">
        <f t="shared" si="348"/>
        <v>1</v>
      </c>
      <c r="F3766" s="1">
        <f>_xlfn.XLOOKUP($C3766, 'Instrument Table'!$B:$B, 'Instrument Table'!$A:$A, "")</f>
        <v>63</v>
      </c>
      <c r="G3766" s="1" t="str">
        <f>TEXT(IF($B3766 = "Retail Item", IF((ROW($A3766) - 4504 - _xlfn.XMATCH($C3766, $C$4506:$C$5005, 0, 1)) &lt;= VLOOKUP($C3766, 'Instrument Table'!$B:$D, 3, FALSE), ROW($A3766) - 4504 - _xlfn.XMATCH($C3766, $C$4506:$C$5005, 0, 1), 0), 0), "00")</f>
        <v>00</v>
      </c>
      <c r="H3766" s="1" t="str">
        <f t="shared" si="349"/>
        <v>010</v>
      </c>
      <c r="I3766" s="1" t="str">
        <f t="shared" si="350"/>
        <v>16300-010</v>
      </c>
      <c r="J3766" s="1" t="str">
        <f t="shared" si="351"/>
        <v>Instructional material production item #010</v>
      </c>
      <c r="K3766" s="1" t="str">
        <f>IF(SUM(COUNTIFS(I:I, I3766)) &gt; 1, "DUPLICATE", "UNIQUE")</f>
        <v>UNIQUE</v>
      </c>
      <c r="L3766" s="18">
        <v>1</v>
      </c>
      <c r="M3766" s="28">
        <v>41</v>
      </c>
      <c r="N3766" s="6">
        <v>361</v>
      </c>
      <c r="O3766" s="30">
        <f t="shared" si="352"/>
        <v>41</v>
      </c>
      <c r="P3766" s="30">
        <f t="shared" si="353"/>
        <v>14801</v>
      </c>
      <c r="Q3766" s="1">
        <f>COUNTIFS($P:$P, "&gt;" &amp; $P3766) + 1</f>
        <v>1364</v>
      </c>
      <c r="R3766" s="63">
        <f>(COUNTIFS($P:$P, "&gt;" &amp; $P3766) + 1) / (COUNTA($I:$I) - 1)</f>
        <v>0.27279999999999999</v>
      </c>
      <c r="S3766" s="23">
        <f>SUMIFS($P:$P, $Q:$Q, "&lt;" &amp; $Q3766)</f>
        <v>172951754</v>
      </c>
    </row>
    <row r="3767" spans="1:19" x14ac:dyDescent="0.25">
      <c r="A3767" s="1">
        <v>3762</v>
      </c>
      <c r="B3767" s="1" t="s">
        <v>2</v>
      </c>
      <c r="C3767" s="1" t="str">
        <f>IF($B3767 = "Production Item", _xlfn.XLOOKUP($A3767, 'Instrument Table'!$J:$J, 'Instrument Table'!$B:$B, $C3766), IF($B3767 = "Service Item", _xlfn.XLOOKUP($A3767, 'Instrument Table'!$I:$I, 'Instrument Table'!$B:$B, $C3766), _xlfn.XLOOKUP($A3767, 'Instrument Table'!$H:$H, 'Instrument Table'!$B:$B, $C3766)))</f>
        <v>Instructional Material</v>
      </c>
      <c r="D3767" s="1" t="str">
        <f>VLOOKUP($C3767, 'Instrument Table'!$B:$C, 2, FALSE)</f>
        <v>Other</v>
      </c>
      <c r="E3767" s="1">
        <f t="shared" si="348"/>
        <v>1</v>
      </c>
      <c r="F3767" s="1">
        <f>_xlfn.XLOOKUP($C3767, 'Instrument Table'!$B:$B, 'Instrument Table'!$A:$A, "")</f>
        <v>63</v>
      </c>
      <c r="G3767" s="1" t="str">
        <f>TEXT(IF($B3767 = "Retail Item", IF((ROW($A3767) - 4504 - _xlfn.XMATCH($C3767, $C$4506:$C$5005, 0, 1)) &lt;= VLOOKUP($C3767, 'Instrument Table'!$B:$D, 3, FALSE), ROW($A3767) - 4504 - _xlfn.XMATCH($C3767, $C$4506:$C$5005, 0, 1), 0), 0), "00")</f>
        <v>00</v>
      </c>
      <c r="H3767" s="1" t="str">
        <f t="shared" si="349"/>
        <v>011</v>
      </c>
      <c r="I3767" s="1" t="str">
        <f t="shared" si="350"/>
        <v>16300-011</v>
      </c>
      <c r="J3767" s="1" t="str">
        <f t="shared" si="351"/>
        <v>Instructional material production item #011</v>
      </c>
      <c r="K3767" s="1" t="str">
        <f>IF(SUM(COUNTIFS(I:I, I3767)) &gt; 1, "DUPLICATE", "UNIQUE")</f>
        <v>UNIQUE</v>
      </c>
      <c r="L3767" s="18">
        <v>0</v>
      </c>
      <c r="M3767" s="28">
        <v>92</v>
      </c>
      <c r="N3767" s="6">
        <v>36</v>
      </c>
      <c r="O3767" s="30">
        <f t="shared" si="352"/>
        <v>0</v>
      </c>
      <c r="P3767" s="30">
        <f t="shared" si="353"/>
        <v>3312</v>
      </c>
      <c r="Q3767" s="1">
        <f>COUNTIFS($P:$P, "&gt;" &amp; $P3767) + 1</f>
        <v>2826</v>
      </c>
      <c r="R3767" s="63">
        <f>(COUNTIFS($P:$P, "&gt;" &amp; $P3767) + 1) / (COUNTA($I:$I) - 1)</f>
        <v>0.56520000000000004</v>
      </c>
      <c r="S3767" s="23">
        <f>SUMIFS($P:$P, $Q:$Q, "&lt;" &amp; $Q3767)</f>
        <v>184413337</v>
      </c>
    </row>
    <row r="3768" spans="1:19" x14ac:dyDescent="0.25">
      <c r="A3768" s="1">
        <v>3763</v>
      </c>
      <c r="B3768" s="1" t="s">
        <v>2</v>
      </c>
      <c r="C3768" s="1" t="str">
        <f>IF($B3768 = "Production Item", _xlfn.XLOOKUP($A3768, 'Instrument Table'!$J:$J, 'Instrument Table'!$B:$B, $C3767), IF($B3768 = "Service Item", _xlfn.XLOOKUP($A3768, 'Instrument Table'!$I:$I, 'Instrument Table'!$B:$B, $C3767), _xlfn.XLOOKUP($A3768, 'Instrument Table'!$H:$H, 'Instrument Table'!$B:$B, $C3767)))</f>
        <v>Instructional Material</v>
      </c>
      <c r="D3768" s="1" t="str">
        <f>VLOOKUP($C3768, 'Instrument Table'!$B:$C, 2, FALSE)</f>
        <v>Other</v>
      </c>
      <c r="E3768" s="1">
        <f t="shared" si="348"/>
        <v>1</v>
      </c>
      <c r="F3768" s="1">
        <f>_xlfn.XLOOKUP($C3768, 'Instrument Table'!$B:$B, 'Instrument Table'!$A:$A, "")</f>
        <v>63</v>
      </c>
      <c r="G3768" s="1" t="str">
        <f>TEXT(IF($B3768 = "Retail Item", IF((ROW($A3768) - 4504 - _xlfn.XMATCH($C3768, $C$4506:$C$5005, 0, 1)) &lt;= VLOOKUP($C3768, 'Instrument Table'!$B:$D, 3, FALSE), ROW($A3768) - 4504 - _xlfn.XMATCH($C3768, $C$4506:$C$5005, 0, 1), 0), 0), "00")</f>
        <v>00</v>
      </c>
      <c r="H3768" s="1" t="str">
        <f t="shared" si="349"/>
        <v>012</v>
      </c>
      <c r="I3768" s="1" t="str">
        <f t="shared" si="350"/>
        <v>16300-012</v>
      </c>
      <c r="J3768" s="1" t="str">
        <f t="shared" si="351"/>
        <v>Instructional material production item #012</v>
      </c>
      <c r="K3768" s="1" t="str">
        <f>IF(SUM(COUNTIFS(I:I, I3768)) &gt; 1, "DUPLICATE", "UNIQUE")</f>
        <v>UNIQUE</v>
      </c>
      <c r="L3768" s="18">
        <v>4</v>
      </c>
      <c r="M3768" s="28">
        <v>94</v>
      </c>
      <c r="N3768" s="6">
        <v>400</v>
      </c>
      <c r="O3768" s="30">
        <f t="shared" si="352"/>
        <v>376</v>
      </c>
      <c r="P3768" s="30">
        <f t="shared" si="353"/>
        <v>37600</v>
      </c>
      <c r="Q3768" s="1">
        <f>COUNTIFS($P:$P, "&gt;" &amp; $P3768) + 1</f>
        <v>576</v>
      </c>
      <c r="R3768" s="63">
        <f>(COUNTIFS($P:$P, "&gt;" &amp; $P3768) + 1) / (COUNTA($I:$I) - 1)</f>
        <v>0.1152</v>
      </c>
      <c r="S3768" s="23">
        <f>SUMIFS($P:$P, $Q:$Q, "&lt;" &amp; $Q3768)</f>
        <v>154996325</v>
      </c>
    </row>
    <row r="3769" spans="1:19" x14ac:dyDescent="0.25">
      <c r="A3769" s="1">
        <v>3764</v>
      </c>
      <c r="B3769" s="1" t="s">
        <v>2</v>
      </c>
      <c r="C3769" s="1" t="str">
        <f>IF($B3769 = "Production Item", _xlfn.XLOOKUP($A3769, 'Instrument Table'!$J:$J, 'Instrument Table'!$B:$B, $C3768), IF($B3769 = "Service Item", _xlfn.XLOOKUP($A3769, 'Instrument Table'!$I:$I, 'Instrument Table'!$B:$B, $C3768), _xlfn.XLOOKUP($A3769, 'Instrument Table'!$H:$H, 'Instrument Table'!$B:$B, $C3768)))</f>
        <v>Instructional Material</v>
      </c>
      <c r="D3769" s="1" t="str">
        <f>VLOOKUP($C3769, 'Instrument Table'!$B:$C, 2, FALSE)</f>
        <v>Other</v>
      </c>
      <c r="E3769" s="1">
        <f t="shared" si="348"/>
        <v>1</v>
      </c>
      <c r="F3769" s="1">
        <f>_xlfn.XLOOKUP($C3769, 'Instrument Table'!$B:$B, 'Instrument Table'!$A:$A, "")</f>
        <v>63</v>
      </c>
      <c r="G3769" s="1" t="str">
        <f>TEXT(IF($B3769 = "Retail Item", IF((ROW($A3769) - 4504 - _xlfn.XMATCH($C3769, $C$4506:$C$5005, 0, 1)) &lt;= VLOOKUP($C3769, 'Instrument Table'!$B:$D, 3, FALSE), ROW($A3769) - 4504 - _xlfn.XMATCH($C3769, $C$4506:$C$5005, 0, 1), 0), 0), "00")</f>
        <v>00</v>
      </c>
      <c r="H3769" s="1" t="str">
        <f t="shared" si="349"/>
        <v>013</v>
      </c>
      <c r="I3769" s="1" t="str">
        <f t="shared" si="350"/>
        <v>16300-013</v>
      </c>
      <c r="J3769" s="1" t="str">
        <f t="shared" si="351"/>
        <v>Instructional material production item #013</v>
      </c>
      <c r="K3769" s="1" t="str">
        <f>IF(SUM(COUNTIFS(I:I, I3769)) &gt; 1, "DUPLICATE", "UNIQUE")</f>
        <v>UNIQUE</v>
      </c>
      <c r="L3769" s="18">
        <v>0</v>
      </c>
      <c r="M3769" s="28">
        <v>65</v>
      </c>
      <c r="N3769" s="6">
        <v>64</v>
      </c>
      <c r="O3769" s="30">
        <f t="shared" si="352"/>
        <v>0</v>
      </c>
      <c r="P3769" s="30">
        <f t="shared" si="353"/>
        <v>4160</v>
      </c>
      <c r="Q3769" s="1">
        <f>COUNTIFS($P:$P, "&gt;" &amp; $P3769) + 1</f>
        <v>2622</v>
      </c>
      <c r="R3769" s="63">
        <f>(COUNTIFS($P:$P, "&gt;" &amp; $P3769) + 1) / (COUNTA($I:$I) - 1)</f>
        <v>0.52439999999999998</v>
      </c>
      <c r="S3769" s="23">
        <f>SUMIFS($P:$P, $Q:$Q, "&lt;" &amp; $Q3769)</f>
        <v>183656170</v>
      </c>
    </row>
    <row r="3770" spans="1:19" x14ac:dyDescent="0.25">
      <c r="A3770" s="1">
        <v>3765</v>
      </c>
      <c r="B3770" s="1" t="s">
        <v>2</v>
      </c>
      <c r="C3770" s="1" t="str">
        <f>IF($B3770 = "Production Item", _xlfn.XLOOKUP($A3770, 'Instrument Table'!$J:$J, 'Instrument Table'!$B:$B, $C3769), IF($B3770 = "Service Item", _xlfn.XLOOKUP($A3770, 'Instrument Table'!$I:$I, 'Instrument Table'!$B:$B, $C3769), _xlfn.XLOOKUP($A3770, 'Instrument Table'!$H:$H, 'Instrument Table'!$B:$B, $C3769)))</f>
        <v>Instructional Material</v>
      </c>
      <c r="D3770" s="1" t="str">
        <f>VLOOKUP($C3770, 'Instrument Table'!$B:$C, 2, FALSE)</f>
        <v>Other</v>
      </c>
      <c r="E3770" s="1">
        <f t="shared" si="348"/>
        <v>1</v>
      </c>
      <c r="F3770" s="1">
        <f>_xlfn.XLOOKUP($C3770, 'Instrument Table'!$B:$B, 'Instrument Table'!$A:$A, "")</f>
        <v>63</v>
      </c>
      <c r="G3770" s="1" t="str">
        <f>TEXT(IF($B3770 = "Retail Item", IF((ROW($A3770) - 4504 - _xlfn.XMATCH($C3770, $C$4506:$C$5005, 0, 1)) &lt;= VLOOKUP($C3770, 'Instrument Table'!$B:$D, 3, FALSE), ROW($A3770) - 4504 - _xlfn.XMATCH($C3770, $C$4506:$C$5005, 0, 1), 0), 0), "00")</f>
        <v>00</v>
      </c>
      <c r="H3770" s="1" t="str">
        <f t="shared" si="349"/>
        <v>014</v>
      </c>
      <c r="I3770" s="1" t="str">
        <f t="shared" si="350"/>
        <v>16300-014</v>
      </c>
      <c r="J3770" s="1" t="str">
        <f t="shared" si="351"/>
        <v>Instructional material production item #014</v>
      </c>
      <c r="K3770" s="1" t="str">
        <f>IF(SUM(COUNTIFS(I:I, I3770)) &gt; 1, "DUPLICATE", "UNIQUE")</f>
        <v>UNIQUE</v>
      </c>
      <c r="L3770" s="18">
        <v>1</v>
      </c>
      <c r="M3770" s="28">
        <v>5</v>
      </c>
      <c r="N3770" s="6">
        <v>36</v>
      </c>
      <c r="O3770" s="30">
        <f t="shared" si="352"/>
        <v>5</v>
      </c>
      <c r="P3770" s="30">
        <f t="shared" si="353"/>
        <v>180</v>
      </c>
      <c r="Q3770" s="1">
        <f>COUNTIFS($P:$P, "&gt;" &amp; $P3770) + 1</f>
        <v>4352</v>
      </c>
      <c r="R3770" s="63">
        <f>(COUNTIFS($P:$P, "&gt;" &amp; $P3770) + 1) / (COUNTA($I:$I) - 1)</f>
        <v>0.87039999999999995</v>
      </c>
      <c r="S3770" s="23">
        <f>SUMIFS($P:$P, $Q:$Q, "&lt;" &amp; $Q3770)</f>
        <v>186517952</v>
      </c>
    </row>
    <row r="3771" spans="1:19" x14ac:dyDescent="0.25">
      <c r="A3771" s="1">
        <v>3766</v>
      </c>
      <c r="B3771" s="1" t="s">
        <v>2</v>
      </c>
      <c r="C3771" s="1" t="str">
        <f>IF($B3771 = "Production Item", _xlfn.XLOOKUP($A3771, 'Instrument Table'!$J:$J, 'Instrument Table'!$B:$B, $C3770), IF($B3771 = "Service Item", _xlfn.XLOOKUP($A3771, 'Instrument Table'!$I:$I, 'Instrument Table'!$B:$B, $C3770), _xlfn.XLOOKUP($A3771, 'Instrument Table'!$H:$H, 'Instrument Table'!$B:$B, $C3770)))</f>
        <v>Instructional Material</v>
      </c>
      <c r="D3771" s="1" t="str">
        <f>VLOOKUP($C3771, 'Instrument Table'!$B:$C, 2, FALSE)</f>
        <v>Other</v>
      </c>
      <c r="E3771" s="1">
        <f t="shared" si="348"/>
        <v>1</v>
      </c>
      <c r="F3771" s="1">
        <f>_xlfn.XLOOKUP($C3771, 'Instrument Table'!$B:$B, 'Instrument Table'!$A:$A, "")</f>
        <v>63</v>
      </c>
      <c r="G3771" s="1" t="str">
        <f>TEXT(IF($B3771 = "Retail Item", IF((ROW($A3771) - 4504 - _xlfn.XMATCH($C3771, $C$4506:$C$5005, 0, 1)) &lt;= VLOOKUP($C3771, 'Instrument Table'!$B:$D, 3, FALSE), ROW($A3771) - 4504 - _xlfn.XMATCH($C3771, $C$4506:$C$5005, 0, 1), 0), 0), "00")</f>
        <v>00</v>
      </c>
      <c r="H3771" s="1" t="str">
        <f t="shared" si="349"/>
        <v>015</v>
      </c>
      <c r="I3771" s="1" t="str">
        <f t="shared" si="350"/>
        <v>16300-015</v>
      </c>
      <c r="J3771" s="1" t="str">
        <f t="shared" si="351"/>
        <v>Instructional material production item #015</v>
      </c>
      <c r="K3771" s="1" t="str">
        <f>IF(SUM(COUNTIFS(I:I, I3771)) &gt; 1, "DUPLICATE", "UNIQUE")</f>
        <v>UNIQUE</v>
      </c>
      <c r="L3771" s="18">
        <v>0</v>
      </c>
      <c r="M3771" s="28">
        <v>29</v>
      </c>
      <c r="N3771" s="6">
        <v>289</v>
      </c>
      <c r="O3771" s="30">
        <f t="shared" si="352"/>
        <v>0</v>
      </c>
      <c r="P3771" s="30">
        <f t="shared" si="353"/>
        <v>8381</v>
      </c>
      <c r="Q3771" s="1">
        <f>COUNTIFS($P:$P, "&gt;" &amp; $P3771) + 1</f>
        <v>1942</v>
      </c>
      <c r="R3771" s="63">
        <f>(COUNTIFS($P:$P, "&gt;" &amp; $P3771) + 1) / (COUNTA($I:$I) - 1)</f>
        <v>0.38840000000000002</v>
      </c>
      <c r="S3771" s="23">
        <f>SUMIFS($P:$P, $Q:$Q, "&lt;" &amp; $Q3771)</f>
        <v>179524365</v>
      </c>
    </row>
    <row r="3772" spans="1:19" x14ac:dyDescent="0.25">
      <c r="A3772" s="1">
        <v>3767</v>
      </c>
      <c r="B3772" s="1" t="s">
        <v>2</v>
      </c>
      <c r="C3772" s="1" t="str">
        <f>IF($B3772 = "Production Item", _xlfn.XLOOKUP($A3772, 'Instrument Table'!$J:$J, 'Instrument Table'!$B:$B, $C3771), IF($B3772 = "Service Item", _xlfn.XLOOKUP($A3772, 'Instrument Table'!$I:$I, 'Instrument Table'!$B:$B, $C3771), _xlfn.XLOOKUP($A3772, 'Instrument Table'!$H:$H, 'Instrument Table'!$B:$B, $C3771)))</f>
        <v>Instructional Material</v>
      </c>
      <c r="D3772" s="1" t="str">
        <f>VLOOKUP($C3772, 'Instrument Table'!$B:$C, 2, FALSE)</f>
        <v>Other</v>
      </c>
      <c r="E3772" s="1">
        <f t="shared" si="348"/>
        <v>1</v>
      </c>
      <c r="F3772" s="1">
        <f>_xlfn.XLOOKUP($C3772, 'Instrument Table'!$B:$B, 'Instrument Table'!$A:$A, "")</f>
        <v>63</v>
      </c>
      <c r="G3772" s="1" t="str">
        <f>TEXT(IF($B3772 = "Retail Item", IF((ROW($A3772) - 4504 - _xlfn.XMATCH($C3772, $C$4506:$C$5005, 0, 1)) &lt;= VLOOKUP($C3772, 'Instrument Table'!$B:$D, 3, FALSE), ROW($A3772) - 4504 - _xlfn.XMATCH($C3772, $C$4506:$C$5005, 0, 1), 0), 0), "00")</f>
        <v>00</v>
      </c>
      <c r="H3772" s="1" t="str">
        <f t="shared" si="349"/>
        <v>016</v>
      </c>
      <c r="I3772" s="1" t="str">
        <f t="shared" si="350"/>
        <v>16300-016</v>
      </c>
      <c r="J3772" s="1" t="str">
        <f t="shared" si="351"/>
        <v>Instructional material production item #016</v>
      </c>
      <c r="K3772" s="1" t="str">
        <f>IF(SUM(COUNTIFS(I:I, I3772)) &gt; 1, "DUPLICATE", "UNIQUE")</f>
        <v>UNIQUE</v>
      </c>
      <c r="L3772" s="18">
        <v>1</v>
      </c>
      <c r="M3772" s="28">
        <v>99</v>
      </c>
      <c r="N3772" s="6">
        <v>4</v>
      </c>
      <c r="O3772" s="30">
        <f t="shared" si="352"/>
        <v>99</v>
      </c>
      <c r="P3772" s="30">
        <f t="shared" si="353"/>
        <v>396</v>
      </c>
      <c r="Q3772" s="1">
        <f>COUNTIFS($P:$P, "&gt;" &amp; $P3772) + 1</f>
        <v>4100</v>
      </c>
      <c r="R3772" s="63">
        <f>(COUNTIFS($P:$P, "&gt;" &amp; $P3772) + 1) / (COUNTA($I:$I) - 1)</f>
        <v>0.82</v>
      </c>
      <c r="S3772" s="23">
        <f>SUMIFS($P:$P, $Q:$Q, "&lt;" &amp; $Q3772)</f>
        <v>186444882</v>
      </c>
    </row>
    <row r="3773" spans="1:19" x14ac:dyDescent="0.25">
      <c r="A3773" s="1">
        <v>3768</v>
      </c>
      <c r="B3773" s="1" t="s">
        <v>2</v>
      </c>
      <c r="C3773" s="1" t="str">
        <f>IF($B3773 = "Production Item", _xlfn.XLOOKUP($A3773, 'Instrument Table'!$J:$J, 'Instrument Table'!$B:$B, $C3772), IF($B3773 = "Service Item", _xlfn.XLOOKUP($A3773, 'Instrument Table'!$I:$I, 'Instrument Table'!$B:$B, $C3772), _xlfn.XLOOKUP($A3773, 'Instrument Table'!$H:$H, 'Instrument Table'!$B:$B, $C3772)))</f>
        <v>Instructional Material</v>
      </c>
      <c r="D3773" s="1" t="str">
        <f>VLOOKUP($C3773, 'Instrument Table'!$B:$C, 2, FALSE)</f>
        <v>Other</v>
      </c>
      <c r="E3773" s="1">
        <f t="shared" si="348"/>
        <v>1</v>
      </c>
      <c r="F3773" s="1">
        <f>_xlfn.XLOOKUP($C3773, 'Instrument Table'!$B:$B, 'Instrument Table'!$A:$A, "")</f>
        <v>63</v>
      </c>
      <c r="G3773" s="1" t="str">
        <f>TEXT(IF($B3773 = "Retail Item", IF((ROW($A3773) - 4504 - _xlfn.XMATCH($C3773, $C$4506:$C$5005, 0, 1)) &lt;= VLOOKUP($C3773, 'Instrument Table'!$B:$D, 3, FALSE), ROW($A3773) - 4504 - _xlfn.XMATCH($C3773, $C$4506:$C$5005, 0, 1), 0), 0), "00")</f>
        <v>00</v>
      </c>
      <c r="H3773" s="1" t="str">
        <f t="shared" si="349"/>
        <v>017</v>
      </c>
      <c r="I3773" s="1" t="str">
        <f t="shared" si="350"/>
        <v>16300-017</v>
      </c>
      <c r="J3773" s="1" t="str">
        <f t="shared" si="351"/>
        <v>Instructional material production item #017</v>
      </c>
      <c r="K3773" s="1" t="str">
        <f>IF(SUM(COUNTIFS(I:I, I3773)) &gt; 1, "DUPLICATE", "UNIQUE")</f>
        <v>UNIQUE</v>
      </c>
      <c r="L3773" s="18">
        <v>1</v>
      </c>
      <c r="M3773" s="28">
        <v>79</v>
      </c>
      <c r="N3773" s="6">
        <v>100</v>
      </c>
      <c r="O3773" s="30">
        <f t="shared" si="352"/>
        <v>79</v>
      </c>
      <c r="P3773" s="30">
        <f t="shared" si="353"/>
        <v>7900</v>
      </c>
      <c r="Q3773" s="1">
        <f>COUNTIFS($P:$P, "&gt;" &amp; $P3773) + 1</f>
        <v>2002</v>
      </c>
      <c r="R3773" s="63">
        <f>(COUNTIFS($P:$P, "&gt;" &amp; $P3773) + 1) / (COUNTA($I:$I) - 1)</f>
        <v>0.40039999999999998</v>
      </c>
      <c r="S3773" s="23">
        <f>SUMIFS($P:$P, $Q:$Q, "&lt;" &amp; $Q3773)</f>
        <v>180012295</v>
      </c>
    </row>
    <row r="3774" spans="1:19" x14ac:dyDescent="0.25">
      <c r="A3774" s="1">
        <v>3769</v>
      </c>
      <c r="B3774" s="1" t="s">
        <v>2</v>
      </c>
      <c r="C3774" s="1" t="str">
        <f>IF($B3774 = "Production Item", _xlfn.XLOOKUP($A3774, 'Instrument Table'!$J:$J, 'Instrument Table'!$B:$B, $C3773), IF($B3774 = "Service Item", _xlfn.XLOOKUP($A3774, 'Instrument Table'!$I:$I, 'Instrument Table'!$B:$B, $C3773), _xlfn.XLOOKUP($A3774, 'Instrument Table'!$H:$H, 'Instrument Table'!$B:$B, $C3773)))</f>
        <v>Instructional Material</v>
      </c>
      <c r="D3774" s="1" t="str">
        <f>VLOOKUP($C3774, 'Instrument Table'!$B:$C, 2, FALSE)</f>
        <v>Other</v>
      </c>
      <c r="E3774" s="1">
        <f t="shared" si="348"/>
        <v>1</v>
      </c>
      <c r="F3774" s="1">
        <f>_xlfn.XLOOKUP($C3774, 'Instrument Table'!$B:$B, 'Instrument Table'!$A:$A, "")</f>
        <v>63</v>
      </c>
      <c r="G3774" s="1" t="str">
        <f>TEXT(IF($B3774 = "Retail Item", IF((ROW($A3774) - 4504 - _xlfn.XMATCH($C3774, $C$4506:$C$5005, 0, 1)) &lt;= VLOOKUP($C3774, 'Instrument Table'!$B:$D, 3, FALSE), ROW($A3774) - 4504 - _xlfn.XMATCH($C3774, $C$4506:$C$5005, 0, 1), 0), 0), "00")</f>
        <v>00</v>
      </c>
      <c r="H3774" s="1" t="str">
        <f t="shared" si="349"/>
        <v>018</v>
      </c>
      <c r="I3774" s="1" t="str">
        <f t="shared" si="350"/>
        <v>16300-018</v>
      </c>
      <c r="J3774" s="1" t="str">
        <f t="shared" si="351"/>
        <v>Instructional material production item #018</v>
      </c>
      <c r="K3774" s="1" t="str">
        <f>IF(SUM(COUNTIFS(I:I, I3774)) &gt; 1, "DUPLICATE", "UNIQUE")</f>
        <v>UNIQUE</v>
      </c>
      <c r="L3774" s="18">
        <v>1</v>
      </c>
      <c r="M3774" s="28">
        <v>16</v>
      </c>
      <c r="N3774" s="6">
        <v>169</v>
      </c>
      <c r="O3774" s="30">
        <f t="shared" si="352"/>
        <v>16</v>
      </c>
      <c r="P3774" s="30">
        <f t="shared" si="353"/>
        <v>2704</v>
      </c>
      <c r="Q3774" s="1">
        <f>COUNTIFS($P:$P, "&gt;" &amp; $P3774) + 1</f>
        <v>2978</v>
      </c>
      <c r="R3774" s="63">
        <f>(COUNTIFS($P:$P, "&gt;" &amp; $P3774) + 1) / (COUNTA($I:$I) - 1)</f>
        <v>0.59560000000000002</v>
      </c>
      <c r="S3774" s="23">
        <f>SUMIFS($P:$P, $Q:$Q, "&lt;" &amp; $Q3774)</f>
        <v>184873062</v>
      </c>
    </row>
    <row r="3775" spans="1:19" x14ac:dyDescent="0.25">
      <c r="A3775" s="1">
        <v>3770</v>
      </c>
      <c r="B3775" s="1" t="s">
        <v>2</v>
      </c>
      <c r="C3775" s="1" t="str">
        <f>IF($B3775 = "Production Item", _xlfn.XLOOKUP($A3775, 'Instrument Table'!$J:$J, 'Instrument Table'!$B:$B, $C3774), IF($B3775 = "Service Item", _xlfn.XLOOKUP($A3775, 'Instrument Table'!$I:$I, 'Instrument Table'!$B:$B, $C3774), _xlfn.XLOOKUP($A3775, 'Instrument Table'!$H:$H, 'Instrument Table'!$B:$B, $C3774)))</f>
        <v>Instructional Material</v>
      </c>
      <c r="D3775" s="1" t="str">
        <f>VLOOKUP($C3775, 'Instrument Table'!$B:$C, 2, FALSE)</f>
        <v>Other</v>
      </c>
      <c r="E3775" s="1">
        <f t="shared" si="348"/>
        <v>1</v>
      </c>
      <c r="F3775" s="1">
        <f>_xlfn.XLOOKUP($C3775, 'Instrument Table'!$B:$B, 'Instrument Table'!$A:$A, "")</f>
        <v>63</v>
      </c>
      <c r="G3775" s="1" t="str">
        <f>TEXT(IF($B3775 = "Retail Item", IF((ROW($A3775) - 4504 - _xlfn.XMATCH($C3775, $C$4506:$C$5005, 0, 1)) &lt;= VLOOKUP($C3775, 'Instrument Table'!$B:$D, 3, FALSE), ROW($A3775) - 4504 - _xlfn.XMATCH($C3775, $C$4506:$C$5005, 0, 1), 0), 0), "00")</f>
        <v>00</v>
      </c>
      <c r="H3775" s="1" t="str">
        <f t="shared" si="349"/>
        <v>019</v>
      </c>
      <c r="I3775" s="1" t="str">
        <f t="shared" si="350"/>
        <v>16300-019</v>
      </c>
      <c r="J3775" s="1" t="str">
        <f t="shared" si="351"/>
        <v>Instructional material production item #019</v>
      </c>
      <c r="K3775" s="1" t="str">
        <f>IF(SUM(COUNTIFS(I:I, I3775)) &gt; 1, "DUPLICATE", "UNIQUE")</f>
        <v>UNIQUE</v>
      </c>
      <c r="L3775" s="18">
        <v>16</v>
      </c>
      <c r="M3775" s="28">
        <v>27</v>
      </c>
      <c r="N3775" s="6">
        <v>400</v>
      </c>
      <c r="O3775" s="30">
        <f t="shared" si="352"/>
        <v>432</v>
      </c>
      <c r="P3775" s="30">
        <f t="shared" si="353"/>
        <v>10800</v>
      </c>
      <c r="Q3775" s="1">
        <f>COUNTIFS($P:$P, "&gt;" &amp; $P3775) + 1</f>
        <v>1703</v>
      </c>
      <c r="R3775" s="63">
        <f>(COUNTIFS($P:$P, "&gt;" &amp; $P3775) + 1) / (COUNTA($I:$I) - 1)</f>
        <v>0.34060000000000001</v>
      </c>
      <c r="S3775" s="23">
        <f>SUMIFS($P:$P, $Q:$Q, "&lt;" &amp; $Q3775)</f>
        <v>177245912</v>
      </c>
    </row>
    <row r="3776" spans="1:19" x14ac:dyDescent="0.25">
      <c r="A3776" s="1">
        <v>3771</v>
      </c>
      <c r="B3776" s="1" t="s">
        <v>2</v>
      </c>
      <c r="C3776" s="1" t="str">
        <f>IF($B3776 = "Production Item", _xlfn.XLOOKUP($A3776, 'Instrument Table'!$J:$J, 'Instrument Table'!$B:$B, $C3775), IF($B3776 = "Service Item", _xlfn.XLOOKUP($A3776, 'Instrument Table'!$I:$I, 'Instrument Table'!$B:$B, $C3775), _xlfn.XLOOKUP($A3776, 'Instrument Table'!$H:$H, 'Instrument Table'!$B:$B, $C3775)))</f>
        <v>Instructional Material</v>
      </c>
      <c r="D3776" s="1" t="str">
        <f>VLOOKUP($C3776, 'Instrument Table'!$B:$C, 2, FALSE)</f>
        <v>Other</v>
      </c>
      <c r="E3776" s="1">
        <f t="shared" si="348"/>
        <v>1</v>
      </c>
      <c r="F3776" s="1">
        <f>_xlfn.XLOOKUP($C3776, 'Instrument Table'!$B:$B, 'Instrument Table'!$A:$A, "")</f>
        <v>63</v>
      </c>
      <c r="G3776" s="1" t="str">
        <f>TEXT(IF($B3776 = "Retail Item", IF((ROW($A3776) - 4504 - _xlfn.XMATCH($C3776, $C$4506:$C$5005, 0, 1)) &lt;= VLOOKUP($C3776, 'Instrument Table'!$B:$D, 3, FALSE), ROW($A3776) - 4504 - _xlfn.XMATCH($C3776, $C$4506:$C$5005, 0, 1), 0), 0), "00")</f>
        <v>00</v>
      </c>
      <c r="H3776" s="1" t="str">
        <f t="shared" si="349"/>
        <v>020</v>
      </c>
      <c r="I3776" s="1" t="str">
        <f t="shared" si="350"/>
        <v>16300-020</v>
      </c>
      <c r="J3776" s="1" t="str">
        <f t="shared" si="351"/>
        <v>Instructional material production item #020</v>
      </c>
      <c r="K3776" s="1" t="str">
        <f>IF(SUM(COUNTIFS(I:I, I3776)) &gt; 1, "DUPLICATE", "UNIQUE")</f>
        <v>UNIQUE</v>
      </c>
      <c r="L3776" s="18">
        <v>1</v>
      </c>
      <c r="M3776" s="28">
        <v>86</v>
      </c>
      <c r="N3776" s="6">
        <v>81</v>
      </c>
      <c r="O3776" s="30">
        <f t="shared" si="352"/>
        <v>86</v>
      </c>
      <c r="P3776" s="30">
        <f t="shared" si="353"/>
        <v>6966</v>
      </c>
      <c r="Q3776" s="1">
        <f>COUNTIFS($P:$P, "&gt;" &amp; $P3776) + 1</f>
        <v>2138</v>
      </c>
      <c r="R3776" s="63">
        <f>(COUNTIFS($P:$P, "&gt;" &amp; $P3776) + 1) / (COUNTA($I:$I) - 1)</f>
        <v>0.42759999999999998</v>
      </c>
      <c r="S3776" s="23">
        <f>SUMIFS($P:$P, $Q:$Q, "&lt;" &amp; $Q3776)</f>
        <v>181030428</v>
      </c>
    </row>
    <row r="3777" spans="1:19" x14ac:dyDescent="0.25">
      <c r="A3777" s="1">
        <v>3772</v>
      </c>
      <c r="B3777" s="1" t="s">
        <v>2</v>
      </c>
      <c r="C3777" s="1" t="str">
        <f>IF($B3777 = "Production Item", _xlfn.XLOOKUP($A3777, 'Instrument Table'!$J:$J, 'Instrument Table'!$B:$B, $C3776), IF($B3777 = "Service Item", _xlfn.XLOOKUP($A3777, 'Instrument Table'!$I:$I, 'Instrument Table'!$B:$B, $C3776), _xlfn.XLOOKUP($A3777, 'Instrument Table'!$H:$H, 'Instrument Table'!$B:$B, $C3776)))</f>
        <v>Instructional Material</v>
      </c>
      <c r="D3777" s="1" t="str">
        <f>VLOOKUP($C3777, 'Instrument Table'!$B:$C, 2, FALSE)</f>
        <v>Other</v>
      </c>
      <c r="E3777" s="1">
        <f t="shared" si="348"/>
        <v>1</v>
      </c>
      <c r="F3777" s="1">
        <f>_xlfn.XLOOKUP($C3777, 'Instrument Table'!$B:$B, 'Instrument Table'!$A:$A, "")</f>
        <v>63</v>
      </c>
      <c r="G3777" s="1" t="str">
        <f>TEXT(IF($B3777 = "Retail Item", IF((ROW($A3777) - 4504 - _xlfn.XMATCH($C3777, $C$4506:$C$5005, 0, 1)) &lt;= VLOOKUP($C3777, 'Instrument Table'!$B:$D, 3, FALSE), ROW($A3777) - 4504 - _xlfn.XMATCH($C3777, $C$4506:$C$5005, 0, 1), 0), 0), "00")</f>
        <v>00</v>
      </c>
      <c r="H3777" s="1" t="str">
        <f t="shared" si="349"/>
        <v>021</v>
      </c>
      <c r="I3777" s="1" t="str">
        <f t="shared" si="350"/>
        <v>16300-021</v>
      </c>
      <c r="J3777" s="1" t="str">
        <f t="shared" si="351"/>
        <v>Instructional material production item #021</v>
      </c>
      <c r="K3777" s="1" t="str">
        <f>IF(SUM(COUNTIFS(I:I, I3777)) &gt; 1, "DUPLICATE", "UNIQUE")</f>
        <v>UNIQUE</v>
      </c>
      <c r="L3777" s="18">
        <v>0</v>
      </c>
      <c r="M3777" s="28">
        <v>6</v>
      </c>
      <c r="N3777" s="6">
        <v>16</v>
      </c>
      <c r="O3777" s="30">
        <f t="shared" si="352"/>
        <v>0</v>
      </c>
      <c r="P3777" s="30">
        <f t="shared" si="353"/>
        <v>96</v>
      </c>
      <c r="Q3777" s="1">
        <f>COUNTIFS($P:$P, "&gt;" &amp; $P3777) + 1</f>
        <v>4466</v>
      </c>
      <c r="R3777" s="63">
        <f>(COUNTIFS($P:$P, "&gt;" &amp; $P3777) + 1) / (COUNTA($I:$I) - 1)</f>
        <v>0.89319999999999999</v>
      </c>
      <c r="S3777" s="23">
        <f>SUMIFS($P:$P, $Q:$Q, "&lt;" &amp; $Q3777)</f>
        <v>186533802</v>
      </c>
    </row>
    <row r="3778" spans="1:19" x14ac:dyDescent="0.25">
      <c r="A3778" s="1">
        <v>3773</v>
      </c>
      <c r="B3778" s="1" t="s">
        <v>2</v>
      </c>
      <c r="C3778" s="1" t="str">
        <f>IF($B3778 = "Production Item", _xlfn.XLOOKUP($A3778, 'Instrument Table'!$J:$J, 'Instrument Table'!$B:$B, $C3777), IF($B3778 = "Service Item", _xlfn.XLOOKUP($A3778, 'Instrument Table'!$I:$I, 'Instrument Table'!$B:$B, $C3777), _xlfn.XLOOKUP($A3778, 'Instrument Table'!$H:$H, 'Instrument Table'!$B:$B, $C3777)))</f>
        <v>Instructional Material</v>
      </c>
      <c r="D3778" s="1" t="str">
        <f>VLOOKUP($C3778, 'Instrument Table'!$B:$C, 2, FALSE)</f>
        <v>Other</v>
      </c>
      <c r="E3778" s="1">
        <f t="shared" si="348"/>
        <v>1</v>
      </c>
      <c r="F3778" s="1">
        <f>_xlfn.XLOOKUP($C3778, 'Instrument Table'!$B:$B, 'Instrument Table'!$A:$A, "")</f>
        <v>63</v>
      </c>
      <c r="G3778" s="1" t="str">
        <f>TEXT(IF($B3778 = "Retail Item", IF((ROW($A3778) - 4504 - _xlfn.XMATCH($C3778, $C$4506:$C$5005, 0, 1)) &lt;= VLOOKUP($C3778, 'Instrument Table'!$B:$D, 3, FALSE), ROW($A3778) - 4504 - _xlfn.XMATCH($C3778, $C$4506:$C$5005, 0, 1), 0), 0), "00")</f>
        <v>00</v>
      </c>
      <c r="H3778" s="1" t="str">
        <f t="shared" si="349"/>
        <v>022</v>
      </c>
      <c r="I3778" s="1" t="str">
        <f t="shared" si="350"/>
        <v>16300-022</v>
      </c>
      <c r="J3778" s="1" t="str">
        <f t="shared" si="351"/>
        <v>Instructional material production item #022</v>
      </c>
      <c r="K3778" s="1" t="str">
        <f>IF(SUM(COUNTIFS(I:I, I3778)) &gt; 1, "DUPLICATE", "UNIQUE")</f>
        <v>UNIQUE</v>
      </c>
      <c r="L3778" s="18">
        <v>0</v>
      </c>
      <c r="M3778" s="28">
        <v>32</v>
      </c>
      <c r="N3778" s="6">
        <v>324</v>
      </c>
      <c r="O3778" s="30">
        <f t="shared" si="352"/>
        <v>0</v>
      </c>
      <c r="P3778" s="30">
        <f t="shared" si="353"/>
        <v>10368</v>
      </c>
      <c r="Q3778" s="1">
        <f>COUNTIFS($P:$P, "&gt;" &amp; $P3778) + 1</f>
        <v>1741</v>
      </c>
      <c r="R3778" s="63">
        <f>(COUNTIFS($P:$P, "&gt;" &amp; $P3778) + 1) / (COUNTA($I:$I) - 1)</f>
        <v>0.34820000000000001</v>
      </c>
      <c r="S3778" s="23">
        <f>SUMIFS($P:$P, $Q:$Q, "&lt;" &amp; $Q3778)</f>
        <v>177648980</v>
      </c>
    </row>
    <row r="3779" spans="1:19" x14ac:dyDescent="0.25">
      <c r="A3779" s="1">
        <v>3774</v>
      </c>
      <c r="B3779" s="1" t="s">
        <v>2</v>
      </c>
      <c r="C3779" s="1" t="str">
        <f>IF($B3779 = "Production Item", _xlfn.XLOOKUP($A3779, 'Instrument Table'!$J:$J, 'Instrument Table'!$B:$B, $C3778), IF($B3779 = "Service Item", _xlfn.XLOOKUP($A3779, 'Instrument Table'!$I:$I, 'Instrument Table'!$B:$B, $C3778), _xlfn.XLOOKUP($A3779, 'Instrument Table'!$H:$H, 'Instrument Table'!$B:$B, $C3778)))</f>
        <v>Instructional Material</v>
      </c>
      <c r="D3779" s="1" t="str">
        <f>VLOOKUP($C3779, 'Instrument Table'!$B:$C, 2, FALSE)</f>
        <v>Other</v>
      </c>
      <c r="E3779" s="1">
        <f t="shared" si="348"/>
        <v>1</v>
      </c>
      <c r="F3779" s="1">
        <f>_xlfn.XLOOKUP($C3779, 'Instrument Table'!$B:$B, 'Instrument Table'!$A:$A, "")</f>
        <v>63</v>
      </c>
      <c r="G3779" s="1" t="str">
        <f>TEXT(IF($B3779 = "Retail Item", IF((ROW($A3779) - 4504 - _xlfn.XMATCH($C3779, $C$4506:$C$5005, 0, 1)) &lt;= VLOOKUP($C3779, 'Instrument Table'!$B:$D, 3, FALSE), ROW($A3779) - 4504 - _xlfn.XMATCH($C3779, $C$4506:$C$5005, 0, 1), 0), 0), "00")</f>
        <v>00</v>
      </c>
      <c r="H3779" s="1" t="str">
        <f t="shared" si="349"/>
        <v>023</v>
      </c>
      <c r="I3779" s="1" t="str">
        <f t="shared" si="350"/>
        <v>16300-023</v>
      </c>
      <c r="J3779" s="1" t="str">
        <f t="shared" si="351"/>
        <v>Instructional material production item #023</v>
      </c>
      <c r="K3779" s="1" t="str">
        <f>IF(SUM(COUNTIFS(I:I, I3779)) &gt; 1, "DUPLICATE", "UNIQUE")</f>
        <v>UNIQUE</v>
      </c>
      <c r="L3779" s="18">
        <v>32</v>
      </c>
      <c r="M3779" s="28">
        <v>23</v>
      </c>
      <c r="N3779" s="6">
        <v>196</v>
      </c>
      <c r="O3779" s="30">
        <f t="shared" si="352"/>
        <v>736</v>
      </c>
      <c r="P3779" s="30">
        <f t="shared" si="353"/>
        <v>4508</v>
      </c>
      <c r="Q3779" s="1">
        <f>COUNTIFS($P:$P, "&gt;" &amp; $P3779) + 1</f>
        <v>2542</v>
      </c>
      <c r="R3779" s="63">
        <f>(COUNTIFS($P:$P, "&gt;" &amp; $P3779) + 1) / (COUNTA($I:$I) - 1)</f>
        <v>0.50839999999999996</v>
      </c>
      <c r="S3779" s="23">
        <f>SUMIFS($P:$P, $Q:$Q, "&lt;" &amp; $Q3779)</f>
        <v>183308991</v>
      </c>
    </row>
    <row r="3780" spans="1:19" x14ac:dyDescent="0.25">
      <c r="A3780" s="1">
        <v>3775</v>
      </c>
      <c r="B3780" s="1" t="s">
        <v>2</v>
      </c>
      <c r="C3780" s="1" t="str">
        <f>IF($B3780 = "Production Item", _xlfn.XLOOKUP($A3780, 'Instrument Table'!$J:$J, 'Instrument Table'!$B:$B, $C3779), IF($B3780 = "Service Item", _xlfn.XLOOKUP($A3780, 'Instrument Table'!$I:$I, 'Instrument Table'!$B:$B, $C3779), _xlfn.XLOOKUP($A3780, 'Instrument Table'!$H:$H, 'Instrument Table'!$B:$B, $C3779)))</f>
        <v>Instructional Material</v>
      </c>
      <c r="D3780" s="1" t="str">
        <f>VLOOKUP($C3780, 'Instrument Table'!$B:$C, 2, FALSE)</f>
        <v>Other</v>
      </c>
      <c r="E3780" s="1">
        <f t="shared" si="348"/>
        <v>1</v>
      </c>
      <c r="F3780" s="1">
        <f>_xlfn.XLOOKUP($C3780, 'Instrument Table'!$B:$B, 'Instrument Table'!$A:$A, "")</f>
        <v>63</v>
      </c>
      <c r="G3780" s="1" t="str">
        <f>TEXT(IF($B3780 = "Retail Item", IF((ROW($A3780) - 4504 - _xlfn.XMATCH($C3780, $C$4506:$C$5005, 0, 1)) &lt;= VLOOKUP($C3780, 'Instrument Table'!$B:$D, 3, FALSE), ROW($A3780) - 4504 - _xlfn.XMATCH($C3780, $C$4506:$C$5005, 0, 1), 0), 0), "00")</f>
        <v>00</v>
      </c>
      <c r="H3780" s="1" t="str">
        <f t="shared" si="349"/>
        <v>024</v>
      </c>
      <c r="I3780" s="1" t="str">
        <f t="shared" si="350"/>
        <v>16300-024</v>
      </c>
      <c r="J3780" s="1" t="str">
        <f t="shared" si="351"/>
        <v>Instructional material production item #024</v>
      </c>
      <c r="K3780" s="1" t="str">
        <f>IF(SUM(COUNTIFS(I:I, I3780)) &gt; 1, "DUPLICATE", "UNIQUE")</f>
        <v>UNIQUE</v>
      </c>
      <c r="L3780" s="18">
        <v>1</v>
      </c>
      <c r="M3780" s="28">
        <v>40</v>
      </c>
      <c r="N3780" s="6">
        <v>25</v>
      </c>
      <c r="O3780" s="30">
        <f t="shared" si="352"/>
        <v>40</v>
      </c>
      <c r="P3780" s="30">
        <f t="shared" si="353"/>
        <v>1000</v>
      </c>
      <c r="Q3780" s="1">
        <f>COUNTIFS($P:$P, "&gt;" &amp; $P3780) + 1</f>
        <v>3679</v>
      </c>
      <c r="R3780" s="63">
        <f>(COUNTIFS($P:$P, "&gt;" &amp; $P3780) + 1) / (COUNTA($I:$I) - 1)</f>
        <v>0.73580000000000001</v>
      </c>
      <c r="S3780" s="23">
        <f>SUMIFS($P:$P, $Q:$Q, "&lt;" &amp; $Q3780)</f>
        <v>186158143</v>
      </c>
    </row>
    <row r="3781" spans="1:19" x14ac:dyDescent="0.25">
      <c r="A3781" s="1">
        <v>3776</v>
      </c>
      <c r="B3781" s="1" t="s">
        <v>2</v>
      </c>
      <c r="C3781" s="1" t="str">
        <f>IF($B3781 = "Production Item", _xlfn.XLOOKUP($A3781, 'Instrument Table'!$J:$J, 'Instrument Table'!$B:$B, $C3780), IF($B3781 = "Service Item", _xlfn.XLOOKUP($A3781, 'Instrument Table'!$I:$I, 'Instrument Table'!$B:$B, $C3780), _xlfn.XLOOKUP($A3781, 'Instrument Table'!$H:$H, 'Instrument Table'!$B:$B, $C3780)))</f>
        <v>Instructional Material</v>
      </c>
      <c r="D3781" s="1" t="str">
        <f>VLOOKUP($C3781, 'Instrument Table'!$B:$C, 2, FALSE)</f>
        <v>Other</v>
      </c>
      <c r="E3781" s="1">
        <f t="shared" si="348"/>
        <v>1</v>
      </c>
      <c r="F3781" s="1">
        <f>_xlfn.XLOOKUP($C3781, 'Instrument Table'!$B:$B, 'Instrument Table'!$A:$A, "")</f>
        <v>63</v>
      </c>
      <c r="G3781" s="1" t="str">
        <f>TEXT(IF($B3781 = "Retail Item", IF((ROW($A3781) - 4504 - _xlfn.XMATCH($C3781, $C$4506:$C$5005, 0, 1)) &lt;= VLOOKUP($C3781, 'Instrument Table'!$B:$D, 3, FALSE), ROW($A3781) - 4504 - _xlfn.XMATCH($C3781, $C$4506:$C$5005, 0, 1), 0), 0), "00")</f>
        <v>00</v>
      </c>
      <c r="H3781" s="1" t="str">
        <f t="shared" si="349"/>
        <v>025</v>
      </c>
      <c r="I3781" s="1" t="str">
        <f t="shared" si="350"/>
        <v>16300-025</v>
      </c>
      <c r="J3781" s="1" t="str">
        <f t="shared" si="351"/>
        <v>Instructional material production item #025</v>
      </c>
      <c r="K3781" s="1" t="str">
        <f>IF(SUM(COUNTIFS(I:I, I3781)) &gt; 1, "DUPLICATE", "UNIQUE")</f>
        <v>UNIQUE</v>
      </c>
      <c r="L3781" s="18">
        <v>1</v>
      </c>
      <c r="M3781" s="28">
        <v>3</v>
      </c>
      <c r="N3781" s="6">
        <v>225</v>
      </c>
      <c r="O3781" s="30">
        <f t="shared" si="352"/>
        <v>3</v>
      </c>
      <c r="P3781" s="30">
        <f t="shared" si="353"/>
        <v>675</v>
      </c>
      <c r="Q3781" s="1">
        <f>COUNTIFS($P:$P, "&gt;" &amp; $P3781) + 1</f>
        <v>3894</v>
      </c>
      <c r="R3781" s="63">
        <f>(COUNTIFS($P:$P, "&gt;" &amp; $P3781) + 1) / (COUNTA($I:$I) - 1)</f>
        <v>0.77880000000000005</v>
      </c>
      <c r="S3781" s="23">
        <f>SUMIFS($P:$P, $Q:$Q, "&lt;" &amp; $Q3781)</f>
        <v>186334804</v>
      </c>
    </row>
    <row r="3782" spans="1:19" x14ac:dyDescent="0.25">
      <c r="A3782" s="1">
        <v>3777</v>
      </c>
      <c r="B3782" s="1" t="s">
        <v>2</v>
      </c>
      <c r="C3782" s="1" t="str">
        <f>IF($B3782 = "Production Item", _xlfn.XLOOKUP($A3782, 'Instrument Table'!$J:$J, 'Instrument Table'!$B:$B, $C3781), IF($B3782 = "Service Item", _xlfn.XLOOKUP($A3782, 'Instrument Table'!$I:$I, 'Instrument Table'!$B:$B, $C3781), _xlfn.XLOOKUP($A3782, 'Instrument Table'!$H:$H, 'Instrument Table'!$B:$B, $C3781)))</f>
        <v>Instructional Material</v>
      </c>
      <c r="D3782" s="1" t="str">
        <f>VLOOKUP($C3782, 'Instrument Table'!$B:$C, 2, FALSE)</f>
        <v>Other</v>
      </c>
      <c r="E3782" s="1">
        <f t="shared" si="348"/>
        <v>1</v>
      </c>
      <c r="F3782" s="1">
        <f>_xlfn.XLOOKUP($C3782, 'Instrument Table'!$B:$B, 'Instrument Table'!$A:$A, "")</f>
        <v>63</v>
      </c>
      <c r="G3782" s="1" t="str">
        <f>TEXT(IF($B3782 = "Retail Item", IF((ROW($A3782) - 4504 - _xlfn.XMATCH($C3782, $C$4506:$C$5005, 0, 1)) &lt;= VLOOKUP($C3782, 'Instrument Table'!$B:$D, 3, FALSE), ROW($A3782) - 4504 - _xlfn.XMATCH($C3782, $C$4506:$C$5005, 0, 1), 0), 0), "00")</f>
        <v>00</v>
      </c>
      <c r="H3782" s="1" t="str">
        <f t="shared" si="349"/>
        <v>026</v>
      </c>
      <c r="I3782" s="1" t="str">
        <f t="shared" si="350"/>
        <v>16300-026</v>
      </c>
      <c r="J3782" s="1" t="str">
        <f t="shared" si="351"/>
        <v>Instructional material production item #026</v>
      </c>
      <c r="K3782" s="1" t="str">
        <f>IF(SUM(COUNTIFS(I:I, I3782)) &gt; 1, "DUPLICATE", "UNIQUE")</f>
        <v>UNIQUE</v>
      </c>
      <c r="L3782" s="18">
        <v>1</v>
      </c>
      <c r="M3782" s="28">
        <v>89</v>
      </c>
      <c r="N3782" s="6">
        <v>144</v>
      </c>
      <c r="O3782" s="30">
        <f t="shared" si="352"/>
        <v>89</v>
      </c>
      <c r="P3782" s="30">
        <f t="shared" si="353"/>
        <v>12816</v>
      </c>
      <c r="Q3782" s="1">
        <f>COUNTIFS($P:$P, "&gt;" &amp; $P3782) + 1</f>
        <v>1515</v>
      </c>
      <c r="R3782" s="63">
        <f>(COUNTIFS($P:$P, "&gt;" &amp; $P3782) + 1) / (COUNTA($I:$I) - 1)</f>
        <v>0.30299999999999999</v>
      </c>
      <c r="S3782" s="23">
        <f>SUMIFS($P:$P, $Q:$Q, "&lt;" &amp; $Q3782)</f>
        <v>175033465</v>
      </c>
    </row>
    <row r="3783" spans="1:19" x14ac:dyDescent="0.25">
      <c r="A3783" s="1">
        <v>3778</v>
      </c>
      <c r="B3783" s="1" t="s">
        <v>2</v>
      </c>
      <c r="C3783" s="1" t="str">
        <f>IF($B3783 = "Production Item", _xlfn.XLOOKUP($A3783, 'Instrument Table'!$J:$J, 'Instrument Table'!$B:$B, $C3782), IF($B3783 = "Service Item", _xlfn.XLOOKUP($A3783, 'Instrument Table'!$I:$I, 'Instrument Table'!$B:$B, $C3782), _xlfn.XLOOKUP($A3783, 'Instrument Table'!$H:$H, 'Instrument Table'!$B:$B, $C3782)))</f>
        <v>Instructional Material</v>
      </c>
      <c r="D3783" s="1" t="str">
        <f>VLOOKUP($C3783, 'Instrument Table'!$B:$C, 2, FALSE)</f>
        <v>Other</v>
      </c>
      <c r="E3783" s="1">
        <f t="shared" ref="E3783:E3846" si="354">IF($B3783 = "Production Item", 1, IF($B3783 = "Service Item", 2, IF($B3783 = "Retail Item", 3, "")))</f>
        <v>1</v>
      </c>
      <c r="F3783" s="1">
        <f>_xlfn.XLOOKUP($C3783, 'Instrument Table'!$B:$B, 'Instrument Table'!$A:$A, "")</f>
        <v>63</v>
      </c>
      <c r="G3783" s="1" t="str">
        <f>TEXT(IF($B3783 = "Retail Item", IF((ROW($A3783) - 4504 - _xlfn.XMATCH($C3783, $C$4506:$C$5005, 0, 1)) &lt;= VLOOKUP($C3783, 'Instrument Table'!$B:$D, 3, FALSE), ROW($A3783) - 4504 - _xlfn.XMATCH($C3783, $C$4506:$C$5005, 0, 1), 0), 0), "00")</f>
        <v>00</v>
      </c>
      <c r="H3783" s="1" t="str">
        <f t="shared" ref="H3783:H3846" si="355">TEXT(IF($E3783 &amp; $F3783 &amp; $G3783 = $E3782 &amp; $F3782 &amp; $G3782, 1 + H3782, 0), "000")</f>
        <v>027</v>
      </c>
      <c r="I3783" s="1" t="str">
        <f t="shared" ref="I3783:I3846" si="356" xml:space="preserve"> _xlfn.CONCAT($E3783, $F3783, $G3783, "-", H3783)</f>
        <v>16300-027</v>
      </c>
      <c r="J3783" s="1" t="str">
        <f t="shared" ref="J3783:J3846" si="357">LEFT($C3783, 1) &amp; LOWER(RIGHT($C3783, LEN($C3783) - 1)) &amp; IF(AND($G3783 &lt;&gt; "00", $B3783 = "Retail Item"), " model #" &amp; $G3783, " " &amp; LOWER($B3783) &amp; " #" &amp; $H3783)</f>
        <v>Instructional material production item #027</v>
      </c>
      <c r="K3783" s="1" t="str">
        <f>IF(SUM(COUNTIFS(I:I, I3783)) &gt; 1, "DUPLICATE", "UNIQUE")</f>
        <v>UNIQUE</v>
      </c>
      <c r="L3783" s="18">
        <v>1</v>
      </c>
      <c r="M3783" s="28">
        <v>23</v>
      </c>
      <c r="N3783" s="6">
        <v>225</v>
      </c>
      <c r="O3783" s="30">
        <f t="shared" ref="O3783:O3846" si="358">$L3783 * $M3783</f>
        <v>23</v>
      </c>
      <c r="P3783" s="30">
        <f t="shared" ref="P3783:P3846" si="359">$N3783 * $M3783</f>
        <v>5175</v>
      </c>
      <c r="Q3783" s="1">
        <f>COUNTIFS($P:$P, "&gt;" &amp; $P3783) + 1</f>
        <v>2420</v>
      </c>
      <c r="R3783" s="63">
        <f>(COUNTIFS($P:$P, "&gt;" &amp; $P3783) + 1) / (COUNTA($I:$I) - 1)</f>
        <v>0.48399999999999999</v>
      </c>
      <c r="S3783" s="23">
        <f>SUMIFS($P:$P, $Q:$Q, "&lt;" &amp; $Q3783)</f>
        <v>182720400</v>
      </c>
    </row>
    <row r="3784" spans="1:19" x14ac:dyDescent="0.25">
      <c r="A3784" s="1">
        <v>3779</v>
      </c>
      <c r="B3784" s="1" t="s">
        <v>2</v>
      </c>
      <c r="C3784" s="1" t="str">
        <f>IF($B3784 = "Production Item", _xlfn.XLOOKUP($A3784, 'Instrument Table'!$J:$J, 'Instrument Table'!$B:$B, $C3783), IF($B3784 = "Service Item", _xlfn.XLOOKUP($A3784, 'Instrument Table'!$I:$I, 'Instrument Table'!$B:$B, $C3783), _xlfn.XLOOKUP($A3784, 'Instrument Table'!$H:$H, 'Instrument Table'!$B:$B, $C3783)))</f>
        <v>Instructional Material</v>
      </c>
      <c r="D3784" s="1" t="str">
        <f>VLOOKUP($C3784, 'Instrument Table'!$B:$C, 2, FALSE)</f>
        <v>Other</v>
      </c>
      <c r="E3784" s="1">
        <f t="shared" si="354"/>
        <v>1</v>
      </c>
      <c r="F3784" s="1">
        <f>_xlfn.XLOOKUP($C3784, 'Instrument Table'!$B:$B, 'Instrument Table'!$A:$A, "")</f>
        <v>63</v>
      </c>
      <c r="G3784" s="1" t="str">
        <f>TEXT(IF($B3784 = "Retail Item", IF((ROW($A3784) - 4504 - _xlfn.XMATCH($C3784, $C$4506:$C$5005, 0, 1)) &lt;= VLOOKUP($C3784, 'Instrument Table'!$B:$D, 3, FALSE), ROW($A3784) - 4504 - _xlfn.XMATCH($C3784, $C$4506:$C$5005, 0, 1), 0), 0), "00")</f>
        <v>00</v>
      </c>
      <c r="H3784" s="1" t="str">
        <f t="shared" si="355"/>
        <v>028</v>
      </c>
      <c r="I3784" s="1" t="str">
        <f t="shared" si="356"/>
        <v>16300-028</v>
      </c>
      <c r="J3784" s="1" t="str">
        <f t="shared" si="357"/>
        <v>Instructional material production item #028</v>
      </c>
      <c r="K3784" s="1" t="str">
        <f>IF(SUM(COUNTIFS(I:I, I3784)) &gt; 1, "DUPLICATE", "UNIQUE")</f>
        <v>UNIQUE</v>
      </c>
      <c r="L3784" s="18">
        <v>1</v>
      </c>
      <c r="M3784" s="28">
        <v>15</v>
      </c>
      <c r="N3784" s="6">
        <v>0</v>
      </c>
      <c r="O3784" s="30">
        <f t="shared" si="358"/>
        <v>15</v>
      </c>
      <c r="P3784" s="30">
        <f t="shared" si="359"/>
        <v>0</v>
      </c>
      <c r="Q3784" s="1">
        <f>COUNTIFS($P:$P, "&gt;" &amp; $P3784) + 1</f>
        <v>4746</v>
      </c>
      <c r="R3784" s="63">
        <f>(COUNTIFS($P:$P, "&gt;" &amp; $P3784) + 1) / (COUNTA($I:$I) - 1)</f>
        <v>0.94920000000000004</v>
      </c>
      <c r="S3784" s="23">
        <f>SUMIFS($P:$P, $Q:$Q, "&lt;" &amp; $Q3784)</f>
        <v>186547861</v>
      </c>
    </row>
    <row r="3785" spans="1:19" x14ac:dyDescent="0.25">
      <c r="A3785" s="1">
        <v>3780</v>
      </c>
      <c r="B3785" s="1" t="s">
        <v>2</v>
      </c>
      <c r="C3785" s="1" t="str">
        <f>IF($B3785 = "Production Item", _xlfn.XLOOKUP($A3785, 'Instrument Table'!$J:$J, 'Instrument Table'!$B:$B, $C3784), IF($B3785 = "Service Item", _xlfn.XLOOKUP($A3785, 'Instrument Table'!$I:$I, 'Instrument Table'!$B:$B, $C3784), _xlfn.XLOOKUP($A3785, 'Instrument Table'!$H:$H, 'Instrument Table'!$B:$B, $C3784)))</f>
        <v>Instructional Material</v>
      </c>
      <c r="D3785" s="1" t="str">
        <f>VLOOKUP($C3785, 'Instrument Table'!$B:$C, 2, FALSE)</f>
        <v>Other</v>
      </c>
      <c r="E3785" s="1">
        <f t="shared" si="354"/>
        <v>1</v>
      </c>
      <c r="F3785" s="1">
        <f>_xlfn.XLOOKUP($C3785, 'Instrument Table'!$B:$B, 'Instrument Table'!$A:$A, "")</f>
        <v>63</v>
      </c>
      <c r="G3785" s="1" t="str">
        <f>TEXT(IF($B3785 = "Retail Item", IF((ROW($A3785) - 4504 - _xlfn.XMATCH($C3785, $C$4506:$C$5005, 0, 1)) &lt;= VLOOKUP($C3785, 'Instrument Table'!$B:$D, 3, FALSE), ROW($A3785) - 4504 - _xlfn.XMATCH($C3785, $C$4506:$C$5005, 0, 1), 0), 0), "00")</f>
        <v>00</v>
      </c>
      <c r="H3785" s="1" t="str">
        <f t="shared" si="355"/>
        <v>029</v>
      </c>
      <c r="I3785" s="1" t="str">
        <f t="shared" si="356"/>
        <v>16300-029</v>
      </c>
      <c r="J3785" s="1" t="str">
        <f t="shared" si="357"/>
        <v>Instructional material production item #029</v>
      </c>
      <c r="K3785" s="1" t="str">
        <f>IF(SUM(COUNTIFS(I:I, I3785)) &gt; 1, "DUPLICATE", "UNIQUE")</f>
        <v>UNIQUE</v>
      </c>
      <c r="L3785" s="18">
        <v>1</v>
      </c>
      <c r="M3785" s="28">
        <v>63</v>
      </c>
      <c r="N3785" s="6">
        <v>256</v>
      </c>
      <c r="O3785" s="30">
        <f t="shared" si="358"/>
        <v>63</v>
      </c>
      <c r="P3785" s="30">
        <f t="shared" si="359"/>
        <v>16128</v>
      </c>
      <c r="Q3785" s="1">
        <f>COUNTIFS($P:$P, "&gt;" &amp; $P3785) + 1</f>
        <v>1276</v>
      </c>
      <c r="R3785" s="63">
        <f>(COUNTIFS($P:$P, "&gt;" &amp; $P3785) + 1) / (COUNTA($I:$I) - 1)</f>
        <v>0.25519999999999998</v>
      </c>
      <c r="S3785" s="23">
        <f>SUMIFS($P:$P, $Q:$Q, "&lt;" &amp; $Q3785)</f>
        <v>171592386</v>
      </c>
    </row>
    <row r="3786" spans="1:19" x14ac:dyDescent="0.25">
      <c r="A3786" s="1">
        <v>3781</v>
      </c>
      <c r="B3786" s="1" t="s">
        <v>2</v>
      </c>
      <c r="C3786" s="1" t="str">
        <f>IF($B3786 = "Production Item", _xlfn.XLOOKUP($A3786, 'Instrument Table'!$J:$J, 'Instrument Table'!$B:$B, $C3785), IF($B3786 = "Service Item", _xlfn.XLOOKUP($A3786, 'Instrument Table'!$I:$I, 'Instrument Table'!$B:$B, $C3785), _xlfn.XLOOKUP($A3786, 'Instrument Table'!$H:$H, 'Instrument Table'!$B:$B, $C3785)))</f>
        <v>Instructional Material</v>
      </c>
      <c r="D3786" s="1" t="str">
        <f>VLOOKUP($C3786, 'Instrument Table'!$B:$C, 2, FALSE)</f>
        <v>Other</v>
      </c>
      <c r="E3786" s="1">
        <f t="shared" si="354"/>
        <v>1</v>
      </c>
      <c r="F3786" s="1">
        <f>_xlfn.XLOOKUP($C3786, 'Instrument Table'!$B:$B, 'Instrument Table'!$A:$A, "")</f>
        <v>63</v>
      </c>
      <c r="G3786" s="1" t="str">
        <f>TEXT(IF($B3786 = "Retail Item", IF((ROW($A3786) - 4504 - _xlfn.XMATCH($C3786, $C$4506:$C$5005, 0, 1)) &lt;= VLOOKUP($C3786, 'Instrument Table'!$B:$D, 3, FALSE), ROW($A3786) - 4504 - _xlfn.XMATCH($C3786, $C$4506:$C$5005, 0, 1), 0), 0), "00")</f>
        <v>00</v>
      </c>
      <c r="H3786" s="1" t="str">
        <f t="shared" si="355"/>
        <v>030</v>
      </c>
      <c r="I3786" s="1" t="str">
        <f t="shared" si="356"/>
        <v>16300-030</v>
      </c>
      <c r="J3786" s="1" t="str">
        <f t="shared" si="357"/>
        <v>Instructional material production item #030</v>
      </c>
      <c r="K3786" s="1" t="str">
        <f>IF(SUM(COUNTIFS(I:I, I3786)) &gt; 1, "DUPLICATE", "UNIQUE")</f>
        <v>UNIQUE</v>
      </c>
      <c r="L3786" s="18">
        <v>0</v>
      </c>
      <c r="M3786" s="28">
        <v>78</v>
      </c>
      <c r="N3786" s="6">
        <v>324</v>
      </c>
      <c r="O3786" s="30">
        <f t="shared" si="358"/>
        <v>0</v>
      </c>
      <c r="P3786" s="30">
        <f t="shared" si="359"/>
        <v>25272</v>
      </c>
      <c r="Q3786" s="1">
        <f>COUNTIFS($P:$P, "&gt;" &amp; $P3786) + 1</f>
        <v>815</v>
      </c>
      <c r="R3786" s="63">
        <f>(COUNTIFS($P:$P, "&gt;" &amp; $P3786) + 1) / (COUNTA($I:$I) - 1)</f>
        <v>0.16300000000000001</v>
      </c>
      <c r="S3786" s="23">
        <f>SUMIFS($P:$P, $Q:$Q, "&lt;" &amp; $Q3786)</f>
        <v>162211905</v>
      </c>
    </row>
    <row r="3787" spans="1:19" x14ac:dyDescent="0.25">
      <c r="A3787" s="1">
        <v>3782</v>
      </c>
      <c r="B3787" s="1" t="s">
        <v>2</v>
      </c>
      <c r="C3787" s="1" t="str">
        <f>IF($B3787 = "Production Item", _xlfn.XLOOKUP($A3787, 'Instrument Table'!$J:$J, 'Instrument Table'!$B:$B, $C3786), IF($B3787 = "Service Item", _xlfn.XLOOKUP($A3787, 'Instrument Table'!$I:$I, 'Instrument Table'!$B:$B, $C3786), _xlfn.XLOOKUP($A3787, 'Instrument Table'!$H:$H, 'Instrument Table'!$B:$B, $C3786)))</f>
        <v>Instructional Material</v>
      </c>
      <c r="D3787" s="1" t="str">
        <f>VLOOKUP($C3787, 'Instrument Table'!$B:$C, 2, FALSE)</f>
        <v>Other</v>
      </c>
      <c r="E3787" s="1">
        <f t="shared" si="354"/>
        <v>1</v>
      </c>
      <c r="F3787" s="1">
        <f>_xlfn.XLOOKUP($C3787, 'Instrument Table'!$B:$B, 'Instrument Table'!$A:$A, "")</f>
        <v>63</v>
      </c>
      <c r="G3787" s="1" t="str">
        <f>TEXT(IF($B3787 = "Retail Item", IF((ROW($A3787) - 4504 - _xlfn.XMATCH($C3787, $C$4506:$C$5005, 0, 1)) &lt;= VLOOKUP($C3787, 'Instrument Table'!$B:$D, 3, FALSE), ROW($A3787) - 4504 - _xlfn.XMATCH($C3787, $C$4506:$C$5005, 0, 1), 0), 0), "00")</f>
        <v>00</v>
      </c>
      <c r="H3787" s="1" t="str">
        <f t="shared" si="355"/>
        <v>031</v>
      </c>
      <c r="I3787" s="1" t="str">
        <f t="shared" si="356"/>
        <v>16300-031</v>
      </c>
      <c r="J3787" s="1" t="str">
        <f t="shared" si="357"/>
        <v>Instructional material production item #031</v>
      </c>
      <c r="K3787" s="1" t="str">
        <f>IF(SUM(COUNTIFS(I:I, I3787)) &gt; 1, "DUPLICATE", "UNIQUE")</f>
        <v>UNIQUE</v>
      </c>
      <c r="L3787" s="18">
        <v>0</v>
      </c>
      <c r="M3787" s="28">
        <v>8</v>
      </c>
      <c r="N3787" s="6">
        <v>400</v>
      </c>
      <c r="O3787" s="30">
        <f t="shared" si="358"/>
        <v>0</v>
      </c>
      <c r="P3787" s="30">
        <f t="shared" si="359"/>
        <v>3200</v>
      </c>
      <c r="Q3787" s="1">
        <f>COUNTIFS($P:$P, "&gt;" &amp; $P3787) + 1</f>
        <v>2857</v>
      </c>
      <c r="R3787" s="63">
        <f>(COUNTIFS($P:$P, "&gt;" &amp; $P3787) + 1) / (COUNTA($I:$I) - 1)</f>
        <v>0.57140000000000002</v>
      </c>
      <c r="S3787" s="23">
        <f>SUMIFS($P:$P, $Q:$Q, "&lt;" &amp; $Q3787)</f>
        <v>184514256</v>
      </c>
    </row>
    <row r="3788" spans="1:19" x14ac:dyDescent="0.25">
      <c r="A3788" s="1">
        <v>3783</v>
      </c>
      <c r="B3788" s="1" t="s">
        <v>2</v>
      </c>
      <c r="C3788" s="1" t="str">
        <f>IF($B3788 = "Production Item", _xlfn.XLOOKUP($A3788, 'Instrument Table'!$J:$J, 'Instrument Table'!$B:$B, $C3787), IF($B3788 = "Service Item", _xlfn.XLOOKUP($A3788, 'Instrument Table'!$I:$I, 'Instrument Table'!$B:$B, $C3787), _xlfn.XLOOKUP($A3788, 'Instrument Table'!$H:$H, 'Instrument Table'!$B:$B, $C3787)))</f>
        <v>Instructional Material</v>
      </c>
      <c r="D3788" s="1" t="str">
        <f>VLOOKUP($C3788, 'Instrument Table'!$B:$C, 2, FALSE)</f>
        <v>Other</v>
      </c>
      <c r="E3788" s="1">
        <f t="shared" si="354"/>
        <v>1</v>
      </c>
      <c r="F3788" s="1">
        <f>_xlfn.XLOOKUP($C3788, 'Instrument Table'!$B:$B, 'Instrument Table'!$A:$A, "")</f>
        <v>63</v>
      </c>
      <c r="G3788" s="1" t="str">
        <f>TEXT(IF($B3788 = "Retail Item", IF((ROW($A3788) - 4504 - _xlfn.XMATCH($C3788, $C$4506:$C$5005, 0, 1)) &lt;= VLOOKUP($C3788, 'Instrument Table'!$B:$D, 3, FALSE), ROW($A3788) - 4504 - _xlfn.XMATCH($C3788, $C$4506:$C$5005, 0, 1), 0), 0), "00")</f>
        <v>00</v>
      </c>
      <c r="H3788" s="1" t="str">
        <f t="shared" si="355"/>
        <v>032</v>
      </c>
      <c r="I3788" s="1" t="str">
        <f t="shared" si="356"/>
        <v>16300-032</v>
      </c>
      <c r="J3788" s="1" t="str">
        <f t="shared" si="357"/>
        <v>Instructional material production item #032</v>
      </c>
      <c r="K3788" s="1" t="str">
        <f>IF(SUM(COUNTIFS(I:I, I3788)) &gt; 1, "DUPLICATE", "UNIQUE")</f>
        <v>UNIQUE</v>
      </c>
      <c r="L3788" s="18">
        <v>1</v>
      </c>
      <c r="M3788" s="28">
        <v>48</v>
      </c>
      <c r="N3788" s="6">
        <v>16</v>
      </c>
      <c r="O3788" s="30">
        <f t="shared" si="358"/>
        <v>48</v>
      </c>
      <c r="P3788" s="30">
        <f t="shared" si="359"/>
        <v>768</v>
      </c>
      <c r="Q3788" s="1">
        <f>COUNTIFS($P:$P, "&gt;" &amp; $P3788) + 1</f>
        <v>3810</v>
      </c>
      <c r="R3788" s="63">
        <f>(COUNTIFS($P:$P, "&gt;" &amp; $P3788) + 1) / (COUNTA($I:$I) - 1)</f>
        <v>0.76200000000000001</v>
      </c>
      <c r="S3788" s="23">
        <f>SUMIFS($P:$P, $Q:$Q, "&lt;" &amp; $Q3788)</f>
        <v>186273454</v>
      </c>
    </row>
    <row r="3789" spans="1:19" x14ac:dyDescent="0.25">
      <c r="A3789" s="1">
        <v>3784</v>
      </c>
      <c r="B3789" s="1" t="s">
        <v>2</v>
      </c>
      <c r="C3789" s="1" t="str">
        <f>IF($B3789 = "Production Item", _xlfn.XLOOKUP($A3789, 'Instrument Table'!$J:$J, 'Instrument Table'!$B:$B, $C3788), IF($B3789 = "Service Item", _xlfn.XLOOKUP($A3789, 'Instrument Table'!$I:$I, 'Instrument Table'!$B:$B, $C3788), _xlfn.XLOOKUP($A3789, 'Instrument Table'!$H:$H, 'Instrument Table'!$B:$B, $C3788)))</f>
        <v>Instructional Material</v>
      </c>
      <c r="D3789" s="1" t="str">
        <f>VLOOKUP($C3789, 'Instrument Table'!$B:$C, 2, FALSE)</f>
        <v>Other</v>
      </c>
      <c r="E3789" s="1">
        <f t="shared" si="354"/>
        <v>1</v>
      </c>
      <c r="F3789" s="1">
        <f>_xlfn.XLOOKUP($C3789, 'Instrument Table'!$B:$B, 'Instrument Table'!$A:$A, "")</f>
        <v>63</v>
      </c>
      <c r="G3789" s="1" t="str">
        <f>TEXT(IF($B3789 = "Retail Item", IF((ROW($A3789) - 4504 - _xlfn.XMATCH($C3789, $C$4506:$C$5005, 0, 1)) &lt;= VLOOKUP($C3789, 'Instrument Table'!$B:$D, 3, FALSE), ROW($A3789) - 4504 - _xlfn.XMATCH($C3789, $C$4506:$C$5005, 0, 1), 0), 0), "00")</f>
        <v>00</v>
      </c>
      <c r="H3789" s="1" t="str">
        <f t="shared" si="355"/>
        <v>033</v>
      </c>
      <c r="I3789" s="1" t="str">
        <f t="shared" si="356"/>
        <v>16300-033</v>
      </c>
      <c r="J3789" s="1" t="str">
        <f t="shared" si="357"/>
        <v>Instructional material production item #033</v>
      </c>
      <c r="K3789" s="1" t="str">
        <f>IF(SUM(COUNTIFS(I:I, I3789)) &gt; 1, "DUPLICATE", "UNIQUE")</f>
        <v>UNIQUE</v>
      </c>
      <c r="L3789" s="18">
        <v>8</v>
      </c>
      <c r="M3789" s="28">
        <v>20</v>
      </c>
      <c r="N3789" s="6">
        <v>25</v>
      </c>
      <c r="O3789" s="30">
        <f t="shared" si="358"/>
        <v>160</v>
      </c>
      <c r="P3789" s="30">
        <f t="shared" si="359"/>
        <v>500</v>
      </c>
      <c r="Q3789" s="1">
        <f>COUNTIFS($P:$P, "&gt;" &amp; $P3789) + 1</f>
        <v>4026</v>
      </c>
      <c r="R3789" s="63">
        <f>(COUNTIFS($P:$P, "&gt;" &amp; $P3789) + 1) / (COUNTA($I:$I) - 1)</f>
        <v>0.80520000000000003</v>
      </c>
      <c r="S3789" s="23">
        <f>SUMIFS($P:$P, $Q:$Q, "&lt;" &amp; $Q3789)</f>
        <v>186411659</v>
      </c>
    </row>
    <row r="3790" spans="1:19" x14ac:dyDescent="0.25">
      <c r="A3790" s="1">
        <v>3785</v>
      </c>
      <c r="B3790" s="1" t="s">
        <v>2</v>
      </c>
      <c r="C3790" s="1" t="str">
        <f>IF($B3790 = "Production Item", _xlfn.XLOOKUP($A3790, 'Instrument Table'!$J:$J, 'Instrument Table'!$B:$B, $C3789), IF($B3790 = "Service Item", _xlfn.XLOOKUP($A3790, 'Instrument Table'!$I:$I, 'Instrument Table'!$B:$B, $C3789), _xlfn.XLOOKUP($A3790, 'Instrument Table'!$H:$H, 'Instrument Table'!$B:$B, $C3789)))</f>
        <v>Instructional Material</v>
      </c>
      <c r="D3790" s="1" t="str">
        <f>VLOOKUP($C3790, 'Instrument Table'!$B:$C, 2, FALSE)</f>
        <v>Other</v>
      </c>
      <c r="E3790" s="1">
        <f t="shared" si="354"/>
        <v>1</v>
      </c>
      <c r="F3790" s="1">
        <f>_xlfn.XLOOKUP($C3790, 'Instrument Table'!$B:$B, 'Instrument Table'!$A:$A, "")</f>
        <v>63</v>
      </c>
      <c r="G3790" s="1" t="str">
        <f>TEXT(IF($B3790 = "Retail Item", IF((ROW($A3790) - 4504 - _xlfn.XMATCH($C3790, $C$4506:$C$5005, 0, 1)) &lt;= VLOOKUP($C3790, 'Instrument Table'!$B:$D, 3, FALSE), ROW($A3790) - 4504 - _xlfn.XMATCH($C3790, $C$4506:$C$5005, 0, 1), 0), 0), "00")</f>
        <v>00</v>
      </c>
      <c r="H3790" s="1" t="str">
        <f t="shared" si="355"/>
        <v>034</v>
      </c>
      <c r="I3790" s="1" t="str">
        <f t="shared" si="356"/>
        <v>16300-034</v>
      </c>
      <c r="J3790" s="1" t="str">
        <f t="shared" si="357"/>
        <v>Instructional material production item #034</v>
      </c>
      <c r="K3790" s="1" t="str">
        <f>IF(SUM(COUNTIFS(I:I, I3790)) &gt; 1, "DUPLICATE", "UNIQUE")</f>
        <v>UNIQUE</v>
      </c>
      <c r="L3790" s="18">
        <v>1</v>
      </c>
      <c r="M3790" s="28">
        <v>31</v>
      </c>
      <c r="N3790" s="6">
        <v>0</v>
      </c>
      <c r="O3790" s="30">
        <f t="shared" si="358"/>
        <v>31</v>
      </c>
      <c r="P3790" s="30">
        <f t="shared" si="359"/>
        <v>0</v>
      </c>
      <c r="Q3790" s="1">
        <f>COUNTIFS($P:$P, "&gt;" &amp; $P3790) + 1</f>
        <v>4746</v>
      </c>
      <c r="R3790" s="63">
        <f>(COUNTIFS($P:$P, "&gt;" &amp; $P3790) + 1) / (COUNTA($I:$I) - 1)</f>
        <v>0.94920000000000004</v>
      </c>
      <c r="S3790" s="23">
        <f>SUMIFS($P:$P, $Q:$Q, "&lt;" &amp; $Q3790)</f>
        <v>186547861</v>
      </c>
    </row>
    <row r="3791" spans="1:19" x14ac:dyDescent="0.25">
      <c r="A3791" s="1">
        <v>3786</v>
      </c>
      <c r="B3791" s="1" t="s">
        <v>2</v>
      </c>
      <c r="C3791" s="1" t="str">
        <f>IF($B3791 = "Production Item", _xlfn.XLOOKUP($A3791, 'Instrument Table'!$J:$J, 'Instrument Table'!$B:$B, $C3790), IF($B3791 = "Service Item", _xlfn.XLOOKUP($A3791, 'Instrument Table'!$I:$I, 'Instrument Table'!$B:$B, $C3790), _xlfn.XLOOKUP($A3791, 'Instrument Table'!$H:$H, 'Instrument Table'!$B:$B, $C3790)))</f>
        <v>Instructional Material</v>
      </c>
      <c r="D3791" s="1" t="str">
        <f>VLOOKUP($C3791, 'Instrument Table'!$B:$C, 2, FALSE)</f>
        <v>Other</v>
      </c>
      <c r="E3791" s="1">
        <f t="shared" si="354"/>
        <v>1</v>
      </c>
      <c r="F3791" s="1">
        <f>_xlfn.XLOOKUP($C3791, 'Instrument Table'!$B:$B, 'Instrument Table'!$A:$A, "")</f>
        <v>63</v>
      </c>
      <c r="G3791" s="1" t="str">
        <f>TEXT(IF($B3791 = "Retail Item", IF((ROW($A3791) - 4504 - _xlfn.XMATCH($C3791, $C$4506:$C$5005, 0, 1)) &lt;= VLOOKUP($C3791, 'Instrument Table'!$B:$D, 3, FALSE), ROW($A3791) - 4504 - _xlfn.XMATCH($C3791, $C$4506:$C$5005, 0, 1), 0), 0), "00")</f>
        <v>00</v>
      </c>
      <c r="H3791" s="1" t="str">
        <f t="shared" si="355"/>
        <v>035</v>
      </c>
      <c r="I3791" s="1" t="str">
        <f t="shared" si="356"/>
        <v>16300-035</v>
      </c>
      <c r="J3791" s="1" t="str">
        <f t="shared" si="357"/>
        <v>Instructional material production item #035</v>
      </c>
      <c r="K3791" s="1" t="str">
        <f>IF(SUM(COUNTIFS(I:I, I3791)) &gt; 1, "DUPLICATE", "UNIQUE")</f>
        <v>UNIQUE</v>
      </c>
      <c r="L3791" s="18">
        <v>1</v>
      </c>
      <c r="M3791" s="28">
        <v>48</v>
      </c>
      <c r="N3791" s="6">
        <v>100</v>
      </c>
      <c r="O3791" s="30">
        <f t="shared" si="358"/>
        <v>48</v>
      </c>
      <c r="P3791" s="30">
        <f t="shared" si="359"/>
        <v>4800</v>
      </c>
      <c r="Q3791" s="1">
        <f>COUNTIFS($P:$P, "&gt;" &amp; $P3791) + 1</f>
        <v>2486</v>
      </c>
      <c r="R3791" s="63">
        <f>(COUNTIFS($P:$P, "&gt;" &amp; $P3791) + 1) / (COUNTA($I:$I) - 1)</f>
        <v>0.49719999999999998</v>
      </c>
      <c r="S3791" s="23">
        <f>SUMIFS($P:$P, $Q:$Q, "&lt;" &amp; $Q3791)</f>
        <v>183048530</v>
      </c>
    </row>
    <row r="3792" spans="1:19" x14ac:dyDescent="0.25">
      <c r="A3792" s="1">
        <v>3787</v>
      </c>
      <c r="B3792" s="1" t="s">
        <v>2</v>
      </c>
      <c r="C3792" s="1" t="str">
        <f>IF($B3792 = "Production Item", _xlfn.XLOOKUP($A3792, 'Instrument Table'!$J:$J, 'Instrument Table'!$B:$B, $C3791), IF($B3792 = "Service Item", _xlfn.XLOOKUP($A3792, 'Instrument Table'!$I:$I, 'Instrument Table'!$B:$B, $C3791), _xlfn.XLOOKUP($A3792, 'Instrument Table'!$H:$H, 'Instrument Table'!$B:$B, $C3791)))</f>
        <v>Instructional Material</v>
      </c>
      <c r="D3792" s="1" t="str">
        <f>VLOOKUP($C3792, 'Instrument Table'!$B:$C, 2, FALSE)</f>
        <v>Other</v>
      </c>
      <c r="E3792" s="1">
        <f t="shared" si="354"/>
        <v>1</v>
      </c>
      <c r="F3792" s="1">
        <f>_xlfn.XLOOKUP($C3792, 'Instrument Table'!$B:$B, 'Instrument Table'!$A:$A, "")</f>
        <v>63</v>
      </c>
      <c r="G3792" s="1" t="str">
        <f>TEXT(IF($B3792 = "Retail Item", IF((ROW($A3792) - 4504 - _xlfn.XMATCH($C3792, $C$4506:$C$5005, 0, 1)) &lt;= VLOOKUP($C3792, 'Instrument Table'!$B:$D, 3, FALSE), ROW($A3792) - 4504 - _xlfn.XMATCH($C3792, $C$4506:$C$5005, 0, 1), 0), 0), "00")</f>
        <v>00</v>
      </c>
      <c r="H3792" s="1" t="str">
        <f t="shared" si="355"/>
        <v>036</v>
      </c>
      <c r="I3792" s="1" t="str">
        <f t="shared" si="356"/>
        <v>16300-036</v>
      </c>
      <c r="J3792" s="1" t="str">
        <f t="shared" si="357"/>
        <v>Instructional material production item #036</v>
      </c>
      <c r="K3792" s="1" t="str">
        <f>IF(SUM(COUNTIFS(I:I, I3792)) &gt; 1, "DUPLICATE", "UNIQUE")</f>
        <v>UNIQUE</v>
      </c>
      <c r="L3792" s="18">
        <v>0</v>
      </c>
      <c r="M3792" s="28">
        <v>34</v>
      </c>
      <c r="N3792" s="6">
        <v>0</v>
      </c>
      <c r="O3792" s="30">
        <f t="shared" si="358"/>
        <v>0</v>
      </c>
      <c r="P3792" s="30">
        <f t="shared" si="359"/>
        <v>0</v>
      </c>
      <c r="Q3792" s="1">
        <f>COUNTIFS($P:$P, "&gt;" &amp; $P3792) + 1</f>
        <v>4746</v>
      </c>
      <c r="R3792" s="63">
        <f>(COUNTIFS($P:$P, "&gt;" &amp; $P3792) + 1) / (COUNTA($I:$I) - 1)</f>
        <v>0.94920000000000004</v>
      </c>
      <c r="S3792" s="23">
        <f>SUMIFS($P:$P, $Q:$Q, "&lt;" &amp; $Q3792)</f>
        <v>186547861</v>
      </c>
    </row>
    <row r="3793" spans="1:19" x14ac:dyDescent="0.25">
      <c r="A3793" s="1">
        <v>3788</v>
      </c>
      <c r="B3793" s="1" t="s">
        <v>2</v>
      </c>
      <c r="C3793" s="1" t="str">
        <f>IF($B3793 = "Production Item", _xlfn.XLOOKUP($A3793, 'Instrument Table'!$J:$J, 'Instrument Table'!$B:$B, $C3792), IF($B3793 = "Service Item", _xlfn.XLOOKUP($A3793, 'Instrument Table'!$I:$I, 'Instrument Table'!$B:$B, $C3792), _xlfn.XLOOKUP($A3793, 'Instrument Table'!$H:$H, 'Instrument Table'!$B:$B, $C3792)))</f>
        <v>Instructional Material</v>
      </c>
      <c r="D3793" s="1" t="str">
        <f>VLOOKUP($C3793, 'Instrument Table'!$B:$C, 2, FALSE)</f>
        <v>Other</v>
      </c>
      <c r="E3793" s="1">
        <f t="shared" si="354"/>
        <v>1</v>
      </c>
      <c r="F3793" s="1">
        <f>_xlfn.XLOOKUP($C3793, 'Instrument Table'!$B:$B, 'Instrument Table'!$A:$A, "")</f>
        <v>63</v>
      </c>
      <c r="G3793" s="1" t="str">
        <f>TEXT(IF($B3793 = "Retail Item", IF((ROW($A3793) - 4504 - _xlfn.XMATCH($C3793, $C$4506:$C$5005, 0, 1)) &lt;= VLOOKUP($C3793, 'Instrument Table'!$B:$D, 3, FALSE), ROW($A3793) - 4504 - _xlfn.XMATCH($C3793, $C$4506:$C$5005, 0, 1), 0), 0), "00")</f>
        <v>00</v>
      </c>
      <c r="H3793" s="1" t="str">
        <f t="shared" si="355"/>
        <v>037</v>
      </c>
      <c r="I3793" s="1" t="str">
        <f t="shared" si="356"/>
        <v>16300-037</v>
      </c>
      <c r="J3793" s="1" t="str">
        <f t="shared" si="357"/>
        <v>Instructional material production item #037</v>
      </c>
      <c r="K3793" s="1" t="str">
        <f>IF(SUM(COUNTIFS(I:I, I3793)) &gt; 1, "DUPLICATE", "UNIQUE")</f>
        <v>UNIQUE</v>
      </c>
      <c r="L3793" s="18">
        <v>2</v>
      </c>
      <c r="M3793" s="28">
        <v>99</v>
      </c>
      <c r="N3793" s="6">
        <v>9</v>
      </c>
      <c r="O3793" s="30">
        <f t="shared" si="358"/>
        <v>198</v>
      </c>
      <c r="P3793" s="30">
        <f t="shared" si="359"/>
        <v>891</v>
      </c>
      <c r="Q3793" s="1">
        <f>COUNTIFS($P:$P, "&gt;" &amp; $P3793) + 1</f>
        <v>3730</v>
      </c>
      <c r="R3793" s="63">
        <f>(COUNTIFS($P:$P, "&gt;" &amp; $P3793) + 1) / (COUNTA($I:$I) - 1)</f>
        <v>0.746</v>
      </c>
      <c r="S3793" s="23">
        <f>SUMIFS($P:$P, $Q:$Q, "&lt;" &amp; $Q3793)</f>
        <v>186206579</v>
      </c>
    </row>
    <row r="3794" spans="1:19" x14ac:dyDescent="0.25">
      <c r="A3794" s="1">
        <v>3789</v>
      </c>
      <c r="B3794" s="1" t="s">
        <v>2</v>
      </c>
      <c r="C3794" s="1" t="str">
        <f>IF($B3794 = "Production Item", _xlfn.XLOOKUP($A3794, 'Instrument Table'!$J:$J, 'Instrument Table'!$B:$B, $C3793), IF($B3794 = "Service Item", _xlfn.XLOOKUP($A3794, 'Instrument Table'!$I:$I, 'Instrument Table'!$B:$B, $C3793), _xlfn.XLOOKUP($A3794, 'Instrument Table'!$H:$H, 'Instrument Table'!$B:$B, $C3793)))</f>
        <v>Instructional Material</v>
      </c>
      <c r="D3794" s="1" t="str">
        <f>VLOOKUP($C3794, 'Instrument Table'!$B:$C, 2, FALSE)</f>
        <v>Other</v>
      </c>
      <c r="E3794" s="1">
        <f t="shared" si="354"/>
        <v>1</v>
      </c>
      <c r="F3794" s="1">
        <f>_xlfn.XLOOKUP($C3794, 'Instrument Table'!$B:$B, 'Instrument Table'!$A:$A, "")</f>
        <v>63</v>
      </c>
      <c r="G3794" s="1" t="str">
        <f>TEXT(IF($B3794 = "Retail Item", IF((ROW($A3794) - 4504 - _xlfn.XMATCH($C3794, $C$4506:$C$5005, 0, 1)) &lt;= VLOOKUP($C3794, 'Instrument Table'!$B:$D, 3, FALSE), ROW($A3794) - 4504 - _xlfn.XMATCH($C3794, $C$4506:$C$5005, 0, 1), 0), 0), "00")</f>
        <v>00</v>
      </c>
      <c r="H3794" s="1" t="str">
        <f t="shared" si="355"/>
        <v>038</v>
      </c>
      <c r="I3794" s="1" t="str">
        <f t="shared" si="356"/>
        <v>16300-038</v>
      </c>
      <c r="J3794" s="1" t="str">
        <f t="shared" si="357"/>
        <v>Instructional material production item #038</v>
      </c>
      <c r="K3794" s="1" t="str">
        <f>IF(SUM(COUNTIFS(I:I, I3794)) &gt; 1, "DUPLICATE", "UNIQUE")</f>
        <v>UNIQUE</v>
      </c>
      <c r="L3794" s="18">
        <v>32</v>
      </c>
      <c r="M3794" s="28">
        <v>25</v>
      </c>
      <c r="N3794" s="6">
        <v>9</v>
      </c>
      <c r="O3794" s="30">
        <f t="shared" si="358"/>
        <v>800</v>
      </c>
      <c r="P3794" s="30">
        <f t="shared" si="359"/>
        <v>225</v>
      </c>
      <c r="Q3794" s="1">
        <f>COUNTIFS($P:$P, "&gt;" &amp; $P3794) + 1</f>
        <v>4292</v>
      </c>
      <c r="R3794" s="63">
        <f>(COUNTIFS($P:$P, "&gt;" &amp; $P3794) + 1) / (COUNTA($I:$I) - 1)</f>
        <v>0.85840000000000005</v>
      </c>
      <c r="S3794" s="23">
        <f>SUMIFS($P:$P, $Q:$Q, "&lt;" &amp; $Q3794)</f>
        <v>186505641</v>
      </c>
    </row>
    <row r="3795" spans="1:19" x14ac:dyDescent="0.25">
      <c r="A3795" s="1">
        <v>3790</v>
      </c>
      <c r="B3795" s="1" t="s">
        <v>2</v>
      </c>
      <c r="C3795" s="1" t="str">
        <f>IF($B3795 = "Production Item", _xlfn.XLOOKUP($A3795, 'Instrument Table'!$J:$J, 'Instrument Table'!$B:$B, $C3794), IF($B3795 = "Service Item", _xlfn.XLOOKUP($A3795, 'Instrument Table'!$I:$I, 'Instrument Table'!$B:$B, $C3794), _xlfn.XLOOKUP($A3795, 'Instrument Table'!$H:$H, 'Instrument Table'!$B:$B, $C3794)))</f>
        <v>Instructional Material</v>
      </c>
      <c r="D3795" s="1" t="str">
        <f>VLOOKUP($C3795, 'Instrument Table'!$B:$C, 2, FALSE)</f>
        <v>Other</v>
      </c>
      <c r="E3795" s="1">
        <f t="shared" si="354"/>
        <v>1</v>
      </c>
      <c r="F3795" s="1">
        <f>_xlfn.XLOOKUP($C3795, 'Instrument Table'!$B:$B, 'Instrument Table'!$A:$A, "")</f>
        <v>63</v>
      </c>
      <c r="G3795" s="1" t="str">
        <f>TEXT(IF($B3795 = "Retail Item", IF((ROW($A3795) - 4504 - _xlfn.XMATCH($C3795, $C$4506:$C$5005, 0, 1)) &lt;= VLOOKUP($C3795, 'Instrument Table'!$B:$D, 3, FALSE), ROW($A3795) - 4504 - _xlfn.XMATCH($C3795, $C$4506:$C$5005, 0, 1), 0), 0), "00")</f>
        <v>00</v>
      </c>
      <c r="H3795" s="1" t="str">
        <f t="shared" si="355"/>
        <v>039</v>
      </c>
      <c r="I3795" s="1" t="str">
        <f t="shared" si="356"/>
        <v>16300-039</v>
      </c>
      <c r="J3795" s="1" t="str">
        <f t="shared" si="357"/>
        <v>Instructional material production item #039</v>
      </c>
      <c r="K3795" s="1" t="str">
        <f>IF(SUM(COUNTIFS(I:I, I3795)) &gt; 1, "DUPLICATE", "UNIQUE")</f>
        <v>UNIQUE</v>
      </c>
      <c r="L3795" s="18">
        <v>0</v>
      </c>
      <c r="M3795" s="28">
        <v>23</v>
      </c>
      <c r="N3795" s="6">
        <v>49</v>
      </c>
      <c r="O3795" s="30">
        <f t="shared" si="358"/>
        <v>0</v>
      </c>
      <c r="P3795" s="30">
        <f t="shared" si="359"/>
        <v>1127</v>
      </c>
      <c r="Q3795" s="1">
        <f>COUNTIFS($P:$P, "&gt;" &amp; $P3795) + 1</f>
        <v>3637</v>
      </c>
      <c r="R3795" s="63">
        <f>(COUNTIFS($P:$P, "&gt;" &amp; $P3795) + 1) / (COUNTA($I:$I) - 1)</f>
        <v>0.72740000000000005</v>
      </c>
      <c r="S3795" s="23">
        <f>SUMIFS($P:$P, $Q:$Q, "&lt;" &amp; $Q3795)</f>
        <v>186113260</v>
      </c>
    </row>
    <row r="3796" spans="1:19" x14ac:dyDescent="0.25">
      <c r="A3796" s="1">
        <v>3791</v>
      </c>
      <c r="B3796" s="1" t="s">
        <v>2</v>
      </c>
      <c r="C3796" s="1" t="str">
        <f>IF($B3796 = "Production Item", _xlfn.XLOOKUP($A3796, 'Instrument Table'!$J:$J, 'Instrument Table'!$B:$B, $C3795), IF($B3796 = "Service Item", _xlfn.XLOOKUP($A3796, 'Instrument Table'!$I:$I, 'Instrument Table'!$B:$B, $C3795), _xlfn.XLOOKUP($A3796, 'Instrument Table'!$H:$H, 'Instrument Table'!$B:$B, $C3795)))</f>
        <v>Instructional Material</v>
      </c>
      <c r="D3796" s="1" t="str">
        <f>VLOOKUP($C3796, 'Instrument Table'!$B:$C, 2, FALSE)</f>
        <v>Other</v>
      </c>
      <c r="E3796" s="1">
        <f t="shared" si="354"/>
        <v>1</v>
      </c>
      <c r="F3796" s="1">
        <f>_xlfn.XLOOKUP($C3796, 'Instrument Table'!$B:$B, 'Instrument Table'!$A:$A, "")</f>
        <v>63</v>
      </c>
      <c r="G3796" s="1" t="str">
        <f>TEXT(IF($B3796 = "Retail Item", IF((ROW($A3796) - 4504 - _xlfn.XMATCH($C3796, $C$4506:$C$5005, 0, 1)) &lt;= VLOOKUP($C3796, 'Instrument Table'!$B:$D, 3, FALSE), ROW($A3796) - 4504 - _xlfn.XMATCH($C3796, $C$4506:$C$5005, 0, 1), 0), 0), "00")</f>
        <v>00</v>
      </c>
      <c r="H3796" s="1" t="str">
        <f t="shared" si="355"/>
        <v>040</v>
      </c>
      <c r="I3796" s="1" t="str">
        <f t="shared" si="356"/>
        <v>16300-040</v>
      </c>
      <c r="J3796" s="1" t="str">
        <f t="shared" si="357"/>
        <v>Instructional material production item #040</v>
      </c>
      <c r="K3796" s="1" t="str">
        <f>IF(SUM(COUNTIFS(I:I, I3796)) &gt; 1, "DUPLICATE", "UNIQUE")</f>
        <v>UNIQUE</v>
      </c>
      <c r="L3796" s="18">
        <v>4</v>
      </c>
      <c r="M3796" s="28">
        <v>1</v>
      </c>
      <c r="N3796" s="6">
        <v>400</v>
      </c>
      <c r="O3796" s="30">
        <f t="shared" si="358"/>
        <v>4</v>
      </c>
      <c r="P3796" s="30">
        <f t="shared" si="359"/>
        <v>400</v>
      </c>
      <c r="Q3796" s="1">
        <f>COUNTIFS($P:$P, "&gt;" &amp; $P3796) + 1</f>
        <v>4090</v>
      </c>
      <c r="R3796" s="63">
        <f>(COUNTIFS($P:$P, "&gt;" &amp; $P3796) + 1) / (COUNTA($I:$I) - 1)</f>
        <v>0.81799999999999995</v>
      </c>
      <c r="S3796" s="23">
        <f>SUMIFS($P:$P, $Q:$Q, "&lt;" &amp; $Q3796)</f>
        <v>186440882</v>
      </c>
    </row>
    <row r="3797" spans="1:19" x14ac:dyDescent="0.25">
      <c r="A3797" s="1">
        <v>3792</v>
      </c>
      <c r="B3797" s="1" t="s">
        <v>2</v>
      </c>
      <c r="C3797" s="1" t="str">
        <f>IF($B3797 = "Production Item", _xlfn.XLOOKUP($A3797, 'Instrument Table'!$J:$J, 'Instrument Table'!$B:$B, $C3796), IF($B3797 = "Service Item", _xlfn.XLOOKUP($A3797, 'Instrument Table'!$I:$I, 'Instrument Table'!$B:$B, $C3796), _xlfn.XLOOKUP($A3797, 'Instrument Table'!$H:$H, 'Instrument Table'!$B:$B, $C3796)))</f>
        <v>Instructional Material</v>
      </c>
      <c r="D3797" s="1" t="str">
        <f>VLOOKUP($C3797, 'Instrument Table'!$B:$C, 2, FALSE)</f>
        <v>Other</v>
      </c>
      <c r="E3797" s="1">
        <f t="shared" si="354"/>
        <v>1</v>
      </c>
      <c r="F3797" s="1">
        <f>_xlfn.XLOOKUP($C3797, 'Instrument Table'!$B:$B, 'Instrument Table'!$A:$A, "")</f>
        <v>63</v>
      </c>
      <c r="G3797" s="1" t="str">
        <f>TEXT(IF($B3797 = "Retail Item", IF((ROW($A3797) - 4504 - _xlfn.XMATCH($C3797, $C$4506:$C$5005, 0, 1)) &lt;= VLOOKUP($C3797, 'Instrument Table'!$B:$D, 3, FALSE), ROW($A3797) - 4504 - _xlfn.XMATCH($C3797, $C$4506:$C$5005, 0, 1), 0), 0), "00")</f>
        <v>00</v>
      </c>
      <c r="H3797" s="1" t="str">
        <f t="shared" si="355"/>
        <v>041</v>
      </c>
      <c r="I3797" s="1" t="str">
        <f t="shared" si="356"/>
        <v>16300-041</v>
      </c>
      <c r="J3797" s="1" t="str">
        <f t="shared" si="357"/>
        <v>Instructional material production item #041</v>
      </c>
      <c r="K3797" s="1" t="str">
        <f>IF(SUM(COUNTIFS(I:I, I3797)) &gt; 1, "DUPLICATE", "UNIQUE")</f>
        <v>UNIQUE</v>
      </c>
      <c r="L3797" s="18">
        <v>0</v>
      </c>
      <c r="M3797" s="28">
        <v>32</v>
      </c>
      <c r="N3797" s="6">
        <v>144</v>
      </c>
      <c r="O3797" s="30">
        <f t="shared" si="358"/>
        <v>0</v>
      </c>
      <c r="P3797" s="30">
        <f t="shared" si="359"/>
        <v>4608</v>
      </c>
      <c r="Q3797" s="1">
        <f>COUNTIFS($P:$P, "&gt;" &amp; $P3797) + 1</f>
        <v>2515</v>
      </c>
      <c r="R3797" s="63">
        <f>(COUNTIFS($P:$P, "&gt;" &amp; $P3797) + 1) / (COUNTA($I:$I) - 1)</f>
        <v>0.503</v>
      </c>
      <c r="S3797" s="23">
        <f>SUMIFS($P:$P, $Q:$Q, "&lt;" &amp; $Q3797)</f>
        <v>183185375</v>
      </c>
    </row>
    <row r="3798" spans="1:19" x14ac:dyDescent="0.25">
      <c r="A3798" s="1">
        <v>3793</v>
      </c>
      <c r="B3798" s="1" t="s">
        <v>2</v>
      </c>
      <c r="C3798" s="1" t="str">
        <f>IF($B3798 = "Production Item", _xlfn.XLOOKUP($A3798, 'Instrument Table'!$J:$J, 'Instrument Table'!$B:$B, $C3797), IF($B3798 = "Service Item", _xlfn.XLOOKUP($A3798, 'Instrument Table'!$I:$I, 'Instrument Table'!$B:$B, $C3797), _xlfn.XLOOKUP($A3798, 'Instrument Table'!$H:$H, 'Instrument Table'!$B:$B, $C3797)))</f>
        <v>Instructional Material</v>
      </c>
      <c r="D3798" s="1" t="str">
        <f>VLOOKUP($C3798, 'Instrument Table'!$B:$C, 2, FALSE)</f>
        <v>Other</v>
      </c>
      <c r="E3798" s="1">
        <f t="shared" si="354"/>
        <v>1</v>
      </c>
      <c r="F3798" s="1">
        <f>_xlfn.XLOOKUP($C3798, 'Instrument Table'!$B:$B, 'Instrument Table'!$A:$A, "")</f>
        <v>63</v>
      </c>
      <c r="G3798" s="1" t="str">
        <f>TEXT(IF($B3798 = "Retail Item", IF((ROW($A3798) - 4504 - _xlfn.XMATCH($C3798, $C$4506:$C$5005, 0, 1)) &lt;= VLOOKUP($C3798, 'Instrument Table'!$B:$D, 3, FALSE), ROW($A3798) - 4504 - _xlfn.XMATCH($C3798, $C$4506:$C$5005, 0, 1), 0), 0), "00")</f>
        <v>00</v>
      </c>
      <c r="H3798" s="1" t="str">
        <f t="shared" si="355"/>
        <v>042</v>
      </c>
      <c r="I3798" s="1" t="str">
        <f t="shared" si="356"/>
        <v>16300-042</v>
      </c>
      <c r="J3798" s="1" t="str">
        <f t="shared" si="357"/>
        <v>Instructional material production item #042</v>
      </c>
      <c r="K3798" s="1" t="str">
        <f>IF(SUM(COUNTIFS(I:I, I3798)) &gt; 1, "DUPLICATE", "UNIQUE")</f>
        <v>UNIQUE</v>
      </c>
      <c r="L3798" s="18">
        <v>0</v>
      </c>
      <c r="M3798" s="28">
        <v>35</v>
      </c>
      <c r="N3798" s="6">
        <v>361</v>
      </c>
      <c r="O3798" s="30">
        <f t="shared" si="358"/>
        <v>0</v>
      </c>
      <c r="P3798" s="30">
        <f t="shared" si="359"/>
        <v>12635</v>
      </c>
      <c r="Q3798" s="1">
        <f>COUNTIFS($P:$P, "&gt;" &amp; $P3798) + 1</f>
        <v>1532</v>
      </c>
      <c r="R3798" s="63">
        <f>(COUNTIFS($P:$P, "&gt;" &amp; $P3798) + 1) / (COUNTA($I:$I) - 1)</f>
        <v>0.30640000000000001</v>
      </c>
      <c r="S3798" s="23">
        <f>SUMIFS($P:$P, $Q:$Q, "&lt;" &amp; $Q3798)</f>
        <v>175250006</v>
      </c>
    </row>
    <row r="3799" spans="1:19" x14ac:dyDescent="0.25">
      <c r="A3799" s="1">
        <v>3794</v>
      </c>
      <c r="B3799" s="1" t="s">
        <v>2</v>
      </c>
      <c r="C3799" s="1" t="str">
        <f>IF($B3799 = "Production Item", _xlfn.XLOOKUP($A3799, 'Instrument Table'!$J:$J, 'Instrument Table'!$B:$B, $C3798), IF($B3799 = "Service Item", _xlfn.XLOOKUP($A3799, 'Instrument Table'!$I:$I, 'Instrument Table'!$B:$B, $C3798), _xlfn.XLOOKUP($A3799, 'Instrument Table'!$H:$H, 'Instrument Table'!$B:$B, $C3798)))</f>
        <v>Instructional Material</v>
      </c>
      <c r="D3799" s="1" t="str">
        <f>VLOOKUP($C3799, 'Instrument Table'!$B:$C, 2, FALSE)</f>
        <v>Other</v>
      </c>
      <c r="E3799" s="1">
        <f t="shared" si="354"/>
        <v>1</v>
      </c>
      <c r="F3799" s="1">
        <f>_xlfn.XLOOKUP($C3799, 'Instrument Table'!$B:$B, 'Instrument Table'!$A:$A, "")</f>
        <v>63</v>
      </c>
      <c r="G3799" s="1" t="str">
        <f>TEXT(IF($B3799 = "Retail Item", IF((ROW($A3799) - 4504 - _xlfn.XMATCH($C3799, $C$4506:$C$5005, 0, 1)) &lt;= VLOOKUP($C3799, 'Instrument Table'!$B:$D, 3, FALSE), ROW($A3799) - 4504 - _xlfn.XMATCH($C3799, $C$4506:$C$5005, 0, 1), 0), 0), "00")</f>
        <v>00</v>
      </c>
      <c r="H3799" s="1" t="str">
        <f t="shared" si="355"/>
        <v>043</v>
      </c>
      <c r="I3799" s="1" t="str">
        <f t="shared" si="356"/>
        <v>16300-043</v>
      </c>
      <c r="J3799" s="1" t="str">
        <f t="shared" si="357"/>
        <v>Instructional material production item #043</v>
      </c>
      <c r="K3799" s="1" t="str">
        <f>IF(SUM(COUNTIFS(I:I, I3799)) &gt; 1, "DUPLICATE", "UNIQUE")</f>
        <v>UNIQUE</v>
      </c>
      <c r="L3799" s="18">
        <v>4</v>
      </c>
      <c r="M3799" s="28">
        <v>45</v>
      </c>
      <c r="N3799" s="6">
        <v>16</v>
      </c>
      <c r="O3799" s="30">
        <f t="shared" si="358"/>
        <v>180</v>
      </c>
      <c r="P3799" s="30">
        <f t="shared" si="359"/>
        <v>720</v>
      </c>
      <c r="Q3799" s="1">
        <f>COUNTIFS($P:$P, "&gt;" &amp; $P3799) + 1</f>
        <v>3863</v>
      </c>
      <c r="R3799" s="63">
        <f>(COUNTIFS($P:$P, "&gt;" &amp; $P3799) + 1) / (COUNTA($I:$I) - 1)</f>
        <v>0.77259999999999995</v>
      </c>
      <c r="S3799" s="23">
        <f>SUMIFS($P:$P, $Q:$Q, "&lt;" &amp; $Q3799)</f>
        <v>186312976</v>
      </c>
    </row>
    <row r="3800" spans="1:19" x14ac:dyDescent="0.25">
      <c r="A3800" s="1">
        <v>3795</v>
      </c>
      <c r="B3800" s="1" t="s">
        <v>2</v>
      </c>
      <c r="C3800" s="1" t="str">
        <f>IF($B3800 = "Production Item", _xlfn.XLOOKUP($A3800, 'Instrument Table'!$J:$J, 'Instrument Table'!$B:$B, $C3799), IF($B3800 = "Service Item", _xlfn.XLOOKUP($A3800, 'Instrument Table'!$I:$I, 'Instrument Table'!$B:$B, $C3799), _xlfn.XLOOKUP($A3800, 'Instrument Table'!$H:$H, 'Instrument Table'!$B:$B, $C3799)))</f>
        <v>Instructional Material</v>
      </c>
      <c r="D3800" s="1" t="str">
        <f>VLOOKUP($C3800, 'Instrument Table'!$B:$C, 2, FALSE)</f>
        <v>Other</v>
      </c>
      <c r="E3800" s="1">
        <f t="shared" si="354"/>
        <v>1</v>
      </c>
      <c r="F3800" s="1">
        <f>_xlfn.XLOOKUP($C3800, 'Instrument Table'!$B:$B, 'Instrument Table'!$A:$A, "")</f>
        <v>63</v>
      </c>
      <c r="G3800" s="1" t="str">
        <f>TEXT(IF($B3800 = "Retail Item", IF((ROW($A3800) - 4504 - _xlfn.XMATCH($C3800, $C$4506:$C$5005, 0, 1)) &lt;= VLOOKUP($C3800, 'Instrument Table'!$B:$D, 3, FALSE), ROW($A3800) - 4504 - _xlfn.XMATCH($C3800, $C$4506:$C$5005, 0, 1), 0), 0), "00")</f>
        <v>00</v>
      </c>
      <c r="H3800" s="1" t="str">
        <f t="shared" si="355"/>
        <v>044</v>
      </c>
      <c r="I3800" s="1" t="str">
        <f t="shared" si="356"/>
        <v>16300-044</v>
      </c>
      <c r="J3800" s="1" t="str">
        <f t="shared" si="357"/>
        <v>Instructional material production item #044</v>
      </c>
      <c r="K3800" s="1" t="str">
        <f>IF(SUM(COUNTIFS(I:I, I3800)) &gt; 1, "DUPLICATE", "UNIQUE")</f>
        <v>UNIQUE</v>
      </c>
      <c r="L3800" s="18">
        <v>0</v>
      </c>
      <c r="M3800" s="28">
        <v>56</v>
      </c>
      <c r="N3800" s="6">
        <v>64</v>
      </c>
      <c r="O3800" s="30">
        <f t="shared" si="358"/>
        <v>0</v>
      </c>
      <c r="P3800" s="30">
        <f t="shared" si="359"/>
        <v>3584</v>
      </c>
      <c r="Q3800" s="1">
        <f>COUNTIFS($P:$P, "&gt;" &amp; $P3800) + 1</f>
        <v>2747</v>
      </c>
      <c r="R3800" s="63">
        <f>(COUNTIFS($P:$P, "&gt;" &amp; $P3800) + 1) / (COUNTA($I:$I) - 1)</f>
        <v>0.5494</v>
      </c>
      <c r="S3800" s="23">
        <f>SUMIFS($P:$P, $Q:$Q, "&lt;" &amp; $Q3800)</f>
        <v>184140041</v>
      </c>
    </row>
    <row r="3801" spans="1:19" x14ac:dyDescent="0.25">
      <c r="A3801" s="1">
        <v>3796</v>
      </c>
      <c r="B3801" s="1" t="s">
        <v>2</v>
      </c>
      <c r="C3801" s="1" t="str">
        <f>IF($B3801 = "Production Item", _xlfn.XLOOKUP($A3801, 'Instrument Table'!$J:$J, 'Instrument Table'!$B:$B, $C3800), IF($B3801 = "Service Item", _xlfn.XLOOKUP($A3801, 'Instrument Table'!$I:$I, 'Instrument Table'!$B:$B, $C3800), _xlfn.XLOOKUP($A3801, 'Instrument Table'!$H:$H, 'Instrument Table'!$B:$B, $C3800)))</f>
        <v>Instructional Material</v>
      </c>
      <c r="D3801" s="1" t="str">
        <f>VLOOKUP($C3801, 'Instrument Table'!$B:$C, 2, FALSE)</f>
        <v>Other</v>
      </c>
      <c r="E3801" s="1">
        <f t="shared" si="354"/>
        <v>1</v>
      </c>
      <c r="F3801" s="1">
        <f>_xlfn.XLOOKUP($C3801, 'Instrument Table'!$B:$B, 'Instrument Table'!$A:$A, "")</f>
        <v>63</v>
      </c>
      <c r="G3801" s="1" t="str">
        <f>TEXT(IF($B3801 = "Retail Item", IF((ROW($A3801) - 4504 - _xlfn.XMATCH($C3801, $C$4506:$C$5005, 0, 1)) &lt;= VLOOKUP($C3801, 'Instrument Table'!$B:$D, 3, FALSE), ROW($A3801) - 4504 - _xlfn.XMATCH($C3801, $C$4506:$C$5005, 0, 1), 0), 0), "00")</f>
        <v>00</v>
      </c>
      <c r="H3801" s="1" t="str">
        <f t="shared" si="355"/>
        <v>045</v>
      </c>
      <c r="I3801" s="1" t="str">
        <f t="shared" si="356"/>
        <v>16300-045</v>
      </c>
      <c r="J3801" s="1" t="str">
        <f t="shared" si="357"/>
        <v>Instructional material production item #045</v>
      </c>
      <c r="K3801" s="1" t="str">
        <f>IF(SUM(COUNTIFS(I:I, I3801)) &gt; 1, "DUPLICATE", "UNIQUE")</f>
        <v>UNIQUE</v>
      </c>
      <c r="L3801" s="18">
        <v>0</v>
      </c>
      <c r="M3801" s="28">
        <v>74</v>
      </c>
      <c r="N3801" s="6">
        <v>400</v>
      </c>
      <c r="O3801" s="30">
        <f t="shared" si="358"/>
        <v>0</v>
      </c>
      <c r="P3801" s="30">
        <f t="shared" si="359"/>
        <v>29600</v>
      </c>
      <c r="Q3801" s="1">
        <f>COUNTIFS($P:$P, "&gt;" &amp; $P3801) + 1</f>
        <v>699</v>
      </c>
      <c r="R3801" s="63">
        <f>(COUNTIFS($P:$P, "&gt;" &amp; $P3801) + 1) / (COUNTA($I:$I) - 1)</f>
        <v>0.13980000000000001</v>
      </c>
      <c r="S3801" s="23">
        <f>SUMIFS($P:$P, $Q:$Q, "&lt;" &amp; $Q3801)</f>
        <v>159057302</v>
      </c>
    </row>
    <row r="3802" spans="1:19" x14ac:dyDescent="0.25">
      <c r="A3802" s="1">
        <v>3797</v>
      </c>
      <c r="B3802" s="1" t="s">
        <v>2</v>
      </c>
      <c r="C3802" s="1" t="str">
        <f>IF($B3802 = "Production Item", _xlfn.XLOOKUP($A3802, 'Instrument Table'!$J:$J, 'Instrument Table'!$B:$B, $C3801), IF($B3802 = "Service Item", _xlfn.XLOOKUP($A3802, 'Instrument Table'!$I:$I, 'Instrument Table'!$B:$B, $C3801), _xlfn.XLOOKUP($A3802, 'Instrument Table'!$H:$H, 'Instrument Table'!$B:$B, $C3801)))</f>
        <v>Instructional Material</v>
      </c>
      <c r="D3802" s="1" t="str">
        <f>VLOOKUP($C3802, 'Instrument Table'!$B:$C, 2, FALSE)</f>
        <v>Other</v>
      </c>
      <c r="E3802" s="1">
        <f t="shared" si="354"/>
        <v>1</v>
      </c>
      <c r="F3802" s="1">
        <f>_xlfn.XLOOKUP($C3802, 'Instrument Table'!$B:$B, 'Instrument Table'!$A:$A, "")</f>
        <v>63</v>
      </c>
      <c r="G3802" s="1" t="str">
        <f>TEXT(IF($B3802 = "Retail Item", IF((ROW($A3802) - 4504 - _xlfn.XMATCH($C3802, $C$4506:$C$5005, 0, 1)) &lt;= VLOOKUP($C3802, 'Instrument Table'!$B:$D, 3, FALSE), ROW($A3802) - 4504 - _xlfn.XMATCH($C3802, $C$4506:$C$5005, 0, 1), 0), 0), "00")</f>
        <v>00</v>
      </c>
      <c r="H3802" s="1" t="str">
        <f t="shared" si="355"/>
        <v>046</v>
      </c>
      <c r="I3802" s="1" t="str">
        <f t="shared" si="356"/>
        <v>16300-046</v>
      </c>
      <c r="J3802" s="1" t="str">
        <f t="shared" si="357"/>
        <v>Instructional material production item #046</v>
      </c>
      <c r="K3802" s="1" t="str">
        <f>IF(SUM(COUNTIFS(I:I, I3802)) &gt; 1, "DUPLICATE", "UNIQUE")</f>
        <v>UNIQUE</v>
      </c>
      <c r="L3802" s="18">
        <v>1</v>
      </c>
      <c r="M3802" s="28">
        <v>50</v>
      </c>
      <c r="N3802" s="6">
        <v>4</v>
      </c>
      <c r="O3802" s="30">
        <f t="shared" si="358"/>
        <v>50</v>
      </c>
      <c r="P3802" s="30">
        <f t="shared" si="359"/>
        <v>200</v>
      </c>
      <c r="Q3802" s="1">
        <f>COUNTIFS($P:$P, "&gt;" &amp; $P3802) + 1</f>
        <v>4322</v>
      </c>
      <c r="R3802" s="63">
        <f>(COUNTIFS($P:$P, "&gt;" &amp; $P3802) + 1) / (COUNTA($I:$I) - 1)</f>
        <v>0.86439999999999995</v>
      </c>
      <c r="S3802" s="23">
        <f>SUMIFS($P:$P, $Q:$Q, "&lt;" &amp; $Q3802)</f>
        <v>186512097</v>
      </c>
    </row>
    <row r="3803" spans="1:19" x14ac:dyDescent="0.25">
      <c r="A3803" s="1">
        <v>3798</v>
      </c>
      <c r="B3803" s="1" t="s">
        <v>2</v>
      </c>
      <c r="C3803" s="1" t="str">
        <f>IF($B3803 = "Production Item", _xlfn.XLOOKUP($A3803, 'Instrument Table'!$J:$J, 'Instrument Table'!$B:$B, $C3802), IF($B3803 = "Service Item", _xlfn.XLOOKUP($A3803, 'Instrument Table'!$I:$I, 'Instrument Table'!$B:$B, $C3802), _xlfn.XLOOKUP($A3803, 'Instrument Table'!$H:$H, 'Instrument Table'!$B:$B, $C3802)))</f>
        <v>Instructional Material</v>
      </c>
      <c r="D3803" s="1" t="str">
        <f>VLOOKUP($C3803, 'Instrument Table'!$B:$C, 2, FALSE)</f>
        <v>Other</v>
      </c>
      <c r="E3803" s="1">
        <f t="shared" si="354"/>
        <v>1</v>
      </c>
      <c r="F3803" s="1">
        <f>_xlfn.XLOOKUP($C3803, 'Instrument Table'!$B:$B, 'Instrument Table'!$A:$A, "")</f>
        <v>63</v>
      </c>
      <c r="G3803" s="1" t="str">
        <f>TEXT(IF($B3803 = "Retail Item", IF((ROW($A3803) - 4504 - _xlfn.XMATCH($C3803, $C$4506:$C$5005, 0, 1)) &lt;= VLOOKUP($C3803, 'Instrument Table'!$B:$D, 3, FALSE), ROW($A3803) - 4504 - _xlfn.XMATCH($C3803, $C$4506:$C$5005, 0, 1), 0), 0), "00")</f>
        <v>00</v>
      </c>
      <c r="H3803" s="1" t="str">
        <f t="shared" si="355"/>
        <v>047</v>
      </c>
      <c r="I3803" s="1" t="str">
        <f t="shared" si="356"/>
        <v>16300-047</v>
      </c>
      <c r="J3803" s="1" t="str">
        <f t="shared" si="357"/>
        <v>Instructional material production item #047</v>
      </c>
      <c r="K3803" s="1" t="str">
        <f>IF(SUM(COUNTIFS(I:I, I3803)) &gt; 1, "DUPLICATE", "UNIQUE")</f>
        <v>UNIQUE</v>
      </c>
      <c r="L3803" s="18">
        <v>8</v>
      </c>
      <c r="M3803" s="28">
        <v>92</v>
      </c>
      <c r="N3803" s="6">
        <v>361</v>
      </c>
      <c r="O3803" s="30">
        <f t="shared" si="358"/>
        <v>736</v>
      </c>
      <c r="P3803" s="30">
        <f t="shared" si="359"/>
        <v>33212</v>
      </c>
      <c r="Q3803" s="1">
        <f>COUNTIFS($P:$P, "&gt;" &amp; $P3803) + 1</f>
        <v>627</v>
      </c>
      <c r="R3803" s="63">
        <f>(COUNTIFS($P:$P, "&gt;" &amp; $P3803) + 1) / (COUNTA($I:$I) - 1)</f>
        <v>0.12540000000000001</v>
      </c>
      <c r="S3803" s="23">
        <f>SUMIFS($P:$P, $Q:$Q, "&lt;" &amp; $Q3803)</f>
        <v>156798177</v>
      </c>
    </row>
    <row r="3804" spans="1:19" x14ac:dyDescent="0.25">
      <c r="A3804" s="1">
        <v>3799</v>
      </c>
      <c r="B3804" s="1" t="s">
        <v>2</v>
      </c>
      <c r="C3804" s="1" t="str">
        <f>IF($B3804 = "Production Item", _xlfn.XLOOKUP($A3804, 'Instrument Table'!$J:$J, 'Instrument Table'!$B:$B, $C3803), IF($B3804 = "Service Item", _xlfn.XLOOKUP($A3804, 'Instrument Table'!$I:$I, 'Instrument Table'!$B:$B, $C3803), _xlfn.XLOOKUP($A3804, 'Instrument Table'!$H:$H, 'Instrument Table'!$B:$B, $C3803)))</f>
        <v>Instructional Material</v>
      </c>
      <c r="D3804" s="1" t="str">
        <f>VLOOKUP($C3804, 'Instrument Table'!$B:$C, 2, FALSE)</f>
        <v>Other</v>
      </c>
      <c r="E3804" s="1">
        <f t="shared" si="354"/>
        <v>1</v>
      </c>
      <c r="F3804" s="1">
        <f>_xlfn.XLOOKUP($C3804, 'Instrument Table'!$B:$B, 'Instrument Table'!$A:$A, "")</f>
        <v>63</v>
      </c>
      <c r="G3804" s="1" t="str">
        <f>TEXT(IF($B3804 = "Retail Item", IF((ROW($A3804) - 4504 - _xlfn.XMATCH($C3804, $C$4506:$C$5005, 0, 1)) &lt;= VLOOKUP($C3804, 'Instrument Table'!$B:$D, 3, FALSE), ROW($A3804) - 4504 - _xlfn.XMATCH($C3804, $C$4506:$C$5005, 0, 1), 0), 0), "00")</f>
        <v>00</v>
      </c>
      <c r="H3804" s="1" t="str">
        <f t="shared" si="355"/>
        <v>048</v>
      </c>
      <c r="I3804" s="1" t="str">
        <f t="shared" si="356"/>
        <v>16300-048</v>
      </c>
      <c r="J3804" s="1" t="str">
        <f t="shared" si="357"/>
        <v>Instructional material production item #048</v>
      </c>
      <c r="K3804" s="1" t="str">
        <f>IF(SUM(COUNTIFS(I:I, I3804)) &gt; 1, "DUPLICATE", "UNIQUE")</f>
        <v>UNIQUE</v>
      </c>
      <c r="L3804" s="18">
        <v>32</v>
      </c>
      <c r="M3804" s="28">
        <v>69</v>
      </c>
      <c r="N3804" s="6">
        <v>225</v>
      </c>
      <c r="O3804" s="30">
        <f t="shared" si="358"/>
        <v>2208</v>
      </c>
      <c r="P3804" s="30">
        <f t="shared" si="359"/>
        <v>15525</v>
      </c>
      <c r="Q3804" s="1">
        <f>COUNTIFS($P:$P, "&gt;" &amp; $P3804) + 1</f>
        <v>1314</v>
      </c>
      <c r="R3804" s="63">
        <f>(COUNTIFS($P:$P, "&gt;" &amp; $P3804) + 1) / (COUNTA($I:$I) - 1)</f>
        <v>0.26279999999999998</v>
      </c>
      <c r="S3804" s="23">
        <f>SUMIFS($P:$P, $Q:$Q, "&lt;" &amp; $Q3804)</f>
        <v>172192415</v>
      </c>
    </row>
    <row r="3805" spans="1:19" x14ac:dyDescent="0.25">
      <c r="A3805" s="1">
        <v>3800</v>
      </c>
      <c r="B3805" s="1" t="s">
        <v>2</v>
      </c>
      <c r="C3805" s="1" t="str">
        <f>IF($B3805 = "Production Item", _xlfn.XLOOKUP($A3805, 'Instrument Table'!$J:$J, 'Instrument Table'!$B:$B, $C3804), IF($B3805 = "Service Item", _xlfn.XLOOKUP($A3805, 'Instrument Table'!$I:$I, 'Instrument Table'!$B:$B, $C3804), _xlfn.XLOOKUP($A3805, 'Instrument Table'!$H:$H, 'Instrument Table'!$B:$B, $C3804)))</f>
        <v>Instructional Material</v>
      </c>
      <c r="D3805" s="1" t="str">
        <f>VLOOKUP($C3805, 'Instrument Table'!$B:$C, 2, FALSE)</f>
        <v>Other</v>
      </c>
      <c r="E3805" s="1">
        <f t="shared" si="354"/>
        <v>1</v>
      </c>
      <c r="F3805" s="1">
        <f>_xlfn.XLOOKUP($C3805, 'Instrument Table'!$B:$B, 'Instrument Table'!$A:$A, "")</f>
        <v>63</v>
      </c>
      <c r="G3805" s="1" t="str">
        <f>TEXT(IF($B3805 = "Retail Item", IF((ROW($A3805) - 4504 - _xlfn.XMATCH($C3805, $C$4506:$C$5005, 0, 1)) &lt;= VLOOKUP($C3805, 'Instrument Table'!$B:$D, 3, FALSE), ROW($A3805) - 4504 - _xlfn.XMATCH($C3805, $C$4506:$C$5005, 0, 1), 0), 0), "00")</f>
        <v>00</v>
      </c>
      <c r="H3805" s="1" t="str">
        <f t="shared" si="355"/>
        <v>049</v>
      </c>
      <c r="I3805" s="1" t="str">
        <f t="shared" si="356"/>
        <v>16300-049</v>
      </c>
      <c r="J3805" s="1" t="str">
        <f t="shared" si="357"/>
        <v>Instructional material production item #049</v>
      </c>
      <c r="K3805" s="1" t="str">
        <f>IF(SUM(COUNTIFS(I:I, I3805)) &gt; 1, "DUPLICATE", "UNIQUE")</f>
        <v>UNIQUE</v>
      </c>
      <c r="L3805" s="18">
        <v>1</v>
      </c>
      <c r="M3805" s="28">
        <v>17</v>
      </c>
      <c r="N3805" s="6">
        <v>196</v>
      </c>
      <c r="O3805" s="30">
        <f t="shared" si="358"/>
        <v>17</v>
      </c>
      <c r="P3805" s="30">
        <f t="shared" si="359"/>
        <v>3332</v>
      </c>
      <c r="Q3805" s="1">
        <f>COUNTIFS($P:$P, "&gt;" &amp; $P3805) + 1</f>
        <v>2815</v>
      </c>
      <c r="R3805" s="63">
        <f>(COUNTIFS($P:$P, "&gt;" &amp; $P3805) + 1) / (COUNTA($I:$I) - 1)</f>
        <v>0.56299999999999994</v>
      </c>
      <c r="S3805" s="23">
        <f>SUMIFS($P:$P, $Q:$Q, "&lt;" &amp; $Q3805)</f>
        <v>184376723</v>
      </c>
    </row>
    <row r="3806" spans="1:19" x14ac:dyDescent="0.25">
      <c r="A3806" s="1">
        <v>3801</v>
      </c>
      <c r="B3806" s="1" t="s">
        <v>2</v>
      </c>
      <c r="C3806" s="1" t="str">
        <f>IF($B3806 = "Production Item", _xlfn.XLOOKUP($A3806, 'Instrument Table'!$J:$J, 'Instrument Table'!$B:$B, $C3805), IF($B3806 = "Service Item", _xlfn.XLOOKUP($A3806, 'Instrument Table'!$I:$I, 'Instrument Table'!$B:$B, $C3805), _xlfn.XLOOKUP($A3806, 'Instrument Table'!$H:$H, 'Instrument Table'!$B:$B, $C3805)))</f>
        <v>Musical Accessories</v>
      </c>
      <c r="D3806" s="1" t="str">
        <f>VLOOKUP($C3806, 'Instrument Table'!$B:$C, 2, FALSE)</f>
        <v>Other</v>
      </c>
      <c r="E3806" s="1">
        <f t="shared" si="354"/>
        <v>1</v>
      </c>
      <c r="F3806" s="1">
        <f>_xlfn.XLOOKUP($C3806, 'Instrument Table'!$B:$B, 'Instrument Table'!$A:$A, "")</f>
        <v>64</v>
      </c>
      <c r="G3806" s="1" t="str">
        <f>TEXT(IF($B3806 = "Retail Item", IF((ROW($A3806) - 4504 - _xlfn.XMATCH($C3806, $C$4506:$C$5005, 0, 1)) &lt;= VLOOKUP($C3806, 'Instrument Table'!$B:$D, 3, FALSE), ROW($A3806) - 4504 - _xlfn.XMATCH($C3806, $C$4506:$C$5005, 0, 1), 0), 0), "00")</f>
        <v>00</v>
      </c>
      <c r="H3806" s="1" t="str">
        <f t="shared" si="355"/>
        <v>000</v>
      </c>
      <c r="I3806" s="1" t="str">
        <f t="shared" si="356"/>
        <v>16400-000</v>
      </c>
      <c r="J3806" s="1" t="str">
        <f t="shared" si="357"/>
        <v>Musical accessories production item #000</v>
      </c>
      <c r="K3806" s="1" t="str">
        <f>IF(SUM(COUNTIFS(I:I, I3806)) &gt; 1, "DUPLICATE", "UNIQUE")</f>
        <v>UNIQUE</v>
      </c>
      <c r="L3806" s="18">
        <v>0</v>
      </c>
      <c r="M3806" s="28">
        <v>71</v>
      </c>
      <c r="N3806" s="6">
        <v>169</v>
      </c>
      <c r="O3806" s="30">
        <f t="shared" si="358"/>
        <v>0</v>
      </c>
      <c r="P3806" s="30">
        <f t="shared" si="359"/>
        <v>11999</v>
      </c>
      <c r="Q3806" s="1">
        <f>COUNTIFS($P:$P, "&gt;" &amp; $P3806) + 1</f>
        <v>1580</v>
      </c>
      <c r="R3806" s="63">
        <f>(COUNTIFS($P:$P, "&gt;" &amp; $P3806) + 1) / (COUNTA($I:$I) - 1)</f>
        <v>0.316</v>
      </c>
      <c r="S3806" s="23">
        <f>SUMIFS($P:$P, $Q:$Q, "&lt;" &amp; $Q3806)</f>
        <v>175840377</v>
      </c>
    </row>
    <row r="3807" spans="1:19" x14ac:dyDescent="0.25">
      <c r="A3807" s="1">
        <v>3802</v>
      </c>
      <c r="B3807" s="1" t="s">
        <v>2</v>
      </c>
      <c r="C3807" s="1" t="str">
        <f>IF($B3807 = "Production Item", _xlfn.XLOOKUP($A3807, 'Instrument Table'!$J:$J, 'Instrument Table'!$B:$B, $C3806), IF($B3807 = "Service Item", _xlfn.XLOOKUP($A3807, 'Instrument Table'!$I:$I, 'Instrument Table'!$B:$B, $C3806), _xlfn.XLOOKUP($A3807, 'Instrument Table'!$H:$H, 'Instrument Table'!$B:$B, $C3806)))</f>
        <v>Musical Accessories</v>
      </c>
      <c r="D3807" s="1" t="str">
        <f>VLOOKUP($C3807, 'Instrument Table'!$B:$C, 2, FALSE)</f>
        <v>Other</v>
      </c>
      <c r="E3807" s="1">
        <f t="shared" si="354"/>
        <v>1</v>
      </c>
      <c r="F3807" s="1">
        <f>_xlfn.XLOOKUP($C3807, 'Instrument Table'!$B:$B, 'Instrument Table'!$A:$A, "")</f>
        <v>64</v>
      </c>
      <c r="G3807" s="1" t="str">
        <f>TEXT(IF($B3807 = "Retail Item", IF((ROW($A3807) - 4504 - _xlfn.XMATCH($C3807, $C$4506:$C$5005, 0, 1)) &lt;= VLOOKUP($C3807, 'Instrument Table'!$B:$D, 3, FALSE), ROW($A3807) - 4504 - _xlfn.XMATCH($C3807, $C$4506:$C$5005, 0, 1), 0), 0), "00")</f>
        <v>00</v>
      </c>
      <c r="H3807" s="1" t="str">
        <f t="shared" si="355"/>
        <v>001</v>
      </c>
      <c r="I3807" s="1" t="str">
        <f t="shared" si="356"/>
        <v>16400-001</v>
      </c>
      <c r="J3807" s="1" t="str">
        <f t="shared" si="357"/>
        <v>Musical accessories production item #001</v>
      </c>
      <c r="K3807" s="1" t="str">
        <f>IF(SUM(COUNTIFS(I:I, I3807)) &gt; 1, "DUPLICATE", "UNIQUE")</f>
        <v>UNIQUE</v>
      </c>
      <c r="L3807" s="18">
        <v>4</v>
      </c>
      <c r="M3807" s="28">
        <v>19</v>
      </c>
      <c r="N3807" s="6">
        <v>1</v>
      </c>
      <c r="O3807" s="30">
        <f t="shared" si="358"/>
        <v>76</v>
      </c>
      <c r="P3807" s="30">
        <f t="shared" si="359"/>
        <v>19</v>
      </c>
      <c r="Q3807" s="1">
        <f>COUNTIFS($P:$P, "&gt;" &amp; $P3807) + 1</f>
        <v>4695</v>
      </c>
      <c r="R3807" s="63">
        <f>(COUNTIFS($P:$P, "&gt;" &amp; $P3807) + 1) / (COUNTA($I:$I) - 1)</f>
        <v>0.93899999999999995</v>
      </c>
      <c r="S3807" s="23">
        <f>SUMIFS($P:$P, $Q:$Q, "&lt;" &amp; $Q3807)</f>
        <v>186547301</v>
      </c>
    </row>
    <row r="3808" spans="1:19" x14ac:dyDescent="0.25">
      <c r="A3808" s="1">
        <v>3803</v>
      </c>
      <c r="B3808" s="1" t="s">
        <v>2</v>
      </c>
      <c r="C3808" s="1" t="str">
        <f>IF($B3808 = "Production Item", _xlfn.XLOOKUP($A3808, 'Instrument Table'!$J:$J, 'Instrument Table'!$B:$B, $C3807), IF($B3808 = "Service Item", _xlfn.XLOOKUP($A3808, 'Instrument Table'!$I:$I, 'Instrument Table'!$B:$B, $C3807), _xlfn.XLOOKUP($A3808, 'Instrument Table'!$H:$H, 'Instrument Table'!$B:$B, $C3807)))</f>
        <v>Musical Accessories</v>
      </c>
      <c r="D3808" s="1" t="str">
        <f>VLOOKUP($C3808, 'Instrument Table'!$B:$C, 2, FALSE)</f>
        <v>Other</v>
      </c>
      <c r="E3808" s="1">
        <f t="shared" si="354"/>
        <v>1</v>
      </c>
      <c r="F3808" s="1">
        <f>_xlfn.XLOOKUP($C3808, 'Instrument Table'!$B:$B, 'Instrument Table'!$A:$A, "")</f>
        <v>64</v>
      </c>
      <c r="G3808" s="1" t="str">
        <f>TEXT(IF($B3808 = "Retail Item", IF((ROW($A3808) - 4504 - _xlfn.XMATCH($C3808, $C$4506:$C$5005, 0, 1)) &lt;= VLOOKUP($C3808, 'Instrument Table'!$B:$D, 3, FALSE), ROW($A3808) - 4504 - _xlfn.XMATCH($C3808, $C$4506:$C$5005, 0, 1), 0), 0), "00")</f>
        <v>00</v>
      </c>
      <c r="H3808" s="1" t="str">
        <f t="shared" si="355"/>
        <v>002</v>
      </c>
      <c r="I3808" s="1" t="str">
        <f t="shared" si="356"/>
        <v>16400-002</v>
      </c>
      <c r="J3808" s="1" t="str">
        <f t="shared" si="357"/>
        <v>Musical accessories production item #002</v>
      </c>
      <c r="K3808" s="1" t="str">
        <f>IF(SUM(COUNTIFS(I:I, I3808)) &gt; 1, "DUPLICATE", "UNIQUE")</f>
        <v>UNIQUE</v>
      </c>
      <c r="L3808" s="18">
        <v>4</v>
      </c>
      <c r="M3808" s="28">
        <v>53</v>
      </c>
      <c r="N3808" s="6">
        <v>36</v>
      </c>
      <c r="O3808" s="30">
        <f t="shared" si="358"/>
        <v>212</v>
      </c>
      <c r="P3808" s="30">
        <f t="shared" si="359"/>
        <v>1908</v>
      </c>
      <c r="Q3808" s="1">
        <f>COUNTIFS($P:$P, "&gt;" &amp; $P3808) + 1</f>
        <v>3294</v>
      </c>
      <c r="R3808" s="63">
        <f>(COUNTIFS($P:$P, "&gt;" &amp; $P3808) + 1) / (COUNTA($I:$I) - 1)</f>
        <v>0.65880000000000005</v>
      </c>
      <c r="S3808" s="23">
        <f>SUMIFS($P:$P, $Q:$Q, "&lt;" &amp; $Q3808)</f>
        <v>185597631</v>
      </c>
    </row>
    <row r="3809" spans="1:19" x14ac:dyDescent="0.25">
      <c r="A3809" s="1">
        <v>3804</v>
      </c>
      <c r="B3809" s="1" t="s">
        <v>2</v>
      </c>
      <c r="C3809" s="1" t="str">
        <f>IF($B3809 = "Production Item", _xlfn.XLOOKUP($A3809, 'Instrument Table'!$J:$J, 'Instrument Table'!$B:$B, $C3808), IF($B3809 = "Service Item", _xlfn.XLOOKUP($A3809, 'Instrument Table'!$I:$I, 'Instrument Table'!$B:$B, $C3808), _xlfn.XLOOKUP($A3809, 'Instrument Table'!$H:$H, 'Instrument Table'!$B:$B, $C3808)))</f>
        <v>Musical Accessories</v>
      </c>
      <c r="D3809" s="1" t="str">
        <f>VLOOKUP($C3809, 'Instrument Table'!$B:$C, 2, FALSE)</f>
        <v>Other</v>
      </c>
      <c r="E3809" s="1">
        <f t="shared" si="354"/>
        <v>1</v>
      </c>
      <c r="F3809" s="1">
        <f>_xlfn.XLOOKUP($C3809, 'Instrument Table'!$B:$B, 'Instrument Table'!$A:$A, "")</f>
        <v>64</v>
      </c>
      <c r="G3809" s="1" t="str">
        <f>TEXT(IF($B3809 = "Retail Item", IF((ROW($A3809) - 4504 - _xlfn.XMATCH($C3809, $C$4506:$C$5005, 0, 1)) &lt;= VLOOKUP($C3809, 'Instrument Table'!$B:$D, 3, FALSE), ROW($A3809) - 4504 - _xlfn.XMATCH($C3809, $C$4506:$C$5005, 0, 1), 0), 0), "00")</f>
        <v>00</v>
      </c>
      <c r="H3809" s="1" t="str">
        <f t="shared" si="355"/>
        <v>003</v>
      </c>
      <c r="I3809" s="1" t="str">
        <f t="shared" si="356"/>
        <v>16400-003</v>
      </c>
      <c r="J3809" s="1" t="str">
        <f t="shared" si="357"/>
        <v>Musical accessories production item #003</v>
      </c>
      <c r="K3809" s="1" t="str">
        <f>IF(SUM(COUNTIFS(I:I, I3809)) &gt; 1, "DUPLICATE", "UNIQUE")</f>
        <v>UNIQUE</v>
      </c>
      <c r="L3809" s="18">
        <v>1</v>
      </c>
      <c r="M3809" s="28">
        <v>40</v>
      </c>
      <c r="N3809" s="6">
        <v>289</v>
      </c>
      <c r="O3809" s="30">
        <f t="shared" si="358"/>
        <v>40</v>
      </c>
      <c r="P3809" s="30">
        <f t="shared" si="359"/>
        <v>11560</v>
      </c>
      <c r="Q3809" s="1">
        <f>COUNTIFS($P:$P, "&gt;" &amp; $P3809) + 1</f>
        <v>1630</v>
      </c>
      <c r="R3809" s="63">
        <f>(COUNTIFS($P:$P, "&gt;" &amp; $P3809) + 1) / (COUNTA($I:$I) - 1)</f>
        <v>0.32600000000000001</v>
      </c>
      <c r="S3809" s="23">
        <f>SUMIFS($P:$P, $Q:$Q, "&lt;" &amp; $Q3809)</f>
        <v>176428259</v>
      </c>
    </row>
    <row r="3810" spans="1:19" x14ac:dyDescent="0.25">
      <c r="A3810" s="1">
        <v>3805</v>
      </c>
      <c r="B3810" s="1" t="s">
        <v>2</v>
      </c>
      <c r="C3810" s="1" t="str">
        <f>IF($B3810 = "Production Item", _xlfn.XLOOKUP($A3810, 'Instrument Table'!$J:$J, 'Instrument Table'!$B:$B, $C3809), IF($B3810 = "Service Item", _xlfn.XLOOKUP($A3810, 'Instrument Table'!$I:$I, 'Instrument Table'!$B:$B, $C3809), _xlfn.XLOOKUP($A3810, 'Instrument Table'!$H:$H, 'Instrument Table'!$B:$B, $C3809)))</f>
        <v>Musical Accessories</v>
      </c>
      <c r="D3810" s="1" t="str">
        <f>VLOOKUP($C3810, 'Instrument Table'!$B:$C, 2, FALSE)</f>
        <v>Other</v>
      </c>
      <c r="E3810" s="1">
        <f t="shared" si="354"/>
        <v>1</v>
      </c>
      <c r="F3810" s="1">
        <f>_xlfn.XLOOKUP($C3810, 'Instrument Table'!$B:$B, 'Instrument Table'!$A:$A, "")</f>
        <v>64</v>
      </c>
      <c r="G3810" s="1" t="str">
        <f>TEXT(IF($B3810 = "Retail Item", IF((ROW($A3810) - 4504 - _xlfn.XMATCH($C3810, $C$4506:$C$5005, 0, 1)) &lt;= VLOOKUP($C3810, 'Instrument Table'!$B:$D, 3, FALSE), ROW($A3810) - 4504 - _xlfn.XMATCH($C3810, $C$4506:$C$5005, 0, 1), 0), 0), "00")</f>
        <v>00</v>
      </c>
      <c r="H3810" s="1" t="str">
        <f t="shared" si="355"/>
        <v>004</v>
      </c>
      <c r="I3810" s="1" t="str">
        <f t="shared" si="356"/>
        <v>16400-004</v>
      </c>
      <c r="J3810" s="1" t="str">
        <f t="shared" si="357"/>
        <v>Musical accessories production item #004</v>
      </c>
      <c r="K3810" s="1" t="str">
        <f>IF(SUM(COUNTIFS(I:I, I3810)) &gt; 1, "DUPLICATE", "UNIQUE")</f>
        <v>UNIQUE</v>
      </c>
      <c r="L3810" s="18">
        <v>1</v>
      </c>
      <c r="M3810" s="28">
        <v>31</v>
      </c>
      <c r="N3810" s="6">
        <v>25</v>
      </c>
      <c r="O3810" s="30">
        <f t="shared" si="358"/>
        <v>31</v>
      </c>
      <c r="P3810" s="30">
        <f t="shared" si="359"/>
        <v>775</v>
      </c>
      <c r="Q3810" s="1">
        <f>COUNTIFS($P:$P, "&gt;" &amp; $P3810) + 1</f>
        <v>3807</v>
      </c>
      <c r="R3810" s="63">
        <f>(COUNTIFS($P:$P, "&gt;" &amp; $P3810) + 1) / (COUNTA($I:$I) - 1)</f>
        <v>0.76139999999999997</v>
      </c>
      <c r="S3810" s="23">
        <f>SUMIFS($P:$P, $Q:$Q, "&lt;" &amp; $Q3810)</f>
        <v>186271130</v>
      </c>
    </row>
    <row r="3811" spans="1:19" x14ac:dyDescent="0.25">
      <c r="A3811" s="1">
        <v>3806</v>
      </c>
      <c r="B3811" s="1" t="s">
        <v>2</v>
      </c>
      <c r="C3811" s="1" t="str">
        <f>IF($B3811 = "Production Item", _xlfn.XLOOKUP($A3811, 'Instrument Table'!$J:$J, 'Instrument Table'!$B:$B, $C3810), IF($B3811 = "Service Item", _xlfn.XLOOKUP($A3811, 'Instrument Table'!$I:$I, 'Instrument Table'!$B:$B, $C3810), _xlfn.XLOOKUP($A3811, 'Instrument Table'!$H:$H, 'Instrument Table'!$B:$B, $C3810)))</f>
        <v>Musical Accessories</v>
      </c>
      <c r="D3811" s="1" t="str">
        <f>VLOOKUP($C3811, 'Instrument Table'!$B:$C, 2, FALSE)</f>
        <v>Other</v>
      </c>
      <c r="E3811" s="1">
        <f t="shared" si="354"/>
        <v>1</v>
      </c>
      <c r="F3811" s="1">
        <f>_xlfn.XLOOKUP($C3811, 'Instrument Table'!$B:$B, 'Instrument Table'!$A:$A, "")</f>
        <v>64</v>
      </c>
      <c r="G3811" s="1" t="str">
        <f>TEXT(IF($B3811 = "Retail Item", IF((ROW($A3811) - 4504 - _xlfn.XMATCH($C3811, $C$4506:$C$5005, 0, 1)) &lt;= VLOOKUP($C3811, 'Instrument Table'!$B:$D, 3, FALSE), ROW($A3811) - 4504 - _xlfn.XMATCH($C3811, $C$4506:$C$5005, 0, 1), 0), 0), "00")</f>
        <v>00</v>
      </c>
      <c r="H3811" s="1" t="str">
        <f t="shared" si="355"/>
        <v>005</v>
      </c>
      <c r="I3811" s="1" t="str">
        <f t="shared" si="356"/>
        <v>16400-005</v>
      </c>
      <c r="J3811" s="1" t="str">
        <f t="shared" si="357"/>
        <v>Musical accessories production item #005</v>
      </c>
      <c r="K3811" s="1" t="str">
        <f>IF(SUM(COUNTIFS(I:I, I3811)) &gt; 1, "DUPLICATE", "UNIQUE")</f>
        <v>UNIQUE</v>
      </c>
      <c r="L3811" s="18">
        <v>1</v>
      </c>
      <c r="M3811" s="28">
        <v>57</v>
      </c>
      <c r="N3811" s="6">
        <v>256</v>
      </c>
      <c r="O3811" s="30">
        <f t="shared" si="358"/>
        <v>57</v>
      </c>
      <c r="P3811" s="30">
        <f t="shared" si="359"/>
        <v>14592</v>
      </c>
      <c r="Q3811" s="1">
        <f>COUNTIFS($P:$P, "&gt;" &amp; $P3811) + 1</f>
        <v>1379</v>
      </c>
      <c r="R3811" s="63">
        <f>(COUNTIFS($P:$P, "&gt;" &amp; $P3811) + 1) / (COUNTA($I:$I) - 1)</f>
        <v>0.27579999999999999</v>
      </c>
      <c r="S3811" s="23">
        <f>SUMIFS($P:$P, $Q:$Q, "&lt;" &amp; $Q3811)</f>
        <v>173172256</v>
      </c>
    </row>
    <row r="3812" spans="1:19" x14ac:dyDescent="0.25">
      <c r="A3812" s="1">
        <v>3807</v>
      </c>
      <c r="B3812" s="1" t="s">
        <v>2</v>
      </c>
      <c r="C3812" s="1" t="str">
        <f>IF($B3812 = "Production Item", _xlfn.XLOOKUP($A3812, 'Instrument Table'!$J:$J, 'Instrument Table'!$B:$B, $C3811), IF($B3812 = "Service Item", _xlfn.XLOOKUP($A3812, 'Instrument Table'!$I:$I, 'Instrument Table'!$B:$B, $C3811), _xlfn.XLOOKUP($A3812, 'Instrument Table'!$H:$H, 'Instrument Table'!$B:$B, $C3811)))</f>
        <v>Musical Accessories</v>
      </c>
      <c r="D3812" s="1" t="str">
        <f>VLOOKUP($C3812, 'Instrument Table'!$B:$C, 2, FALSE)</f>
        <v>Other</v>
      </c>
      <c r="E3812" s="1">
        <f t="shared" si="354"/>
        <v>1</v>
      </c>
      <c r="F3812" s="1">
        <f>_xlfn.XLOOKUP($C3812, 'Instrument Table'!$B:$B, 'Instrument Table'!$A:$A, "")</f>
        <v>64</v>
      </c>
      <c r="G3812" s="1" t="str">
        <f>TEXT(IF($B3812 = "Retail Item", IF((ROW($A3812) - 4504 - _xlfn.XMATCH($C3812, $C$4506:$C$5005, 0, 1)) &lt;= VLOOKUP($C3812, 'Instrument Table'!$B:$D, 3, FALSE), ROW($A3812) - 4504 - _xlfn.XMATCH($C3812, $C$4506:$C$5005, 0, 1), 0), 0), "00")</f>
        <v>00</v>
      </c>
      <c r="H3812" s="1" t="str">
        <f t="shared" si="355"/>
        <v>006</v>
      </c>
      <c r="I3812" s="1" t="str">
        <f t="shared" si="356"/>
        <v>16400-006</v>
      </c>
      <c r="J3812" s="1" t="str">
        <f t="shared" si="357"/>
        <v>Musical accessories production item #006</v>
      </c>
      <c r="K3812" s="1" t="str">
        <f>IF(SUM(COUNTIFS(I:I, I3812)) &gt; 1, "DUPLICATE", "UNIQUE")</f>
        <v>UNIQUE</v>
      </c>
      <c r="L3812" s="18">
        <v>1</v>
      </c>
      <c r="M3812" s="28">
        <v>90</v>
      </c>
      <c r="N3812" s="6">
        <v>81</v>
      </c>
      <c r="O3812" s="30">
        <f t="shared" si="358"/>
        <v>90</v>
      </c>
      <c r="P3812" s="30">
        <f t="shared" si="359"/>
        <v>7290</v>
      </c>
      <c r="Q3812" s="1">
        <f>COUNTIFS($P:$P, "&gt;" &amp; $P3812) + 1</f>
        <v>2098</v>
      </c>
      <c r="R3812" s="63">
        <f>(COUNTIFS($P:$P, "&gt;" &amp; $P3812) + 1) / (COUNTA($I:$I) - 1)</f>
        <v>0.41959999999999997</v>
      </c>
      <c r="S3812" s="23">
        <f>SUMIFS($P:$P, $Q:$Q, "&lt;" &amp; $Q3812)</f>
        <v>180744113</v>
      </c>
    </row>
    <row r="3813" spans="1:19" x14ac:dyDescent="0.25">
      <c r="A3813" s="1">
        <v>3808</v>
      </c>
      <c r="B3813" s="1" t="s">
        <v>2</v>
      </c>
      <c r="C3813" s="1" t="str">
        <f>IF($B3813 = "Production Item", _xlfn.XLOOKUP($A3813, 'Instrument Table'!$J:$J, 'Instrument Table'!$B:$B, $C3812), IF($B3813 = "Service Item", _xlfn.XLOOKUP($A3813, 'Instrument Table'!$I:$I, 'Instrument Table'!$B:$B, $C3812), _xlfn.XLOOKUP($A3813, 'Instrument Table'!$H:$H, 'Instrument Table'!$B:$B, $C3812)))</f>
        <v>Musical Accessories</v>
      </c>
      <c r="D3813" s="1" t="str">
        <f>VLOOKUP($C3813, 'Instrument Table'!$B:$C, 2, FALSE)</f>
        <v>Other</v>
      </c>
      <c r="E3813" s="1">
        <f t="shared" si="354"/>
        <v>1</v>
      </c>
      <c r="F3813" s="1">
        <f>_xlfn.XLOOKUP($C3813, 'Instrument Table'!$B:$B, 'Instrument Table'!$A:$A, "")</f>
        <v>64</v>
      </c>
      <c r="G3813" s="1" t="str">
        <f>TEXT(IF($B3813 = "Retail Item", IF((ROW($A3813) - 4504 - _xlfn.XMATCH($C3813, $C$4506:$C$5005, 0, 1)) &lt;= VLOOKUP($C3813, 'Instrument Table'!$B:$D, 3, FALSE), ROW($A3813) - 4504 - _xlfn.XMATCH($C3813, $C$4506:$C$5005, 0, 1), 0), 0), "00")</f>
        <v>00</v>
      </c>
      <c r="H3813" s="1" t="str">
        <f t="shared" si="355"/>
        <v>007</v>
      </c>
      <c r="I3813" s="1" t="str">
        <f t="shared" si="356"/>
        <v>16400-007</v>
      </c>
      <c r="J3813" s="1" t="str">
        <f t="shared" si="357"/>
        <v>Musical accessories production item #007</v>
      </c>
      <c r="K3813" s="1" t="str">
        <f>IF(SUM(COUNTIFS(I:I, I3813)) &gt; 1, "DUPLICATE", "UNIQUE")</f>
        <v>UNIQUE</v>
      </c>
      <c r="L3813" s="18">
        <v>16</v>
      </c>
      <c r="M3813" s="28">
        <v>43</v>
      </c>
      <c r="N3813" s="6">
        <v>0</v>
      </c>
      <c r="O3813" s="30">
        <f t="shared" si="358"/>
        <v>688</v>
      </c>
      <c r="P3813" s="30">
        <f t="shared" si="359"/>
        <v>0</v>
      </c>
      <c r="Q3813" s="1">
        <f>COUNTIFS($P:$P, "&gt;" &amp; $P3813) + 1</f>
        <v>4746</v>
      </c>
      <c r="R3813" s="63">
        <f>(COUNTIFS($P:$P, "&gt;" &amp; $P3813) + 1) / (COUNTA($I:$I) - 1)</f>
        <v>0.94920000000000004</v>
      </c>
      <c r="S3813" s="23">
        <f>SUMIFS($P:$P, $Q:$Q, "&lt;" &amp; $Q3813)</f>
        <v>186547861</v>
      </c>
    </row>
    <row r="3814" spans="1:19" x14ac:dyDescent="0.25">
      <c r="A3814" s="1">
        <v>3809</v>
      </c>
      <c r="B3814" s="1" t="s">
        <v>2</v>
      </c>
      <c r="C3814" s="1" t="str">
        <f>IF($B3814 = "Production Item", _xlfn.XLOOKUP($A3814, 'Instrument Table'!$J:$J, 'Instrument Table'!$B:$B, $C3813), IF($B3814 = "Service Item", _xlfn.XLOOKUP($A3814, 'Instrument Table'!$I:$I, 'Instrument Table'!$B:$B, $C3813), _xlfn.XLOOKUP($A3814, 'Instrument Table'!$H:$H, 'Instrument Table'!$B:$B, $C3813)))</f>
        <v>Musical Accessories</v>
      </c>
      <c r="D3814" s="1" t="str">
        <f>VLOOKUP($C3814, 'Instrument Table'!$B:$C, 2, FALSE)</f>
        <v>Other</v>
      </c>
      <c r="E3814" s="1">
        <f t="shared" si="354"/>
        <v>1</v>
      </c>
      <c r="F3814" s="1">
        <f>_xlfn.XLOOKUP($C3814, 'Instrument Table'!$B:$B, 'Instrument Table'!$A:$A, "")</f>
        <v>64</v>
      </c>
      <c r="G3814" s="1" t="str">
        <f>TEXT(IF($B3814 = "Retail Item", IF((ROW($A3814) - 4504 - _xlfn.XMATCH($C3814, $C$4506:$C$5005, 0, 1)) &lt;= VLOOKUP($C3814, 'Instrument Table'!$B:$D, 3, FALSE), ROW($A3814) - 4504 - _xlfn.XMATCH($C3814, $C$4506:$C$5005, 0, 1), 0), 0), "00")</f>
        <v>00</v>
      </c>
      <c r="H3814" s="1" t="str">
        <f t="shared" si="355"/>
        <v>008</v>
      </c>
      <c r="I3814" s="1" t="str">
        <f t="shared" si="356"/>
        <v>16400-008</v>
      </c>
      <c r="J3814" s="1" t="str">
        <f t="shared" si="357"/>
        <v>Musical accessories production item #008</v>
      </c>
      <c r="K3814" s="1" t="str">
        <f>IF(SUM(COUNTIFS(I:I, I3814)) &gt; 1, "DUPLICATE", "UNIQUE")</f>
        <v>UNIQUE</v>
      </c>
      <c r="L3814" s="18">
        <v>1</v>
      </c>
      <c r="M3814" s="28">
        <v>26</v>
      </c>
      <c r="N3814" s="6">
        <v>1</v>
      </c>
      <c r="O3814" s="30">
        <f t="shared" si="358"/>
        <v>26</v>
      </c>
      <c r="P3814" s="30">
        <f t="shared" si="359"/>
        <v>26</v>
      </c>
      <c r="Q3814" s="1">
        <f>COUNTIFS($P:$P, "&gt;" &amp; $P3814) + 1</f>
        <v>4681</v>
      </c>
      <c r="R3814" s="63">
        <f>(COUNTIFS($P:$P, "&gt;" &amp; $P3814) + 1) / (COUNTA($I:$I) - 1)</f>
        <v>0.93620000000000003</v>
      </c>
      <c r="S3814" s="23">
        <f>SUMIFS($P:$P, $Q:$Q, "&lt;" &amp; $Q3814)</f>
        <v>186546996</v>
      </c>
    </row>
    <row r="3815" spans="1:19" x14ac:dyDescent="0.25">
      <c r="A3815" s="1">
        <v>3810</v>
      </c>
      <c r="B3815" s="1" t="s">
        <v>2</v>
      </c>
      <c r="C3815" s="1" t="str">
        <f>IF($B3815 = "Production Item", _xlfn.XLOOKUP($A3815, 'Instrument Table'!$J:$J, 'Instrument Table'!$B:$B, $C3814), IF($B3815 = "Service Item", _xlfn.XLOOKUP($A3815, 'Instrument Table'!$I:$I, 'Instrument Table'!$B:$B, $C3814), _xlfn.XLOOKUP($A3815, 'Instrument Table'!$H:$H, 'Instrument Table'!$B:$B, $C3814)))</f>
        <v>Musical Accessories</v>
      </c>
      <c r="D3815" s="1" t="str">
        <f>VLOOKUP($C3815, 'Instrument Table'!$B:$C, 2, FALSE)</f>
        <v>Other</v>
      </c>
      <c r="E3815" s="1">
        <f t="shared" si="354"/>
        <v>1</v>
      </c>
      <c r="F3815" s="1">
        <f>_xlfn.XLOOKUP($C3815, 'Instrument Table'!$B:$B, 'Instrument Table'!$A:$A, "")</f>
        <v>64</v>
      </c>
      <c r="G3815" s="1" t="str">
        <f>TEXT(IF($B3815 = "Retail Item", IF((ROW($A3815) - 4504 - _xlfn.XMATCH($C3815, $C$4506:$C$5005, 0, 1)) &lt;= VLOOKUP($C3815, 'Instrument Table'!$B:$D, 3, FALSE), ROW($A3815) - 4504 - _xlfn.XMATCH($C3815, $C$4506:$C$5005, 0, 1), 0), 0), "00")</f>
        <v>00</v>
      </c>
      <c r="H3815" s="1" t="str">
        <f t="shared" si="355"/>
        <v>009</v>
      </c>
      <c r="I3815" s="1" t="str">
        <f t="shared" si="356"/>
        <v>16400-009</v>
      </c>
      <c r="J3815" s="1" t="str">
        <f t="shared" si="357"/>
        <v>Musical accessories production item #009</v>
      </c>
      <c r="K3815" s="1" t="str">
        <f>IF(SUM(COUNTIFS(I:I, I3815)) &gt; 1, "DUPLICATE", "UNIQUE")</f>
        <v>UNIQUE</v>
      </c>
      <c r="L3815" s="18">
        <v>1</v>
      </c>
      <c r="M3815" s="28">
        <v>74</v>
      </c>
      <c r="N3815" s="6">
        <v>289</v>
      </c>
      <c r="O3815" s="30">
        <f t="shared" si="358"/>
        <v>74</v>
      </c>
      <c r="P3815" s="30">
        <f t="shared" si="359"/>
        <v>21386</v>
      </c>
      <c r="Q3815" s="1">
        <f>COUNTIFS($P:$P, "&gt;" &amp; $P3815) + 1</f>
        <v>983</v>
      </c>
      <c r="R3815" s="63">
        <f>(COUNTIFS($P:$P, "&gt;" &amp; $P3815) + 1) / (COUNTA($I:$I) - 1)</f>
        <v>0.1966</v>
      </c>
      <c r="S3815" s="23">
        <f>SUMIFS($P:$P, $Q:$Q, "&lt;" &amp; $Q3815)</f>
        <v>166128986</v>
      </c>
    </row>
    <row r="3816" spans="1:19" x14ac:dyDescent="0.25">
      <c r="A3816" s="1">
        <v>3811</v>
      </c>
      <c r="B3816" s="1" t="s">
        <v>2</v>
      </c>
      <c r="C3816" s="1" t="str">
        <f>IF($B3816 = "Production Item", _xlfn.XLOOKUP($A3816, 'Instrument Table'!$J:$J, 'Instrument Table'!$B:$B, $C3815), IF($B3816 = "Service Item", _xlfn.XLOOKUP($A3816, 'Instrument Table'!$I:$I, 'Instrument Table'!$B:$B, $C3815), _xlfn.XLOOKUP($A3816, 'Instrument Table'!$H:$H, 'Instrument Table'!$B:$B, $C3815)))</f>
        <v>Musical Accessories</v>
      </c>
      <c r="D3816" s="1" t="str">
        <f>VLOOKUP($C3816, 'Instrument Table'!$B:$C, 2, FALSE)</f>
        <v>Other</v>
      </c>
      <c r="E3816" s="1">
        <f t="shared" si="354"/>
        <v>1</v>
      </c>
      <c r="F3816" s="1">
        <f>_xlfn.XLOOKUP($C3816, 'Instrument Table'!$B:$B, 'Instrument Table'!$A:$A, "")</f>
        <v>64</v>
      </c>
      <c r="G3816" s="1" t="str">
        <f>TEXT(IF($B3816 = "Retail Item", IF((ROW($A3816) - 4504 - _xlfn.XMATCH($C3816, $C$4506:$C$5005, 0, 1)) &lt;= VLOOKUP($C3816, 'Instrument Table'!$B:$D, 3, FALSE), ROW($A3816) - 4504 - _xlfn.XMATCH($C3816, $C$4506:$C$5005, 0, 1), 0), 0), "00")</f>
        <v>00</v>
      </c>
      <c r="H3816" s="1" t="str">
        <f t="shared" si="355"/>
        <v>010</v>
      </c>
      <c r="I3816" s="1" t="str">
        <f t="shared" si="356"/>
        <v>16400-010</v>
      </c>
      <c r="J3816" s="1" t="str">
        <f t="shared" si="357"/>
        <v>Musical accessories production item #010</v>
      </c>
      <c r="K3816" s="1" t="str">
        <f>IF(SUM(COUNTIFS(I:I, I3816)) &gt; 1, "DUPLICATE", "UNIQUE")</f>
        <v>UNIQUE</v>
      </c>
      <c r="L3816" s="18">
        <v>1</v>
      </c>
      <c r="M3816" s="28">
        <v>89</v>
      </c>
      <c r="N3816" s="6">
        <v>361</v>
      </c>
      <c r="O3816" s="30">
        <f t="shared" si="358"/>
        <v>89</v>
      </c>
      <c r="P3816" s="30">
        <f t="shared" si="359"/>
        <v>32129</v>
      </c>
      <c r="Q3816" s="1">
        <f>COUNTIFS($P:$P, "&gt;" &amp; $P3816) + 1</f>
        <v>644</v>
      </c>
      <c r="R3816" s="63">
        <f>(COUNTIFS($P:$P, "&gt;" &amp; $P3816) + 1) / (COUNTA($I:$I) - 1)</f>
        <v>0.1288</v>
      </c>
      <c r="S3816" s="23">
        <f>SUMIFS($P:$P, $Q:$Q, "&lt;" &amp; $Q3816)</f>
        <v>157353040</v>
      </c>
    </row>
    <row r="3817" spans="1:19" x14ac:dyDescent="0.25">
      <c r="A3817" s="1">
        <v>3812</v>
      </c>
      <c r="B3817" s="1" t="s">
        <v>2</v>
      </c>
      <c r="C3817" s="1" t="str">
        <f>IF($B3817 = "Production Item", _xlfn.XLOOKUP($A3817, 'Instrument Table'!$J:$J, 'Instrument Table'!$B:$B, $C3816), IF($B3817 = "Service Item", _xlfn.XLOOKUP($A3817, 'Instrument Table'!$I:$I, 'Instrument Table'!$B:$B, $C3816), _xlfn.XLOOKUP($A3817, 'Instrument Table'!$H:$H, 'Instrument Table'!$B:$B, $C3816)))</f>
        <v>Musical Accessories</v>
      </c>
      <c r="D3817" s="1" t="str">
        <f>VLOOKUP($C3817, 'Instrument Table'!$B:$C, 2, FALSE)</f>
        <v>Other</v>
      </c>
      <c r="E3817" s="1">
        <f t="shared" si="354"/>
        <v>1</v>
      </c>
      <c r="F3817" s="1">
        <f>_xlfn.XLOOKUP($C3817, 'Instrument Table'!$B:$B, 'Instrument Table'!$A:$A, "")</f>
        <v>64</v>
      </c>
      <c r="G3817" s="1" t="str">
        <f>TEXT(IF($B3817 = "Retail Item", IF((ROW($A3817) - 4504 - _xlfn.XMATCH($C3817, $C$4506:$C$5005, 0, 1)) &lt;= VLOOKUP($C3817, 'Instrument Table'!$B:$D, 3, FALSE), ROW($A3817) - 4504 - _xlfn.XMATCH($C3817, $C$4506:$C$5005, 0, 1), 0), 0), "00")</f>
        <v>00</v>
      </c>
      <c r="H3817" s="1" t="str">
        <f t="shared" si="355"/>
        <v>011</v>
      </c>
      <c r="I3817" s="1" t="str">
        <f t="shared" si="356"/>
        <v>16400-011</v>
      </c>
      <c r="J3817" s="1" t="str">
        <f t="shared" si="357"/>
        <v>Musical accessories production item #011</v>
      </c>
      <c r="K3817" s="1" t="str">
        <f>IF(SUM(COUNTIFS(I:I, I3817)) &gt; 1, "DUPLICATE", "UNIQUE")</f>
        <v>UNIQUE</v>
      </c>
      <c r="L3817" s="18">
        <v>1</v>
      </c>
      <c r="M3817" s="28">
        <v>67</v>
      </c>
      <c r="N3817" s="6">
        <v>400</v>
      </c>
      <c r="O3817" s="30">
        <f t="shared" si="358"/>
        <v>67</v>
      </c>
      <c r="P3817" s="30">
        <f t="shared" si="359"/>
        <v>26800</v>
      </c>
      <c r="Q3817" s="1">
        <f>COUNTIFS($P:$P, "&gt;" &amp; $P3817) + 1</f>
        <v>762</v>
      </c>
      <c r="R3817" s="63">
        <f>(COUNTIFS($P:$P, "&gt;" &amp; $P3817) + 1) / (COUNTA($I:$I) - 1)</f>
        <v>0.15240000000000001</v>
      </c>
      <c r="S3817" s="23">
        <f>SUMIFS($P:$P, $Q:$Q, "&lt;" &amp; $Q3817)</f>
        <v>160829350</v>
      </c>
    </row>
    <row r="3818" spans="1:19" x14ac:dyDescent="0.25">
      <c r="A3818" s="1">
        <v>3813</v>
      </c>
      <c r="B3818" s="1" t="s">
        <v>2</v>
      </c>
      <c r="C3818" s="1" t="str">
        <f>IF($B3818 = "Production Item", _xlfn.XLOOKUP($A3818, 'Instrument Table'!$J:$J, 'Instrument Table'!$B:$B, $C3817), IF($B3818 = "Service Item", _xlfn.XLOOKUP($A3818, 'Instrument Table'!$I:$I, 'Instrument Table'!$B:$B, $C3817), _xlfn.XLOOKUP($A3818, 'Instrument Table'!$H:$H, 'Instrument Table'!$B:$B, $C3817)))</f>
        <v>Musical Accessories</v>
      </c>
      <c r="D3818" s="1" t="str">
        <f>VLOOKUP($C3818, 'Instrument Table'!$B:$C, 2, FALSE)</f>
        <v>Other</v>
      </c>
      <c r="E3818" s="1">
        <f t="shared" si="354"/>
        <v>1</v>
      </c>
      <c r="F3818" s="1">
        <f>_xlfn.XLOOKUP($C3818, 'Instrument Table'!$B:$B, 'Instrument Table'!$A:$A, "")</f>
        <v>64</v>
      </c>
      <c r="G3818" s="1" t="str">
        <f>TEXT(IF($B3818 = "Retail Item", IF((ROW($A3818) - 4504 - _xlfn.XMATCH($C3818, $C$4506:$C$5005, 0, 1)) &lt;= VLOOKUP($C3818, 'Instrument Table'!$B:$D, 3, FALSE), ROW($A3818) - 4504 - _xlfn.XMATCH($C3818, $C$4506:$C$5005, 0, 1), 0), 0), "00")</f>
        <v>00</v>
      </c>
      <c r="H3818" s="1" t="str">
        <f t="shared" si="355"/>
        <v>012</v>
      </c>
      <c r="I3818" s="1" t="str">
        <f t="shared" si="356"/>
        <v>16400-012</v>
      </c>
      <c r="J3818" s="1" t="str">
        <f t="shared" si="357"/>
        <v>Musical accessories production item #012</v>
      </c>
      <c r="K3818" s="1" t="str">
        <f>IF(SUM(COUNTIFS(I:I, I3818)) &gt; 1, "DUPLICATE", "UNIQUE")</f>
        <v>UNIQUE</v>
      </c>
      <c r="L3818" s="18">
        <v>1</v>
      </c>
      <c r="M3818" s="28">
        <v>48</v>
      </c>
      <c r="N3818" s="6">
        <v>25</v>
      </c>
      <c r="O3818" s="30">
        <f t="shared" si="358"/>
        <v>48</v>
      </c>
      <c r="P3818" s="30">
        <f t="shared" si="359"/>
        <v>1200</v>
      </c>
      <c r="Q3818" s="1">
        <f>COUNTIFS($P:$P, "&gt;" &amp; $P3818) + 1</f>
        <v>3608</v>
      </c>
      <c r="R3818" s="63">
        <f>(COUNTIFS($P:$P, "&gt;" &amp; $P3818) + 1) / (COUNTA($I:$I) - 1)</f>
        <v>0.72160000000000002</v>
      </c>
      <c r="S3818" s="23">
        <f>SUMIFS($P:$P, $Q:$Q, "&lt;" &amp; $Q3818)</f>
        <v>186079438</v>
      </c>
    </row>
    <row r="3819" spans="1:19" x14ac:dyDescent="0.25">
      <c r="A3819" s="1">
        <v>3814</v>
      </c>
      <c r="B3819" s="1" t="s">
        <v>2</v>
      </c>
      <c r="C3819" s="1" t="str">
        <f>IF($B3819 = "Production Item", _xlfn.XLOOKUP($A3819, 'Instrument Table'!$J:$J, 'Instrument Table'!$B:$B, $C3818), IF($B3819 = "Service Item", _xlfn.XLOOKUP($A3819, 'Instrument Table'!$I:$I, 'Instrument Table'!$B:$B, $C3818), _xlfn.XLOOKUP($A3819, 'Instrument Table'!$H:$H, 'Instrument Table'!$B:$B, $C3818)))</f>
        <v>Musical Accessories</v>
      </c>
      <c r="D3819" s="1" t="str">
        <f>VLOOKUP($C3819, 'Instrument Table'!$B:$C, 2, FALSE)</f>
        <v>Other</v>
      </c>
      <c r="E3819" s="1">
        <f t="shared" si="354"/>
        <v>1</v>
      </c>
      <c r="F3819" s="1">
        <f>_xlfn.XLOOKUP($C3819, 'Instrument Table'!$B:$B, 'Instrument Table'!$A:$A, "")</f>
        <v>64</v>
      </c>
      <c r="G3819" s="1" t="str">
        <f>TEXT(IF($B3819 = "Retail Item", IF((ROW($A3819) - 4504 - _xlfn.XMATCH($C3819, $C$4506:$C$5005, 0, 1)) &lt;= VLOOKUP($C3819, 'Instrument Table'!$B:$D, 3, FALSE), ROW($A3819) - 4504 - _xlfn.XMATCH($C3819, $C$4506:$C$5005, 0, 1), 0), 0), "00")</f>
        <v>00</v>
      </c>
      <c r="H3819" s="1" t="str">
        <f t="shared" si="355"/>
        <v>013</v>
      </c>
      <c r="I3819" s="1" t="str">
        <f t="shared" si="356"/>
        <v>16400-013</v>
      </c>
      <c r="J3819" s="1" t="str">
        <f t="shared" si="357"/>
        <v>Musical accessories production item #013</v>
      </c>
      <c r="K3819" s="1" t="str">
        <f>IF(SUM(COUNTIFS(I:I, I3819)) &gt; 1, "DUPLICATE", "UNIQUE")</f>
        <v>UNIQUE</v>
      </c>
      <c r="L3819" s="18">
        <v>1</v>
      </c>
      <c r="M3819" s="28">
        <v>37</v>
      </c>
      <c r="N3819" s="6">
        <v>144</v>
      </c>
      <c r="O3819" s="30">
        <f t="shared" si="358"/>
        <v>37</v>
      </c>
      <c r="P3819" s="30">
        <f t="shared" si="359"/>
        <v>5328</v>
      </c>
      <c r="Q3819" s="1">
        <f>COUNTIFS($P:$P, "&gt;" &amp; $P3819) + 1</f>
        <v>2381</v>
      </c>
      <c r="R3819" s="63">
        <f>(COUNTIFS($P:$P, "&gt;" &amp; $P3819) + 1) / (COUNTA($I:$I) - 1)</f>
        <v>0.47620000000000001</v>
      </c>
      <c r="S3819" s="23">
        <f>SUMIFS($P:$P, $Q:$Q, "&lt;" &amp; $Q3819)</f>
        <v>182516121</v>
      </c>
    </row>
    <row r="3820" spans="1:19" x14ac:dyDescent="0.25">
      <c r="A3820" s="1">
        <v>3815</v>
      </c>
      <c r="B3820" s="1" t="s">
        <v>2</v>
      </c>
      <c r="C3820" s="1" t="str">
        <f>IF($B3820 = "Production Item", _xlfn.XLOOKUP($A3820, 'Instrument Table'!$J:$J, 'Instrument Table'!$B:$B, $C3819), IF($B3820 = "Service Item", _xlfn.XLOOKUP($A3820, 'Instrument Table'!$I:$I, 'Instrument Table'!$B:$B, $C3819), _xlfn.XLOOKUP($A3820, 'Instrument Table'!$H:$H, 'Instrument Table'!$B:$B, $C3819)))</f>
        <v>Musical Accessories</v>
      </c>
      <c r="D3820" s="1" t="str">
        <f>VLOOKUP($C3820, 'Instrument Table'!$B:$C, 2, FALSE)</f>
        <v>Other</v>
      </c>
      <c r="E3820" s="1">
        <f t="shared" si="354"/>
        <v>1</v>
      </c>
      <c r="F3820" s="1">
        <f>_xlfn.XLOOKUP($C3820, 'Instrument Table'!$B:$B, 'Instrument Table'!$A:$A, "")</f>
        <v>64</v>
      </c>
      <c r="G3820" s="1" t="str">
        <f>TEXT(IF($B3820 = "Retail Item", IF((ROW($A3820) - 4504 - _xlfn.XMATCH($C3820, $C$4506:$C$5005, 0, 1)) &lt;= VLOOKUP($C3820, 'Instrument Table'!$B:$D, 3, FALSE), ROW($A3820) - 4504 - _xlfn.XMATCH($C3820, $C$4506:$C$5005, 0, 1), 0), 0), "00")</f>
        <v>00</v>
      </c>
      <c r="H3820" s="1" t="str">
        <f t="shared" si="355"/>
        <v>014</v>
      </c>
      <c r="I3820" s="1" t="str">
        <f t="shared" si="356"/>
        <v>16400-014</v>
      </c>
      <c r="J3820" s="1" t="str">
        <f t="shared" si="357"/>
        <v>Musical accessories production item #014</v>
      </c>
      <c r="K3820" s="1" t="str">
        <f>IF(SUM(COUNTIFS(I:I, I3820)) &gt; 1, "DUPLICATE", "UNIQUE")</f>
        <v>UNIQUE</v>
      </c>
      <c r="L3820" s="18">
        <v>0</v>
      </c>
      <c r="M3820" s="28">
        <v>72</v>
      </c>
      <c r="N3820" s="6">
        <v>16</v>
      </c>
      <c r="O3820" s="30">
        <f t="shared" si="358"/>
        <v>0</v>
      </c>
      <c r="P3820" s="30">
        <f t="shared" si="359"/>
        <v>1152</v>
      </c>
      <c r="Q3820" s="1">
        <f>COUNTIFS($P:$P, "&gt;" &amp; $P3820) + 1</f>
        <v>3621</v>
      </c>
      <c r="R3820" s="63">
        <f>(COUNTIFS($P:$P, "&gt;" &amp; $P3820) + 1) / (COUNTA($I:$I) - 1)</f>
        <v>0.72419999999999995</v>
      </c>
      <c r="S3820" s="23">
        <f>SUMIFS($P:$P, $Q:$Q, "&lt;" &amp; $Q3820)</f>
        <v>186094880</v>
      </c>
    </row>
    <row r="3821" spans="1:19" x14ac:dyDescent="0.25">
      <c r="A3821" s="1">
        <v>3816</v>
      </c>
      <c r="B3821" s="1" t="s">
        <v>2</v>
      </c>
      <c r="C3821" s="1" t="str">
        <f>IF($B3821 = "Production Item", _xlfn.XLOOKUP($A3821, 'Instrument Table'!$J:$J, 'Instrument Table'!$B:$B, $C3820), IF($B3821 = "Service Item", _xlfn.XLOOKUP($A3821, 'Instrument Table'!$I:$I, 'Instrument Table'!$B:$B, $C3820), _xlfn.XLOOKUP($A3821, 'Instrument Table'!$H:$H, 'Instrument Table'!$B:$B, $C3820)))</f>
        <v>Musical Accessories</v>
      </c>
      <c r="D3821" s="1" t="str">
        <f>VLOOKUP($C3821, 'Instrument Table'!$B:$C, 2, FALSE)</f>
        <v>Other</v>
      </c>
      <c r="E3821" s="1">
        <f t="shared" si="354"/>
        <v>1</v>
      </c>
      <c r="F3821" s="1">
        <f>_xlfn.XLOOKUP($C3821, 'Instrument Table'!$B:$B, 'Instrument Table'!$A:$A, "")</f>
        <v>64</v>
      </c>
      <c r="G3821" s="1" t="str">
        <f>TEXT(IF($B3821 = "Retail Item", IF((ROW($A3821) - 4504 - _xlfn.XMATCH($C3821, $C$4506:$C$5005, 0, 1)) &lt;= VLOOKUP($C3821, 'Instrument Table'!$B:$D, 3, FALSE), ROW($A3821) - 4504 - _xlfn.XMATCH($C3821, $C$4506:$C$5005, 0, 1), 0), 0), "00")</f>
        <v>00</v>
      </c>
      <c r="H3821" s="1" t="str">
        <f t="shared" si="355"/>
        <v>015</v>
      </c>
      <c r="I3821" s="1" t="str">
        <f t="shared" si="356"/>
        <v>16400-015</v>
      </c>
      <c r="J3821" s="1" t="str">
        <f t="shared" si="357"/>
        <v>Musical accessories production item #015</v>
      </c>
      <c r="K3821" s="1" t="str">
        <f>IF(SUM(COUNTIFS(I:I, I3821)) &gt; 1, "DUPLICATE", "UNIQUE")</f>
        <v>UNIQUE</v>
      </c>
      <c r="L3821" s="18">
        <v>16</v>
      </c>
      <c r="M3821" s="28">
        <v>93</v>
      </c>
      <c r="N3821" s="6">
        <v>16</v>
      </c>
      <c r="O3821" s="30">
        <f t="shared" si="358"/>
        <v>1488</v>
      </c>
      <c r="P3821" s="30">
        <f t="shared" si="359"/>
        <v>1488</v>
      </c>
      <c r="Q3821" s="1">
        <f>COUNTIFS($P:$P, "&gt;" &amp; $P3821) + 1</f>
        <v>3463</v>
      </c>
      <c r="R3821" s="63">
        <f>(COUNTIFS($P:$P, "&gt;" &amp; $P3821) + 1) / (COUNTA($I:$I) - 1)</f>
        <v>0.69259999999999999</v>
      </c>
      <c r="S3821" s="23">
        <f>SUMIFS($P:$P, $Q:$Q, "&lt;" &amp; $Q3821)</f>
        <v>185883471</v>
      </c>
    </row>
    <row r="3822" spans="1:19" x14ac:dyDescent="0.25">
      <c r="A3822" s="1">
        <v>3817</v>
      </c>
      <c r="B3822" s="1" t="s">
        <v>2</v>
      </c>
      <c r="C3822" s="1" t="str">
        <f>IF($B3822 = "Production Item", _xlfn.XLOOKUP($A3822, 'Instrument Table'!$J:$J, 'Instrument Table'!$B:$B, $C3821), IF($B3822 = "Service Item", _xlfn.XLOOKUP($A3822, 'Instrument Table'!$I:$I, 'Instrument Table'!$B:$B, $C3821), _xlfn.XLOOKUP($A3822, 'Instrument Table'!$H:$H, 'Instrument Table'!$B:$B, $C3821)))</f>
        <v>Musical Accessories</v>
      </c>
      <c r="D3822" s="1" t="str">
        <f>VLOOKUP($C3822, 'Instrument Table'!$B:$C, 2, FALSE)</f>
        <v>Other</v>
      </c>
      <c r="E3822" s="1">
        <f t="shared" si="354"/>
        <v>1</v>
      </c>
      <c r="F3822" s="1">
        <f>_xlfn.XLOOKUP($C3822, 'Instrument Table'!$B:$B, 'Instrument Table'!$A:$A, "")</f>
        <v>64</v>
      </c>
      <c r="G3822" s="1" t="str">
        <f>TEXT(IF($B3822 = "Retail Item", IF((ROW($A3822) - 4504 - _xlfn.XMATCH($C3822, $C$4506:$C$5005, 0, 1)) &lt;= VLOOKUP($C3822, 'Instrument Table'!$B:$D, 3, FALSE), ROW($A3822) - 4504 - _xlfn.XMATCH($C3822, $C$4506:$C$5005, 0, 1), 0), 0), "00")</f>
        <v>00</v>
      </c>
      <c r="H3822" s="1" t="str">
        <f t="shared" si="355"/>
        <v>016</v>
      </c>
      <c r="I3822" s="1" t="str">
        <f t="shared" si="356"/>
        <v>16400-016</v>
      </c>
      <c r="J3822" s="1" t="str">
        <f t="shared" si="357"/>
        <v>Musical accessories production item #016</v>
      </c>
      <c r="K3822" s="1" t="str">
        <f>IF(SUM(COUNTIFS(I:I, I3822)) &gt; 1, "DUPLICATE", "UNIQUE")</f>
        <v>UNIQUE</v>
      </c>
      <c r="L3822" s="18">
        <v>2</v>
      </c>
      <c r="M3822" s="28">
        <v>15</v>
      </c>
      <c r="N3822" s="6">
        <v>289</v>
      </c>
      <c r="O3822" s="30">
        <f t="shared" si="358"/>
        <v>30</v>
      </c>
      <c r="P3822" s="30">
        <f t="shared" si="359"/>
        <v>4335</v>
      </c>
      <c r="Q3822" s="1">
        <f>COUNTIFS($P:$P, "&gt;" &amp; $P3822) + 1</f>
        <v>2578</v>
      </c>
      <c r="R3822" s="63">
        <f>(COUNTIFS($P:$P, "&gt;" &amp; $P3822) + 1) / (COUNTA($I:$I) - 1)</f>
        <v>0.51559999999999995</v>
      </c>
      <c r="S3822" s="23">
        <f>SUMIFS($P:$P, $Q:$Q, "&lt;" &amp; $Q3822)</f>
        <v>183468790</v>
      </c>
    </row>
    <row r="3823" spans="1:19" x14ac:dyDescent="0.25">
      <c r="A3823" s="1">
        <v>3818</v>
      </c>
      <c r="B3823" s="1" t="s">
        <v>2</v>
      </c>
      <c r="C3823" s="1" t="str">
        <f>IF($B3823 = "Production Item", _xlfn.XLOOKUP($A3823, 'Instrument Table'!$J:$J, 'Instrument Table'!$B:$B, $C3822), IF($B3823 = "Service Item", _xlfn.XLOOKUP($A3823, 'Instrument Table'!$I:$I, 'Instrument Table'!$B:$B, $C3822), _xlfn.XLOOKUP($A3823, 'Instrument Table'!$H:$H, 'Instrument Table'!$B:$B, $C3822)))</f>
        <v>Musical Accessories</v>
      </c>
      <c r="D3823" s="1" t="str">
        <f>VLOOKUP($C3823, 'Instrument Table'!$B:$C, 2, FALSE)</f>
        <v>Other</v>
      </c>
      <c r="E3823" s="1">
        <f t="shared" si="354"/>
        <v>1</v>
      </c>
      <c r="F3823" s="1">
        <f>_xlfn.XLOOKUP($C3823, 'Instrument Table'!$B:$B, 'Instrument Table'!$A:$A, "")</f>
        <v>64</v>
      </c>
      <c r="G3823" s="1" t="str">
        <f>TEXT(IF($B3823 = "Retail Item", IF((ROW($A3823) - 4504 - _xlfn.XMATCH($C3823, $C$4506:$C$5005, 0, 1)) &lt;= VLOOKUP($C3823, 'Instrument Table'!$B:$D, 3, FALSE), ROW($A3823) - 4504 - _xlfn.XMATCH($C3823, $C$4506:$C$5005, 0, 1), 0), 0), "00")</f>
        <v>00</v>
      </c>
      <c r="H3823" s="1" t="str">
        <f t="shared" si="355"/>
        <v>017</v>
      </c>
      <c r="I3823" s="1" t="str">
        <f t="shared" si="356"/>
        <v>16400-017</v>
      </c>
      <c r="J3823" s="1" t="str">
        <f t="shared" si="357"/>
        <v>Musical accessories production item #017</v>
      </c>
      <c r="K3823" s="1" t="str">
        <f>IF(SUM(COUNTIFS(I:I, I3823)) &gt; 1, "DUPLICATE", "UNIQUE")</f>
        <v>UNIQUE</v>
      </c>
      <c r="L3823" s="18">
        <v>2</v>
      </c>
      <c r="M3823" s="28">
        <v>77</v>
      </c>
      <c r="N3823" s="6">
        <v>289</v>
      </c>
      <c r="O3823" s="30">
        <f t="shared" si="358"/>
        <v>154</v>
      </c>
      <c r="P3823" s="30">
        <f t="shared" si="359"/>
        <v>22253</v>
      </c>
      <c r="Q3823" s="1">
        <f>COUNTIFS($P:$P, "&gt;" &amp; $P3823) + 1</f>
        <v>941</v>
      </c>
      <c r="R3823" s="63">
        <f>(COUNTIFS($P:$P, "&gt;" &amp; $P3823) + 1) / (COUNTA($I:$I) - 1)</f>
        <v>0.18820000000000001</v>
      </c>
      <c r="S3823" s="23">
        <f>SUMIFS($P:$P, $Q:$Q, "&lt;" &amp; $Q3823)</f>
        <v>165210049</v>
      </c>
    </row>
    <row r="3824" spans="1:19" x14ac:dyDescent="0.25">
      <c r="A3824" s="1">
        <v>3819</v>
      </c>
      <c r="B3824" s="1" t="s">
        <v>2</v>
      </c>
      <c r="C3824" s="1" t="str">
        <f>IF($B3824 = "Production Item", _xlfn.XLOOKUP($A3824, 'Instrument Table'!$J:$J, 'Instrument Table'!$B:$B, $C3823), IF($B3824 = "Service Item", _xlfn.XLOOKUP($A3824, 'Instrument Table'!$I:$I, 'Instrument Table'!$B:$B, $C3823), _xlfn.XLOOKUP($A3824, 'Instrument Table'!$H:$H, 'Instrument Table'!$B:$B, $C3823)))</f>
        <v>Musical Accessories</v>
      </c>
      <c r="D3824" s="1" t="str">
        <f>VLOOKUP($C3824, 'Instrument Table'!$B:$C, 2, FALSE)</f>
        <v>Other</v>
      </c>
      <c r="E3824" s="1">
        <f t="shared" si="354"/>
        <v>1</v>
      </c>
      <c r="F3824" s="1">
        <f>_xlfn.XLOOKUP($C3824, 'Instrument Table'!$B:$B, 'Instrument Table'!$A:$A, "")</f>
        <v>64</v>
      </c>
      <c r="G3824" s="1" t="str">
        <f>TEXT(IF($B3824 = "Retail Item", IF((ROW($A3824) - 4504 - _xlfn.XMATCH($C3824, $C$4506:$C$5005, 0, 1)) &lt;= VLOOKUP($C3824, 'Instrument Table'!$B:$D, 3, FALSE), ROW($A3824) - 4504 - _xlfn.XMATCH($C3824, $C$4506:$C$5005, 0, 1), 0), 0), "00")</f>
        <v>00</v>
      </c>
      <c r="H3824" s="1" t="str">
        <f t="shared" si="355"/>
        <v>018</v>
      </c>
      <c r="I3824" s="1" t="str">
        <f t="shared" si="356"/>
        <v>16400-018</v>
      </c>
      <c r="J3824" s="1" t="str">
        <f t="shared" si="357"/>
        <v>Musical accessories production item #018</v>
      </c>
      <c r="K3824" s="1" t="str">
        <f>IF(SUM(COUNTIFS(I:I, I3824)) &gt; 1, "DUPLICATE", "UNIQUE")</f>
        <v>UNIQUE</v>
      </c>
      <c r="L3824" s="18">
        <v>4</v>
      </c>
      <c r="M3824" s="28">
        <v>78</v>
      </c>
      <c r="N3824" s="6">
        <v>9</v>
      </c>
      <c r="O3824" s="30">
        <f t="shared" si="358"/>
        <v>312</v>
      </c>
      <c r="P3824" s="30">
        <f t="shared" si="359"/>
        <v>702</v>
      </c>
      <c r="Q3824" s="1">
        <f>COUNTIFS($P:$P, "&gt;" &amp; $P3824) + 1</f>
        <v>3880</v>
      </c>
      <c r="R3824" s="63">
        <f>(COUNTIFS($P:$P, "&gt;" &amp; $P3824) + 1) / (COUNTA($I:$I) - 1)</f>
        <v>0.77600000000000002</v>
      </c>
      <c r="S3824" s="23">
        <f>SUMIFS($P:$P, $Q:$Q, "&lt;" &amp; $Q3824)</f>
        <v>186325089</v>
      </c>
    </row>
    <row r="3825" spans="1:19" x14ac:dyDescent="0.25">
      <c r="A3825" s="1">
        <v>3820</v>
      </c>
      <c r="B3825" s="1" t="s">
        <v>2</v>
      </c>
      <c r="C3825" s="1" t="str">
        <f>IF($B3825 = "Production Item", _xlfn.XLOOKUP($A3825, 'Instrument Table'!$J:$J, 'Instrument Table'!$B:$B, $C3824), IF($B3825 = "Service Item", _xlfn.XLOOKUP($A3825, 'Instrument Table'!$I:$I, 'Instrument Table'!$B:$B, $C3824), _xlfn.XLOOKUP($A3825, 'Instrument Table'!$H:$H, 'Instrument Table'!$B:$B, $C3824)))</f>
        <v>Musical Accessories</v>
      </c>
      <c r="D3825" s="1" t="str">
        <f>VLOOKUP($C3825, 'Instrument Table'!$B:$C, 2, FALSE)</f>
        <v>Other</v>
      </c>
      <c r="E3825" s="1">
        <f t="shared" si="354"/>
        <v>1</v>
      </c>
      <c r="F3825" s="1">
        <f>_xlfn.XLOOKUP($C3825, 'Instrument Table'!$B:$B, 'Instrument Table'!$A:$A, "")</f>
        <v>64</v>
      </c>
      <c r="G3825" s="1" t="str">
        <f>TEXT(IF($B3825 = "Retail Item", IF((ROW($A3825) - 4504 - _xlfn.XMATCH($C3825, $C$4506:$C$5005, 0, 1)) &lt;= VLOOKUP($C3825, 'Instrument Table'!$B:$D, 3, FALSE), ROW($A3825) - 4504 - _xlfn.XMATCH($C3825, $C$4506:$C$5005, 0, 1), 0), 0), "00")</f>
        <v>00</v>
      </c>
      <c r="H3825" s="1" t="str">
        <f t="shared" si="355"/>
        <v>019</v>
      </c>
      <c r="I3825" s="1" t="str">
        <f t="shared" si="356"/>
        <v>16400-019</v>
      </c>
      <c r="J3825" s="1" t="str">
        <f t="shared" si="357"/>
        <v>Musical accessories production item #019</v>
      </c>
      <c r="K3825" s="1" t="str">
        <f>IF(SUM(COUNTIFS(I:I, I3825)) &gt; 1, "DUPLICATE", "UNIQUE")</f>
        <v>UNIQUE</v>
      </c>
      <c r="L3825" s="18">
        <v>1</v>
      </c>
      <c r="M3825" s="28">
        <v>58</v>
      </c>
      <c r="N3825" s="6">
        <v>49</v>
      </c>
      <c r="O3825" s="30">
        <f t="shared" si="358"/>
        <v>58</v>
      </c>
      <c r="P3825" s="30">
        <f t="shared" si="359"/>
        <v>2842</v>
      </c>
      <c r="Q3825" s="1">
        <f>COUNTIFS($P:$P, "&gt;" &amp; $P3825) + 1</f>
        <v>2953</v>
      </c>
      <c r="R3825" s="63">
        <f>(COUNTIFS($P:$P, "&gt;" &amp; $P3825) + 1) / (COUNTA($I:$I) - 1)</f>
        <v>0.59060000000000001</v>
      </c>
      <c r="S3825" s="23">
        <f>SUMIFS($P:$P, $Q:$Q, "&lt;" &amp; $Q3825)</f>
        <v>184803619</v>
      </c>
    </row>
    <row r="3826" spans="1:19" x14ac:dyDescent="0.25">
      <c r="A3826" s="1">
        <v>3821</v>
      </c>
      <c r="B3826" s="1" t="s">
        <v>2</v>
      </c>
      <c r="C3826" s="1" t="str">
        <f>IF($B3826 = "Production Item", _xlfn.XLOOKUP($A3826, 'Instrument Table'!$J:$J, 'Instrument Table'!$B:$B, $C3825), IF($B3826 = "Service Item", _xlfn.XLOOKUP($A3826, 'Instrument Table'!$I:$I, 'Instrument Table'!$B:$B, $C3825), _xlfn.XLOOKUP($A3826, 'Instrument Table'!$H:$H, 'Instrument Table'!$B:$B, $C3825)))</f>
        <v>Musical Accessories</v>
      </c>
      <c r="D3826" s="1" t="str">
        <f>VLOOKUP($C3826, 'Instrument Table'!$B:$C, 2, FALSE)</f>
        <v>Other</v>
      </c>
      <c r="E3826" s="1">
        <f t="shared" si="354"/>
        <v>1</v>
      </c>
      <c r="F3826" s="1">
        <f>_xlfn.XLOOKUP($C3826, 'Instrument Table'!$B:$B, 'Instrument Table'!$A:$A, "")</f>
        <v>64</v>
      </c>
      <c r="G3826" s="1" t="str">
        <f>TEXT(IF($B3826 = "Retail Item", IF((ROW($A3826) - 4504 - _xlfn.XMATCH($C3826, $C$4506:$C$5005, 0, 1)) &lt;= VLOOKUP($C3826, 'Instrument Table'!$B:$D, 3, FALSE), ROW($A3826) - 4504 - _xlfn.XMATCH($C3826, $C$4506:$C$5005, 0, 1), 0), 0), "00")</f>
        <v>00</v>
      </c>
      <c r="H3826" s="1" t="str">
        <f t="shared" si="355"/>
        <v>020</v>
      </c>
      <c r="I3826" s="1" t="str">
        <f t="shared" si="356"/>
        <v>16400-020</v>
      </c>
      <c r="J3826" s="1" t="str">
        <f t="shared" si="357"/>
        <v>Musical accessories production item #020</v>
      </c>
      <c r="K3826" s="1" t="str">
        <f>IF(SUM(COUNTIFS(I:I, I3826)) &gt; 1, "DUPLICATE", "UNIQUE")</f>
        <v>UNIQUE</v>
      </c>
      <c r="L3826" s="18">
        <v>0</v>
      </c>
      <c r="M3826" s="28">
        <v>61</v>
      </c>
      <c r="N3826" s="6">
        <v>169</v>
      </c>
      <c r="O3826" s="30">
        <f t="shared" si="358"/>
        <v>0</v>
      </c>
      <c r="P3826" s="30">
        <f t="shared" si="359"/>
        <v>10309</v>
      </c>
      <c r="Q3826" s="1">
        <f>COUNTIFS($P:$P, "&gt;" &amp; $P3826) + 1</f>
        <v>1750</v>
      </c>
      <c r="R3826" s="63">
        <f>(COUNTIFS($P:$P, "&gt;" &amp; $P3826) + 1) / (COUNTA($I:$I) - 1)</f>
        <v>0.35</v>
      </c>
      <c r="S3826" s="23">
        <f>SUMIFS($P:$P, $Q:$Q, "&lt;" &amp; $Q3826)</f>
        <v>177742202</v>
      </c>
    </row>
    <row r="3827" spans="1:19" x14ac:dyDescent="0.25">
      <c r="A3827" s="1">
        <v>3822</v>
      </c>
      <c r="B3827" s="1" t="s">
        <v>2</v>
      </c>
      <c r="C3827" s="1" t="str">
        <f>IF($B3827 = "Production Item", _xlfn.XLOOKUP($A3827, 'Instrument Table'!$J:$J, 'Instrument Table'!$B:$B, $C3826), IF($B3827 = "Service Item", _xlfn.XLOOKUP($A3827, 'Instrument Table'!$I:$I, 'Instrument Table'!$B:$B, $C3826), _xlfn.XLOOKUP($A3827, 'Instrument Table'!$H:$H, 'Instrument Table'!$B:$B, $C3826)))</f>
        <v>Musical Accessories</v>
      </c>
      <c r="D3827" s="1" t="str">
        <f>VLOOKUP($C3827, 'Instrument Table'!$B:$C, 2, FALSE)</f>
        <v>Other</v>
      </c>
      <c r="E3827" s="1">
        <f t="shared" si="354"/>
        <v>1</v>
      </c>
      <c r="F3827" s="1">
        <f>_xlfn.XLOOKUP($C3827, 'Instrument Table'!$B:$B, 'Instrument Table'!$A:$A, "")</f>
        <v>64</v>
      </c>
      <c r="G3827" s="1" t="str">
        <f>TEXT(IF($B3827 = "Retail Item", IF((ROW($A3827) - 4504 - _xlfn.XMATCH($C3827, $C$4506:$C$5005, 0, 1)) &lt;= VLOOKUP($C3827, 'Instrument Table'!$B:$D, 3, FALSE), ROW($A3827) - 4504 - _xlfn.XMATCH($C3827, $C$4506:$C$5005, 0, 1), 0), 0), "00")</f>
        <v>00</v>
      </c>
      <c r="H3827" s="1" t="str">
        <f t="shared" si="355"/>
        <v>021</v>
      </c>
      <c r="I3827" s="1" t="str">
        <f t="shared" si="356"/>
        <v>16400-021</v>
      </c>
      <c r="J3827" s="1" t="str">
        <f t="shared" si="357"/>
        <v>Musical accessories production item #021</v>
      </c>
      <c r="K3827" s="1" t="str">
        <f>IF(SUM(COUNTIFS(I:I, I3827)) &gt; 1, "DUPLICATE", "UNIQUE")</f>
        <v>UNIQUE</v>
      </c>
      <c r="L3827" s="18">
        <v>0</v>
      </c>
      <c r="M3827" s="28">
        <v>59</v>
      </c>
      <c r="N3827" s="6">
        <v>144</v>
      </c>
      <c r="O3827" s="30">
        <f t="shared" si="358"/>
        <v>0</v>
      </c>
      <c r="P3827" s="30">
        <f t="shared" si="359"/>
        <v>8496</v>
      </c>
      <c r="Q3827" s="1">
        <f>COUNTIFS($P:$P, "&gt;" &amp; $P3827) + 1</f>
        <v>1928</v>
      </c>
      <c r="R3827" s="63">
        <f>(COUNTIFS($P:$P, "&gt;" &amp; $P3827) + 1) / (COUNTA($I:$I) - 1)</f>
        <v>0.3856</v>
      </c>
      <c r="S3827" s="23">
        <f>SUMIFS($P:$P, $Q:$Q, "&lt;" &amp; $Q3827)</f>
        <v>179406223</v>
      </c>
    </row>
    <row r="3828" spans="1:19" x14ac:dyDescent="0.25">
      <c r="A3828" s="1">
        <v>3823</v>
      </c>
      <c r="B3828" s="1" t="s">
        <v>2</v>
      </c>
      <c r="C3828" s="1" t="str">
        <f>IF($B3828 = "Production Item", _xlfn.XLOOKUP($A3828, 'Instrument Table'!$J:$J, 'Instrument Table'!$B:$B, $C3827), IF($B3828 = "Service Item", _xlfn.XLOOKUP($A3828, 'Instrument Table'!$I:$I, 'Instrument Table'!$B:$B, $C3827), _xlfn.XLOOKUP($A3828, 'Instrument Table'!$H:$H, 'Instrument Table'!$B:$B, $C3827)))</f>
        <v>Musical Accessories</v>
      </c>
      <c r="D3828" s="1" t="str">
        <f>VLOOKUP($C3828, 'Instrument Table'!$B:$C, 2, FALSE)</f>
        <v>Other</v>
      </c>
      <c r="E3828" s="1">
        <f t="shared" si="354"/>
        <v>1</v>
      </c>
      <c r="F3828" s="1">
        <f>_xlfn.XLOOKUP($C3828, 'Instrument Table'!$B:$B, 'Instrument Table'!$A:$A, "")</f>
        <v>64</v>
      </c>
      <c r="G3828" s="1" t="str">
        <f>TEXT(IF($B3828 = "Retail Item", IF((ROW($A3828) - 4504 - _xlfn.XMATCH($C3828, $C$4506:$C$5005, 0, 1)) &lt;= VLOOKUP($C3828, 'Instrument Table'!$B:$D, 3, FALSE), ROW($A3828) - 4504 - _xlfn.XMATCH($C3828, $C$4506:$C$5005, 0, 1), 0), 0), "00")</f>
        <v>00</v>
      </c>
      <c r="H3828" s="1" t="str">
        <f t="shared" si="355"/>
        <v>022</v>
      </c>
      <c r="I3828" s="1" t="str">
        <f t="shared" si="356"/>
        <v>16400-022</v>
      </c>
      <c r="J3828" s="1" t="str">
        <f t="shared" si="357"/>
        <v>Musical accessories production item #022</v>
      </c>
      <c r="K3828" s="1" t="str">
        <f>IF(SUM(COUNTIFS(I:I, I3828)) &gt; 1, "DUPLICATE", "UNIQUE")</f>
        <v>UNIQUE</v>
      </c>
      <c r="L3828" s="18">
        <v>32</v>
      </c>
      <c r="M3828" s="28">
        <v>64</v>
      </c>
      <c r="N3828" s="6">
        <v>121</v>
      </c>
      <c r="O3828" s="30">
        <f t="shared" si="358"/>
        <v>2048</v>
      </c>
      <c r="P3828" s="30">
        <f t="shared" si="359"/>
        <v>7744</v>
      </c>
      <c r="Q3828" s="1">
        <f>COUNTIFS($P:$P, "&gt;" &amp; $P3828) + 1</f>
        <v>2032</v>
      </c>
      <c r="R3828" s="63">
        <f>(COUNTIFS($P:$P, "&gt;" &amp; $P3828) + 1) / (COUNTA($I:$I) - 1)</f>
        <v>0.40639999999999998</v>
      </c>
      <c r="S3828" s="23">
        <f>SUMIFS($P:$P, $Q:$Q, "&lt;" &amp; $Q3828)</f>
        <v>180246691</v>
      </c>
    </row>
    <row r="3829" spans="1:19" x14ac:dyDescent="0.25">
      <c r="A3829" s="1">
        <v>3824</v>
      </c>
      <c r="B3829" s="1" t="s">
        <v>2</v>
      </c>
      <c r="C3829" s="1" t="str">
        <f>IF($B3829 = "Production Item", _xlfn.XLOOKUP($A3829, 'Instrument Table'!$J:$J, 'Instrument Table'!$B:$B, $C3828), IF($B3829 = "Service Item", _xlfn.XLOOKUP($A3829, 'Instrument Table'!$I:$I, 'Instrument Table'!$B:$B, $C3828), _xlfn.XLOOKUP($A3829, 'Instrument Table'!$H:$H, 'Instrument Table'!$B:$B, $C3828)))</f>
        <v>Musical Accessories</v>
      </c>
      <c r="D3829" s="1" t="str">
        <f>VLOOKUP($C3829, 'Instrument Table'!$B:$C, 2, FALSE)</f>
        <v>Other</v>
      </c>
      <c r="E3829" s="1">
        <f t="shared" si="354"/>
        <v>1</v>
      </c>
      <c r="F3829" s="1">
        <f>_xlfn.XLOOKUP($C3829, 'Instrument Table'!$B:$B, 'Instrument Table'!$A:$A, "")</f>
        <v>64</v>
      </c>
      <c r="G3829" s="1" t="str">
        <f>TEXT(IF($B3829 = "Retail Item", IF((ROW($A3829) - 4504 - _xlfn.XMATCH($C3829, $C$4506:$C$5005, 0, 1)) &lt;= VLOOKUP($C3829, 'Instrument Table'!$B:$D, 3, FALSE), ROW($A3829) - 4504 - _xlfn.XMATCH($C3829, $C$4506:$C$5005, 0, 1), 0), 0), "00")</f>
        <v>00</v>
      </c>
      <c r="H3829" s="1" t="str">
        <f t="shared" si="355"/>
        <v>023</v>
      </c>
      <c r="I3829" s="1" t="str">
        <f t="shared" si="356"/>
        <v>16400-023</v>
      </c>
      <c r="J3829" s="1" t="str">
        <f t="shared" si="357"/>
        <v>Musical accessories production item #023</v>
      </c>
      <c r="K3829" s="1" t="str">
        <f>IF(SUM(COUNTIFS(I:I, I3829)) &gt; 1, "DUPLICATE", "UNIQUE")</f>
        <v>UNIQUE</v>
      </c>
      <c r="L3829" s="18">
        <v>1</v>
      </c>
      <c r="M3829" s="28">
        <v>66</v>
      </c>
      <c r="N3829" s="6">
        <v>256</v>
      </c>
      <c r="O3829" s="30">
        <f t="shared" si="358"/>
        <v>66</v>
      </c>
      <c r="P3829" s="30">
        <f t="shared" si="359"/>
        <v>16896</v>
      </c>
      <c r="Q3829" s="1">
        <f>COUNTIFS($P:$P, "&gt;" &amp; $P3829) + 1</f>
        <v>1217</v>
      </c>
      <c r="R3829" s="63">
        <f>(COUNTIFS($P:$P, "&gt;" &amp; $P3829) + 1) / (COUNTA($I:$I) - 1)</f>
        <v>0.24340000000000001</v>
      </c>
      <c r="S3829" s="23">
        <f>SUMIFS($P:$P, $Q:$Q, "&lt;" &amp; $Q3829)</f>
        <v>170617613</v>
      </c>
    </row>
    <row r="3830" spans="1:19" x14ac:dyDescent="0.25">
      <c r="A3830" s="1">
        <v>3825</v>
      </c>
      <c r="B3830" s="1" t="s">
        <v>2</v>
      </c>
      <c r="C3830" s="1" t="str">
        <f>IF($B3830 = "Production Item", _xlfn.XLOOKUP($A3830, 'Instrument Table'!$J:$J, 'Instrument Table'!$B:$B, $C3829), IF($B3830 = "Service Item", _xlfn.XLOOKUP($A3830, 'Instrument Table'!$I:$I, 'Instrument Table'!$B:$B, $C3829), _xlfn.XLOOKUP($A3830, 'Instrument Table'!$H:$H, 'Instrument Table'!$B:$B, $C3829)))</f>
        <v>Musical Accessories</v>
      </c>
      <c r="D3830" s="1" t="str">
        <f>VLOOKUP($C3830, 'Instrument Table'!$B:$C, 2, FALSE)</f>
        <v>Other</v>
      </c>
      <c r="E3830" s="1">
        <f t="shared" si="354"/>
        <v>1</v>
      </c>
      <c r="F3830" s="1">
        <f>_xlfn.XLOOKUP($C3830, 'Instrument Table'!$B:$B, 'Instrument Table'!$A:$A, "")</f>
        <v>64</v>
      </c>
      <c r="G3830" s="1" t="str">
        <f>TEXT(IF($B3830 = "Retail Item", IF((ROW($A3830) - 4504 - _xlfn.XMATCH($C3830, $C$4506:$C$5005, 0, 1)) &lt;= VLOOKUP($C3830, 'Instrument Table'!$B:$D, 3, FALSE), ROW($A3830) - 4504 - _xlfn.XMATCH($C3830, $C$4506:$C$5005, 0, 1), 0), 0), "00")</f>
        <v>00</v>
      </c>
      <c r="H3830" s="1" t="str">
        <f t="shared" si="355"/>
        <v>024</v>
      </c>
      <c r="I3830" s="1" t="str">
        <f t="shared" si="356"/>
        <v>16400-024</v>
      </c>
      <c r="J3830" s="1" t="str">
        <f t="shared" si="357"/>
        <v>Musical accessories production item #024</v>
      </c>
      <c r="K3830" s="1" t="str">
        <f>IF(SUM(COUNTIFS(I:I, I3830)) &gt; 1, "DUPLICATE", "UNIQUE")</f>
        <v>UNIQUE</v>
      </c>
      <c r="L3830" s="18">
        <v>1</v>
      </c>
      <c r="M3830" s="28">
        <v>7</v>
      </c>
      <c r="N3830" s="6">
        <v>196</v>
      </c>
      <c r="O3830" s="30">
        <f t="shared" si="358"/>
        <v>7</v>
      </c>
      <c r="P3830" s="30">
        <f t="shared" si="359"/>
        <v>1372</v>
      </c>
      <c r="Q3830" s="1">
        <f>COUNTIFS($P:$P, "&gt;" &amp; $P3830) + 1</f>
        <v>3523</v>
      </c>
      <c r="R3830" s="63">
        <f>(COUNTIFS($P:$P, "&gt;" &amp; $P3830) + 1) / (COUNTA($I:$I) - 1)</f>
        <v>0.7046</v>
      </c>
      <c r="S3830" s="23">
        <f>SUMIFS($P:$P, $Q:$Q, "&lt;" &amp; $Q3830)</f>
        <v>185969593</v>
      </c>
    </row>
    <row r="3831" spans="1:19" x14ac:dyDescent="0.25">
      <c r="A3831" s="1">
        <v>3826</v>
      </c>
      <c r="B3831" s="1" t="s">
        <v>2</v>
      </c>
      <c r="C3831" s="1" t="str">
        <f>IF($B3831 = "Production Item", _xlfn.XLOOKUP($A3831, 'Instrument Table'!$J:$J, 'Instrument Table'!$B:$B, $C3830), IF($B3831 = "Service Item", _xlfn.XLOOKUP($A3831, 'Instrument Table'!$I:$I, 'Instrument Table'!$B:$B, $C3830), _xlfn.XLOOKUP($A3831, 'Instrument Table'!$H:$H, 'Instrument Table'!$B:$B, $C3830)))</f>
        <v>Musical Accessories</v>
      </c>
      <c r="D3831" s="1" t="str">
        <f>VLOOKUP($C3831, 'Instrument Table'!$B:$C, 2, FALSE)</f>
        <v>Other</v>
      </c>
      <c r="E3831" s="1">
        <f t="shared" si="354"/>
        <v>1</v>
      </c>
      <c r="F3831" s="1">
        <f>_xlfn.XLOOKUP($C3831, 'Instrument Table'!$B:$B, 'Instrument Table'!$A:$A, "")</f>
        <v>64</v>
      </c>
      <c r="G3831" s="1" t="str">
        <f>TEXT(IF($B3831 = "Retail Item", IF((ROW($A3831) - 4504 - _xlfn.XMATCH($C3831, $C$4506:$C$5005, 0, 1)) &lt;= VLOOKUP($C3831, 'Instrument Table'!$B:$D, 3, FALSE), ROW($A3831) - 4504 - _xlfn.XMATCH($C3831, $C$4506:$C$5005, 0, 1), 0), 0), "00")</f>
        <v>00</v>
      </c>
      <c r="H3831" s="1" t="str">
        <f t="shared" si="355"/>
        <v>025</v>
      </c>
      <c r="I3831" s="1" t="str">
        <f t="shared" si="356"/>
        <v>16400-025</v>
      </c>
      <c r="J3831" s="1" t="str">
        <f t="shared" si="357"/>
        <v>Musical accessories production item #025</v>
      </c>
      <c r="K3831" s="1" t="str">
        <f>IF(SUM(COUNTIFS(I:I, I3831)) &gt; 1, "DUPLICATE", "UNIQUE")</f>
        <v>UNIQUE</v>
      </c>
      <c r="L3831" s="18">
        <v>1</v>
      </c>
      <c r="M3831" s="28">
        <v>85</v>
      </c>
      <c r="N3831" s="6">
        <v>361</v>
      </c>
      <c r="O3831" s="30">
        <f t="shared" si="358"/>
        <v>85</v>
      </c>
      <c r="P3831" s="30">
        <f t="shared" si="359"/>
        <v>30685</v>
      </c>
      <c r="Q3831" s="1">
        <f>COUNTIFS($P:$P, "&gt;" &amp; $P3831) + 1</f>
        <v>679</v>
      </c>
      <c r="R3831" s="63">
        <f>(COUNTIFS($P:$P, "&gt;" &amp; $P3831) + 1) / (COUNTA($I:$I) - 1)</f>
        <v>0.1358</v>
      </c>
      <c r="S3831" s="23">
        <f>SUMIFS($P:$P, $Q:$Q, "&lt;" &amp; $Q3831)</f>
        <v>158454634</v>
      </c>
    </row>
    <row r="3832" spans="1:19" x14ac:dyDescent="0.25">
      <c r="A3832" s="1">
        <v>3827</v>
      </c>
      <c r="B3832" s="1" t="s">
        <v>2</v>
      </c>
      <c r="C3832" s="1" t="str">
        <f>IF($B3832 = "Production Item", _xlfn.XLOOKUP($A3832, 'Instrument Table'!$J:$J, 'Instrument Table'!$B:$B, $C3831), IF($B3832 = "Service Item", _xlfn.XLOOKUP($A3832, 'Instrument Table'!$I:$I, 'Instrument Table'!$B:$B, $C3831), _xlfn.XLOOKUP($A3832, 'Instrument Table'!$H:$H, 'Instrument Table'!$B:$B, $C3831)))</f>
        <v>Musical Accessories</v>
      </c>
      <c r="D3832" s="1" t="str">
        <f>VLOOKUP($C3832, 'Instrument Table'!$B:$C, 2, FALSE)</f>
        <v>Other</v>
      </c>
      <c r="E3832" s="1">
        <f t="shared" si="354"/>
        <v>1</v>
      </c>
      <c r="F3832" s="1">
        <f>_xlfn.XLOOKUP($C3832, 'Instrument Table'!$B:$B, 'Instrument Table'!$A:$A, "")</f>
        <v>64</v>
      </c>
      <c r="G3832" s="1" t="str">
        <f>TEXT(IF($B3832 = "Retail Item", IF((ROW($A3832) - 4504 - _xlfn.XMATCH($C3832, $C$4506:$C$5005, 0, 1)) &lt;= VLOOKUP($C3832, 'Instrument Table'!$B:$D, 3, FALSE), ROW($A3832) - 4504 - _xlfn.XMATCH($C3832, $C$4506:$C$5005, 0, 1), 0), 0), "00")</f>
        <v>00</v>
      </c>
      <c r="H3832" s="1" t="str">
        <f t="shared" si="355"/>
        <v>026</v>
      </c>
      <c r="I3832" s="1" t="str">
        <f t="shared" si="356"/>
        <v>16400-026</v>
      </c>
      <c r="J3832" s="1" t="str">
        <f t="shared" si="357"/>
        <v>Musical accessories production item #026</v>
      </c>
      <c r="K3832" s="1" t="str">
        <f>IF(SUM(COUNTIFS(I:I, I3832)) &gt; 1, "DUPLICATE", "UNIQUE")</f>
        <v>UNIQUE</v>
      </c>
      <c r="L3832" s="18">
        <v>1</v>
      </c>
      <c r="M3832" s="28">
        <v>20</v>
      </c>
      <c r="N3832" s="6">
        <v>400</v>
      </c>
      <c r="O3832" s="30">
        <f t="shared" si="358"/>
        <v>20</v>
      </c>
      <c r="P3832" s="30">
        <f t="shared" si="359"/>
        <v>8000</v>
      </c>
      <c r="Q3832" s="1">
        <f>COUNTIFS($P:$P, "&gt;" &amp; $P3832) + 1</f>
        <v>1985</v>
      </c>
      <c r="R3832" s="63">
        <f>(COUNTIFS($P:$P, "&gt;" &amp; $P3832) + 1) / (COUNTA($I:$I) - 1)</f>
        <v>0.39700000000000002</v>
      </c>
      <c r="S3832" s="23">
        <f>SUMIFS($P:$P, $Q:$Q, "&lt;" &amp; $Q3832)</f>
        <v>179876921</v>
      </c>
    </row>
    <row r="3833" spans="1:19" x14ac:dyDescent="0.25">
      <c r="A3833" s="1">
        <v>3828</v>
      </c>
      <c r="B3833" s="1" t="s">
        <v>2</v>
      </c>
      <c r="C3833" s="1" t="str">
        <f>IF($B3833 = "Production Item", _xlfn.XLOOKUP($A3833, 'Instrument Table'!$J:$J, 'Instrument Table'!$B:$B, $C3832), IF($B3833 = "Service Item", _xlfn.XLOOKUP($A3833, 'Instrument Table'!$I:$I, 'Instrument Table'!$B:$B, $C3832), _xlfn.XLOOKUP($A3833, 'Instrument Table'!$H:$H, 'Instrument Table'!$B:$B, $C3832)))</f>
        <v>Musical Accessories</v>
      </c>
      <c r="D3833" s="1" t="str">
        <f>VLOOKUP($C3833, 'Instrument Table'!$B:$C, 2, FALSE)</f>
        <v>Other</v>
      </c>
      <c r="E3833" s="1">
        <f t="shared" si="354"/>
        <v>1</v>
      </c>
      <c r="F3833" s="1">
        <f>_xlfn.XLOOKUP($C3833, 'Instrument Table'!$B:$B, 'Instrument Table'!$A:$A, "")</f>
        <v>64</v>
      </c>
      <c r="G3833" s="1" t="str">
        <f>TEXT(IF($B3833 = "Retail Item", IF((ROW($A3833) - 4504 - _xlfn.XMATCH($C3833, $C$4506:$C$5005, 0, 1)) &lt;= VLOOKUP($C3833, 'Instrument Table'!$B:$D, 3, FALSE), ROW($A3833) - 4504 - _xlfn.XMATCH($C3833, $C$4506:$C$5005, 0, 1), 0), 0), "00")</f>
        <v>00</v>
      </c>
      <c r="H3833" s="1" t="str">
        <f t="shared" si="355"/>
        <v>027</v>
      </c>
      <c r="I3833" s="1" t="str">
        <f t="shared" si="356"/>
        <v>16400-027</v>
      </c>
      <c r="J3833" s="1" t="str">
        <f t="shared" si="357"/>
        <v>Musical accessories production item #027</v>
      </c>
      <c r="K3833" s="1" t="str">
        <f>IF(SUM(COUNTIFS(I:I, I3833)) &gt; 1, "DUPLICATE", "UNIQUE")</f>
        <v>UNIQUE</v>
      </c>
      <c r="L3833" s="18">
        <v>1</v>
      </c>
      <c r="M3833" s="28">
        <v>32</v>
      </c>
      <c r="N3833" s="6">
        <v>361</v>
      </c>
      <c r="O3833" s="30">
        <f t="shared" si="358"/>
        <v>32</v>
      </c>
      <c r="P3833" s="30">
        <f t="shared" si="359"/>
        <v>11552</v>
      </c>
      <c r="Q3833" s="1">
        <f>COUNTIFS($P:$P, "&gt;" &amp; $P3833) + 1</f>
        <v>1631</v>
      </c>
      <c r="R3833" s="63">
        <f>(COUNTIFS($P:$P, "&gt;" &amp; $P3833) + 1) / (COUNTA($I:$I) - 1)</f>
        <v>0.32619999999999999</v>
      </c>
      <c r="S3833" s="23">
        <f>SUMIFS($P:$P, $Q:$Q, "&lt;" &amp; $Q3833)</f>
        <v>176439819</v>
      </c>
    </row>
    <row r="3834" spans="1:19" x14ac:dyDescent="0.25">
      <c r="A3834" s="1">
        <v>3829</v>
      </c>
      <c r="B3834" s="1" t="s">
        <v>2</v>
      </c>
      <c r="C3834" s="1" t="str">
        <f>IF($B3834 = "Production Item", _xlfn.XLOOKUP($A3834, 'Instrument Table'!$J:$J, 'Instrument Table'!$B:$B, $C3833), IF($B3834 = "Service Item", _xlfn.XLOOKUP($A3834, 'Instrument Table'!$I:$I, 'Instrument Table'!$B:$B, $C3833), _xlfn.XLOOKUP($A3834, 'Instrument Table'!$H:$H, 'Instrument Table'!$B:$B, $C3833)))</f>
        <v>Musical Accessories</v>
      </c>
      <c r="D3834" s="1" t="str">
        <f>VLOOKUP($C3834, 'Instrument Table'!$B:$C, 2, FALSE)</f>
        <v>Other</v>
      </c>
      <c r="E3834" s="1">
        <f t="shared" si="354"/>
        <v>1</v>
      </c>
      <c r="F3834" s="1">
        <f>_xlfn.XLOOKUP($C3834, 'Instrument Table'!$B:$B, 'Instrument Table'!$A:$A, "")</f>
        <v>64</v>
      </c>
      <c r="G3834" s="1" t="str">
        <f>TEXT(IF($B3834 = "Retail Item", IF((ROW($A3834) - 4504 - _xlfn.XMATCH($C3834, $C$4506:$C$5005, 0, 1)) &lt;= VLOOKUP($C3834, 'Instrument Table'!$B:$D, 3, FALSE), ROW($A3834) - 4504 - _xlfn.XMATCH($C3834, $C$4506:$C$5005, 0, 1), 0), 0), "00")</f>
        <v>00</v>
      </c>
      <c r="H3834" s="1" t="str">
        <f t="shared" si="355"/>
        <v>028</v>
      </c>
      <c r="I3834" s="1" t="str">
        <f t="shared" si="356"/>
        <v>16400-028</v>
      </c>
      <c r="J3834" s="1" t="str">
        <f t="shared" si="357"/>
        <v>Musical accessories production item #028</v>
      </c>
      <c r="K3834" s="1" t="str">
        <f>IF(SUM(COUNTIFS(I:I, I3834)) &gt; 1, "DUPLICATE", "UNIQUE")</f>
        <v>UNIQUE</v>
      </c>
      <c r="L3834" s="18">
        <v>16</v>
      </c>
      <c r="M3834" s="28">
        <v>80</v>
      </c>
      <c r="N3834" s="6">
        <v>256</v>
      </c>
      <c r="O3834" s="30">
        <f t="shared" si="358"/>
        <v>1280</v>
      </c>
      <c r="P3834" s="30">
        <f t="shared" si="359"/>
        <v>20480</v>
      </c>
      <c r="Q3834" s="1">
        <f>COUNTIFS($P:$P, "&gt;" &amp; $P3834) + 1</f>
        <v>1031</v>
      </c>
      <c r="R3834" s="63">
        <f>(COUNTIFS($P:$P, "&gt;" &amp; $P3834) + 1) / (COUNTA($I:$I) - 1)</f>
        <v>0.20619999999999999</v>
      </c>
      <c r="S3834" s="23">
        <f>SUMIFS($P:$P, $Q:$Q, "&lt;" &amp; $Q3834)</f>
        <v>167135566</v>
      </c>
    </row>
    <row r="3835" spans="1:19" x14ac:dyDescent="0.25">
      <c r="A3835" s="1">
        <v>3830</v>
      </c>
      <c r="B3835" s="1" t="s">
        <v>2</v>
      </c>
      <c r="C3835" s="1" t="str">
        <f>IF($B3835 = "Production Item", _xlfn.XLOOKUP($A3835, 'Instrument Table'!$J:$J, 'Instrument Table'!$B:$B, $C3834), IF($B3835 = "Service Item", _xlfn.XLOOKUP($A3835, 'Instrument Table'!$I:$I, 'Instrument Table'!$B:$B, $C3834), _xlfn.XLOOKUP($A3835, 'Instrument Table'!$H:$H, 'Instrument Table'!$B:$B, $C3834)))</f>
        <v>Musical Accessories</v>
      </c>
      <c r="D3835" s="1" t="str">
        <f>VLOOKUP($C3835, 'Instrument Table'!$B:$C, 2, FALSE)</f>
        <v>Other</v>
      </c>
      <c r="E3835" s="1">
        <f t="shared" si="354"/>
        <v>1</v>
      </c>
      <c r="F3835" s="1">
        <f>_xlfn.XLOOKUP($C3835, 'Instrument Table'!$B:$B, 'Instrument Table'!$A:$A, "")</f>
        <v>64</v>
      </c>
      <c r="G3835" s="1" t="str">
        <f>TEXT(IF($B3835 = "Retail Item", IF((ROW($A3835) - 4504 - _xlfn.XMATCH($C3835, $C$4506:$C$5005, 0, 1)) &lt;= VLOOKUP($C3835, 'Instrument Table'!$B:$D, 3, FALSE), ROW($A3835) - 4504 - _xlfn.XMATCH($C3835, $C$4506:$C$5005, 0, 1), 0), 0), "00")</f>
        <v>00</v>
      </c>
      <c r="H3835" s="1" t="str">
        <f t="shared" si="355"/>
        <v>029</v>
      </c>
      <c r="I3835" s="1" t="str">
        <f t="shared" si="356"/>
        <v>16400-029</v>
      </c>
      <c r="J3835" s="1" t="str">
        <f t="shared" si="357"/>
        <v>Musical accessories production item #029</v>
      </c>
      <c r="K3835" s="1" t="str">
        <f>IF(SUM(COUNTIFS(I:I, I3835)) &gt; 1, "DUPLICATE", "UNIQUE")</f>
        <v>UNIQUE</v>
      </c>
      <c r="L3835" s="18">
        <v>8</v>
      </c>
      <c r="M3835" s="28">
        <v>94</v>
      </c>
      <c r="N3835" s="6">
        <v>9</v>
      </c>
      <c r="O3835" s="30">
        <f t="shared" si="358"/>
        <v>752</v>
      </c>
      <c r="P3835" s="30">
        <f t="shared" si="359"/>
        <v>846</v>
      </c>
      <c r="Q3835" s="1">
        <f>COUNTIFS($P:$P, "&gt;" &amp; $P3835) + 1</f>
        <v>3763</v>
      </c>
      <c r="R3835" s="63">
        <f>(COUNTIFS($P:$P, "&gt;" &amp; $P3835) + 1) / (COUNTA($I:$I) - 1)</f>
        <v>0.75260000000000005</v>
      </c>
      <c r="S3835" s="23">
        <f>SUMIFS($P:$P, $Q:$Q, "&lt;" &amp; $Q3835)</f>
        <v>186235336</v>
      </c>
    </row>
    <row r="3836" spans="1:19" x14ac:dyDescent="0.25">
      <c r="A3836" s="1">
        <v>3831</v>
      </c>
      <c r="B3836" s="1" t="s">
        <v>2</v>
      </c>
      <c r="C3836" s="1" t="str">
        <f>IF($B3836 = "Production Item", _xlfn.XLOOKUP($A3836, 'Instrument Table'!$J:$J, 'Instrument Table'!$B:$B, $C3835), IF($B3836 = "Service Item", _xlfn.XLOOKUP($A3836, 'Instrument Table'!$I:$I, 'Instrument Table'!$B:$B, $C3835), _xlfn.XLOOKUP($A3836, 'Instrument Table'!$H:$H, 'Instrument Table'!$B:$B, $C3835)))</f>
        <v>Musical Accessories</v>
      </c>
      <c r="D3836" s="1" t="str">
        <f>VLOOKUP($C3836, 'Instrument Table'!$B:$C, 2, FALSE)</f>
        <v>Other</v>
      </c>
      <c r="E3836" s="1">
        <f t="shared" si="354"/>
        <v>1</v>
      </c>
      <c r="F3836" s="1">
        <f>_xlfn.XLOOKUP($C3836, 'Instrument Table'!$B:$B, 'Instrument Table'!$A:$A, "")</f>
        <v>64</v>
      </c>
      <c r="G3836" s="1" t="str">
        <f>TEXT(IF($B3836 = "Retail Item", IF((ROW($A3836) - 4504 - _xlfn.XMATCH($C3836, $C$4506:$C$5005, 0, 1)) &lt;= VLOOKUP($C3836, 'Instrument Table'!$B:$D, 3, FALSE), ROW($A3836) - 4504 - _xlfn.XMATCH($C3836, $C$4506:$C$5005, 0, 1), 0), 0), "00")</f>
        <v>00</v>
      </c>
      <c r="H3836" s="1" t="str">
        <f t="shared" si="355"/>
        <v>030</v>
      </c>
      <c r="I3836" s="1" t="str">
        <f t="shared" si="356"/>
        <v>16400-030</v>
      </c>
      <c r="J3836" s="1" t="str">
        <f t="shared" si="357"/>
        <v>Musical accessories production item #030</v>
      </c>
      <c r="K3836" s="1" t="str">
        <f>IF(SUM(COUNTIFS(I:I, I3836)) &gt; 1, "DUPLICATE", "UNIQUE")</f>
        <v>UNIQUE</v>
      </c>
      <c r="L3836" s="18">
        <v>0</v>
      </c>
      <c r="M3836" s="28">
        <v>85</v>
      </c>
      <c r="N3836" s="6">
        <v>169</v>
      </c>
      <c r="O3836" s="30">
        <f t="shared" si="358"/>
        <v>0</v>
      </c>
      <c r="P3836" s="30">
        <f t="shared" si="359"/>
        <v>14365</v>
      </c>
      <c r="Q3836" s="1">
        <f>COUNTIFS($P:$P, "&gt;" &amp; $P3836) + 1</f>
        <v>1396</v>
      </c>
      <c r="R3836" s="63">
        <f>(COUNTIFS($P:$P, "&gt;" &amp; $P3836) + 1) / (COUNTA($I:$I) - 1)</f>
        <v>0.2792</v>
      </c>
      <c r="S3836" s="23">
        <f>SUMIFS($P:$P, $Q:$Q, "&lt;" &amp; $Q3836)</f>
        <v>173418358</v>
      </c>
    </row>
    <row r="3837" spans="1:19" x14ac:dyDescent="0.25">
      <c r="A3837" s="1">
        <v>3832</v>
      </c>
      <c r="B3837" s="1" t="s">
        <v>2</v>
      </c>
      <c r="C3837" s="1" t="str">
        <f>IF($B3837 = "Production Item", _xlfn.XLOOKUP($A3837, 'Instrument Table'!$J:$J, 'Instrument Table'!$B:$B, $C3836), IF($B3837 = "Service Item", _xlfn.XLOOKUP($A3837, 'Instrument Table'!$I:$I, 'Instrument Table'!$B:$B, $C3836), _xlfn.XLOOKUP($A3837, 'Instrument Table'!$H:$H, 'Instrument Table'!$B:$B, $C3836)))</f>
        <v>Musical Accessories</v>
      </c>
      <c r="D3837" s="1" t="str">
        <f>VLOOKUP($C3837, 'Instrument Table'!$B:$C, 2, FALSE)</f>
        <v>Other</v>
      </c>
      <c r="E3837" s="1">
        <f t="shared" si="354"/>
        <v>1</v>
      </c>
      <c r="F3837" s="1">
        <f>_xlfn.XLOOKUP($C3837, 'Instrument Table'!$B:$B, 'Instrument Table'!$A:$A, "")</f>
        <v>64</v>
      </c>
      <c r="G3837" s="1" t="str">
        <f>TEXT(IF($B3837 = "Retail Item", IF((ROW($A3837) - 4504 - _xlfn.XMATCH($C3837, $C$4506:$C$5005, 0, 1)) &lt;= VLOOKUP($C3837, 'Instrument Table'!$B:$D, 3, FALSE), ROW($A3837) - 4504 - _xlfn.XMATCH($C3837, $C$4506:$C$5005, 0, 1), 0), 0), "00")</f>
        <v>00</v>
      </c>
      <c r="H3837" s="1" t="str">
        <f t="shared" si="355"/>
        <v>031</v>
      </c>
      <c r="I3837" s="1" t="str">
        <f t="shared" si="356"/>
        <v>16400-031</v>
      </c>
      <c r="J3837" s="1" t="str">
        <f t="shared" si="357"/>
        <v>Musical accessories production item #031</v>
      </c>
      <c r="K3837" s="1" t="str">
        <f>IF(SUM(COUNTIFS(I:I, I3837)) &gt; 1, "DUPLICATE", "UNIQUE")</f>
        <v>UNIQUE</v>
      </c>
      <c r="L3837" s="18">
        <v>0</v>
      </c>
      <c r="M3837" s="28">
        <v>83</v>
      </c>
      <c r="N3837" s="6">
        <v>225</v>
      </c>
      <c r="O3837" s="30">
        <f t="shared" si="358"/>
        <v>0</v>
      </c>
      <c r="P3837" s="30">
        <f t="shared" si="359"/>
        <v>18675</v>
      </c>
      <c r="Q3837" s="1">
        <f>COUNTIFS($P:$P, "&gt;" &amp; $P3837) + 1</f>
        <v>1120</v>
      </c>
      <c r="R3837" s="63">
        <f>(COUNTIFS($P:$P, "&gt;" &amp; $P3837) + 1) / (COUNTA($I:$I) - 1)</f>
        <v>0.224</v>
      </c>
      <c r="S3837" s="23">
        <f>SUMIFS($P:$P, $Q:$Q, "&lt;" &amp; $Q3837)</f>
        <v>168881811</v>
      </c>
    </row>
    <row r="3838" spans="1:19" x14ac:dyDescent="0.25">
      <c r="A3838" s="1">
        <v>3833</v>
      </c>
      <c r="B3838" s="1" t="s">
        <v>2</v>
      </c>
      <c r="C3838" s="1" t="str">
        <f>IF($B3838 = "Production Item", _xlfn.XLOOKUP($A3838, 'Instrument Table'!$J:$J, 'Instrument Table'!$B:$B, $C3837), IF($B3838 = "Service Item", _xlfn.XLOOKUP($A3838, 'Instrument Table'!$I:$I, 'Instrument Table'!$B:$B, $C3837), _xlfn.XLOOKUP($A3838, 'Instrument Table'!$H:$H, 'Instrument Table'!$B:$B, $C3837)))</f>
        <v>Musical Accessories</v>
      </c>
      <c r="D3838" s="1" t="str">
        <f>VLOOKUP($C3838, 'Instrument Table'!$B:$C, 2, FALSE)</f>
        <v>Other</v>
      </c>
      <c r="E3838" s="1">
        <f t="shared" si="354"/>
        <v>1</v>
      </c>
      <c r="F3838" s="1">
        <f>_xlfn.XLOOKUP($C3838, 'Instrument Table'!$B:$B, 'Instrument Table'!$A:$A, "")</f>
        <v>64</v>
      </c>
      <c r="G3838" s="1" t="str">
        <f>TEXT(IF($B3838 = "Retail Item", IF((ROW($A3838) - 4504 - _xlfn.XMATCH($C3838, $C$4506:$C$5005, 0, 1)) &lt;= VLOOKUP($C3838, 'Instrument Table'!$B:$D, 3, FALSE), ROW($A3838) - 4504 - _xlfn.XMATCH($C3838, $C$4506:$C$5005, 0, 1), 0), 0), "00")</f>
        <v>00</v>
      </c>
      <c r="H3838" s="1" t="str">
        <f t="shared" si="355"/>
        <v>032</v>
      </c>
      <c r="I3838" s="1" t="str">
        <f t="shared" si="356"/>
        <v>16400-032</v>
      </c>
      <c r="J3838" s="1" t="str">
        <f t="shared" si="357"/>
        <v>Musical accessories production item #032</v>
      </c>
      <c r="K3838" s="1" t="str">
        <f>IF(SUM(COUNTIFS(I:I, I3838)) &gt; 1, "DUPLICATE", "UNIQUE")</f>
        <v>UNIQUE</v>
      </c>
      <c r="L3838" s="18">
        <v>16</v>
      </c>
      <c r="M3838" s="28">
        <v>48</v>
      </c>
      <c r="N3838" s="6">
        <v>0</v>
      </c>
      <c r="O3838" s="30">
        <f t="shared" si="358"/>
        <v>768</v>
      </c>
      <c r="P3838" s="30">
        <f t="shared" si="359"/>
        <v>0</v>
      </c>
      <c r="Q3838" s="1">
        <f>COUNTIFS($P:$P, "&gt;" &amp; $P3838) + 1</f>
        <v>4746</v>
      </c>
      <c r="R3838" s="63">
        <f>(COUNTIFS($P:$P, "&gt;" &amp; $P3838) + 1) / (COUNTA($I:$I) - 1)</f>
        <v>0.94920000000000004</v>
      </c>
      <c r="S3838" s="23">
        <f>SUMIFS($P:$P, $Q:$Q, "&lt;" &amp; $Q3838)</f>
        <v>186547861</v>
      </c>
    </row>
    <row r="3839" spans="1:19" x14ac:dyDescent="0.25">
      <c r="A3839" s="1">
        <v>3834</v>
      </c>
      <c r="B3839" s="1" t="s">
        <v>2</v>
      </c>
      <c r="C3839" s="1" t="str">
        <f>IF($B3839 = "Production Item", _xlfn.XLOOKUP($A3839, 'Instrument Table'!$J:$J, 'Instrument Table'!$B:$B, $C3838), IF($B3839 = "Service Item", _xlfn.XLOOKUP($A3839, 'Instrument Table'!$I:$I, 'Instrument Table'!$B:$B, $C3838), _xlfn.XLOOKUP($A3839, 'Instrument Table'!$H:$H, 'Instrument Table'!$B:$B, $C3838)))</f>
        <v>Musical Accessories</v>
      </c>
      <c r="D3839" s="1" t="str">
        <f>VLOOKUP($C3839, 'Instrument Table'!$B:$C, 2, FALSE)</f>
        <v>Other</v>
      </c>
      <c r="E3839" s="1">
        <f t="shared" si="354"/>
        <v>1</v>
      </c>
      <c r="F3839" s="1">
        <f>_xlfn.XLOOKUP($C3839, 'Instrument Table'!$B:$B, 'Instrument Table'!$A:$A, "")</f>
        <v>64</v>
      </c>
      <c r="G3839" s="1" t="str">
        <f>TEXT(IF($B3839 = "Retail Item", IF((ROW($A3839) - 4504 - _xlfn.XMATCH($C3839, $C$4506:$C$5005, 0, 1)) &lt;= VLOOKUP($C3839, 'Instrument Table'!$B:$D, 3, FALSE), ROW($A3839) - 4504 - _xlfn.XMATCH($C3839, $C$4506:$C$5005, 0, 1), 0), 0), "00")</f>
        <v>00</v>
      </c>
      <c r="H3839" s="1" t="str">
        <f t="shared" si="355"/>
        <v>033</v>
      </c>
      <c r="I3839" s="1" t="str">
        <f t="shared" si="356"/>
        <v>16400-033</v>
      </c>
      <c r="J3839" s="1" t="str">
        <f t="shared" si="357"/>
        <v>Musical accessories production item #033</v>
      </c>
      <c r="K3839" s="1" t="str">
        <f>IF(SUM(COUNTIFS(I:I, I3839)) &gt; 1, "DUPLICATE", "UNIQUE")</f>
        <v>UNIQUE</v>
      </c>
      <c r="L3839" s="18">
        <v>4</v>
      </c>
      <c r="M3839" s="28">
        <v>83</v>
      </c>
      <c r="N3839" s="6">
        <v>9</v>
      </c>
      <c r="O3839" s="30">
        <f t="shared" si="358"/>
        <v>332</v>
      </c>
      <c r="P3839" s="30">
        <f t="shared" si="359"/>
        <v>747</v>
      </c>
      <c r="Q3839" s="1">
        <f>COUNTIFS($P:$P, "&gt;" &amp; $P3839) + 1</f>
        <v>3832</v>
      </c>
      <c r="R3839" s="63">
        <f>(COUNTIFS($P:$P, "&gt;" &amp; $P3839) + 1) / (COUNTA($I:$I) - 1)</f>
        <v>0.76639999999999997</v>
      </c>
      <c r="S3839" s="23">
        <f>SUMIFS($P:$P, $Q:$Q, "&lt;" &amp; $Q3839)</f>
        <v>186290258</v>
      </c>
    </row>
    <row r="3840" spans="1:19" x14ac:dyDescent="0.25">
      <c r="A3840" s="1">
        <v>3835</v>
      </c>
      <c r="B3840" s="1" t="s">
        <v>2</v>
      </c>
      <c r="C3840" s="1" t="str">
        <f>IF($B3840 = "Production Item", _xlfn.XLOOKUP($A3840, 'Instrument Table'!$J:$J, 'Instrument Table'!$B:$B, $C3839), IF($B3840 = "Service Item", _xlfn.XLOOKUP($A3840, 'Instrument Table'!$I:$I, 'Instrument Table'!$B:$B, $C3839), _xlfn.XLOOKUP($A3840, 'Instrument Table'!$H:$H, 'Instrument Table'!$B:$B, $C3839)))</f>
        <v>Musical Accessories</v>
      </c>
      <c r="D3840" s="1" t="str">
        <f>VLOOKUP($C3840, 'Instrument Table'!$B:$C, 2, FALSE)</f>
        <v>Other</v>
      </c>
      <c r="E3840" s="1">
        <f t="shared" si="354"/>
        <v>1</v>
      </c>
      <c r="F3840" s="1">
        <f>_xlfn.XLOOKUP($C3840, 'Instrument Table'!$B:$B, 'Instrument Table'!$A:$A, "")</f>
        <v>64</v>
      </c>
      <c r="G3840" s="1" t="str">
        <f>TEXT(IF($B3840 = "Retail Item", IF((ROW($A3840) - 4504 - _xlfn.XMATCH($C3840, $C$4506:$C$5005, 0, 1)) &lt;= VLOOKUP($C3840, 'Instrument Table'!$B:$D, 3, FALSE), ROW($A3840) - 4504 - _xlfn.XMATCH($C3840, $C$4506:$C$5005, 0, 1), 0), 0), "00")</f>
        <v>00</v>
      </c>
      <c r="H3840" s="1" t="str">
        <f t="shared" si="355"/>
        <v>034</v>
      </c>
      <c r="I3840" s="1" t="str">
        <f t="shared" si="356"/>
        <v>16400-034</v>
      </c>
      <c r="J3840" s="1" t="str">
        <f t="shared" si="357"/>
        <v>Musical accessories production item #034</v>
      </c>
      <c r="K3840" s="1" t="str">
        <f>IF(SUM(COUNTIFS(I:I, I3840)) &gt; 1, "DUPLICATE", "UNIQUE")</f>
        <v>UNIQUE</v>
      </c>
      <c r="L3840" s="18">
        <v>1</v>
      </c>
      <c r="M3840" s="28">
        <v>99</v>
      </c>
      <c r="N3840" s="6">
        <v>100</v>
      </c>
      <c r="O3840" s="30">
        <f t="shared" si="358"/>
        <v>99</v>
      </c>
      <c r="P3840" s="30">
        <f t="shared" si="359"/>
        <v>9900</v>
      </c>
      <c r="Q3840" s="1">
        <f>COUNTIFS($P:$P, "&gt;" &amp; $P3840) + 1</f>
        <v>1779</v>
      </c>
      <c r="R3840" s="63">
        <f>(COUNTIFS($P:$P, "&gt;" &amp; $P3840) + 1) / (COUNTA($I:$I) - 1)</f>
        <v>0.35580000000000001</v>
      </c>
      <c r="S3840" s="23">
        <f>SUMIFS($P:$P, $Q:$Q, "&lt;" &amp; $Q3840)</f>
        <v>178035601</v>
      </c>
    </row>
    <row r="3841" spans="1:19" x14ac:dyDescent="0.25">
      <c r="A3841" s="1">
        <v>3836</v>
      </c>
      <c r="B3841" s="1" t="s">
        <v>2</v>
      </c>
      <c r="C3841" s="1" t="str">
        <f>IF($B3841 = "Production Item", _xlfn.XLOOKUP($A3841, 'Instrument Table'!$J:$J, 'Instrument Table'!$B:$B, $C3840), IF($B3841 = "Service Item", _xlfn.XLOOKUP($A3841, 'Instrument Table'!$I:$I, 'Instrument Table'!$B:$B, $C3840), _xlfn.XLOOKUP($A3841, 'Instrument Table'!$H:$H, 'Instrument Table'!$B:$B, $C3840)))</f>
        <v>Musical Accessories</v>
      </c>
      <c r="D3841" s="1" t="str">
        <f>VLOOKUP($C3841, 'Instrument Table'!$B:$C, 2, FALSE)</f>
        <v>Other</v>
      </c>
      <c r="E3841" s="1">
        <f t="shared" si="354"/>
        <v>1</v>
      </c>
      <c r="F3841" s="1">
        <f>_xlfn.XLOOKUP($C3841, 'Instrument Table'!$B:$B, 'Instrument Table'!$A:$A, "")</f>
        <v>64</v>
      </c>
      <c r="G3841" s="1" t="str">
        <f>TEXT(IF($B3841 = "Retail Item", IF((ROW($A3841) - 4504 - _xlfn.XMATCH($C3841, $C$4506:$C$5005, 0, 1)) &lt;= VLOOKUP($C3841, 'Instrument Table'!$B:$D, 3, FALSE), ROW($A3841) - 4504 - _xlfn.XMATCH($C3841, $C$4506:$C$5005, 0, 1), 0), 0), "00")</f>
        <v>00</v>
      </c>
      <c r="H3841" s="1" t="str">
        <f t="shared" si="355"/>
        <v>035</v>
      </c>
      <c r="I3841" s="1" t="str">
        <f t="shared" si="356"/>
        <v>16400-035</v>
      </c>
      <c r="J3841" s="1" t="str">
        <f t="shared" si="357"/>
        <v>Musical accessories production item #035</v>
      </c>
      <c r="K3841" s="1" t="str">
        <f>IF(SUM(COUNTIFS(I:I, I3841)) &gt; 1, "DUPLICATE", "UNIQUE")</f>
        <v>UNIQUE</v>
      </c>
      <c r="L3841" s="18">
        <v>1</v>
      </c>
      <c r="M3841" s="28">
        <v>46</v>
      </c>
      <c r="N3841" s="6">
        <v>0</v>
      </c>
      <c r="O3841" s="30">
        <f t="shared" si="358"/>
        <v>46</v>
      </c>
      <c r="P3841" s="30">
        <f t="shared" si="359"/>
        <v>0</v>
      </c>
      <c r="Q3841" s="1">
        <f>COUNTIFS($P:$P, "&gt;" &amp; $P3841) + 1</f>
        <v>4746</v>
      </c>
      <c r="R3841" s="63">
        <f>(COUNTIFS($P:$P, "&gt;" &amp; $P3841) + 1) / (COUNTA($I:$I) - 1)</f>
        <v>0.94920000000000004</v>
      </c>
      <c r="S3841" s="23">
        <f>SUMIFS($P:$P, $Q:$Q, "&lt;" &amp; $Q3841)</f>
        <v>186547861</v>
      </c>
    </row>
    <row r="3842" spans="1:19" x14ac:dyDescent="0.25">
      <c r="A3842" s="1">
        <v>3837</v>
      </c>
      <c r="B3842" s="1" t="s">
        <v>2</v>
      </c>
      <c r="C3842" s="1" t="str">
        <f>IF($B3842 = "Production Item", _xlfn.XLOOKUP($A3842, 'Instrument Table'!$J:$J, 'Instrument Table'!$B:$B, $C3841), IF($B3842 = "Service Item", _xlfn.XLOOKUP($A3842, 'Instrument Table'!$I:$I, 'Instrument Table'!$B:$B, $C3841), _xlfn.XLOOKUP($A3842, 'Instrument Table'!$H:$H, 'Instrument Table'!$B:$B, $C3841)))</f>
        <v>Musical Accessories</v>
      </c>
      <c r="D3842" s="1" t="str">
        <f>VLOOKUP($C3842, 'Instrument Table'!$B:$C, 2, FALSE)</f>
        <v>Other</v>
      </c>
      <c r="E3842" s="1">
        <f t="shared" si="354"/>
        <v>1</v>
      </c>
      <c r="F3842" s="1">
        <f>_xlfn.XLOOKUP($C3842, 'Instrument Table'!$B:$B, 'Instrument Table'!$A:$A, "")</f>
        <v>64</v>
      </c>
      <c r="G3842" s="1" t="str">
        <f>TEXT(IF($B3842 = "Retail Item", IF((ROW($A3842) - 4504 - _xlfn.XMATCH($C3842, $C$4506:$C$5005, 0, 1)) &lt;= VLOOKUP($C3842, 'Instrument Table'!$B:$D, 3, FALSE), ROW($A3842) - 4504 - _xlfn.XMATCH($C3842, $C$4506:$C$5005, 0, 1), 0), 0), "00")</f>
        <v>00</v>
      </c>
      <c r="H3842" s="1" t="str">
        <f t="shared" si="355"/>
        <v>036</v>
      </c>
      <c r="I3842" s="1" t="str">
        <f t="shared" si="356"/>
        <v>16400-036</v>
      </c>
      <c r="J3842" s="1" t="str">
        <f t="shared" si="357"/>
        <v>Musical accessories production item #036</v>
      </c>
      <c r="K3842" s="1" t="str">
        <f>IF(SUM(COUNTIFS(I:I, I3842)) &gt; 1, "DUPLICATE", "UNIQUE")</f>
        <v>UNIQUE</v>
      </c>
      <c r="L3842" s="18">
        <v>0</v>
      </c>
      <c r="M3842" s="28">
        <v>70</v>
      </c>
      <c r="N3842" s="6">
        <v>49</v>
      </c>
      <c r="O3842" s="30">
        <f t="shared" si="358"/>
        <v>0</v>
      </c>
      <c r="P3842" s="30">
        <f t="shared" si="359"/>
        <v>3430</v>
      </c>
      <c r="Q3842" s="1">
        <f>COUNTIFS($P:$P, "&gt;" &amp; $P3842) + 1</f>
        <v>2794</v>
      </c>
      <c r="R3842" s="63">
        <f>(COUNTIFS($P:$P, "&gt;" &amp; $P3842) + 1) / (COUNTA($I:$I) - 1)</f>
        <v>0.55879999999999996</v>
      </c>
      <c r="S3842" s="23">
        <f>SUMIFS($P:$P, $Q:$Q, "&lt;" &amp; $Q3842)</f>
        <v>184305371</v>
      </c>
    </row>
    <row r="3843" spans="1:19" x14ac:dyDescent="0.25">
      <c r="A3843" s="1">
        <v>3838</v>
      </c>
      <c r="B3843" s="1" t="s">
        <v>2</v>
      </c>
      <c r="C3843" s="1" t="str">
        <f>IF($B3843 = "Production Item", _xlfn.XLOOKUP($A3843, 'Instrument Table'!$J:$J, 'Instrument Table'!$B:$B, $C3842), IF($B3843 = "Service Item", _xlfn.XLOOKUP($A3843, 'Instrument Table'!$I:$I, 'Instrument Table'!$B:$B, $C3842), _xlfn.XLOOKUP($A3843, 'Instrument Table'!$H:$H, 'Instrument Table'!$B:$B, $C3842)))</f>
        <v>Musical Accessories</v>
      </c>
      <c r="D3843" s="1" t="str">
        <f>VLOOKUP($C3843, 'Instrument Table'!$B:$C, 2, FALSE)</f>
        <v>Other</v>
      </c>
      <c r="E3843" s="1">
        <f t="shared" si="354"/>
        <v>1</v>
      </c>
      <c r="F3843" s="1">
        <f>_xlfn.XLOOKUP($C3843, 'Instrument Table'!$B:$B, 'Instrument Table'!$A:$A, "")</f>
        <v>64</v>
      </c>
      <c r="G3843" s="1" t="str">
        <f>TEXT(IF($B3843 = "Retail Item", IF((ROW($A3843) - 4504 - _xlfn.XMATCH($C3843, $C$4506:$C$5005, 0, 1)) &lt;= VLOOKUP($C3843, 'Instrument Table'!$B:$D, 3, FALSE), ROW($A3843) - 4504 - _xlfn.XMATCH($C3843, $C$4506:$C$5005, 0, 1), 0), 0), "00")</f>
        <v>00</v>
      </c>
      <c r="H3843" s="1" t="str">
        <f t="shared" si="355"/>
        <v>037</v>
      </c>
      <c r="I3843" s="1" t="str">
        <f t="shared" si="356"/>
        <v>16400-037</v>
      </c>
      <c r="J3843" s="1" t="str">
        <f t="shared" si="357"/>
        <v>Musical accessories production item #037</v>
      </c>
      <c r="K3843" s="1" t="str">
        <f>IF(SUM(COUNTIFS(I:I, I3843)) &gt; 1, "DUPLICATE", "UNIQUE")</f>
        <v>UNIQUE</v>
      </c>
      <c r="L3843" s="18">
        <v>0</v>
      </c>
      <c r="M3843" s="28">
        <v>8</v>
      </c>
      <c r="N3843" s="6">
        <v>324</v>
      </c>
      <c r="O3843" s="30">
        <f t="shared" si="358"/>
        <v>0</v>
      </c>
      <c r="P3843" s="30">
        <f t="shared" si="359"/>
        <v>2592</v>
      </c>
      <c r="Q3843" s="1">
        <f>COUNTIFS($P:$P, "&gt;" &amp; $P3843) + 1</f>
        <v>3012</v>
      </c>
      <c r="R3843" s="63">
        <f>(COUNTIFS($P:$P, "&gt;" &amp; $P3843) + 1) / (COUNTA($I:$I) - 1)</f>
        <v>0.60240000000000005</v>
      </c>
      <c r="S3843" s="23">
        <f>SUMIFS($P:$P, $Q:$Q, "&lt;" &amp; $Q3843)</f>
        <v>184963466</v>
      </c>
    </row>
    <row r="3844" spans="1:19" x14ac:dyDescent="0.25">
      <c r="A3844" s="1">
        <v>3839</v>
      </c>
      <c r="B3844" s="1" t="s">
        <v>2</v>
      </c>
      <c r="C3844" s="1" t="str">
        <f>IF($B3844 = "Production Item", _xlfn.XLOOKUP($A3844, 'Instrument Table'!$J:$J, 'Instrument Table'!$B:$B, $C3843), IF($B3844 = "Service Item", _xlfn.XLOOKUP($A3844, 'Instrument Table'!$I:$I, 'Instrument Table'!$B:$B, $C3843), _xlfn.XLOOKUP($A3844, 'Instrument Table'!$H:$H, 'Instrument Table'!$B:$B, $C3843)))</f>
        <v>Musical Accessories</v>
      </c>
      <c r="D3844" s="1" t="str">
        <f>VLOOKUP($C3844, 'Instrument Table'!$B:$C, 2, FALSE)</f>
        <v>Other</v>
      </c>
      <c r="E3844" s="1">
        <f t="shared" si="354"/>
        <v>1</v>
      </c>
      <c r="F3844" s="1">
        <f>_xlfn.XLOOKUP($C3844, 'Instrument Table'!$B:$B, 'Instrument Table'!$A:$A, "")</f>
        <v>64</v>
      </c>
      <c r="G3844" s="1" t="str">
        <f>TEXT(IF($B3844 = "Retail Item", IF((ROW($A3844) - 4504 - _xlfn.XMATCH($C3844, $C$4506:$C$5005, 0, 1)) &lt;= VLOOKUP($C3844, 'Instrument Table'!$B:$D, 3, FALSE), ROW($A3844) - 4504 - _xlfn.XMATCH($C3844, $C$4506:$C$5005, 0, 1), 0), 0), "00")</f>
        <v>00</v>
      </c>
      <c r="H3844" s="1" t="str">
        <f t="shared" si="355"/>
        <v>038</v>
      </c>
      <c r="I3844" s="1" t="str">
        <f t="shared" si="356"/>
        <v>16400-038</v>
      </c>
      <c r="J3844" s="1" t="str">
        <f t="shared" si="357"/>
        <v>Musical accessories production item #038</v>
      </c>
      <c r="K3844" s="1" t="str">
        <f>IF(SUM(COUNTIFS(I:I, I3844)) &gt; 1, "DUPLICATE", "UNIQUE")</f>
        <v>UNIQUE</v>
      </c>
      <c r="L3844" s="18">
        <v>1</v>
      </c>
      <c r="M3844" s="28">
        <v>15</v>
      </c>
      <c r="N3844" s="6">
        <v>324</v>
      </c>
      <c r="O3844" s="30">
        <f t="shared" si="358"/>
        <v>15</v>
      </c>
      <c r="P3844" s="30">
        <f t="shared" si="359"/>
        <v>4860</v>
      </c>
      <c r="Q3844" s="1">
        <f>COUNTIFS($P:$P, "&gt;" &amp; $P3844) + 1</f>
        <v>2474</v>
      </c>
      <c r="R3844" s="63">
        <f>(COUNTIFS($P:$P, "&gt;" &amp; $P3844) + 1) / (COUNTA($I:$I) - 1)</f>
        <v>0.49480000000000002</v>
      </c>
      <c r="S3844" s="23">
        <f>SUMIFS($P:$P, $Q:$Q, "&lt;" &amp; $Q3844)</f>
        <v>182990510</v>
      </c>
    </row>
    <row r="3845" spans="1:19" x14ac:dyDescent="0.25">
      <c r="A3845" s="1">
        <v>3840</v>
      </c>
      <c r="B3845" s="1" t="s">
        <v>2</v>
      </c>
      <c r="C3845" s="1" t="str">
        <f>IF($B3845 = "Production Item", _xlfn.XLOOKUP($A3845, 'Instrument Table'!$J:$J, 'Instrument Table'!$B:$B, $C3844), IF($B3845 = "Service Item", _xlfn.XLOOKUP($A3845, 'Instrument Table'!$I:$I, 'Instrument Table'!$B:$B, $C3844), _xlfn.XLOOKUP($A3845, 'Instrument Table'!$H:$H, 'Instrument Table'!$B:$B, $C3844)))</f>
        <v>Musical Accessories</v>
      </c>
      <c r="D3845" s="1" t="str">
        <f>VLOOKUP($C3845, 'Instrument Table'!$B:$C, 2, FALSE)</f>
        <v>Other</v>
      </c>
      <c r="E3845" s="1">
        <f t="shared" si="354"/>
        <v>1</v>
      </c>
      <c r="F3845" s="1">
        <f>_xlfn.XLOOKUP($C3845, 'Instrument Table'!$B:$B, 'Instrument Table'!$A:$A, "")</f>
        <v>64</v>
      </c>
      <c r="G3845" s="1" t="str">
        <f>TEXT(IF($B3845 = "Retail Item", IF((ROW($A3845) - 4504 - _xlfn.XMATCH($C3845, $C$4506:$C$5005, 0, 1)) &lt;= VLOOKUP($C3845, 'Instrument Table'!$B:$D, 3, FALSE), ROW($A3845) - 4504 - _xlfn.XMATCH($C3845, $C$4506:$C$5005, 0, 1), 0), 0), "00")</f>
        <v>00</v>
      </c>
      <c r="H3845" s="1" t="str">
        <f t="shared" si="355"/>
        <v>039</v>
      </c>
      <c r="I3845" s="1" t="str">
        <f t="shared" si="356"/>
        <v>16400-039</v>
      </c>
      <c r="J3845" s="1" t="str">
        <f t="shared" si="357"/>
        <v>Musical accessories production item #039</v>
      </c>
      <c r="K3845" s="1" t="str">
        <f>IF(SUM(COUNTIFS(I:I, I3845)) &gt; 1, "DUPLICATE", "UNIQUE")</f>
        <v>UNIQUE</v>
      </c>
      <c r="L3845" s="18">
        <v>0</v>
      </c>
      <c r="M3845" s="28">
        <v>72</v>
      </c>
      <c r="N3845" s="6">
        <v>36</v>
      </c>
      <c r="O3845" s="30">
        <f t="shared" si="358"/>
        <v>0</v>
      </c>
      <c r="P3845" s="30">
        <f t="shared" si="359"/>
        <v>2592</v>
      </c>
      <c r="Q3845" s="1">
        <f>COUNTIFS($P:$P, "&gt;" &amp; $P3845) + 1</f>
        <v>3012</v>
      </c>
      <c r="R3845" s="63">
        <f>(COUNTIFS($P:$P, "&gt;" &amp; $P3845) + 1) / (COUNTA($I:$I) - 1)</f>
        <v>0.60240000000000005</v>
      </c>
      <c r="S3845" s="23">
        <f>SUMIFS($P:$P, $Q:$Q, "&lt;" &amp; $Q3845)</f>
        <v>184963466</v>
      </c>
    </row>
    <row r="3846" spans="1:19" x14ac:dyDescent="0.25">
      <c r="A3846" s="1">
        <v>3841</v>
      </c>
      <c r="B3846" s="1" t="s">
        <v>2</v>
      </c>
      <c r="C3846" s="1" t="str">
        <f>IF($B3846 = "Production Item", _xlfn.XLOOKUP($A3846, 'Instrument Table'!$J:$J, 'Instrument Table'!$B:$B, $C3845), IF($B3846 = "Service Item", _xlfn.XLOOKUP($A3846, 'Instrument Table'!$I:$I, 'Instrument Table'!$B:$B, $C3845), _xlfn.XLOOKUP($A3846, 'Instrument Table'!$H:$H, 'Instrument Table'!$B:$B, $C3845)))</f>
        <v>Musical Accessories</v>
      </c>
      <c r="D3846" s="1" t="str">
        <f>VLOOKUP($C3846, 'Instrument Table'!$B:$C, 2, FALSE)</f>
        <v>Other</v>
      </c>
      <c r="E3846" s="1">
        <f t="shared" si="354"/>
        <v>1</v>
      </c>
      <c r="F3846" s="1">
        <f>_xlfn.XLOOKUP($C3846, 'Instrument Table'!$B:$B, 'Instrument Table'!$A:$A, "")</f>
        <v>64</v>
      </c>
      <c r="G3846" s="1" t="str">
        <f>TEXT(IF($B3846 = "Retail Item", IF((ROW($A3846) - 4504 - _xlfn.XMATCH($C3846, $C$4506:$C$5005, 0, 1)) &lt;= VLOOKUP($C3846, 'Instrument Table'!$B:$D, 3, FALSE), ROW($A3846) - 4504 - _xlfn.XMATCH($C3846, $C$4506:$C$5005, 0, 1), 0), 0), "00")</f>
        <v>00</v>
      </c>
      <c r="H3846" s="1" t="str">
        <f t="shared" si="355"/>
        <v>040</v>
      </c>
      <c r="I3846" s="1" t="str">
        <f t="shared" si="356"/>
        <v>16400-040</v>
      </c>
      <c r="J3846" s="1" t="str">
        <f t="shared" si="357"/>
        <v>Musical accessories production item #040</v>
      </c>
      <c r="K3846" s="1" t="str">
        <f>IF(SUM(COUNTIFS(I:I, I3846)) &gt; 1, "DUPLICATE", "UNIQUE")</f>
        <v>UNIQUE</v>
      </c>
      <c r="L3846" s="18">
        <v>1</v>
      </c>
      <c r="M3846" s="28">
        <v>42</v>
      </c>
      <c r="N3846" s="6">
        <v>0</v>
      </c>
      <c r="O3846" s="30">
        <f t="shared" si="358"/>
        <v>42</v>
      </c>
      <c r="P3846" s="30">
        <f t="shared" si="359"/>
        <v>0</v>
      </c>
      <c r="Q3846" s="1">
        <f>COUNTIFS($P:$P, "&gt;" &amp; $P3846) + 1</f>
        <v>4746</v>
      </c>
      <c r="R3846" s="63">
        <f>(COUNTIFS($P:$P, "&gt;" &amp; $P3846) + 1) / (COUNTA($I:$I) - 1)</f>
        <v>0.94920000000000004</v>
      </c>
      <c r="S3846" s="23">
        <f>SUMIFS($P:$P, $Q:$Q, "&lt;" &amp; $Q3846)</f>
        <v>186547861</v>
      </c>
    </row>
    <row r="3847" spans="1:19" x14ac:dyDescent="0.25">
      <c r="A3847" s="1">
        <v>3842</v>
      </c>
      <c r="B3847" s="1" t="s">
        <v>2</v>
      </c>
      <c r="C3847" s="1" t="str">
        <f>IF($B3847 = "Production Item", _xlfn.XLOOKUP($A3847, 'Instrument Table'!$J:$J, 'Instrument Table'!$B:$B, $C3846), IF($B3847 = "Service Item", _xlfn.XLOOKUP($A3847, 'Instrument Table'!$I:$I, 'Instrument Table'!$B:$B, $C3846), _xlfn.XLOOKUP($A3847, 'Instrument Table'!$H:$H, 'Instrument Table'!$B:$B, $C3846)))</f>
        <v>Musical Accessories</v>
      </c>
      <c r="D3847" s="1" t="str">
        <f>VLOOKUP($C3847, 'Instrument Table'!$B:$C, 2, FALSE)</f>
        <v>Other</v>
      </c>
      <c r="E3847" s="1">
        <f t="shared" ref="E3847:E3910" si="360">IF($B3847 = "Production Item", 1, IF($B3847 = "Service Item", 2, IF($B3847 = "Retail Item", 3, "")))</f>
        <v>1</v>
      </c>
      <c r="F3847" s="1">
        <f>_xlfn.XLOOKUP($C3847, 'Instrument Table'!$B:$B, 'Instrument Table'!$A:$A, "")</f>
        <v>64</v>
      </c>
      <c r="G3847" s="1" t="str">
        <f>TEXT(IF($B3847 = "Retail Item", IF((ROW($A3847) - 4504 - _xlfn.XMATCH($C3847, $C$4506:$C$5005, 0, 1)) &lt;= VLOOKUP($C3847, 'Instrument Table'!$B:$D, 3, FALSE), ROW($A3847) - 4504 - _xlfn.XMATCH($C3847, $C$4506:$C$5005, 0, 1), 0), 0), "00")</f>
        <v>00</v>
      </c>
      <c r="H3847" s="1" t="str">
        <f t="shared" ref="H3847:H3910" si="361">TEXT(IF($E3847 &amp; $F3847 &amp; $G3847 = $E3846 &amp; $F3846 &amp; $G3846, 1 + H3846, 0), "000")</f>
        <v>041</v>
      </c>
      <c r="I3847" s="1" t="str">
        <f t="shared" ref="I3847:I3910" si="362" xml:space="preserve"> _xlfn.CONCAT($E3847, $F3847, $G3847, "-", H3847)</f>
        <v>16400-041</v>
      </c>
      <c r="J3847" s="1" t="str">
        <f t="shared" ref="J3847:J3910" si="363">LEFT($C3847, 1) &amp; LOWER(RIGHT($C3847, LEN($C3847) - 1)) &amp; IF(AND($G3847 &lt;&gt; "00", $B3847 = "Retail Item"), " model #" &amp; $G3847, " " &amp; LOWER($B3847) &amp; " #" &amp; $H3847)</f>
        <v>Musical accessories production item #041</v>
      </c>
      <c r="K3847" s="1" t="str">
        <f>IF(SUM(COUNTIFS(I:I, I3847)) &gt; 1, "DUPLICATE", "UNIQUE")</f>
        <v>UNIQUE</v>
      </c>
      <c r="L3847" s="18">
        <v>0</v>
      </c>
      <c r="M3847" s="28">
        <v>29</v>
      </c>
      <c r="N3847" s="6">
        <v>121</v>
      </c>
      <c r="O3847" s="30">
        <f t="shared" ref="O3847:O3910" si="364">$L3847 * $M3847</f>
        <v>0</v>
      </c>
      <c r="P3847" s="30">
        <f t="shared" ref="P3847:P3910" si="365">$N3847 * $M3847</f>
        <v>3509</v>
      </c>
      <c r="Q3847" s="1">
        <f>COUNTIFS($P:$P, "&gt;" &amp; $P3847) + 1</f>
        <v>2775</v>
      </c>
      <c r="R3847" s="63">
        <f>(COUNTIFS($P:$P, "&gt;" &amp; $P3847) + 1) / (COUNTA($I:$I) - 1)</f>
        <v>0.55500000000000005</v>
      </c>
      <c r="S3847" s="23">
        <f>SUMIFS($P:$P, $Q:$Q, "&lt;" &amp; $Q3847)</f>
        <v>184239343</v>
      </c>
    </row>
    <row r="3848" spans="1:19" x14ac:dyDescent="0.25">
      <c r="A3848" s="1">
        <v>3843</v>
      </c>
      <c r="B3848" s="1" t="s">
        <v>2</v>
      </c>
      <c r="C3848" s="1" t="str">
        <f>IF($B3848 = "Production Item", _xlfn.XLOOKUP($A3848, 'Instrument Table'!$J:$J, 'Instrument Table'!$B:$B, $C3847), IF($B3848 = "Service Item", _xlfn.XLOOKUP($A3848, 'Instrument Table'!$I:$I, 'Instrument Table'!$B:$B, $C3847), _xlfn.XLOOKUP($A3848, 'Instrument Table'!$H:$H, 'Instrument Table'!$B:$B, $C3847)))</f>
        <v>Musical Accessories</v>
      </c>
      <c r="D3848" s="1" t="str">
        <f>VLOOKUP($C3848, 'Instrument Table'!$B:$C, 2, FALSE)</f>
        <v>Other</v>
      </c>
      <c r="E3848" s="1">
        <f t="shared" si="360"/>
        <v>1</v>
      </c>
      <c r="F3848" s="1">
        <f>_xlfn.XLOOKUP($C3848, 'Instrument Table'!$B:$B, 'Instrument Table'!$A:$A, "")</f>
        <v>64</v>
      </c>
      <c r="G3848" s="1" t="str">
        <f>TEXT(IF($B3848 = "Retail Item", IF((ROW($A3848) - 4504 - _xlfn.XMATCH($C3848, $C$4506:$C$5005, 0, 1)) &lt;= VLOOKUP($C3848, 'Instrument Table'!$B:$D, 3, FALSE), ROW($A3848) - 4504 - _xlfn.XMATCH($C3848, $C$4506:$C$5005, 0, 1), 0), 0), "00")</f>
        <v>00</v>
      </c>
      <c r="H3848" s="1" t="str">
        <f t="shared" si="361"/>
        <v>042</v>
      </c>
      <c r="I3848" s="1" t="str">
        <f t="shared" si="362"/>
        <v>16400-042</v>
      </c>
      <c r="J3848" s="1" t="str">
        <f t="shared" si="363"/>
        <v>Musical accessories production item #042</v>
      </c>
      <c r="K3848" s="1" t="str">
        <f>IF(SUM(COUNTIFS(I:I, I3848)) &gt; 1, "DUPLICATE", "UNIQUE")</f>
        <v>UNIQUE</v>
      </c>
      <c r="L3848" s="18">
        <v>0</v>
      </c>
      <c r="M3848" s="28">
        <v>84</v>
      </c>
      <c r="N3848" s="6">
        <v>400</v>
      </c>
      <c r="O3848" s="30">
        <f t="shared" si="364"/>
        <v>0</v>
      </c>
      <c r="P3848" s="30">
        <f t="shared" si="365"/>
        <v>33600</v>
      </c>
      <c r="Q3848" s="1">
        <f>COUNTIFS($P:$P, "&gt;" &amp; $P3848) + 1</f>
        <v>621</v>
      </c>
      <c r="R3848" s="63">
        <f>(COUNTIFS($P:$P, "&gt;" &amp; $P3848) + 1) / (COUNTA($I:$I) - 1)</f>
        <v>0.1242</v>
      </c>
      <c r="S3848" s="23">
        <f>SUMIFS($P:$P, $Q:$Q, "&lt;" &amp; $Q3848)</f>
        <v>156596921</v>
      </c>
    </row>
    <row r="3849" spans="1:19" x14ac:dyDescent="0.25">
      <c r="A3849" s="1">
        <v>3844</v>
      </c>
      <c r="B3849" s="1" t="s">
        <v>2</v>
      </c>
      <c r="C3849" s="1" t="str">
        <f>IF($B3849 = "Production Item", _xlfn.XLOOKUP($A3849, 'Instrument Table'!$J:$J, 'Instrument Table'!$B:$B, $C3848), IF($B3849 = "Service Item", _xlfn.XLOOKUP($A3849, 'Instrument Table'!$I:$I, 'Instrument Table'!$B:$B, $C3848), _xlfn.XLOOKUP($A3849, 'Instrument Table'!$H:$H, 'Instrument Table'!$B:$B, $C3848)))</f>
        <v>Musical Accessories</v>
      </c>
      <c r="D3849" s="1" t="str">
        <f>VLOOKUP($C3849, 'Instrument Table'!$B:$C, 2, FALSE)</f>
        <v>Other</v>
      </c>
      <c r="E3849" s="1">
        <f t="shared" si="360"/>
        <v>1</v>
      </c>
      <c r="F3849" s="1">
        <f>_xlfn.XLOOKUP($C3849, 'Instrument Table'!$B:$B, 'Instrument Table'!$A:$A, "")</f>
        <v>64</v>
      </c>
      <c r="G3849" s="1" t="str">
        <f>TEXT(IF($B3849 = "Retail Item", IF((ROW($A3849) - 4504 - _xlfn.XMATCH($C3849, $C$4506:$C$5005, 0, 1)) &lt;= VLOOKUP($C3849, 'Instrument Table'!$B:$D, 3, FALSE), ROW($A3849) - 4504 - _xlfn.XMATCH($C3849, $C$4506:$C$5005, 0, 1), 0), 0), "00")</f>
        <v>00</v>
      </c>
      <c r="H3849" s="1" t="str">
        <f t="shared" si="361"/>
        <v>043</v>
      </c>
      <c r="I3849" s="1" t="str">
        <f t="shared" si="362"/>
        <v>16400-043</v>
      </c>
      <c r="J3849" s="1" t="str">
        <f t="shared" si="363"/>
        <v>Musical accessories production item #043</v>
      </c>
      <c r="K3849" s="1" t="str">
        <f>IF(SUM(COUNTIFS(I:I, I3849)) &gt; 1, "DUPLICATE", "UNIQUE")</f>
        <v>UNIQUE</v>
      </c>
      <c r="L3849" s="18">
        <v>1</v>
      </c>
      <c r="M3849" s="28">
        <v>74</v>
      </c>
      <c r="N3849" s="6">
        <v>400</v>
      </c>
      <c r="O3849" s="30">
        <f t="shared" si="364"/>
        <v>74</v>
      </c>
      <c r="P3849" s="30">
        <f t="shared" si="365"/>
        <v>29600</v>
      </c>
      <c r="Q3849" s="1">
        <f>COUNTIFS($P:$P, "&gt;" &amp; $P3849) + 1</f>
        <v>699</v>
      </c>
      <c r="R3849" s="63">
        <f>(COUNTIFS($P:$P, "&gt;" &amp; $P3849) + 1) / (COUNTA($I:$I) - 1)</f>
        <v>0.13980000000000001</v>
      </c>
      <c r="S3849" s="23">
        <f>SUMIFS($P:$P, $Q:$Q, "&lt;" &amp; $Q3849)</f>
        <v>159057302</v>
      </c>
    </row>
    <row r="3850" spans="1:19" x14ac:dyDescent="0.25">
      <c r="A3850" s="1">
        <v>3845</v>
      </c>
      <c r="B3850" s="1" t="s">
        <v>2</v>
      </c>
      <c r="C3850" s="1" t="str">
        <f>IF($B3850 = "Production Item", _xlfn.XLOOKUP($A3850, 'Instrument Table'!$J:$J, 'Instrument Table'!$B:$B, $C3849), IF($B3850 = "Service Item", _xlfn.XLOOKUP($A3850, 'Instrument Table'!$I:$I, 'Instrument Table'!$B:$B, $C3849), _xlfn.XLOOKUP($A3850, 'Instrument Table'!$H:$H, 'Instrument Table'!$B:$B, $C3849)))</f>
        <v>Musical Accessories</v>
      </c>
      <c r="D3850" s="1" t="str">
        <f>VLOOKUP($C3850, 'Instrument Table'!$B:$C, 2, FALSE)</f>
        <v>Other</v>
      </c>
      <c r="E3850" s="1">
        <f t="shared" si="360"/>
        <v>1</v>
      </c>
      <c r="F3850" s="1">
        <f>_xlfn.XLOOKUP($C3850, 'Instrument Table'!$B:$B, 'Instrument Table'!$A:$A, "")</f>
        <v>64</v>
      </c>
      <c r="G3850" s="1" t="str">
        <f>TEXT(IF($B3850 = "Retail Item", IF((ROW($A3850) - 4504 - _xlfn.XMATCH($C3850, $C$4506:$C$5005, 0, 1)) &lt;= VLOOKUP($C3850, 'Instrument Table'!$B:$D, 3, FALSE), ROW($A3850) - 4504 - _xlfn.XMATCH($C3850, $C$4506:$C$5005, 0, 1), 0), 0), "00")</f>
        <v>00</v>
      </c>
      <c r="H3850" s="1" t="str">
        <f t="shared" si="361"/>
        <v>044</v>
      </c>
      <c r="I3850" s="1" t="str">
        <f t="shared" si="362"/>
        <v>16400-044</v>
      </c>
      <c r="J3850" s="1" t="str">
        <f t="shared" si="363"/>
        <v>Musical accessories production item #044</v>
      </c>
      <c r="K3850" s="1" t="str">
        <f>IF(SUM(COUNTIFS(I:I, I3850)) &gt; 1, "DUPLICATE", "UNIQUE")</f>
        <v>UNIQUE</v>
      </c>
      <c r="L3850" s="18">
        <v>1</v>
      </c>
      <c r="M3850" s="28">
        <v>9</v>
      </c>
      <c r="N3850" s="6">
        <v>16</v>
      </c>
      <c r="O3850" s="30">
        <f t="shared" si="364"/>
        <v>9</v>
      </c>
      <c r="P3850" s="30">
        <f t="shared" si="365"/>
        <v>144</v>
      </c>
      <c r="Q3850" s="1">
        <f>COUNTIFS($P:$P, "&gt;" &amp; $P3850) + 1</f>
        <v>4399</v>
      </c>
      <c r="R3850" s="63">
        <f>(COUNTIFS($P:$P, "&gt;" &amp; $P3850) + 1) / (COUNTA($I:$I) - 1)</f>
        <v>0.87980000000000003</v>
      </c>
      <c r="S3850" s="23">
        <f>SUMIFS($P:$P, $Q:$Q, "&lt;" &amp; $Q3850)</f>
        <v>186525866</v>
      </c>
    </row>
    <row r="3851" spans="1:19" x14ac:dyDescent="0.25">
      <c r="A3851" s="1">
        <v>3846</v>
      </c>
      <c r="B3851" s="1" t="s">
        <v>2</v>
      </c>
      <c r="C3851" s="1" t="str">
        <f>IF($B3851 = "Production Item", _xlfn.XLOOKUP($A3851, 'Instrument Table'!$J:$J, 'Instrument Table'!$B:$B, $C3850), IF($B3851 = "Service Item", _xlfn.XLOOKUP($A3851, 'Instrument Table'!$I:$I, 'Instrument Table'!$B:$B, $C3850), _xlfn.XLOOKUP($A3851, 'Instrument Table'!$H:$H, 'Instrument Table'!$B:$B, $C3850)))</f>
        <v>Musical Accessories</v>
      </c>
      <c r="D3851" s="1" t="str">
        <f>VLOOKUP($C3851, 'Instrument Table'!$B:$C, 2, FALSE)</f>
        <v>Other</v>
      </c>
      <c r="E3851" s="1">
        <f t="shared" si="360"/>
        <v>1</v>
      </c>
      <c r="F3851" s="1">
        <f>_xlfn.XLOOKUP($C3851, 'Instrument Table'!$B:$B, 'Instrument Table'!$A:$A, "")</f>
        <v>64</v>
      </c>
      <c r="G3851" s="1" t="str">
        <f>TEXT(IF($B3851 = "Retail Item", IF((ROW($A3851) - 4504 - _xlfn.XMATCH($C3851, $C$4506:$C$5005, 0, 1)) &lt;= VLOOKUP($C3851, 'Instrument Table'!$B:$D, 3, FALSE), ROW($A3851) - 4504 - _xlfn.XMATCH($C3851, $C$4506:$C$5005, 0, 1), 0), 0), "00")</f>
        <v>00</v>
      </c>
      <c r="H3851" s="1" t="str">
        <f t="shared" si="361"/>
        <v>045</v>
      </c>
      <c r="I3851" s="1" t="str">
        <f t="shared" si="362"/>
        <v>16400-045</v>
      </c>
      <c r="J3851" s="1" t="str">
        <f t="shared" si="363"/>
        <v>Musical accessories production item #045</v>
      </c>
      <c r="K3851" s="1" t="str">
        <f>IF(SUM(COUNTIFS(I:I, I3851)) &gt; 1, "DUPLICATE", "UNIQUE")</f>
        <v>UNIQUE</v>
      </c>
      <c r="L3851" s="18">
        <v>2</v>
      </c>
      <c r="M3851" s="28">
        <v>79</v>
      </c>
      <c r="N3851" s="6">
        <v>289</v>
      </c>
      <c r="O3851" s="30">
        <f t="shared" si="364"/>
        <v>158</v>
      </c>
      <c r="P3851" s="30">
        <f t="shared" si="365"/>
        <v>22831</v>
      </c>
      <c r="Q3851" s="1">
        <f>COUNTIFS($P:$P, "&gt;" &amp; $P3851) + 1</f>
        <v>909</v>
      </c>
      <c r="R3851" s="63">
        <f>(COUNTIFS($P:$P, "&gt;" &amp; $P3851) + 1) / (COUNTA($I:$I) - 1)</f>
        <v>0.18179999999999999</v>
      </c>
      <c r="S3851" s="23">
        <f>SUMIFS($P:$P, $Q:$Q, "&lt;" &amp; $Q3851)</f>
        <v>164488143</v>
      </c>
    </row>
    <row r="3852" spans="1:19" x14ac:dyDescent="0.25">
      <c r="A3852" s="1">
        <v>3847</v>
      </c>
      <c r="B3852" s="1" t="s">
        <v>2</v>
      </c>
      <c r="C3852" s="1" t="str">
        <f>IF($B3852 = "Production Item", _xlfn.XLOOKUP($A3852, 'Instrument Table'!$J:$J, 'Instrument Table'!$B:$B, $C3851), IF($B3852 = "Service Item", _xlfn.XLOOKUP($A3852, 'Instrument Table'!$I:$I, 'Instrument Table'!$B:$B, $C3851), _xlfn.XLOOKUP($A3852, 'Instrument Table'!$H:$H, 'Instrument Table'!$B:$B, $C3851)))</f>
        <v>Musical Accessories</v>
      </c>
      <c r="D3852" s="1" t="str">
        <f>VLOOKUP($C3852, 'Instrument Table'!$B:$C, 2, FALSE)</f>
        <v>Other</v>
      </c>
      <c r="E3852" s="1">
        <f t="shared" si="360"/>
        <v>1</v>
      </c>
      <c r="F3852" s="1">
        <f>_xlfn.XLOOKUP($C3852, 'Instrument Table'!$B:$B, 'Instrument Table'!$A:$A, "")</f>
        <v>64</v>
      </c>
      <c r="G3852" s="1" t="str">
        <f>TEXT(IF($B3852 = "Retail Item", IF((ROW($A3852) - 4504 - _xlfn.XMATCH($C3852, $C$4506:$C$5005, 0, 1)) &lt;= VLOOKUP($C3852, 'Instrument Table'!$B:$D, 3, FALSE), ROW($A3852) - 4504 - _xlfn.XMATCH($C3852, $C$4506:$C$5005, 0, 1), 0), 0), "00")</f>
        <v>00</v>
      </c>
      <c r="H3852" s="1" t="str">
        <f t="shared" si="361"/>
        <v>046</v>
      </c>
      <c r="I3852" s="1" t="str">
        <f t="shared" si="362"/>
        <v>16400-046</v>
      </c>
      <c r="J3852" s="1" t="str">
        <f t="shared" si="363"/>
        <v>Musical accessories production item #046</v>
      </c>
      <c r="K3852" s="1" t="str">
        <f>IF(SUM(COUNTIFS(I:I, I3852)) &gt; 1, "DUPLICATE", "UNIQUE")</f>
        <v>UNIQUE</v>
      </c>
      <c r="L3852" s="18">
        <v>0</v>
      </c>
      <c r="M3852" s="28">
        <v>87</v>
      </c>
      <c r="N3852" s="6">
        <v>25</v>
      </c>
      <c r="O3852" s="30">
        <f t="shared" si="364"/>
        <v>0</v>
      </c>
      <c r="P3852" s="30">
        <f t="shared" si="365"/>
        <v>2175</v>
      </c>
      <c r="Q3852" s="1">
        <f>COUNTIFS($P:$P, "&gt;" &amp; $P3852) + 1</f>
        <v>3178</v>
      </c>
      <c r="R3852" s="63">
        <f>(COUNTIFS($P:$P, "&gt;" &amp; $P3852) + 1) / (COUNTA($I:$I) - 1)</f>
        <v>0.63560000000000005</v>
      </c>
      <c r="S3852" s="23">
        <f>SUMIFS($P:$P, $Q:$Q, "&lt;" &amp; $Q3852)</f>
        <v>185360536</v>
      </c>
    </row>
    <row r="3853" spans="1:19" x14ac:dyDescent="0.25">
      <c r="A3853" s="1">
        <v>3848</v>
      </c>
      <c r="B3853" s="1" t="s">
        <v>2</v>
      </c>
      <c r="C3853" s="1" t="str">
        <f>IF($B3853 = "Production Item", _xlfn.XLOOKUP($A3853, 'Instrument Table'!$J:$J, 'Instrument Table'!$B:$B, $C3852), IF($B3853 = "Service Item", _xlfn.XLOOKUP($A3853, 'Instrument Table'!$I:$I, 'Instrument Table'!$B:$B, $C3852), _xlfn.XLOOKUP($A3853, 'Instrument Table'!$H:$H, 'Instrument Table'!$B:$B, $C3852)))</f>
        <v>Musical Accessories</v>
      </c>
      <c r="D3853" s="1" t="str">
        <f>VLOOKUP($C3853, 'Instrument Table'!$B:$C, 2, FALSE)</f>
        <v>Other</v>
      </c>
      <c r="E3853" s="1">
        <f t="shared" si="360"/>
        <v>1</v>
      </c>
      <c r="F3853" s="1">
        <f>_xlfn.XLOOKUP($C3853, 'Instrument Table'!$B:$B, 'Instrument Table'!$A:$A, "")</f>
        <v>64</v>
      </c>
      <c r="G3853" s="1" t="str">
        <f>TEXT(IF($B3853 = "Retail Item", IF((ROW($A3853) - 4504 - _xlfn.XMATCH($C3853, $C$4506:$C$5005, 0, 1)) &lt;= VLOOKUP($C3853, 'Instrument Table'!$B:$D, 3, FALSE), ROW($A3853) - 4504 - _xlfn.XMATCH($C3853, $C$4506:$C$5005, 0, 1), 0), 0), "00")</f>
        <v>00</v>
      </c>
      <c r="H3853" s="1" t="str">
        <f t="shared" si="361"/>
        <v>047</v>
      </c>
      <c r="I3853" s="1" t="str">
        <f t="shared" si="362"/>
        <v>16400-047</v>
      </c>
      <c r="J3853" s="1" t="str">
        <f t="shared" si="363"/>
        <v>Musical accessories production item #047</v>
      </c>
      <c r="K3853" s="1" t="str">
        <f>IF(SUM(COUNTIFS(I:I, I3853)) &gt; 1, "DUPLICATE", "UNIQUE")</f>
        <v>UNIQUE</v>
      </c>
      <c r="L3853" s="18">
        <v>0</v>
      </c>
      <c r="M3853" s="28">
        <v>24</v>
      </c>
      <c r="N3853" s="6">
        <v>400</v>
      </c>
      <c r="O3853" s="30">
        <f t="shared" si="364"/>
        <v>0</v>
      </c>
      <c r="P3853" s="30">
        <f t="shared" si="365"/>
        <v>9600</v>
      </c>
      <c r="Q3853" s="1">
        <f>COUNTIFS($P:$P, "&gt;" &amp; $P3853) + 1</f>
        <v>1806</v>
      </c>
      <c r="R3853" s="63">
        <f>(COUNTIFS($P:$P, "&gt;" &amp; $P3853) + 1) / (COUNTA($I:$I) - 1)</f>
        <v>0.36120000000000002</v>
      </c>
      <c r="S3853" s="23">
        <f>SUMIFS($P:$P, $Q:$Q, "&lt;" &amp; $Q3853)</f>
        <v>178299320</v>
      </c>
    </row>
    <row r="3854" spans="1:19" x14ac:dyDescent="0.25">
      <c r="A3854" s="1">
        <v>3849</v>
      </c>
      <c r="B3854" s="1" t="s">
        <v>2</v>
      </c>
      <c r="C3854" s="1" t="str">
        <f>IF($B3854 = "Production Item", _xlfn.XLOOKUP($A3854, 'Instrument Table'!$J:$J, 'Instrument Table'!$B:$B, $C3853), IF($B3854 = "Service Item", _xlfn.XLOOKUP($A3854, 'Instrument Table'!$I:$I, 'Instrument Table'!$B:$B, $C3853), _xlfn.XLOOKUP($A3854, 'Instrument Table'!$H:$H, 'Instrument Table'!$B:$B, $C3853)))</f>
        <v>Musical Accessories</v>
      </c>
      <c r="D3854" s="1" t="str">
        <f>VLOOKUP($C3854, 'Instrument Table'!$B:$C, 2, FALSE)</f>
        <v>Other</v>
      </c>
      <c r="E3854" s="1">
        <f t="shared" si="360"/>
        <v>1</v>
      </c>
      <c r="F3854" s="1">
        <f>_xlfn.XLOOKUP($C3854, 'Instrument Table'!$B:$B, 'Instrument Table'!$A:$A, "")</f>
        <v>64</v>
      </c>
      <c r="G3854" s="1" t="str">
        <f>TEXT(IF($B3854 = "Retail Item", IF((ROW($A3854) - 4504 - _xlfn.XMATCH($C3854, $C$4506:$C$5005, 0, 1)) &lt;= VLOOKUP($C3854, 'Instrument Table'!$B:$D, 3, FALSE), ROW($A3854) - 4504 - _xlfn.XMATCH($C3854, $C$4506:$C$5005, 0, 1), 0), 0), "00")</f>
        <v>00</v>
      </c>
      <c r="H3854" s="1" t="str">
        <f t="shared" si="361"/>
        <v>048</v>
      </c>
      <c r="I3854" s="1" t="str">
        <f t="shared" si="362"/>
        <v>16400-048</v>
      </c>
      <c r="J3854" s="1" t="str">
        <f t="shared" si="363"/>
        <v>Musical accessories production item #048</v>
      </c>
      <c r="K3854" s="1" t="str">
        <f>IF(SUM(COUNTIFS(I:I, I3854)) &gt; 1, "DUPLICATE", "UNIQUE")</f>
        <v>UNIQUE</v>
      </c>
      <c r="L3854" s="18">
        <v>8</v>
      </c>
      <c r="M3854" s="28">
        <v>94</v>
      </c>
      <c r="N3854" s="6">
        <v>9</v>
      </c>
      <c r="O3854" s="30">
        <f t="shared" si="364"/>
        <v>752</v>
      </c>
      <c r="P3854" s="30">
        <f t="shared" si="365"/>
        <v>846</v>
      </c>
      <c r="Q3854" s="1">
        <f>COUNTIFS($P:$P, "&gt;" &amp; $P3854) + 1</f>
        <v>3763</v>
      </c>
      <c r="R3854" s="63">
        <f>(COUNTIFS($P:$P, "&gt;" &amp; $P3854) + 1) / (COUNTA($I:$I) - 1)</f>
        <v>0.75260000000000005</v>
      </c>
      <c r="S3854" s="23">
        <f>SUMIFS($P:$P, $Q:$Q, "&lt;" &amp; $Q3854)</f>
        <v>186235336</v>
      </c>
    </row>
    <row r="3855" spans="1:19" x14ac:dyDescent="0.25">
      <c r="A3855" s="1">
        <v>3850</v>
      </c>
      <c r="B3855" s="1" t="s">
        <v>2</v>
      </c>
      <c r="C3855" s="1" t="str">
        <f>IF($B3855 = "Production Item", _xlfn.XLOOKUP($A3855, 'Instrument Table'!$J:$J, 'Instrument Table'!$B:$B, $C3854), IF($B3855 = "Service Item", _xlfn.XLOOKUP($A3855, 'Instrument Table'!$I:$I, 'Instrument Table'!$B:$B, $C3854), _xlfn.XLOOKUP($A3855, 'Instrument Table'!$H:$H, 'Instrument Table'!$B:$B, $C3854)))</f>
        <v>Musical Accessories</v>
      </c>
      <c r="D3855" s="1" t="str">
        <f>VLOOKUP($C3855, 'Instrument Table'!$B:$C, 2, FALSE)</f>
        <v>Other</v>
      </c>
      <c r="E3855" s="1">
        <f t="shared" si="360"/>
        <v>1</v>
      </c>
      <c r="F3855" s="1">
        <f>_xlfn.XLOOKUP($C3855, 'Instrument Table'!$B:$B, 'Instrument Table'!$A:$A, "")</f>
        <v>64</v>
      </c>
      <c r="G3855" s="1" t="str">
        <f>TEXT(IF($B3855 = "Retail Item", IF((ROW($A3855) - 4504 - _xlfn.XMATCH($C3855, $C$4506:$C$5005, 0, 1)) &lt;= VLOOKUP($C3855, 'Instrument Table'!$B:$D, 3, FALSE), ROW($A3855) - 4504 - _xlfn.XMATCH($C3855, $C$4506:$C$5005, 0, 1), 0), 0), "00")</f>
        <v>00</v>
      </c>
      <c r="H3855" s="1" t="str">
        <f t="shared" si="361"/>
        <v>049</v>
      </c>
      <c r="I3855" s="1" t="str">
        <f t="shared" si="362"/>
        <v>16400-049</v>
      </c>
      <c r="J3855" s="1" t="str">
        <f t="shared" si="363"/>
        <v>Musical accessories production item #049</v>
      </c>
      <c r="K3855" s="1" t="str">
        <f>IF(SUM(COUNTIFS(I:I, I3855)) &gt; 1, "DUPLICATE", "UNIQUE")</f>
        <v>UNIQUE</v>
      </c>
      <c r="L3855" s="18">
        <v>1</v>
      </c>
      <c r="M3855" s="28">
        <v>65</v>
      </c>
      <c r="N3855" s="6">
        <v>225</v>
      </c>
      <c r="O3855" s="30">
        <f t="shared" si="364"/>
        <v>65</v>
      </c>
      <c r="P3855" s="30">
        <f t="shared" si="365"/>
        <v>14625</v>
      </c>
      <c r="Q3855" s="1">
        <f>COUNTIFS($P:$P, "&gt;" &amp; $P3855) + 1</f>
        <v>1375</v>
      </c>
      <c r="R3855" s="63">
        <f>(COUNTIFS($P:$P, "&gt;" &amp; $P3855) + 1) / (COUNTA($I:$I) - 1)</f>
        <v>0.27500000000000002</v>
      </c>
      <c r="S3855" s="23">
        <f>SUMIFS($P:$P, $Q:$Q, "&lt;" &amp; $Q3855)</f>
        <v>173113756</v>
      </c>
    </row>
    <row r="3856" spans="1:19" x14ac:dyDescent="0.25">
      <c r="A3856" s="1">
        <v>3851</v>
      </c>
      <c r="B3856" s="1" t="s">
        <v>2</v>
      </c>
      <c r="C3856" s="1" t="str">
        <f>IF($B3856 = "Production Item", _xlfn.XLOOKUP($A3856, 'Instrument Table'!$J:$J, 'Instrument Table'!$B:$B, $C3855), IF($B3856 = "Service Item", _xlfn.XLOOKUP($A3856, 'Instrument Table'!$I:$I, 'Instrument Table'!$B:$B, $C3855), _xlfn.XLOOKUP($A3856, 'Instrument Table'!$H:$H, 'Instrument Table'!$B:$B, $C3855)))</f>
        <v>Musical Accessories</v>
      </c>
      <c r="D3856" s="1" t="str">
        <f>VLOOKUP($C3856, 'Instrument Table'!$B:$C, 2, FALSE)</f>
        <v>Other</v>
      </c>
      <c r="E3856" s="1">
        <f t="shared" si="360"/>
        <v>1</v>
      </c>
      <c r="F3856" s="1">
        <f>_xlfn.XLOOKUP($C3856, 'Instrument Table'!$B:$B, 'Instrument Table'!$A:$A, "")</f>
        <v>64</v>
      </c>
      <c r="G3856" s="1" t="str">
        <f>TEXT(IF($B3856 = "Retail Item", IF((ROW($A3856) - 4504 - _xlfn.XMATCH($C3856, $C$4506:$C$5005, 0, 1)) &lt;= VLOOKUP($C3856, 'Instrument Table'!$B:$D, 3, FALSE), ROW($A3856) - 4504 - _xlfn.XMATCH($C3856, $C$4506:$C$5005, 0, 1), 0), 0), "00")</f>
        <v>00</v>
      </c>
      <c r="H3856" s="1" t="str">
        <f t="shared" si="361"/>
        <v>050</v>
      </c>
      <c r="I3856" s="1" t="str">
        <f t="shared" si="362"/>
        <v>16400-050</v>
      </c>
      <c r="J3856" s="1" t="str">
        <f t="shared" si="363"/>
        <v>Musical accessories production item #050</v>
      </c>
      <c r="K3856" s="1" t="str">
        <f>IF(SUM(COUNTIFS(I:I, I3856)) &gt; 1, "DUPLICATE", "UNIQUE")</f>
        <v>UNIQUE</v>
      </c>
      <c r="L3856" s="18">
        <v>1</v>
      </c>
      <c r="M3856" s="28">
        <v>59</v>
      </c>
      <c r="N3856" s="6">
        <v>121</v>
      </c>
      <c r="O3856" s="30">
        <f t="shared" si="364"/>
        <v>59</v>
      </c>
      <c r="P3856" s="30">
        <f t="shared" si="365"/>
        <v>7139</v>
      </c>
      <c r="Q3856" s="1">
        <f>COUNTIFS($P:$P, "&gt;" &amp; $P3856) + 1</f>
        <v>2122</v>
      </c>
      <c r="R3856" s="63">
        <f>(COUNTIFS($P:$P, "&gt;" &amp; $P3856) + 1) / (COUNTA($I:$I) - 1)</f>
        <v>0.4244</v>
      </c>
      <c r="S3856" s="23">
        <f>SUMIFS($P:$P, $Q:$Q, "&lt;" &amp; $Q3856)</f>
        <v>180917621</v>
      </c>
    </row>
    <row r="3857" spans="1:19" x14ac:dyDescent="0.25">
      <c r="A3857" s="1">
        <v>3852</v>
      </c>
      <c r="B3857" s="1" t="s">
        <v>2</v>
      </c>
      <c r="C3857" s="1" t="str">
        <f>IF($B3857 = "Production Item", _xlfn.XLOOKUP($A3857, 'Instrument Table'!$J:$J, 'Instrument Table'!$B:$B, $C3856), IF($B3857 = "Service Item", _xlfn.XLOOKUP($A3857, 'Instrument Table'!$I:$I, 'Instrument Table'!$B:$B, $C3856), _xlfn.XLOOKUP($A3857, 'Instrument Table'!$H:$H, 'Instrument Table'!$B:$B, $C3856)))</f>
        <v>Musical Accessories</v>
      </c>
      <c r="D3857" s="1" t="str">
        <f>VLOOKUP($C3857, 'Instrument Table'!$B:$C, 2, FALSE)</f>
        <v>Other</v>
      </c>
      <c r="E3857" s="1">
        <f t="shared" si="360"/>
        <v>1</v>
      </c>
      <c r="F3857" s="1">
        <f>_xlfn.XLOOKUP($C3857, 'Instrument Table'!$B:$B, 'Instrument Table'!$A:$A, "")</f>
        <v>64</v>
      </c>
      <c r="G3857" s="1" t="str">
        <f>TEXT(IF($B3857 = "Retail Item", IF((ROW($A3857) - 4504 - _xlfn.XMATCH($C3857, $C$4506:$C$5005, 0, 1)) &lt;= VLOOKUP($C3857, 'Instrument Table'!$B:$D, 3, FALSE), ROW($A3857) - 4504 - _xlfn.XMATCH($C3857, $C$4506:$C$5005, 0, 1), 0), 0), "00")</f>
        <v>00</v>
      </c>
      <c r="H3857" s="1" t="str">
        <f t="shared" si="361"/>
        <v>051</v>
      </c>
      <c r="I3857" s="1" t="str">
        <f t="shared" si="362"/>
        <v>16400-051</v>
      </c>
      <c r="J3857" s="1" t="str">
        <f t="shared" si="363"/>
        <v>Musical accessories production item #051</v>
      </c>
      <c r="K3857" s="1" t="str">
        <f>IF(SUM(COUNTIFS(I:I, I3857)) &gt; 1, "DUPLICATE", "UNIQUE")</f>
        <v>UNIQUE</v>
      </c>
      <c r="L3857" s="18">
        <v>1</v>
      </c>
      <c r="M3857" s="28">
        <v>51</v>
      </c>
      <c r="N3857" s="6">
        <v>225</v>
      </c>
      <c r="O3857" s="30">
        <f t="shared" si="364"/>
        <v>51</v>
      </c>
      <c r="P3857" s="30">
        <f t="shared" si="365"/>
        <v>11475</v>
      </c>
      <c r="Q3857" s="1">
        <f>COUNTIFS($P:$P, "&gt;" &amp; $P3857) + 1</f>
        <v>1643</v>
      </c>
      <c r="R3857" s="63">
        <f>(COUNTIFS($P:$P, "&gt;" &amp; $P3857) + 1) / (COUNTA($I:$I) - 1)</f>
        <v>0.3286</v>
      </c>
      <c r="S3857" s="23">
        <f>SUMIFS($P:$P, $Q:$Q, "&lt;" &amp; $Q3857)</f>
        <v>176578082</v>
      </c>
    </row>
    <row r="3858" spans="1:19" x14ac:dyDescent="0.25">
      <c r="A3858" s="1">
        <v>3853</v>
      </c>
      <c r="B3858" s="1" t="s">
        <v>2</v>
      </c>
      <c r="C3858" s="1" t="str">
        <f>IF($B3858 = "Production Item", _xlfn.XLOOKUP($A3858, 'Instrument Table'!$J:$J, 'Instrument Table'!$B:$B, $C3857), IF($B3858 = "Service Item", _xlfn.XLOOKUP($A3858, 'Instrument Table'!$I:$I, 'Instrument Table'!$B:$B, $C3857), _xlfn.XLOOKUP($A3858, 'Instrument Table'!$H:$H, 'Instrument Table'!$B:$B, $C3857)))</f>
        <v>Musical Accessories</v>
      </c>
      <c r="D3858" s="1" t="str">
        <f>VLOOKUP($C3858, 'Instrument Table'!$B:$C, 2, FALSE)</f>
        <v>Other</v>
      </c>
      <c r="E3858" s="1">
        <f t="shared" si="360"/>
        <v>1</v>
      </c>
      <c r="F3858" s="1">
        <f>_xlfn.XLOOKUP($C3858, 'Instrument Table'!$B:$B, 'Instrument Table'!$A:$A, "")</f>
        <v>64</v>
      </c>
      <c r="G3858" s="1" t="str">
        <f>TEXT(IF($B3858 = "Retail Item", IF((ROW($A3858) - 4504 - _xlfn.XMATCH($C3858, $C$4506:$C$5005, 0, 1)) &lt;= VLOOKUP($C3858, 'Instrument Table'!$B:$D, 3, FALSE), ROW($A3858) - 4504 - _xlfn.XMATCH($C3858, $C$4506:$C$5005, 0, 1), 0), 0), "00")</f>
        <v>00</v>
      </c>
      <c r="H3858" s="1" t="str">
        <f t="shared" si="361"/>
        <v>052</v>
      </c>
      <c r="I3858" s="1" t="str">
        <f t="shared" si="362"/>
        <v>16400-052</v>
      </c>
      <c r="J3858" s="1" t="str">
        <f t="shared" si="363"/>
        <v>Musical accessories production item #052</v>
      </c>
      <c r="K3858" s="1" t="str">
        <f>IF(SUM(COUNTIFS(I:I, I3858)) &gt; 1, "DUPLICATE", "UNIQUE")</f>
        <v>UNIQUE</v>
      </c>
      <c r="L3858" s="18">
        <v>16</v>
      </c>
      <c r="M3858" s="28">
        <v>12</v>
      </c>
      <c r="N3858" s="6">
        <v>9</v>
      </c>
      <c r="O3858" s="30">
        <f t="shared" si="364"/>
        <v>192</v>
      </c>
      <c r="P3858" s="30">
        <f t="shared" si="365"/>
        <v>108</v>
      </c>
      <c r="Q3858" s="1">
        <f>COUNTIFS($P:$P, "&gt;" &amp; $P3858) + 1</f>
        <v>4438</v>
      </c>
      <c r="R3858" s="63">
        <f>(COUNTIFS($P:$P, "&gt;" &amp; $P3858) + 1) / (COUNTA($I:$I) - 1)</f>
        <v>0.88759999999999994</v>
      </c>
      <c r="S3858" s="23">
        <f>SUMIFS($P:$P, $Q:$Q, "&lt;" &amp; $Q3858)</f>
        <v>186530920</v>
      </c>
    </row>
    <row r="3859" spans="1:19" x14ac:dyDescent="0.25">
      <c r="A3859" s="1">
        <v>3854</v>
      </c>
      <c r="B3859" s="1" t="s">
        <v>2</v>
      </c>
      <c r="C3859" s="1" t="str">
        <f>IF($B3859 = "Production Item", _xlfn.XLOOKUP($A3859, 'Instrument Table'!$J:$J, 'Instrument Table'!$B:$B, $C3858), IF($B3859 = "Service Item", _xlfn.XLOOKUP($A3859, 'Instrument Table'!$I:$I, 'Instrument Table'!$B:$B, $C3858), _xlfn.XLOOKUP($A3859, 'Instrument Table'!$H:$H, 'Instrument Table'!$B:$B, $C3858)))</f>
        <v>Musical Accessories</v>
      </c>
      <c r="D3859" s="1" t="str">
        <f>VLOOKUP($C3859, 'Instrument Table'!$B:$C, 2, FALSE)</f>
        <v>Other</v>
      </c>
      <c r="E3859" s="1">
        <f t="shared" si="360"/>
        <v>1</v>
      </c>
      <c r="F3859" s="1">
        <f>_xlfn.XLOOKUP($C3859, 'Instrument Table'!$B:$B, 'Instrument Table'!$A:$A, "")</f>
        <v>64</v>
      </c>
      <c r="G3859" s="1" t="str">
        <f>TEXT(IF($B3859 = "Retail Item", IF((ROW($A3859) - 4504 - _xlfn.XMATCH($C3859, $C$4506:$C$5005, 0, 1)) &lt;= VLOOKUP($C3859, 'Instrument Table'!$B:$D, 3, FALSE), ROW($A3859) - 4504 - _xlfn.XMATCH($C3859, $C$4506:$C$5005, 0, 1), 0), 0), "00")</f>
        <v>00</v>
      </c>
      <c r="H3859" s="1" t="str">
        <f t="shared" si="361"/>
        <v>053</v>
      </c>
      <c r="I3859" s="1" t="str">
        <f t="shared" si="362"/>
        <v>16400-053</v>
      </c>
      <c r="J3859" s="1" t="str">
        <f t="shared" si="363"/>
        <v>Musical accessories production item #053</v>
      </c>
      <c r="K3859" s="1" t="str">
        <f>IF(SUM(COUNTIFS(I:I, I3859)) &gt; 1, "DUPLICATE", "UNIQUE")</f>
        <v>UNIQUE</v>
      </c>
      <c r="L3859" s="18">
        <v>1</v>
      </c>
      <c r="M3859" s="28">
        <v>49</v>
      </c>
      <c r="N3859" s="6">
        <v>100</v>
      </c>
      <c r="O3859" s="30">
        <f t="shared" si="364"/>
        <v>49</v>
      </c>
      <c r="P3859" s="30">
        <f t="shared" si="365"/>
        <v>4900</v>
      </c>
      <c r="Q3859" s="1">
        <f>COUNTIFS($P:$P, "&gt;" &amp; $P3859) + 1</f>
        <v>2465</v>
      </c>
      <c r="R3859" s="63">
        <f>(COUNTIFS($P:$P, "&gt;" &amp; $P3859) + 1) / (COUNTA($I:$I) - 1)</f>
        <v>0.49299999999999999</v>
      </c>
      <c r="S3859" s="23">
        <f>SUMIFS($P:$P, $Q:$Q, "&lt;" &amp; $Q3859)</f>
        <v>182946522</v>
      </c>
    </row>
    <row r="3860" spans="1:19" x14ac:dyDescent="0.25">
      <c r="A3860" s="1">
        <v>3855</v>
      </c>
      <c r="B3860" s="1" t="s">
        <v>2</v>
      </c>
      <c r="C3860" s="1" t="str">
        <f>IF($B3860 = "Production Item", _xlfn.XLOOKUP($A3860, 'Instrument Table'!$J:$J, 'Instrument Table'!$B:$B, $C3859), IF($B3860 = "Service Item", _xlfn.XLOOKUP($A3860, 'Instrument Table'!$I:$I, 'Instrument Table'!$B:$B, $C3859), _xlfn.XLOOKUP($A3860, 'Instrument Table'!$H:$H, 'Instrument Table'!$B:$B, $C3859)))</f>
        <v>Musical Accessories</v>
      </c>
      <c r="D3860" s="1" t="str">
        <f>VLOOKUP($C3860, 'Instrument Table'!$B:$C, 2, FALSE)</f>
        <v>Other</v>
      </c>
      <c r="E3860" s="1">
        <f t="shared" si="360"/>
        <v>1</v>
      </c>
      <c r="F3860" s="1">
        <f>_xlfn.XLOOKUP($C3860, 'Instrument Table'!$B:$B, 'Instrument Table'!$A:$A, "")</f>
        <v>64</v>
      </c>
      <c r="G3860" s="1" t="str">
        <f>TEXT(IF($B3860 = "Retail Item", IF((ROW($A3860) - 4504 - _xlfn.XMATCH($C3860, $C$4506:$C$5005, 0, 1)) &lt;= VLOOKUP($C3860, 'Instrument Table'!$B:$D, 3, FALSE), ROW($A3860) - 4504 - _xlfn.XMATCH($C3860, $C$4506:$C$5005, 0, 1), 0), 0), "00")</f>
        <v>00</v>
      </c>
      <c r="H3860" s="1" t="str">
        <f t="shared" si="361"/>
        <v>054</v>
      </c>
      <c r="I3860" s="1" t="str">
        <f t="shared" si="362"/>
        <v>16400-054</v>
      </c>
      <c r="J3860" s="1" t="str">
        <f t="shared" si="363"/>
        <v>Musical accessories production item #054</v>
      </c>
      <c r="K3860" s="1" t="str">
        <f>IF(SUM(COUNTIFS(I:I, I3860)) &gt; 1, "DUPLICATE", "UNIQUE")</f>
        <v>UNIQUE</v>
      </c>
      <c r="L3860" s="18">
        <v>0</v>
      </c>
      <c r="M3860" s="28">
        <v>49</v>
      </c>
      <c r="N3860" s="6">
        <v>9</v>
      </c>
      <c r="O3860" s="30">
        <f t="shared" si="364"/>
        <v>0</v>
      </c>
      <c r="P3860" s="30">
        <f t="shared" si="365"/>
        <v>441</v>
      </c>
      <c r="Q3860" s="1">
        <f>COUNTIFS($P:$P, "&gt;" &amp; $P3860) + 1</f>
        <v>4066</v>
      </c>
      <c r="R3860" s="63">
        <f>(COUNTIFS($P:$P, "&gt;" &amp; $P3860) + 1) / (COUNTA($I:$I) - 1)</f>
        <v>0.81320000000000003</v>
      </c>
      <c r="S3860" s="23">
        <f>SUMIFS($P:$P, $Q:$Q, "&lt;" &amp; $Q3860)</f>
        <v>186430642</v>
      </c>
    </row>
    <row r="3861" spans="1:19" x14ac:dyDescent="0.25">
      <c r="A3861" s="1">
        <v>3856</v>
      </c>
      <c r="B3861" s="1" t="s">
        <v>2</v>
      </c>
      <c r="C3861" s="1" t="str">
        <f>IF($B3861 = "Production Item", _xlfn.XLOOKUP($A3861, 'Instrument Table'!$J:$J, 'Instrument Table'!$B:$B, $C3860), IF($B3861 = "Service Item", _xlfn.XLOOKUP($A3861, 'Instrument Table'!$I:$I, 'Instrument Table'!$B:$B, $C3860), _xlfn.XLOOKUP($A3861, 'Instrument Table'!$H:$H, 'Instrument Table'!$B:$B, $C3860)))</f>
        <v>Musical Accessories</v>
      </c>
      <c r="D3861" s="1" t="str">
        <f>VLOOKUP($C3861, 'Instrument Table'!$B:$C, 2, FALSE)</f>
        <v>Other</v>
      </c>
      <c r="E3861" s="1">
        <f t="shared" si="360"/>
        <v>1</v>
      </c>
      <c r="F3861" s="1">
        <f>_xlfn.XLOOKUP($C3861, 'Instrument Table'!$B:$B, 'Instrument Table'!$A:$A, "")</f>
        <v>64</v>
      </c>
      <c r="G3861" s="1" t="str">
        <f>TEXT(IF($B3861 = "Retail Item", IF((ROW($A3861) - 4504 - _xlfn.XMATCH($C3861, $C$4506:$C$5005, 0, 1)) &lt;= VLOOKUP($C3861, 'Instrument Table'!$B:$D, 3, FALSE), ROW($A3861) - 4504 - _xlfn.XMATCH($C3861, $C$4506:$C$5005, 0, 1), 0), 0), "00")</f>
        <v>00</v>
      </c>
      <c r="H3861" s="1" t="str">
        <f t="shared" si="361"/>
        <v>055</v>
      </c>
      <c r="I3861" s="1" t="str">
        <f t="shared" si="362"/>
        <v>16400-055</v>
      </c>
      <c r="J3861" s="1" t="str">
        <f t="shared" si="363"/>
        <v>Musical accessories production item #055</v>
      </c>
      <c r="K3861" s="1" t="str">
        <f>IF(SUM(COUNTIFS(I:I, I3861)) &gt; 1, "DUPLICATE", "UNIQUE")</f>
        <v>UNIQUE</v>
      </c>
      <c r="L3861" s="18">
        <v>32</v>
      </c>
      <c r="M3861" s="28">
        <v>71</v>
      </c>
      <c r="N3861" s="6">
        <v>324</v>
      </c>
      <c r="O3861" s="30">
        <f t="shared" si="364"/>
        <v>2272</v>
      </c>
      <c r="P3861" s="30">
        <f t="shared" si="365"/>
        <v>23004</v>
      </c>
      <c r="Q3861" s="1">
        <f>COUNTIFS($P:$P, "&gt;" &amp; $P3861) + 1</f>
        <v>903</v>
      </c>
      <c r="R3861" s="63">
        <f>(COUNTIFS($P:$P, "&gt;" &amp; $P3861) + 1) / (COUNTA($I:$I) - 1)</f>
        <v>0.18060000000000001</v>
      </c>
      <c r="S3861" s="23">
        <f>SUMIFS($P:$P, $Q:$Q, "&lt;" &amp; $Q3861)</f>
        <v>164350227</v>
      </c>
    </row>
    <row r="3862" spans="1:19" x14ac:dyDescent="0.25">
      <c r="A3862" s="1">
        <v>3857</v>
      </c>
      <c r="B3862" s="1" t="s">
        <v>2</v>
      </c>
      <c r="C3862" s="1" t="str">
        <f>IF($B3862 = "Production Item", _xlfn.XLOOKUP($A3862, 'Instrument Table'!$J:$J, 'Instrument Table'!$B:$B, $C3861), IF($B3862 = "Service Item", _xlfn.XLOOKUP($A3862, 'Instrument Table'!$I:$I, 'Instrument Table'!$B:$B, $C3861), _xlfn.XLOOKUP($A3862, 'Instrument Table'!$H:$H, 'Instrument Table'!$B:$B, $C3861)))</f>
        <v>Musical Accessories</v>
      </c>
      <c r="D3862" s="1" t="str">
        <f>VLOOKUP($C3862, 'Instrument Table'!$B:$C, 2, FALSE)</f>
        <v>Other</v>
      </c>
      <c r="E3862" s="1">
        <f t="shared" si="360"/>
        <v>1</v>
      </c>
      <c r="F3862" s="1">
        <f>_xlfn.XLOOKUP($C3862, 'Instrument Table'!$B:$B, 'Instrument Table'!$A:$A, "")</f>
        <v>64</v>
      </c>
      <c r="G3862" s="1" t="str">
        <f>TEXT(IF($B3862 = "Retail Item", IF((ROW($A3862) - 4504 - _xlfn.XMATCH($C3862, $C$4506:$C$5005, 0, 1)) &lt;= VLOOKUP($C3862, 'Instrument Table'!$B:$D, 3, FALSE), ROW($A3862) - 4504 - _xlfn.XMATCH($C3862, $C$4506:$C$5005, 0, 1), 0), 0), "00")</f>
        <v>00</v>
      </c>
      <c r="H3862" s="1" t="str">
        <f t="shared" si="361"/>
        <v>056</v>
      </c>
      <c r="I3862" s="1" t="str">
        <f t="shared" si="362"/>
        <v>16400-056</v>
      </c>
      <c r="J3862" s="1" t="str">
        <f t="shared" si="363"/>
        <v>Musical accessories production item #056</v>
      </c>
      <c r="K3862" s="1" t="str">
        <f>IF(SUM(COUNTIFS(I:I, I3862)) &gt; 1, "DUPLICATE", "UNIQUE")</f>
        <v>UNIQUE</v>
      </c>
      <c r="L3862" s="18">
        <v>0</v>
      </c>
      <c r="M3862" s="28">
        <v>13</v>
      </c>
      <c r="N3862" s="6">
        <v>121</v>
      </c>
      <c r="O3862" s="30">
        <f t="shared" si="364"/>
        <v>0</v>
      </c>
      <c r="P3862" s="30">
        <f t="shared" si="365"/>
        <v>1573</v>
      </c>
      <c r="Q3862" s="1">
        <f>COUNTIFS($P:$P, "&gt;" &amp; $P3862) + 1</f>
        <v>3430</v>
      </c>
      <c r="R3862" s="63">
        <f>(COUNTIFS($P:$P, "&gt;" &amp; $P3862) + 1) / (COUNTA($I:$I) - 1)</f>
        <v>0.68600000000000005</v>
      </c>
      <c r="S3862" s="23">
        <f>SUMIFS($P:$P, $Q:$Q, "&lt;" &amp; $Q3862)</f>
        <v>185832729</v>
      </c>
    </row>
    <row r="3863" spans="1:19" x14ac:dyDescent="0.25">
      <c r="A3863" s="1">
        <v>3858</v>
      </c>
      <c r="B3863" s="1" t="s">
        <v>2</v>
      </c>
      <c r="C3863" s="1" t="str">
        <f>IF($B3863 = "Production Item", _xlfn.XLOOKUP($A3863, 'Instrument Table'!$J:$J, 'Instrument Table'!$B:$B, $C3862), IF($B3863 = "Service Item", _xlfn.XLOOKUP($A3863, 'Instrument Table'!$I:$I, 'Instrument Table'!$B:$B, $C3862), _xlfn.XLOOKUP($A3863, 'Instrument Table'!$H:$H, 'Instrument Table'!$B:$B, $C3862)))</f>
        <v>Musical Accessories</v>
      </c>
      <c r="D3863" s="1" t="str">
        <f>VLOOKUP($C3863, 'Instrument Table'!$B:$C, 2, FALSE)</f>
        <v>Other</v>
      </c>
      <c r="E3863" s="1">
        <f t="shared" si="360"/>
        <v>1</v>
      </c>
      <c r="F3863" s="1">
        <f>_xlfn.XLOOKUP($C3863, 'Instrument Table'!$B:$B, 'Instrument Table'!$A:$A, "")</f>
        <v>64</v>
      </c>
      <c r="G3863" s="1" t="str">
        <f>TEXT(IF($B3863 = "Retail Item", IF((ROW($A3863) - 4504 - _xlfn.XMATCH($C3863, $C$4506:$C$5005, 0, 1)) &lt;= VLOOKUP($C3863, 'Instrument Table'!$B:$D, 3, FALSE), ROW($A3863) - 4504 - _xlfn.XMATCH($C3863, $C$4506:$C$5005, 0, 1), 0), 0), "00")</f>
        <v>00</v>
      </c>
      <c r="H3863" s="1" t="str">
        <f t="shared" si="361"/>
        <v>057</v>
      </c>
      <c r="I3863" s="1" t="str">
        <f t="shared" si="362"/>
        <v>16400-057</v>
      </c>
      <c r="J3863" s="1" t="str">
        <f t="shared" si="363"/>
        <v>Musical accessories production item #057</v>
      </c>
      <c r="K3863" s="1" t="str">
        <f>IF(SUM(COUNTIFS(I:I, I3863)) &gt; 1, "DUPLICATE", "UNIQUE")</f>
        <v>UNIQUE</v>
      </c>
      <c r="L3863" s="18">
        <v>2</v>
      </c>
      <c r="M3863" s="28">
        <v>69</v>
      </c>
      <c r="N3863" s="6">
        <v>36</v>
      </c>
      <c r="O3863" s="30">
        <f t="shared" si="364"/>
        <v>138</v>
      </c>
      <c r="P3863" s="30">
        <f t="shared" si="365"/>
        <v>2484</v>
      </c>
      <c r="Q3863" s="1">
        <f>COUNTIFS($P:$P, "&gt;" &amp; $P3863) + 1</f>
        <v>3061</v>
      </c>
      <c r="R3863" s="63">
        <f>(COUNTIFS($P:$P, "&gt;" &amp; $P3863) + 1) / (COUNTA($I:$I) - 1)</f>
        <v>0.61219999999999997</v>
      </c>
      <c r="S3863" s="23">
        <f>SUMIFS($P:$P, $Q:$Q, "&lt;" &amp; $Q3863)</f>
        <v>185088014</v>
      </c>
    </row>
    <row r="3864" spans="1:19" x14ac:dyDescent="0.25">
      <c r="A3864" s="1">
        <v>3859</v>
      </c>
      <c r="B3864" s="1" t="s">
        <v>2</v>
      </c>
      <c r="C3864" s="1" t="str">
        <f>IF($B3864 = "Production Item", _xlfn.XLOOKUP($A3864, 'Instrument Table'!$J:$J, 'Instrument Table'!$B:$B, $C3863), IF($B3864 = "Service Item", _xlfn.XLOOKUP($A3864, 'Instrument Table'!$I:$I, 'Instrument Table'!$B:$B, $C3863), _xlfn.XLOOKUP($A3864, 'Instrument Table'!$H:$H, 'Instrument Table'!$B:$B, $C3863)))</f>
        <v>Musical Accessories</v>
      </c>
      <c r="D3864" s="1" t="str">
        <f>VLOOKUP($C3864, 'Instrument Table'!$B:$C, 2, FALSE)</f>
        <v>Other</v>
      </c>
      <c r="E3864" s="1">
        <f t="shared" si="360"/>
        <v>1</v>
      </c>
      <c r="F3864" s="1">
        <f>_xlfn.XLOOKUP($C3864, 'Instrument Table'!$B:$B, 'Instrument Table'!$A:$A, "")</f>
        <v>64</v>
      </c>
      <c r="G3864" s="1" t="str">
        <f>TEXT(IF($B3864 = "Retail Item", IF((ROW($A3864) - 4504 - _xlfn.XMATCH($C3864, $C$4506:$C$5005, 0, 1)) &lt;= VLOOKUP($C3864, 'Instrument Table'!$B:$D, 3, FALSE), ROW($A3864) - 4504 - _xlfn.XMATCH($C3864, $C$4506:$C$5005, 0, 1), 0), 0), "00")</f>
        <v>00</v>
      </c>
      <c r="H3864" s="1" t="str">
        <f t="shared" si="361"/>
        <v>058</v>
      </c>
      <c r="I3864" s="1" t="str">
        <f t="shared" si="362"/>
        <v>16400-058</v>
      </c>
      <c r="J3864" s="1" t="str">
        <f t="shared" si="363"/>
        <v>Musical accessories production item #058</v>
      </c>
      <c r="K3864" s="1" t="str">
        <f>IF(SUM(COUNTIFS(I:I, I3864)) &gt; 1, "DUPLICATE", "UNIQUE")</f>
        <v>UNIQUE</v>
      </c>
      <c r="L3864" s="18">
        <v>0</v>
      </c>
      <c r="M3864" s="28">
        <v>34</v>
      </c>
      <c r="N3864" s="6">
        <v>100</v>
      </c>
      <c r="O3864" s="30">
        <f t="shared" si="364"/>
        <v>0</v>
      </c>
      <c r="P3864" s="30">
        <f t="shared" si="365"/>
        <v>3400</v>
      </c>
      <c r="Q3864" s="1">
        <f>COUNTIFS($P:$P, "&gt;" &amp; $P3864) + 1</f>
        <v>2801</v>
      </c>
      <c r="R3864" s="63">
        <f>(COUNTIFS($P:$P, "&gt;" &amp; $P3864) + 1) / (COUNTA($I:$I) - 1)</f>
        <v>0.56020000000000003</v>
      </c>
      <c r="S3864" s="23">
        <f>SUMIFS($P:$P, $Q:$Q, "&lt;" &amp; $Q3864)</f>
        <v>184329315</v>
      </c>
    </row>
    <row r="3865" spans="1:19" x14ac:dyDescent="0.25">
      <c r="A3865" s="1">
        <v>3860</v>
      </c>
      <c r="B3865" s="1" t="s">
        <v>2</v>
      </c>
      <c r="C3865" s="1" t="str">
        <f>IF($B3865 = "Production Item", _xlfn.XLOOKUP($A3865, 'Instrument Table'!$J:$J, 'Instrument Table'!$B:$B, $C3864), IF($B3865 = "Service Item", _xlfn.XLOOKUP($A3865, 'Instrument Table'!$I:$I, 'Instrument Table'!$B:$B, $C3864), _xlfn.XLOOKUP($A3865, 'Instrument Table'!$H:$H, 'Instrument Table'!$B:$B, $C3864)))</f>
        <v>Musical Accessories</v>
      </c>
      <c r="D3865" s="1" t="str">
        <f>VLOOKUP($C3865, 'Instrument Table'!$B:$C, 2, FALSE)</f>
        <v>Other</v>
      </c>
      <c r="E3865" s="1">
        <f t="shared" si="360"/>
        <v>1</v>
      </c>
      <c r="F3865" s="1">
        <f>_xlfn.XLOOKUP($C3865, 'Instrument Table'!$B:$B, 'Instrument Table'!$A:$A, "")</f>
        <v>64</v>
      </c>
      <c r="G3865" s="1" t="str">
        <f>TEXT(IF($B3865 = "Retail Item", IF((ROW($A3865) - 4504 - _xlfn.XMATCH($C3865, $C$4506:$C$5005, 0, 1)) &lt;= VLOOKUP($C3865, 'Instrument Table'!$B:$D, 3, FALSE), ROW($A3865) - 4504 - _xlfn.XMATCH($C3865, $C$4506:$C$5005, 0, 1), 0), 0), "00")</f>
        <v>00</v>
      </c>
      <c r="H3865" s="1" t="str">
        <f t="shared" si="361"/>
        <v>059</v>
      </c>
      <c r="I3865" s="1" t="str">
        <f t="shared" si="362"/>
        <v>16400-059</v>
      </c>
      <c r="J3865" s="1" t="str">
        <f t="shared" si="363"/>
        <v>Musical accessories production item #059</v>
      </c>
      <c r="K3865" s="1" t="str">
        <f>IF(SUM(COUNTIFS(I:I, I3865)) &gt; 1, "DUPLICATE", "UNIQUE")</f>
        <v>UNIQUE</v>
      </c>
      <c r="L3865" s="18">
        <v>1</v>
      </c>
      <c r="M3865" s="28">
        <v>36</v>
      </c>
      <c r="N3865" s="6">
        <v>225</v>
      </c>
      <c r="O3865" s="30">
        <f t="shared" si="364"/>
        <v>36</v>
      </c>
      <c r="P3865" s="30">
        <f t="shared" si="365"/>
        <v>8100</v>
      </c>
      <c r="Q3865" s="1">
        <f>COUNTIFS($P:$P, "&gt;" &amp; $P3865) + 1</f>
        <v>1974</v>
      </c>
      <c r="R3865" s="63">
        <f>(COUNTIFS($P:$P, "&gt;" &amp; $P3865) + 1) / (COUNTA($I:$I) - 1)</f>
        <v>0.39479999999999998</v>
      </c>
      <c r="S3865" s="23">
        <f>SUMIFS($P:$P, $Q:$Q, "&lt;" &amp; $Q3865)</f>
        <v>179788102</v>
      </c>
    </row>
    <row r="3866" spans="1:19" x14ac:dyDescent="0.25">
      <c r="A3866" s="1">
        <v>3861</v>
      </c>
      <c r="B3866" s="1" t="s">
        <v>2</v>
      </c>
      <c r="C3866" s="1" t="str">
        <f>IF($B3866 = "Production Item", _xlfn.XLOOKUP($A3866, 'Instrument Table'!$J:$J, 'Instrument Table'!$B:$B, $C3865), IF($B3866 = "Service Item", _xlfn.XLOOKUP($A3866, 'Instrument Table'!$I:$I, 'Instrument Table'!$B:$B, $C3865), _xlfn.XLOOKUP($A3866, 'Instrument Table'!$H:$H, 'Instrument Table'!$B:$B, $C3865)))</f>
        <v>Musical Accessories</v>
      </c>
      <c r="D3866" s="1" t="str">
        <f>VLOOKUP($C3866, 'Instrument Table'!$B:$C, 2, FALSE)</f>
        <v>Other</v>
      </c>
      <c r="E3866" s="1">
        <f t="shared" si="360"/>
        <v>1</v>
      </c>
      <c r="F3866" s="1">
        <f>_xlfn.XLOOKUP($C3866, 'Instrument Table'!$B:$B, 'Instrument Table'!$A:$A, "")</f>
        <v>64</v>
      </c>
      <c r="G3866" s="1" t="str">
        <f>TEXT(IF($B3866 = "Retail Item", IF((ROW($A3866) - 4504 - _xlfn.XMATCH($C3866, $C$4506:$C$5005, 0, 1)) &lt;= VLOOKUP($C3866, 'Instrument Table'!$B:$D, 3, FALSE), ROW($A3866) - 4504 - _xlfn.XMATCH($C3866, $C$4506:$C$5005, 0, 1), 0), 0), "00")</f>
        <v>00</v>
      </c>
      <c r="H3866" s="1" t="str">
        <f t="shared" si="361"/>
        <v>060</v>
      </c>
      <c r="I3866" s="1" t="str">
        <f t="shared" si="362"/>
        <v>16400-060</v>
      </c>
      <c r="J3866" s="1" t="str">
        <f t="shared" si="363"/>
        <v>Musical accessories production item #060</v>
      </c>
      <c r="K3866" s="1" t="str">
        <f>IF(SUM(COUNTIFS(I:I, I3866)) &gt; 1, "DUPLICATE", "UNIQUE")</f>
        <v>UNIQUE</v>
      </c>
      <c r="L3866" s="18">
        <v>1</v>
      </c>
      <c r="M3866" s="28">
        <v>77</v>
      </c>
      <c r="N3866" s="6">
        <v>361</v>
      </c>
      <c r="O3866" s="30">
        <f t="shared" si="364"/>
        <v>77</v>
      </c>
      <c r="P3866" s="30">
        <f t="shared" si="365"/>
        <v>27797</v>
      </c>
      <c r="Q3866" s="1">
        <f>COUNTIFS($P:$P, "&gt;" &amp; $P3866) + 1</f>
        <v>734</v>
      </c>
      <c r="R3866" s="63">
        <f>(COUNTIFS($P:$P, "&gt;" &amp; $P3866) + 1) / (COUNTA($I:$I) - 1)</f>
        <v>0.14680000000000001</v>
      </c>
      <c r="S3866" s="23">
        <f>SUMIFS($P:$P, $Q:$Q, "&lt;" &amp; $Q3866)</f>
        <v>160067458</v>
      </c>
    </row>
    <row r="3867" spans="1:19" x14ac:dyDescent="0.25">
      <c r="A3867" s="1">
        <v>3862</v>
      </c>
      <c r="B3867" s="1" t="s">
        <v>2</v>
      </c>
      <c r="C3867" s="1" t="str">
        <f>IF($B3867 = "Production Item", _xlfn.XLOOKUP($A3867, 'Instrument Table'!$J:$J, 'Instrument Table'!$B:$B, $C3866), IF($B3867 = "Service Item", _xlfn.XLOOKUP($A3867, 'Instrument Table'!$I:$I, 'Instrument Table'!$B:$B, $C3866), _xlfn.XLOOKUP($A3867, 'Instrument Table'!$H:$H, 'Instrument Table'!$B:$B, $C3866)))</f>
        <v>Musical Accessories</v>
      </c>
      <c r="D3867" s="1" t="str">
        <f>VLOOKUP($C3867, 'Instrument Table'!$B:$C, 2, FALSE)</f>
        <v>Other</v>
      </c>
      <c r="E3867" s="1">
        <f t="shared" si="360"/>
        <v>1</v>
      </c>
      <c r="F3867" s="1">
        <f>_xlfn.XLOOKUP($C3867, 'Instrument Table'!$B:$B, 'Instrument Table'!$A:$A, "")</f>
        <v>64</v>
      </c>
      <c r="G3867" s="1" t="str">
        <f>TEXT(IF($B3867 = "Retail Item", IF((ROW($A3867) - 4504 - _xlfn.XMATCH($C3867, $C$4506:$C$5005, 0, 1)) &lt;= VLOOKUP($C3867, 'Instrument Table'!$B:$D, 3, FALSE), ROW($A3867) - 4504 - _xlfn.XMATCH($C3867, $C$4506:$C$5005, 0, 1), 0), 0), "00")</f>
        <v>00</v>
      </c>
      <c r="H3867" s="1" t="str">
        <f t="shared" si="361"/>
        <v>061</v>
      </c>
      <c r="I3867" s="1" t="str">
        <f t="shared" si="362"/>
        <v>16400-061</v>
      </c>
      <c r="J3867" s="1" t="str">
        <f t="shared" si="363"/>
        <v>Musical accessories production item #061</v>
      </c>
      <c r="K3867" s="1" t="str">
        <f>IF(SUM(COUNTIFS(I:I, I3867)) &gt; 1, "DUPLICATE", "UNIQUE")</f>
        <v>UNIQUE</v>
      </c>
      <c r="L3867" s="18">
        <v>0</v>
      </c>
      <c r="M3867" s="28">
        <v>20</v>
      </c>
      <c r="N3867" s="6">
        <v>4</v>
      </c>
      <c r="O3867" s="30">
        <f t="shared" si="364"/>
        <v>0</v>
      </c>
      <c r="P3867" s="30">
        <f t="shared" si="365"/>
        <v>80</v>
      </c>
      <c r="Q3867" s="1">
        <f>COUNTIFS($P:$P, "&gt;" &amp; $P3867) + 1</f>
        <v>4514</v>
      </c>
      <c r="R3867" s="63">
        <f>(COUNTIFS($P:$P, "&gt;" &amp; $P3867) + 1) / (COUNTA($I:$I) - 1)</f>
        <v>0.90280000000000005</v>
      </c>
      <c r="S3867" s="23">
        <f>SUMIFS($P:$P, $Q:$Q, "&lt;" &amp; $Q3867)</f>
        <v>186538002</v>
      </c>
    </row>
    <row r="3868" spans="1:19" x14ac:dyDescent="0.25">
      <c r="A3868" s="1">
        <v>3863</v>
      </c>
      <c r="B3868" s="1" t="s">
        <v>2</v>
      </c>
      <c r="C3868" s="1" t="str">
        <f>IF($B3868 = "Production Item", _xlfn.XLOOKUP($A3868, 'Instrument Table'!$J:$J, 'Instrument Table'!$B:$B, $C3867), IF($B3868 = "Service Item", _xlfn.XLOOKUP($A3868, 'Instrument Table'!$I:$I, 'Instrument Table'!$B:$B, $C3867), _xlfn.XLOOKUP($A3868, 'Instrument Table'!$H:$H, 'Instrument Table'!$B:$B, $C3867)))</f>
        <v>Musical Accessories</v>
      </c>
      <c r="D3868" s="1" t="str">
        <f>VLOOKUP($C3868, 'Instrument Table'!$B:$C, 2, FALSE)</f>
        <v>Other</v>
      </c>
      <c r="E3868" s="1">
        <f t="shared" si="360"/>
        <v>1</v>
      </c>
      <c r="F3868" s="1">
        <f>_xlfn.XLOOKUP($C3868, 'Instrument Table'!$B:$B, 'Instrument Table'!$A:$A, "")</f>
        <v>64</v>
      </c>
      <c r="G3868" s="1" t="str">
        <f>TEXT(IF($B3868 = "Retail Item", IF((ROW($A3868) - 4504 - _xlfn.XMATCH($C3868, $C$4506:$C$5005, 0, 1)) &lt;= VLOOKUP($C3868, 'Instrument Table'!$B:$D, 3, FALSE), ROW($A3868) - 4504 - _xlfn.XMATCH($C3868, $C$4506:$C$5005, 0, 1), 0), 0), "00")</f>
        <v>00</v>
      </c>
      <c r="H3868" s="1" t="str">
        <f t="shared" si="361"/>
        <v>062</v>
      </c>
      <c r="I3868" s="1" t="str">
        <f t="shared" si="362"/>
        <v>16400-062</v>
      </c>
      <c r="J3868" s="1" t="str">
        <f t="shared" si="363"/>
        <v>Musical accessories production item #062</v>
      </c>
      <c r="K3868" s="1" t="str">
        <f>IF(SUM(COUNTIFS(I:I, I3868)) &gt; 1, "DUPLICATE", "UNIQUE")</f>
        <v>UNIQUE</v>
      </c>
      <c r="L3868" s="18">
        <v>1</v>
      </c>
      <c r="M3868" s="28">
        <v>18</v>
      </c>
      <c r="N3868" s="6">
        <v>169</v>
      </c>
      <c r="O3868" s="30">
        <f t="shared" si="364"/>
        <v>18</v>
      </c>
      <c r="P3868" s="30">
        <f t="shared" si="365"/>
        <v>3042</v>
      </c>
      <c r="Q3868" s="1">
        <f>COUNTIFS($P:$P, "&gt;" &amp; $P3868) + 1</f>
        <v>2893</v>
      </c>
      <c r="R3868" s="63">
        <f>(COUNTIFS($P:$P, "&gt;" &amp; $P3868) + 1) / (COUNTA($I:$I) - 1)</f>
        <v>0.5786</v>
      </c>
      <c r="S3868" s="23">
        <f>SUMIFS($P:$P, $Q:$Q, "&lt;" &amp; $Q3868)</f>
        <v>184626973</v>
      </c>
    </row>
    <row r="3869" spans="1:19" x14ac:dyDescent="0.25">
      <c r="A3869" s="1">
        <v>3864</v>
      </c>
      <c r="B3869" s="1" t="s">
        <v>2</v>
      </c>
      <c r="C3869" s="1" t="str">
        <f>IF($B3869 = "Production Item", _xlfn.XLOOKUP($A3869, 'Instrument Table'!$J:$J, 'Instrument Table'!$B:$B, $C3868), IF($B3869 = "Service Item", _xlfn.XLOOKUP($A3869, 'Instrument Table'!$I:$I, 'Instrument Table'!$B:$B, $C3868), _xlfn.XLOOKUP($A3869, 'Instrument Table'!$H:$H, 'Instrument Table'!$B:$B, $C3868)))</f>
        <v>Musical Accessories</v>
      </c>
      <c r="D3869" s="1" t="str">
        <f>VLOOKUP($C3869, 'Instrument Table'!$B:$C, 2, FALSE)</f>
        <v>Other</v>
      </c>
      <c r="E3869" s="1">
        <f t="shared" si="360"/>
        <v>1</v>
      </c>
      <c r="F3869" s="1">
        <f>_xlfn.XLOOKUP($C3869, 'Instrument Table'!$B:$B, 'Instrument Table'!$A:$A, "")</f>
        <v>64</v>
      </c>
      <c r="G3869" s="1" t="str">
        <f>TEXT(IF($B3869 = "Retail Item", IF((ROW($A3869) - 4504 - _xlfn.XMATCH($C3869, $C$4506:$C$5005, 0, 1)) &lt;= VLOOKUP($C3869, 'Instrument Table'!$B:$D, 3, FALSE), ROW($A3869) - 4504 - _xlfn.XMATCH($C3869, $C$4506:$C$5005, 0, 1), 0), 0), "00")</f>
        <v>00</v>
      </c>
      <c r="H3869" s="1" t="str">
        <f t="shared" si="361"/>
        <v>063</v>
      </c>
      <c r="I3869" s="1" t="str">
        <f t="shared" si="362"/>
        <v>16400-063</v>
      </c>
      <c r="J3869" s="1" t="str">
        <f t="shared" si="363"/>
        <v>Musical accessories production item #063</v>
      </c>
      <c r="K3869" s="1" t="str">
        <f>IF(SUM(COUNTIFS(I:I, I3869)) &gt; 1, "DUPLICATE", "UNIQUE")</f>
        <v>UNIQUE</v>
      </c>
      <c r="L3869" s="18">
        <v>0</v>
      </c>
      <c r="M3869" s="28">
        <v>52</v>
      </c>
      <c r="N3869" s="6">
        <v>400</v>
      </c>
      <c r="O3869" s="30">
        <f t="shared" si="364"/>
        <v>0</v>
      </c>
      <c r="P3869" s="30">
        <f t="shared" si="365"/>
        <v>20800</v>
      </c>
      <c r="Q3869" s="1">
        <f>COUNTIFS($P:$P, "&gt;" &amp; $P3869) + 1</f>
        <v>1013</v>
      </c>
      <c r="R3869" s="63">
        <f>(COUNTIFS($P:$P, "&gt;" &amp; $P3869) + 1) / (COUNTA($I:$I) - 1)</f>
        <v>0.2026</v>
      </c>
      <c r="S3869" s="23">
        <f>SUMIFS($P:$P, $Q:$Q, "&lt;" &amp; $Q3869)</f>
        <v>166764025</v>
      </c>
    </row>
    <row r="3870" spans="1:19" x14ac:dyDescent="0.25">
      <c r="A3870" s="1">
        <v>3865</v>
      </c>
      <c r="B3870" s="1" t="s">
        <v>2</v>
      </c>
      <c r="C3870" s="1" t="str">
        <f>IF($B3870 = "Production Item", _xlfn.XLOOKUP($A3870, 'Instrument Table'!$J:$J, 'Instrument Table'!$B:$B, $C3869), IF($B3870 = "Service Item", _xlfn.XLOOKUP($A3870, 'Instrument Table'!$I:$I, 'Instrument Table'!$B:$B, $C3869), _xlfn.XLOOKUP($A3870, 'Instrument Table'!$H:$H, 'Instrument Table'!$B:$B, $C3869)))</f>
        <v>Musical Accessories</v>
      </c>
      <c r="D3870" s="1" t="str">
        <f>VLOOKUP($C3870, 'Instrument Table'!$B:$C, 2, FALSE)</f>
        <v>Other</v>
      </c>
      <c r="E3870" s="1">
        <f t="shared" si="360"/>
        <v>1</v>
      </c>
      <c r="F3870" s="1">
        <f>_xlfn.XLOOKUP($C3870, 'Instrument Table'!$B:$B, 'Instrument Table'!$A:$A, "")</f>
        <v>64</v>
      </c>
      <c r="G3870" s="1" t="str">
        <f>TEXT(IF($B3870 = "Retail Item", IF((ROW($A3870) - 4504 - _xlfn.XMATCH($C3870, $C$4506:$C$5005, 0, 1)) &lt;= VLOOKUP($C3870, 'Instrument Table'!$B:$D, 3, FALSE), ROW($A3870) - 4504 - _xlfn.XMATCH($C3870, $C$4506:$C$5005, 0, 1), 0), 0), "00")</f>
        <v>00</v>
      </c>
      <c r="H3870" s="1" t="str">
        <f t="shared" si="361"/>
        <v>064</v>
      </c>
      <c r="I3870" s="1" t="str">
        <f t="shared" si="362"/>
        <v>16400-064</v>
      </c>
      <c r="J3870" s="1" t="str">
        <f t="shared" si="363"/>
        <v>Musical accessories production item #064</v>
      </c>
      <c r="K3870" s="1" t="str">
        <f>IF(SUM(COUNTIFS(I:I, I3870)) &gt; 1, "DUPLICATE", "UNIQUE")</f>
        <v>UNIQUE</v>
      </c>
      <c r="L3870" s="18">
        <v>1</v>
      </c>
      <c r="M3870" s="28">
        <v>99</v>
      </c>
      <c r="N3870" s="6">
        <v>49</v>
      </c>
      <c r="O3870" s="30">
        <f t="shared" si="364"/>
        <v>99</v>
      </c>
      <c r="P3870" s="30">
        <f t="shared" si="365"/>
        <v>4851</v>
      </c>
      <c r="Q3870" s="1">
        <f>COUNTIFS($P:$P, "&gt;" &amp; $P3870) + 1</f>
        <v>2478</v>
      </c>
      <c r="R3870" s="63">
        <f>(COUNTIFS($P:$P, "&gt;" &amp; $P3870) + 1) / (COUNTA($I:$I) - 1)</f>
        <v>0.49559999999999998</v>
      </c>
      <c r="S3870" s="23">
        <f>SUMIFS($P:$P, $Q:$Q, "&lt;" &amp; $Q3870)</f>
        <v>183009950</v>
      </c>
    </row>
    <row r="3871" spans="1:19" x14ac:dyDescent="0.25">
      <c r="A3871" s="1">
        <v>3866</v>
      </c>
      <c r="B3871" s="1" t="s">
        <v>2</v>
      </c>
      <c r="C3871" s="1" t="str">
        <f>IF($B3871 = "Production Item", _xlfn.XLOOKUP($A3871, 'Instrument Table'!$J:$J, 'Instrument Table'!$B:$B, $C3870), IF($B3871 = "Service Item", _xlfn.XLOOKUP($A3871, 'Instrument Table'!$I:$I, 'Instrument Table'!$B:$B, $C3870), _xlfn.XLOOKUP($A3871, 'Instrument Table'!$H:$H, 'Instrument Table'!$B:$B, $C3870)))</f>
        <v>Musical Accessories</v>
      </c>
      <c r="D3871" s="1" t="str">
        <f>VLOOKUP($C3871, 'Instrument Table'!$B:$C, 2, FALSE)</f>
        <v>Other</v>
      </c>
      <c r="E3871" s="1">
        <f t="shared" si="360"/>
        <v>1</v>
      </c>
      <c r="F3871" s="1">
        <f>_xlfn.XLOOKUP($C3871, 'Instrument Table'!$B:$B, 'Instrument Table'!$A:$A, "")</f>
        <v>64</v>
      </c>
      <c r="G3871" s="1" t="str">
        <f>TEXT(IF($B3871 = "Retail Item", IF((ROW($A3871) - 4504 - _xlfn.XMATCH($C3871, $C$4506:$C$5005, 0, 1)) &lt;= VLOOKUP($C3871, 'Instrument Table'!$B:$D, 3, FALSE), ROW($A3871) - 4504 - _xlfn.XMATCH($C3871, $C$4506:$C$5005, 0, 1), 0), 0), "00")</f>
        <v>00</v>
      </c>
      <c r="H3871" s="1" t="str">
        <f t="shared" si="361"/>
        <v>065</v>
      </c>
      <c r="I3871" s="1" t="str">
        <f t="shared" si="362"/>
        <v>16400-065</v>
      </c>
      <c r="J3871" s="1" t="str">
        <f t="shared" si="363"/>
        <v>Musical accessories production item #065</v>
      </c>
      <c r="K3871" s="1" t="str">
        <f>IF(SUM(COUNTIFS(I:I, I3871)) &gt; 1, "DUPLICATE", "UNIQUE")</f>
        <v>UNIQUE</v>
      </c>
      <c r="L3871" s="18">
        <v>4</v>
      </c>
      <c r="M3871" s="28">
        <v>47</v>
      </c>
      <c r="N3871" s="6">
        <v>361</v>
      </c>
      <c r="O3871" s="30">
        <f t="shared" si="364"/>
        <v>188</v>
      </c>
      <c r="P3871" s="30">
        <f t="shared" si="365"/>
        <v>16967</v>
      </c>
      <c r="Q3871" s="1">
        <f>COUNTIFS($P:$P, "&gt;" &amp; $P3871) + 1</f>
        <v>1214</v>
      </c>
      <c r="R3871" s="63">
        <f>(COUNTIFS($P:$P, "&gt;" &amp; $P3871) + 1) / (COUNTA($I:$I) - 1)</f>
        <v>0.24279999999999999</v>
      </c>
      <c r="S3871" s="23">
        <f>SUMIFS($P:$P, $Q:$Q, "&lt;" &amp; $Q3871)</f>
        <v>170566712</v>
      </c>
    </row>
    <row r="3872" spans="1:19" x14ac:dyDescent="0.25">
      <c r="A3872" s="1">
        <v>3867</v>
      </c>
      <c r="B3872" s="1" t="s">
        <v>2</v>
      </c>
      <c r="C3872" s="1" t="str">
        <f>IF($B3872 = "Production Item", _xlfn.XLOOKUP($A3872, 'Instrument Table'!$J:$J, 'Instrument Table'!$B:$B, $C3871), IF($B3872 = "Service Item", _xlfn.XLOOKUP($A3872, 'Instrument Table'!$I:$I, 'Instrument Table'!$B:$B, $C3871), _xlfn.XLOOKUP($A3872, 'Instrument Table'!$H:$H, 'Instrument Table'!$B:$B, $C3871)))</f>
        <v>Musical Accessories</v>
      </c>
      <c r="D3872" s="1" t="str">
        <f>VLOOKUP($C3872, 'Instrument Table'!$B:$C, 2, FALSE)</f>
        <v>Other</v>
      </c>
      <c r="E3872" s="1">
        <f t="shared" si="360"/>
        <v>1</v>
      </c>
      <c r="F3872" s="1">
        <f>_xlfn.XLOOKUP($C3872, 'Instrument Table'!$B:$B, 'Instrument Table'!$A:$A, "")</f>
        <v>64</v>
      </c>
      <c r="G3872" s="1" t="str">
        <f>TEXT(IF($B3872 = "Retail Item", IF((ROW($A3872) - 4504 - _xlfn.XMATCH($C3872, $C$4506:$C$5005, 0, 1)) &lt;= VLOOKUP($C3872, 'Instrument Table'!$B:$D, 3, FALSE), ROW($A3872) - 4504 - _xlfn.XMATCH($C3872, $C$4506:$C$5005, 0, 1), 0), 0), "00")</f>
        <v>00</v>
      </c>
      <c r="H3872" s="1" t="str">
        <f t="shared" si="361"/>
        <v>066</v>
      </c>
      <c r="I3872" s="1" t="str">
        <f t="shared" si="362"/>
        <v>16400-066</v>
      </c>
      <c r="J3872" s="1" t="str">
        <f t="shared" si="363"/>
        <v>Musical accessories production item #066</v>
      </c>
      <c r="K3872" s="1" t="str">
        <f>IF(SUM(COUNTIFS(I:I, I3872)) &gt; 1, "DUPLICATE", "UNIQUE")</f>
        <v>UNIQUE</v>
      </c>
      <c r="L3872" s="18">
        <v>1</v>
      </c>
      <c r="M3872" s="28">
        <v>8</v>
      </c>
      <c r="N3872" s="6">
        <v>121</v>
      </c>
      <c r="O3872" s="30">
        <f t="shared" si="364"/>
        <v>8</v>
      </c>
      <c r="P3872" s="30">
        <f t="shared" si="365"/>
        <v>968</v>
      </c>
      <c r="Q3872" s="1">
        <f>COUNTIFS($P:$P, "&gt;" &amp; $P3872) + 1</f>
        <v>3698</v>
      </c>
      <c r="R3872" s="63">
        <f>(COUNTIFS($P:$P, "&gt;" &amp; $P3872) + 1) / (COUNTA($I:$I) - 1)</f>
        <v>0.73960000000000004</v>
      </c>
      <c r="S3872" s="23">
        <f>SUMIFS($P:$P, $Q:$Q, "&lt;" &amp; $Q3872)</f>
        <v>186176894</v>
      </c>
    </row>
    <row r="3873" spans="1:19" x14ac:dyDescent="0.25">
      <c r="A3873" s="1">
        <v>3868</v>
      </c>
      <c r="B3873" s="1" t="s">
        <v>2</v>
      </c>
      <c r="C3873" s="1" t="str">
        <f>IF($B3873 = "Production Item", _xlfn.XLOOKUP($A3873, 'Instrument Table'!$J:$J, 'Instrument Table'!$B:$B, $C3872), IF($B3873 = "Service Item", _xlfn.XLOOKUP($A3873, 'Instrument Table'!$I:$I, 'Instrument Table'!$B:$B, $C3872), _xlfn.XLOOKUP($A3873, 'Instrument Table'!$H:$H, 'Instrument Table'!$B:$B, $C3872)))</f>
        <v>Musical Accessories</v>
      </c>
      <c r="D3873" s="1" t="str">
        <f>VLOOKUP($C3873, 'Instrument Table'!$B:$C, 2, FALSE)</f>
        <v>Other</v>
      </c>
      <c r="E3873" s="1">
        <f t="shared" si="360"/>
        <v>1</v>
      </c>
      <c r="F3873" s="1">
        <f>_xlfn.XLOOKUP($C3873, 'Instrument Table'!$B:$B, 'Instrument Table'!$A:$A, "")</f>
        <v>64</v>
      </c>
      <c r="G3873" s="1" t="str">
        <f>TEXT(IF($B3873 = "Retail Item", IF((ROW($A3873) - 4504 - _xlfn.XMATCH($C3873, $C$4506:$C$5005, 0, 1)) &lt;= VLOOKUP($C3873, 'Instrument Table'!$B:$D, 3, FALSE), ROW($A3873) - 4504 - _xlfn.XMATCH($C3873, $C$4506:$C$5005, 0, 1), 0), 0), "00")</f>
        <v>00</v>
      </c>
      <c r="H3873" s="1" t="str">
        <f t="shared" si="361"/>
        <v>067</v>
      </c>
      <c r="I3873" s="1" t="str">
        <f t="shared" si="362"/>
        <v>16400-067</v>
      </c>
      <c r="J3873" s="1" t="str">
        <f t="shared" si="363"/>
        <v>Musical accessories production item #067</v>
      </c>
      <c r="K3873" s="1" t="str">
        <f>IF(SUM(COUNTIFS(I:I, I3873)) &gt; 1, "DUPLICATE", "UNIQUE")</f>
        <v>UNIQUE</v>
      </c>
      <c r="L3873" s="18">
        <v>0</v>
      </c>
      <c r="M3873" s="28">
        <v>83</v>
      </c>
      <c r="N3873" s="6">
        <v>25</v>
      </c>
      <c r="O3873" s="30">
        <f t="shared" si="364"/>
        <v>0</v>
      </c>
      <c r="P3873" s="30">
        <f t="shared" si="365"/>
        <v>2075</v>
      </c>
      <c r="Q3873" s="1">
        <f>COUNTIFS($P:$P, "&gt;" &amp; $P3873) + 1</f>
        <v>3217</v>
      </c>
      <c r="R3873" s="63">
        <f>(COUNTIFS($P:$P, "&gt;" &amp; $P3873) + 1) / (COUNTA($I:$I) - 1)</f>
        <v>0.64339999999999997</v>
      </c>
      <c r="S3873" s="23">
        <f>SUMIFS($P:$P, $Q:$Q, "&lt;" &amp; $Q3873)</f>
        <v>185443402</v>
      </c>
    </row>
    <row r="3874" spans="1:19" x14ac:dyDescent="0.25">
      <c r="A3874" s="1">
        <v>3869</v>
      </c>
      <c r="B3874" s="1" t="s">
        <v>2</v>
      </c>
      <c r="C3874" s="1" t="str">
        <f>IF($B3874 = "Production Item", _xlfn.XLOOKUP($A3874, 'Instrument Table'!$J:$J, 'Instrument Table'!$B:$B, $C3873), IF($B3874 = "Service Item", _xlfn.XLOOKUP($A3874, 'Instrument Table'!$I:$I, 'Instrument Table'!$B:$B, $C3873), _xlfn.XLOOKUP($A3874, 'Instrument Table'!$H:$H, 'Instrument Table'!$B:$B, $C3873)))</f>
        <v>Musical Accessories</v>
      </c>
      <c r="D3874" s="1" t="str">
        <f>VLOOKUP($C3874, 'Instrument Table'!$B:$C, 2, FALSE)</f>
        <v>Other</v>
      </c>
      <c r="E3874" s="1">
        <f t="shared" si="360"/>
        <v>1</v>
      </c>
      <c r="F3874" s="1">
        <f>_xlfn.XLOOKUP($C3874, 'Instrument Table'!$B:$B, 'Instrument Table'!$A:$A, "")</f>
        <v>64</v>
      </c>
      <c r="G3874" s="1" t="str">
        <f>TEXT(IF($B3874 = "Retail Item", IF((ROW($A3874) - 4504 - _xlfn.XMATCH($C3874, $C$4506:$C$5005, 0, 1)) &lt;= VLOOKUP($C3874, 'Instrument Table'!$B:$D, 3, FALSE), ROW($A3874) - 4504 - _xlfn.XMATCH($C3874, $C$4506:$C$5005, 0, 1), 0), 0), "00")</f>
        <v>00</v>
      </c>
      <c r="H3874" s="1" t="str">
        <f t="shared" si="361"/>
        <v>068</v>
      </c>
      <c r="I3874" s="1" t="str">
        <f t="shared" si="362"/>
        <v>16400-068</v>
      </c>
      <c r="J3874" s="1" t="str">
        <f t="shared" si="363"/>
        <v>Musical accessories production item #068</v>
      </c>
      <c r="K3874" s="1" t="str">
        <f>IF(SUM(COUNTIFS(I:I, I3874)) &gt; 1, "DUPLICATE", "UNIQUE")</f>
        <v>UNIQUE</v>
      </c>
      <c r="L3874" s="18">
        <v>4</v>
      </c>
      <c r="M3874" s="28">
        <v>76</v>
      </c>
      <c r="N3874" s="6">
        <v>4</v>
      </c>
      <c r="O3874" s="30">
        <f t="shared" si="364"/>
        <v>304</v>
      </c>
      <c r="P3874" s="30">
        <f t="shared" si="365"/>
        <v>304</v>
      </c>
      <c r="Q3874" s="1">
        <f>COUNTIFS($P:$P, "&gt;" &amp; $P3874) + 1</f>
        <v>4210</v>
      </c>
      <c r="R3874" s="63">
        <f>(COUNTIFS($P:$P, "&gt;" &amp; $P3874) + 1) / (COUNTA($I:$I) - 1)</f>
        <v>0.84199999999999997</v>
      </c>
      <c r="S3874" s="23">
        <f>SUMIFS($P:$P, $Q:$Q, "&lt;" &amp; $Q3874)</f>
        <v>186483507</v>
      </c>
    </row>
    <row r="3875" spans="1:19" x14ac:dyDescent="0.25">
      <c r="A3875" s="1">
        <v>3870</v>
      </c>
      <c r="B3875" s="1" t="s">
        <v>2</v>
      </c>
      <c r="C3875" s="1" t="str">
        <f>IF($B3875 = "Production Item", _xlfn.XLOOKUP($A3875, 'Instrument Table'!$J:$J, 'Instrument Table'!$B:$B, $C3874), IF($B3875 = "Service Item", _xlfn.XLOOKUP($A3875, 'Instrument Table'!$I:$I, 'Instrument Table'!$B:$B, $C3874), _xlfn.XLOOKUP($A3875, 'Instrument Table'!$H:$H, 'Instrument Table'!$B:$B, $C3874)))</f>
        <v>Musical Accessories</v>
      </c>
      <c r="D3875" s="1" t="str">
        <f>VLOOKUP($C3875, 'Instrument Table'!$B:$C, 2, FALSE)</f>
        <v>Other</v>
      </c>
      <c r="E3875" s="1">
        <f t="shared" si="360"/>
        <v>1</v>
      </c>
      <c r="F3875" s="1">
        <f>_xlfn.XLOOKUP($C3875, 'Instrument Table'!$B:$B, 'Instrument Table'!$A:$A, "")</f>
        <v>64</v>
      </c>
      <c r="G3875" s="1" t="str">
        <f>TEXT(IF($B3875 = "Retail Item", IF((ROW($A3875) - 4504 - _xlfn.XMATCH($C3875, $C$4506:$C$5005, 0, 1)) &lt;= VLOOKUP($C3875, 'Instrument Table'!$B:$D, 3, FALSE), ROW($A3875) - 4504 - _xlfn.XMATCH($C3875, $C$4506:$C$5005, 0, 1), 0), 0), "00")</f>
        <v>00</v>
      </c>
      <c r="H3875" s="1" t="str">
        <f t="shared" si="361"/>
        <v>069</v>
      </c>
      <c r="I3875" s="1" t="str">
        <f t="shared" si="362"/>
        <v>16400-069</v>
      </c>
      <c r="J3875" s="1" t="str">
        <f t="shared" si="363"/>
        <v>Musical accessories production item #069</v>
      </c>
      <c r="K3875" s="1" t="str">
        <f>IF(SUM(COUNTIFS(I:I, I3875)) &gt; 1, "DUPLICATE", "UNIQUE")</f>
        <v>UNIQUE</v>
      </c>
      <c r="L3875" s="18">
        <v>0</v>
      </c>
      <c r="M3875" s="28">
        <v>54</v>
      </c>
      <c r="N3875" s="6">
        <v>1</v>
      </c>
      <c r="O3875" s="30">
        <f t="shared" si="364"/>
        <v>0</v>
      </c>
      <c r="P3875" s="30">
        <f t="shared" si="365"/>
        <v>54</v>
      </c>
      <c r="Q3875" s="1">
        <f>COUNTIFS($P:$P, "&gt;" &amp; $P3875) + 1</f>
        <v>4596</v>
      </c>
      <c r="R3875" s="63">
        <f>(COUNTIFS($P:$P, "&gt;" &amp; $P3875) + 1) / (COUNTA($I:$I) - 1)</f>
        <v>0.91920000000000002</v>
      </c>
      <c r="S3875" s="23">
        <f>SUMIFS($P:$P, $Q:$Q, "&lt;" &amp; $Q3875)</f>
        <v>186543478</v>
      </c>
    </row>
    <row r="3876" spans="1:19" x14ac:dyDescent="0.25">
      <c r="A3876" s="1">
        <v>3871</v>
      </c>
      <c r="B3876" s="1" t="s">
        <v>2</v>
      </c>
      <c r="C3876" s="1" t="str">
        <f>IF($B3876 = "Production Item", _xlfn.XLOOKUP($A3876, 'Instrument Table'!$J:$J, 'Instrument Table'!$B:$B, $C3875), IF($B3876 = "Service Item", _xlfn.XLOOKUP($A3876, 'Instrument Table'!$I:$I, 'Instrument Table'!$B:$B, $C3875), _xlfn.XLOOKUP($A3876, 'Instrument Table'!$H:$H, 'Instrument Table'!$B:$B, $C3875)))</f>
        <v>Musical Accessories</v>
      </c>
      <c r="D3876" s="1" t="str">
        <f>VLOOKUP($C3876, 'Instrument Table'!$B:$C, 2, FALSE)</f>
        <v>Other</v>
      </c>
      <c r="E3876" s="1">
        <f t="shared" si="360"/>
        <v>1</v>
      </c>
      <c r="F3876" s="1">
        <f>_xlfn.XLOOKUP($C3876, 'Instrument Table'!$B:$B, 'Instrument Table'!$A:$A, "")</f>
        <v>64</v>
      </c>
      <c r="G3876" s="1" t="str">
        <f>TEXT(IF($B3876 = "Retail Item", IF((ROW($A3876) - 4504 - _xlfn.XMATCH($C3876, $C$4506:$C$5005, 0, 1)) &lt;= VLOOKUP($C3876, 'Instrument Table'!$B:$D, 3, FALSE), ROW($A3876) - 4504 - _xlfn.XMATCH($C3876, $C$4506:$C$5005, 0, 1), 0), 0), "00")</f>
        <v>00</v>
      </c>
      <c r="H3876" s="1" t="str">
        <f t="shared" si="361"/>
        <v>070</v>
      </c>
      <c r="I3876" s="1" t="str">
        <f t="shared" si="362"/>
        <v>16400-070</v>
      </c>
      <c r="J3876" s="1" t="str">
        <f t="shared" si="363"/>
        <v>Musical accessories production item #070</v>
      </c>
      <c r="K3876" s="1" t="str">
        <f>IF(SUM(COUNTIFS(I:I, I3876)) &gt; 1, "DUPLICATE", "UNIQUE")</f>
        <v>UNIQUE</v>
      </c>
      <c r="L3876" s="18">
        <v>1</v>
      </c>
      <c r="M3876" s="28">
        <v>85</v>
      </c>
      <c r="N3876" s="6">
        <v>256</v>
      </c>
      <c r="O3876" s="30">
        <f t="shared" si="364"/>
        <v>85</v>
      </c>
      <c r="P3876" s="30">
        <f t="shared" si="365"/>
        <v>21760</v>
      </c>
      <c r="Q3876" s="1">
        <f>COUNTIFS($P:$P, "&gt;" &amp; $P3876) + 1</f>
        <v>967</v>
      </c>
      <c r="R3876" s="63">
        <f>(COUNTIFS($P:$P, "&gt;" &amp; $P3876) + 1) / (COUNTA($I:$I) - 1)</f>
        <v>0.19339999999999999</v>
      </c>
      <c r="S3876" s="23">
        <f>SUMIFS($P:$P, $Q:$Q, "&lt;" &amp; $Q3876)</f>
        <v>165782570</v>
      </c>
    </row>
    <row r="3877" spans="1:19" x14ac:dyDescent="0.25">
      <c r="A3877" s="1">
        <v>3872</v>
      </c>
      <c r="B3877" s="1" t="s">
        <v>2</v>
      </c>
      <c r="C3877" s="1" t="str">
        <f>IF($B3877 = "Production Item", _xlfn.XLOOKUP($A3877, 'Instrument Table'!$J:$J, 'Instrument Table'!$B:$B, $C3876), IF($B3877 = "Service Item", _xlfn.XLOOKUP($A3877, 'Instrument Table'!$I:$I, 'Instrument Table'!$B:$B, $C3876), _xlfn.XLOOKUP($A3877, 'Instrument Table'!$H:$H, 'Instrument Table'!$B:$B, $C3876)))</f>
        <v>Musical Accessories</v>
      </c>
      <c r="D3877" s="1" t="str">
        <f>VLOOKUP($C3877, 'Instrument Table'!$B:$C, 2, FALSE)</f>
        <v>Other</v>
      </c>
      <c r="E3877" s="1">
        <f t="shared" si="360"/>
        <v>1</v>
      </c>
      <c r="F3877" s="1">
        <f>_xlfn.XLOOKUP($C3877, 'Instrument Table'!$B:$B, 'Instrument Table'!$A:$A, "")</f>
        <v>64</v>
      </c>
      <c r="G3877" s="1" t="str">
        <f>TEXT(IF($B3877 = "Retail Item", IF((ROW($A3877) - 4504 - _xlfn.XMATCH($C3877, $C$4506:$C$5005, 0, 1)) &lt;= VLOOKUP($C3877, 'Instrument Table'!$B:$D, 3, FALSE), ROW($A3877) - 4504 - _xlfn.XMATCH($C3877, $C$4506:$C$5005, 0, 1), 0), 0), "00")</f>
        <v>00</v>
      </c>
      <c r="H3877" s="1" t="str">
        <f t="shared" si="361"/>
        <v>071</v>
      </c>
      <c r="I3877" s="1" t="str">
        <f t="shared" si="362"/>
        <v>16400-071</v>
      </c>
      <c r="J3877" s="1" t="str">
        <f t="shared" si="363"/>
        <v>Musical accessories production item #071</v>
      </c>
      <c r="K3877" s="1" t="str">
        <f>IF(SUM(COUNTIFS(I:I, I3877)) &gt; 1, "DUPLICATE", "UNIQUE")</f>
        <v>UNIQUE</v>
      </c>
      <c r="L3877" s="18">
        <v>1</v>
      </c>
      <c r="M3877" s="28">
        <v>94</v>
      </c>
      <c r="N3877" s="6">
        <v>9</v>
      </c>
      <c r="O3877" s="30">
        <f t="shared" si="364"/>
        <v>94</v>
      </c>
      <c r="P3877" s="30">
        <f t="shared" si="365"/>
        <v>846</v>
      </c>
      <c r="Q3877" s="1">
        <f>COUNTIFS($P:$P, "&gt;" &amp; $P3877) + 1</f>
        <v>3763</v>
      </c>
      <c r="R3877" s="63">
        <f>(COUNTIFS($P:$P, "&gt;" &amp; $P3877) + 1) / (COUNTA($I:$I) - 1)</f>
        <v>0.75260000000000005</v>
      </c>
      <c r="S3877" s="23">
        <f>SUMIFS($P:$P, $Q:$Q, "&lt;" &amp; $Q3877)</f>
        <v>186235336</v>
      </c>
    </row>
    <row r="3878" spans="1:19" x14ac:dyDescent="0.25">
      <c r="A3878" s="1">
        <v>3873</v>
      </c>
      <c r="B3878" s="1" t="s">
        <v>2</v>
      </c>
      <c r="C3878" s="1" t="str">
        <f>IF($B3878 = "Production Item", _xlfn.XLOOKUP($A3878, 'Instrument Table'!$J:$J, 'Instrument Table'!$B:$B, $C3877), IF($B3878 = "Service Item", _xlfn.XLOOKUP($A3878, 'Instrument Table'!$I:$I, 'Instrument Table'!$B:$B, $C3877), _xlfn.XLOOKUP($A3878, 'Instrument Table'!$H:$H, 'Instrument Table'!$B:$B, $C3877)))</f>
        <v>Musical Accessories</v>
      </c>
      <c r="D3878" s="1" t="str">
        <f>VLOOKUP($C3878, 'Instrument Table'!$B:$C, 2, FALSE)</f>
        <v>Other</v>
      </c>
      <c r="E3878" s="1">
        <f t="shared" si="360"/>
        <v>1</v>
      </c>
      <c r="F3878" s="1">
        <f>_xlfn.XLOOKUP($C3878, 'Instrument Table'!$B:$B, 'Instrument Table'!$A:$A, "")</f>
        <v>64</v>
      </c>
      <c r="G3878" s="1" t="str">
        <f>TEXT(IF($B3878 = "Retail Item", IF((ROW($A3878) - 4504 - _xlfn.XMATCH($C3878, $C$4506:$C$5005, 0, 1)) &lt;= VLOOKUP($C3878, 'Instrument Table'!$B:$D, 3, FALSE), ROW($A3878) - 4504 - _xlfn.XMATCH($C3878, $C$4506:$C$5005, 0, 1), 0), 0), "00")</f>
        <v>00</v>
      </c>
      <c r="H3878" s="1" t="str">
        <f t="shared" si="361"/>
        <v>072</v>
      </c>
      <c r="I3878" s="1" t="str">
        <f t="shared" si="362"/>
        <v>16400-072</v>
      </c>
      <c r="J3878" s="1" t="str">
        <f t="shared" si="363"/>
        <v>Musical accessories production item #072</v>
      </c>
      <c r="K3878" s="1" t="str">
        <f>IF(SUM(COUNTIFS(I:I, I3878)) &gt; 1, "DUPLICATE", "UNIQUE")</f>
        <v>UNIQUE</v>
      </c>
      <c r="L3878" s="18">
        <v>0</v>
      </c>
      <c r="M3878" s="28">
        <v>81</v>
      </c>
      <c r="N3878" s="6">
        <v>25</v>
      </c>
      <c r="O3878" s="30">
        <f t="shared" si="364"/>
        <v>0</v>
      </c>
      <c r="P3878" s="30">
        <f t="shared" si="365"/>
        <v>2025</v>
      </c>
      <c r="Q3878" s="1">
        <f>COUNTIFS($P:$P, "&gt;" &amp; $P3878) + 1</f>
        <v>3241</v>
      </c>
      <c r="R3878" s="63">
        <f>(COUNTIFS($P:$P, "&gt;" &amp; $P3878) + 1) / (COUNTA($I:$I) - 1)</f>
        <v>0.6482</v>
      </c>
      <c r="S3878" s="23">
        <f>SUMIFS($P:$P, $Q:$Q, "&lt;" &amp; $Q3878)</f>
        <v>185492863</v>
      </c>
    </row>
    <row r="3879" spans="1:19" x14ac:dyDescent="0.25">
      <c r="A3879" s="1">
        <v>3874</v>
      </c>
      <c r="B3879" s="1" t="s">
        <v>2</v>
      </c>
      <c r="C3879" s="1" t="str">
        <f>IF($B3879 = "Production Item", _xlfn.XLOOKUP($A3879, 'Instrument Table'!$J:$J, 'Instrument Table'!$B:$B, $C3878), IF($B3879 = "Service Item", _xlfn.XLOOKUP($A3879, 'Instrument Table'!$I:$I, 'Instrument Table'!$B:$B, $C3878), _xlfn.XLOOKUP($A3879, 'Instrument Table'!$H:$H, 'Instrument Table'!$B:$B, $C3878)))</f>
        <v>Musical Accessories</v>
      </c>
      <c r="D3879" s="1" t="str">
        <f>VLOOKUP($C3879, 'Instrument Table'!$B:$C, 2, FALSE)</f>
        <v>Other</v>
      </c>
      <c r="E3879" s="1">
        <f t="shared" si="360"/>
        <v>1</v>
      </c>
      <c r="F3879" s="1">
        <f>_xlfn.XLOOKUP($C3879, 'Instrument Table'!$B:$B, 'Instrument Table'!$A:$A, "")</f>
        <v>64</v>
      </c>
      <c r="G3879" s="1" t="str">
        <f>TEXT(IF($B3879 = "Retail Item", IF((ROW($A3879) - 4504 - _xlfn.XMATCH($C3879, $C$4506:$C$5005, 0, 1)) &lt;= VLOOKUP($C3879, 'Instrument Table'!$B:$D, 3, FALSE), ROW($A3879) - 4504 - _xlfn.XMATCH($C3879, $C$4506:$C$5005, 0, 1), 0), 0), "00")</f>
        <v>00</v>
      </c>
      <c r="H3879" s="1" t="str">
        <f t="shared" si="361"/>
        <v>073</v>
      </c>
      <c r="I3879" s="1" t="str">
        <f t="shared" si="362"/>
        <v>16400-073</v>
      </c>
      <c r="J3879" s="1" t="str">
        <f t="shared" si="363"/>
        <v>Musical accessories production item #073</v>
      </c>
      <c r="K3879" s="1" t="str">
        <f>IF(SUM(COUNTIFS(I:I, I3879)) &gt; 1, "DUPLICATE", "UNIQUE")</f>
        <v>UNIQUE</v>
      </c>
      <c r="L3879" s="18">
        <v>2</v>
      </c>
      <c r="M3879" s="28">
        <v>83</v>
      </c>
      <c r="N3879" s="6">
        <v>25</v>
      </c>
      <c r="O3879" s="30">
        <f t="shared" si="364"/>
        <v>166</v>
      </c>
      <c r="P3879" s="30">
        <f t="shared" si="365"/>
        <v>2075</v>
      </c>
      <c r="Q3879" s="1">
        <f>COUNTIFS($P:$P, "&gt;" &amp; $P3879) + 1</f>
        <v>3217</v>
      </c>
      <c r="R3879" s="63">
        <f>(COUNTIFS($P:$P, "&gt;" &amp; $P3879) + 1) / (COUNTA($I:$I) - 1)</f>
        <v>0.64339999999999997</v>
      </c>
      <c r="S3879" s="23">
        <f>SUMIFS($P:$P, $Q:$Q, "&lt;" &amp; $Q3879)</f>
        <v>185443402</v>
      </c>
    </row>
    <row r="3880" spans="1:19" x14ac:dyDescent="0.25">
      <c r="A3880" s="1">
        <v>3875</v>
      </c>
      <c r="B3880" s="1" t="s">
        <v>2</v>
      </c>
      <c r="C3880" s="1" t="str">
        <f>IF($B3880 = "Production Item", _xlfn.XLOOKUP($A3880, 'Instrument Table'!$J:$J, 'Instrument Table'!$B:$B, $C3879), IF($B3880 = "Service Item", _xlfn.XLOOKUP($A3880, 'Instrument Table'!$I:$I, 'Instrument Table'!$B:$B, $C3879), _xlfn.XLOOKUP($A3880, 'Instrument Table'!$H:$H, 'Instrument Table'!$B:$B, $C3879)))</f>
        <v>Musical Accessories</v>
      </c>
      <c r="D3880" s="1" t="str">
        <f>VLOOKUP($C3880, 'Instrument Table'!$B:$C, 2, FALSE)</f>
        <v>Other</v>
      </c>
      <c r="E3880" s="1">
        <f t="shared" si="360"/>
        <v>1</v>
      </c>
      <c r="F3880" s="1">
        <f>_xlfn.XLOOKUP($C3880, 'Instrument Table'!$B:$B, 'Instrument Table'!$A:$A, "")</f>
        <v>64</v>
      </c>
      <c r="G3880" s="1" t="str">
        <f>TEXT(IF($B3880 = "Retail Item", IF((ROW($A3880) - 4504 - _xlfn.XMATCH($C3880, $C$4506:$C$5005, 0, 1)) &lt;= VLOOKUP($C3880, 'Instrument Table'!$B:$D, 3, FALSE), ROW($A3880) - 4504 - _xlfn.XMATCH($C3880, $C$4506:$C$5005, 0, 1), 0), 0), "00")</f>
        <v>00</v>
      </c>
      <c r="H3880" s="1" t="str">
        <f t="shared" si="361"/>
        <v>074</v>
      </c>
      <c r="I3880" s="1" t="str">
        <f t="shared" si="362"/>
        <v>16400-074</v>
      </c>
      <c r="J3880" s="1" t="str">
        <f t="shared" si="363"/>
        <v>Musical accessories production item #074</v>
      </c>
      <c r="K3880" s="1" t="str">
        <f>IF(SUM(COUNTIFS(I:I, I3880)) &gt; 1, "DUPLICATE", "UNIQUE")</f>
        <v>UNIQUE</v>
      </c>
      <c r="L3880" s="18">
        <v>1</v>
      </c>
      <c r="M3880" s="28">
        <v>16</v>
      </c>
      <c r="N3880" s="6">
        <v>64</v>
      </c>
      <c r="O3880" s="30">
        <f t="shared" si="364"/>
        <v>16</v>
      </c>
      <c r="P3880" s="30">
        <f t="shared" si="365"/>
        <v>1024</v>
      </c>
      <c r="Q3880" s="1">
        <f>COUNTIFS($P:$P, "&gt;" &amp; $P3880) + 1</f>
        <v>3667</v>
      </c>
      <c r="R3880" s="63">
        <f>(COUNTIFS($P:$P, "&gt;" &amp; $P3880) + 1) / (COUNTA($I:$I) - 1)</f>
        <v>0.73340000000000005</v>
      </c>
      <c r="S3880" s="23">
        <f>SUMIFS($P:$P, $Q:$Q, "&lt;" &amp; $Q3880)</f>
        <v>186145961</v>
      </c>
    </row>
    <row r="3881" spans="1:19" x14ac:dyDescent="0.25">
      <c r="A3881" s="1">
        <v>3876</v>
      </c>
      <c r="B3881" s="1" t="s">
        <v>2</v>
      </c>
      <c r="C3881" s="1" t="str">
        <f>IF($B3881 = "Production Item", _xlfn.XLOOKUP($A3881, 'Instrument Table'!$J:$J, 'Instrument Table'!$B:$B, $C3880), IF($B3881 = "Service Item", _xlfn.XLOOKUP($A3881, 'Instrument Table'!$I:$I, 'Instrument Table'!$B:$B, $C3880), _xlfn.XLOOKUP($A3881, 'Instrument Table'!$H:$H, 'Instrument Table'!$B:$B, $C3880)))</f>
        <v>Musical Accessories</v>
      </c>
      <c r="D3881" s="1" t="str">
        <f>VLOOKUP($C3881, 'Instrument Table'!$B:$C, 2, FALSE)</f>
        <v>Other</v>
      </c>
      <c r="E3881" s="1">
        <f t="shared" si="360"/>
        <v>1</v>
      </c>
      <c r="F3881" s="1">
        <f>_xlfn.XLOOKUP($C3881, 'Instrument Table'!$B:$B, 'Instrument Table'!$A:$A, "")</f>
        <v>64</v>
      </c>
      <c r="G3881" s="1" t="str">
        <f>TEXT(IF($B3881 = "Retail Item", IF((ROW($A3881) - 4504 - _xlfn.XMATCH($C3881, $C$4506:$C$5005, 0, 1)) &lt;= VLOOKUP($C3881, 'Instrument Table'!$B:$D, 3, FALSE), ROW($A3881) - 4504 - _xlfn.XMATCH($C3881, $C$4506:$C$5005, 0, 1), 0), 0), "00")</f>
        <v>00</v>
      </c>
      <c r="H3881" s="1" t="str">
        <f t="shared" si="361"/>
        <v>075</v>
      </c>
      <c r="I3881" s="1" t="str">
        <f t="shared" si="362"/>
        <v>16400-075</v>
      </c>
      <c r="J3881" s="1" t="str">
        <f t="shared" si="363"/>
        <v>Musical accessories production item #075</v>
      </c>
      <c r="K3881" s="1" t="str">
        <f>IF(SUM(COUNTIFS(I:I, I3881)) &gt; 1, "DUPLICATE", "UNIQUE")</f>
        <v>UNIQUE</v>
      </c>
      <c r="L3881" s="18">
        <v>2</v>
      </c>
      <c r="M3881" s="28">
        <v>2</v>
      </c>
      <c r="N3881" s="6">
        <v>256</v>
      </c>
      <c r="O3881" s="30">
        <f t="shared" si="364"/>
        <v>4</v>
      </c>
      <c r="P3881" s="30">
        <f t="shared" si="365"/>
        <v>512</v>
      </c>
      <c r="Q3881" s="1">
        <f>COUNTIFS($P:$P, "&gt;" &amp; $P3881) + 1</f>
        <v>4012</v>
      </c>
      <c r="R3881" s="63">
        <f>(COUNTIFS($P:$P, "&gt;" &amp; $P3881) + 1) / (COUNTA($I:$I) - 1)</f>
        <v>0.8024</v>
      </c>
      <c r="S3881" s="23">
        <f>SUMIFS($P:$P, $Q:$Q, "&lt;" &amp; $Q3881)</f>
        <v>186404530</v>
      </c>
    </row>
    <row r="3882" spans="1:19" x14ac:dyDescent="0.25">
      <c r="A3882" s="1">
        <v>3877</v>
      </c>
      <c r="B3882" s="1" t="s">
        <v>2</v>
      </c>
      <c r="C3882" s="1" t="str">
        <f>IF($B3882 = "Production Item", _xlfn.XLOOKUP($A3882, 'Instrument Table'!$J:$J, 'Instrument Table'!$B:$B, $C3881), IF($B3882 = "Service Item", _xlfn.XLOOKUP($A3882, 'Instrument Table'!$I:$I, 'Instrument Table'!$B:$B, $C3881), _xlfn.XLOOKUP($A3882, 'Instrument Table'!$H:$H, 'Instrument Table'!$B:$B, $C3881)))</f>
        <v>Musical Accessories</v>
      </c>
      <c r="D3882" s="1" t="str">
        <f>VLOOKUP($C3882, 'Instrument Table'!$B:$C, 2, FALSE)</f>
        <v>Other</v>
      </c>
      <c r="E3882" s="1">
        <f t="shared" si="360"/>
        <v>1</v>
      </c>
      <c r="F3882" s="1">
        <f>_xlfn.XLOOKUP($C3882, 'Instrument Table'!$B:$B, 'Instrument Table'!$A:$A, "")</f>
        <v>64</v>
      </c>
      <c r="G3882" s="1" t="str">
        <f>TEXT(IF($B3882 = "Retail Item", IF((ROW($A3882) - 4504 - _xlfn.XMATCH($C3882, $C$4506:$C$5005, 0, 1)) &lt;= VLOOKUP($C3882, 'Instrument Table'!$B:$D, 3, FALSE), ROW($A3882) - 4504 - _xlfn.XMATCH($C3882, $C$4506:$C$5005, 0, 1), 0), 0), "00")</f>
        <v>00</v>
      </c>
      <c r="H3882" s="1" t="str">
        <f t="shared" si="361"/>
        <v>076</v>
      </c>
      <c r="I3882" s="1" t="str">
        <f t="shared" si="362"/>
        <v>16400-076</v>
      </c>
      <c r="J3882" s="1" t="str">
        <f t="shared" si="363"/>
        <v>Musical accessories production item #076</v>
      </c>
      <c r="K3882" s="1" t="str">
        <f>IF(SUM(COUNTIFS(I:I, I3882)) &gt; 1, "DUPLICATE", "UNIQUE")</f>
        <v>UNIQUE</v>
      </c>
      <c r="L3882" s="18">
        <v>1</v>
      </c>
      <c r="M3882" s="28">
        <v>62</v>
      </c>
      <c r="N3882" s="6">
        <v>9</v>
      </c>
      <c r="O3882" s="30">
        <f t="shared" si="364"/>
        <v>62</v>
      </c>
      <c r="P3882" s="30">
        <f t="shared" si="365"/>
        <v>558</v>
      </c>
      <c r="Q3882" s="1">
        <f>COUNTIFS($P:$P, "&gt;" &amp; $P3882) + 1</f>
        <v>3976</v>
      </c>
      <c r="R3882" s="63">
        <f>(COUNTIFS($P:$P, "&gt;" &amp; $P3882) + 1) / (COUNTA($I:$I) - 1)</f>
        <v>0.79520000000000002</v>
      </c>
      <c r="S3882" s="23">
        <f>SUMIFS($P:$P, $Q:$Q, "&lt;" &amp; $Q3882)</f>
        <v>186385261</v>
      </c>
    </row>
    <row r="3883" spans="1:19" x14ac:dyDescent="0.25">
      <c r="A3883" s="1">
        <v>3878</v>
      </c>
      <c r="B3883" s="1" t="s">
        <v>2</v>
      </c>
      <c r="C3883" s="1" t="str">
        <f>IF($B3883 = "Production Item", _xlfn.XLOOKUP($A3883, 'Instrument Table'!$J:$J, 'Instrument Table'!$B:$B, $C3882), IF($B3883 = "Service Item", _xlfn.XLOOKUP($A3883, 'Instrument Table'!$I:$I, 'Instrument Table'!$B:$B, $C3882), _xlfn.XLOOKUP($A3883, 'Instrument Table'!$H:$H, 'Instrument Table'!$B:$B, $C3882)))</f>
        <v>Musical Accessories</v>
      </c>
      <c r="D3883" s="1" t="str">
        <f>VLOOKUP($C3883, 'Instrument Table'!$B:$C, 2, FALSE)</f>
        <v>Other</v>
      </c>
      <c r="E3883" s="1">
        <f t="shared" si="360"/>
        <v>1</v>
      </c>
      <c r="F3883" s="1">
        <f>_xlfn.XLOOKUP($C3883, 'Instrument Table'!$B:$B, 'Instrument Table'!$A:$A, "")</f>
        <v>64</v>
      </c>
      <c r="G3883" s="1" t="str">
        <f>TEXT(IF($B3883 = "Retail Item", IF((ROW($A3883) - 4504 - _xlfn.XMATCH($C3883, $C$4506:$C$5005, 0, 1)) &lt;= VLOOKUP($C3883, 'Instrument Table'!$B:$D, 3, FALSE), ROW($A3883) - 4504 - _xlfn.XMATCH($C3883, $C$4506:$C$5005, 0, 1), 0), 0), "00")</f>
        <v>00</v>
      </c>
      <c r="H3883" s="1" t="str">
        <f t="shared" si="361"/>
        <v>077</v>
      </c>
      <c r="I3883" s="1" t="str">
        <f t="shared" si="362"/>
        <v>16400-077</v>
      </c>
      <c r="J3883" s="1" t="str">
        <f t="shared" si="363"/>
        <v>Musical accessories production item #077</v>
      </c>
      <c r="K3883" s="1" t="str">
        <f>IF(SUM(COUNTIFS(I:I, I3883)) &gt; 1, "DUPLICATE", "UNIQUE")</f>
        <v>UNIQUE</v>
      </c>
      <c r="L3883" s="18">
        <v>8</v>
      </c>
      <c r="M3883" s="28">
        <v>55</v>
      </c>
      <c r="N3883" s="6">
        <v>36</v>
      </c>
      <c r="O3883" s="30">
        <f t="shared" si="364"/>
        <v>440</v>
      </c>
      <c r="P3883" s="30">
        <f t="shared" si="365"/>
        <v>1980</v>
      </c>
      <c r="Q3883" s="1">
        <f>COUNTIFS($P:$P, "&gt;" &amp; $P3883) + 1</f>
        <v>3265</v>
      </c>
      <c r="R3883" s="63">
        <f>(COUNTIFS($P:$P, "&gt;" &amp; $P3883) + 1) / (COUNTA($I:$I) - 1)</f>
        <v>0.65300000000000002</v>
      </c>
      <c r="S3883" s="23">
        <f>SUMIFS($P:$P, $Q:$Q, "&lt;" &amp; $Q3883)</f>
        <v>185541175</v>
      </c>
    </row>
    <row r="3884" spans="1:19" x14ac:dyDescent="0.25">
      <c r="A3884" s="1">
        <v>3879</v>
      </c>
      <c r="B3884" s="1" t="s">
        <v>2</v>
      </c>
      <c r="C3884" s="1" t="str">
        <f>IF($B3884 = "Production Item", _xlfn.XLOOKUP($A3884, 'Instrument Table'!$J:$J, 'Instrument Table'!$B:$B, $C3883), IF($B3884 = "Service Item", _xlfn.XLOOKUP($A3884, 'Instrument Table'!$I:$I, 'Instrument Table'!$B:$B, $C3883), _xlfn.XLOOKUP($A3884, 'Instrument Table'!$H:$H, 'Instrument Table'!$B:$B, $C3883)))</f>
        <v>Musical Accessories</v>
      </c>
      <c r="D3884" s="1" t="str">
        <f>VLOOKUP($C3884, 'Instrument Table'!$B:$C, 2, FALSE)</f>
        <v>Other</v>
      </c>
      <c r="E3884" s="1">
        <f t="shared" si="360"/>
        <v>1</v>
      </c>
      <c r="F3884" s="1">
        <f>_xlfn.XLOOKUP($C3884, 'Instrument Table'!$B:$B, 'Instrument Table'!$A:$A, "")</f>
        <v>64</v>
      </c>
      <c r="G3884" s="1" t="str">
        <f>TEXT(IF($B3884 = "Retail Item", IF((ROW($A3884) - 4504 - _xlfn.XMATCH($C3884, $C$4506:$C$5005, 0, 1)) &lt;= VLOOKUP($C3884, 'Instrument Table'!$B:$D, 3, FALSE), ROW($A3884) - 4504 - _xlfn.XMATCH($C3884, $C$4506:$C$5005, 0, 1), 0), 0), "00")</f>
        <v>00</v>
      </c>
      <c r="H3884" s="1" t="str">
        <f t="shared" si="361"/>
        <v>078</v>
      </c>
      <c r="I3884" s="1" t="str">
        <f t="shared" si="362"/>
        <v>16400-078</v>
      </c>
      <c r="J3884" s="1" t="str">
        <f t="shared" si="363"/>
        <v>Musical accessories production item #078</v>
      </c>
      <c r="K3884" s="1" t="str">
        <f>IF(SUM(COUNTIFS(I:I, I3884)) &gt; 1, "DUPLICATE", "UNIQUE")</f>
        <v>UNIQUE</v>
      </c>
      <c r="L3884" s="18">
        <v>0</v>
      </c>
      <c r="M3884" s="28">
        <v>58</v>
      </c>
      <c r="N3884" s="6">
        <v>400</v>
      </c>
      <c r="O3884" s="30">
        <f t="shared" si="364"/>
        <v>0</v>
      </c>
      <c r="P3884" s="30">
        <f t="shared" si="365"/>
        <v>23200</v>
      </c>
      <c r="Q3884" s="1">
        <f>COUNTIFS($P:$P, "&gt;" &amp; $P3884) + 1</f>
        <v>896</v>
      </c>
      <c r="R3884" s="63">
        <f>(COUNTIFS($P:$P, "&gt;" &amp; $P3884) + 1) / (COUNTA($I:$I) - 1)</f>
        <v>0.1792</v>
      </c>
      <c r="S3884" s="23">
        <f>SUMIFS($P:$P, $Q:$Q, "&lt;" &amp; $Q3884)</f>
        <v>164187987</v>
      </c>
    </row>
    <row r="3885" spans="1:19" x14ac:dyDescent="0.25">
      <c r="A3885" s="1">
        <v>3880</v>
      </c>
      <c r="B3885" s="1" t="s">
        <v>2</v>
      </c>
      <c r="C3885" s="1" t="str">
        <f>IF($B3885 = "Production Item", _xlfn.XLOOKUP($A3885, 'Instrument Table'!$J:$J, 'Instrument Table'!$B:$B, $C3884), IF($B3885 = "Service Item", _xlfn.XLOOKUP($A3885, 'Instrument Table'!$I:$I, 'Instrument Table'!$B:$B, $C3884), _xlfn.XLOOKUP($A3885, 'Instrument Table'!$H:$H, 'Instrument Table'!$B:$B, $C3884)))</f>
        <v>Musical Accessories</v>
      </c>
      <c r="D3885" s="1" t="str">
        <f>VLOOKUP($C3885, 'Instrument Table'!$B:$C, 2, FALSE)</f>
        <v>Other</v>
      </c>
      <c r="E3885" s="1">
        <f t="shared" si="360"/>
        <v>1</v>
      </c>
      <c r="F3885" s="1">
        <f>_xlfn.XLOOKUP($C3885, 'Instrument Table'!$B:$B, 'Instrument Table'!$A:$A, "")</f>
        <v>64</v>
      </c>
      <c r="G3885" s="1" t="str">
        <f>TEXT(IF($B3885 = "Retail Item", IF((ROW($A3885) - 4504 - _xlfn.XMATCH($C3885, $C$4506:$C$5005, 0, 1)) &lt;= VLOOKUP($C3885, 'Instrument Table'!$B:$D, 3, FALSE), ROW($A3885) - 4504 - _xlfn.XMATCH($C3885, $C$4506:$C$5005, 0, 1), 0), 0), "00")</f>
        <v>00</v>
      </c>
      <c r="H3885" s="1" t="str">
        <f t="shared" si="361"/>
        <v>079</v>
      </c>
      <c r="I3885" s="1" t="str">
        <f t="shared" si="362"/>
        <v>16400-079</v>
      </c>
      <c r="J3885" s="1" t="str">
        <f t="shared" si="363"/>
        <v>Musical accessories production item #079</v>
      </c>
      <c r="K3885" s="1" t="str">
        <f>IF(SUM(COUNTIFS(I:I, I3885)) &gt; 1, "DUPLICATE", "UNIQUE")</f>
        <v>UNIQUE</v>
      </c>
      <c r="L3885" s="18">
        <v>0</v>
      </c>
      <c r="M3885" s="28">
        <v>28</v>
      </c>
      <c r="N3885" s="6">
        <v>361</v>
      </c>
      <c r="O3885" s="30">
        <f t="shared" si="364"/>
        <v>0</v>
      </c>
      <c r="P3885" s="30">
        <f t="shared" si="365"/>
        <v>10108</v>
      </c>
      <c r="Q3885" s="1">
        <f>COUNTIFS($P:$P, "&gt;" &amp; $P3885) + 1</f>
        <v>1764</v>
      </c>
      <c r="R3885" s="63">
        <f>(COUNTIFS($P:$P, "&gt;" &amp; $P3885) + 1) / (COUNTA($I:$I) - 1)</f>
        <v>0.3528</v>
      </c>
      <c r="S3885" s="23">
        <f>SUMIFS($P:$P, $Q:$Q, "&lt;" &amp; $Q3885)</f>
        <v>177885289</v>
      </c>
    </row>
    <row r="3886" spans="1:19" x14ac:dyDescent="0.25">
      <c r="A3886" s="1">
        <v>3881</v>
      </c>
      <c r="B3886" s="1" t="s">
        <v>2</v>
      </c>
      <c r="C3886" s="1" t="str">
        <f>IF($B3886 = "Production Item", _xlfn.XLOOKUP($A3886, 'Instrument Table'!$J:$J, 'Instrument Table'!$B:$B, $C3885), IF($B3886 = "Service Item", _xlfn.XLOOKUP($A3886, 'Instrument Table'!$I:$I, 'Instrument Table'!$B:$B, $C3885), _xlfn.XLOOKUP($A3886, 'Instrument Table'!$H:$H, 'Instrument Table'!$B:$B, $C3885)))</f>
        <v>Musical Accessories</v>
      </c>
      <c r="D3886" s="1" t="str">
        <f>VLOOKUP($C3886, 'Instrument Table'!$B:$C, 2, FALSE)</f>
        <v>Other</v>
      </c>
      <c r="E3886" s="1">
        <f t="shared" si="360"/>
        <v>1</v>
      </c>
      <c r="F3886" s="1">
        <f>_xlfn.XLOOKUP($C3886, 'Instrument Table'!$B:$B, 'Instrument Table'!$A:$A, "")</f>
        <v>64</v>
      </c>
      <c r="G3886" s="1" t="str">
        <f>TEXT(IF($B3886 = "Retail Item", IF((ROW($A3886) - 4504 - _xlfn.XMATCH($C3886, $C$4506:$C$5005, 0, 1)) &lt;= VLOOKUP($C3886, 'Instrument Table'!$B:$D, 3, FALSE), ROW($A3886) - 4504 - _xlfn.XMATCH($C3886, $C$4506:$C$5005, 0, 1), 0), 0), "00")</f>
        <v>00</v>
      </c>
      <c r="H3886" s="1" t="str">
        <f t="shared" si="361"/>
        <v>080</v>
      </c>
      <c r="I3886" s="1" t="str">
        <f t="shared" si="362"/>
        <v>16400-080</v>
      </c>
      <c r="J3886" s="1" t="str">
        <f t="shared" si="363"/>
        <v>Musical accessories production item #080</v>
      </c>
      <c r="K3886" s="1" t="str">
        <f>IF(SUM(COUNTIFS(I:I, I3886)) &gt; 1, "DUPLICATE", "UNIQUE")</f>
        <v>UNIQUE</v>
      </c>
      <c r="L3886" s="18">
        <v>32</v>
      </c>
      <c r="M3886" s="28">
        <v>33</v>
      </c>
      <c r="N3886" s="6">
        <v>9</v>
      </c>
      <c r="O3886" s="30">
        <f t="shared" si="364"/>
        <v>1056</v>
      </c>
      <c r="P3886" s="30">
        <f t="shared" si="365"/>
        <v>297</v>
      </c>
      <c r="Q3886" s="1">
        <f>COUNTIFS($P:$P, "&gt;" &amp; $P3886) + 1</f>
        <v>4221</v>
      </c>
      <c r="R3886" s="63">
        <f>(COUNTIFS($P:$P, "&gt;" &amp; $P3886) + 1) / (COUNTA($I:$I) - 1)</f>
        <v>0.84419999999999995</v>
      </c>
      <c r="S3886" s="23">
        <f>SUMIFS($P:$P, $Q:$Q, "&lt;" &amp; $Q3886)</f>
        <v>186486827</v>
      </c>
    </row>
    <row r="3887" spans="1:19" x14ac:dyDescent="0.25">
      <c r="A3887" s="1">
        <v>3882</v>
      </c>
      <c r="B3887" s="1" t="s">
        <v>2</v>
      </c>
      <c r="C3887" s="1" t="str">
        <f>IF($B3887 = "Production Item", _xlfn.XLOOKUP($A3887, 'Instrument Table'!$J:$J, 'Instrument Table'!$B:$B, $C3886), IF($B3887 = "Service Item", _xlfn.XLOOKUP($A3887, 'Instrument Table'!$I:$I, 'Instrument Table'!$B:$B, $C3886), _xlfn.XLOOKUP($A3887, 'Instrument Table'!$H:$H, 'Instrument Table'!$B:$B, $C3886)))</f>
        <v>Musical Accessories</v>
      </c>
      <c r="D3887" s="1" t="str">
        <f>VLOOKUP($C3887, 'Instrument Table'!$B:$C, 2, FALSE)</f>
        <v>Other</v>
      </c>
      <c r="E3887" s="1">
        <f t="shared" si="360"/>
        <v>1</v>
      </c>
      <c r="F3887" s="1">
        <f>_xlfn.XLOOKUP($C3887, 'Instrument Table'!$B:$B, 'Instrument Table'!$A:$A, "")</f>
        <v>64</v>
      </c>
      <c r="G3887" s="1" t="str">
        <f>TEXT(IF($B3887 = "Retail Item", IF((ROW($A3887) - 4504 - _xlfn.XMATCH($C3887, $C$4506:$C$5005, 0, 1)) &lt;= VLOOKUP($C3887, 'Instrument Table'!$B:$D, 3, FALSE), ROW($A3887) - 4504 - _xlfn.XMATCH($C3887, $C$4506:$C$5005, 0, 1), 0), 0), "00")</f>
        <v>00</v>
      </c>
      <c r="H3887" s="1" t="str">
        <f t="shared" si="361"/>
        <v>081</v>
      </c>
      <c r="I3887" s="1" t="str">
        <f t="shared" si="362"/>
        <v>16400-081</v>
      </c>
      <c r="J3887" s="1" t="str">
        <f t="shared" si="363"/>
        <v>Musical accessories production item #081</v>
      </c>
      <c r="K3887" s="1" t="str">
        <f>IF(SUM(COUNTIFS(I:I, I3887)) &gt; 1, "DUPLICATE", "UNIQUE")</f>
        <v>UNIQUE</v>
      </c>
      <c r="L3887" s="18">
        <v>2</v>
      </c>
      <c r="M3887" s="28">
        <v>63</v>
      </c>
      <c r="N3887" s="6">
        <v>1</v>
      </c>
      <c r="O3887" s="30">
        <f t="shared" si="364"/>
        <v>126</v>
      </c>
      <c r="P3887" s="30">
        <f t="shared" si="365"/>
        <v>63</v>
      </c>
      <c r="Q3887" s="1">
        <f>COUNTIFS($P:$P, "&gt;" &amp; $P3887) + 1</f>
        <v>4568</v>
      </c>
      <c r="R3887" s="63">
        <f>(COUNTIFS($P:$P, "&gt;" &amp; $P3887) + 1) / (COUNTA($I:$I) - 1)</f>
        <v>0.91359999999999997</v>
      </c>
      <c r="S3887" s="23">
        <f>SUMIFS($P:$P, $Q:$Q, "&lt;" &amp; $Q3887)</f>
        <v>186541810</v>
      </c>
    </row>
    <row r="3888" spans="1:19" x14ac:dyDescent="0.25">
      <c r="A3888" s="1">
        <v>3883</v>
      </c>
      <c r="B3888" s="1" t="s">
        <v>2</v>
      </c>
      <c r="C3888" s="1" t="str">
        <f>IF($B3888 = "Production Item", _xlfn.XLOOKUP($A3888, 'Instrument Table'!$J:$J, 'Instrument Table'!$B:$B, $C3887), IF($B3888 = "Service Item", _xlfn.XLOOKUP($A3888, 'Instrument Table'!$I:$I, 'Instrument Table'!$B:$B, $C3887), _xlfn.XLOOKUP($A3888, 'Instrument Table'!$H:$H, 'Instrument Table'!$B:$B, $C3887)))</f>
        <v>Musical Accessories</v>
      </c>
      <c r="D3888" s="1" t="str">
        <f>VLOOKUP($C3888, 'Instrument Table'!$B:$C, 2, FALSE)</f>
        <v>Other</v>
      </c>
      <c r="E3888" s="1">
        <f t="shared" si="360"/>
        <v>1</v>
      </c>
      <c r="F3888" s="1">
        <f>_xlfn.XLOOKUP($C3888, 'Instrument Table'!$B:$B, 'Instrument Table'!$A:$A, "")</f>
        <v>64</v>
      </c>
      <c r="G3888" s="1" t="str">
        <f>TEXT(IF($B3888 = "Retail Item", IF((ROW($A3888) - 4504 - _xlfn.XMATCH($C3888, $C$4506:$C$5005, 0, 1)) &lt;= VLOOKUP($C3888, 'Instrument Table'!$B:$D, 3, FALSE), ROW($A3888) - 4504 - _xlfn.XMATCH($C3888, $C$4506:$C$5005, 0, 1), 0), 0), "00")</f>
        <v>00</v>
      </c>
      <c r="H3888" s="1" t="str">
        <f t="shared" si="361"/>
        <v>082</v>
      </c>
      <c r="I3888" s="1" t="str">
        <f t="shared" si="362"/>
        <v>16400-082</v>
      </c>
      <c r="J3888" s="1" t="str">
        <f t="shared" si="363"/>
        <v>Musical accessories production item #082</v>
      </c>
      <c r="K3888" s="1" t="str">
        <f>IF(SUM(COUNTIFS(I:I, I3888)) &gt; 1, "DUPLICATE", "UNIQUE")</f>
        <v>UNIQUE</v>
      </c>
      <c r="L3888" s="18">
        <v>1</v>
      </c>
      <c r="M3888" s="28">
        <v>18</v>
      </c>
      <c r="N3888" s="6">
        <v>256</v>
      </c>
      <c r="O3888" s="30">
        <f t="shared" si="364"/>
        <v>18</v>
      </c>
      <c r="P3888" s="30">
        <f t="shared" si="365"/>
        <v>4608</v>
      </c>
      <c r="Q3888" s="1">
        <f>COUNTIFS($P:$P, "&gt;" &amp; $P3888) + 1</f>
        <v>2515</v>
      </c>
      <c r="R3888" s="63">
        <f>(COUNTIFS($P:$P, "&gt;" &amp; $P3888) + 1) / (COUNTA($I:$I) - 1)</f>
        <v>0.503</v>
      </c>
      <c r="S3888" s="23">
        <f>SUMIFS($P:$P, $Q:$Q, "&lt;" &amp; $Q3888)</f>
        <v>183185375</v>
      </c>
    </row>
    <row r="3889" spans="1:19" x14ac:dyDescent="0.25">
      <c r="A3889" s="1">
        <v>3884</v>
      </c>
      <c r="B3889" s="1" t="s">
        <v>2</v>
      </c>
      <c r="C3889" s="1" t="str">
        <f>IF($B3889 = "Production Item", _xlfn.XLOOKUP($A3889, 'Instrument Table'!$J:$J, 'Instrument Table'!$B:$B, $C3888), IF($B3889 = "Service Item", _xlfn.XLOOKUP($A3889, 'Instrument Table'!$I:$I, 'Instrument Table'!$B:$B, $C3888), _xlfn.XLOOKUP($A3889, 'Instrument Table'!$H:$H, 'Instrument Table'!$B:$B, $C3888)))</f>
        <v>Musical Accessories</v>
      </c>
      <c r="D3889" s="1" t="str">
        <f>VLOOKUP($C3889, 'Instrument Table'!$B:$C, 2, FALSE)</f>
        <v>Other</v>
      </c>
      <c r="E3889" s="1">
        <f t="shared" si="360"/>
        <v>1</v>
      </c>
      <c r="F3889" s="1">
        <f>_xlfn.XLOOKUP($C3889, 'Instrument Table'!$B:$B, 'Instrument Table'!$A:$A, "")</f>
        <v>64</v>
      </c>
      <c r="G3889" s="1" t="str">
        <f>TEXT(IF($B3889 = "Retail Item", IF((ROW($A3889) - 4504 - _xlfn.XMATCH($C3889, $C$4506:$C$5005, 0, 1)) &lt;= VLOOKUP($C3889, 'Instrument Table'!$B:$D, 3, FALSE), ROW($A3889) - 4504 - _xlfn.XMATCH($C3889, $C$4506:$C$5005, 0, 1), 0), 0), "00")</f>
        <v>00</v>
      </c>
      <c r="H3889" s="1" t="str">
        <f t="shared" si="361"/>
        <v>083</v>
      </c>
      <c r="I3889" s="1" t="str">
        <f t="shared" si="362"/>
        <v>16400-083</v>
      </c>
      <c r="J3889" s="1" t="str">
        <f t="shared" si="363"/>
        <v>Musical accessories production item #083</v>
      </c>
      <c r="K3889" s="1" t="str">
        <f>IF(SUM(COUNTIFS(I:I, I3889)) &gt; 1, "DUPLICATE", "UNIQUE")</f>
        <v>UNIQUE</v>
      </c>
      <c r="L3889" s="18">
        <v>4</v>
      </c>
      <c r="M3889" s="28">
        <v>17</v>
      </c>
      <c r="N3889" s="6">
        <v>64</v>
      </c>
      <c r="O3889" s="30">
        <f t="shared" si="364"/>
        <v>68</v>
      </c>
      <c r="P3889" s="30">
        <f t="shared" si="365"/>
        <v>1088</v>
      </c>
      <c r="Q3889" s="1">
        <f>COUNTIFS($P:$P, "&gt;" &amp; $P3889) + 1</f>
        <v>3650</v>
      </c>
      <c r="R3889" s="63">
        <f>(COUNTIFS($P:$P, "&gt;" &amp; $P3889) + 1) / (COUNTA($I:$I) - 1)</f>
        <v>0.73</v>
      </c>
      <c r="S3889" s="23">
        <f>SUMIFS($P:$P, $Q:$Q, "&lt;" &amp; $Q3889)</f>
        <v>186127811</v>
      </c>
    </row>
    <row r="3890" spans="1:19" x14ac:dyDescent="0.25">
      <c r="A3890" s="1">
        <v>3885</v>
      </c>
      <c r="B3890" s="1" t="s">
        <v>2</v>
      </c>
      <c r="C3890" s="1" t="str">
        <f>IF($B3890 = "Production Item", _xlfn.XLOOKUP($A3890, 'Instrument Table'!$J:$J, 'Instrument Table'!$B:$B, $C3889), IF($B3890 = "Service Item", _xlfn.XLOOKUP($A3890, 'Instrument Table'!$I:$I, 'Instrument Table'!$B:$B, $C3889), _xlfn.XLOOKUP($A3890, 'Instrument Table'!$H:$H, 'Instrument Table'!$B:$B, $C3889)))</f>
        <v>Musical Accessories</v>
      </c>
      <c r="D3890" s="1" t="str">
        <f>VLOOKUP($C3890, 'Instrument Table'!$B:$C, 2, FALSE)</f>
        <v>Other</v>
      </c>
      <c r="E3890" s="1">
        <f t="shared" si="360"/>
        <v>1</v>
      </c>
      <c r="F3890" s="1">
        <f>_xlfn.XLOOKUP($C3890, 'Instrument Table'!$B:$B, 'Instrument Table'!$A:$A, "")</f>
        <v>64</v>
      </c>
      <c r="G3890" s="1" t="str">
        <f>TEXT(IF($B3890 = "Retail Item", IF((ROW($A3890) - 4504 - _xlfn.XMATCH($C3890, $C$4506:$C$5005, 0, 1)) &lt;= VLOOKUP($C3890, 'Instrument Table'!$B:$D, 3, FALSE), ROW($A3890) - 4504 - _xlfn.XMATCH($C3890, $C$4506:$C$5005, 0, 1), 0), 0), "00")</f>
        <v>00</v>
      </c>
      <c r="H3890" s="1" t="str">
        <f t="shared" si="361"/>
        <v>084</v>
      </c>
      <c r="I3890" s="1" t="str">
        <f t="shared" si="362"/>
        <v>16400-084</v>
      </c>
      <c r="J3890" s="1" t="str">
        <f t="shared" si="363"/>
        <v>Musical accessories production item #084</v>
      </c>
      <c r="K3890" s="1" t="str">
        <f>IF(SUM(COUNTIFS(I:I, I3890)) &gt; 1, "DUPLICATE", "UNIQUE")</f>
        <v>UNIQUE</v>
      </c>
      <c r="L3890" s="18">
        <v>1</v>
      </c>
      <c r="M3890" s="28">
        <v>39</v>
      </c>
      <c r="N3890" s="6">
        <v>100</v>
      </c>
      <c r="O3890" s="30">
        <f t="shared" si="364"/>
        <v>39</v>
      </c>
      <c r="P3890" s="30">
        <f t="shared" si="365"/>
        <v>3900</v>
      </c>
      <c r="Q3890" s="1">
        <f>COUNTIFS($P:$P, "&gt;" &amp; $P3890) + 1</f>
        <v>2677</v>
      </c>
      <c r="R3890" s="63">
        <f>(COUNTIFS($P:$P, "&gt;" &amp; $P3890) + 1) / (COUNTA($I:$I) - 1)</f>
        <v>0.53539999999999999</v>
      </c>
      <c r="S3890" s="23">
        <f>SUMIFS($P:$P, $Q:$Q, "&lt;" &amp; $Q3890)</f>
        <v>183877992</v>
      </c>
    </row>
    <row r="3891" spans="1:19" x14ac:dyDescent="0.25">
      <c r="A3891" s="1">
        <v>3886</v>
      </c>
      <c r="B3891" s="1" t="s">
        <v>2</v>
      </c>
      <c r="C3891" s="1" t="str">
        <f>IF($B3891 = "Production Item", _xlfn.XLOOKUP($A3891, 'Instrument Table'!$J:$J, 'Instrument Table'!$B:$B, $C3890), IF($B3891 = "Service Item", _xlfn.XLOOKUP($A3891, 'Instrument Table'!$I:$I, 'Instrument Table'!$B:$B, $C3890), _xlfn.XLOOKUP($A3891, 'Instrument Table'!$H:$H, 'Instrument Table'!$B:$B, $C3890)))</f>
        <v>Musical Accessories</v>
      </c>
      <c r="D3891" s="1" t="str">
        <f>VLOOKUP($C3891, 'Instrument Table'!$B:$C, 2, FALSE)</f>
        <v>Other</v>
      </c>
      <c r="E3891" s="1">
        <f t="shared" si="360"/>
        <v>1</v>
      </c>
      <c r="F3891" s="1">
        <f>_xlfn.XLOOKUP($C3891, 'Instrument Table'!$B:$B, 'Instrument Table'!$A:$A, "")</f>
        <v>64</v>
      </c>
      <c r="G3891" s="1" t="str">
        <f>TEXT(IF($B3891 = "Retail Item", IF((ROW($A3891) - 4504 - _xlfn.XMATCH($C3891, $C$4506:$C$5005, 0, 1)) &lt;= VLOOKUP($C3891, 'Instrument Table'!$B:$D, 3, FALSE), ROW($A3891) - 4504 - _xlfn.XMATCH($C3891, $C$4506:$C$5005, 0, 1), 0), 0), "00")</f>
        <v>00</v>
      </c>
      <c r="H3891" s="1" t="str">
        <f t="shared" si="361"/>
        <v>085</v>
      </c>
      <c r="I3891" s="1" t="str">
        <f t="shared" si="362"/>
        <v>16400-085</v>
      </c>
      <c r="J3891" s="1" t="str">
        <f t="shared" si="363"/>
        <v>Musical accessories production item #085</v>
      </c>
      <c r="K3891" s="1" t="str">
        <f>IF(SUM(COUNTIFS(I:I, I3891)) &gt; 1, "DUPLICATE", "UNIQUE")</f>
        <v>UNIQUE</v>
      </c>
      <c r="L3891" s="18">
        <v>8</v>
      </c>
      <c r="M3891" s="28">
        <v>98</v>
      </c>
      <c r="N3891" s="6">
        <v>25</v>
      </c>
      <c r="O3891" s="30">
        <f t="shared" si="364"/>
        <v>784</v>
      </c>
      <c r="P3891" s="30">
        <f t="shared" si="365"/>
        <v>2450</v>
      </c>
      <c r="Q3891" s="1">
        <f>COUNTIFS($P:$P, "&gt;" &amp; $P3891) + 1</f>
        <v>3067</v>
      </c>
      <c r="R3891" s="63">
        <f>(COUNTIFS($P:$P, "&gt;" &amp; $P3891) + 1) / (COUNTA($I:$I) - 1)</f>
        <v>0.61339999999999995</v>
      </c>
      <c r="S3891" s="23">
        <f>SUMIFS($P:$P, $Q:$Q, "&lt;" &amp; $Q3891)</f>
        <v>185102873</v>
      </c>
    </row>
    <row r="3892" spans="1:19" x14ac:dyDescent="0.25">
      <c r="A3892" s="1">
        <v>3887</v>
      </c>
      <c r="B3892" s="1" t="s">
        <v>2</v>
      </c>
      <c r="C3892" s="1" t="str">
        <f>IF($B3892 = "Production Item", _xlfn.XLOOKUP($A3892, 'Instrument Table'!$J:$J, 'Instrument Table'!$B:$B, $C3891), IF($B3892 = "Service Item", _xlfn.XLOOKUP($A3892, 'Instrument Table'!$I:$I, 'Instrument Table'!$B:$B, $C3891), _xlfn.XLOOKUP($A3892, 'Instrument Table'!$H:$H, 'Instrument Table'!$B:$B, $C3891)))</f>
        <v>Musical Accessories</v>
      </c>
      <c r="D3892" s="1" t="str">
        <f>VLOOKUP($C3892, 'Instrument Table'!$B:$C, 2, FALSE)</f>
        <v>Other</v>
      </c>
      <c r="E3892" s="1">
        <f t="shared" si="360"/>
        <v>1</v>
      </c>
      <c r="F3892" s="1">
        <f>_xlfn.XLOOKUP($C3892, 'Instrument Table'!$B:$B, 'Instrument Table'!$A:$A, "")</f>
        <v>64</v>
      </c>
      <c r="G3892" s="1" t="str">
        <f>TEXT(IF($B3892 = "Retail Item", IF((ROW($A3892) - 4504 - _xlfn.XMATCH($C3892, $C$4506:$C$5005, 0, 1)) &lt;= VLOOKUP($C3892, 'Instrument Table'!$B:$D, 3, FALSE), ROW($A3892) - 4504 - _xlfn.XMATCH($C3892, $C$4506:$C$5005, 0, 1), 0), 0), "00")</f>
        <v>00</v>
      </c>
      <c r="H3892" s="1" t="str">
        <f t="shared" si="361"/>
        <v>086</v>
      </c>
      <c r="I3892" s="1" t="str">
        <f t="shared" si="362"/>
        <v>16400-086</v>
      </c>
      <c r="J3892" s="1" t="str">
        <f t="shared" si="363"/>
        <v>Musical accessories production item #086</v>
      </c>
      <c r="K3892" s="1" t="str">
        <f>IF(SUM(COUNTIFS(I:I, I3892)) &gt; 1, "DUPLICATE", "UNIQUE")</f>
        <v>UNIQUE</v>
      </c>
      <c r="L3892" s="18">
        <v>8</v>
      </c>
      <c r="M3892" s="28">
        <v>10</v>
      </c>
      <c r="N3892" s="6">
        <v>361</v>
      </c>
      <c r="O3892" s="30">
        <f t="shared" si="364"/>
        <v>80</v>
      </c>
      <c r="P3892" s="30">
        <f t="shared" si="365"/>
        <v>3610</v>
      </c>
      <c r="Q3892" s="1">
        <f>COUNTIFS($P:$P, "&gt;" &amp; $P3892) + 1</f>
        <v>2735</v>
      </c>
      <c r="R3892" s="63">
        <f>(COUNTIFS($P:$P, "&gt;" &amp; $P3892) + 1) / (COUNTA($I:$I) - 1)</f>
        <v>0.54700000000000004</v>
      </c>
      <c r="S3892" s="23">
        <f>SUMIFS($P:$P, $Q:$Q, "&lt;" &amp; $Q3892)</f>
        <v>184096821</v>
      </c>
    </row>
    <row r="3893" spans="1:19" x14ac:dyDescent="0.25">
      <c r="A3893" s="1">
        <v>3888</v>
      </c>
      <c r="B3893" s="1" t="s">
        <v>2</v>
      </c>
      <c r="C3893" s="1" t="str">
        <f>IF($B3893 = "Production Item", _xlfn.XLOOKUP($A3893, 'Instrument Table'!$J:$J, 'Instrument Table'!$B:$B, $C3892), IF($B3893 = "Service Item", _xlfn.XLOOKUP($A3893, 'Instrument Table'!$I:$I, 'Instrument Table'!$B:$B, $C3892), _xlfn.XLOOKUP($A3893, 'Instrument Table'!$H:$H, 'Instrument Table'!$B:$B, $C3892)))</f>
        <v>Musical Accessories</v>
      </c>
      <c r="D3893" s="1" t="str">
        <f>VLOOKUP($C3893, 'Instrument Table'!$B:$C, 2, FALSE)</f>
        <v>Other</v>
      </c>
      <c r="E3893" s="1">
        <f t="shared" si="360"/>
        <v>1</v>
      </c>
      <c r="F3893" s="1">
        <f>_xlfn.XLOOKUP($C3893, 'Instrument Table'!$B:$B, 'Instrument Table'!$A:$A, "")</f>
        <v>64</v>
      </c>
      <c r="G3893" s="1" t="str">
        <f>TEXT(IF($B3893 = "Retail Item", IF((ROW($A3893) - 4504 - _xlfn.XMATCH($C3893, $C$4506:$C$5005, 0, 1)) &lt;= VLOOKUP($C3893, 'Instrument Table'!$B:$D, 3, FALSE), ROW($A3893) - 4504 - _xlfn.XMATCH($C3893, $C$4506:$C$5005, 0, 1), 0), 0), "00")</f>
        <v>00</v>
      </c>
      <c r="H3893" s="1" t="str">
        <f t="shared" si="361"/>
        <v>087</v>
      </c>
      <c r="I3893" s="1" t="str">
        <f t="shared" si="362"/>
        <v>16400-087</v>
      </c>
      <c r="J3893" s="1" t="str">
        <f t="shared" si="363"/>
        <v>Musical accessories production item #087</v>
      </c>
      <c r="K3893" s="1" t="str">
        <f>IF(SUM(COUNTIFS(I:I, I3893)) &gt; 1, "DUPLICATE", "UNIQUE")</f>
        <v>UNIQUE</v>
      </c>
      <c r="L3893" s="18">
        <v>1</v>
      </c>
      <c r="M3893" s="28">
        <v>54</v>
      </c>
      <c r="N3893" s="6">
        <v>289</v>
      </c>
      <c r="O3893" s="30">
        <f t="shared" si="364"/>
        <v>54</v>
      </c>
      <c r="P3893" s="30">
        <f t="shared" si="365"/>
        <v>15606</v>
      </c>
      <c r="Q3893" s="1">
        <f>COUNTIFS($P:$P, "&gt;" &amp; $P3893) + 1</f>
        <v>1305</v>
      </c>
      <c r="R3893" s="63">
        <f>(COUNTIFS($P:$P, "&gt;" &amp; $P3893) + 1) / (COUNTA($I:$I) - 1)</f>
        <v>0.26100000000000001</v>
      </c>
      <c r="S3893" s="23">
        <f>SUMIFS($P:$P, $Q:$Q, "&lt;" &amp; $Q3893)</f>
        <v>172052197</v>
      </c>
    </row>
    <row r="3894" spans="1:19" x14ac:dyDescent="0.25">
      <c r="A3894" s="1">
        <v>3889</v>
      </c>
      <c r="B3894" s="1" t="s">
        <v>2</v>
      </c>
      <c r="C3894" s="1" t="str">
        <f>IF($B3894 = "Production Item", _xlfn.XLOOKUP($A3894, 'Instrument Table'!$J:$J, 'Instrument Table'!$B:$B, $C3893), IF($B3894 = "Service Item", _xlfn.XLOOKUP($A3894, 'Instrument Table'!$I:$I, 'Instrument Table'!$B:$B, $C3893), _xlfn.XLOOKUP($A3894, 'Instrument Table'!$H:$H, 'Instrument Table'!$B:$B, $C3893)))</f>
        <v>Musical Accessories</v>
      </c>
      <c r="D3894" s="1" t="str">
        <f>VLOOKUP($C3894, 'Instrument Table'!$B:$C, 2, FALSE)</f>
        <v>Other</v>
      </c>
      <c r="E3894" s="1">
        <f t="shared" si="360"/>
        <v>1</v>
      </c>
      <c r="F3894" s="1">
        <f>_xlfn.XLOOKUP($C3894, 'Instrument Table'!$B:$B, 'Instrument Table'!$A:$A, "")</f>
        <v>64</v>
      </c>
      <c r="G3894" s="1" t="str">
        <f>TEXT(IF($B3894 = "Retail Item", IF((ROW($A3894) - 4504 - _xlfn.XMATCH($C3894, $C$4506:$C$5005, 0, 1)) &lt;= VLOOKUP($C3894, 'Instrument Table'!$B:$D, 3, FALSE), ROW($A3894) - 4504 - _xlfn.XMATCH($C3894, $C$4506:$C$5005, 0, 1), 0), 0), "00")</f>
        <v>00</v>
      </c>
      <c r="H3894" s="1" t="str">
        <f t="shared" si="361"/>
        <v>088</v>
      </c>
      <c r="I3894" s="1" t="str">
        <f t="shared" si="362"/>
        <v>16400-088</v>
      </c>
      <c r="J3894" s="1" t="str">
        <f t="shared" si="363"/>
        <v>Musical accessories production item #088</v>
      </c>
      <c r="K3894" s="1" t="str">
        <f>IF(SUM(COUNTIFS(I:I, I3894)) &gt; 1, "DUPLICATE", "UNIQUE")</f>
        <v>UNIQUE</v>
      </c>
      <c r="L3894" s="18">
        <v>32</v>
      </c>
      <c r="M3894" s="28">
        <v>6</v>
      </c>
      <c r="N3894" s="6">
        <v>144</v>
      </c>
      <c r="O3894" s="30">
        <f t="shared" si="364"/>
        <v>192</v>
      </c>
      <c r="P3894" s="30">
        <f t="shared" si="365"/>
        <v>864</v>
      </c>
      <c r="Q3894" s="1">
        <f>COUNTIFS($P:$P, "&gt;" &amp; $P3894) + 1</f>
        <v>3751</v>
      </c>
      <c r="R3894" s="63">
        <f>(COUNTIFS($P:$P, "&gt;" &amp; $P3894) + 1) / (COUNTA($I:$I) - 1)</f>
        <v>0.75019999999999998</v>
      </c>
      <c r="S3894" s="23">
        <f>SUMIFS($P:$P, $Q:$Q, "&lt;" &amp; $Q3894)</f>
        <v>186225045</v>
      </c>
    </row>
    <row r="3895" spans="1:19" x14ac:dyDescent="0.25">
      <c r="A3895" s="1">
        <v>3890</v>
      </c>
      <c r="B3895" s="1" t="s">
        <v>2</v>
      </c>
      <c r="C3895" s="1" t="str">
        <f>IF($B3895 = "Production Item", _xlfn.XLOOKUP($A3895, 'Instrument Table'!$J:$J, 'Instrument Table'!$B:$B, $C3894), IF($B3895 = "Service Item", _xlfn.XLOOKUP($A3895, 'Instrument Table'!$I:$I, 'Instrument Table'!$B:$B, $C3894), _xlfn.XLOOKUP($A3895, 'Instrument Table'!$H:$H, 'Instrument Table'!$B:$B, $C3894)))</f>
        <v>Musical Accessories</v>
      </c>
      <c r="D3895" s="1" t="str">
        <f>VLOOKUP($C3895, 'Instrument Table'!$B:$C, 2, FALSE)</f>
        <v>Other</v>
      </c>
      <c r="E3895" s="1">
        <f t="shared" si="360"/>
        <v>1</v>
      </c>
      <c r="F3895" s="1">
        <f>_xlfn.XLOOKUP($C3895, 'Instrument Table'!$B:$B, 'Instrument Table'!$A:$A, "")</f>
        <v>64</v>
      </c>
      <c r="G3895" s="1" t="str">
        <f>TEXT(IF($B3895 = "Retail Item", IF((ROW($A3895) - 4504 - _xlfn.XMATCH($C3895, $C$4506:$C$5005, 0, 1)) &lt;= VLOOKUP($C3895, 'Instrument Table'!$B:$D, 3, FALSE), ROW($A3895) - 4504 - _xlfn.XMATCH($C3895, $C$4506:$C$5005, 0, 1), 0), 0), "00")</f>
        <v>00</v>
      </c>
      <c r="H3895" s="1" t="str">
        <f t="shared" si="361"/>
        <v>089</v>
      </c>
      <c r="I3895" s="1" t="str">
        <f t="shared" si="362"/>
        <v>16400-089</v>
      </c>
      <c r="J3895" s="1" t="str">
        <f t="shared" si="363"/>
        <v>Musical accessories production item #089</v>
      </c>
      <c r="K3895" s="1" t="str">
        <f>IF(SUM(COUNTIFS(I:I, I3895)) &gt; 1, "DUPLICATE", "UNIQUE")</f>
        <v>UNIQUE</v>
      </c>
      <c r="L3895" s="18">
        <v>1</v>
      </c>
      <c r="M3895" s="28">
        <v>78</v>
      </c>
      <c r="N3895" s="6">
        <v>64</v>
      </c>
      <c r="O3895" s="30">
        <f t="shared" si="364"/>
        <v>78</v>
      </c>
      <c r="P3895" s="30">
        <f t="shared" si="365"/>
        <v>4992</v>
      </c>
      <c r="Q3895" s="1">
        <f>COUNTIFS($P:$P, "&gt;" &amp; $P3895) + 1</f>
        <v>2449</v>
      </c>
      <c r="R3895" s="63">
        <f>(COUNTIFS($P:$P, "&gt;" &amp; $P3895) + 1) / (COUNTA($I:$I) - 1)</f>
        <v>0.48980000000000001</v>
      </c>
      <c r="S3895" s="23">
        <f>SUMIFS($P:$P, $Q:$Q, "&lt;" &amp; $Q3895)</f>
        <v>182867535</v>
      </c>
    </row>
    <row r="3896" spans="1:19" x14ac:dyDescent="0.25">
      <c r="A3896" s="1">
        <v>3891</v>
      </c>
      <c r="B3896" s="1" t="s">
        <v>2</v>
      </c>
      <c r="C3896" s="1" t="str">
        <f>IF($B3896 = "Production Item", _xlfn.XLOOKUP($A3896, 'Instrument Table'!$J:$J, 'Instrument Table'!$B:$B, $C3895), IF($B3896 = "Service Item", _xlfn.XLOOKUP($A3896, 'Instrument Table'!$I:$I, 'Instrument Table'!$B:$B, $C3895), _xlfn.XLOOKUP($A3896, 'Instrument Table'!$H:$H, 'Instrument Table'!$B:$B, $C3895)))</f>
        <v>Musical Accessories</v>
      </c>
      <c r="D3896" s="1" t="str">
        <f>VLOOKUP($C3896, 'Instrument Table'!$B:$C, 2, FALSE)</f>
        <v>Other</v>
      </c>
      <c r="E3896" s="1">
        <f t="shared" si="360"/>
        <v>1</v>
      </c>
      <c r="F3896" s="1">
        <f>_xlfn.XLOOKUP($C3896, 'Instrument Table'!$B:$B, 'Instrument Table'!$A:$A, "")</f>
        <v>64</v>
      </c>
      <c r="G3896" s="1" t="str">
        <f>TEXT(IF($B3896 = "Retail Item", IF((ROW($A3896) - 4504 - _xlfn.XMATCH($C3896, $C$4506:$C$5005, 0, 1)) &lt;= VLOOKUP($C3896, 'Instrument Table'!$B:$D, 3, FALSE), ROW($A3896) - 4504 - _xlfn.XMATCH($C3896, $C$4506:$C$5005, 0, 1), 0), 0), "00")</f>
        <v>00</v>
      </c>
      <c r="H3896" s="1" t="str">
        <f t="shared" si="361"/>
        <v>090</v>
      </c>
      <c r="I3896" s="1" t="str">
        <f t="shared" si="362"/>
        <v>16400-090</v>
      </c>
      <c r="J3896" s="1" t="str">
        <f t="shared" si="363"/>
        <v>Musical accessories production item #090</v>
      </c>
      <c r="K3896" s="1" t="str">
        <f>IF(SUM(COUNTIFS(I:I, I3896)) &gt; 1, "DUPLICATE", "UNIQUE")</f>
        <v>UNIQUE</v>
      </c>
      <c r="L3896" s="18">
        <v>1</v>
      </c>
      <c r="M3896" s="28">
        <v>48</v>
      </c>
      <c r="N3896" s="6">
        <v>256</v>
      </c>
      <c r="O3896" s="30">
        <f t="shared" si="364"/>
        <v>48</v>
      </c>
      <c r="P3896" s="30">
        <f t="shared" si="365"/>
        <v>12288</v>
      </c>
      <c r="Q3896" s="1">
        <f>COUNTIFS($P:$P, "&gt;" &amp; $P3896) + 1</f>
        <v>1553</v>
      </c>
      <c r="R3896" s="63">
        <f>(COUNTIFS($P:$P, "&gt;" &amp; $P3896) + 1) / (COUNTA($I:$I) - 1)</f>
        <v>0.31059999999999999</v>
      </c>
      <c r="S3896" s="23">
        <f>SUMIFS($P:$P, $Q:$Q, "&lt;" &amp; $Q3896)</f>
        <v>175511990</v>
      </c>
    </row>
    <row r="3897" spans="1:19" x14ac:dyDescent="0.25">
      <c r="A3897" s="1">
        <v>3892</v>
      </c>
      <c r="B3897" s="1" t="s">
        <v>2</v>
      </c>
      <c r="C3897" s="1" t="str">
        <f>IF($B3897 = "Production Item", _xlfn.XLOOKUP($A3897, 'Instrument Table'!$J:$J, 'Instrument Table'!$B:$B, $C3896), IF($B3897 = "Service Item", _xlfn.XLOOKUP($A3897, 'Instrument Table'!$I:$I, 'Instrument Table'!$B:$B, $C3896), _xlfn.XLOOKUP($A3897, 'Instrument Table'!$H:$H, 'Instrument Table'!$B:$B, $C3896)))</f>
        <v>Musical Accessories</v>
      </c>
      <c r="D3897" s="1" t="str">
        <f>VLOOKUP($C3897, 'Instrument Table'!$B:$C, 2, FALSE)</f>
        <v>Other</v>
      </c>
      <c r="E3897" s="1">
        <f t="shared" si="360"/>
        <v>1</v>
      </c>
      <c r="F3897" s="1">
        <f>_xlfn.XLOOKUP($C3897, 'Instrument Table'!$B:$B, 'Instrument Table'!$A:$A, "")</f>
        <v>64</v>
      </c>
      <c r="G3897" s="1" t="str">
        <f>TEXT(IF($B3897 = "Retail Item", IF((ROW($A3897) - 4504 - _xlfn.XMATCH($C3897, $C$4506:$C$5005, 0, 1)) &lt;= VLOOKUP($C3897, 'Instrument Table'!$B:$D, 3, FALSE), ROW($A3897) - 4504 - _xlfn.XMATCH($C3897, $C$4506:$C$5005, 0, 1), 0), 0), "00")</f>
        <v>00</v>
      </c>
      <c r="H3897" s="1" t="str">
        <f t="shared" si="361"/>
        <v>091</v>
      </c>
      <c r="I3897" s="1" t="str">
        <f t="shared" si="362"/>
        <v>16400-091</v>
      </c>
      <c r="J3897" s="1" t="str">
        <f t="shared" si="363"/>
        <v>Musical accessories production item #091</v>
      </c>
      <c r="K3897" s="1" t="str">
        <f>IF(SUM(COUNTIFS(I:I, I3897)) &gt; 1, "DUPLICATE", "UNIQUE")</f>
        <v>UNIQUE</v>
      </c>
      <c r="L3897" s="18">
        <v>0</v>
      </c>
      <c r="M3897" s="28">
        <v>56</v>
      </c>
      <c r="N3897" s="6">
        <v>25</v>
      </c>
      <c r="O3897" s="30">
        <f t="shared" si="364"/>
        <v>0</v>
      </c>
      <c r="P3897" s="30">
        <f t="shared" si="365"/>
        <v>1400</v>
      </c>
      <c r="Q3897" s="1">
        <f>COUNTIFS($P:$P, "&gt;" &amp; $P3897) + 1</f>
        <v>3510</v>
      </c>
      <c r="R3897" s="63">
        <f>(COUNTIFS($P:$P, "&gt;" &amp; $P3897) + 1) / (COUNTA($I:$I) - 1)</f>
        <v>0.70199999999999996</v>
      </c>
      <c r="S3897" s="23">
        <f>SUMIFS($P:$P, $Q:$Q, "&lt;" &amp; $Q3897)</f>
        <v>185951547</v>
      </c>
    </row>
    <row r="3898" spans="1:19" x14ac:dyDescent="0.25">
      <c r="A3898" s="1">
        <v>3893</v>
      </c>
      <c r="B3898" s="1" t="s">
        <v>2</v>
      </c>
      <c r="C3898" s="1" t="str">
        <f>IF($B3898 = "Production Item", _xlfn.XLOOKUP($A3898, 'Instrument Table'!$J:$J, 'Instrument Table'!$B:$B, $C3897), IF($B3898 = "Service Item", _xlfn.XLOOKUP($A3898, 'Instrument Table'!$I:$I, 'Instrument Table'!$B:$B, $C3897), _xlfn.XLOOKUP($A3898, 'Instrument Table'!$H:$H, 'Instrument Table'!$B:$B, $C3897)))</f>
        <v>Musical Accessories</v>
      </c>
      <c r="D3898" s="1" t="str">
        <f>VLOOKUP($C3898, 'Instrument Table'!$B:$C, 2, FALSE)</f>
        <v>Other</v>
      </c>
      <c r="E3898" s="1">
        <f t="shared" si="360"/>
        <v>1</v>
      </c>
      <c r="F3898" s="1">
        <f>_xlfn.XLOOKUP($C3898, 'Instrument Table'!$B:$B, 'Instrument Table'!$A:$A, "")</f>
        <v>64</v>
      </c>
      <c r="G3898" s="1" t="str">
        <f>TEXT(IF($B3898 = "Retail Item", IF((ROW($A3898) - 4504 - _xlfn.XMATCH($C3898, $C$4506:$C$5005, 0, 1)) &lt;= VLOOKUP($C3898, 'Instrument Table'!$B:$D, 3, FALSE), ROW($A3898) - 4504 - _xlfn.XMATCH($C3898, $C$4506:$C$5005, 0, 1), 0), 0), "00")</f>
        <v>00</v>
      </c>
      <c r="H3898" s="1" t="str">
        <f t="shared" si="361"/>
        <v>092</v>
      </c>
      <c r="I3898" s="1" t="str">
        <f t="shared" si="362"/>
        <v>16400-092</v>
      </c>
      <c r="J3898" s="1" t="str">
        <f t="shared" si="363"/>
        <v>Musical accessories production item #092</v>
      </c>
      <c r="K3898" s="1" t="str">
        <f>IF(SUM(COUNTIFS(I:I, I3898)) &gt; 1, "DUPLICATE", "UNIQUE")</f>
        <v>UNIQUE</v>
      </c>
      <c r="L3898" s="18">
        <v>4</v>
      </c>
      <c r="M3898" s="28">
        <v>73</v>
      </c>
      <c r="N3898" s="6">
        <v>400</v>
      </c>
      <c r="O3898" s="30">
        <f t="shared" si="364"/>
        <v>292</v>
      </c>
      <c r="P3898" s="30">
        <f t="shared" si="365"/>
        <v>29200</v>
      </c>
      <c r="Q3898" s="1">
        <f>COUNTIFS($P:$P, "&gt;" &amp; $P3898) + 1</f>
        <v>710</v>
      </c>
      <c r="R3898" s="63">
        <f>(COUNTIFS($P:$P, "&gt;" &amp; $P3898) + 1) / (COUNTA($I:$I) - 1)</f>
        <v>0.14199999999999999</v>
      </c>
      <c r="S3898" s="23">
        <f>SUMIFS($P:$P, $Q:$Q, "&lt;" &amp; $Q3898)</f>
        <v>159381571</v>
      </c>
    </row>
    <row r="3899" spans="1:19" x14ac:dyDescent="0.25">
      <c r="A3899" s="1">
        <v>3894</v>
      </c>
      <c r="B3899" s="1" t="s">
        <v>2</v>
      </c>
      <c r="C3899" s="1" t="str">
        <f>IF($B3899 = "Production Item", _xlfn.XLOOKUP($A3899, 'Instrument Table'!$J:$J, 'Instrument Table'!$B:$B, $C3898), IF($B3899 = "Service Item", _xlfn.XLOOKUP($A3899, 'Instrument Table'!$I:$I, 'Instrument Table'!$B:$B, $C3898), _xlfn.XLOOKUP($A3899, 'Instrument Table'!$H:$H, 'Instrument Table'!$B:$B, $C3898)))</f>
        <v>Musical Accessories</v>
      </c>
      <c r="D3899" s="1" t="str">
        <f>VLOOKUP($C3899, 'Instrument Table'!$B:$C, 2, FALSE)</f>
        <v>Other</v>
      </c>
      <c r="E3899" s="1">
        <f t="shared" si="360"/>
        <v>1</v>
      </c>
      <c r="F3899" s="1">
        <f>_xlfn.XLOOKUP($C3899, 'Instrument Table'!$B:$B, 'Instrument Table'!$A:$A, "")</f>
        <v>64</v>
      </c>
      <c r="G3899" s="1" t="str">
        <f>TEXT(IF($B3899 = "Retail Item", IF((ROW($A3899) - 4504 - _xlfn.XMATCH($C3899, $C$4506:$C$5005, 0, 1)) &lt;= VLOOKUP($C3899, 'Instrument Table'!$B:$D, 3, FALSE), ROW($A3899) - 4504 - _xlfn.XMATCH($C3899, $C$4506:$C$5005, 0, 1), 0), 0), "00")</f>
        <v>00</v>
      </c>
      <c r="H3899" s="1" t="str">
        <f t="shared" si="361"/>
        <v>093</v>
      </c>
      <c r="I3899" s="1" t="str">
        <f t="shared" si="362"/>
        <v>16400-093</v>
      </c>
      <c r="J3899" s="1" t="str">
        <f t="shared" si="363"/>
        <v>Musical accessories production item #093</v>
      </c>
      <c r="K3899" s="1" t="str">
        <f>IF(SUM(COUNTIFS(I:I, I3899)) &gt; 1, "DUPLICATE", "UNIQUE")</f>
        <v>UNIQUE</v>
      </c>
      <c r="L3899" s="18">
        <v>32</v>
      </c>
      <c r="M3899" s="28">
        <v>62</v>
      </c>
      <c r="N3899" s="6">
        <v>1</v>
      </c>
      <c r="O3899" s="30">
        <f t="shared" si="364"/>
        <v>1984</v>
      </c>
      <c r="P3899" s="30">
        <f t="shared" si="365"/>
        <v>62</v>
      </c>
      <c r="Q3899" s="1">
        <f>COUNTIFS($P:$P, "&gt;" &amp; $P3899) + 1</f>
        <v>4574</v>
      </c>
      <c r="R3899" s="63">
        <f>(COUNTIFS($P:$P, "&gt;" &amp; $P3899) + 1) / (COUNTA($I:$I) - 1)</f>
        <v>0.91479999999999995</v>
      </c>
      <c r="S3899" s="23">
        <f>SUMIFS($P:$P, $Q:$Q, "&lt;" &amp; $Q3899)</f>
        <v>186542188</v>
      </c>
    </row>
    <row r="3900" spans="1:19" x14ac:dyDescent="0.25">
      <c r="A3900" s="1">
        <v>3895</v>
      </c>
      <c r="B3900" s="1" t="s">
        <v>2</v>
      </c>
      <c r="C3900" s="1" t="str">
        <f>IF($B3900 = "Production Item", _xlfn.XLOOKUP($A3900, 'Instrument Table'!$J:$J, 'Instrument Table'!$B:$B, $C3899), IF($B3900 = "Service Item", _xlfn.XLOOKUP($A3900, 'Instrument Table'!$I:$I, 'Instrument Table'!$B:$B, $C3899), _xlfn.XLOOKUP($A3900, 'Instrument Table'!$H:$H, 'Instrument Table'!$B:$B, $C3899)))</f>
        <v>Musical Accessories</v>
      </c>
      <c r="D3900" s="1" t="str">
        <f>VLOOKUP($C3900, 'Instrument Table'!$B:$C, 2, FALSE)</f>
        <v>Other</v>
      </c>
      <c r="E3900" s="1">
        <f t="shared" si="360"/>
        <v>1</v>
      </c>
      <c r="F3900" s="1">
        <f>_xlfn.XLOOKUP($C3900, 'Instrument Table'!$B:$B, 'Instrument Table'!$A:$A, "")</f>
        <v>64</v>
      </c>
      <c r="G3900" s="1" t="str">
        <f>TEXT(IF($B3900 = "Retail Item", IF((ROW($A3900) - 4504 - _xlfn.XMATCH($C3900, $C$4506:$C$5005, 0, 1)) &lt;= VLOOKUP($C3900, 'Instrument Table'!$B:$D, 3, FALSE), ROW($A3900) - 4504 - _xlfn.XMATCH($C3900, $C$4506:$C$5005, 0, 1), 0), 0), "00")</f>
        <v>00</v>
      </c>
      <c r="H3900" s="1" t="str">
        <f t="shared" si="361"/>
        <v>094</v>
      </c>
      <c r="I3900" s="1" t="str">
        <f t="shared" si="362"/>
        <v>16400-094</v>
      </c>
      <c r="J3900" s="1" t="str">
        <f t="shared" si="363"/>
        <v>Musical accessories production item #094</v>
      </c>
      <c r="K3900" s="1" t="str">
        <f>IF(SUM(COUNTIFS(I:I, I3900)) &gt; 1, "DUPLICATE", "UNIQUE")</f>
        <v>UNIQUE</v>
      </c>
      <c r="L3900" s="18">
        <v>32</v>
      </c>
      <c r="M3900" s="28">
        <v>34</v>
      </c>
      <c r="N3900" s="6">
        <v>400</v>
      </c>
      <c r="O3900" s="30">
        <f t="shared" si="364"/>
        <v>1088</v>
      </c>
      <c r="P3900" s="30">
        <f t="shared" si="365"/>
        <v>13600</v>
      </c>
      <c r="Q3900" s="1">
        <f>COUNTIFS($P:$P, "&gt;" &amp; $P3900) + 1</f>
        <v>1450</v>
      </c>
      <c r="R3900" s="63">
        <f>(COUNTIFS($P:$P, "&gt;" &amp; $P3900) + 1) / (COUNTA($I:$I) - 1)</f>
        <v>0.28999999999999998</v>
      </c>
      <c r="S3900" s="23">
        <f>SUMIFS($P:$P, $Q:$Q, "&lt;" &amp; $Q3900)</f>
        <v>174173105</v>
      </c>
    </row>
    <row r="3901" spans="1:19" x14ac:dyDescent="0.25">
      <c r="A3901" s="1">
        <v>3896</v>
      </c>
      <c r="B3901" s="1" t="s">
        <v>2</v>
      </c>
      <c r="C3901" s="1" t="str">
        <f>IF($B3901 = "Production Item", _xlfn.XLOOKUP($A3901, 'Instrument Table'!$J:$J, 'Instrument Table'!$B:$B, $C3900), IF($B3901 = "Service Item", _xlfn.XLOOKUP($A3901, 'Instrument Table'!$I:$I, 'Instrument Table'!$B:$B, $C3900), _xlfn.XLOOKUP($A3901, 'Instrument Table'!$H:$H, 'Instrument Table'!$B:$B, $C3900)))</f>
        <v>Musical Accessories</v>
      </c>
      <c r="D3901" s="1" t="str">
        <f>VLOOKUP($C3901, 'Instrument Table'!$B:$C, 2, FALSE)</f>
        <v>Other</v>
      </c>
      <c r="E3901" s="1">
        <f t="shared" si="360"/>
        <v>1</v>
      </c>
      <c r="F3901" s="1">
        <f>_xlfn.XLOOKUP($C3901, 'Instrument Table'!$B:$B, 'Instrument Table'!$A:$A, "")</f>
        <v>64</v>
      </c>
      <c r="G3901" s="1" t="str">
        <f>TEXT(IF($B3901 = "Retail Item", IF((ROW($A3901) - 4504 - _xlfn.XMATCH($C3901, $C$4506:$C$5005, 0, 1)) &lt;= VLOOKUP($C3901, 'Instrument Table'!$B:$D, 3, FALSE), ROW($A3901) - 4504 - _xlfn.XMATCH($C3901, $C$4506:$C$5005, 0, 1), 0), 0), "00")</f>
        <v>00</v>
      </c>
      <c r="H3901" s="1" t="str">
        <f t="shared" si="361"/>
        <v>095</v>
      </c>
      <c r="I3901" s="1" t="str">
        <f t="shared" si="362"/>
        <v>16400-095</v>
      </c>
      <c r="J3901" s="1" t="str">
        <f t="shared" si="363"/>
        <v>Musical accessories production item #095</v>
      </c>
      <c r="K3901" s="1" t="str">
        <f>IF(SUM(COUNTIFS(I:I, I3901)) &gt; 1, "DUPLICATE", "UNIQUE")</f>
        <v>UNIQUE</v>
      </c>
      <c r="L3901" s="18">
        <v>32</v>
      </c>
      <c r="M3901" s="28">
        <v>68</v>
      </c>
      <c r="N3901" s="6">
        <v>100</v>
      </c>
      <c r="O3901" s="30">
        <f t="shared" si="364"/>
        <v>2176</v>
      </c>
      <c r="P3901" s="30">
        <f t="shared" si="365"/>
        <v>6800</v>
      </c>
      <c r="Q3901" s="1">
        <f>COUNTIFS($P:$P, "&gt;" &amp; $P3901) + 1</f>
        <v>2166</v>
      </c>
      <c r="R3901" s="63">
        <f>(COUNTIFS($P:$P, "&gt;" &amp; $P3901) + 1) / (COUNTA($I:$I) - 1)</f>
        <v>0.43319999999999997</v>
      </c>
      <c r="S3901" s="23">
        <f>SUMIFS($P:$P, $Q:$Q, "&lt;" &amp; $Q3901)</f>
        <v>181223492</v>
      </c>
    </row>
    <row r="3902" spans="1:19" x14ac:dyDescent="0.25">
      <c r="A3902" s="1">
        <v>3897</v>
      </c>
      <c r="B3902" s="1" t="s">
        <v>2</v>
      </c>
      <c r="C3902" s="1" t="str">
        <f>IF($B3902 = "Production Item", _xlfn.XLOOKUP($A3902, 'Instrument Table'!$J:$J, 'Instrument Table'!$B:$B, $C3901), IF($B3902 = "Service Item", _xlfn.XLOOKUP($A3902, 'Instrument Table'!$I:$I, 'Instrument Table'!$B:$B, $C3901), _xlfn.XLOOKUP($A3902, 'Instrument Table'!$H:$H, 'Instrument Table'!$B:$B, $C3901)))</f>
        <v>Musical Accessories</v>
      </c>
      <c r="D3902" s="1" t="str">
        <f>VLOOKUP($C3902, 'Instrument Table'!$B:$C, 2, FALSE)</f>
        <v>Other</v>
      </c>
      <c r="E3902" s="1">
        <f t="shared" si="360"/>
        <v>1</v>
      </c>
      <c r="F3902" s="1">
        <f>_xlfn.XLOOKUP($C3902, 'Instrument Table'!$B:$B, 'Instrument Table'!$A:$A, "")</f>
        <v>64</v>
      </c>
      <c r="G3902" s="1" t="str">
        <f>TEXT(IF($B3902 = "Retail Item", IF((ROW($A3902) - 4504 - _xlfn.XMATCH($C3902, $C$4506:$C$5005, 0, 1)) &lt;= VLOOKUP($C3902, 'Instrument Table'!$B:$D, 3, FALSE), ROW($A3902) - 4504 - _xlfn.XMATCH($C3902, $C$4506:$C$5005, 0, 1), 0), 0), "00")</f>
        <v>00</v>
      </c>
      <c r="H3902" s="1" t="str">
        <f t="shared" si="361"/>
        <v>096</v>
      </c>
      <c r="I3902" s="1" t="str">
        <f t="shared" si="362"/>
        <v>16400-096</v>
      </c>
      <c r="J3902" s="1" t="str">
        <f t="shared" si="363"/>
        <v>Musical accessories production item #096</v>
      </c>
      <c r="K3902" s="1" t="str">
        <f>IF(SUM(COUNTIFS(I:I, I3902)) &gt; 1, "DUPLICATE", "UNIQUE")</f>
        <v>UNIQUE</v>
      </c>
      <c r="L3902" s="18">
        <v>1</v>
      </c>
      <c r="M3902" s="28">
        <v>72</v>
      </c>
      <c r="N3902" s="6">
        <v>169</v>
      </c>
      <c r="O3902" s="30">
        <f t="shared" si="364"/>
        <v>72</v>
      </c>
      <c r="P3902" s="30">
        <f t="shared" si="365"/>
        <v>12168</v>
      </c>
      <c r="Q3902" s="1">
        <f>COUNTIFS($P:$P, "&gt;" &amp; $P3902) + 1</f>
        <v>1560</v>
      </c>
      <c r="R3902" s="63">
        <f>(COUNTIFS($P:$P, "&gt;" &amp; $P3902) + 1) / (COUNTA($I:$I) - 1)</f>
        <v>0.312</v>
      </c>
      <c r="S3902" s="23">
        <f>SUMIFS($P:$P, $Q:$Q, "&lt;" &amp; $Q3902)</f>
        <v>175597882</v>
      </c>
    </row>
    <row r="3903" spans="1:19" x14ac:dyDescent="0.25">
      <c r="A3903" s="1">
        <v>3898</v>
      </c>
      <c r="B3903" s="1" t="s">
        <v>2</v>
      </c>
      <c r="C3903" s="1" t="str">
        <f>IF($B3903 = "Production Item", _xlfn.XLOOKUP($A3903, 'Instrument Table'!$J:$J, 'Instrument Table'!$B:$B, $C3902), IF($B3903 = "Service Item", _xlfn.XLOOKUP($A3903, 'Instrument Table'!$I:$I, 'Instrument Table'!$B:$B, $C3902), _xlfn.XLOOKUP($A3903, 'Instrument Table'!$H:$H, 'Instrument Table'!$B:$B, $C3902)))</f>
        <v>Musical Accessories</v>
      </c>
      <c r="D3903" s="1" t="str">
        <f>VLOOKUP($C3903, 'Instrument Table'!$B:$C, 2, FALSE)</f>
        <v>Other</v>
      </c>
      <c r="E3903" s="1">
        <f t="shared" si="360"/>
        <v>1</v>
      </c>
      <c r="F3903" s="1">
        <f>_xlfn.XLOOKUP($C3903, 'Instrument Table'!$B:$B, 'Instrument Table'!$A:$A, "")</f>
        <v>64</v>
      </c>
      <c r="G3903" s="1" t="str">
        <f>TEXT(IF($B3903 = "Retail Item", IF((ROW($A3903) - 4504 - _xlfn.XMATCH($C3903, $C$4506:$C$5005, 0, 1)) &lt;= VLOOKUP($C3903, 'Instrument Table'!$B:$D, 3, FALSE), ROW($A3903) - 4504 - _xlfn.XMATCH($C3903, $C$4506:$C$5005, 0, 1), 0), 0), "00")</f>
        <v>00</v>
      </c>
      <c r="H3903" s="1" t="str">
        <f t="shared" si="361"/>
        <v>097</v>
      </c>
      <c r="I3903" s="1" t="str">
        <f t="shared" si="362"/>
        <v>16400-097</v>
      </c>
      <c r="J3903" s="1" t="str">
        <f t="shared" si="363"/>
        <v>Musical accessories production item #097</v>
      </c>
      <c r="K3903" s="1" t="str">
        <f>IF(SUM(COUNTIFS(I:I, I3903)) &gt; 1, "DUPLICATE", "UNIQUE")</f>
        <v>UNIQUE</v>
      </c>
      <c r="L3903" s="18">
        <v>1</v>
      </c>
      <c r="M3903" s="28">
        <v>61</v>
      </c>
      <c r="N3903" s="6">
        <v>100</v>
      </c>
      <c r="O3903" s="30">
        <f t="shared" si="364"/>
        <v>61</v>
      </c>
      <c r="P3903" s="30">
        <f t="shared" si="365"/>
        <v>6100</v>
      </c>
      <c r="Q3903" s="1">
        <f>COUNTIFS($P:$P, "&gt;" &amp; $P3903) + 1</f>
        <v>2242</v>
      </c>
      <c r="R3903" s="63">
        <f>(COUNTIFS($P:$P, "&gt;" &amp; $P3903) + 1) / (COUNTA($I:$I) - 1)</f>
        <v>0.44840000000000002</v>
      </c>
      <c r="S3903" s="23">
        <f>SUMIFS($P:$P, $Q:$Q, "&lt;" &amp; $Q3903)</f>
        <v>181718422</v>
      </c>
    </row>
    <row r="3904" spans="1:19" x14ac:dyDescent="0.25">
      <c r="A3904" s="1">
        <v>3899</v>
      </c>
      <c r="B3904" s="1" t="s">
        <v>2</v>
      </c>
      <c r="C3904" s="1" t="str">
        <f>IF($B3904 = "Production Item", _xlfn.XLOOKUP($A3904, 'Instrument Table'!$J:$J, 'Instrument Table'!$B:$B, $C3903), IF($B3904 = "Service Item", _xlfn.XLOOKUP($A3904, 'Instrument Table'!$I:$I, 'Instrument Table'!$B:$B, $C3903), _xlfn.XLOOKUP($A3904, 'Instrument Table'!$H:$H, 'Instrument Table'!$B:$B, $C3903)))</f>
        <v>Musical Accessories</v>
      </c>
      <c r="D3904" s="1" t="str">
        <f>VLOOKUP($C3904, 'Instrument Table'!$B:$C, 2, FALSE)</f>
        <v>Other</v>
      </c>
      <c r="E3904" s="1">
        <f t="shared" si="360"/>
        <v>1</v>
      </c>
      <c r="F3904" s="1">
        <f>_xlfn.XLOOKUP($C3904, 'Instrument Table'!$B:$B, 'Instrument Table'!$A:$A, "")</f>
        <v>64</v>
      </c>
      <c r="G3904" s="1" t="str">
        <f>TEXT(IF($B3904 = "Retail Item", IF((ROW($A3904) - 4504 - _xlfn.XMATCH($C3904, $C$4506:$C$5005, 0, 1)) &lt;= VLOOKUP($C3904, 'Instrument Table'!$B:$D, 3, FALSE), ROW($A3904) - 4504 - _xlfn.XMATCH($C3904, $C$4506:$C$5005, 0, 1), 0), 0), "00")</f>
        <v>00</v>
      </c>
      <c r="H3904" s="1" t="str">
        <f t="shared" si="361"/>
        <v>098</v>
      </c>
      <c r="I3904" s="1" t="str">
        <f t="shared" si="362"/>
        <v>16400-098</v>
      </c>
      <c r="J3904" s="1" t="str">
        <f t="shared" si="363"/>
        <v>Musical accessories production item #098</v>
      </c>
      <c r="K3904" s="1" t="str">
        <f>IF(SUM(COUNTIFS(I:I, I3904)) &gt; 1, "DUPLICATE", "UNIQUE")</f>
        <v>UNIQUE</v>
      </c>
      <c r="L3904" s="18">
        <v>0</v>
      </c>
      <c r="M3904" s="28">
        <v>46</v>
      </c>
      <c r="N3904" s="6">
        <v>289</v>
      </c>
      <c r="O3904" s="30">
        <f t="shared" si="364"/>
        <v>0</v>
      </c>
      <c r="P3904" s="30">
        <f t="shared" si="365"/>
        <v>13294</v>
      </c>
      <c r="Q3904" s="1">
        <f>COUNTIFS($P:$P, "&gt;" &amp; $P3904) + 1</f>
        <v>1476</v>
      </c>
      <c r="R3904" s="63">
        <f>(COUNTIFS($P:$P, "&gt;" &amp; $P3904) + 1) / (COUNTA($I:$I) - 1)</f>
        <v>0.29520000000000002</v>
      </c>
      <c r="S3904" s="23">
        <f>SUMIFS($P:$P, $Q:$Q, "&lt;" &amp; $Q3904)</f>
        <v>174523294</v>
      </c>
    </row>
    <row r="3905" spans="1:19" x14ac:dyDescent="0.25">
      <c r="A3905" s="1">
        <v>3900</v>
      </c>
      <c r="B3905" s="1" t="s">
        <v>2</v>
      </c>
      <c r="C3905" s="1" t="str">
        <f>IF($B3905 = "Production Item", _xlfn.XLOOKUP($A3905, 'Instrument Table'!$J:$J, 'Instrument Table'!$B:$B, $C3904), IF($B3905 = "Service Item", _xlfn.XLOOKUP($A3905, 'Instrument Table'!$I:$I, 'Instrument Table'!$B:$B, $C3904), _xlfn.XLOOKUP($A3905, 'Instrument Table'!$H:$H, 'Instrument Table'!$B:$B, $C3904)))</f>
        <v>Musical Accessories</v>
      </c>
      <c r="D3905" s="1" t="str">
        <f>VLOOKUP($C3905, 'Instrument Table'!$B:$C, 2, FALSE)</f>
        <v>Other</v>
      </c>
      <c r="E3905" s="1">
        <f t="shared" si="360"/>
        <v>1</v>
      </c>
      <c r="F3905" s="1">
        <f>_xlfn.XLOOKUP($C3905, 'Instrument Table'!$B:$B, 'Instrument Table'!$A:$A, "")</f>
        <v>64</v>
      </c>
      <c r="G3905" s="1" t="str">
        <f>TEXT(IF($B3905 = "Retail Item", IF((ROW($A3905) - 4504 - _xlfn.XMATCH($C3905, $C$4506:$C$5005, 0, 1)) &lt;= VLOOKUP($C3905, 'Instrument Table'!$B:$D, 3, FALSE), ROW($A3905) - 4504 - _xlfn.XMATCH($C3905, $C$4506:$C$5005, 0, 1), 0), 0), "00")</f>
        <v>00</v>
      </c>
      <c r="H3905" s="1" t="str">
        <f t="shared" si="361"/>
        <v>099</v>
      </c>
      <c r="I3905" s="1" t="str">
        <f t="shared" si="362"/>
        <v>16400-099</v>
      </c>
      <c r="J3905" s="1" t="str">
        <f t="shared" si="363"/>
        <v>Musical accessories production item #099</v>
      </c>
      <c r="K3905" s="1" t="str">
        <f>IF(SUM(COUNTIFS(I:I, I3905)) &gt; 1, "DUPLICATE", "UNIQUE")</f>
        <v>UNIQUE</v>
      </c>
      <c r="L3905" s="18">
        <v>0</v>
      </c>
      <c r="M3905" s="28">
        <v>19</v>
      </c>
      <c r="N3905" s="6">
        <v>121</v>
      </c>
      <c r="O3905" s="30">
        <f t="shared" si="364"/>
        <v>0</v>
      </c>
      <c r="P3905" s="30">
        <f t="shared" si="365"/>
        <v>2299</v>
      </c>
      <c r="Q3905" s="1">
        <f>COUNTIFS($P:$P, "&gt;" &amp; $P3905) + 1</f>
        <v>3140</v>
      </c>
      <c r="R3905" s="63">
        <f>(COUNTIFS($P:$P, "&gt;" &amp; $P3905) + 1) / (COUNTA($I:$I) - 1)</f>
        <v>0.628</v>
      </c>
      <c r="S3905" s="23">
        <f>SUMIFS($P:$P, $Q:$Q, "&lt;" &amp; $Q3905)</f>
        <v>185275305</v>
      </c>
    </row>
    <row r="3906" spans="1:19" x14ac:dyDescent="0.25">
      <c r="A3906" s="1">
        <v>3901</v>
      </c>
      <c r="B3906" s="1" t="s">
        <v>2</v>
      </c>
      <c r="C3906" s="1" t="str">
        <f>IF($B3906 = "Production Item", _xlfn.XLOOKUP($A3906, 'Instrument Table'!$J:$J, 'Instrument Table'!$B:$B, $C3905), IF($B3906 = "Service Item", _xlfn.XLOOKUP($A3906, 'Instrument Table'!$I:$I, 'Instrument Table'!$B:$B, $C3905), _xlfn.XLOOKUP($A3906, 'Instrument Table'!$H:$H, 'Instrument Table'!$B:$B, $C3905)))</f>
        <v>Musical Accessories</v>
      </c>
      <c r="D3906" s="1" t="str">
        <f>VLOOKUP($C3906, 'Instrument Table'!$B:$C, 2, FALSE)</f>
        <v>Other</v>
      </c>
      <c r="E3906" s="1">
        <f t="shared" si="360"/>
        <v>1</v>
      </c>
      <c r="F3906" s="1">
        <f>_xlfn.XLOOKUP($C3906, 'Instrument Table'!$B:$B, 'Instrument Table'!$A:$A, "")</f>
        <v>64</v>
      </c>
      <c r="G3906" s="1" t="str">
        <f>TEXT(IF($B3906 = "Retail Item", IF((ROW($A3906) - 4504 - _xlfn.XMATCH($C3906, $C$4506:$C$5005, 0, 1)) &lt;= VLOOKUP($C3906, 'Instrument Table'!$B:$D, 3, FALSE), ROW($A3906) - 4504 - _xlfn.XMATCH($C3906, $C$4506:$C$5005, 0, 1), 0), 0), "00")</f>
        <v>00</v>
      </c>
      <c r="H3906" s="1" t="str">
        <f t="shared" si="361"/>
        <v>100</v>
      </c>
      <c r="I3906" s="1" t="str">
        <f t="shared" si="362"/>
        <v>16400-100</v>
      </c>
      <c r="J3906" s="1" t="str">
        <f t="shared" si="363"/>
        <v>Musical accessories production item #100</v>
      </c>
      <c r="K3906" s="1" t="str">
        <f>IF(SUM(COUNTIFS(I:I, I3906)) &gt; 1, "DUPLICATE", "UNIQUE")</f>
        <v>UNIQUE</v>
      </c>
      <c r="L3906" s="18">
        <v>32</v>
      </c>
      <c r="M3906" s="28">
        <v>69</v>
      </c>
      <c r="N3906" s="6">
        <v>225</v>
      </c>
      <c r="O3906" s="30">
        <f t="shared" si="364"/>
        <v>2208</v>
      </c>
      <c r="P3906" s="30">
        <f t="shared" si="365"/>
        <v>15525</v>
      </c>
      <c r="Q3906" s="1">
        <f>COUNTIFS($P:$P, "&gt;" &amp; $P3906) + 1</f>
        <v>1314</v>
      </c>
      <c r="R3906" s="63">
        <f>(COUNTIFS($P:$P, "&gt;" &amp; $P3906) + 1) / (COUNTA($I:$I) - 1)</f>
        <v>0.26279999999999998</v>
      </c>
      <c r="S3906" s="23">
        <f>SUMIFS($P:$P, $Q:$Q, "&lt;" &amp; $Q3906)</f>
        <v>172192415</v>
      </c>
    </row>
    <row r="3907" spans="1:19" x14ac:dyDescent="0.25">
      <c r="A3907" s="1">
        <v>3902</v>
      </c>
      <c r="B3907" s="1" t="s">
        <v>2</v>
      </c>
      <c r="C3907" s="1" t="str">
        <f>IF($B3907 = "Production Item", _xlfn.XLOOKUP($A3907, 'Instrument Table'!$J:$J, 'Instrument Table'!$B:$B, $C3906), IF($B3907 = "Service Item", _xlfn.XLOOKUP($A3907, 'Instrument Table'!$I:$I, 'Instrument Table'!$B:$B, $C3906), _xlfn.XLOOKUP($A3907, 'Instrument Table'!$H:$H, 'Instrument Table'!$B:$B, $C3906)))</f>
        <v>Musical Accessories</v>
      </c>
      <c r="D3907" s="1" t="str">
        <f>VLOOKUP($C3907, 'Instrument Table'!$B:$C, 2, FALSE)</f>
        <v>Other</v>
      </c>
      <c r="E3907" s="1">
        <f t="shared" si="360"/>
        <v>1</v>
      </c>
      <c r="F3907" s="1">
        <f>_xlfn.XLOOKUP($C3907, 'Instrument Table'!$B:$B, 'Instrument Table'!$A:$A, "")</f>
        <v>64</v>
      </c>
      <c r="G3907" s="1" t="str">
        <f>TEXT(IF($B3907 = "Retail Item", IF((ROW($A3907) - 4504 - _xlfn.XMATCH($C3907, $C$4506:$C$5005, 0, 1)) &lt;= VLOOKUP($C3907, 'Instrument Table'!$B:$D, 3, FALSE), ROW($A3907) - 4504 - _xlfn.XMATCH($C3907, $C$4506:$C$5005, 0, 1), 0), 0), "00")</f>
        <v>00</v>
      </c>
      <c r="H3907" s="1" t="str">
        <f t="shared" si="361"/>
        <v>101</v>
      </c>
      <c r="I3907" s="1" t="str">
        <f t="shared" si="362"/>
        <v>16400-101</v>
      </c>
      <c r="J3907" s="1" t="str">
        <f t="shared" si="363"/>
        <v>Musical accessories production item #101</v>
      </c>
      <c r="K3907" s="1" t="str">
        <f>IF(SUM(COUNTIFS(I:I, I3907)) &gt; 1, "DUPLICATE", "UNIQUE")</f>
        <v>UNIQUE</v>
      </c>
      <c r="L3907" s="18">
        <v>0</v>
      </c>
      <c r="M3907" s="28">
        <v>64</v>
      </c>
      <c r="N3907" s="6">
        <v>4</v>
      </c>
      <c r="O3907" s="30">
        <f t="shared" si="364"/>
        <v>0</v>
      </c>
      <c r="P3907" s="30">
        <f t="shared" si="365"/>
        <v>256</v>
      </c>
      <c r="Q3907" s="1">
        <f>COUNTIFS($P:$P, "&gt;" &amp; $P3907) + 1</f>
        <v>4259</v>
      </c>
      <c r="R3907" s="63">
        <f>(COUNTIFS($P:$P, "&gt;" &amp; $P3907) + 1) / (COUNTA($I:$I) - 1)</f>
        <v>0.8518</v>
      </c>
      <c r="S3907" s="23">
        <f>SUMIFS($P:$P, $Q:$Q, "&lt;" &amp; $Q3907)</f>
        <v>186497451</v>
      </c>
    </row>
    <row r="3908" spans="1:19" x14ac:dyDescent="0.25">
      <c r="A3908" s="1">
        <v>3903</v>
      </c>
      <c r="B3908" s="1" t="s">
        <v>2</v>
      </c>
      <c r="C3908" s="1" t="str">
        <f>IF($B3908 = "Production Item", _xlfn.XLOOKUP($A3908, 'Instrument Table'!$J:$J, 'Instrument Table'!$B:$B, $C3907), IF($B3908 = "Service Item", _xlfn.XLOOKUP($A3908, 'Instrument Table'!$I:$I, 'Instrument Table'!$B:$B, $C3907), _xlfn.XLOOKUP($A3908, 'Instrument Table'!$H:$H, 'Instrument Table'!$B:$B, $C3907)))</f>
        <v>Musical Accessories</v>
      </c>
      <c r="D3908" s="1" t="str">
        <f>VLOOKUP($C3908, 'Instrument Table'!$B:$C, 2, FALSE)</f>
        <v>Other</v>
      </c>
      <c r="E3908" s="1">
        <f t="shared" si="360"/>
        <v>1</v>
      </c>
      <c r="F3908" s="1">
        <f>_xlfn.XLOOKUP($C3908, 'Instrument Table'!$B:$B, 'Instrument Table'!$A:$A, "")</f>
        <v>64</v>
      </c>
      <c r="G3908" s="1" t="str">
        <f>TEXT(IF($B3908 = "Retail Item", IF((ROW($A3908) - 4504 - _xlfn.XMATCH($C3908, $C$4506:$C$5005, 0, 1)) &lt;= VLOOKUP($C3908, 'Instrument Table'!$B:$D, 3, FALSE), ROW($A3908) - 4504 - _xlfn.XMATCH($C3908, $C$4506:$C$5005, 0, 1), 0), 0), "00")</f>
        <v>00</v>
      </c>
      <c r="H3908" s="1" t="str">
        <f t="shared" si="361"/>
        <v>102</v>
      </c>
      <c r="I3908" s="1" t="str">
        <f t="shared" si="362"/>
        <v>16400-102</v>
      </c>
      <c r="J3908" s="1" t="str">
        <f t="shared" si="363"/>
        <v>Musical accessories production item #102</v>
      </c>
      <c r="K3908" s="1" t="str">
        <f>IF(SUM(COUNTIFS(I:I, I3908)) &gt; 1, "DUPLICATE", "UNIQUE")</f>
        <v>UNIQUE</v>
      </c>
      <c r="L3908" s="18">
        <v>0</v>
      </c>
      <c r="M3908" s="28">
        <v>99</v>
      </c>
      <c r="N3908" s="6">
        <v>225</v>
      </c>
      <c r="O3908" s="30">
        <f t="shared" si="364"/>
        <v>0</v>
      </c>
      <c r="P3908" s="30">
        <f t="shared" si="365"/>
        <v>22275</v>
      </c>
      <c r="Q3908" s="1">
        <f>COUNTIFS($P:$P, "&gt;" &amp; $P3908) + 1</f>
        <v>937</v>
      </c>
      <c r="R3908" s="63">
        <f>(COUNTIFS($P:$P, "&gt;" &amp; $P3908) + 1) / (COUNTA($I:$I) - 1)</f>
        <v>0.18740000000000001</v>
      </c>
      <c r="S3908" s="23">
        <f>SUMIFS($P:$P, $Q:$Q, "&lt;" &amp; $Q3908)</f>
        <v>165120949</v>
      </c>
    </row>
    <row r="3909" spans="1:19" x14ac:dyDescent="0.25">
      <c r="A3909" s="1">
        <v>3904</v>
      </c>
      <c r="B3909" s="1" t="s">
        <v>2</v>
      </c>
      <c r="C3909" s="1" t="str">
        <f>IF($B3909 = "Production Item", _xlfn.XLOOKUP($A3909, 'Instrument Table'!$J:$J, 'Instrument Table'!$B:$B, $C3908), IF($B3909 = "Service Item", _xlfn.XLOOKUP($A3909, 'Instrument Table'!$I:$I, 'Instrument Table'!$B:$B, $C3908), _xlfn.XLOOKUP($A3909, 'Instrument Table'!$H:$H, 'Instrument Table'!$B:$B, $C3908)))</f>
        <v>Musical Accessories</v>
      </c>
      <c r="D3909" s="1" t="str">
        <f>VLOOKUP($C3909, 'Instrument Table'!$B:$C, 2, FALSE)</f>
        <v>Other</v>
      </c>
      <c r="E3909" s="1">
        <f t="shared" si="360"/>
        <v>1</v>
      </c>
      <c r="F3909" s="1">
        <f>_xlfn.XLOOKUP($C3909, 'Instrument Table'!$B:$B, 'Instrument Table'!$A:$A, "")</f>
        <v>64</v>
      </c>
      <c r="G3909" s="1" t="str">
        <f>TEXT(IF($B3909 = "Retail Item", IF((ROW($A3909) - 4504 - _xlfn.XMATCH($C3909, $C$4506:$C$5005, 0, 1)) &lt;= VLOOKUP($C3909, 'Instrument Table'!$B:$D, 3, FALSE), ROW($A3909) - 4504 - _xlfn.XMATCH($C3909, $C$4506:$C$5005, 0, 1), 0), 0), "00")</f>
        <v>00</v>
      </c>
      <c r="H3909" s="1" t="str">
        <f t="shared" si="361"/>
        <v>103</v>
      </c>
      <c r="I3909" s="1" t="str">
        <f t="shared" si="362"/>
        <v>16400-103</v>
      </c>
      <c r="J3909" s="1" t="str">
        <f t="shared" si="363"/>
        <v>Musical accessories production item #103</v>
      </c>
      <c r="K3909" s="1" t="str">
        <f>IF(SUM(COUNTIFS(I:I, I3909)) &gt; 1, "DUPLICATE", "UNIQUE")</f>
        <v>UNIQUE</v>
      </c>
      <c r="L3909" s="18">
        <v>1</v>
      </c>
      <c r="M3909" s="28">
        <v>35</v>
      </c>
      <c r="N3909" s="6">
        <v>256</v>
      </c>
      <c r="O3909" s="30">
        <f t="shared" si="364"/>
        <v>35</v>
      </c>
      <c r="P3909" s="30">
        <f t="shared" si="365"/>
        <v>8960</v>
      </c>
      <c r="Q3909" s="1">
        <f>COUNTIFS($P:$P, "&gt;" &amp; $P3909) + 1</f>
        <v>1868</v>
      </c>
      <c r="R3909" s="63">
        <f>(COUNTIFS($P:$P, "&gt;" &amp; $P3909) + 1) / (COUNTA($I:$I) - 1)</f>
        <v>0.37359999999999999</v>
      </c>
      <c r="S3909" s="23">
        <f>SUMIFS($P:$P, $Q:$Q, "&lt;" &amp; $Q3909)</f>
        <v>178878413</v>
      </c>
    </row>
    <row r="3910" spans="1:19" x14ac:dyDescent="0.25">
      <c r="A3910" s="1">
        <v>3905</v>
      </c>
      <c r="B3910" s="1" t="s">
        <v>2</v>
      </c>
      <c r="C3910" s="1" t="str">
        <f>IF($B3910 = "Production Item", _xlfn.XLOOKUP($A3910, 'Instrument Table'!$J:$J, 'Instrument Table'!$B:$B, $C3909), IF($B3910 = "Service Item", _xlfn.XLOOKUP($A3910, 'Instrument Table'!$I:$I, 'Instrument Table'!$B:$B, $C3909), _xlfn.XLOOKUP($A3910, 'Instrument Table'!$H:$H, 'Instrument Table'!$B:$B, $C3909)))</f>
        <v>Musical Accessories</v>
      </c>
      <c r="D3910" s="1" t="str">
        <f>VLOOKUP($C3910, 'Instrument Table'!$B:$C, 2, FALSE)</f>
        <v>Other</v>
      </c>
      <c r="E3910" s="1">
        <f t="shared" si="360"/>
        <v>1</v>
      </c>
      <c r="F3910" s="1">
        <f>_xlfn.XLOOKUP($C3910, 'Instrument Table'!$B:$B, 'Instrument Table'!$A:$A, "")</f>
        <v>64</v>
      </c>
      <c r="G3910" s="1" t="str">
        <f>TEXT(IF($B3910 = "Retail Item", IF((ROW($A3910) - 4504 - _xlfn.XMATCH($C3910, $C$4506:$C$5005, 0, 1)) &lt;= VLOOKUP($C3910, 'Instrument Table'!$B:$D, 3, FALSE), ROW($A3910) - 4504 - _xlfn.XMATCH($C3910, $C$4506:$C$5005, 0, 1), 0), 0), "00")</f>
        <v>00</v>
      </c>
      <c r="H3910" s="1" t="str">
        <f t="shared" si="361"/>
        <v>104</v>
      </c>
      <c r="I3910" s="1" t="str">
        <f t="shared" si="362"/>
        <v>16400-104</v>
      </c>
      <c r="J3910" s="1" t="str">
        <f t="shared" si="363"/>
        <v>Musical accessories production item #104</v>
      </c>
      <c r="K3910" s="1" t="str">
        <f>IF(SUM(COUNTIFS(I:I, I3910)) &gt; 1, "DUPLICATE", "UNIQUE")</f>
        <v>UNIQUE</v>
      </c>
      <c r="L3910" s="18">
        <v>4</v>
      </c>
      <c r="M3910" s="28">
        <v>63</v>
      </c>
      <c r="N3910" s="6">
        <v>169</v>
      </c>
      <c r="O3910" s="30">
        <f t="shared" si="364"/>
        <v>252</v>
      </c>
      <c r="P3910" s="30">
        <f t="shared" si="365"/>
        <v>10647</v>
      </c>
      <c r="Q3910" s="1">
        <f>COUNTIFS($P:$P, "&gt;" &amp; $P3910) + 1</f>
        <v>1718</v>
      </c>
      <c r="R3910" s="63">
        <f>(COUNTIFS($P:$P, "&gt;" &amp; $P3910) + 1) / (COUNTA($I:$I) - 1)</f>
        <v>0.34360000000000002</v>
      </c>
      <c r="S3910" s="23">
        <f>SUMIFS($P:$P, $Q:$Q, "&lt;" &amp; $Q3910)</f>
        <v>177407092</v>
      </c>
    </row>
    <row r="3911" spans="1:19" x14ac:dyDescent="0.25">
      <c r="A3911" s="1">
        <v>3906</v>
      </c>
      <c r="B3911" s="1" t="s">
        <v>2</v>
      </c>
      <c r="C3911" s="1" t="str">
        <f>IF($B3911 = "Production Item", _xlfn.XLOOKUP($A3911, 'Instrument Table'!$J:$J, 'Instrument Table'!$B:$B, $C3910), IF($B3911 = "Service Item", _xlfn.XLOOKUP($A3911, 'Instrument Table'!$I:$I, 'Instrument Table'!$B:$B, $C3910), _xlfn.XLOOKUP($A3911, 'Instrument Table'!$H:$H, 'Instrument Table'!$B:$B, $C3910)))</f>
        <v>Musical Accessories</v>
      </c>
      <c r="D3911" s="1" t="str">
        <f>VLOOKUP($C3911, 'Instrument Table'!$B:$C, 2, FALSE)</f>
        <v>Other</v>
      </c>
      <c r="E3911" s="1">
        <f t="shared" ref="E3911:E3974" si="366">IF($B3911 = "Production Item", 1, IF($B3911 = "Service Item", 2, IF($B3911 = "Retail Item", 3, "")))</f>
        <v>1</v>
      </c>
      <c r="F3911" s="1">
        <f>_xlfn.XLOOKUP($C3911, 'Instrument Table'!$B:$B, 'Instrument Table'!$A:$A, "")</f>
        <v>64</v>
      </c>
      <c r="G3911" s="1" t="str">
        <f>TEXT(IF($B3911 = "Retail Item", IF((ROW($A3911) - 4504 - _xlfn.XMATCH($C3911, $C$4506:$C$5005, 0, 1)) &lt;= VLOOKUP($C3911, 'Instrument Table'!$B:$D, 3, FALSE), ROW($A3911) - 4504 - _xlfn.XMATCH($C3911, $C$4506:$C$5005, 0, 1), 0), 0), "00")</f>
        <v>00</v>
      </c>
      <c r="H3911" s="1" t="str">
        <f t="shared" ref="H3911:H3974" si="367">TEXT(IF($E3911 &amp; $F3911 &amp; $G3911 = $E3910 &amp; $F3910 &amp; $G3910, 1 + H3910, 0), "000")</f>
        <v>105</v>
      </c>
      <c r="I3911" s="1" t="str">
        <f t="shared" ref="I3911:I3974" si="368" xml:space="preserve"> _xlfn.CONCAT($E3911, $F3911, $G3911, "-", H3911)</f>
        <v>16400-105</v>
      </c>
      <c r="J3911" s="1" t="str">
        <f t="shared" ref="J3911:J3974" si="369">LEFT($C3911, 1) &amp; LOWER(RIGHT($C3911, LEN($C3911) - 1)) &amp; IF(AND($G3911 &lt;&gt; "00", $B3911 = "Retail Item"), " model #" &amp; $G3911, " " &amp; LOWER($B3911) &amp; " #" &amp; $H3911)</f>
        <v>Musical accessories production item #105</v>
      </c>
      <c r="K3911" s="1" t="str">
        <f>IF(SUM(COUNTIFS(I:I, I3911)) &gt; 1, "DUPLICATE", "UNIQUE")</f>
        <v>UNIQUE</v>
      </c>
      <c r="L3911" s="18">
        <v>1</v>
      </c>
      <c r="M3911" s="28">
        <v>24</v>
      </c>
      <c r="N3911" s="6">
        <v>25</v>
      </c>
      <c r="O3911" s="30">
        <f t="shared" ref="O3911:O3974" si="370">$L3911 * $M3911</f>
        <v>24</v>
      </c>
      <c r="P3911" s="30">
        <f t="shared" ref="P3911:P3974" si="371">$N3911 * $M3911</f>
        <v>600</v>
      </c>
      <c r="Q3911" s="1">
        <f>COUNTIFS($P:$P, "&gt;" &amp; $P3911) + 1</f>
        <v>3936</v>
      </c>
      <c r="R3911" s="63">
        <f>(COUNTIFS($P:$P, "&gt;" &amp; $P3911) + 1) / (COUNTA($I:$I) - 1)</f>
        <v>0.78720000000000001</v>
      </c>
      <c r="S3911" s="23">
        <f>SUMIFS($P:$P, $Q:$Q, "&lt;" &amp; $Q3911)</f>
        <v>186361902</v>
      </c>
    </row>
    <row r="3912" spans="1:19" x14ac:dyDescent="0.25">
      <c r="A3912" s="1">
        <v>3907</v>
      </c>
      <c r="B3912" s="1" t="s">
        <v>2</v>
      </c>
      <c r="C3912" s="1" t="str">
        <f>IF($B3912 = "Production Item", _xlfn.XLOOKUP($A3912, 'Instrument Table'!$J:$J, 'Instrument Table'!$B:$B, $C3911), IF($B3912 = "Service Item", _xlfn.XLOOKUP($A3912, 'Instrument Table'!$I:$I, 'Instrument Table'!$B:$B, $C3911), _xlfn.XLOOKUP($A3912, 'Instrument Table'!$H:$H, 'Instrument Table'!$B:$B, $C3911)))</f>
        <v>Musical Accessories</v>
      </c>
      <c r="D3912" s="1" t="str">
        <f>VLOOKUP($C3912, 'Instrument Table'!$B:$C, 2, FALSE)</f>
        <v>Other</v>
      </c>
      <c r="E3912" s="1">
        <f t="shared" si="366"/>
        <v>1</v>
      </c>
      <c r="F3912" s="1">
        <f>_xlfn.XLOOKUP($C3912, 'Instrument Table'!$B:$B, 'Instrument Table'!$A:$A, "")</f>
        <v>64</v>
      </c>
      <c r="G3912" s="1" t="str">
        <f>TEXT(IF($B3912 = "Retail Item", IF((ROW($A3912) - 4504 - _xlfn.XMATCH($C3912, $C$4506:$C$5005, 0, 1)) &lt;= VLOOKUP($C3912, 'Instrument Table'!$B:$D, 3, FALSE), ROW($A3912) - 4504 - _xlfn.XMATCH($C3912, $C$4506:$C$5005, 0, 1), 0), 0), "00")</f>
        <v>00</v>
      </c>
      <c r="H3912" s="1" t="str">
        <f t="shared" si="367"/>
        <v>106</v>
      </c>
      <c r="I3912" s="1" t="str">
        <f t="shared" si="368"/>
        <v>16400-106</v>
      </c>
      <c r="J3912" s="1" t="str">
        <f t="shared" si="369"/>
        <v>Musical accessories production item #106</v>
      </c>
      <c r="K3912" s="1" t="str">
        <f>IF(SUM(COUNTIFS(I:I, I3912)) &gt; 1, "DUPLICATE", "UNIQUE")</f>
        <v>UNIQUE</v>
      </c>
      <c r="L3912" s="18">
        <v>1</v>
      </c>
      <c r="M3912" s="28">
        <v>67</v>
      </c>
      <c r="N3912" s="6">
        <v>0</v>
      </c>
      <c r="O3912" s="30">
        <f t="shared" si="370"/>
        <v>67</v>
      </c>
      <c r="P3912" s="30">
        <f t="shared" si="371"/>
        <v>0</v>
      </c>
      <c r="Q3912" s="1">
        <f>COUNTIFS($P:$P, "&gt;" &amp; $P3912) + 1</f>
        <v>4746</v>
      </c>
      <c r="R3912" s="63">
        <f>(COUNTIFS($P:$P, "&gt;" &amp; $P3912) + 1) / (COUNTA($I:$I) - 1)</f>
        <v>0.94920000000000004</v>
      </c>
      <c r="S3912" s="23">
        <f>SUMIFS($P:$P, $Q:$Q, "&lt;" &amp; $Q3912)</f>
        <v>186547861</v>
      </c>
    </row>
    <row r="3913" spans="1:19" x14ac:dyDescent="0.25">
      <c r="A3913" s="1">
        <v>3908</v>
      </c>
      <c r="B3913" s="1" t="s">
        <v>2</v>
      </c>
      <c r="C3913" s="1" t="str">
        <f>IF($B3913 = "Production Item", _xlfn.XLOOKUP($A3913, 'Instrument Table'!$J:$J, 'Instrument Table'!$B:$B, $C3912), IF($B3913 = "Service Item", _xlfn.XLOOKUP($A3913, 'Instrument Table'!$I:$I, 'Instrument Table'!$B:$B, $C3912), _xlfn.XLOOKUP($A3913, 'Instrument Table'!$H:$H, 'Instrument Table'!$B:$B, $C3912)))</f>
        <v>Musical Accessories</v>
      </c>
      <c r="D3913" s="1" t="str">
        <f>VLOOKUP($C3913, 'Instrument Table'!$B:$C, 2, FALSE)</f>
        <v>Other</v>
      </c>
      <c r="E3913" s="1">
        <f t="shared" si="366"/>
        <v>1</v>
      </c>
      <c r="F3913" s="1">
        <f>_xlfn.XLOOKUP($C3913, 'Instrument Table'!$B:$B, 'Instrument Table'!$A:$A, "")</f>
        <v>64</v>
      </c>
      <c r="G3913" s="1" t="str">
        <f>TEXT(IF($B3913 = "Retail Item", IF((ROW($A3913) - 4504 - _xlfn.XMATCH($C3913, $C$4506:$C$5005, 0, 1)) &lt;= VLOOKUP($C3913, 'Instrument Table'!$B:$D, 3, FALSE), ROW($A3913) - 4504 - _xlfn.XMATCH($C3913, $C$4506:$C$5005, 0, 1), 0), 0), "00")</f>
        <v>00</v>
      </c>
      <c r="H3913" s="1" t="str">
        <f t="shared" si="367"/>
        <v>107</v>
      </c>
      <c r="I3913" s="1" t="str">
        <f t="shared" si="368"/>
        <v>16400-107</v>
      </c>
      <c r="J3913" s="1" t="str">
        <f t="shared" si="369"/>
        <v>Musical accessories production item #107</v>
      </c>
      <c r="K3913" s="1" t="str">
        <f>IF(SUM(COUNTIFS(I:I, I3913)) &gt; 1, "DUPLICATE", "UNIQUE")</f>
        <v>UNIQUE</v>
      </c>
      <c r="L3913" s="18">
        <v>16</v>
      </c>
      <c r="M3913" s="28">
        <v>87</v>
      </c>
      <c r="N3913" s="6">
        <v>16</v>
      </c>
      <c r="O3913" s="30">
        <f t="shared" si="370"/>
        <v>1392</v>
      </c>
      <c r="P3913" s="30">
        <f t="shared" si="371"/>
        <v>1392</v>
      </c>
      <c r="Q3913" s="1">
        <f>COUNTIFS($P:$P, "&gt;" &amp; $P3913) + 1</f>
        <v>3516</v>
      </c>
      <c r="R3913" s="63">
        <f>(COUNTIFS($P:$P, "&gt;" &amp; $P3913) + 1) / (COUNTA($I:$I) - 1)</f>
        <v>0.70320000000000005</v>
      </c>
      <c r="S3913" s="23">
        <f>SUMIFS($P:$P, $Q:$Q, "&lt;" &amp; $Q3913)</f>
        <v>185959947</v>
      </c>
    </row>
    <row r="3914" spans="1:19" x14ac:dyDescent="0.25">
      <c r="A3914" s="1">
        <v>3909</v>
      </c>
      <c r="B3914" s="1" t="s">
        <v>2</v>
      </c>
      <c r="C3914" s="1" t="str">
        <f>IF($B3914 = "Production Item", _xlfn.XLOOKUP($A3914, 'Instrument Table'!$J:$J, 'Instrument Table'!$B:$B, $C3913), IF($B3914 = "Service Item", _xlfn.XLOOKUP($A3914, 'Instrument Table'!$I:$I, 'Instrument Table'!$B:$B, $C3913), _xlfn.XLOOKUP($A3914, 'Instrument Table'!$H:$H, 'Instrument Table'!$B:$B, $C3913)))</f>
        <v>Musical Accessories</v>
      </c>
      <c r="D3914" s="1" t="str">
        <f>VLOOKUP($C3914, 'Instrument Table'!$B:$C, 2, FALSE)</f>
        <v>Other</v>
      </c>
      <c r="E3914" s="1">
        <f t="shared" si="366"/>
        <v>1</v>
      </c>
      <c r="F3914" s="1">
        <f>_xlfn.XLOOKUP($C3914, 'Instrument Table'!$B:$B, 'Instrument Table'!$A:$A, "")</f>
        <v>64</v>
      </c>
      <c r="G3914" s="1" t="str">
        <f>TEXT(IF($B3914 = "Retail Item", IF((ROW($A3914) - 4504 - _xlfn.XMATCH($C3914, $C$4506:$C$5005, 0, 1)) &lt;= VLOOKUP($C3914, 'Instrument Table'!$B:$D, 3, FALSE), ROW($A3914) - 4504 - _xlfn.XMATCH($C3914, $C$4506:$C$5005, 0, 1), 0), 0), "00")</f>
        <v>00</v>
      </c>
      <c r="H3914" s="1" t="str">
        <f t="shared" si="367"/>
        <v>108</v>
      </c>
      <c r="I3914" s="1" t="str">
        <f t="shared" si="368"/>
        <v>16400-108</v>
      </c>
      <c r="J3914" s="1" t="str">
        <f t="shared" si="369"/>
        <v>Musical accessories production item #108</v>
      </c>
      <c r="K3914" s="1" t="str">
        <f>IF(SUM(COUNTIFS(I:I, I3914)) &gt; 1, "DUPLICATE", "UNIQUE")</f>
        <v>UNIQUE</v>
      </c>
      <c r="L3914" s="18">
        <v>0</v>
      </c>
      <c r="M3914" s="28">
        <v>90</v>
      </c>
      <c r="N3914" s="6">
        <v>36</v>
      </c>
      <c r="O3914" s="30">
        <f t="shared" si="370"/>
        <v>0</v>
      </c>
      <c r="P3914" s="30">
        <f t="shared" si="371"/>
        <v>3240</v>
      </c>
      <c r="Q3914" s="1">
        <f>COUNTIFS($P:$P, "&gt;" &amp; $P3914) + 1</f>
        <v>2839</v>
      </c>
      <c r="R3914" s="63">
        <f>(COUNTIFS($P:$P, "&gt;" &amp; $P3914) + 1) / (COUNTA($I:$I) - 1)</f>
        <v>0.56779999999999997</v>
      </c>
      <c r="S3914" s="23">
        <f>SUMIFS($P:$P, $Q:$Q, "&lt;" &amp; $Q3914)</f>
        <v>184456190</v>
      </c>
    </row>
    <row r="3915" spans="1:19" x14ac:dyDescent="0.25">
      <c r="A3915" s="1">
        <v>3910</v>
      </c>
      <c r="B3915" s="1" t="s">
        <v>2</v>
      </c>
      <c r="C3915" s="1" t="str">
        <f>IF($B3915 = "Production Item", _xlfn.XLOOKUP($A3915, 'Instrument Table'!$J:$J, 'Instrument Table'!$B:$B, $C3914), IF($B3915 = "Service Item", _xlfn.XLOOKUP($A3915, 'Instrument Table'!$I:$I, 'Instrument Table'!$B:$B, $C3914), _xlfn.XLOOKUP($A3915, 'Instrument Table'!$H:$H, 'Instrument Table'!$B:$B, $C3914)))</f>
        <v>Musical Accessories</v>
      </c>
      <c r="D3915" s="1" t="str">
        <f>VLOOKUP($C3915, 'Instrument Table'!$B:$C, 2, FALSE)</f>
        <v>Other</v>
      </c>
      <c r="E3915" s="1">
        <f t="shared" si="366"/>
        <v>1</v>
      </c>
      <c r="F3915" s="1">
        <f>_xlfn.XLOOKUP($C3915, 'Instrument Table'!$B:$B, 'Instrument Table'!$A:$A, "")</f>
        <v>64</v>
      </c>
      <c r="G3915" s="1" t="str">
        <f>TEXT(IF($B3915 = "Retail Item", IF((ROW($A3915) - 4504 - _xlfn.XMATCH($C3915, $C$4506:$C$5005, 0, 1)) &lt;= VLOOKUP($C3915, 'Instrument Table'!$B:$D, 3, FALSE), ROW($A3915) - 4504 - _xlfn.XMATCH($C3915, $C$4506:$C$5005, 0, 1), 0), 0), "00")</f>
        <v>00</v>
      </c>
      <c r="H3915" s="1" t="str">
        <f t="shared" si="367"/>
        <v>109</v>
      </c>
      <c r="I3915" s="1" t="str">
        <f t="shared" si="368"/>
        <v>16400-109</v>
      </c>
      <c r="J3915" s="1" t="str">
        <f t="shared" si="369"/>
        <v>Musical accessories production item #109</v>
      </c>
      <c r="K3915" s="1" t="str">
        <f>IF(SUM(COUNTIFS(I:I, I3915)) &gt; 1, "DUPLICATE", "UNIQUE")</f>
        <v>UNIQUE</v>
      </c>
      <c r="L3915" s="18">
        <v>0</v>
      </c>
      <c r="M3915" s="28">
        <v>96</v>
      </c>
      <c r="N3915" s="6">
        <v>36</v>
      </c>
      <c r="O3915" s="30">
        <f t="shared" si="370"/>
        <v>0</v>
      </c>
      <c r="P3915" s="30">
        <f t="shared" si="371"/>
        <v>3456</v>
      </c>
      <c r="Q3915" s="1">
        <f>COUNTIFS($P:$P, "&gt;" &amp; $P3915) + 1</f>
        <v>2787</v>
      </c>
      <c r="R3915" s="63">
        <f>(COUNTIFS($P:$P, "&gt;" &amp; $P3915) + 1) / (COUNTA($I:$I) - 1)</f>
        <v>0.55740000000000001</v>
      </c>
      <c r="S3915" s="23">
        <f>SUMIFS($P:$P, $Q:$Q, "&lt;" &amp; $Q3915)</f>
        <v>184281179</v>
      </c>
    </row>
    <row r="3916" spans="1:19" x14ac:dyDescent="0.25">
      <c r="A3916" s="1">
        <v>3911</v>
      </c>
      <c r="B3916" s="1" t="s">
        <v>2</v>
      </c>
      <c r="C3916" s="1" t="str">
        <f>IF($B3916 = "Production Item", _xlfn.XLOOKUP($A3916, 'Instrument Table'!$J:$J, 'Instrument Table'!$B:$B, $C3915), IF($B3916 = "Service Item", _xlfn.XLOOKUP($A3916, 'Instrument Table'!$I:$I, 'Instrument Table'!$B:$B, $C3915), _xlfn.XLOOKUP($A3916, 'Instrument Table'!$H:$H, 'Instrument Table'!$B:$B, $C3915)))</f>
        <v>Musical Accessories</v>
      </c>
      <c r="D3916" s="1" t="str">
        <f>VLOOKUP($C3916, 'Instrument Table'!$B:$C, 2, FALSE)</f>
        <v>Other</v>
      </c>
      <c r="E3916" s="1">
        <f t="shared" si="366"/>
        <v>1</v>
      </c>
      <c r="F3916" s="1">
        <f>_xlfn.XLOOKUP($C3916, 'Instrument Table'!$B:$B, 'Instrument Table'!$A:$A, "")</f>
        <v>64</v>
      </c>
      <c r="G3916" s="1" t="str">
        <f>TEXT(IF($B3916 = "Retail Item", IF((ROW($A3916) - 4504 - _xlfn.XMATCH($C3916, $C$4506:$C$5005, 0, 1)) &lt;= VLOOKUP($C3916, 'Instrument Table'!$B:$D, 3, FALSE), ROW($A3916) - 4504 - _xlfn.XMATCH($C3916, $C$4506:$C$5005, 0, 1), 0), 0), "00")</f>
        <v>00</v>
      </c>
      <c r="H3916" s="1" t="str">
        <f t="shared" si="367"/>
        <v>110</v>
      </c>
      <c r="I3916" s="1" t="str">
        <f t="shared" si="368"/>
        <v>16400-110</v>
      </c>
      <c r="J3916" s="1" t="str">
        <f t="shared" si="369"/>
        <v>Musical accessories production item #110</v>
      </c>
      <c r="K3916" s="1" t="str">
        <f>IF(SUM(COUNTIFS(I:I, I3916)) &gt; 1, "DUPLICATE", "UNIQUE")</f>
        <v>UNIQUE</v>
      </c>
      <c r="L3916" s="18">
        <v>8</v>
      </c>
      <c r="M3916" s="28">
        <v>31</v>
      </c>
      <c r="N3916" s="6">
        <v>144</v>
      </c>
      <c r="O3916" s="30">
        <f t="shared" si="370"/>
        <v>248</v>
      </c>
      <c r="P3916" s="30">
        <f t="shared" si="371"/>
        <v>4464</v>
      </c>
      <c r="Q3916" s="1">
        <f>COUNTIFS($P:$P, "&gt;" &amp; $P3916) + 1</f>
        <v>2555</v>
      </c>
      <c r="R3916" s="63">
        <f>(COUNTIFS($P:$P, "&gt;" &amp; $P3916) + 1) / (COUNTA($I:$I) - 1)</f>
        <v>0.51100000000000001</v>
      </c>
      <c r="S3916" s="23">
        <f>SUMIFS($P:$P, $Q:$Q, "&lt;" &amp; $Q3916)</f>
        <v>183367348</v>
      </c>
    </row>
    <row r="3917" spans="1:19" x14ac:dyDescent="0.25">
      <c r="A3917" s="1">
        <v>3912</v>
      </c>
      <c r="B3917" s="1" t="s">
        <v>2</v>
      </c>
      <c r="C3917" s="1" t="str">
        <f>IF($B3917 = "Production Item", _xlfn.XLOOKUP($A3917, 'Instrument Table'!$J:$J, 'Instrument Table'!$B:$B, $C3916), IF($B3917 = "Service Item", _xlfn.XLOOKUP($A3917, 'Instrument Table'!$I:$I, 'Instrument Table'!$B:$B, $C3916), _xlfn.XLOOKUP($A3917, 'Instrument Table'!$H:$H, 'Instrument Table'!$B:$B, $C3916)))</f>
        <v>Musical Accessories</v>
      </c>
      <c r="D3917" s="1" t="str">
        <f>VLOOKUP($C3917, 'Instrument Table'!$B:$C, 2, FALSE)</f>
        <v>Other</v>
      </c>
      <c r="E3917" s="1">
        <f t="shared" si="366"/>
        <v>1</v>
      </c>
      <c r="F3917" s="1">
        <f>_xlfn.XLOOKUP($C3917, 'Instrument Table'!$B:$B, 'Instrument Table'!$A:$A, "")</f>
        <v>64</v>
      </c>
      <c r="G3917" s="1" t="str">
        <f>TEXT(IF($B3917 = "Retail Item", IF((ROW($A3917) - 4504 - _xlfn.XMATCH($C3917, $C$4506:$C$5005, 0, 1)) &lt;= VLOOKUP($C3917, 'Instrument Table'!$B:$D, 3, FALSE), ROW($A3917) - 4504 - _xlfn.XMATCH($C3917, $C$4506:$C$5005, 0, 1), 0), 0), "00")</f>
        <v>00</v>
      </c>
      <c r="H3917" s="1" t="str">
        <f t="shared" si="367"/>
        <v>111</v>
      </c>
      <c r="I3917" s="1" t="str">
        <f t="shared" si="368"/>
        <v>16400-111</v>
      </c>
      <c r="J3917" s="1" t="str">
        <f t="shared" si="369"/>
        <v>Musical accessories production item #111</v>
      </c>
      <c r="K3917" s="1" t="str">
        <f>IF(SUM(COUNTIFS(I:I, I3917)) &gt; 1, "DUPLICATE", "UNIQUE")</f>
        <v>UNIQUE</v>
      </c>
      <c r="L3917" s="18">
        <v>16</v>
      </c>
      <c r="M3917" s="28">
        <v>49</v>
      </c>
      <c r="N3917" s="6">
        <v>100</v>
      </c>
      <c r="O3917" s="30">
        <f t="shared" si="370"/>
        <v>784</v>
      </c>
      <c r="P3917" s="30">
        <f t="shared" si="371"/>
        <v>4900</v>
      </c>
      <c r="Q3917" s="1">
        <f>COUNTIFS($P:$P, "&gt;" &amp; $P3917) + 1</f>
        <v>2465</v>
      </c>
      <c r="R3917" s="63">
        <f>(COUNTIFS($P:$P, "&gt;" &amp; $P3917) + 1) / (COUNTA($I:$I) - 1)</f>
        <v>0.49299999999999999</v>
      </c>
      <c r="S3917" s="23">
        <f>SUMIFS($P:$P, $Q:$Q, "&lt;" &amp; $Q3917)</f>
        <v>182946522</v>
      </c>
    </row>
    <row r="3918" spans="1:19" x14ac:dyDescent="0.25">
      <c r="A3918" s="1">
        <v>3913</v>
      </c>
      <c r="B3918" s="1" t="s">
        <v>2</v>
      </c>
      <c r="C3918" s="1" t="str">
        <f>IF($B3918 = "Production Item", _xlfn.XLOOKUP($A3918, 'Instrument Table'!$J:$J, 'Instrument Table'!$B:$B, $C3917), IF($B3918 = "Service Item", _xlfn.XLOOKUP($A3918, 'Instrument Table'!$I:$I, 'Instrument Table'!$B:$B, $C3917), _xlfn.XLOOKUP($A3918, 'Instrument Table'!$H:$H, 'Instrument Table'!$B:$B, $C3917)))</f>
        <v>Musical Accessories</v>
      </c>
      <c r="D3918" s="1" t="str">
        <f>VLOOKUP($C3918, 'Instrument Table'!$B:$C, 2, FALSE)</f>
        <v>Other</v>
      </c>
      <c r="E3918" s="1">
        <f t="shared" si="366"/>
        <v>1</v>
      </c>
      <c r="F3918" s="1">
        <f>_xlfn.XLOOKUP($C3918, 'Instrument Table'!$B:$B, 'Instrument Table'!$A:$A, "")</f>
        <v>64</v>
      </c>
      <c r="G3918" s="1" t="str">
        <f>TEXT(IF($B3918 = "Retail Item", IF((ROW($A3918) - 4504 - _xlfn.XMATCH($C3918, $C$4506:$C$5005, 0, 1)) &lt;= VLOOKUP($C3918, 'Instrument Table'!$B:$D, 3, FALSE), ROW($A3918) - 4504 - _xlfn.XMATCH($C3918, $C$4506:$C$5005, 0, 1), 0), 0), "00")</f>
        <v>00</v>
      </c>
      <c r="H3918" s="1" t="str">
        <f t="shared" si="367"/>
        <v>112</v>
      </c>
      <c r="I3918" s="1" t="str">
        <f t="shared" si="368"/>
        <v>16400-112</v>
      </c>
      <c r="J3918" s="1" t="str">
        <f t="shared" si="369"/>
        <v>Musical accessories production item #112</v>
      </c>
      <c r="K3918" s="1" t="str">
        <f>IF(SUM(COUNTIFS(I:I, I3918)) &gt; 1, "DUPLICATE", "UNIQUE")</f>
        <v>UNIQUE</v>
      </c>
      <c r="L3918" s="18">
        <v>0</v>
      </c>
      <c r="M3918" s="28">
        <v>37</v>
      </c>
      <c r="N3918" s="6">
        <v>100</v>
      </c>
      <c r="O3918" s="30">
        <f t="shared" si="370"/>
        <v>0</v>
      </c>
      <c r="P3918" s="30">
        <f t="shared" si="371"/>
        <v>3700</v>
      </c>
      <c r="Q3918" s="1">
        <f>COUNTIFS($P:$P, "&gt;" &amp; $P3918) + 1</f>
        <v>2724</v>
      </c>
      <c r="R3918" s="63">
        <f>(COUNTIFS($P:$P, "&gt;" &amp; $P3918) + 1) / (COUNTA($I:$I) - 1)</f>
        <v>0.54479999999999995</v>
      </c>
      <c r="S3918" s="23">
        <f>SUMIFS($P:$P, $Q:$Q, "&lt;" &amp; $Q3918)</f>
        <v>184056526</v>
      </c>
    </row>
    <row r="3919" spans="1:19" x14ac:dyDescent="0.25">
      <c r="A3919" s="1">
        <v>3914</v>
      </c>
      <c r="B3919" s="1" t="s">
        <v>2</v>
      </c>
      <c r="C3919" s="1" t="str">
        <f>IF($B3919 = "Production Item", _xlfn.XLOOKUP($A3919, 'Instrument Table'!$J:$J, 'Instrument Table'!$B:$B, $C3918), IF($B3919 = "Service Item", _xlfn.XLOOKUP($A3919, 'Instrument Table'!$I:$I, 'Instrument Table'!$B:$B, $C3918), _xlfn.XLOOKUP($A3919, 'Instrument Table'!$H:$H, 'Instrument Table'!$B:$B, $C3918)))</f>
        <v>Musical Accessories</v>
      </c>
      <c r="D3919" s="1" t="str">
        <f>VLOOKUP($C3919, 'Instrument Table'!$B:$C, 2, FALSE)</f>
        <v>Other</v>
      </c>
      <c r="E3919" s="1">
        <f t="shared" si="366"/>
        <v>1</v>
      </c>
      <c r="F3919" s="1">
        <f>_xlfn.XLOOKUP($C3919, 'Instrument Table'!$B:$B, 'Instrument Table'!$A:$A, "")</f>
        <v>64</v>
      </c>
      <c r="G3919" s="1" t="str">
        <f>TEXT(IF($B3919 = "Retail Item", IF((ROW($A3919) - 4504 - _xlfn.XMATCH($C3919, $C$4506:$C$5005, 0, 1)) &lt;= VLOOKUP($C3919, 'Instrument Table'!$B:$D, 3, FALSE), ROW($A3919) - 4504 - _xlfn.XMATCH($C3919, $C$4506:$C$5005, 0, 1), 0), 0), "00")</f>
        <v>00</v>
      </c>
      <c r="H3919" s="1" t="str">
        <f t="shared" si="367"/>
        <v>113</v>
      </c>
      <c r="I3919" s="1" t="str">
        <f t="shared" si="368"/>
        <v>16400-113</v>
      </c>
      <c r="J3919" s="1" t="str">
        <f t="shared" si="369"/>
        <v>Musical accessories production item #113</v>
      </c>
      <c r="K3919" s="1" t="str">
        <f>IF(SUM(COUNTIFS(I:I, I3919)) &gt; 1, "DUPLICATE", "UNIQUE")</f>
        <v>UNIQUE</v>
      </c>
      <c r="L3919" s="18">
        <v>0</v>
      </c>
      <c r="M3919" s="28">
        <v>63</v>
      </c>
      <c r="N3919" s="6">
        <v>121</v>
      </c>
      <c r="O3919" s="30">
        <f t="shared" si="370"/>
        <v>0</v>
      </c>
      <c r="P3919" s="30">
        <f t="shared" si="371"/>
        <v>7623</v>
      </c>
      <c r="Q3919" s="1">
        <f>COUNTIFS($P:$P, "&gt;" &amp; $P3919) + 1</f>
        <v>2053</v>
      </c>
      <c r="R3919" s="63">
        <f>(COUNTIFS($P:$P, "&gt;" &amp; $P3919) + 1) / (COUNTA($I:$I) - 1)</f>
        <v>0.41060000000000002</v>
      </c>
      <c r="S3919" s="23">
        <f>SUMIFS($P:$P, $Q:$Q, "&lt;" &amp; $Q3919)</f>
        <v>180407949</v>
      </c>
    </row>
    <row r="3920" spans="1:19" x14ac:dyDescent="0.25">
      <c r="A3920" s="1">
        <v>3915</v>
      </c>
      <c r="B3920" s="1" t="s">
        <v>2</v>
      </c>
      <c r="C3920" s="1" t="str">
        <f>IF($B3920 = "Production Item", _xlfn.XLOOKUP($A3920, 'Instrument Table'!$J:$J, 'Instrument Table'!$B:$B, $C3919), IF($B3920 = "Service Item", _xlfn.XLOOKUP($A3920, 'Instrument Table'!$I:$I, 'Instrument Table'!$B:$B, $C3919), _xlfn.XLOOKUP($A3920, 'Instrument Table'!$H:$H, 'Instrument Table'!$B:$B, $C3919)))</f>
        <v>Musical Accessories</v>
      </c>
      <c r="D3920" s="1" t="str">
        <f>VLOOKUP($C3920, 'Instrument Table'!$B:$C, 2, FALSE)</f>
        <v>Other</v>
      </c>
      <c r="E3920" s="1">
        <f t="shared" si="366"/>
        <v>1</v>
      </c>
      <c r="F3920" s="1">
        <f>_xlfn.XLOOKUP($C3920, 'Instrument Table'!$B:$B, 'Instrument Table'!$A:$A, "")</f>
        <v>64</v>
      </c>
      <c r="G3920" s="1" t="str">
        <f>TEXT(IF($B3920 = "Retail Item", IF((ROW($A3920) - 4504 - _xlfn.XMATCH($C3920, $C$4506:$C$5005, 0, 1)) &lt;= VLOOKUP($C3920, 'Instrument Table'!$B:$D, 3, FALSE), ROW($A3920) - 4504 - _xlfn.XMATCH($C3920, $C$4506:$C$5005, 0, 1), 0), 0), "00")</f>
        <v>00</v>
      </c>
      <c r="H3920" s="1" t="str">
        <f t="shared" si="367"/>
        <v>114</v>
      </c>
      <c r="I3920" s="1" t="str">
        <f t="shared" si="368"/>
        <v>16400-114</v>
      </c>
      <c r="J3920" s="1" t="str">
        <f t="shared" si="369"/>
        <v>Musical accessories production item #114</v>
      </c>
      <c r="K3920" s="1" t="str">
        <f>IF(SUM(COUNTIFS(I:I, I3920)) &gt; 1, "DUPLICATE", "UNIQUE")</f>
        <v>UNIQUE</v>
      </c>
      <c r="L3920" s="18">
        <v>8</v>
      </c>
      <c r="M3920" s="28">
        <v>66</v>
      </c>
      <c r="N3920" s="6">
        <v>25</v>
      </c>
      <c r="O3920" s="30">
        <f t="shared" si="370"/>
        <v>528</v>
      </c>
      <c r="P3920" s="30">
        <f t="shared" si="371"/>
        <v>1650</v>
      </c>
      <c r="Q3920" s="1">
        <f>COUNTIFS($P:$P, "&gt;" &amp; $P3920) + 1</f>
        <v>3388</v>
      </c>
      <c r="R3920" s="63">
        <f>(COUNTIFS($P:$P, "&gt;" &amp; $P3920) + 1) / (COUNTA($I:$I) - 1)</f>
        <v>0.67759999999999998</v>
      </c>
      <c r="S3920" s="23">
        <f>SUMIFS($P:$P, $Q:$Q, "&lt;" &amp; $Q3920)</f>
        <v>185765499</v>
      </c>
    </row>
    <row r="3921" spans="1:19" x14ac:dyDescent="0.25">
      <c r="A3921" s="1">
        <v>3916</v>
      </c>
      <c r="B3921" s="1" t="s">
        <v>2</v>
      </c>
      <c r="C3921" s="1" t="str">
        <f>IF($B3921 = "Production Item", _xlfn.XLOOKUP($A3921, 'Instrument Table'!$J:$J, 'Instrument Table'!$B:$B, $C3920), IF($B3921 = "Service Item", _xlfn.XLOOKUP($A3921, 'Instrument Table'!$I:$I, 'Instrument Table'!$B:$B, $C3920), _xlfn.XLOOKUP($A3921, 'Instrument Table'!$H:$H, 'Instrument Table'!$B:$B, $C3920)))</f>
        <v>Musical Accessories</v>
      </c>
      <c r="D3921" s="1" t="str">
        <f>VLOOKUP($C3921, 'Instrument Table'!$B:$C, 2, FALSE)</f>
        <v>Other</v>
      </c>
      <c r="E3921" s="1">
        <f t="shared" si="366"/>
        <v>1</v>
      </c>
      <c r="F3921" s="1">
        <f>_xlfn.XLOOKUP($C3921, 'Instrument Table'!$B:$B, 'Instrument Table'!$A:$A, "")</f>
        <v>64</v>
      </c>
      <c r="G3921" s="1" t="str">
        <f>TEXT(IF($B3921 = "Retail Item", IF((ROW($A3921) - 4504 - _xlfn.XMATCH($C3921, $C$4506:$C$5005, 0, 1)) &lt;= VLOOKUP($C3921, 'Instrument Table'!$B:$D, 3, FALSE), ROW($A3921) - 4504 - _xlfn.XMATCH($C3921, $C$4506:$C$5005, 0, 1), 0), 0), "00")</f>
        <v>00</v>
      </c>
      <c r="H3921" s="1" t="str">
        <f t="shared" si="367"/>
        <v>115</v>
      </c>
      <c r="I3921" s="1" t="str">
        <f t="shared" si="368"/>
        <v>16400-115</v>
      </c>
      <c r="J3921" s="1" t="str">
        <f t="shared" si="369"/>
        <v>Musical accessories production item #115</v>
      </c>
      <c r="K3921" s="1" t="str">
        <f>IF(SUM(COUNTIFS(I:I, I3921)) &gt; 1, "DUPLICATE", "UNIQUE")</f>
        <v>UNIQUE</v>
      </c>
      <c r="L3921" s="18">
        <v>1</v>
      </c>
      <c r="M3921" s="28">
        <v>81</v>
      </c>
      <c r="N3921" s="6">
        <v>196</v>
      </c>
      <c r="O3921" s="30">
        <f t="shared" si="370"/>
        <v>81</v>
      </c>
      <c r="P3921" s="30">
        <f t="shared" si="371"/>
        <v>15876</v>
      </c>
      <c r="Q3921" s="1">
        <f>COUNTIFS($P:$P, "&gt;" &amp; $P3921) + 1</f>
        <v>1286</v>
      </c>
      <c r="R3921" s="63">
        <f>(COUNTIFS($P:$P, "&gt;" &amp; $P3921) + 1) / (COUNTA($I:$I) - 1)</f>
        <v>0.25719999999999998</v>
      </c>
      <c r="S3921" s="23">
        <f>SUMIFS($P:$P, $Q:$Q, "&lt;" &amp; $Q3921)</f>
        <v>171752413</v>
      </c>
    </row>
    <row r="3922" spans="1:19" x14ac:dyDescent="0.25">
      <c r="A3922" s="1">
        <v>3917</v>
      </c>
      <c r="B3922" s="1" t="s">
        <v>2</v>
      </c>
      <c r="C3922" s="1" t="str">
        <f>IF($B3922 = "Production Item", _xlfn.XLOOKUP($A3922, 'Instrument Table'!$J:$J, 'Instrument Table'!$B:$B, $C3921), IF($B3922 = "Service Item", _xlfn.XLOOKUP($A3922, 'Instrument Table'!$I:$I, 'Instrument Table'!$B:$B, $C3921), _xlfn.XLOOKUP($A3922, 'Instrument Table'!$H:$H, 'Instrument Table'!$B:$B, $C3921)))</f>
        <v>Musical Accessories</v>
      </c>
      <c r="D3922" s="1" t="str">
        <f>VLOOKUP($C3922, 'Instrument Table'!$B:$C, 2, FALSE)</f>
        <v>Other</v>
      </c>
      <c r="E3922" s="1">
        <f t="shared" si="366"/>
        <v>1</v>
      </c>
      <c r="F3922" s="1">
        <f>_xlfn.XLOOKUP($C3922, 'Instrument Table'!$B:$B, 'Instrument Table'!$A:$A, "")</f>
        <v>64</v>
      </c>
      <c r="G3922" s="1" t="str">
        <f>TEXT(IF($B3922 = "Retail Item", IF((ROW($A3922) - 4504 - _xlfn.XMATCH($C3922, $C$4506:$C$5005, 0, 1)) &lt;= VLOOKUP($C3922, 'Instrument Table'!$B:$D, 3, FALSE), ROW($A3922) - 4504 - _xlfn.XMATCH($C3922, $C$4506:$C$5005, 0, 1), 0), 0), "00")</f>
        <v>00</v>
      </c>
      <c r="H3922" s="1" t="str">
        <f t="shared" si="367"/>
        <v>116</v>
      </c>
      <c r="I3922" s="1" t="str">
        <f t="shared" si="368"/>
        <v>16400-116</v>
      </c>
      <c r="J3922" s="1" t="str">
        <f t="shared" si="369"/>
        <v>Musical accessories production item #116</v>
      </c>
      <c r="K3922" s="1" t="str">
        <f>IF(SUM(COUNTIFS(I:I, I3922)) &gt; 1, "DUPLICATE", "UNIQUE")</f>
        <v>UNIQUE</v>
      </c>
      <c r="L3922" s="18">
        <v>16</v>
      </c>
      <c r="M3922" s="28">
        <v>41</v>
      </c>
      <c r="N3922" s="6">
        <v>64</v>
      </c>
      <c r="O3922" s="30">
        <f t="shared" si="370"/>
        <v>656</v>
      </c>
      <c r="P3922" s="30">
        <f t="shared" si="371"/>
        <v>2624</v>
      </c>
      <c r="Q3922" s="1">
        <f>COUNTIFS($P:$P, "&gt;" &amp; $P3922) + 1</f>
        <v>3002</v>
      </c>
      <c r="R3922" s="63">
        <f>(COUNTIFS($P:$P, "&gt;" &amp; $P3922) + 1) / (COUNTA($I:$I) - 1)</f>
        <v>0.60040000000000004</v>
      </c>
      <c r="S3922" s="23">
        <f>SUMIFS($P:$P, $Q:$Q, "&lt;" &amp; $Q3922)</f>
        <v>184937374</v>
      </c>
    </row>
    <row r="3923" spans="1:19" x14ac:dyDescent="0.25">
      <c r="A3923" s="1">
        <v>3918</v>
      </c>
      <c r="B3923" s="1" t="s">
        <v>2</v>
      </c>
      <c r="C3923" s="1" t="str">
        <f>IF($B3923 = "Production Item", _xlfn.XLOOKUP($A3923, 'Instrument Table'!$J:$J, 'Instrument Table'!$B:$B, $C3922), IF($B3923 = "Service Item", _xlfn.XLOOKUP($A3923, 'Instrument Table'!$I:$I, 'Instrument Table'!$B:$B, $C3922), _xlfn.XLOOKUP($A3923, 'Instrument Table'!$H:$H, 'Instrument Table'!$B:$B, $C3922)))</f>
        <v>Musical Accessories</v>
      </c>
      <c r="D3923" s="1" t="str">
        <f>VLOOKUP($C3923, 'Instrument Table'!$B:$C, 2, FALSE)</f>
        <v>Other</v>
      </c>
      <c r="E3923" s="1">
        <f t="shared" si="366"/>
        <v>1</v>
      </c>
      <c r="F3923" s="1">
        <f>_xlfn.XLOOKUP($C3923, 'Instrument Table'!$B:$B, 'Instrument Table'!$A:$A, "")</f>
        <v>64</v>
      </c>
      <c r="G3923" s="1" t="str">
        <f>TEXT(IF($B3923 = "Retail Item", IF((ROW($A3923) - 4504 - _xlfn.XMATCH($C3923, $C$4506:$C$5005, 0, 1)) &lt;= VLOOKUP($C3923, 'Instrument Table'!$B:$D, 3, FALSE), ROW($A3923) - 4504 - _xlfn.XMATCH($C3923, $C$4506:$C$5005, 0, 1), 0), 0), "00")</f>
        <v>00</v>
      </c>
      <c r="H3923" s="1" t="str">
        <f t="shared" si="367"/>
        <v>117</v>
      </c>
      <c r="I3923" s="1" t="str">
        <f t="shared" si="368"/>
        <v>16400-117</v>
      </c>
      <c r="J3923" s="1" t="str">
        <f t="shared" si="369"/>
        <v>Musical accessories production item #117</v>
      </c>
      <c r="K3923" s="1" t="str">
        <f>IF(SUM(COUNTIFS(I:I, I3923)) &gt; 1, "DUPLICATE", "UNIQUE")</f>
        <v>UNIQUE</v>
      </c>
      <c r="L3923" s="18">
        <v>1</v>
      </c>
      <c r="M3923" s="28">
        <v>8</v>
      </c>
      <c r="N3923" s="6">
        <v>169</v>
      </c>
      <c r="O3923" s="30">
        <f t="shared" si="370"/>
        <v>8</v>
      </c>
      <c r="P3923" s="30">
        <f t="shared" si="371"/>
        <v>1352</v>
      </c>
      <c r="Q3923" s="1">
        <f>COUNTIFS($P:$P, "&gt;" &amp; $P3923) + 1</f>
        <v>3533</v>
      </c>
      <c r="R3923" s="63">
        <f>(COUNTIFS($P:$P, "&gt;" &amp; $P3923) + 1) / (COUNTA($I:$I) - 1)</f>
        <v>0.70660000000000001</v>
      </c>
      <c r="S3923" s="23">
        <f>SUMIFS($P:$P, $Q:$Q, "&lt;" &amp; $Q3923)</f>
        <v>185983257</v>
      </c>
    </row>
    <row r="3924" spans="1:19" x14ac:dyDescent="0.25">
      <c r="A3924" s="1">
        <v>3919</v>
      </c>
      <c r="B3924" s="1" t="s">
        <v>2</v>
      </c>
      <c r="C3924" s="1" t="str">
        <f>IF($B3924 = "Production Item", _xlfn.XLOOKUP($A3924, 'Instrument Table'!$J:$J, 'Instrument Table'!$B:$B, $C3923), IF($B3924 = "Service Item", _xlfn.XLOOKUP($A3924, 'Instrument Table'!$I:$I, 'Instrument Table'!$B:$B, $C3923), _xlfn.XLOOKUP($A3924, 'Instrument Table'!$H:$H, 'Instrument Table'!$B:$B, $C3923)))</f>
        <v>Musical Accessories</v>
      </c>
      <c r="D3924" s="1" t="str">
        <f>VLOOKUP($C3924, 'Instrument Table'!$B:$C, 2, FALSE)</f>
        <v>Other</v>
      </c>
      <c r="E3924" s="1">
        <f t="shared" si="366"/>
        <v>1</v>
      </c>
      <c r="F3924" s="1">
        <f>_xlfn.XLOOKUP($C3924, 'Instrument Table'!$B:$B, 'Instrument Table'!$A:$A, "")</f>
        <v>64</v>
      </c>
      <c r="G3924" s="1" t="str">
        <f>TEXT(IF($B3924 = "Retail Item", IF((ROW($A3924) - 4504 - _xlfn.XMATCH($C3924, $C$4506:$C$5005, 0, 1)) &lt;= VLOOKUP($C3924, 'Instrument Table'!$B:$D, 3, FALSE), ROW($A3924) - 4504 - _xlfn.XMATCH($C3924, $C$4506:$C$5005, 0, 1), 0), 0), "00")</f>
        <v>00</v>
      </c>
      <c r="H3924" s="1" t="str">
        <f t="shared" si="367"/>
        <v>118</v>
      </c>
      <c r="I3924" s="1" t="str">
        <f t="shared" si="368"/>
        <v>16400-118</v>
      </c>
      <c r="J3924" s="1" t="str">
        <f t="shared" si="369"/>
        <v>Musical accessories production item #118</v>
      </c>
      <c r="K3924" s="1" t="str">
        <f>IF(SUM(COUNTIFS(I:I, I3924)) &gt; 1, "DUPLICATE", "UNIQUE")</f>
        <v>UNIQUE</v>
      </c>
      <c r="L3924" s="18">
        <v>2</v>
      </c>
      <c r="M3924" s="28">
        <v>86</v>
      </c>
      <c r="N3924" s="6">
        <v>196</v>
      </c>
      <c r="O3924" s="30">
        <f t="shared" si="370"/>
        <v>172</v>
      </c>
      <c r="P3924" s="30">
        <f t="shared" si="371"/>
        <v>16856</v>
      </c>
      <c r="Q3924" s="1">
        <f>COUNTIFS($P:$P, "&gt;" &amp; $P3924) + 1</f>
        <v>1223</v>
      </c>
      <c r="R3924" s="63">
        <f>(COUNTIFS($P:$P, "&gt;" &amp; $P3924) + 1) / (COUNTA($I:$I) - 1)</f>
        <v>0.24460000000000001</v>
      </c>
      <c r="S3924" s="23">
        <f>SUMIFS($P:$P, $Q:$Q, "&lt;" &amp; $Q3924)</f>
        <v>170718947</v>
      </c>
    </row>
    <row r="3925" spans="1:19" x14ac:dyDescent="0.25">
      <c r="A3925" s="1">
        <v>3920</v>
      </c>
      <c r="B3925" s="1" t="s">
        <v>2</v>
      </c>
      <c r="C3925" s="1" t="str">
        <f>IF($B3925 = "Production Item", _xlfn.XLOOKUP($A3925, 'Instrument Table'!$J:$J, 'Instrument Table'!$B:$B, $C3924), IF($B3925 = "Service Item", _xlfn.XLOOKUP($A3925, 'Instrument Table'!$I:$I, 'Instrument Table'!$B:$B, $C3924), _xlfn.XLOOKUP($A3925, 'Instrument Table'!$H:$H, 'Instrument Table'!$B:$B, $C3924)))</f>
        <v>Musical Accessories</v>
      </c>
      <c r="D3925" s="1" t="str">
        <f>VLOOKUP($C3925, 'Instrument Table'!$B:$C, 2, FALSE)</f>
        <v>Other</v>
      </c>
      <c r="E3925" s="1">
        <f t="shared" si="366"/>
        <v>1</v>
      </c>
      <c r="F3925" s="1">
        <f>_xlfn.XLOOKUP($C3925, 'Instrument Table'!$B:$B, 'Instrument Table'!$A:$A, "")</f>
        <v>64</v>
      </c>
      <c r="G3925" s="1" t="str">
        <f>TEXT(IF($B3925 = "Retail Item", IF((ROW($A3925) - 4504 - _xlfn.XMATCH($C3925, $C$4506:$C$5005, 0, 1)) &lt;= VLOOKUP($C3925, 'Instrument Table'!$B:$D, 3, FALSE), ROW($A3925) - 4504 - _xlfn.XMATCH($C3925, $C$4506:$C$5005, 0, 1), 0), 0), "00")</f>
        <v>00</v>
      </c>
      <c r="H3925" s="1" t="str">
        <f t="shared" si="367"/>
        <v>119</v>
      </c>
      <c r="I3925" s="1" t="str">
        <f t="shared" si="368"/>
        <v>16400-119</v>
      </c>
      <c r="J3925" s="1" t="str">
        <f t="shared" si="369"/>
        <v>Musical accessories production item #119</v>
      </c>
      <c r="K3925" s="1" t="str">
        <f>IF(SUM(COUNTIFS(I:I, I3925)) &gt; 1, "DUPLICATE", "UNIQUE")</f>
        <v>UNIQUE</v>
      </c>
      <c r="L3925" s="18">
        <v>1</v>
      </c>
      <c r="M3925" s="28">
        <v>95</v>
      </c>
      <c r="N3925" s="6">
        <v>1</v>
      </c>
      <c r="O3925" s="30">
        <f t="shared" si="370"/>
        <v>95</v>
      </c>
      <c r="P3925" s="30">
        <f t="shared" si="371"/>
        <v>95</v>
      </c>
      <c r="Q3925" s="1">
        <f>COUNTIFS($P:$P, "&gt;" &amp; $P3925) + 1</f>
        <v>4471</v>
      </c>
      <c r="R3925" s="63">
        <f>(COUNTIFS($P:$P, "&gt;" &amp; $P3925) + 1) / (COUNTA($I:$I) - 1)</f>
        <v>0.89419999999999999</v>
      </c>
      <c r="S3925" s="23">
        <f>SUMIFS($P:$P, $Q:$Q, "&lt;" &amp; $Q3925)</f>
        <v>186534282</v>
      </c>
    </row>
    <row r="3926" spans="1:19" x14ac:dyDescent="0.25">
      <c r="A3926" s="1">
        <v>3921</v>
      </c>
      <c r="B3926" s="1" t="s">
        <v>2</v>
      </c>
      <c r="C3926" s="1" t="str">
        <f>IF($B3926 = "Production Item", _xlfn.XLOOKUP($A3926, 'Instrument Table'!$J:$J, 'Instrument Table'!$B:$B, $C3925), IF($B3926 = "Service Item", _xlfn.XLOOKUP($A3926, 'Instrument Table'!$I:$I, 'Instrument Table'!$B:$B, $C3925), _xlfn.XLOOKUP($A3926, 'Instrument Table'!$H:$H, 'Instrument Table'!$B:$B, $C3925)))</f>
        <v>Musical Accessories</v>
      </c>
      <c r="D3926" s="1" t="str">
        <f>VLOOKUP($C3926, 'Instrument Table'!$B:$C, 2, FALSE)</f>
        <v>Other</v>
      </c>
      <c r="E3926" s="1">
        <f t="shared" si="366"/>
        <v>1</v>
      </c>
      <c r="F3926" s="1">
        <f>_xlfn.XLOOKUP($C3926, 'Instrument Table'!$B:$B, 'Instrument Table'!$A:$A, "")</f>
        <v>64</v>
      </c>
      <c r="G3926" s="1" t="str">
        <f>TEXT(IF($B3926 = "Retail Item", IF((ROW($A3926) - 4504 - _xlfn.XMATCH($C3926, $C$4506:$C$5005, 0, 1)) &lt;= VLOOKUP($C3926, 'Instrument Table'!$B:$D, 3, FALSE), ROW($A3926) - 4504 - _xlfn.XMATCH($C3926, $C$4506:$C$5005, 0, 1), 0), 0), "00")</f>
        <v>00</v>
      </c>
      <c r="H3926" s="1" t="str">
        <f t="shared" si="367"/>
        <v>120</v>
      </c>
      <c r="I3926" s="1" t="str">
        <f t="shared" si="368"/>
        <v>16400-120</v>
      </c>
      <c r="J3926" s="1" t="str">
        <f t="shared" si="369"/>
        <v>Musical accessories production item #120</v>
      </c>
      <c r="K3926" s="1" t="str">
        <f>IF(SUM(COUNTIFS(I:I, I3926)) &gt; 1, "DUPLICATE", "UNIQUE")</f>
        <v>UNIQUE</v>
      </c>
      <c r="L3926" s="18">
        <v>0</v>
      </c>
      <c r="M3926" s="28">
        <v>58</v>
      </c>
      <c r="N3926" s="6">
        <v>225</v>
      </c>
      <c r="O3926" s="30">
        <f t="shared" si="370"/>
        <v>0</v>
      </c>
      <c r="P3926" s="30">
        <f t="shared" si="371"/>
        <v>13050</v>
      </c>
      <c r="Q3926" s="1">
        <f>COUNTIFS($P:$P, "&gt;" &amp; $P3926) + 1</f>
        <v>1495</v>
      </c>
      <c r="R3926" s="63">
        <f>(COUNTIFS($P:$P, "&gt;" &amp; $P3926) + 1) / (COUNTA($I:$I) - 1)</f>
        <v>0.29899999999999999</v>
      </c>
      <c r="S3926" s="23">
        <f>SUMIFS($P:$P, $Q:$Q, "&lt;" &amp; $Q3926)</f>
        <v>174774661</v>
      </c>
    </row>
    <row r="3927" spans="1:19" x14ac:dyDescent="0.25">
      <c r="A3927" s="1">
        <v>3922</v>
      </c>
      <c r="B3927" s="1" t="s">
        <v>2</v>
      </c>
      <c r="C3927" s="1" t="str">
        <f>IF($B3927 = "Production Item", _xlfn.XLOOKUP($A3927, 'Instrument Table'!$J:$J, 'Instrument Table'!$B:$B, $C3926), IF($B3927 = "Service Item", _xlfn.XLOOKUP($A3927, 'Instrument Table'!$I:$I, 'Instrument Table'!$B:$B, $C3926), _xlfn.XLOOKUP($A3927, 'Instrument Table'!$H:$H, 'Instrument Table'!$B:$B, $C3926)))</f>
        <v>Musical Accessories</v>
      </c>
      <c r="D3927" s="1" t="str">
        <f>VLOOKUP($C3927, 'Instrument Table'!$B:$C, 2, FALSE)</f>
        <v>Other</v>
      </c>
      <c r="E3927" s="1">
        <f t="shared" si="366"/>
        <v>1</v>
      </c>
      <c r="F3927" s="1">
        <f>_xlfn.XLOOKUP($C3927, 'Instrument Table'!$B:$B, 'Instrument Table'!$A:$A, "")</f>
        <v>64</v>
      </c>
      <c r="G3927" s="1" t="str">
        <f>TEXT(IF($B3927 = "Retail Item", IF((ROW($A3927) - 4504 - _xlfn.XMATCH($C3927, $C$4506:$C$5005, 0, 1)) &lt;= VLOOKUP($C3927, 'Instrument Table'!$B:$D, 3, FALSE), ROW($A3927) - 4504 - _xlfn.XMATCH($C3927, $C$4506:$C$5005, 0, 1), 0), 0), "00")</f>
        <v>00</v>
      </c>
      <c r="H3927" s="1" t="str">
        <f t="shared" si="367"/>
        <v>121</v>
      </c>
      <c r="I3927" s="1" t="str">
        <f t="shared" si="368"/>
        <v>16400-121</v>
      </c>
      <c r="J3927" s="1" t="str">
        <f t="shared" si="369"/>
        <v>Musical accessories production item #121</v>
      </c>
      <c r="K3927" s="1" t="str">
        <f>IF(SUM(COUNTIFS(I:I, I3927)) &gt; 1, "DUPLICATE", "UNIQUE")</f>
        <v>UNIQUE</v>
      </c>
      <c r="L3927" s="18">
        <v>0</v>
      </c>
      <c r="M3927" s="28">
        <v>31</v>
      </c>
      <c r="N3927" s="6">
        <v>225</v>
      </c>
      <c r="O3927" s="30">
        <f t="shared" si="370"/>
        <v>0</v>
      </c>
      <c r="P3927" s="30">
        <f t="shared" si="371"/>
        <v>6975</v>
      </c>
      <c r="Q3927" s="1">
        <f>COUNTIFS($P:$P, "&gt;" &amp; $P3927) + 1</f>
        <v>2136</v>
      </c>
      <c r="R3927" s="63">
        <f>(COUNTIFS($P:$P, "&gt;" &amp; $P3927) + 1) / (COUNTA($I:$I) - 1)</f>
        <v>0.42720000000000002</v>
      </c>
      <c r="S3927" s="23">
        <f>SUMIFS($P:$P, $Q:$Q, "&lt;" &amp; $Q3927)</f>
        <v>181016478</v>
      </c>
    </row>
    <row r="3928" spans="1:19" x14ac:dyDescent="0.25">
      <c r="A3928" s="1">
        <v>3923</v>
      </c>
      <c r="B3928" s="1" t="s">
        <v>2</v>
      </c>
      <c r="C3928" s="1" t="str">
        <f>IF($B3928 = "Production Item", _xlfn.XLOOKUP($A3928, 'Instrument Table'!$J:$J, 'Instrument Table'!$B:$B, $C3927), IF($B3928 = "Service Item", _xlfn.XLOOKUP($A3928, 'Instrument Table'!$I:$I, 'Instrument Table'!$B:$B, $C3927), _xlfn.XLOOKUP($A3928, 'Instrument Table'!$H:$H, 'Instrument Table'!$B:$B, $C3927)))</f>
        <v>Musical Accessories</v>
      </c>
      <c r="D3928" s="1" t="str">
        <f>VLOOKUP($C3928, 'Instrument Table'!$B:$C, 2, FALSE)</f>
        <v>Other</v>
      </c>
      <c r="E3928" s="1">
        <f t="shared" si="366"/>
        <v>1</v>
      </c>
      <c r="F3928" s="1">
        <f>_xlfn.XLOOKUP($C3928, 'Instrument Table'!$B:$B, 'Instrument Table'!$A:$A, "")</f>
        <v>64</v>
      </c>
      <c r="G3928" s="1" t="str">
        <f>TEXT(IF($B3928 = "Retail Item", IF((ROW($A3928) - 4504 - _xlfn.XMATCH($C3928, $C$4506:$C$5005, 0, 1)) &lt;= VLOOKUP($C3928, 'Instrument Table'!$B:$D, 3, FALSE), ROW($A3928) - 4504 - _xlfn.XMATCH($C3928, $C$4506:$C$5005, 0, 1), 0), 0), "00")</f>
        <v>00</v>
      </c>
      <c r="H3928" s="1" t="str">
        <f t="shared" si="367"/>
        <v>122</v>
      </c>
      <c r="I3928" s="1" t="str">
        <f t="shared" si="368"/>
        <v>16400-122</v>
      </c>
      <c r="J3928" s="1" t="str">
        <f t="shared" si="369"/>
        <v>Musical accessories production item #122</v>
      </c>
      <c r="K3928" s="1" t="str">
        <f>IF(SUM(COUNTIFS(I:I, I3928)) &gt; 1, "DUPLICATE", "UNIQUE")</f>
        <v>UNIQUE</v>
      </c>
      <c r="L3928" s="18">
        <v>0</v>
      </c>
      <c r="M3928" s="28">
        <v>82</v>
      </c>
      <c r="N3928" s="6">
        <v>400</v>
      </c>
      <c r="O3928" s="30">
        <f t="shared" si="370"/>
        <v>0</v>
      </c>
      <c r="P3928" s="30">
        <f t="shared" si="371"/>
        <v>32800</v>
      </c>
      <c r="Q3928" s="1">
        <f>COUNTIFS($P:$P, "&gt;" &amp; $P3928) + 1</f>
        <v>631</v>
      </c>
      <c r="R3928" s="63">
        <f>(COUNTIFS($P:$P, "&gt;" &amp; $P3928) + 1) / (COUNTA($I:$I) - 1)</f>
        <v>0.12620000000000001</v>
      </c>
      <c r="S3928" s="23">
        <f>SUMIFS($P:$P, $Q:$Q, "&lt;" &amp; $Q3928)</f>
        <v>156930640</v>
      </c>
    </row>
    <row r="3929" spans="1:19" x14ac:dyDescent="0.25">
      <c r="A3929" s="1">
        <v>3924</v>
      </c>
      <c r="B3929" s="1" t="s">
        <v>2</v>
      </c>
      <c r="C3929" s="1" t="str">
        <f>IF($B3929 = "Production Item", _xlfn.XLOOKUP($A3929, 'Instrument Table'!$J:$J, 'Instrument Table'!$B:$B, $C3928), IF($B3929 = "Service Item", _xlfn.XLOOKUP($A3929, 'Instrument Table'!$I:$I, 'Instrument Table'!$B:$B, $C3928), _xlfn.XLOOKUP($A3929, 'Instrument Table'!$H:$H, 'Instrument Table'!$B:$B, $C3928)))</f>
        <v>Musical Accessories</v>
      </c>
      <c r="D3929" s="1" t="str">
        <f>VLOOKUP($C3929, 'Instrument Table'!$B:$C, 2, FALSE)</f>
        <v>Other</v>
      </c>
      <c r="E3929" s="1">
        <f t="shared" si="366"/>
        <v>1</v>
      </c>
      <c r="F3929" s="1">
        <f>_xlfn.XLOOKUP($C3929, 'Instrument Table'!$B:$B, 'Instrument Table'!$A:$A, "")</f>
        <v>64</v>
      </c>
      <c r="G3929" s="1" t="str">
        <f>TEXT(IF($B3929 = "Retail Item", IF((ROW($A3929) - 4504 - _xlfn.XMATCH($C3929, $C$4506:$C$5005, 0, 1)) &lt;= VLOOKUP($C3929, 'Instrument Table'!$B:$D, 3, FALSE), ROW($A3929) - 4504 - _xlfn.XMATCH($C3929, $C$4506:$C$5005, 0, 1), 0), 0), "00")</f>
        <v>00</v>
      </c>
      <c r="H3929" s="1" t="str">
        <f t="shared" si="367"/>
        <v>123</v>
      </c>
      <c r="I3929" s="1" t="str">
        <f t="shared" si="368"/>
        <v>16400-123</v>
      </c>
      <c r="J3929" s="1" t="str">
        <f t="shared" si="369"/>
        <v>Musical accessories production item #123</v>
      </c>
      <c r="K3929" s="1" t="str">
        <f>IF(SUM(COUNTIFS(I:I, I3929)) &gt; 1, "DUPLICATE", "UNIQUE")</f>
        <v>UNIQUE</v>
      </c>
      <c r="L3929" s="18">
        <v>1</v>
      </c>
      <c r="M3929" s="28">
        <v>17</v>
      </c>
      <c r="N3929" s="6">
        <v>361</v>
      </c>
      <c r="O3929" s="30">
        <f t="shared" si="370"/>
        <v>17</v>
      </c>
      <c r="P3929" s="30">
        <f t="shared" si="371"/>
        <v>6137</v>
      </c>
      <c r="Q3929" s="1">
        <f>COUNTIFS($P:$P, "&gt;" &amp; $P3929) + 1</f>
        <v>2240</v>
      </c>
      <c r="R3929" s="63">
        <f>(COUNTIFS($P:$P, "&gt;" &amp; $P3929) + 1) / (COUNTA($I:$I) - 1)</f>
        <v>0.44800000000000001</v>
      </c>
      <c r="S3929" s="23">
        <f>SUMIFS($P:$P, $Q:$Q, "&lt;" &amp; $Q3929)</f>
        <v>181706183</v>
      </c>
    </row>
    <row r="3930" spans="1:19" x14ac:dyDescent="0.25">
      <c r="A3930" s="1">
        <v>3925</v>
      </c>
      <c r="B3930" s="1" t="s">
        <v>2</v>
      </c>
      <c r="C3930" s="1" t="str">
        <f>IF($B3930 = "Production Item", _xlfn.XLOOKUP($A3930, 'Instrument Table'!$J:$J, 'Instrument Table'!$B:$B, $C3929), IF($B3930 = "Service Item", _xlfn.XLOOKUP($A3930, 'Instrument Table'!$I:$I, 'Instrument Table'!$B:$B, $C3929), _xlfn.XLOOKUP($A3930, 'Instrument Table'!$H:$H, 'Instrument Table'!$B:$B, $C3929)))</f>
        <v>Musical Accessories</v>
      </c>
      <c r="D3930" s="1" t="str">
        <f>VLOOKUP($C3930, 'Instrument Table'!$B:$C, 2, FALSE)</f>
        <v>Other</v>
      </c>
      <c r="E3930" s="1">
        <f t="shared" si="366"/>
        <v>1</v>
      </c>
      <c r="F3930" s="1">
        <f>_xlfn.XLOOKUP($C3930, 'Instrument Table'!$B:$B, 'Instrument Table'!$A:$A, "")</f>
        <v>64</v>
      </c>
      <c r="G3930" s="1" t="str">
        <f>TEXT(IF($B3930 = "Retail Item", IF((ROW($A3930) - 4504 - _xlfn.XMATCH($C3930, $C$4506:$C$5005, 0, 1)) &lt;= VLOOKUP($C3930, 'Instrument Table'!$B:$D, 3, FALSE), ROW($A3930) - 4504 - _xlfn.XMATCH($C3930, $C$4506:$C$5005, 0, 1), 0), 0), "00")</f>
        <v>00</v>
      </c>
      <c r="H3930" s="1" t="str">
        <f t="shared" si="367"/>
        <v>124</v>
      </c>
      <c r="I3930" s="1" t="str">
        <f t="shared" si="368"/>
        <v>16400-124</v>
      </c>
      <c r="J3930" s="1" t="str">
        <f t="shared" si="369"/>
        <v>Musical accessories production item #124</v>
      </c>
      <c r="K3930" s="1" t="str">
        <f>IF(SUM(COUNTIFS(I:I, I3930)) &gt; 1, "DUPLICATE", "UNIQUE")</f>
        <v>UNIQUE</v>
      </c>
      <c r="L3930" s="18">
        <v>0</v>
      </c>
      <c r="M3930" s="28">
        <v>98</v>
      </c>
      <c r="N3930" s="6">
        <v>361</v>
      </c>
      <c r="O3930" s="30">
        <f t="shared" si="370"/>
        <v>0</v>
      </c>
      <c r="P3930" s="30">
        <f t="shared" si="371"/>
        <v>35378</v>
      </c>
      <c r="Q3930" s="1">
        <f>COUNTIFS($P:$P, "&gt;" &amp; $P3930) + 1</f>
        <v>598</v>
      </c>
      <c r="R3930" s="63">
        <f>(COUNTIFS($P:$P, "&gt;" &amp; $P3930) + 1) / (COUNTA($I:$I) - 1)</f>
        <v>0.1196</v>
      </c>
      <c r="S3930" s="23">
        <f>SUMIFS($P:$P, $Q:$Q, "&lt;" &amp; $Q3930)</f>
        <v>155799685</v>
      </c>
    </row>
    <row r="3931" spans="1:19" x14ac:dyDescent="0.25">
      <c r="A3931" s="1">
        <v>3926</v>
      </c>
      <c r="B3931" s="1" t="s">
        <v>2</v>
      </c>
      <c r="C3931" s="1" t="str">
        <f>IF($B3931 = "Production Item", _xlfn.XLOOKUP($A3931, 'Instrument Table'!$J:$J, 'Instrument Table'!$B:$B, $C3930), IF($B3931 = "Service Item", _xlfn.XLOOKUP($A3931, 'Instrument Table'!$I:$I, 'Instrument Table'!$B:$B, $C3930), _xlfn.XLOOKUP($A3931, 'Instrument Table'!$H:$H, 'Instrument Table'!$B:$B, $C3930)))</f>
        <v>Musical Accessories</v>
      </c>
      <c r="D3931" s="1" t="str">
        <f>VLOOKUP($C3931, 'Instrument Table'!$B:$C, 2, FALSE)</f>
        <v>Other</v>
      </c>
      <c r="E3931" s="1">
        <f t="shared" si="366"/>
        <v>1</v>
      </c>
      <c r="F3931" s="1">
        <f>_xlfn.XLOOKUP($C3931, 'Instrument Table'!$B:$B, 'Instrument Table'!$A:$A, "")</f>
        <v>64</v>
      </c>
      <c r="G3931" s="1" t="str">
        <f>TEXT(IF($B3931 = "Retail Item", IF((ROW($A3931) - 4504 - _xlfn.XMATCH($C3931, $C$4506:$C$5005, 0, 1)) &lt;= VLOOKUP($C3931, 'Instrument Table'!$B:$D, 3, FALSE), ROW($A3931) - 4504 - _xlfn.XMATCH($C3931, $C$4506:$C$5005, 0, 1), 0), 0), "00")</f>
        <v>00</v>
      </c>
      <c r="H3931" s="1" t="str">
        <f t="shared" si="367"/>
        <v>125</v>
      </c>
      <c r="I3931" s="1" t="str">
        <f t="shared" si="368"/>
        <v>16400-125</v>
      </c>
      <c r="J3931" s="1" t="str">
        <f t="shared" si="369"/>
        <v>Musical accessories production item #125</v>
      </c>
      <c r="K3931" s="1" t="str">
        <f>IF(SUM(COUNTIFS(I:I, I3931)) &gt; 1, "DUPLICATE", "UNIQUE")</f>
        <v>UNIQUE</v>
      </c>
      <c r="L3931" s="18">
        <v>0</v>
      </c>
      <c r="M3931" s="28">
        <v>89</v>
      </c>
      <c r="N3931" s="6">
        <v>196</v>
      </c>
      <c r="O3931" s="30">
        <f t="shared" si="370"/>
        <v>0</v>
      </c>
      <c r="P3931" s="30">
        <f t="shared" si="371"/>
        <v>17444</v>
      </c>
      <c r="Q3931" s="1">
        <f>COUNTIFS($P:$P, "&gt;" &amp; $P3931) + 1</f>
        <v>1193</v>
      </c>
      <c r="R3931" s="63">
        <f>(COUNTIFS($P:$P, "&gt;" &amp; $P3931) + 1) / (COUNTA($I:$I) - 1)</f>
        <v>0.23860000000000001</v>
      </c>
      <c r="S3931" s="23">
        <f>SUMIFS($P:$P, $Q:$Q, "&lt;" &amp; $Q3931)</f>
        <v>170204437</v>
      </c>
    </row>
    <row r="3932" spans="1:19" x14ac:dyDescent="0.25">
      <c r="A3932" s="1">
        <v>3927</v>
      </c>
      <c r="B3932" s="1" t="s">
        <v>2</v>
      </c>
      <c r="C3932" s="1" t="str">
        <f>IF($B3932 = "Production Item", _xlfn.XLOOKUP($A3932, 'Instrument Table'!$J:$J, 'Instrument Table'!$B:$B, $C3931), IF($B3932 = "Service Item", _xlfn.XLOOKUP($A3932, 'Instrument Table'!$I:$I, 'Instrument Table'!$B:$B, $C3931), _xlfn.XLOOKUP($A3932, 'Instrument Table'!$H:$H, 'Instrument Table'!$B:$B, $C3931)))</f>
        <v>Musical Accessories</v>
      </c>
      <c r="D3932" s="1" t="str">
        <f>VLOOKUP($C3932, 'Instrument Table'!$B:$C, 2, FALSE)</f>
        <v>Other</v>
      </c>
      <c r="E3932" s="1">
        <f t="shared" si="366"/>
        <v>1</v>
      </c>
      <c r="F3932" s="1">
        <f>_xlfn.XLOOKUP($C3932, 'Instrument Table'!$B:$B, 'Instrument Table'!$A:$A, "")</f>
        <v>64</v>
      </c>
      <c r="G3932" s="1" t="str">
        <f>TEXT(IF($B3932 = "Retail Item", IF((ROW($A3932) - 4504 - _xlfn.XMATCH($C3932, $C$4506:$C$5005, 0, 1)) &lt;= VLOOKUP($C3932, 'Instrument Table'!$B:$D, 3, FALSE), ROW($A3932) - 4504 - _xlfn.XMATCH($C3932, $C$4506:$C$5005, 0, 1), 0), 0), "00")</f>
        <v>00</v>
      </c>
      <c r="H3932" s="1" t="str">
        <f t="shared" si="367"/>
        <v>126</v>
      </c>
      <c r="I3932" s="1" t="str">
        <f t="shared" si="368"/>
        <v>16400-126</v>
      </c>
      <c r="J3932" s="1" t="str">
        <f t="shared" si="369"/>
        <v>Musical accessories production item #126</v>
      </c>
      <c r="K3932" s="1" t="str">
        <f>IF(SUM(COUNTIFS(I:I, I3932)) &gt; 1, "DUPLICATE", "UNIQUE")</f>
        <v>UNIQUE</v>
      </c>
      <c r="L3932" s="18">
        <v>16</v>
      </c>
      <c r="M3932" s="28">
        <v>92</v>
      </c>
      <c r="N3932" s="6">
        <v>64</v>
      </c>
      <c r="O3932" s="30">
        <f t="shared" si="370"/>
        <v>1472</v>
      </c>
      <c r="P3932" s="30">
        <f t="shared" si="371"/>
        <v>5888</v>
      </c>
      <c r="Q3932" s="1">
        <f>COUNTIFS($P:$P, "&gt;" &amp; $P3932) + 1</f>
        <v>2280</v>
      </c>
      <c r="R3932" s="63">
        <f>(COUNTIFS($P:$P, "&gt;" &amp; $P3932) + 1) / (COUNTA($I:$I) - 1)</f>
        <v>0.45600000000000002</v>
      </c>
      <c r="S3932" s="23">
        <f>SUMIFS($P:$P, $Q:$Q, "&lt;" &amp; $Q3932)</f>
        <v>181947420</v>
      </c>
    </row>
    <row r="3933" spans="1:19" x14ac:dyDescent="0.25">
      <c r="A3933" s="1">
        <v>3928</v>
      </c>
      <c r="B3933" s="1" t="s">
        <v>2</v>
      </c>
      <c r="C3933" s="1" t="str">
        <f>IF($B3933 = "Production Item", _xlfn.XLOOKUP($A3933, 'Instrument Table'!$J:$J, 'Instrument Table'!$B:$B, $C3932), IF($B3933 = "Service Item", _xlfn.XLOOKUP($A3933, 'Instrument Table'!$I:$I, 'Instrument Table'!$B:$B, $C3932), _xlfn.XLOOKUP($A3933, 'Instrument Table'!$H:$H, 'Instrument Table'!$B:$B, $C3932)))</f>
        <v>Musical Accessories</v>
      </c>
      <c r="D3933" s="1" t="str">
        <f>VLOOKUP($C3933, 'Instrument Table'!$B:$C, 2, FALSE)</f>
        <v>Other</v>
      </c>
      <c r="E3933" s="1">
        <f t="shared" si="366"/>
        <v>1</v>
      </c>
      <c r="F3933" s="1">
        <f>_xlfn.XLOOKUP($C3933, 'Instrument Table'!$B:$B, 'Instrument Table'!$A:$A, "")</f>
        <v>64</v>
      </c>
      <c r="G3933" s="1" t="str">
        <f>TEXT(IF($B3933 = "Retail Item", IF((ROW($A3933) - 4504 - _xlfn.XMATCH($C3933, $C$4506:$C$5005, 0, 1)) &lt;= VLOOKUP($C3933, 'Instrument Table'!$B:$D, 3, FALSE), ROW($A3933) - 4504 - _xlfn.XMATCH($C3933, $C$4506:$C$5005, 0, 1), 0), 0), "00")</f>
        <v>00</v>
      </c>
      <c r="H3933" s="1" t="str">
        <f t="shared" si="367"/>
        <v>127</v>
      </c>
      <c r="I3933" s="1" t="str">
        <f t="shared" si="368"/>
        <v>16400-127</v>
      </c>
      <c r="J3933" s="1" t="str">
        <f t="shared" si="369"/>
        <v>Musical accessories production item #127</v>
      </c>
      <c r="K3933" s="1" t="str">
        <f>IF(SUM(COUNTIFS(I:I, I3933)) &gt; 1, "DUPLICATE", "UNIQUE")</f>
        <v>UNIQUE</v>
      </c>
      <c r="L3933" s="18">
        <v>4</v>
      </c>
      <c r="M3933" s="28">
        <v>12</v>
      </c>
      <c r="N3933" s="6">
        <v>49</v>
      </c>
      <c r="O3933" s="30">
        <f t="shared" si="370"/>
        <v>48</v>
      </c>
      <c r="P3933" s="30">
        <f t="shared" si="371"/>
        <v>588</v>
      </c>
      <c r="Q3933" s="1">
        <f>COUNTIFS($P:$P, "&gt;" &amp; $P3933) + 1</f>
        <v>3952</v>
      </c>
      <c r="R3933" s="63">
        <f>(COUNTIFS($P:$P, "&gt;" &amp; $P3933) + 1) / (COUNTA($I:$I) - 1)</f>
        <v>0.79039999999999999</v>
      </c>
      <c r="S3933" s="23">
        <f>SUMIFS($P:$P, $Q:$Q, "&lt;" &amp; $Q3933)</f>
        <v>186371437</v>
      </c>
    </row>
    <row r="3934" spans="1:19" x14ac:dyDescent="0.25">
      <c r="A3934" s="1">
        <v>3929</v>
      </c>
      <c r="B3934" s="1" t="s">
        <v>2</v>
      </c>
      <c r="C3934" s="1" t="str">
        <f>IF($B3934 = "Production Item", _xlfn.XLOOKUP($A3934, 'Instrument Table'!$J:$J, 'Instrument Table'!$B:$B, $C3933), IF($B3934 = "Service Item", _xlfn.XLOOKUP($A3934, 'Instrument Table'!$I:$I, 'Instrument Table'!$B:$B, $C3933), _xlfn.XLOOKUP($A3934, 'Instrument Table'!$H:$H, 'Instrument Table'!$B:$B, $C3933)))</f>
        <v>Musical Accessories</v>
      </c>
      <c r="D3934" s="1" t="str">
        <f>VLOOKUP($C3934, 'Instrument Table'!$B:$C, 2, FALSE)</f>
        <v>Other</v>
      </c>
      <c r="E3934" s="1">
        <f t="shared" si="366"/>
        <v>1</v>
      </c>
      <c r="F3934" s="1">
        <f>_xlfn.XLOOKUP($C3934, 'Instrument Table'!$B:$B, 'Instrument Table'!$A:$A, "")</f>
        <v>64</v>
      </c>
      <c r="G3934" s="1" t="str">
        <f>TEXT(IF($B3934 = "Retail Item", IF((ROW($A3934) - 4504 - _xlfn.XMATCH($C3934, $C$4506:$C$5005, 0, 1)) &lt;= VLOOKUP($C3934, 'Instrument Table'!$B:$D, 3, FALSE), ROW($A3934) - 4504 - _xlfn.XMATCH($C3934, $C$4506:$C$5005, 0, 1), 0), 0), "00")</f>
        <v>00</v>
      </c>
      <c r="H3934" s="1" t="str">
        <f t="shared" si="367"/>
        <v>128</v>
      </c>
      <c r="I3934" s="1" t="str">
        <f t="shared" si="368"/>
        <v>16400-128</v>
      </c>
      <c r="J3934" s="1" t="str">
        <f t="shared" si="369"/>
        <v>Musical accessories production item #128</v>
      </c>
      <c r="K3934" s="1" t="str">
        <f>IF(SUM(COUNTIFS(I:I, I3934)) &gt; 1, "DUPLICATE", "UNIQUE")</f>
        <v>UNIQUE</v>
      </c>
      <c r="L3934" s="18">
        <v>1</v>
      </c>
      <c r="M3934" s="28">
        <v>34</v>
      </c>
      <c r="N3934" s="6">
        <v>100</v>
      </c>
      <c r="O3934" s="30">
        <f t="shared" si="370"/>
        <v>34</v>
      </c>
      <c r="P3934" s="30">
        <f t="shared" si="371"/>
        <v>3400</v>
      </c>
      <c r="Q3934" s="1">
        <f>COUNTIFS($P:$P, "&gt;" &amp; $P3934) + 1</f>
        <v>2801</v>
      </c>
      <c r="R3934" s="63">
        <f>(COUNTIFS($P:$P, "&gt;" &amp; $P3934) + 1) / (COUNTA($I:$I) - 1)</f>
        <v>0.56020000000000003</v>
      </c>
      <c r="S3934" s="23">
        <f>SUMIFS($P:$P, $Q:$Q, "&lt;" &amp; $Q3934)</f>
        <v>184329315</v>
      </c>
    </row>
    <row r="3935" spans="1:19" x14ac:dyDescent="0.25">
      <c r="A3935" s="1">
        <v>3930</v>
      </c>
      <c r="B3935" s="1" t="s">
        <v>2</v>
      </c>
      <c r="C3935" s="1" t="str">
        <f>IF($B3935 = "Production Item", _xlfn.XLOOKUP($A3935, 'Instrument Table'!$J:$J, 'Instrument Table'!$B:$B, $C3934), IF($B3935 = "Service Item", _xlfn.XLOOKUP($A3935, 'Instrument Table'!$I:$I, 'Instrument Table'!$B:$B, $C3934), _xlfn.XLOOKUP($A3935, 'Instrument Table'!$H:$H, 'Instrument Table'!$B:$B, $C3934)))</f>
        <v>Musical Accessories</v>
      </c>
      <c r="D3935" s="1" t="str">
        <f>VLOOKUP($C3935, 'Instrument Table'!$B:$C, 2, FALSE)</f>
        <v>Other</v>
      </c>
      <c r="E3935" s="1">
        <f t="shared" si="366"/>
        <v>1</v>
      </c>
      <c r="F3935" s="1">
        <f>_xlfn.XLOOKUP($C3935, 'Instrument Table'!$B:$B, 'Instrument Table'!$A:$A, "")</f>
        <v>64</v>
      </c>
      <c r="G3935" s="1" t="str">
        <f>TEXT(IF($B3935 = "Retail Item", IF((ROW($A3935) - 4504 - _xlfn.XMATCH($C3935, $C$4506:$C$5005, 0, 1)) &lt;= VLOOKUP($C3935, 'Instrument Table'!$B:$D, 3, FALSE), ROW($A3935) - 4504 - _xlfn.XMATCH($C3935, $C$4506:$C$5005, 0, 1), 0), 0), "00")</f>
        <v>00</v>
      </c>
      <c r="H3935" s="1" t="str">
        <f t="shared" si="367"/>
        <v>129</v>
      </c>
      <c r="I3935" s="1" t="str">
        <f t="shared" si="368"/>
        <v>16400-129</v>
      </c>
      <c r="J3935" s="1" t="str">
        <f t="shared" si="369"/>
        <v>Musical accessories production item #129</v>
      </c>
      <c r="K3935" s="1" t="str">
        <f>IF(SUM(COUNTIFS(I:I, I3935)) &gt; 1, "DUPLICATE", "UNIQUE")</f>
        <v>UNIQUE</v>
      </c>
      <c r="L3935" s="18">
        <v>0</v>
      </c>
      <c r="M3935" s="28">
        <v>18</v>
      </c>
      <c r="N3935" s="6">
        <v>25</v>
      </c>
      <c r="O3935" s="30">
        <f t="shared" si="370"/>
        <v>0</v>
      </c>
      <c r="P3935" s="30">
        <f t="shared" si="371"/>
        <v>450</v>
      </c>
      <c r="Q3935" s="1">
        <f>COUNTIFS($P:$P, "&gt;" &amp; $P3935) + 1</f>
        <v>4054</v>
      </c>
      <c r="R3935" s="63">
        <f>(COUNTIFS($P:$P, "&gt;" &amp; $P3935) + 1) / (COUNTA($I:$I) - 1)</f>
        <v>0.81079999999999997</v>
      </c>
      <c r="S3935" s="23">
        <f>SUMIFS($P:$P, $Q:$Q, "&lt;" &amp; $Q3935)</f>
        <v>186425250</v>
      </c>
    </row>
    <row r="3936" spans="1:19" x14ac:dyDescent="0.25">
      <c r="A3936" s="1">
        <v>3931</v>
      </c>
      <c r="B3936" s="1" t="s">
        <v>2</v>
      </c>
      <c r="C3936" s="1" t="str">
        <f>IF($B3936 = "Production Item", _xlfn.XLOOKUP($A3936, 'Instrument Table'!$J:$J, 'Instrument Table'!$B:$B, $C3935), IF($B3936 = "Service Item", _xlfn.XLOOKUP($A3936, 'Instrument Table'!$I:$I, 'Instrument Table'!$B:$B, $C3935), _xlfn.XLOOKUP($A3936, 'Instrument Table'!$H:$H, 'Instrument Table'!$B:$B, $C3935)))</f>
        <v>Musical Accessories</v>
      </c>
      <c r="D3936" s="1" t="str">
        <f>VLOOKUP($C3936, 'Instrument Table'!$B:$C, 2, FALSE)</f>
        <v>Other</v>
      </c>
      <c r="E3936" s="1">
        <f t="shared" si="366"/>
        <v>1</v>
      </c>
      <c r="F3936" s="1">
        <f>_xlfn.XLOOKUP($C3936, 'Instrument Table'!$B:$B, 'Instrument Table'!$A:$A, "")</f>
        <v>64</v>
      </c>
      <c r="G3936" s="1" t="str">
        <f>TEXT(IF($B3936 = "Retail Item", IF((ROW($A3936) - 4504 - _xlfn.XMATCH($C3936, $C$4506:$C$5005, 0, 1)) &lt;= VLOOKUP($C3936, 'Instrument Table'!$B:$D, 3, FALSE), ROW($A3936) - 4504 - _xlfn.XMATCH($C3936, $C$4506:$C$5005, 0, 1), 0), 0), "00")</f>
        <v>00</v>
      </c>
      <c r="H3936" s="1" t="str">
        <f t="shared" si="367"/>
        <v>130</v>
      </c>
      <c r="I3936" s="1" t="str">
        <f t="shared" si="368"/>
        <v>16400-130</v>
      </c>
      <c r="J3936" s="1" t="str">
        <f t="shared" si="369"/>
        <v>Musical accessories production item #130</v>
      </c>
      <c r="K3936" s="1" t="str">
        <f>IF(SUM(COUNTIFS(I:I, I3936)) &gt; 1, "DUPLICATE", "UNIQUE")</f>
        <v>UNIQUE</v>
      </c>
      <c r="L3936" s="18">
        <v>0</v>
      </c>
      <c r="M3936" s="28">
        <v>31</v>
      </c>
      <c r="N3936" s="6">
        <v>16</v>
      </c>
      <c r="O3936" s="30">
        <f t="shared" si="370"/>
        <v>0</v>
      </c>
      <c r="P3936" s="30">
        <f t="shared" si="371"/>
        <v>496</v>
      </c>
      <c r="Q3936" s="1">
        <f>COUNTIFS($P:$P, "&gt;" &amp; $P3936) + 1</f>
        <v>4029</v>
      </c>
      <c r="R3936" s="63">
        <f>(COUNTIFS($P:$P, "&gt;" &amp; $P3936) + 1) / (COUNTA($I:$I) - 1)</f>
        <v>0.80579999999999996</v>
      </c>
      <c r="S3936" s="23">
        <f>SUMIFS($P:$P, $Q:$Q, "&lt;" &amp; $Q3936)</f>
        <v>186413159</v>
      </c>
    </row>
    <row r="3937" spans="1:19" x14ac:dyDescent="0.25">
      <c r="A3937" s="1">
        <v>3932</v>
      </c>
      <c r="B3937" s="1" t="s">
        <v>2</v>
      </c>
      <c r="C3937" s="1" t="str">
        <f>IF($B3937 = "Production Item", _xlfn.XLOOKUP($A3937, 'Instrument Table'!$J:$J, 'Instrument Table'!$B:$B, $C3936), IF($B3937 = "Service Item", _xlfn.XLOOKUP($A3937, 'Instrument Table'!$I:$I, 'Instrument Table'!$B:$B, $C3936), _xlfn.XLOOKUP($A3937, 'Instrument Table'!$H:$H, 'Instrument Table'!$B:$B, $C3936)))</f>
        <v>Musical Accessories</v>
      </c>
      <c r="D3937" s="1" t="str">
        <f>VLOOKUP($C3937, 'Instrument Table'!$B:$C, 2, FALSE)</f>
        <v>Other</v>
      </c>
      <c r="E3937" s="1">
        <f t="shared" si="366"/>
        <v>1</v>
      </c>
      <c r="F3937" s="1">
        <f>_xlfn.XLOOKUP($C3937, 'Instrument Table'!$B:$B, 'Instrument Table'!$A:$A, "")</f>
        <v>64</v>
      </c>
      <c r="G3937" s="1" t="str">
        <f>TEXT(IF($B3937 = "Retail Item", IF((ROW($A3937) - 4504 - _xlfn.XMATCH($C3937, $C$4506:$C$5005, 0, 1)) &lt;= VLOOKUP($C3937, 'Instrument Table'!$B:$D, 3, FALSE), ROW($A3937) - 4504 - _xlfn.XMATCH($C3937, $C$4506:$C$5005, 0, 1), 0), 0), "00")</f>
        <v>00</v>
      </c>
      <c r="H3937" s="1" t="str">
        <f t="shared" si="367"/>
        <v>131</v>
      </c>
      <c r="I3937" s="1" t="str">
        <f t="shared" si="368"/>
        <v>16400-131</v>
      </c>
      <c r="J3937" s="1" t="str">
        <f t="shared" si="369"/>
        <v>Musical accessories production item #131</v>
      </c>
      <c r="K3937" s="1" t="str">
        <f>IF(SUM(COUNTIFS(I:I, I3937)) &gt; 1, "DUPLICATE", "UNIQUE")</f>
        <v>UNIQUE</v>
      </c>
      <c r="L3937" s="18">
        <v>1</v>
      </c>
      <c r="M3937" s="28">
        <v>24</v>
      </c>
      <c r="N3937" s="6">
        <v>4</v>
      </c>
      <c r="O3937" s="30">
        <f t="shared" si="370"/>
        <v>24</v>
      </c>
      <c r="P3937" s="30">
        <f t="shared" si="371"/>
        <v>96</v>
      </c>
      <c r="Q3937" s="1">
        <f>COUNTIFS($P:$P, "&gt;" &amp; $P3937) + 1</f>
        <v>4466</v>
      </c>
      <c r="R3937" s="63">
        <f>(COUNTIFS($P:$P, "&gt;" &amp; $P3937) + 1) / (COUNTA($I:$I) - 1)</f>
        <v>0.89319999999999999</v>
      </c>
      <c r="S3937" s="23">
        <f>SUMIFS($P:$P, $Q:$Q, "&lt;" &amp; $Q3937)</f>
        <v>186533802</v>
      </c>
    </row>
    <row r="3938" spans="1:19" x14ac:dyDescent="0.25">
      <c r="A3938" s="1">
        <v>3933</v>
      </c>
      <c r="B3938" s="1" t="s">
        <v>2</v>
      </c>
      <c r="C3938" s="1" t="str">
        <f>IF($B3938 = "Production Item", _xlfn.XLOOKUP($A3938, 'Instrument Table'!$J:$J, 'Instrument Table'!$B:$B, $C3937), IF($B3938 = "Service Item", _xlfn.XLOOKUP($A3938, 'Instrument Table'!$I:$I, 'Instrument Table'!$B:$B, $C3937), _xlfn.XLOOKUP($A3938, 'Instrument Table'!$H:$H, 'Instrument Table'!$B:$B, $C3937)))</f>
        <v>Musical Accessories</v>
      </c>
      <c r="D3938" s="1" t="str">
        <f>VLOOKUP($C3938, 'Instrument Table'!$B:$C, 2, FALSE)</f>
        <v>Other</v>
      </c>
      <c r="E3938" s="1">
        <f t="shared" si="366"/>
        <v>1</v>
      </c>
      <c r="F3938" s="1">
        <f>_xlfn.XLOOKUP($C3938, 'Instrument Table'!$B:$B, 'Instrument Table'!$A:$A, "")</f>
        <v>64</v>
      </c>
      <c r="G3938" s="1" t="str">
        <f>TEXT(IF($B3938 = "Retail Item", IF((ROW($A3938) - 4504 - _xlfn.XMATCH($C3938, $C$4506:$C$5005, 0, 1)) &lt;= VLOOKUP($C3938, 'Instrument Table'!$B:$D, 3, FALSE), ROW($A3938) - 4504 - _xlfn.XMATCH($C3938, $C$4506:$C$5005, 0, 1), 0), 0), "00")</f>
        <v>00</v>
      </c>
      <c r="H3938" s="1" t="str">
        <f t="shared" si="367"/>
        <v>132</v>
      </c>
      <c r="I3938" s="1" t="str">
        <f t="shared" si="368"/>
        <v>16400-132</v>
      </c>
      <c r="J3938" s="1" t="str">
        <f t="shared" si="369"/>
        <v>Musical accessories production item #132</v>
      </c>
      <c r="K3938" s="1" t="str">
        <f>IF(SUM(COUNTIFS(I:I, I3938)) &gt; 1, "DUPLICATE", "UNIQUE")</f>
        <v>UNIQUE</v>
      </c>
      <c r="L3938" s="18">
        <v>32</v>
      </c>
      <c r="M3938" s="28">
        <v>2</v>
      </c>
      <c r="N3938" s="6">
        <v>16</v>
      </c>
      <c r="O3938" s="30">
        <f t="shared" si="370"/>
        <v>64</v>
      </c>
      <c r="P3938" s="30">
        <f t="shared" si="371"/>
        <v>32</v>
      </c>
      <c r="Q3938" s="1">
        <f>COUNTIFS($P:$P, "&gt;" &amp; $P3938) + 1</f>
        <v>4658</v>
      </c>
      <c r="R3938" s="63">
        <f>(COUNTIFS($P:$P, "&gt;" &amp; $P3938) + 1) / (COUNTA($I:$I) - 1)</f>
        <v>0.93159999999999998</v>
      </c>
      <c r="S3938" s="23">
        <f>SUMIFS($P:$P, $Q:$Q, "&lt;" &amp; $Q3938)</f>
        <v>186546308</v>
      </c>
    </row>
    <row r="3939" spans="1:19" x14ac:dyDescent="0.25">
      <c r="A3939" s="1">
        <v>3934</v>
      </c>
      <c r="B3939" s="1" t="s">
        <v>2</v>
      </c>
      <c r="C3939" s="1" t="str">
        <f>IF($B3939 = "Production Item", _xlfn.XLOOKUP($A3939, 'Instrument Table'!$J:$J, 'Instrument Table'!$B:$B, $C3938), IF($B3939 = "Service Item", _xlfn.XLOOKUP($A3939, 'Instrument Table'!$I:$I, 'Instrument Table'!$B:$B, $C3938), _xlfn.XLOOKUP($A3939, 'Instrument Table'!$H:$H, 'Instrument Table'!$B:$B, $C3938)))</f>
        <v>Musical Accessories</v>
      </c>
      <c r="D3939" s="1" t="str">
        <f>VLOOKUP($C3939, 'Instrument Table'!$B:$C, 2, FALSE)</f>
        <v>Other</v>
      </c>
      <c r="E3939" s="1">
        <f t="shared" si="366"/>
        <v>1</v>
      </c>
      <c r="F3939" s="1">
        <f>_xlfn.XLOOKUP($C3939, 'Instrument Table'!$B:$B, 'Instrument Table'!$A:$A, "")</f>
        <v>64</v>
      </c>
      <c r="G3939" s="1" t="str">
        <f>TEXT(IF($B3939 = "Retail Item", IF((ROW($A3939) - 4504 - _xlfn.XMATCH($C3939, $C$4506:$C$5005, 0, 1)) &lt;= VLOOKUP($C3939, 'Instrument Table'!$B:$D, 3, FALSE), ROW($A3939) - 4504 - _xlfn.XMATCH($C3939, $C$4506:$C$5005, 0, 1), 0), 0), "00")</f>
        <v>00</v>
      </c>
      <c r="H3939" s="1" t="str">
        <f t="shared" si="367"/>
        <v>133</v>
      </c>
      <c r="I3939" s="1" t="str">
        <f t="shared" si="368"/>
        <v>16400-133</v>
      </c>
      <c r="J3939" s="1" t="str">
        <f t="shared" si="369"/>
        <v>Musical accessories production item #133</v>
      </c>
      <c r="K3939" s="1" t="str">
        <f>IF(SUM(COUNTIFS(I:I, I3939)) &gt; 1, "DUPLICATE", "UNIQUE")</f>
        <v>UNIQUE</v>
      </c>
      <c r="L3939" s="18">
        <v>32</v>
      </c>
      <c r="M3939" s="28">
        <v>14</v>
      </c>
      <c r="N3939" s="6">
        <v>361</v>
      </c>
      <c r="O3939" s="30">
        <f t="shared" si="370"/>
        <v>448</v>
      </c>
      <c r="P3939" s="30">
        <f t="shared" si="371"/>
        <v>5054</v>
      </c>
      <c r="Q3939" s="1">
        <f>COUNTIFS($P:$P, "&gt;" &amp; $P3939) + 1</f>
        <v>2439</v>
      </c>
      <c r="R3939" s="63">
        <f>(COUNTIFS($P:$P, "&gt;" &amp; $P3939) + 1) / (COUNTA($I:$I) - 1)</f>
        <v>0.48780000000000001</v>
      </c>
      <c r="S3939" s="23">
        <f>SUMIFS($P:$P, $Q:$Q, "&lt;" &amp; $Q3939)</f>
        <v>182817227</v>
      </c>
    </row>
    <row r="3940" spans="1:19" x14ac:dyDescent="0.25">
      <c r="A3940" s="1">
        <v>3935</v>
      </c>
      <c r="B3940" s="1" t="s">
        <v>2</v>
      </c>
      <c r="C3940" s="1" t="str">
        <f>IF($B3940 = "Production Item", _xlfn.XLOOKUP($A3940, 'Instrument Table'!$J:$J, 'Instrument Table'!$B:$B, $C3939), IF($B3940 = "Service Item", _xlfn.XLOOKUP($A3940, 'Instrument Table'!$I:$I, 'Instrument Table'!$B:$B, $C3939), _xlfn.XLOOKUP($A3940, 'Instrument Table'!$H:$H, 'Instrument Table'!$B:$B, $C3939)))</f>
        <v>Musical Accessories</v>
      </c>
      <c r="D3940" s="1" t="str">
        <f>VLOOKUP($C3940, 'Instrument Table'!$B:$C, 2, FALSE)</f>
        <v>Other</v>
      </c>
      <c r="E3940" s="1">
        <f t="shared" si="366"/>
        <v>1</v>
      </c>
      <c r="F3940" s="1">
        <f>_xlfn.XLOOKUP($C3940, 'Instrument Table'!$B:$B, 'Instrument Table'!$A:$A, "")</f>
        <v>64</v>
      </c>
      <c r="G3940" s="1" t="str">
        <f>TEXT(IF($B3940 = "Retail Item", IF((ROW($A3940) - 4504 - _xlfn.XMATCH($C3940, $C$4506:$C$5005, 0, 1)) &lt;= VLOOKUP($C3940, 'Instrument Table'!$B:$D, 3, FALSE), ROW($A3940) - 4504 - _xlfn.XMATCH($C3940, $C$4506:$C$5005, 0, 1), 0), 0), "00")</f>
        <v>00</v>
      </c>
      <c r="H3940" s="1" t="str">
        <f t="shared" si="367"/>
        <v>134</v>
      </c>
      <c r="I3940" s="1" t="str">
        <f t="shared" si="368"/>
        <v>16400-134</v>
      </c>
      <c r="J3940" s="1" t="str">
        <f t="shared" si="369"/>
        <v>Musical accessories production item #134</v>
      </c>
      <c r="K3940" s="1" t="str">
        <f>IF(SUM(COUNTIFS(I:I, I3940)) &gt; 1, "DUPLICATE", "UNIQUE")</f>
        <v>UNIQUE</v>
      </c>
      <c r="L3940" s="18">
        <v>0</v>
      </c>
      <c r="M3940" s="28">
        <v>31</v>
      </c>
      <c r="N3940" s="6">
        <v>1</v>
      </c>
      <c r="O3940" s="30">
        <f t="shared" si="370"/>
        <v>0</v>
      </c>
      <c r="P3940" s="30">
        <f t="shared" si="371"/>
        <v>31</v>
      </c>
      <c r="Q3940" s="1">
        <f>COUNTIFS($P:$P, "&gt;" &amp; $P3940) + 1</f>
        <v>4666</v>
      </c>
      <c r="R3940" s="63">
        <f>(COUNTIFS($P:$P, "&gt;" &amp; $P3940) + 1) / (COUNTA($I:$I) - 1)</f>
        <v>0.93320000000000003</v>
      </c>
      <c r="S3940" s="23">
        <f>SUMIFS($P:$P, $Q:$Q, "&lt;" &amp; $Q3940)</f>
        <v>186546564</v>
      </c>
    </row>
    <row r="3941" spans="1:19" x14ac:dyDescent="0.25">
      <c r="A3941" s="1">
        <v>3936</v>
      </c>
      <c r="B3941" s="1" t="s">
        <v>2</v>
      </c>
      <c r="C3941" s="1" t="str">
        <f>IF($B3941 = "Production Item", _xlfn.XLOOKUP($A3941, 'Instrument Table'!$J:$J, 'Instrument Table'!$B:$B, $C3940), IF($B3941 = "Service Item", _xlfn.XLOOKUP($A3941, 'Instrument Table'!$I:$I, 'Instrument Table'!$B:$B, $C3940), _xlfn.XLOOKUP($A3941, 'Instrument Table'!$H:$H, 'Instrument Table'!$B:$B, $C3940)))</f>
        <v>Musical Accessories</v>
      </c>
      <c r="D3941" s="1" t="str">
        <f>VLOOKUP($C3941, 'Instrument Table'!$B:$C, 2, FALSE)</f>
        <v>Other</v>
      </c>
      <c r="E3941" s="1">
        <f t="shared" si="366"/>
        <v>1</v>
      </c>
      <c r="F3941" s="1">
        <f>_xlfn.XLOOKUP($C3941, 'Instrument Table'!$B:$B, 'Instrument Table'!$A:$A, "")</f>
        <v>64</v>
      </c>
      <c r="G3941" s="1" t="str">
        <f>TEXT(IF($B3941 = "Retail Item", IF((ROW($A3941) - 4504 - _xlfn.XMATCH($C3941, $C$4506:$C$5005, 0, 1)) &lt;= VLOOKUP($C3941, 'Instrument Table'!$B:$D, 3, FALSE), ROW($A3941) - 4504 - _xlfn.XMATCH($C3941, $C$4506:$C$5005, 0, 1), 0), 0), "00")</f>
        <v>00</v>
      </c>
      <c r="H3941" s="1" t="str">
        <f t="shared" si="367"/>
        <v>135</v>
      </c>
      <c r="I3941" s="1" t="str">
        <f t="shared" si="368"/>
        <v>16400-135</v>
      </c>
      <c r="J3941" s="1" t="str">
        <f t="shared" si="369"/>
        <v>Musical accessories production item #135</v>
      </c>
      <c r="K3941" s="1" t="str">
        <f>IF(SUM(COUNTIFS(I:I, I3941)) &gt; 1, "DUPLICATE", "UNIQUE")</f>
        <v>UNIQUE</v>
      </c>
      <c r="L3941" s="18">
        <v>8</v>
      </c>
      <c r="M3941" s="28">
        <v>23</v>
      </c>
      <c r="N3941" s="6">
        <v>36</v>
      </c>
      <c r="O3941" s="30">
        <f t="shared" si="370"/>
        <v>184</v>
      </c>
      <c r="P3941" s="30">
        <f t="shared" si="371"/>
        <v>828</v>
      </c>
      <c r="Q3941" s="1">
        <f>COUNTIFS($P:$P, "&gt;" &amp; $P3941) + 1</f>
        <v>3778</v>
      </c>
      <c r="R3941" s="63">
        <f>(COUNTIFS($P:$P, "&gt;" &amp; $P3941) + 1) / (COUNTA($I:$I) - 1)</f>
        <v>0.75560000000000005</v>
      </c>
      <c r="S3941" s="23">
        <f>SUMIFS($P:$P, $Q:$Q, "&lt;" &amp; $Q3941)</f>
        <v>186247913</v>
      </c>
    </row>
    <row r="3942" spans="1:19" x14ac:dyDescent="0.25">
      <c r="A3942" s="1">
        <v>3937</v>
      </c>
      <c r="B3942" s="1" t="s">
        <v>2</v>
      </c>
      <c r="C3942" s="1" t="str">
        <f>IF($B3942 = "Production Item", _xlfn.XLOOKUP($A3942, 'Instrument Table'!$J:$J, 'Instrument Table'!$B:$B, $C3941), IF($B3942 = "Service Item", _xlfn.XLOOKUP($A3942, 'Instrument Table'!$I:$I, 'Instrument Table'!$B:$B, $C3941), _xlfn.XLOOKUP($A3942, 'Instrument Table'!$H:$H, 'Instrument Table'!$B:$B, $C3941)))</f>
        <v>Musical Accessories</v>
      </c>
      <c r="D3942" s="1" t="str">
        <f>VLOOKUP($C3942, 'Instrument Table'!$B:$C, 2, FALSE)</f>
        <v>Other</v>
      </c>
      <c r="E3942" s="1">
        <f t="shared" si="366"/>
        <v>1</v>
      </c>
      <c r="F3942" s="1">
        <f>_xlfn.XLOOKUP($C3942, 'Instrument Table'!$B:$B, 'Instrument Table'!$A:$A, "")</f>
        <v>64</v>
      </c>
      <c r="G3942" s="1" t="str">
        <f>TEXT(IF($B3942 = "Retail Item", IF((ROW($A3942) - 4504 - _xlfn.XMATCH($C3942, $C$4506:$C$5005, 0, 1)) &lt;= VLOOKUP($C3942, 'Instrument Table'!$B:$D, 3, FALSE), ROW($A3942) - 4504 - _xlfn.XMATCH($C3942, $C$4506:$C$5005, 0, 1), 0), 0), "00")</f>
        <v>00</v>
      </c>
      <c r="H3942" s="1" t="str">
        <f t="shared" si="367"/>
        <v>136</v>
      </c>
      <c r="I3942" s="1" t="str">
        <f t="shared" si="368"/>
        <v>16400-136</v>
      </c>
      <c r="J3942" s="1" t="str">
        <f t="shared" si="369"/>
        <v>Musical accessories production item #136</v>
      </c>
      <c r="K3942" s="1" t="str">
        <f>IF(SUM(COUNTIFS(I:I, I3942)) &gt; 1, "DUPLICATE", "UNIQUE")</f>
        <v>UNIQUE</v>
      </c>
      <c r="L3942" s="18">
        <v>8</v>
      </c>
      <c r="M3942" s="28">
        <v>91</v>
      </c>
      <c r="N3942" s="6">
        <v>121</v>
      </c>
      <c r="O3942" s="30">
        <f t="shared" si="370"/>
        <v>728</v>
      </c>
      <c r="P3942" s="30">
        <f t="shared" si="371"/>
        <v>11011</v>
      </c>
      <c r="Q3942" s="1">
        <f>COUNTIFS($P:$P, "&gt;" &amp; $P3942) + 1</f>
        <v>1680</v>
      </c>
      <c r="R3942" s="63">
        <f>(COUNTIFS($P:$P, "&gt;" &amp; $P3942) + 1) / (COUNTA($I:$I) - 1)</f>
        <v>0.33600000000000002</v>
      </c>
      <c r="S3942" s="23">
        <f>SUMIFS($P:$P, $Q:$Q, "&lt;" &amp; $Q3942)</f>
        <v>176994582</v>
      </c>
    </row>
    <row r="3943" spans="1:19" x14ac:dyDescent="0.25">
      <c r="A3943" s="1">
        <v>3938</v>
      </c>
      <c r="B3943" s="1" t="s">
        <v>2</v>
      </c>
      <c r="C3943" s="1" t="str">
        <f>IF($B3943 = "Production Item", _xlfn.XLOOKUP($A3943, 'Instrument Table'!$J:$J, 'Instrument Table'!$B:$B, $C3942), IF($B3943 = "Service Item", _xlfn.XLOOKUP($A3943, 'Instrument Table'!$I:$I, 'Instrument Table'!$B:$B, $C3942), _xlfn.XLOOKUP($A3943, 'Instrument Table'!$H:$H, 'Instrument Table'!$B:$B, $C3942)))</f>
        <v>Musical Accessories</v>
      </c>
      <c r="D3943" s="1" t="str">
        <f>VLOOKUP($C3943, 'Instrument Table'!$B:$C, 2, FALSE)</f>
        <v>Other</v>
      </c>
      <c r="E3943" s="1">
        <f t="shared" si="366"/>
        <v>1</v>
      </c>
      <c r="F3943" s="1">
        <f>_xlfn.XLOOKUP($C3943, 'Instrument Table'!$B:$B, 'Instrument Table'!$A:$A, "")</f>
        <v>64</v>
      </c>
      <c r="G3943" s="1" t="str">
        <f>TEXT(IF($B3943 = "Retail Item", IF((ROW($A3943) - 4504 - _xlfn.XMATCH($C3943, $C$4506:$C$5005, 0, 1)) &lt;= VLOOKUP($C3943, 'Instrument Table'!$B:$D, 3, FALSE), ROW($A3943) - 4504 - _xlfn.XMATCH($C3943, $C$4506:$C$5005, 0, 1), 0), 0), "00")</f>
        <v>00</v>
      </c>
      <c r="H3943" s="1" t="str">
        <f t="shared" si="367"/>
        <v>137</v>
      </c>
      <c r="I3943" s="1" t="str">
        <f t="shared" si="368"/>
        <v>16400-137</v>
      </c>
      <c r="J3943" s="1" t="str">
        <f t="shared" si="369"/>
        <v>Musical accessories production item #137</v>
      </c>
      <c r="K3943" s="1" t="str">
        <f>IF(SUM(COUNTIFS(I:I, I3943)) &gt; 1, "DUPLICATE", "UNIQUE")</f>
        <v>UNIQUE</v>
      </c>
      <c r="L3943" s="18">
        <v>0</v>
      </c>
      <c r="M3943" s="28">
        <v>98</v>
      </c>
      <c r="N3943" s="6">
        <v>225</v>
      </c>
      <c r="O3943" s="30">
        <f t="shared" si="370"/>
        <v>0</v>
      </c>
      <c r="P3943" s="30">
        <f t="shared" si="371"/>
        <v>22050</v>
      </c>
      <c r="Q3943" s="1">
        <f>COUNTIFS($P:$P, "&gt;" &amp; $P3943) + 1</f>
        <v>947</v>
      </c>
      <c r="R3943" s="63">
        <f>(COUNTIFS($P:$P, "&gt;" &amp; $P3943) + 1) / (COUNTA($I:$I) - 1)</f>
        <v>0.18940000000000001</v>
      </c>
      <c r="S3943" s="23">
        <f>SUMIFS($P:$P, $Q:$Q, "&lt;" &amp; $Q3943)</f>
        <v>165343282</v>
      </c>
    </row>
    <row r="3944" spans="1:19" x14ac:dyDescent="0.25">
      <c r="A3944" s="1">
        <v>3939</v>
      </c>
      <c r="B3944" s="1" t="s">
        <v>2</v>
      </c>
      <c r="C3944" s="1" t="str">
        <f>IF($B3944 = "Production Item", _xlfn.XLOOKUP($A3944, 'Instrument Table'!$J:$J, 'Instrument Table'!$B:$B, $C3943), IF($B3944 = "Service Item", _xlfn.XLOOKUP($A3944, 'Instrument Table'!$I:$I, 'Instrument Table'!$B:$B, $C3943), _xlfn.XLOOKUP($A3944, 'Instrument Table'!$H:$H, 'Instrument Table'!$B:$B, $C3943)))</f>
        <v>Musical Accessories</v>
      </c>
      <c r="D3944" s="1" t="str">
        <f>VLOOKUP($C3944, 'Instrument Table'!$B:$C, 2, FALSE)</f>
        <v>Other</v>
      </c>
      <c r="E3944" s="1">
        <f t="shared" si="366"/>
        <v>1</v>
      </c>
      <c r="F3944" s="1">
        <f>_xlfn.XLOOKUP($C3944, 'Instrument Table'!$B:$B, 'Instrument Table'!$A:$A, "")</f>
        <v>64</v>
      </c>
      <c r="G3944" s="1" t="str">
        <f>TEXT(IF($B3944 = "Retail Item", IF((ROW($A3944) - 4504 - _xlfn.XMATCH($C3944, $C$4506:$C$5005, 0, 1)) &lt;= VLOOKUP($C3944, 'Instrument Table'!$B:$D, 3, FALSE), ROW($A3944) - 4504 - _xlfn.XMATCH($C3944, $C$4506:$C$5005, 0, 1), 0), 0), "00")</f>
        <v>00</v>
      </c>
      <c r="H3944" s="1" t="str">
        <f t="shared" si="367"/>
        <v>138</v>
      </c>
      <c r="I3944" s="1" t="str">
        <f t="shared" si="368"/>
        <v>16400-138</v>
      </c>
      <c r="J3944" s="1" t="str">
        <f t="shared" si="369"/>
        <v>Musical accessories production item #138</v>
      </c>
      <c r="K3944" s="1" t="str">
        <f>IF(SUM(COUNTIFS(I:I, I3944)) &gt; 1, "DUPLICATE", "UNIQUE")</f>
        <v>UNIQUE</v>
      </c>
      <c r="L3944" s="18">
        <v>1</v>
      </c>
      <c r="M3944" s="28">
        <v>70</v>
      </c>
      <c r="N3944" s="6">
        <v>16</v>
      </c>
      <c r="O3944" s="30">
        <f t="shared" si="370"/>
        <v>70</v>
      </c>
      <c r="P3944" s="30">
        <f t="shared" si="371"/>
        <v>1120</v>
      </c>
      <c r="Q3944" s="1">
        <f>COUNTIFS($P:$P, "&gt;" &amp; $P3944) + 1</f>
        <v>3644</v>
      </c>
      <c r="R3944" s="63">
        <f>(COUNTIFS($P:$P, "&gt;" &amp; $P3944) + 1) / (COUNTA($I:$I) - 1)</f>
        <v>0.7288</v>
      </c>
      <c r="S3944" s="23">
        <f>SUMIFS($P:$P, $Q:$Q, "&lt;" &amp; $Q3944)</f>
        <v>186121143</v>
      </c>
    </row>
    <row r="3945" spans="1:19" x14ac:dyDescent="0.25">
      <c r="A3945" s="1">
        <v>3940</v>
      </c>
      <c r="B3945" s="1" t="s">
        <v>2</v>
      </c>
      <c r="C3945" s="1" t="str">
        <f>IF($B3945 = "Production Item", _xlfn.XLOOKUP($A3945, 'Instrument Table'!$J:$J, 'Instrument Table'!$B:$B, $C3944), IF($B3945 = "Service Item", _xlfn.XLOOKUP($A3945, 'Instrument Table'!$I:$I, 'Instrument Table'!$B:$B, $C3944), _xlfn.XLOOKUP($A3945, 'Instrument Table'!$H:$H, 'Instrument Table'!$B:$B, $C3944)))</f>
        <v>Musical Accessories</v>
      </c>
      <c r="D3945" s="1" t="str">
        <f>VLOOKUP($C3945, 'Instrument Table'!$B:$C, 2, FALSE)</f>
        <v>Other</v>
      </c>
      <c r="E3945" s="1">
        <f t="shared" si="366"/>
        <v>1</v>
      </c>
      <c r="F3945" s="1">
        <f>_xlfn.XLOOKUP($C3945, 'Instrument Table'!$B:$B, 'Instrument Table'!$A:$A, "")</f>
        <v>64</v>
      </c>
      <c r="G3945" s="1" t="str">
        <f>TEXT(IF($B3945 = "Retail Item", IF((ROW($A3945) - 4504 - _xlfn.XMATCH($C3945, $C$4506:$C$5005, 0, 1)) &lt;= VLOOKUP($C3945, 'Instrument Table'!$B:$D, 3, FALSE), ROW($A3945) - 4504 - _xlfn.XMATCH($C3945, $C$4506:$C$5005, 0, 1), 0), 0), "00")</f>
        <v>00</v>
      </c>
      <c r="H3945" s="1" t="str">
        <f t="shared" si="367"/>
        <v>139</v>
      </c>
      <c r="I3945" s="1" t="str">
        <f t="shared" si="368"/>
        <v>16400-139</v>
      </c>
      <c r="J3945" s="1" t="str">
        <f t="shared" si="369"/>
        <v>Musical accessories production item #139</v>
      </c>
      <c r="K3945" s="1" t="str">
        <f>IF(SUM(COUNTIFS(I:I, I3945)) &gt; 1, "DUPLICATE", "UNIQUE")</f>
        <v>UNIQUE</v>
      </c>
      <c r="L3945" s="18">
        <v>0</v>
      </c>
      <c r="M3945" s="28">
        <v>72</v>
      </c>
      <c r="N3945" s="6">
        <v>36</v>
      </c>
      <c r="O3945" s="30">
        <f t="shared" si="370"/>
        <v>0</v>
      </c>
      <c r="P3945" s="30">
        <f t="shared" si="371"/>
        <v>2592</v>
      </c>
      <c r="Q3945" s="1">
        <f>COUNTIFS($P:$P, "&gt;" &amp; $P3945) + 1</f>
        <v>3012</v>
      </c>
      <c r="R3945" s="63">
        <f>(COUNTIFS($P:$P, "&gt;" &amp; $P3945) + 1) / (COUNTA($I:$I) - 1)</f>
        <v>0.60240000000000005</v>
      </c>
      <c r="S3945" s="23">
        <f>SUMIFS($P:$P, $Q:$Q, "&lt;" &amp; $Q3945)</f>
        <v>184963466</v>
      </c>
    </row>
    <row r="3946" spans="1:19" x14ac:dyDescent="0.25">
      <c r="A3946" s="1">
        <v>3941</v>
      </c>
      <c r="B3946" s="1" t="s">
        <v>2</v>
      </c>
      <c r="C3946" s="1" t="str">
        <f>IF($B3946 = "Production Item", _xlfn.XLOOKUP($A3946, 'Instrument Table'!$J:$J, 'Instrument Table'!$B:$B, $C3945), IF($B3946 = "Service Item", _xlfn.XLOOKUP($A3946, 'Instrument Table'!$I:$I, 'Instrument Table'!$B:$B, $C3945), _xlfn.XLOOKUP($A3946, 'Instrument Table'!$H:$H, 'Instrument Table'!$B:$B, $C3945)))</f>
        <v>Musical Accessories</v>
      </c>
      <c r="D3946" s="1" t="str">
        <f>VLOOKUP($C3946, 'Instrument Table'!$B:$C, 2, FALSE)</f>
        <v>Other</v>
      </c>
      <c r="E3946" s="1">
        <f t="shared" si="366"/>
        <v>1</v>
      </c>
      <c r="F3946" s="1">
        <f>_xlfn.XLOOKUP($C3946, 'Instrument Table'!$B:$B, 'Instrument Table'!$A:$A, "")</f>
        <v>64</v>
      </c>
      <c r="G3946" s="1" t="str">
        <f>TEXT(IF($B3946 = "Retail Item", IF((ROW($A3946) - 4504 - _xlfn.XMATCH($C3946, $C$4506:$C$5005, 0, 1)) &lt;= VLOOKUP($C3946, 'Instrument Table'!$B:$D, 3, FALSE), ROW($A3946) - 4504 - _xlfn.XMATCH($C3946, $C$4506:$C$5005, 0, 1), 0), 0), "00")</f>
        <v>00</v>
      </c>
      <c r="H3946" s="1" t="str">
        <f t="shared" si="367"/>
        <v>140</v>
      </c>
      <c r="I3946" s="1" t="str">
        <f t="shared" si="368"/>
        <v>16400-140</v>
      </c>
      <c r="J3946" s="1" t="str">
        <f t="shared" si="369"/>
        <v>Musical accessories production item #140</v>
      </c>
      <c r="K3946" s="1" t="str">
        <f>IF(SUM(COUNTIFS(I:I, I3946)) &gt; 1, "DUPLICATE", "UNIQUE")</f>
        <v>UNIQUE</v>
      </c>
      <c r="L3946" s="18">
        <v>0</v>
      </c>
      <c r="M3946" s="28">
        <v>38</v>
      </c>
      <c r="N3946" s="6">
        <v>64</v>
      </c>
      <c r="O3946" s="30">
        <f t="shared" si="370"/>
        <v>0</v>
      </c>
      <c r="P3946" s="30">
        <f t="shared" si="371"/>
        <v>2432</v>
      </c>
      <c r="Q3946" s="1">
        <f>COUNTIFS($P:$P, "&gt;" &amp; $P3946) + 1</f>
        <v>3071</v>
      </c>
      <c r="R3946" s="63">
        <f>(COUNTIFS($P:$P, "&gt;" &amp; $P3946) + 1) / (COUNTA($I:$I) - 1)</f>
        <v>0.61419999999999997</v>
      </c>
      <c r="S3946" s="23">
        <f>SUMIFS($P:$P, $Q:$Q, "&lt;" &amp; $Q3946)</f>
        <v>185112669</v>
      </c>
    </row>
    <row r="3947" spans="1:19" x14ac:dyDescent="0.25">
      <c r="A3947" s="1">
        <v>3942</v>
      </c>
      <c r="B3947" s="1" t="s">
        <v>2</v>
      </c>
      <c r="C3947" s="1" t="str">
        <f>IF($B3947 = "Production Item", _xlfn.XLOOKUP($A3947, 'Instrument Table'!$J:$J, 'Instrument Table'!$B:$B, $C3946), IF($B3947 = "Service Item", _xlfn.XLOOKUP($A3947, 'Instrument Table'!$I:$I, 'Instrument Table'!$B:$B, $C3946), _xlfn.XLOOKUP($A3947, 'Instrument Table'!$H:$H, 'Instrument Table'!$B:$B, $C3946)))</f>
        <v>Musical Accessories</v>
      </c>
      <c r="D3947" s="1" t="str">
        <f>VLOOKUP($C3947, 'Instrument Table'!$B:$C, 2, FALSE)</f>
        <v>Other</v>
      </c>
      <c r="E3947" s="1">
        <f t="shared" si="366"/>
        <v>1</v>
      </c>
      <c r="F3947" s="1">
        <f>_xlfn.XLOOKUP($C3947, 'Instrument Table'!$B:$B, 'Instrument Table'!$A:$A, "")</f>
        <v>64</v>
      </c>
      <c r="G3947" s="1" t="str">
        <f>TEXT(IF($B3947 = "Retail Item", IF((ROW($A3947) - 4504 - _xlfn.XMATCH($C3947, $C$4506:$C$5005, 0, 1)) &lt;= VLOOKUP($C3947, 'Instrument Table'!$B:$D, 3, FALSE), ROW($A3947) - 4504 - _xlfn.XMATCH($C3947, $C$4506:$C$5005, 0, 1), 0), 0), "00")</f>
        <v>00</v>
      </c>
      <c r="H3947" s="1" t="str">
        <f t="shared" si="367"/>
        <v>141</v>
      </c>
      <c r="I3947" s="1" t="str">
        <f t="shared" si="368"/>
        <v>16400-141</v>
      </c>
      <c r="J3947" s="1" t="str">
        <f t="shared" si="369"/>
        <v>Musical accessories production item #141</v>
      </c>
      <c r="K3947" s="1" t="str">
        <f>IF(SUM(COUNTIFS(I:I, I3947)) &gt; 1, "DUPLICATE", "UNIQUE")</f>
        <v>UNIQUE</v>
      </c>
      <c r="L3947" s="18">
        <v>0</v>
      </c>
      <c r="M3947" s="28">
        <v>13</v>
      </c>
      <c r="N3947" s="6">
        <v>289</v>
      </c>
      <c r="O3947" s="30">
        <f t="shared" si="370"/>
        <v>0</v>
      </c>
      <c r="P3947" s="30">
        <f t="shared" si="371"/>
        <v>3757</v>
      </c>
      <c r="Q3947" s="1">
        <f>COUNTIFS($P:$P, "&gt;" &amp; $P3947) + 1</f>
        <v>2704</v>
      </c>
      <c r="R3947" s="63">
        <f>(COUNTIFS($P:$P, "&gt;" &amp; $P3947) + 1) / (COUNTA($I:$I) - 1)</f>
        <v>0.54079999999999995</v>
      </c>
      <c r="S3947" s="23">
        <f>SUMIFS($P:$P, $Q:$Q, "&lt;" &amp; $Q3947)</f>
        <v>183981858</v>
      </c>
    </row>
    <row r="3948" spans="1:19" x14ac:dyDescent="0.25">
      <c r="A3948" s="1">
        <v>3943</v>
      </c>
      <c r="B3948" s="1" t="s">
        <v>2</v>
      </c>
      <c r="C3948" s="1" t="str">
        <f>IF($B3948 = "Production Item", _xlfn.XLOOKUP($A3948, 'Instrument Table'!$J:$J, 'Instrument Table'!$B:$B, $C3947), IF($B3948 = "Service Item", _xlfn.XLOOKUP($A3948, 'Instrument Table'!$I:$I, 'Instrument Table'!$B:$B, $C3947), _xlfn.XLOOKUP($A3948, 'Instrument Table'!$H:$H, 'Instrument Table'!$B:$B, $C3947)))</f>
        <v>Musical Accessories</v>
      </c>
      <c r="D3948" s="1" t="str">
        <f>VLOOKUP($C3948, 'Instrument Table'!$B:$C, 2, FALSE)</f>
        <v>Other</v>
      </c>
      <c r="E3948" s="1">
        <f t="shared" si="366"/>
        <v>1</v>
      </c>
      <c r="F3948" s="1">
        <f>_xlfn.XLOOKUP($C3948, 'Instrument Table'!$B:$B, 'Instrument Table'!$A:$A, "")</f>
        <v>64</v>
      </c>
      <c r="G3948" s="1" t="str">
        <f>TEXT(IF($B3948 = "Retail Item", IF((ROW($A3948) - 4504 - _xlfn.XMATCH($C3948, $C$4506:$C$5005, 0, 1)) &lt;= VLOOKUP($C3948, 'Instrument Table'!$B:$D, 3, FALSE), ROW($A3948) - 4504 - _xlfn.XMATCH($C3948, $C$4506:$C$5005, 0, 1), 0), 0), "00")</f>
        <v>00</v>
      </c>
      <c r="H3948" s="1" t="str">
        <f t="shared" si="367"/>
        <v>142</v>
      </c>
      <c r="I3948" s="1" t="str">
        <f t="shared" si="368"/>
        <v>16400-142</v>
      </c>
      <c r="J3948" s="1" t="str">
        <f t="shared" si="369"/>
        <v>Musical accessories production item #142</v>
      </c>
      <c r="K3948" s="1" t="str">
        <f>IF(SUM(COUNTIFS(I:I, I3948)) &gt; 1, "DUPLICATE", "UNIQUE")</f>
        <v>UNIQUE</v>
      </c>
      <c r="L3948" s="18">
        <v>8</v>
      </c>
      <c r="M3948" s="28">
        <v>79</v>
      </c>
      <c r="N3948" s="6">
        <v>100</v>
      </c>
      <c r="O3948" s="30">
        <f t="shared" si="370"/>
        <v>632</v>
      </c>
      <c r="P3948" s="30">
        <f t="shared" si="371"/>
        <v>7900</v>
      </c>
      <c r="Q3948" s="1">
        <f>COUNTIFS($P:$P, "&gt;" &amp; $P3948) + 1</f>
        <v>2002</v>
      </c>
      <c r="R3948" s="63">
        <f>(COUNTIFS($P:$P, "&gt;" &amp; $P3948) + 1) / (COUNTA($I:$I) - 1)</f>
        <v>0.40039999999999998</v>
      </c>
      <c r="S3948" s="23">
        <f>SUMIFS($P:$P, $Q:$Q, "&lt;" &amp; $Q3948)</f>
        <v>180012295</v>
      </c>
    </row>
    <row r="3949" spans="1:19" x14ac:dyDescent="0.25">
      <c r="A3949" s="1">
        <v>3944</v>
      </c>
      <c r="B3949" s="1" t="s">
        <v>2</v>
      </c>
      <c r="C3949" s="1" t="str">
        <f>IF($B3949 = "Production Item", _xlfn.XLOOKUP($A3949, 'Instrument Table'!$J:$J, 'Instrument Table'!$B:$B, $C3948), IF($B3949 = "Service Item", _xlfn.XLOOKUP($A3949, 'Instrument Table'!$I:$I, 'Instrument Table'!$B:$B, $C3948), _xlfn.XLOOKUP($A3949, 'Instrument Table'!$H:$H, 'Instrument Table'!$B:$B, $C3948)))</f>
        <v>Musical Accessories</v>
      </c>
      <c r="D3949" s="1" t="str">
        <f>VLOOKUP($C3949, 'Instrument Table'!$B:$C, 2, FALSE)</f>
        <v>Other</v>
      </c>
      <c r="E3949" s="1">
        <f t="shared" si="366"/>
        <v>1</v>
      </c>
      <c r="F3949" s="1">
        <f>_xlfn.XLOOKUP($C3949, 'Instrument Table'!$B:$B, 'Instrument Table'!$A:$A, "")</f>
        <v>64</v>
      </c>
      <c r="G3949" s="1" t="str">
        <f>TEXT(IF($B3949 = "Retail Item", IF((ROW($A3949) - 4504 - _xlfn.XMATCH($C3949, $C$4506:$C$5005, 0, 1)) &lt;= VLOOKUP($C3949, 'Instrument Table'!$B:$D, 3, FALSE), ROW($A3949) - 4504 - _xlfn.XMATCH($C3949, $C$4506:$C$5005, 0, 1), 0), 0), "00")</f>
        <v>00</v>
      </c>
      <c r="H3949" s="1" t="str">
        <f t="shared" si="367"/>
        <v>143</v>
      </c>
      <c r="I3949" s="1" t="str">
        <f t="shared" si="368"/>
        <v>16400-143</v>
      </c>
      <c r="J3949" s="1" t="str">
        <f t="shared" si="369"/>
        <v>Musical accessories production item #143</v>
      </c>
      <c r="K3949" s="1" t="str">
        <f>IF(SUM(COUNTIFS(I:I, I3949)) &gt; 1, "DUPLICATE", "UNIQUE")</f>
        <v>UNIQUE</v>
      </c>
      <c r="L3949" s="18">
        <v>1</v>
      </c>
      <c r="M3949" s="28">
        <v>66</v>
      </c>
      <c r="N3949" s="6">
        <v>256</v>
      </c>
      <c r="O3949" s="30">
        <f t="shared" si="370"/>
        <v>66</v>
      </c>
      <c r="P3949" s="30">
        <f t="shared" si="371"/>
        <v>16896</v>
      </c>
      <c r="Q3949" s="1">
        <f>COUNTIFS($P:$P, "&gt;" &amp; $P3949) + 1</f>
        <v>1217</v>
      </c>
      <c r="R3949" s="63">
        <f>(COUNTIFS($P:$P, "&gt;" &amp; $P3949) + 1) / (COUNTA($I:$I) - 1)</f>
        <v>0.24340000000000001</v>
      </c>
      <c r="S3949" s="23">
        <f>SUMIFS($P:$P, $Q:$Q, "&lt;" &amp; $Q3949)</f>
        <v>170617613</v>
      </c>
    </row>
    <row r="3950" spans="1:19" x14ac:dyDescent="0.25">
      <c r="A3950" s="1">
        <v>3945</v>
      </c>
      <c r="B3950" s="1" t="s">
        <v>2</v>
      </c>
      <c r="C3950" s="1" t="str">
        <f>IF($B3950 = "Production Item", _xlfn.XLOOKUP($A3950, 'Instrument Table'!$J:$J, 'Instrument Table'!$B:$B, $C3949), IF($B3950 = "Service Item", _xlfn.XLOOKUP($A3950, 'Instrument Table'!$I:$I, 'Instrument Table'!$B:$B, $C3949), _xlfn.XLOOKUP($A3950, 'Instrument Table'!$H:$H, 'Instrument Table'!$B:$B, $C3949)))</f>
        <v>Musical Accessories</v>
      </c>
      <c r="D3950" s="1" t="str">
        <f>VLOOKUP($C3950, 'Instrument Table'!$B:$C, 2, FALSE)</f>
        <v>Other</v>
      </c>
      <c r="E3950" s="1">
        <f t="shared" si="366"/>
        <v>1</v>
      </c>
      <c r="F3950" s="1">
        <f>_xlfn.XLOOKUP($C3950, 'Instrument Table'!$B:$B, 'Instrument Table'!$A:$A, "")</f>
        <v>64</v>
      </c>
      <c r="G3950" s="1" t="str">
        <f>TEXT(IF($B3950 = "Retail Item", IF((ROW($A3950) - 4504 - _xlfn.XMATCH($C3950, $C$4506:$C$5005, 0, 1)) &lt;= VLOOKUP($C3950, 'Instrument Table'!$B:$D, 3, FALSE), ROW($A3950) - 4504 - _xlfn.XMATCH($C3950, $C$4506:$C$5005, 0, 1), 0), 0), "00")</f>
        <v>00</v>
      </c>
      <c r="H3950" s="1" t="str">
        <f t="shared" si="367"/>
        <v>144</v>
      </c>
      <c r="I3950" s="1" t="str">
        <f t="shared" si="368"/>
        <v>16400-144</v>
      </c>
      <c r="J3950" s="1" t="str">
        <f t="shared" si="369"/>
        <v>Musical accessories production item #144</v>
      </c>
      <c r="K3950" s="1" t="str">
        <f>IF(SUM(COUNTIFS(I:I, I3950)) &gt; 1, "DUPLICATE", "UNIQUE")</f>
        <v>UNIQUE</v>
      </c>
      <c r="L3950" s="18">
        <v>0</v>
      </c>
      <c r="M3950" s="28">
        <v>56</v>
      </c>
      <c r="N3950" s="6">
        <v>400</v>
      </c>
      <c r="O3950" s="30">
        <f t="shared" si="370"/>
        <v>0</v>
      </c>
      <c r="P3950" s="30">
        <f t="shared" si="371"/>
        <v>22400</v>
      </c>
      <c r="Q3950" s="1">
        <f>COUNTIFS($P:$P, "&gt;" &amp; $P3950) + 1</f>
        <v>930</v>
      </c>
      <c r="R3950" s="63">
        <f>(COUNTIFS($P:$P, "&gt;" &amp; $P3950) + 1) / (COUNTA($I:$I) - 1)</f>
        <v>0.186</v>
      </c>
      <c r="S3950" s="23">
        <f>SUMIFS($P:$P, $Q:$Q, "&lt;" &amp; $Q3950)</f>
        <v>164964273</v>
      </c>
    </row>
    <row r="3951" spans="1:19" x14ac:dyDescent="0.25">
      <c r="A3951" s="1">
        <v>3946</v>
      </c>
      <c r="B3951" s="1" t="s">
        <v>2</v>
      </c>
      <c r="C3951" s="1" t="str">
        <f>IF($B3951 = "Production Item", _xlfn.XLOOKUP($A3951, 'Instrument Table'!$J:$J, 'Instrument Table'!$B:$B, $C3950), IF($B3951 = "Service Item", _xlfn.XLOOKUP($A3951, 'Instrument Table'!$I:$I, 'Instrument Table'!$B:$B, $C3950), _xlfn.XLOOKUP($A3951, 'Instrument Table'!$H:$H, 'Instrument Table'!$B:$B, $C3950)))</f>
        <v>Musical Accessories</v>
      </c>
      <c r="D3951" s="1" t="str">
        <f>VLOOKUP($C3951, 'Instrument Table'!$B:$C, 2, FALSE)</f>
        <v>Other</v>
      </c>
      <c r="E3951" s="1">
        <f t="shared" si="366"/>
        <v>1</v>
      </c>
      <c r="F3951" s="1">
        <f>_xlfn.XLOOKUP($C3951, 'Instrument Table'!$B:$B, 'Instrument Table'!$A:$A, "")</f>
        <v>64</v>
      </c>
      <c r="G3951" s="1" t="str">
        <f>TEXT(IF($B3951 = "Retail Item", IF((ROW($A3951) - 4504 - _xlfn.XMATCH($C3951, $C$4506:$C$5005, 0, 1)) &lt;= VLOOKUP($C3951, 'Instrument Table'!$B:$D, 3, FALSE), ROW($A3951) - 4504 - _xlfn.XMATCH($C3951, $C$4506:$C$5005, 0, 1), 0), 0), "00")</f>
        <v>00</v>
      </c>
      <c r="H3951" s="1" t="str">
        <f t="shared" si="367"/>
        <v>145</v>
      </c>
      <c r="I3951" s="1" t="str">
        <f t="shared" si="368"/>
        <v>16400-145</v>
      </c>
      <c r="J3951" s="1" t="str">
        <f t="shared" si="369"/>
        <v>Musical accessories production item #145</v>
      </c>
      <c r="K3951" s="1" t="str">
        <f>IF(SUM(COUNTIFS(I:I, I3951)) &gt; 1, "DUPLICATE", "UNIQUE")</f>
        <v>UNIQUE</v>
      </c>
      <c r="L3951" s="18">
        <v>1</v>
      </c>
      <c r="M3951" s="28">
        <v>90</v>
      </c>
      <c r="N3951" s="6">
        <v>1</v>
      </c>
      <c r="O3951" s="30">
        <f t="shared" si="370"/>
        <v>90</v>
      </c>
      <c r="P3951" s="30">
        <f t="shared" si="371"/>
        <v>90</v>
      </c>
      <c r="Q3951" s="1">
        <f>COUNTIFS($P:$P, "&gt;" &amp; $P3951) + 1</f>
        <v>4480</v>
      </c>
      <c r="R3951" s="63">
        <f>(COUNTIFS($P:$P, "&gt;" &amp; $P3951) + 1) / (COUNTA($I:$I) - 1)</f>
        <v>0.89600000000000002</v>
      </c>
      <c r="S3951" s="23">
        <f>SUMIFS($P:$P, $Q:$Q, "&lt;" &amp; $Q3951)</f>
        <v>186535118</v>
      </c>
    </row>
    <row r="3952" spans="1:19" x14ac:dyDescent="0.25">
      <c r="A3952" s="1">
        <v>3947</v>
      </c>
      <c r="B3952" s="1" t="s">
        <v>2</v>
      </c>
      <c r="C3952" s="1" t="str">
        <f>IF($B3952 = "Production Item", _xlfn.XLOOKUP($A3952, 'Instrument Table'!$J:$J, 'Instrument Table'!$B:$B, $C3951), IF($B3952 = "Service Item", _xlfn.XLOOKUP($A3952, 'Instrument Table'!$I:$I, 'Instrument Table'!$B:$B, $C3951), _xlfn.XLOOKUP($A3952, 'Instrument Table'!$H:$H, 'Instrument Table'!$B:$B, $C3951)))</f>
        <v>Musical Accessories</v>
      </c>
      <c r="D3952" s="1" t="str">
        <f>VLOOKUP($C3952, 'Instrument Table'!$B:$C, 2, FALSE)</f>
        <v>Other</v>
      </c>
      <c r="E3952" s="1">
        <f t="shared" si="366"/>
        <v>1</v>
      </c>
      <c r="F3952" s="1">
        <f>_xlfn.XLOOKUP($C3952, 'Instrument Table'!$B:$B, 'Instrument Table'!$A:$A, "")</f>
        <v>64</v>
      </c>
      <c r="G3952" s="1" t="str">
        <f>TEXT(IF($B3952 = "Retail Item", IF((ROW($A3952) - 4504 - _xlfn.XMATCH($C3952, $C$4506:$C$5005, 0, 1)) &lt;= VLOOKUP($C3952, 'Instrument Table'!$B:$D, 3, FALSE), ROW($A3952) - 4504 - _xlfn.XMATCH($C3952, $C$4506:$C$5005, 0, 1), 0), 0), "00")</f>
        <v>00</v>
      </c>
      <c r="H3952" s="1" t="str">
        <f t="shared" si="367"/>
        <v>146</v>
      </c>
      <c r="I3952" s="1" t="str">
        <f t="shared" si="368"/>
        <v>16400-146</v>
      </c>
      <c r="J3952" s="1" t="str">
        <f t="shared" si="369"/>
        <v>Musical accessories production item #146</v>
      </c>
      <c r="K3952" s="1" t="str">
        <f>IF(SUM(COUNTIFS(I:I, I3952)) &gt; 1, "DUPLICATE", "UNIQUE")</f>
        <v>UNIQUE</v>
      </c>
      <c r="L3952" s="18">
        <v>0</v>
      </c>
      <c r="M3952" s="28">
        <v>39</v>
      </c>
      <c r="N3952" s="6">
        <v>64</v>
      </c>
      <c r="O3952" s="30">
        <f t="shared" si="370"/>
        <v>0</v>
      </c>
      <c r="P3952" s="30">
        <f t="shared" si="371"/>
        <v>2496</v>
      </c>
      <c r="Q3952" s="1">
        <f>COUNTIFS($P:$P, "&gt;" &amp; $P3952) + 1</f>
        <v>3053</v>
      </c>
      <c r="R3952" s="63">
        <f>(COUNTIFS($P:$P, "&gt;" &amp; $P3952) + 1) / (COUNTA($I:$I) - 1)</f>
        <v>0.61060000000000003</v>
      </c>
      <c r="S3952" s="23">
        <f>SUMIFS($P:$P, $Q:$Q, "&lt;" &amp; $Q3952)</f>
        <v>185068046</v>
      </c>
    </row>
    <row r="3953" spans="1:19" x14ac:dyDescent="0.25">
      <c r="A3953" s="1">
        <v>3948</v>
      </c>
      <c r="B3953" s="1" t="s">
        <v>2</v>
      </c>
      <c r="C3953" s="1" t="str">
        <f>IF($B3953 = "Production Item", _xlfn.XLOOKUP($A3953, 'Instrument Table'!$J:$J, 'Instrument Table'!$B:$B, $C3952), IF($B3953 = "Service Item", _xlfn.XLOOKUP($A3953, 'Instrument Table'!$I:$I, 'Instrument Table'!$B:$B, $C3952), _xlfn.XLOOKUP($A3953, 'Instrument Table'!$H:$H, 'Instrument Table'!$B:$B, $C3952)))</f>
        <v>Musical Accessories</v>
      </c>
      <c r="D3953" s="1" t="str">
        <f>VLOOKUP($C3953, 'Instrument Table'!$B:$C, 2, FALSE)</f>
        <v>Other</v>
      </c>
      <c r="E3953" s="1">
        <f t="shared" si="366"/>
        <v>1</v>
      </c>
      <c r="F3953" s="1">
        <f>_xlfn.XLOOKUP($C3953, 'Instrument Table'!$B:$B, 'Instrument Table'!$A:$A, "")</f>
        <v>64</v>
      </c>
      <c r="G3953" s="1" t="str">
        <f>TEXT(IF($B3953 = "Retail Item", IF((ROW($A3953) - 4504 - _xlfn.XMATCH($C3953, $C$4506:$C$5005, 0, 1)) &lt;= VLOOKUP($C3953, 'Instrument Table'!$B:$D, 3, FALSE), ROW($A3953) - 4504 - _xlfn.XMATCH($C3953, $C$4506:$C$5005, 0, 1), 0), 0), "00")</f>
        <v>00</v>
      </c>
      <c r="H3953" s="1" t="str">
        <f t="shared" si="367"/>
        <v>147</v>
      </c>
      <c r="I3953" s="1" t="str">
        <f t="shared" si="368"/>
        <v>16400-147</v>
      </c>
      <c r="J3953" s="1" t="str">
        <f t="shared" si="369"/>
        <v>Musical accessories production item #147</v>
      </c>
      <c r="K3953" s="1" t="str">
        <f>IF(SUM(COUNTIFS(I:I, I3953)) &gt; 1, "DUPLICATE", "UNIQUE")</f>
        <v>UNIQUE</v>
      </c>
      <c r="L3953" s="18">
        <v>8</v>
      </c>
      <c r="M3953" s="28">
        <v>47</v>
      </c>
      <c r="N3953" s="6">
        <v>36</v>
      </c>
      <c r="O3953" s="30">
        <f t="shared" si="370"/>
        <v>376</v>
      </c>
      <c r="P3953" s="30">
        <f t="shared" si="371"/>
        <v>1692</v>
      </c>
      <c r="Q3953" s="1">
        <f>COUNTIFS($P:$P, "&gt;" &amp; $P3953) + 1</f>
        <v>3376</v>
      </c>
      <c r="R3953" s="63">
        <f>(COUNTIFS($P:$P, "&gt;" &amp; $P3953) + 1) / (COUNTA($I:$I) - 1)</f>
        <v>0.67520000000000002</v>
      </c>
      <c r="S3953" s="23">
        <f>SUMIFS($P:$P, $Q:$Q, "&lt;" &amp; $Q3953)</f>
        <v>185745450</v>
      </c>
    </row>
    <row r="3954" spans="1:19" x14ac:dyDescent="0.25">
      <c r="A3954" s="1">
        <v>3949</v>
      </c>
      <c r="B3954" s="1" t="s">
        <v>2</v>
      </c>
      <c r="C3954" s="1" t="str">
        <f>IF($B3954 = "Production Item", _xlfn.XLOOKUP($A3954, 'Instrument Table'!$J:$J, 'Instrument Table'!$B:$B, $C3953), IF($B3954 = "Service Item", _xlfn.XLOOKUP($A3954, 'Instrument Table'!$I:$I, 'Instrument Table'!$B:$B, $C3953), _xlfn.XLOOKUP($A3954, 'Instrument Table'!$H:$H, 'Instrument Table'!$B:$B, $C3953)))</f>
        <v>Musical Accessories</v>
      </c>
      <c r="D3954" s="1" t="str">
        <f>VLOOKUP($C3954, 'Instrument Table'!$B:$C, 2, FALSE)</f>
        <v>Other</v>
      </c>
      <c r="E3954" s="1">
        <f t="shared" si="366"/>
        <v>1</v>
      </c>
      <c r="F3954" s="1">
        <f>_xlfn.XLOOKUP($C3954, 'Instrument Table'!$B:$B, 'Instrument Table'!$A:$A, "")</f>
        <v>64</v>
      </c>
      <c r="G3954" s="1" t="str">
        <f>TEXT(IF($B3954 = "Retail Item", IF((ROW($A3954) - 4504 - _xlfn.XMATCH($C3954, $C$4506:$C$5005, 0, 1)) &lt;= VLOOKUP($C3954, 'Instrument Table'!$B:$D, 3, FALSE), ROW($A3954) - 4504 - _xlfn.XMATCH($C3954, $C$4506:$C$5005, 0, 1), 0), 0), "00")</f>
        <v>00</v>
      </c>
      <c r="H3954" s="1" t="str">
        <f t="shared" si="367"/>
        <v>148</v>
      </c>
      <c r="I3954" s="1" t="str">
        <f t="shared" si="368"/>
        <v>16400-148</v>
      </c>
      <c r="J3954" s="1" t="str">
        <f t="shared" si="369"/>
        <v>Musical accessories production item #148</v>
      </c>
      <c r="K3954" s="1" t="str">
        <f>IF(SUM(COUNTIFS(I:I, I3954)) &gt; 1, "DUPLICATE", "UNIQUE")</f>
        <v>UNIQUE</v>
      </c>
      <c r="L3954" s="18">
        <v>1</v>
      </c>
      <c r="M3954" s="28">
        <v>79</v>
      </c>
      <c r="N3954" s="6">
        <v>81</v>
      </c>
      <c r="O3954" s="30">
        <f t="shared" si="370"/>
        <v>79</v>
      </c>
      <c r="P3954" s="30">
        <f t="shared" si="371"/>
        <v>6399</v>
      </c>
      <c r="Q3954" s="1">
        <f>COUNTIFS($P:$P, "&gt;" &amp; $P3954) + 1</f>
        <v>2219</v>
      </c>
      <c r="R3954" s="63">
        <f>(COUNTIFS($P:$P, "&gt;" &amp; $P3954) + 1) / (COUNTA($I:$I) - 1)</f>
        <v>0.44379999999999997</v>
      </c>
      <c r="S3954" s="23">
        <f>SUMIFS($P:$P, $Q:$Q, "&lt;" &amp; $Q3954)</f>
        <v>181574471</v>
      </c>
    </row>
    <row r="3955" spans="1:19" x14ac:dyDescent="0.25">
      <c r="A3955" s="1">
        <v>3950</v>
      </c>
      <c r="B3955" s="1" t="s">
        <v>2</v>
      </c>
      <c r="C3955" s="1" t="str">
        <f>IF($B3955 = "Production Item", _xlfn.XLOOKUP($A3955, 'Instrument Table'!$J:$J, 'Instrument Table'!$B:$B, $C3954), IF($B3955 = "Service Item", _xlfn.XLOOKUP($A3955, 'Instrument Table'!$I:$I, 'Instrument Table'!$B:$B, $C3954), _xlfn.XLOOKUP($A3955, 'Instrument Table'!$H:$H, 'Instrument Table'!$B:$B, $C3954)))</f>
        <v>Musical Accessories</v>
      </c>
      <c r="D3955" s="1" t="str">
        <f>VLOOKUP($C3955, 'Instrument Table'!$B:$C, 2, FALSE)</f>
        <v>Other</v>
      </c>
      <c r="E3955" s="1">
        <f t="shared" si="366"/>
        <v>1</v>
      </c>
      <c r="F3955" s="1">
        <f>_xlfn.XLOOKUP($C3955, 'Instrument Table'!$B:$B, 'Instrument Table'!$A:$A, "")</f>
        <v>64</v>
      </c>
      <c r="G3955" s="1" t="str">
        <f>TEXT(IF($B3955 = "Retail Item", IF((ROW($A3955) - 4504 - _xlfn.XMATCH($C3955, $C$4506:$C$5005, 0, 1)) &lt;= VLOOKUP($C3955, 'Instrument Table'!$B:$D, 3, FALSE), ROW($A3955) - 4504 - _xlfn.XMATCH($C3955, $C$4506:$C$5005, 0, 1), 0), 0), "00")</f>
        <v>00</v>
      </c>
      <c r="H3955" s="1" t="str">
        <f t="shared" si="367"/>
        <v>149</v>
      </c>
      <c r="I3955" s="1" t="str">
        <f t="shared" si="368"/>
        <v>16400-149</v>
      </c>
      <c r="J3955" s="1" t="str">
        <f t="shared" si="369"/>
        <v>Musical accessories production item #149</v>
      </c>
      <c r="K3955" s="1" t="str">
        <f>IF(SUM(COUNTIFS(I:I, I3955)) &gt; 1, "DUPLICATE", "UNIQUE")</f>
        <v>UNIQUE</v>
      </c>
      <c r="L3955" s="18">
        <v>1</v>
      </c>
      <c r="M3955" s="28">
        <v>84</v>
      </c>
      <c r="N3955" s="6">
        <v>9</v>
      </c>
      <c r="O3955" s="30">
        <f t="shared" si="370"/>
        <v>84</v>
      </c>
      <c r="P3955" s="30">
        <f t="shared" si="371"/>
        <v>756</v>
      </c>
      <c r="Q3955" s="1">
        <f>COUNTIFS($P:$P, "&gt;" &amp; $P3955) + 1</f>
        <v>3826</v>
      </c>
      <c r="R3955" s="63">
        <f>(COUNTIFS($P:$P, "&gt;" &amp; $P3955) + 1) / (COUNTA($I:$I) - 1)</f>
        <v>0.76519999999999999</v>
      </c>
      <c r="S3955" s="23">
        <f>SUMIFS($P:$P, $Q:$Q, "&lt;" &amp; $Q3955)</f>
        <v>186285726</v>
      </c>
    </row>
    <row r="3956" spans="1:19" x14ac:dyDescent="0.25">
      <c r="A3956" s="1">
        <v>3951</v>
      </c>
      <c r="B3956" s="1" t="s">
        <v>2</v>
      </c>
      <c r="C3956" s="1" t="str">
        <f>IF($B3956 = "Production Item", _xlfn.XLOOKUP($A3956, 'Instrument Table'!$J:$J, 'Instrument Table'!$B:$B, $C3955), IF($B3956 = "Service Item", _xlfn.XLOOKUP($A3956, 'Instrument Table'!$I:$I, 'Instrument Table'!$B:$B, $C3955), _xlfn.XLOOKUP($A3956, 'Instrument Table'!$H:$H, 'Instrument Table'!$B:$B, $C3955)))</f>
        <v>Musical Accessories</v>
      </c>
      <c r="D3956" s="1" t="str">
        <f>VLOOKUP($C3956, 'Instrument Table'!$B:$C, 2, FALSE)</f>
        <v>Other</v>
      </c>
      <c r="E3956" s="1">
        <f t="shared" si="366"/>
        <v>1</v>
      </c>
      <c r="F3956" s="1">
        <f>_xlfn.XLOOKUP($C3956, 'Instrument Table'!$B:$B, 'Instrument Table'!$A:$A, "")</f>
        <v>64</v>
      </c>
      <c r="G3956" s="1" t="str">
        <f>TEXT(IF($B3956 = "Retail Item", IF((ROW($A3956) - 4504 - _xlfn.XMATCH($C3956, $C$4506:$C$5005, 0, 1)) &lt;= VLOOKUP($C3956, 'Instrument Table'!$B:$D, 3, FALSE), ROW($A3956) - 4504 - _xlfn.XMATCH($C3956, $C$4506:$C$5005, 0, 1), 0), 0), "00")</f>
        <v>00</v>
      </c>
      <c r="H3956" s="1" t="str">
        <f t="shared" si="367"/>
        <v>150</v>
      </c>
      <c r="I3956" s="1" t="str">
        <f t="shared" si="368"/>
        <v>16400-150</v>
      </c>
      <c r="J3956" s="1" t="str">
        <f t="shared" si="369"/>
        <v>Musical accessories production item #150</v>
      </c>
      <c r="K3956" s="1" t="str">
        <f>IF(SUM(COUNTIFS(I:I, I3956)) &gt; 1, "DUPLICATE", "UNIQUE")</f>
        <v>UNIQUE</v>
      </c>
      <c r="L3956" s="18">
        <v>1</v>
      </c>
      <c r="M3956" s="28">
        <v>83</v>
      </c>
      <c r="N3956" s="6">
        <v>196</v>
      </c>
      <c r="O3956" s="30">
        <f t="shared" si="370"/>
        <v>83</v>
      </c>
      <c r="P3956" s="30">
        <f t="shared" si="371"/>
        <v>16268</v>
      </c>
      <c r="Q3956" s="1">
        <f>COUNTIFS($P:$P, "&gt;" &amp; $P3956) + 1</f>
        <v>1258</v>
      </c>
      <c r="R3956" s="63">
        <f>(COUNTIFS($P:$P, "&gt;" &amp; $P3956) + 1) / (COUNTA($I:$I) - 1)</f>
        <v>0.25159999999999999</v>
      </c>
      <c r="S3956" s="23">
        <f>SUMIFS($P:$P, $Q:$Q, "&lt;" &amp; $Q3956)</f>
        <v>171300616</v>
      </c>
    </row>
    <row r="3957" spans="1:19" x14ac:dyDescent="0.25">
      <c r="A3957" s="1">
        <v>3952</v>
      </c>
      <c r="B3957" s="1" t="s">
        <v>2</v>
      </c>
      <c r="C3957" s="1" t="str">
        <f>IF($B3957 = "Production Item", _xlfn.XLOOKUP($A3957, 'Instrument Table'!$J:$J, 'Instrument Table'!$B:$B, $C3956), IF($B3957 = "Service Item", _xlfn.XLOOKUP($A3957, 'Instrument Table'!$I:$I, 'Instrument Table'!$B:$B, $C3956), _xlfn.XLOOKUP($A3957, 'Instrument Table'!$H:$H, 'Instrument Table'!$B:$B, $C3956)))</f>
        <v>Musical Accessories</v>
      </c>
      <c r="D3957" s="1" t="str">
        <f>VLOOKUP($C3957, 'Instrument Table'!$B:$C, 2, FALSE)</f>
        <v>Other</v>
      </c>
      <c r="E3957" s="1">
        <f t="shared" si="366"/>
        <v>1</v>
      </c>
      <c r="F3957" s="1">
        <f>_xlfn.XLOOKUP($C3957, 'Instrument Table'!$B:$B, 'Instrument Table'!$A:$A, "")</f>
        <v>64</v>
      </c>
      <c r="G3957" s="1" t="str">
        <f>TEXT(IF($B3957 = "Retail Item", IF((ROW($A3957) - 4504 - _xlfn.XMATCH($C3957, $C$4506:$C$5005, 0, 1)) &lt;= VLOOKUP($C3957, 'Instrument Table'!$B:$D, 3, FALSE), ROW($A3957) - 4504 - _xlfn.XMATCH($C3957, $C$4506:$C$5005, 0, 1), 0), 0), "00")</f>
        <v>00</v>
      </c>
      <c r="H3957" s="1" t="str">
        <f t="shared" si="367"/>
        <v>151</v>
      </c>
      <c r="I3957" s="1" t="str">
        <f t="shared" si="368"/>
        <v>16400-151</v>
      </c>
      <c r="J3957" s="1" t="str">
        <f t="shared" si="369"/>
        <v>Musical accessories production item #151</v>
      </c>
      <c r="K3957" s="1" t="str">
        <f>IF(SUM(COUNTIFS(I:I, I3957)) &gt; 1, "DUPLICATE", "UNIQUE")</f>
        <v>UNIQUE</v>
      </c>
      <c r="L3957" s="18">
        <v>0</v>
      </c>
      <c r="M3957" s="28">
        <v>16</v>
      </c>
      <c r="N3957" s="6">
        <v>361</v>
      </c>
      <c r="O3957" s="30">
        <f t="shared" si="370"/>
        <v>0</v>
      </c>
      <c r="P3957" s="30">
        <f t="shared" si="371"/>
        <v>5776</v>
      </c>
      <c r="Q3957" s="1">
        <f>COUNTIFS($P:$P, "&gt;" &amp; $P3957) + 1</f>
        <v>2306</v>
      </c>
      <c r="R3957" s="63">
        <f>(COUNTIFS($P:$P, "&gt;" &amp; $P3957) + 1) / (COUNTA($I:$I) - 1)</f>
        <v>0.4612</v>
      </c>
      <c r="S3957" s="23">
        <f>SUMIFS($P:$P, $Q:$Q, "&lt;" &amp; $Q3957)</f>
        <v>182098979</v>
      </c>
    </row>
    <row r="3958" spans="1:19" x14ac:dyDescent="0.25">
      <c r="A3958" s="1">
        <v>3953</v>
      </c>
      <c r="B3958" s="1" t="s">
        <v>2</v>
      </c>
      <c r="C3958" s="1" t="str">
        <f>IF($B3958 = "Production Item", _xlfn.XLOOKUP($A3958, 'Instrument Table'!$J:$J, 'Instrument Table'!$B:$B, $C3957), IF($B3958 = "Service Item", _xlfn.XLOOKUP($A3958, 'Instrument Table'!$I:$I, 'Instrument Table'!$B:$B, $C3957), _xlfn.XLOOKUP($A3958, 'Instrument Table'!$H:$H, 'Instrument Table'!$B:$B, $C3957)))</f>
        <v>Musical Accessories</v>
      </c>
      <c r="D3958" s="1" t="str">
        <f>VLOOKUP($C3958, 'Instrument Table'!$B:$C, 2, FALSE)</f>
        <v>Other</v>
      </c>
      <c r="E3958" s="1">
        <f t="shared" si="366"/>
        <v>1</v>
      </c>
      <c r="F3958" s="1">
        <f>_xlfn.XLOOKUP($C3958, 'Instrument Table'!$B:$B, 'Instrument Table'!$A:$A, "")</f>
        <v>64</v>
      </c>
      <c r="G3958" s="1" t="str">
        <f>TEXT(IF($B3958 = "Retail Item", IF((ROW($A3958) - 4504 - _xlfn.XMATCH($C3958, $C$4506:$C$5005, 0, 1)) &lt;= VLOOKUP($C3958, 'Instrument Table'!$B:$D, 3, FALSE), ROW($A3958) - 4504 - _xlfn.XMATCH($C3958, $C$4506:$C$5005, 0, 1), 0), 0), "00")</f>
        <v>00</v>
      </c>
      <c r="H3958" s="1" t="str">
        <f t="shared" si="367"/>
        <v>152</v>
      </c>
      <c r="I3958" s="1" t="str">
        <f t="shared" si="368"/>
        <v>16400-152</v>
      </c>
      <c r="J3958" s="1" t="str">
        <f t="shared" si="369"/>
        <v>Musical accessories production item #152</v>
      </c>
      <c r="K3958" s="1" t="str">
        <f>IF(SUM(COUNTIFS(I:I, I3958)) &gt; 1, "DUPLICATE", "UNIQUE")</f>
        <v>UNIQUE</v>
      </c>
      <c r="L3958" s="18">
        <v>1</v>
      </c>
      <c r="M3958" s="28">
        <v>34</v>
      </c>
      <c r="N3958" s="6">
        <v>169</v>
      </c>
      <c r="O3958" s="30">
        <f t="shared" si="370"/>
        <v>34</v>
      </c>
      <c r="P3958" s="30">
        <f t="shared" si="371"/>
        <v>5746</v>
      </c>
      <c r="Q3958" s="1">
        <f>COUNTIFS($P:$P, "&gt;" &amp; $P3958) + 1</f>
        <v>2312</v>
      </c>
      <c r="R3958" s="63">
        <f>(COUNTIFS($P:$P, "&gt;" &amp; $P3958) + 1) / (COUNTA($I:$I) - 1)</f>
        <v>0.46239999999999998</v>
      </c>
      <c r="S3958" s="23">
        <f>SUMIFS($P:$P, $Q:$Q, "&lt;" &amp; $Q3958)</f>
        <v>182133569</v>
      </c>
    </row>
    <row r="3959" spans="1:19" x14ac:dyDescent="0.25">
      <c r="A3959" s="1">
        <v>3954</v>
      </c>
      <c r="B3959" s="1" t="s">
        <v>2</v>
      </c>
      <c r="C3959" s="1" t="str">
        <f>IF($B3959 = "Production Item", _xlfn.XLOOKUP($A3959, 'Instrument Table'!$J:$J, 'Instrument Table'!$B:$B, $C3958), IF($B3959 = "Service Item", _xlfn.XLOOKUP($A3959, 'Instrument Table'!$I:$I, 'Instrument Table'!$B:$B, $C3958), _xlfn.XLOOKUP($A3959, 'Instrument Table'!$H:$H, 'Instrument Table'!$B:$B, $C3958)))</f>
        <v>Musical Accessories</v>
      </c>
      <c r="D3959" s="1" t="str">
        <f>VLOOKUP($C3959, 'Instrument Table'!$B:$C, 2, FALSE)</f>
        <v>Other</v>
      </c>
      <c r="E3959" s="1">
        <f t="shared" si="366"/>
        <v>1</v>
      </c>
      <c r="F3959" s="1">
        <f>_xlfn.XLOOKUP($C3959, 'Instrument Table'!$B:$B, 'Instrument Table'!$A:$A, "")</f>
        <v>64</v>
      </c>
      <c r="G3959" s="1" t="str">
        <f>TEXT(IF($B3959 = "Retail Item", IF((ROW($A3959) - 4504 - _xlfn.XMATCH($C3959, $C$4506:$C$5005, 0, 1)) &lt;= VLOOKUP($C3959, 'Instrument Table'!$B:$D, 3, FALSE), ROW($A3959) - 4504 - _xlfn.XMATCH($C3959, $C$4506:$C$5005, 0, 1), 0), 0), "00")</f>
        <v>00</v>
      </c>
      <c r="H3959" s="1" t="str">
        <f t="shared" si="367"/>
        <v>153</v>
      </c>
      <c r="I3959" s="1" t="str">
        <f t="shared" si="368"/>
        <v>16400-153</v>
      </c>
      <c r="J3959" s="1" t="str">
        <f t="shared" si="369"/>
        <v>Musical accessories production item #153</v>
      </c>
      <c r="K3959" s="1" t="str">
        <f>IF(SUM(COUNTIFS(I:I, I3959)) &gt; 1, "DUPLICATE", "UNIQUE")</f>
        <v>UNIQUE</v>
      </c>
      <c r="L3959" s="18">
        <v>1</v>
      </c>
      <c r="M3959" s="28">
        <v>95</v>
      </c>
      <c r="N3959" s="6">
        <v>144</v>
      </c>
      <c r="O3959" s="30">
        <f t="shared" si="370"/>
        <v>95</v>
      </c>
      <c r="P3959" s="30">
        <f t="shared" si="371"/>
        <v>13680</v>
      </c>
      <c r="Q3959" s="1">
        <f>COUNTIFS($P:$P, "&gt;" &amp; $P3959) + 1</f>
        <v>1443</v>
      </c>
      <c r="R3959" s="63">
        <f>(COUNTIFS($P:$P, "&gt;" &amp; $P3959) + 1) / (COUNTA($I:$I) - 1)</f>
        <v>0.28860000000000002</v>
      </c>
      <c r="S3959" s="23">
        <f>SUMIFS($P:$P, $Q:$Q, "&lt;" &amp; $Q3959)</f>
        <v>174077483</v>
      </c>
    </row>
    <row r="3960" spans="1:19" x14ac:dyDescent="0.25">
      <c r="A3960" s="1">
        <v>3955</v>
      </c>
      <c r="B3960" s="1" t="s">
        <v>2</v>
      </c>
      <c r="C3960" s="1" t="str">
        <f>IF($B3960 = "Production Item", _xlfn.XLOOKUP($A3960, 'Instrument Table'!$J:$J, 'Instrument Table'!$B:$B, $C3959), IF($B3960 = "Service Item", _xlfn.XLOOKUP($A3960, 'Instrument Table'!$I:$I, 'Instrument Table'!$B:$B, $C3959), _xlfn.XLOOKUP($A3960, 'Instrument Table'!$H:$H, 'Instrument Table'!$B:$B, $C3959)))</f>
        <v>Musical Accessories</v>
      </c>
      <c r="D3960" s="1" t="str">
        <f>VLOOKUP($C3960, 'Instrument Table'!$B:$C, 2, FALSE)</f>
        <v>Other</v>
      </c>
      <c r="E3960" s="1">
        <f t="shared" si="366"/>
        <v>1</v>
      </c>
      <c r="F3960" s="1">
        <f>_xlfn.XLOOKUP($C3960, 'Instrument Table'!$B:$B, 'Instrument Table'!$A:$A, "")</f>
        <v>64</v>
      </c>
      <c r="G3960" s="1" t="str">
        <f>TEXT(IF($B3960 = "Retail Item", IF((ROW($A3960) - 4504 - _xlfn.XMATCH($C3960, $C$4506:$C$5005, 0, 1)) &lt;= VLOOKUP($C3960, 'Instrument Table'!$B:$D, 3, FALSE), ROW($A3960) - 4504 - _xlfn.XMATCH($C3960, $C$4506:$C$5005, 0, 1), 0), 0), "00")</f>
        <v>00</v>
      </c>
      <c r="H3960" s="1" t="str">
        <f t="shared" si="367"/>
        <v>154</v>
      </c>
      <c r="I3960" s="1" t="str">
        <f t="shared" si="368"/>
        <v>16400-154</v>
      </c>
      <c r="J3960" s="1" t="str">
        <f t="shared" si="369"/>
        <v>Musical accessories production item #154</v>
      </c>
      <c r="K3960" s="1" t="str">
        <f>IF(SUM(COUNTIFS(I:I, I3960)) &gt; 1, "DUPLICATE", "UNIQUE")</f>
        <v>UNIQUE</v>
      </c>
      <c r="L3960" s="18">
        <v>0</v>
      </c>
      <c r="M3960" s="28">
        <v>46</v>
      </c>
      <c r="N3960" s="6">
        <v>225</v>
      </c>
      <c r="O3960" s="30">
        <f t="shared" si="370"/>
        <v>0</v>
      </c>
      <c r="P3960" s="30">
        <f t="shared" si="371"/>
        <v>10350</v>
      </c>
      <c r="Q3960" s="1">
        <f>COUNTIFS($P:$P, "&gt;" &amp; $P3960) + 1</f>
        <v>1745</v>
      </c>
      <c r="R3960" s="63">
        <f>(COUNTIFS($P:$P, "&gt;" &amp; $P3960) + 1) / (COUNTA($I:$I) - 1)</f>
        <v>0.34899999999999998</v>
      </c>
      <c r="S3960" s="23">
        <f>SUMIFS($P:$P, $Q:$Q, "&lt;" &amp; $Q3960)</f>
        <v>177690452</v>
      </c>
    </row>
    <row r="3961" spans="1:19" x14ac:dyDescent="0.25">
      <c r="A3961" s="1">
        <v>3956</v>
      </c>
      <c r="B3961" s="1" t="s">
        <v>2</v>
      </c>
      <c r="C3961" s="1" t="str">
        <f>IF($B3961 = "Production Item", _xlfn.XLOOKUP($A3961, 'Instrument Table'!$J:$J, 'Instrument Table'!$B:$B, $C3960), IF($B3961 = "Service Item", _xlfn.XLOOKUP($A3961, 'Instrument Table'!$I:$I, 'Instrument Table'!$B:$B, $C3960), _xlfn.XLOOKUP($A3961, 'Instrument Table'!$H:$H, 'Instrument Table'!$B:$B, $C3960)))</f>
        <v>Musical Accessories</v>
      </c>
      <c r="D3961" s="1" t="str">
        <f>VLOOKUP($C3961, 'Instrument Table'!$B:$C, 2, FALSE)</f>
        <v>Other</v>
      </c>
      <c r="E3961" s="1">
        <f t="shared" si="366"/>
        <v>1</v>
      </c>
      <c r="F3961" s="1">
        <f>_xlfn.XLOOKUP($C3961, 'Instrument Table'!$B:$B, 'Instrument Table'!$A:$A, "")</f>
        <v>64</v>
      </c>
      <c r="G3961" s="1" t="str">
        <f>TEXT(IF($B3961 = "Retail Item", IF((ROW($A3961) - 4504 - _xlfn.XMATCH($C3961, $C$4506:$C$5005, 0, 1)) &lt;= VLOOKUP($C3961, 'Instrument Table'!$B:$D, 3, FALSE), ROW($A3961) - 4504 - _xlfn.XMATCH($C3961, $C$4506:$C$5005, 0, 1), 0), 0), "00")</f>
        <v>00</v>
      </c>
      <c r="H3961" s="1" t="str">
        <f t="shared" si="367"/>
        <v>155</v>
      </c>
      <c r="I3961" s="1" t="str">
        <f t="shared" si="368"/>
        <v>16400-155</v>
      </c>
      <c r="J3961" s="1" t="str">
        <f t="shared" si="369"/>
        <v>Musical accessories production item #155</v>
      </c>
      <c r="K3961" s="1" t="str">
        <f>IF(SUM(COUNTIFS(I:I, I3961)) &gt; 1, "DUPLICATE", "UNIQUE")</f>
        <v>UNIQUE</v>
      </c>
      <c r="L3961" s="18">
        <v>0</v>
      </c>
      <c r="M3961" s="28">
        <v>80</v>
      </c>
      <c r="N3961" s="6">
        <v>256</v>
      </c>
      <c r="O3961" s="30">
        <f t="shared" si="370"/>
        <v>0</v>
      </c>
      <c r="P3961" s="30">
        <f t="shared" si="371"/>
        <v>20480</v>
      </c>
      <c r="Q3961" s="1">
        <f>COUNTIFS($P:$P, "&gt;" &amp; $P3961) + 1</f>
        <v>1031</v>
      </c>
      <c r="R3961" s="63">
        <f>(COUNTIFS($P:$P, "&gt;" &amp; $P3961) + 1) / (COUNTA($I:$I) - 1)</f>
        <v>0.20619999999999999</v>
      </c>
      <c r="S3961" s="23">
        <f>SUMIFS($P:$P, $Q:$Q, "&lt;" &amp; $Q3961)</f>
        <v>167135566</v>
      </c>
    </row>
    <row r="3962" spans="1:19" x14ac:dyDescent="0.25">
      <c r="A3962" s="1">
        <v>3957</v>
      </c>
      <c r="B3962" s="1" t="s">
        <v>2</v>
      </c>
      <c r="C3962" s="1" t="str">
        <f>IF($B3962 = "Production Item", _xlfn.XLOOKUP($A3962, 'Instrument Table'!$J:$J, 'Instrument Table'!$B:$B, $C3961), IF($B3962 = "Service Item", _xlfn.XLOOKUP($A3962, 'Instrument Table'!$I:$I, 'Instrument Table'!$B:$B, $C3961), _xlfn.XLOOKUP($A3962, 'Instrument Table'!$H:$H, 'Instrument Table'!$B:$B, $C3961)))</f>
        <v>Musical Accessories</v>
      </c>
      <c r="D3962" s="1" t="str">
        <f>VLOOKUP($C3962, 'Instrument Table'!$B:$C, 2, FALSE)</f>
        <v>Other</v>
      </c>
      <c r="E3962" s="1">
        <f t="shared" si="366"/>
        <v>1</v>
      </c>
      <c r="F3962" s="1">
        <f>_xlfn.XLOOKUP($C3962, 'Instrument Table'!$B:$B, 'Instrument Table'!$A:$A, "")</f>
        <v>64</v>
      </c>
      <c r="G3962" s="1" t="str">
        <f>TEXT(IF($B3962 = "Retail Item", IF((ROW($A3962) - 4504 - _xlfn.XMATCH($C3962, $C$4506:$C$5005, 0, 1)) &lt;= VLOOKUP($C3962, 'Instrument Table'!$B:$D, 3, FALSE), ROW($A3962) - 4504 - _xlfn.XMATCH($C3962, $C$4506:$C$5005, 0, 1), 0), 0), "00")</f>
        <v>00</v>
      </c>
      <c r="H3962" s="1" t="str">
        <f t="shared" si="367"/>
        <v>156</v>
      </c>
      <c r="I3962" s="1" t="str">
        <f t="shared" si="368"/>
        <v>16400-156</v>
      </c>
      <c r="J3962" s="1" t="str">
        <f t="shared" si="369"/>
        <v>Musical accessories production item #156</v>
      </c>
      <c r="K3962" s="1" t="str">
        <f>IF(SUM(COUNTIFS(I:I, I3962)) &gt; 1, "DUPLICATE", "UNIQUE")</f>
        <v>UNIQUE</v>
      </c>
      <c r="L3962" s="18">
        <v>0</v>
      </c>
      <c r="M3962" s="28">
        <v>83</v>
      </c>
      <c r="N3962" s="6">
        <v>25</v>
      </c>
      <c r="O3962" s="30">
        <f t="shared" si="370"/>
        <v>0</v>
      </c>
      <c r="P3962" s="30">
        <f t="shared" si="371"/>
        <v>2075</v>
      </c>
      <c r="Q3962" s="1">
        <f>COUNTIFS($P:$P, "&gt;" &amp; $P3962) + 1</f>
        <v>3217</v>
      </c>
      <c r="R3962" s="63">
        <f>(COUNTIFS($P:$P, "&gt;" &amp; $P3962) + 1) / (COUNTA($I:$I) - 1)</f>
        <v>0.64339999999999997</v>
      </c>
      <c r="S3962" s="23">
        <f>SUMIFS($P:$P, $Q:$Q, "&lt;" &amp; $Q3962)</f>
        <v>185443402</v>
      </c>
    </row>
    <row r="3963" spans="1:19" x14ac:dyDescent="0.25">
      <c r="A3963" s="1">
        <v>3958</v>
      </c>
      <c r="B3963" s="1" t="s">
        <v>2</v>
      </c>
      <c r="C3963" s="1" t="str">
        <f>IF($B3963 = "Production Item", _xlfn.XLOOKUP($A3963, 'Instrument Table'!$J:$J, 'Instrument Table'!$B:$B, $C3962), IF($B3963 = "Service Item", _xlfn.XLOOKUP($A3963, 'Instrument Table'!$I:$I, 'Instrument Table'!$B:$B, $C3962), _xlfn.XLOOKUP($A3963, 'Instrument Table'!$H:$H, 'Instrument Table'!$B:$B, $C3962)))</f>
        <v>Musical Accessories</v>
      </c>
      <c r="D3963" s="1" t="str">
        <f>VLOOKUP($C3963, 'Instrument Table'!$B:$C, 2, FALSE)</f>
        <v>Other</v>
      </c>
      <c r="E3963" s="1">
        <f t="shared" si="366"/>
        <v>1</v>
      </c>
      <c r="F3963" s="1">
        <f>_xlfn.XLOOKUP($C3963, 'Instrument Table'!$B:$B, 'Instrument Table'!$A:$A, "")</f>
        <v>64</v>
      </c>
      <c r="G3963" s="1" t="str">
        <f>TEXT(IF($B3963 = "Retail Item", IF((ROW($A3963) - 4504 - _xlfn.XMATCH($C3963, $C$4506:$C$5005, 0, 1)) &lt;= VLOOKUP($C3963, 'Instrument Table'!$B:$D, 3, FALSE), ROW($A3963) - 4504 - _xlfn.XMATCH($C3963, $C$4506:$C$5005, 0, 1), 0), 0), "00")</f>
        <v>00</v>
      </c>
      <c r="H3963" s="1" t="str">
        <f t="shared" si="367"/>
        <v>157</v>
      </c>
      <c r="I3963" s="1" t="str">
        <f t="shared" si="368"/>
        <v>16400-157</v>
      </c>
      <c r="J3963" s="1" t="str">
        <f t="shared" si="369"/>
        <v>Musical accessories production item #157</v>
      </c>
      <c r="K3963" s="1" t="str">
        <f>IF(SUM(COUNTIFS(I:I, I3963)) &gt; 1, "DUPLICATE", "UNIQUE")</f>
        <v>UNIQUE</v>
      </c>
      <c r="L3963" s="18">
        <v>16</v>
      </c>
      <c r="M3963" s="28">
        <v>96</v>
      </c>
      <c r="N3963" s="6">
        <v>256</v>
      </c>
      <c r="O3963" s="30">
        <f t="shared" si="370"/>
        <v>1536</v>
      </c>
      <c r="P3963" s="30">
        <f t="shared" si="371"/>
        <v>24576</v>
      </c>
      <c r="Q3963" s="1">
        <f>COUNTIFS($P:$P, "&gt;" &amp; $P3963) + 1</f>
        <v>842</v>
      </c>
      <c r="R3963" s="63">
        <f>(COUNTIFS($P:$P, "&gt;" &amp; $P3963) + 1) / (COUNTA($I:$I) - 1)</f>
        <v>0.16839999999999999</v>
      </c>
      <c r="S3963" s="23">
        <f>SUMIFS($P:$P, $Q:$Q, "&lt;" &amp; $Q3963)</f>
        <v>162887012</v>
      </c>
    </row>
    <row r="3964" spans="1:19" x14ac:dyDescent="0.25">
      <c r="A3964" s="1">
        <v>3959</v>
      </c>
      <c r="B3964" s="1" t="s">
        <v>2</v>
      </c>
      <c r="C3964" s="1" t="str">
        <f>IF($B3964 = "Production Item", _xlfn.XLOOKUP($A3964, 'Instrument Table'!$J:$J, 'Instrument Table'!$B:$B, $C3963), IF($B3964 = "Service Item", _xlfn.XLOOKUP($A3964, 'Instrument Table'!$I:$I, 'Instrument Table'!$B:$B, $C3963), _xlfn.XLOOKUP($A3964, 'Instrument Table'!$H:$H, 'Instrument Table'!$B:$B, $C3963)))</f>
        <v>Musical Accessories</v>
      </c>
      <c r="D3964" s="1" t="str">
        <f>VLOOKUP($C3964, 'Instrument Table'!$B:$C, 2, FALSE)</f>
        <v>Other</v>
      </c>
      <c r="E3964" s="1">
        <f t="shared" si="366"/>
        <v>1</v>
      </c>
      <c r="F3964" s="1">
        <f>_xlfn.XLOOKUP($C3964, 'Instrument Table'!$B:$B, 'Instrument Table'!$A:$A, "")</f>
        <v>64</v>
      </c>
      <c r="G3964" s="1" t="str">
        <f>TEXT(IF($B3964 = "Retail Item", IF((ROW($A3964) - 4504 - _xlfn.XMATCH($C3964, $C$4506:$C$5005, 0, 1)) &lt;= VLOOKUP($C3964, 'Instrument Table'!$B:$D, 3, FALSE), ROW($A3964) - 4504 - _xlfn.XMATCH($C3964, $C$4506:$C$5005, 0, 1), 0), 0), "00")</f>
        <v>00</v>
      </c>
      <c r="H3964" s="1" t="str">
        <f t="shared" si="367"/>
        <v>158</v>
      </c>
      <c r="I3964" s="1" t="str">
        <f t="shared" si="368"/>
        <v>16400-158</v>
      </c>
      <c r="J3964" s="1" t="str">
        <f t="shared" si="369"/>
        <v>Musical accessories production item #158</v>
      </c>
      <c r="K3964" s="1" t="str">
        <f>IF(SUM(COUNTIFS(I:I, I3964)) &gt; 1, "DUPLICATE", "UNIQUE")</f>
        <v>UNIQUE</v>
      </c>
      <c r="L3964" s="18">
        <v>0</v>
      </c>
      <c r="M3964" s="28">
        <v>33</v>
      </c>
      <c r="N3964" s="6">
        <v>289</v>
      </c>
      <c r="O3964" s="30">
        <f t="shared" si="370"/>
        <v>0</v>
      </c>
      <c r="P3964" s="30">
        <f t="shared" si="371"/>
        <v>9537</v>
      </c>
      <c r="Q3964" s="1">
        <f>COUNTIFS($P:$P, "&gt;" &amp; $P3964) + 1</f>
        <v>1811</v>
      </c>
      <c r="R3964" s="63">
        <f>(COUNTIFS($P:$P, "&gt;" &amp; $P3964) + 1) / (COUNTA($I:$I) - 1)</f>
        <v>0.36220000000000002</v>
      </c>
      <c r="S3964" s="23">
        <f>SUMIFS($P:$P, $Q:$Q, "&lt;" &amp; $Q3964)</f>
        <v>178347238</v>
      </c>
    </row>
    <row r="3965" spans="1:19" x14ac:dyDescent="0.25">
      <c r="A3965" s="1">
        <v>3960</v>
      </c>
      <c r="B3965" s="1" t="s">
        <v>2</v>
      </c>
      <c r="C3965" s="1" t="str">
        <f>IF($B3965 = "Production Item", _xlfn.XLOOKUP($A3965, 'Instrument Table'!$J:$J, 'Instrument Table'!$B:$B, $C3964), IF($B3965 = "Service Item", _xlfn.XLOOKUP($A3965, 'Instrument Table'!$I:$I, 'Instrument Table'!$B:$B, $C3964), _xlfn.XLOOKUP($A3965, 'Instrument Table'!$H:$H, 'Instrument Table'!$B:$B, $C3964)))</f>
        <v>Musical Accessories</v>
      </c>
      <c r="D3965" s="1" t="str">
        <f>VLOOKUP($C3965, 'Instrument Table'!$B:$C, 2, FALSE)</f>
        <v>Other</v>
      </c>
      <c r="E3965" s="1">
        <f t="shared" si="366"/>
        <v>1</v>
      </c>
      <c r="F3965" s="1">
        <f>_xlfn.XLOOKUP($C3965, 'Instrument Table'!$B:$B, 'Instrument Table'!$A:$A, "")</f>
        <v>64</v>
      </c>
      <c r="G3965" s="1" t="str">
        <f>TEXT(IF($B3965 = "Retail Item", IF((ROW($A3965) - 4504 - _xlfn.XMATCH($C3965, $C$4506:$C$5005, 0, 1)) &lt;= VLOOKUP($C3965, 'Instrument Table'!$B:$D, 3, FALSE), ROW($A3965) - 4504 - _xlfn.XMATCH($C3965, $C$4506:$C$5005, 0, 1), 0), 0), "00")</f>
        <v>00</v>
      </c>
      <c r="H3965" s="1" t="str">
        <f t="shared" si="367"/>
        <v>159</v>
      </c>
      <c r="I3965" s="1" t="str">
        <f t="shared" si="368"/>
        <v>16400-159</v>
      </c>
      <c r="J3965" s="1" t="str">
        <f t="shared" si="369"/>
        <v>Musical accessories production item #159</v>
      </c>
      <c r="K3965" s="1" t="str">
        <f>IF(SUM(COUNTIFS(I:I, I3965)) &gt; 1, "DUPLICATE", "UNIQUE")</f>
        <v>UNIQUE</v>
      </c>
      <c r="L3965" s="18">
        <v>1</v>
      </c>
      <c r="M3965" s="28">
        <v>84</v>
      </c>
      <c r="N3965" s="6">
        <v>361</v>
      </c>
      <c r="O3965" s="30">
        <f t="shared" si="370"/>
        <v>84</v>
      </c>
      <c r="P3965" s="30">
        <f t="shared" si="371"/>
        <v>30324</v>
      </c>
      <c r="Q3965" s="1">
        <f>COUNTIFS($P:$P, "&gt;" &amp; $P3965) + 1</f>
        <v>685</v>
      </c>
      <c r="R3965" s="63">
        <f>(COUNTIFS($P:$P, "&gt;" &amp; $P3965) + 1) / (COUNTA($I:$I) - 1)</f>
        <v>0.13700000000000001</v>
      </c>
      <c r="S3965" s="23">
        <f>SUMIFS($P:$P, $Q:$Q, "&lt;" &amp; $Q3965)</f>
        <v>158637905</v>
      </c>
    </row>
    <row r="3966" spans="1:19" x14ac:dyDescent="0.25">
      <c r="A3966" s="1">
        <v>3961</v>
      </c>
      <c r="B3966" s="1" t="s">
        <v>2</v>
      </c>
      <c r="C3966" s="1" t="str">
        <f>IF($B3966 = "Production Item", _xlfn.XLOOKUP($A3966, 'Instrument Table'!$J:$J, 'Instrument Table'!$B:$B, $C3965), IF($B3966 = "Service Item", _xlfn.XLOOKUP($A3966, 'Instrument Table'!$I:$I, 'Instrument Table'!$B:$B, $C3965), _xlfn.XLOOKUP($A3966, 'Instrument Table'!$H:$H, 'Instrument Table'!$B:$B, $C3965)))</f>
        <v>Musical Accessories</v>
      </c>
      <c r="D3966" s="1" t="str">
        <f>VLOOKUP($C3966, 'Instrument Table'!$B:$C, 2, FALSE)</f>
        <v>Other</v>
      </c>
      <c r="E3966" s="1">
        <f t="shared" si="366"/>
        <v>1</v>
      </c>
      <c r="F3966" s="1">
        <f>_xlfn.XLOOKUP($C3966, 'Instrument Table'!$B:$B, 'Instrument Table'!$A:$A, "")</f>
        <v>64</v>
      </c>
      <c r="G3966" s="1" t="str">
        <f>TEXT(IF($B3966 = "Retail Item", IF((ROW($A3966) - 4504 - _xlfn.XMATCH($C3966, $C$4506:$C$5005, 0, 1)) &lt;= VLOOKUP($C3966, 'Instrument Table'!$B:$D, 3, FALSE), ROW($A3966) - 4504 - _xlfn.XMATCH($C3966, $C$4506:$C$5005, 0, 1), 0), 0), "00")</f>
        <v>00</v>
      </c>
      <c r="H3966" s="1" t="str">
        <f t="shared" si="367"/>
        <v>160</v>
      </c>
      <c r="I3966" s="1" t="str">
        <f t="shared" si="368"/>
        <v>16400-160</v>
      </c>
      <c r="J3966" s="1" t="str">
        <f t="shared" si="369"/>
        <v>Musical accessories production item #160</v>
      </c>
      <c r="K3966" s="1" t="str">
        <f>IF(SUM(COUNTIFS(I:I, I3966)) &gt; 1, "DUPLICATE", "UNIQUE")</f>
        <v>UNIQUE</v>
      </c>
      <c r="L3966" s="18">
        <v>1</v>
      </c>
      <c r="M3966" s="28">
        <v>75</v>
      </c>
      <c r="N3966" s="6">
        <v>64</v>
      </c>
      <c r="O3966" s="30">
        <f t="shared" si="370"/>
        <v>75</v>
      </c>
      <c r="P3966" s="30">
        <f t="shared" si="371"/>
        <v>4800</v>
      </c>
      <c r="Q3966" s="1">
        <f>COUNTIFS($P:$P, "&gt;" &amp; $P3966) + 1</f>
        <v>2486</v>
      </c>
      <c r="R3966" s="63">
        <f>(COUNTIFS($P:$P, "&gt;" &amp; $P3966) + 1) / (COUNTA($I:$I) - 1)</f>
        <v>0.49719999999999998</v>
      </c>
      <c r="S3966" s="23">
        <f>SUMIFS($P:$P, $Q:$Q, "&lt;" &amp; $Q3966)</f>
        <v>183048530</v>
      </c>
    </row>
    <row r="3967" spans="1:19" x14ac:dyDescent="0.25">
      <c r="A3967" s="1">
        <v>3962</v>
      </c>
      <c r="B3967" s="1" t="s">
        <v>2</v>
      </c>
      <c r="C3967" s="1" t="str">
        <f>IF($B3967 = "Production Item", _xlfn.XLOOKUP($A3967, 'Instrument Table'!$J:$J, 'Instrument Table'!$B:$B, $C3966), IF($B3967 = "Service Item", _xlfn.XLOOKUP($A3967, 'Instrument Table'!$I:$I, 'Instrument Table'!$B:$B, $C3966), _xlfn.XLOOKUP($A3967, 'Instrument Table'!$H:$H, 'Instrument Table'!$B:$B, $C3966)))</f>
        <v>Musical Accessories</v>
      </c>
      <c r="D3967" s="1" t="str">
        <f>VLOOKUP($C3967, 'Instrument Table'!$B:$C, 2, FALSE)</f>
        <v>Other</v>
      </c>
      <c r="E3967" s="1">
        <f t="shared" si="366"/>
        <v>1</v>
      </c>
      <c r="F3967" s="1">
        <f>_xlfn.XLOOKUP($C3967, 'Instrument Table'!$B:$B, 'Instrument Table'!$A:$A, "")</f>
        <v>64</v>
      </c>
      <c r="G3967" s="1" t="str">
        <f>TEXT(IF($B3967 = "Retail Item", IF((ROW($A3967) - 4504 - _xlfn.XMATCH($C3967, $C$4506:$C$5005, 0, 1)) &lt;= VLOOKUP($C3967, 'Instrument Table'!$B:$D, 3, FALSE), ROW($A3967) - 4504 - _xlfn.XMATCH($C3967, $C$4506:$C$5005, 0, 1), 0), 0), "00")</f>
        <v>00</v>
      </c>
      <c r="H3967" s="1" t="str">
        <f t="shared" si="367"/>
        <v>161</v>
      </c>
      <c r="I3967" s="1" t="str">
        <f t="shared" si="368"/>
        <v>16400-161</v>
      </c>
      <c r="J3967" s="1" t="str">
        <f t="shared" si="369"/>
        <v>Musical accessories production item #161</v>
      </c>
      <c r="K3967" s="1" t="str">
        <f>IF(SUM(COUNTIFS(I:I, I3967)) &gt; 1, "DUPLICATE", "UNIQUE")</f>
        <v>UNIQUE</v>
      </c>
      <c r="L3967" s="18">
        <v>1</v>
      </c>
      <c r="M3967" s="28">
        <v>53</v>
      </c>
      <c r="N3967" s="6">
        <v>169</v>
      </c>
      <c r="O3967" s="30">
        <f t="shared" si="370"/>
        <v>53</v>
      </c>
      <c r="P3967" s="30">
        <f t="shared" si="371"/>
        <v>8957</v>
      </c>
      <c r="Q3967" s="1">
        <f>COUNTIFS($P:$P, "&gt;" &amp; $P3967) + 1</f>
        <v>1875</v>
      </c>
      <c r="R3967" s="63">
        <f>(COUNTIFS($P:$P, "&gt;" &amp; $P3967) + 1) / (COUNTA($I:$I) - 1)</f>
        <v>0.375</v>
      </c>
      <c r="S3967" s="23">
        <f>SUMIFS($P:$P, $Q:$Q, "&lt;" &amp; $Q3967)</f>
        <v>178941127</v>
      </c>
    </row>
    <row r="3968" spans="1:19" x14ac:dyDescent="0.25">
      <c r="A3968" s="1">
        <v>3963</v>
      </c>
      <c r="B3968" s="1" t="s">
        <v>2</v>
      </c>
      <c r="C3968" s="1" t="str">
        <f>IF($B3968 = "Production Item", _xlfn.XLOOKUP($A3968, 'Instrument Table'!$J:$J, 'Instrument Table'!$B:$B, $C3967), IF($B3968 = "Service Item", _xlfn.XLOOKUP($A3968, 'Instrument Table'!$I:$I, 'Instrument Table'!$B:$B, $C3967), _xlfn.XLOOKUP($A3968, 'Instrument Table'!$H:$H, 'Instrument Table'!$B:$B, $C3967)))</f>
        <v>Musical Accessories</v>
      </c>
      <c r="D3968" s="1" t="str">
        <f>VLOOKUP($C3968, 'Instrument Table'!$B:$C, 2, FALSE)</f>
        <v>Other</v>
      </c>
      <c r="E3968" s="1">
        <f t="shared" si="366"/>
        <v>1</v>
      </c>
      <c r="F3968" s="1">
        <f>_xlfn.XLOOKUP($C3968, 'Instrument Table'!$B:$B, 'Instrument Table'!$A:$A, "")</f>
        <v>64</v>
      </c>
      <c r="G3968" s="1" t="str">
        <f>TEXT(IF($B3968 = "Retail Item", IF((ROW($A3968) - 4504 - _xlfn.XMATCH($C3968, $C$4506:$C$5005, 0, 1)) &lt;= VLOOKUP($C3968, 'Instrument Table'!$B:$D, 3, FALSE), ROW($A3968) - 4504 - _xlfn.XMATCH($C3968, $C$4506:$C$5005, 0, 1), 0), 0), "00")</f>
        <v>00</v>
      </c>
      <c r="H3968" s="1" t="str">
        <f t="shared" si="367"/>
        <v>162</v>
      </c>
      <c r="I3968" s="1" t="str">
        <f t="shared" si="368"/>
        <v>16400-162</v>
      </c>
      <c r="J3968" s="1" t="str">
        <f t="shared" si="369"/>
        <v>Musical accessories production item #162</v>
      </c>
      <c r="K3968" s="1" t="str">
        <f>IF(SUM(COUNTIFS(I:I, I3968)) &gt; 1, "DUPLICATE", "UNIQUE")</f>
        <v>UNIQUE</v>
      </c>
      <c r="L3968" s="18">
        <v>1</v>
      </c>
      <c r="M3968" s="28">
        <v>56</v>
      </c>
      <c r="N3968" s="6">
        <v>256</v>
      </c>
      <c r="O3968" s="30">
        <f t="shared" si="370"/>
        <v>56</v>
      </c>
      <c r="P3968" s="30">
        <f t="shared" si="371"/>
        <v>14336</v>
      </c>
      <c r="Q3968" s="1">
        <f>COUNTIFS($P:$P, "&gt;" &amp; $P3968) + 1</f>
        <v>1399</v>
      </c>
      <c r="R3968" s="63">
        <f>(COUNTIFS($P:$P, "&gt;" &amp; $P3968) + 1) / (COUNTA($I:$I) - 1)</f>
        <v>0.27979999999999999</v>
      </c>
      <c r="S3968" s="23">
        <f>SUMIFS($P:$P, $Q:$Q, "&lt;" &amp; $Q3968)</f>
        <v>173461453</v>
      </c>
    </row>
    <row r="3969" spans="1:19" x14ac:dyDescent="0.25">
      <c r="A3969" s="1">
        <v>3964</v>
      </c>
      <c r="B3969" s="1" t="s">
        <v>2</v>
      </c>
      <c r="C3969" s="1" t="str">
        <f>IF($B3969 = "Production Item", _xlfn.XLOOKUP($A3969, 'Instrument Table'!$J:$J, 'Instrument Table'!$B:$B, $C3968), IF($B3969 = "Service Item", _xlfn.XLOOKUP($A3969, 'Instrument Table'!$I:$I, 'Instrument Table'!$B:$B, $C3968), _xlfn.XLOOKUP($A3969, 'Instrument Table'!$H:$H, 'Instrument Table'!$B:$B, $C3968)))</f>
        <v>Musical Accessories</v>
      </c>
      <c r="D3969" s="1" t="str">
        <f>VLOOKUP($C3969, 'Instrument Table'!$B:$C, 2, FALSE)</f>
        <v>Other</v>
      </c>
      <c r="E3969" s="1">
        <f t="shared" si="366"/>
        <v>1</v>
      </c>
      <c r="F3969" s="1">
        <f>_xlfn.XLOOKUP($C3969, 'Instrument Table'!$B:$B, 'Instrument Table'!$A:$A, "")</f>
        <v>64</v>
      </c>
      <c r="G3969" s="1" t="str">
        <f>TEXT(IF($B3969 = "Retail Item", IF((ROW($A3969) - 4504 - _xlfn.XMATCH($C3969, $C$4506:$C$5005, 0, 1)) &lt;= VLOOKUP($C3969, 'Instrument Table'!$B:$D, 3, FALSE), ROW($A3969) - 4504 - _xlfn.XMATCH($C3969, $C$4506:$C$5005, 0, 1), 0), 0), "00")</f>
        <v>00</v>
      </c>
      <c r="H3969" s="1" t="str">
        <f t="shared" si="367"/>
        <v>163</v>
      </c>
      <c r="I3969" s="1" t="str">
        <f t="shared" si="368"/>
        <v>16400-163</v>
      </c>
      <c r="J3969" s="1" t="str">
        <f t="shared" si="369"/>
        <v>Musical accessories production item #163</v>
      </c>
      <c r="K3969" s="1" t="str">
        <f>IF(SUM(COUNTIFS(I:I, I3969)) &gt; 1, "DUPLICATE", "UNIQUE")</f>
        <v>UNIQUE</v>
      </c>
      <c r="L3969" s="18">
        <v>32</v>
      </c>
      <c r="M3969" s="28">
        <v>99</v>
      </c>
      <c r="N3969" s="6">
        <v>225</v>
      </c>
      <c r="O3969" s="30">
        <f t="shared" si="370"/>
        <v>3168</v>
      </c>
      <c r="P3969" s="30">
        <f t="shared" si="371"/>
        <v>22275</v>
      </c>
      <c r="Q3969" s="1">
        <f>COUNTIFS($P:$P, "&gt;" &amp; $P3969) + 1</f>
        <v>937</v>
      </c>
      <c r="R3969" s="63">
        <f>(COUNTIFS($P:$P, "&gt;" &amp; $P3969) + 1) / (COUNTA($I:$I) - 1)</f>
        <v>0.18740000000000001</v>
      </c>
      <c r="S3969" s="23">
        <f>SUMIFS($P:$P, $Q:$Q, "&lt;" &amp; $Q3969)</f>
        <v>165120949</v>
      </c>
    </row>
    <row r="3970" spans="1:19" x14ac:dyDescent="0.25">
      <c r="A3970" s="1">
        <v>3965</v>
      </c>
      <c r="B3970" s="1" t="s">
        <v>2</v>
      </c>
      <c r="C3970" s="1" t="str">
        <f>IF($B3970 = "Production Item", _xlfn.XLOOKUP($A3970, 'Instrument Table'!$J:$J, 'Instrument Table'!$B:$B, $C3969), IF($B3970 = "Service Item", _xlfn.XLOOKUP($A3970, 'Instrument Table'!$I:$I, 'Instrument Table'!$B:$B, $C3969), _xlfn.XLOOKUP($A3970, 'Instrument Table'!$H:$H, 'Instrument Table'!$B:$B, $C3969)))</f>
        <v>Musical Accessories</v>
      </c>
      <c r="D3970" s="1" t="str">
        <f>VLOOKUP($C3970, 'Instrument Table'!$B:$C, 2, FALSE)</f>
        <v>Other</v>
      </c>
      <c r="E3970" s="1">
        <f t="shared" si="366"/>
        <v>1</v>
      </c>
      <c r="F3970" s="1">
        <f>_xlfn.XLOOKUP($C3970, 'Instrument Table'!$B:$B, 'Instrument Table'!$A:$A, "")</f>
        <v>64</v>
      </c>
      <c r="G3970" s="1" t="str">
        <f>TEXT(IF($B3970 = "Retail Item", IF((ROW($A3970) - 4504 - _xlfn.XMATCH($C3970, $C$4506:$C$5005, 0, 1)) &lt;= VLOOKUP($C3970, 'Instrument Table'!$B:$D, 3, FALSE), ROW($A3970) - 4504 - _xlfn.XMATCH($C3970, $C$4506:$C$5005, 0, 1), 0), 0), "00")</f>
        <v>00</v>
      </c>
      <c r="H3970" s="1" t="str">
        <f t="shared" si="367"/>
        <v>164</v>
      </c>
      <c r="I3970" s="1" t="str">
        <f t="shared" si="368"/>
        <v>16400-164</v>
      </c>
      <c r="J3970" s="1" t="str">
        <f t="shared" si="369"/>
        <v>Musical accessories production item #164</v>
      </c>
      <c r="K3970" s="1" t="str">
        <f>IF(SUM(COUNTIFS(I:I, I3970)) &gt; 1, "DUPLICATE", "UNIQUE")</f>
        <v>UNIQUE</v>
      </c>
      <c r="L3970" s="18">
        <v>0</v>
      </c>
      <c r="M3970" s="28">
        <v>30</v>
      </c>
      <c r="N3970" s="6">
        <v>81</v>
      </c>
      <c r="O3970" s="30">
        <f t="shared" si="370"/>
        <v>0</v>
      </c>
      <c r="P3970" s="30">
        <f t="shared" si="371"/>
        <v>2430</v>
      </c>
      <c r="Q3970" s="1">
        <f>COUNTIFS($P:$P, "&gt;" &amp; $P3970) + 1</f>
        <v>3074</v>
      </c>
      <c r="R3970" s="63">
        <f>(COUNTIFS($P:$P, "&gt;" &amp; $P3970) + 1) / (COUNTA($I:$I) - 1)</f>
        <v>0.61480000000000001</v>
      </c>
      <c r="S3970" s="23">
        <f>SUMIFS($P:$P, $Q:$Q, "&lt;" &amp; $Q3970)</f>
        <v>185119965</v>
      </c>
    </row>
    <row r="3971" spans="1:19" x14ac:dyDescent="0.25">
      <c r="A3971" s="1">
        <v>3966</v>
      </c>
      <c r="B3971" s="1" t="s">
        <v>2</v>
      </c>
      <c r="C3971" s="1" t="str">
        <f>IF($B3971 = "Production Item", _xlfn.XLOOKUP($A3971, 'Instrument Table'!$J:$J, 'Instrument Table'!$B:$B, $C3970), IF($B3971 = "Service Item", _xlfn.XLOOKUP($A3971, 'Instrument Table'!$I:$I, 'Instrument Table'!$B:$B, $C3970), _xlfn.XLOOKUP($A3971, 'Instrument Table'!$H:$H, 'Instrument Table'!$B:$B, $C3970)))</f>
        <v>Musical Accessories</v>
      </c>
      <c r="D3971" s="1" t="str">
        <f>VLOOKUP($C3971, 'Instrument Table'!$B:$C, 2, FALSE)</f>
        <v>Other</v>
      </c>
      <c r="E3971" s="1">
        <f t="shared" si="366"/>
        <v>1</v>
      </c>
      <c r="F3971" s="1">
        <f>_xlfn.XLOOKUP($C3971, 'Instrument Table'!$B:$B, 'Instrument Table'!$A:$A, "")</f>
        <v>64</v>
      </c>
      <c r="G3971" s="1" t="str">
        <f>TEXT(IF($B3971 = "Retail Item", IF((ROW($A3971) - 4504 - _xlfn.XMATCH($C3971, $C$4506:$C$5005, 0, 1)) &lt;= VLOOKUP($C3971, 'Instrument Table'!$B:$D, 3, FALSE), ROW($A3971) - 4504 - _xlfn.XMATCH($C3971, $C$4506:$C$5005, 0, 1), 0), 0), "00")</f>
        <v>00</v>
      </c>
      <c r="H3971" s="1" t="str">
        <f t="shared" si="367"/>
        <v>165</v>
      </c>
      <c r="I3971" s="1" t="str">
        <f t="shared" si="368"/>
        <v>16400-165</v>
      </c>
      <c r="J3971" s="1" t="str">
        <f t="shared" si="369"/>
        <v>Musical accessories production item #165</v>
      </c>
      <c r="K3971" s="1" t="str">
        <f>IF(SUM(COUNTIFS(I:I, I3971)) &gt; 1, "DUPLICATE", "UNIQUE")</f>
        <v>UNIQUE</v>
      </c>
      <c r="L3971" s="18">
        <v>1</v>
      </c>
      <c r="M3971" s="28">
        <v>15</v>
      </c>
      <c r="N3971" s="6">
        <v>1</v>
      </c>
      <c r="O3971" s="30">
        <f t="shared" si="370"/>
        <v>15</v>
      </c>
      <c r="P3971" s="30">
        <f t="shared" si="371"/>
        <v>15</v>
      </c>
      <c r="Q3971" s="1">
        <f>COUNTIFS($P:$P, "&gt;" &amp; $P3971) + 1</f>
        <v>4711</v>
      </c>
      <c r="R3971" s="63">
        <f>(COUNTIFS($P:$P, "&gt;" &amp; $P3971) + 1) / (COUNTA($I:$I) - 1)</f>
        <v>0.94220000000000004</v>
      </c>
      <c r="S3971" s="23">
        <f>SUMIFS($P:$P, $Q:$Q, "&lt;" &amp; $Q3971)</f>
        <v>186547579</v>
      </c>
    </row>
    <row r="3972" spans="1:19" x14ac:dyDescent="0.25">
      <c r="A3972" s="1">
        <v>3967</v>
      </c>
      <c r="B3972" s="1" t="s">
        <v>2</v>
      </c>
      <c r="C3972" s="1" t="str">
        <f>IF($B3972 = "Production Item", _xlfn.XLOOKUP($A3972, 'Instrument Table'!$J:$J, 'Instrument Table'!$B:$B, $C3971), IF($B3972 = "Service Item", _xlfn.XLOOKUP($A3972, 'Instrument Table'!$I:$I, 'Instrument Table'!$B:$B, $C3971), _xlfn.XLOOKUP($A3972, 'Instrument Table'!$H:$H, 'Instrument Table'!$B:$B, $C3971)))</f>
        <v>Musical Accessories</v>
      </c>
      <c r="D3972" s="1" t="str">
        <f>VLOOKUP($C3972, 'Instrument Table'!$B:$C, 2, FALSE)</f>
        <v>Other</v>
      </c>
      <c r="E3972" s="1">
        <f t="shared" si="366"/>
        <v>1</v>
      </c>
      <c r="F3972" s="1">
        <f>_xlfn.XLOOKUP($C3972, 'Instrument Table'!$B:$B, 'Instrument Table'!$A:$A, "")</f>
        <v>64</v>
      </c>
      <c r="G3972" s="1" t="str">
        <f>TEXT(IF($B3972 = "Retail Item", IF((ROW($A3972) - 4504 - _xlfn.XMATCH($C3972, $C$4506:$C$5005, 0, 1)) &lt;= VLOOKUP($C3972, 'Instrument Table'!$B:$D, 3, FALSE), ROW($A3972) - 4504 - _xlfn.XMATCH($C3972, $C$4506:$C$5005, 0, 1), 0), 0), "00")</f>
        <v>00</v>
      </c>
      <c r="H3972" s="1" t="str">
        <f t="shared" si="367"/>
        <v>166</v>
      </c>
      <c r="I3972" s="1" t="str">
        <f t="shared" si="368"/>
        <v>16400-166</v>
      </c>
      <c r="J3972" s="1" t="str">
        <f t="shared" si="369"/>
        <v>Musical accessories production item #166</v>
      </c>
      <c r="K3972" s="1" t="str">
        <f>IF(SUM(COUNTIFS(I:I, I3972)) &gt; 1, "DUPLICATE", "UNIQUE")</f>
        <v>UNIQUE</v>
      </c>
      <c r="L3972" s="18">
        <v>0</v>
      </c>
      <c r="M3972" s="28">
        <v>6</v>
      </c>
      <c r="N3972" s="6">
        <v>64</v>
      </c>
      <c r="O3972" s="30">
        <f t="shared" si="370"/>
        <v>0</v>
      </c>
      <c r="P3972" s="30">
        <f t="shared" si="371"/>
        <v>384</v>
      </c>
      <c r="Q3972" s="1">
        <f>COUNTIFS($P:$P, "&gt;" &amp; $P3972) + 1</f>
        <v>4118</v>
      </c>
      <c r="R3972" s="63">
        <f>(COUNTIFS($P:$P, "&gt;" &amp; $P3972) + 1) / (COUNTA($I:$I) - 1)</f>
        <v>0.8236</v>
      </c>
      <c r="S3972" s="23">
        <f>SUMIFS($P:$P, $Q:$Q, "&lt;" &amp; $Q3972)</f>
        <v>186451961</v>
      </c>
    </row>
    <row r="3973" spans="1:19" x14ac:dyDescent="0.25">
      <c r="A3973" s="1">
        <v>3968</v>
      </c>
      <c r="B3973" s="1" t="s">
        <v>2</v>
      </c>
      <c r="C3973" s="1" t="str">
        <f>IF($B3973 = "Production Item", _xlfn.XLOOKUP($A3973, 'Instrument Table'!$J:$J, 'Instrument Table'!$B:$B, $C3972), IF($B3973 = "Service Item", _xlfn.XLOOKUP($A3973, 'Instrument Table'!$I:$I, 'Instrument Table'!$B:$B, $C3972), _xlfn.XLOOKUP($A3973, 'Instrument Table'!$H:$H, 'Instrument Table'!$B:$B, $C3972)))</f>
        <v>Musical Accessories</v>
      </c>
      <c r="D3973" s="1" t="str">
        <f>VLOOKUP($C3973, 'Instrument Table'!$B:$C, 2, FALSE)</f>
        <v>Other</v>
      </c>
      <c r="E3973" s="1">
        <f t="shared" si="366"/>
        <v>1</v>
      </c>
      <c r="F3973" s="1">
        <f>_xlfn.XLOOKUP($C3973, 'Instrument Table'!$B:$B, 'Instrument Table'!$A:$A, "")</f>
        <v>64</v>
      </c>
      <c r="G3973" s="1" t="str">
        <f>TEXT(IF($B3973 = "Retail Item", IF((ROW($A3973) - 4504 - _xlfn.XMATCH($C3973, $C$4506:$C$5005, 0, 1)) &lt;= VLOOKUP($C3973, 'Instrument Table'!$B:$D, 3, FALSE), ROW($A3973) - 4504 - _xlfn.XMATCH($C3973, $C$4506:$C$5005, 0, 1), 0), 0), "00")</f>
        <v>00</v>
      </c>
      <c r="H3973" s="1" t="str">
        <f t="shared" si="367"/>
        <v>167</v>
      </c>
      <c r="I3973" s="1" t="str">
        <f t="shared" si="368"/>
        <v>16400-167</v>
      </c>
      <c r="J3973" s="1" t="str">
        <f t="shared" si="369"/>
        <v>Musical accessories production item #167</v>
      </c>
      <c r="K3973" s="1" t="str">
        <f>IF(SUM(COUNTIFS(I:I, I3973)) &gt; 1, "DUPLICATE", "UNIQUE")</f>
        <v>UNIQUE</v>
      </c>
      <c r="L3973" s="18">
        <v>0</v>
      </c>
      <c r="M3973" s="28">
        <v>23</v>
      </c>
      <c r="N3973" s="6">
        <v>1</v>
      </c>
      <c r="O3973" s="30">
        <f t="shared" si="370"/>
        <v>0</v>
      </c>
      <c r="P3973" s="30">
        <f t="shared" si="371"/>
        <v>23</v>
      </c>
      <c r="Q3973" s="1">
        <f>COUNTIFS($P:$P, "&gt;" &amp; $P3973) + 1</f>
        <v>4684</v>
      </c>
      <c r="R3973" s="63">
        <f>(COUNTIFS($P:$P, "&gt;" &amp; $P3973) + 1) / (COUNTA($I:$I) - 1)</f>
        <v>0.93679999999999997</v>
      </c>
      <c r="S3973" s="23">
        <f>SUMIFS($P:$P, $Q:$Q, "&lt;" &amp; $Q3973)</f>
        <v>186547070</v>
      </c>
    </row>
    <row r="3974" spans="1:19" x14ac:dyDescent="0.25">
      <c r="A3974" s="1">
        <v>3969</v>
      </c>
      <c r="B3974" s="1" t="s">
        <v>2</v>
      </c>
      <c r="C3974" s="1" t="str">
        <f>IF($B3974 = "Production Item", _xlfn.XLOOKUP($A3974, 'Instrument Table'!$J:$J, 'Instrument Table'!$B:$B, $C3973), IF($B3974 = "Service Item", _xlfn.XLOOKUP($A3974, 'Instrument Table'!$I:$I, 'Instrument Table'!$B:$B, $C3973), _xlfn.XLOOKUP($A3974, 'Instrument Table'!$H:$H, 'Instrument Table'!$B:$B, $C3973)))</f>
        <v>Musical Accessories</v>
      </c>
      <c r="D3974" s="1" t="str">
        <f>VLOOKUP($C3974, 'Instrument Table'!$B:$C, 2, FALSE)</f>
        <v>Other</v>
      </c>
      <c r="E3974" s="1">
        <f t="shared" si="366"/>
        <v>1</v>
      </c>
      <c r="F3974" s="1">
        <f>_xlfn.XLOOKUP($C3974, 'Instrument Table'!$B:$B, 'Instrument Table'!$A:$A, "")</f>
        <v>64</v>
      </c>
      <c r="G3974" s="1" t="str">
        <f>TEXT(IF($B3974 = "Retail Item", IF((ROW($A3974) - 4504 - _xlfn.XMATCH($C3974, $C$4506:$C$5005, 0, 1)) &lt;= VLOOKUP($C3974, 'Instrument Table'!$B:$D, 3, FALSE), ROW($A3974) - 4504 - _xlfn.XMATCH($C3974, $C$4506:$C$5005, 0, 1), 0), 0), "00")</f>
        <v>00</v>
      </c>
      <c r="H3974" s="1" t="str">
        <f t="shared" si="367"/>
        <v>168</v>
      </c>
      <c r="I3974" s="1" t="str">
        <f t="shared" si="368"/>
        <v>16400-168</v>
      </c>
      <c r="J3974" s="1" t="str">
        <f t="shared" si="369"/>
        <v>Musical accessories production item #168</v>
      </c>
      <c r="K3974" s="1" t="str">
        <f>IF(SUM(COUNTIFS(I:I, I3974)) &gt; 1, "DUPLICATE", "UNIQUE")</f>
        <v>UNIQUE</v>
      </c>
      <c r="L3974" s="18">
        <v>4</v>
      </c>
      <c r="M3974" s="28">
        <v>30</v>
      </c>
      <c r="N3974" s="6">
        <v>361</v>
      </c>
      <c r="O3974" s="30">
        <f t="shared" si="370"/>
        <v>120</v>
      </c>
      <c r="P3974" s="30">
        <f t="shared" si="371"/>
        <v>10830</v>
      </c>
      <c r="Q3974" s="1">
        <f>COUNTIFS($P:$P, "&gt;" &amp; $P3974) + 1</f>
        <v>1698</v>
      </c>
      <c r="R3974" s="63">
        <f>(COUNTIFS($P:$P, "&gt;" &amp; $P3974) + 1) / (COUNTA($I:$I) - 1)</f>
        <v>0.33960000000000001</v>
      </c>
      <c r="S3974" s="23">
        <f>SUMIFS($P:$P, $Q:$Q, "&lt;" &amp; $Q3974)</f>
        <v>177191776</v>
      </c>
    </row>
    <row r="3975" spans="1:19" x14ac:dyDescent="0.25">
      <c r="A3975" s="1">
        <v>3970</v>
      </c>
      <c r="B3975" s="1" t="s">
        <v>2</v>
      </c>
      <c r="C3975" s="1" t="str">
        <f>IF($B3975 = "Production Item", _xlfn.XLOOKUP($A3975, 'Instrument Table'!$J:$J, 'Instrument Table'!$B:$B, $C3974), IF($B3975 = "Service Item", _xlfn.XLOOKUP($A3975, 'Instrument Table'!$I:$I, 'Instrument Table'!$B:$B, $C3974), _xlfn.XLOOKUP($A3975, 'Instrument Table'!$H:$H, 'Instrument Table'!$B:$B, $C3974)))</f>
        <v>Musical Accessories</v>
      </c>
      <c r="D3975" s="1" t="str">
        <f>VLOOKUP($C3975, 'Instrument Table'!$B:$C, 2, FALSE)</f>
        <v>Other</v>
      </c>
      <c r="E3975" s="1">
        <f t="shared" ref="E3975:E4038" si="372">IF($B3975 = "Production Item", 1, IF($B3975 = "Service Item", 2, IF($B3975 = "Retail Item", 3, "")))</f>
        <v>1</v>
      </c>
      <c r="F3975" s="1">
        <f>_xlfn.XLOOKUP($C3975, 'Instrument Table'!$B:$B, 'Instrument Table'!$A:$A, "")</f>
        <v>64</v>
      </c>
      <c r="G3975" s="1" t="str">
        <f>TEXT(IF($B3975 = "Retail Item", IF((ROW($A3975) - 4504 - _xlfn.XMATCH($C3975, $C$4506:$C$5005, 0, 1)) &lt;= VLOOKUP($C3975, 'Instrument Table'!$B:$D, 3, FALSE), ROW($A3975) - 4504 - _xlfn.XMATCH($C3975, $C$4506:$C$5005, 0, 1), 0), 0), "00")</f>
        <v>00</v>
      </c>
      <c r="H3975" s="1" t="str">
        <f t="shared" ref="H3975:H4038" si="373">TEXT(IF($E3975 &amp; $F3975 &amp; $G3975 = $E3974 &amp; $F3974 &amp; $G3974, 1 + H3974, 0), "000")</f>
        <v>169</v>
      </c>
      <c r="I3975" s="1" t="str">
        <f t="shared" ref="I3975:I4038" si="374" xml:space="preserve"> _xlfn.CONCAT($E3975, $F3975, $G3975, "-", H3975)</f>
        <v>16400-169</v>
      </c>
      <c r="J3975" s="1" t="str">
        <f t="shared" ref="J3975:J4038" si="375">LEFT($C3975, 1) &amp; LOWER(RIGHT($C3975, LEN($C3975) - 1)) &amp; IF(AND($G3975 &lt;&gt; "00", $B3975 = "Retail Item"), " model #" &amp; $G3975, " " &amp; LOWER($B3975) &amp; " #" &amp; $H3975)</f>
        <v>Musical accessories production item #169</v>
      </c>
      <c r="K3975" s="1" t="str">
        <f>IF(SUM(COUNTIFS(I:I, I3975)) &gt; 1, "DUPLICATE", "UNIQUE")</f>
        <v>UNIQUE</v>
      </c>
      <c r="L3975" s="18">
        <v>2</v>
      </c>
      <c r="M3975" s="28">
        <v>54</v>
      </c>
      <c r="N3975" s="6">
        <v>169</v>
      </c>
      <c r="O3975" s="30">
        <f t="shared" ref="O3975:O4038" si="376">$L3975 * $M3975</f>
        <v>108</v>
      </c>
      <c r="P3975" s="30">
        <f t="shared" ref="P3975:P4038" si="377">$N3975 * $M3975</f>
        <v>9126</v>
      </c>
      <c r="Q3975" s="1">
        <f>COUNTIFS($P:$P, "&gt;" &amp; $P3975) + 1</f>
        <v>1858</v>
      </c>
      <c r="R3975" s="63">
        <f>(COUNTIFS($P:$P, "&gt;" &amp; $P3975) + 1) / (COUNTA($I:$I) - 1)</f>
        <v>0.37159999999999999</v>
      </c>
      <c r="S3975" s="23">
        <f>SUMIFS($P:$P, $Q:$Q, "&lt;" &amp; $Q3975)</f>
        <v>178787496</v>
      </c>
    </row>
    <row r="3976" spans="1:19" x14ac:dyDescent="0.25">
      <c r="A3976" s="1">
        <v>3971</v>
      </c>
      <c r="B3976" s="1" t="s">
        <v>2</v>
      </c>
      <c r="C3976" s="1" t="str">
        <f>IF($B3976 = "Production Item", _xlfn.XLOOKUP($A3976, 'Instrument Table'!$J:$J, 'Instrument Table'!$B:$B, $C3975), IF($B3976 = "Service Item", _xlfn.XLOOKUP($A3976, 'Instrument Table'!$I:$I, 'Instrument Table'!$B:$B, $C3975), _xlfn.XLOOKUP($A3976, 'Instrument Table'!$H:$H, 'Instrument Table'!$B:$B, $C3975)))</f>
        <v>Musical Accessories</v>
      </c>
      <c r="D3976" s="1" t="str">
        <f>VLOOKUP($C3976, 'Instrument Table'!$B:$C, 2, FALSE)</f>
        <v>Other</v>
      </c>
      <c r="E3976" s="1">
        <f t="shared" si="372"/>
        <v>1</v>
      </c>
      <c r="F3976" s="1">
        <f>_xlfn.XLOOKUP($C3976, 'Instrument Table'!$B:$B, 'Instrument Table'!$A:$A, "")</f>
        <v>64</v>
      </c>
      <c r="G3976" s="1" t="str">
        <f>TEXT(IF($B3976 = "Retail Item", IF((ROW($A3976) - 4504 - _xlfn.XMATCH($C3976, $C$4506:$C$5005, 0, 1)) &lt;= VLOOKUP($C3976, 'Instrument Table'!$B:$D, 3, FALSE), ROW($A3976) - 4504 - _xlfn.XMATCH($C3976, $C$4506:$C$5005, 0, 1), 0), 0), "00")</f>
        <v>00</v>
      </c>
      <c r="H3976" s="1" t="str">
        <f t="shared" si="373"/>
        <v>170</v>
      </c>
      <c r="I3976" s="1" t="str">
        <f t="shared" si="374"/>
        <v>16400-170</v>
      </c>
      <c r="J3976" s="1" t="str">
        <f t="shared" si="375"/>
        <v>Musical accessories production item #170</v>
      </c>
      <c r="K3976" s="1" t="str">
        <f>IF(SUM(COUNTIFS(I:I, I3976)) &gt; 1, "DUPLICATE", "UNIQUE")</f>
        <v>UNIQUE</v>
      </c>
      <c r="L3976" s="18">
        <v>0</v>
      </c>
      <c r="M3976" s="28">
        <v>50</v>
      </c>
      <c r="N3976" s="6">
        <v>225</v>
      </c>
      <c r="O3976" s="30">
        <f t="shared" si="376"/>
        <v>0</v>
      </c>
      <c r="P3976" s="30">
        <f t="shared" si="377"/>
        <v>11250</v>
      </c>
      <c r="Q3976" s="1">
        <f>COUNTIFS($P:$P, "&gt;" &amp; $P3976) + 1</f>
        <v>1662</v>
      </c>
      <c r="R3976" s="63">
        <f>(COUNTIFS($P:$P, "&gt;" &amp; $P3976) + 1) / (COUNTA($I:$I) - 1)</f>
        <v>0.33239999999999997</v>
      </c>
      <c r="S3976" s="23">
        <f>SUMIFS($P:$P, $Q:$Q, "&lt;" &amp; $Q3976)</f>
        <v>176793759</v>
      </c>
    </row>
    <row r="3977" spans="1:19" x14ac:dyDescent="0.25">
      <c r="A3977" s="1">
        <v>3972</v>
      </c>
      <c r="B3977" s="1" t="s">
        <v>2</v>
      </c>
      <c r="C3977" s="1" t="str">
        <f>IF($B3977 = "Production Item", _xlfn.XLOOKUP($A3977, 'Instrument Table'!$J:$J, 'Instrument Table'!$B:$B, $C3976), IF($B3977 = "Service Item", _xlfn.XLOOKUP($A3977, 'Instrument Table'!$I:$I, 'Instrument Table'!$B:$B, $C3976), _xlfn.XLOOKUP($A3977, 'Instrument Table'!$H:$H, 'Instrument Table'!$B:$B, $C3976)))</f>
        <v>Musical Accessories</v>
      </c>
      <c r="D3977" s="1" t="str">
        <f>VLOOKUP($C3977, 'Instrument Table'!$B:$C, 2, FALSE)</f>
        <v>Other</v>
      </c>
      <c r="E3977" s="1">
        <f t="shared" si="372"/>
        <v>1</v>
      </c>
      <c r="F3977" s="1">
        <f>_xlfn.XLOOKUP($C3977, 'Instrument Table'!$B:$B, 'Instrument Table'!$A:$A, "")</f>
        <v>64</v>
      </c>
      <c r="G3977" s="1" t="str">
        <f>TEXT(IF($B3977 = "Retail Item", IF((ROW($A3977) - 4504 - _xlfn.XMATCH($C3977, $C$4506:$C$5005, 0, 1)) &lt;= VLOOKUP($C3977, 'Instrument Table'!$B:$D, 3, FALSE), ROW($A3977) - 4504 - _xlfn.XMATCH($C3977, $C$4506:$C$5005, 0, 1), 0), 0), "00")</f>
        <v>00</v>
      </c>
      <c r="H3977" s="1" t="str">
        <f t="shared" si="373"/>
        <v>171</v>
      </c>
      <c r="I3977" s="1" t="str">
        <f t="shared" si="374"/>
        <v>16400-171</v>
      </c>
      <c r="J3977" s="1" t="str">
        <f t="shared" si="375"/>
        <v>Musical accessories production item #171</v>
      </c>
      <c r="K3977" s="1" t="str">
        <f>IF(SUM(COUNTIFS(I:I, I3977)) &gt; 1, "DUPLICATE", "UNIQUE")</f>
        <v>UNIQUE</v>
      </c>
      <c r="L3977" s="18">
        <v>0</v>
      </c>
      <c r="M3977" s="28">
        <v>39</v>
      </c>
      <c r="N3977" s="6">
        <v>64</v>
      </c>
      <c r="O3977" s="30">
        <f t="shared" si="376"/>
        <v>0</v>
      </c>
      <c r="P3977" s="30">
        <f t="shared" si="377"/>
        <v>2496</v>
      </c>
      <c r="Q3977" s="1">
        <f>COUNTIFS($P:$P, "&gt;" &amp; $P3977) + 1</f>
        <v>3053</v>
      </c>
      <c r="R3977" s="63">
        <f>(COUNTIFS($P:$P, "&gt;" &amp; $P3977) + 1) / (COUNTA($I:$I) - 1)</f>
        <v>0.61060000000000003</v>
      </c>
      <c r="S3977" s="23">
        <f>SUMIFS($P:$P, $Q:$Q, "&lt;" &amp; $Q3977)</f>
        <v>185068046</v>
      </c>
    </row>
    <row r="3978" spans="1:19" x14ac:dyDescent="0.25">
      <c r="A3978" s="1">
        <v>3973</v>
      </c>
      <c r="B3978" s="1" t="s">
        <v>2</v>
      </c>
      <c r="C3978" s="1" t="str">
        <f>IF($B3978 = "Production Item", _xlfn.XLOOKUP($A3978, 'Instrument Table'!$J:$J, 'Instrument Table'!$B:$B, $C3977), IF($B3978 = "Service Item", _xlfn.XLOOKUP($A3978, 'Instrument Table'!$I:$I, 'Instrument Table'!$B:$B, $C3977), _xlfn.XLOOKUP($A3978, 'Instrument Table'!$H:$H, 'Instrument Table'!$B:$B, $C3977)))</f>
        <v>Musical Accessories</v>
      </c>
      <c r="D3978" s="1" t="str">
        <f>VLOOKUP($C3978, 'Instrument Table'!$B:$C, 2, FALSE)</f>
        <v>Other</v>
      </c>
      <c r="E3978" s="1">
        <f t="shared" si="372"/>
        <v>1</v>
      </c>
      <c r="F3978" s="1">
        <f>_xlfn.XLOOKUP($C3978, 'Instrument Table'!$B:$B, 'Instrument Table'!$A:$A, "")</f>
        <v>64</v>
      </c>
      <c r="G3978" s="1" t="str">
        <f>TEXT(IF($B3978 = "Retail Item", IF((ROW($A3978) - 4504 - _xlfn.XMATCH($C3978, $C$4506:$C$5005, 0, 1)) &lt;= VLOOKUP($C3978, 'Instrument Table'!$B:$D, 3, FALSE), ROW($A3978) - 4504 - _xlfn.XMATCH($C3978, $C$4506:$C$5005, 0, 1), 0), 0), "00")</f>
        <v>00</v>
      </c>
      <c r="H3978" s="1" t="str">
        <f t="shared" si="373"/>
        <v>172</v>
      </c>
      <c r="I3978" s="1" t="str">
        <f t="shared" si="374"/>
        <v>16400-172</v>
      </c>
      <c r="J3978" s="1" t="str">
        <f t="shared" si="375"/>
        <v>Musical accessories production item #172</v>
      </c>
      <c r="K3978" s="1" t="str">
        <f>IF(SUM(COUNTIFS(I:I, I3978)) &gt; 1, "DUPLICATE", "UNIQUE")</f>
        <v>UNIQUE</v>
      </c>
      <c r="L3978" s="18">
        <v>0</v>
      </c>
      <c r="M3978" s="28">
        <v>41</v>
      </c>
      <c r="N3978" s="6">
        <v>256</v>
      </c>
      <c r="O3978" s="30">
        <f t="shared" si="376"/>
        <v>0</v>
      </c>
      <c r="P3978" s="30">
        <f t="shared" si="377"/>
        <v>10496</v>
      </c>
      <c r="Q3978" s="1">
        <f>COUNTIFS($P:$P, "&gt;" &amp; $P3978) + 1</f>
        <v>1729</v>
      </c>
      <c r="R3978" s="63">
        <f>(COUNTIFS($P:$P, "&gt;" &amp; $P3978) + 1) / (COUNTA($I:$I) - 1)</f>
        <v>0.3458</v>
      </c>
      <c r="S3978" s="23">
        <f>SUMIFS($P:$P, $Q:$Q, "&lt;" &amp; $Q3978)</f>
        <v>177523621</v>
      </c>
    </row>
    <row r="3979" spans="1:19" x14ac:dyDescent="0.25">
      <c r="A3979" s="1">
        <v>3974</v>
      </c>
      <c r="B3979" s="1" t="s">
        <v>2</v>
      </c>
      <c r="C3979" s="1" t="str">
        <f>IF($B3979 = "Production Item", _xlfn.XLOOKUP($A3979, 'Instrument Table'!$J:$J, 'Instrument Table'!$B:$B, $C3978), IF($B3979 = "Service Item", _xlfn.XLOOKUP($A3979, 'Instrument Table'!$I:$I, 'Instrument Table'!$B:$B, $C3978), _xlfn.XLOOKUP($A3979, 'Instrument Table'!$H:$H, 'Instrument Table'!$B:$B, $C3978)))</f>
        <v>Musical Accessories</v>
      </c>
      <c r="D3979" s="1" t="str">
        <f>VLOOKUP($C3979, 'Instrument Table'!$B:$C, 2, FALSE)</f>
        <v>Other</v>
      </c>
      <c r="E3979" s="1">
        <f t="shared" si="372"/>
        <v>1</v>
      </c>
      <c r="F3979" s="1">
        <f>_xlfn.XLOOKUP($C3979, 'Instrument Table'!$B:$B, 'Instrument Table'!$A:$A, "")</f>
        <v>64</v>
      </c>
      <c r="G3979" s="1" t="str">
        <f>TEXT(IF($B3979 = "Retail Item", IF((ROW($A3979) - 4504 - _xlfn.XMATCH($C3979, $C$4506:$C$5005, 0, 1)) &lt;= VLOOKUP($C3979, 'Instrument Table'!$B:$D, 3, FALSE), ROW($A3979) - 4504 - _xlfn.XMATCH($C3979, $C$4506:$C$5005, 0, 1), 0), 0), "00")</f>
        <v>00</v>
      </c>
      <c r="H3979" s="1" t="str">
        <f t="shared" si="373"/>
        <v>173</v>
      </c>
      <c r="I3979" s="1" t="str">
        <f t="shared" si="374"/>
        <v>16400-173</v>
      </c>
      <c r="J3979" s="1" t="str">
        <f t="shared" si="375"/>
        <v>Musical accessories production item #173</v>
      </c>
      <c r="K3979" s="1" t="str">
        <f>IF(SUM(COUNTIFS(I:I, I3979)) &gt; 1, "DUPLICATE", "UNIQUE")</f>
        <v>UNIQUE</v>
      </c>
      <c r="L3979" s="18">
        <v>1</v>
      </c>
      <c r="M3979" s="28">
        <v>28</v>
      </c>
      <c r="N3979" s="6">
        <v>144</v>
      </c>
      <c r="O3979" s="30">
        <f t="shared" si="376"/>
        <v>28</v>
      </c>
      <c r="P3979" s="30">
        <f t="shared" si="377"/>
        <v>4032</v>
      </c>
      <c r="Q3979" s="1">
        <f>COUNTIFS($P:$P, "&gt;" &amp; $P3979) + 1</f>
        <v>2648</v>
      </c>
      <c r="R3979" s="63">
        <f>(COUNTIFS($P:$P, "&gt;" &amp; $P3979) + 1) / (COUNTA($I:$I) - 1)</f>
        <v>0.52959999999999996</v>
      </c>
      <c r="S3979" s="23">
        <f>SUMIFS($P:$P, $Q:$Q, "&lt;" &amp; $Q3979)</f>
        <v>183762934</v>
      </c>
    </row>
    <row r="3980" spans="1:19" x14ac:dyDescent="0.25">
      <c r="A3980" s="1">
        <v>3975</v>
      </c>
      <c r="B3980" s="1" t="s">
        <v>2</v>
      </c>
      <c r="C3980" s="1" t="str">
        <f>IF($B3980 = "Production Item", _xlfn.XLOOKUP($A3980, 'Instrument Table'!$J:$J, 'Instrument Table'!$B:$B, $C3979), IF($B3980 = "Service Item", _xlfn.XLOOKUP($A3980, 'Instrument Table'!$I:$I, 'Instrument Table'!$B:$B, $C3979), _xlfn.XLOOKUP($A3980, 'Instrument Table'!$H:$H, 'Instrument Table'!$B:$B, $C3979)))</f>
        <v>Musical Accessories</v>
      </c>
      <c r="D3980" s="1" t="str">
        <f>VLOOKUP($C3980, 'Instrument Table'!$B:$C, 2, FALSE)</f>
        <v>Other</v>
      </c>
      <c r="E3980" s="1">
        <f t="shared" si="372"/>
        <v>1</v>
      </c>
      <c r="F3980" s="1">
        <f>_xlfn.XLOOKUP($C3980, 'Instrument Table'!$B:$B, 'Instrument Table'!$A:$A, "")</f>
        <v>64</v>
      </c>
      <c r="G3980" s="1" t="str">
        <f>TEXT(IF($B3980 = "Retail Item", IF((ROW($A3980) - 4504 - _xlfn.XMATCH($C3980, $C$4506:$C$5005, 0, 1)) &lt;= VLOOKUP($C3980, 'Instrument Table'!$B:$D, 3, FALSE), ROW($A3980) - 4504 - _xlfn.XMATCH($C3980, $C$4506:$C$5005, 0, 1), 0), 0), "00")</f>
        <v>00</v>
      </c>
      <c r="H3980" s="1" t="str">
        <f t="shared" si="373"/>
        <v>174</v>
      </c>
      <c r="I3980" s="1" t="str">
        <f t="shared" si="374"/>
        <v>16400-174</v>
      </c>
      <c r="J3980" s="1" t="str">
        <f t="shared" si="375"/>
        <v>Musical accessories production item #174</v>
      </c>
      <c r="K3980" s="1" t="str">
        <f>IF(SUM(COUNTIFS(I:I, I3980)) &gt; 1, "DUPLICATE", "UNIQUE")</f>
        <v>UNIQUE</v>
      </c>
      <c r="L3980" s="18">
        <v>2</v>
      </c>
      <c r="M3980" s="28">
        <v>74</v>
      </c>
      <c r="N3980" s="6">
        <v>81</v>
      </c>
      <c r="O3980" s="30">
        <f t="shared" si="376"/>
        <v>148</v>
      </c>
      <c r="P3980" s="30">
        <f t="shared" si="377"/>
        <v>5994</v>
      </c>
      <c r="Q3980" s="1">
        <f>COUNTIFS($P:$P, "&gt;" &amp; $P3980) + 1</f>
        <v>2270</v>
      </c>
      <c r="R3980" s="63">
        <f>(COUNTIFS($P:$P, "&gt;" &amp; $P3980) + 1) / (COUNTA($I:$I) - 1)</f>
        <v>0.45400000000000001</v>
      </c>
      <c r="S3980" s="23">
        <f>SUMIFS($P:$P, $Q:$Q, "&lt;" &amp; $Q3980)</f>
        <v>181887858</v>
      </c>
    </row>
    <row r="3981" spans="1:19" x14ac:dyDescent="0.25">
      <c r="A3981" s="1">
        <v>3976</v>
      </c>
      <c r="B3981" s="1" t="s">
        <v>2</v>
      </c>
      <c r="C3981" s="1" t="str">
        <f>IF($B3981 = "Production Item", _xlfn.XLOOKUP($A3981, 'Instrument Table'!$J:$J, 'Instrument Table'!$B:$B, $C3980), IF($B3981 = "Service Item", _xlfn.XLOOKUP($A3981, 'Instrument Table'!$I:$I, 'Instrument Table'!$B:$B, $C3980), _xlfn.XLOOKUP($A3981, 'Instrument Table'!$H:$H, 'Instrument Table'!$B:$B, $C3980)))</f>
        <v>Musical Accessories</v>
      </c>
      <c r="D3981" s="1" t="str">
        <f>VLOOKUP($C3981, 'Instrument Table'!$B:$C, 2, FALSE)</f>
        <v>Other</v>
      </c>
      <c r="E3981" s="1">
        <f t="shared" si="372"/>
        <v>1</v>
      </c>
      <c r="F3981" s="1">
        <f>_xlfn.XLOOKUP($C3981, 'Instrument Table'!$B:$B, 'Instrument Table'!$A:$A, "")</f>
        <v>64</v>
      </c>
      <c r="G3981" s="1" t="str">
        <f>TEXT(IF($B3981 = "Retail Item", IF((ROW($A3981) - 4504 - _xlfn.XMATCH($C3981, $C$4506:$C$5005, 0, 1)) &lt;= VLOOKUP($C3981, 'Instrument Table'!$B:$D, 3, FALSE), ROW($A3981) - 4504 - _xlfn.XMATCH($C3981, $C$4506:$C$5005, 0, 1), 0), 0), "00")</f>
        <v>00</v>
      </c>
      <c r="H3981" s="1" t="str">
        <f t="shared" si="373"/>
        <v>175</v>
      </c>
      <c r="I3981" s="1" t="str">
        <f t="shared" si="374"/>
        <v>16400-175</v>
      </c>
      <c r="J3981" s="1" t="str">
        <f t="shared" si="375"/>
        <v>Musical accessories production item #175</v>
      </c>
      <c r="K3981" s="1" t="str">
        <f>IF(SUM(COUNTIFS(I:I, I3981)) &gt; 1, "DUPLICATE", "UNIQUE")</f>
        <v>UNIQUE</v>
      </c>
      <c r="L3981" s="18">
        <v>1</v>
      </c>
      <c r="M3981" s="28">
        <v>66</v>
      </c>
      <c r="N3981" s="6">
        <v>196</v>
      </c>
      <c r="O3981" s="30">
        <f t="shared" si="376"/>
        <v>66</v>
      </c>
      <c r="P3981" s="30">
        <f t="shared" si="377"/>
        <v>12936</v>
      </c>
      <c r="Q3981" s="1">
        <f>COUNTIFS($P:$P, "&gt;" &amp; $P3981) + 1</f>
        <v>1505</v>
      </c>
      <c r="R3981" s="63">
        <f>(COUNTIFS($P:$P, "&gt;" &amp; $P3981) + 1) / (COUNTA($I:$I) - 1)</f>
        <v>0.30099999999999999</v>
      </c>
      <c r="S3981" s="23">
        <f>SUMIFS($P:$P, $Q:$Q, "&lt;" &amp; $Q3981)</f>
        <v>174904603</v>
      </c>
    </row>
    <row r="3982" spans="1:19" x14ac:dyDescent="0.25">
      <c r="A3982" s="1">
        <v>3977</v>
      </c>
      <c r="B3982" s="1" t="s">
        <v>2</v>
      </c>
      <c r="C3982" s="1" t="str">
        <f>IF($B3982 = "Production Item", _xlfn.XLOOKUP($A3982, 'Instrument Table'!$J:$J, 'Instrument Table'!$B:$B, $C3981), IF($B3982 = "Service Item", _xlfn.XLOOKUP($A3982, 'Instrument Table'!$I:$I, 'Instrument Table'!$B:$B, $C3981), _xlfn.XLOOKUP($A3982, 'Instrument Table'!$H:$H, 'Instrument Table'!$B:$B, $C3981)))</f>
        <v>Musical Accessories</v>
      </c>
      <c r="D3982" s="1" t="str">
        <f>VLOOKUP($C3982, 'Instrument Table'!$B:$C, 2, FALSE)</f>
        <v>Other</v>
      </c>
      <c r="E3982" s="1">
        <f t="shared" si="372"/>
        <v>1</v>
      </c>
      <c r="F3982" s="1">
        <f>_xlfn.XLOOKUP($C3982, 'Instrument Table'!$B:$B, 'Instrument Table'!$A:$A, "")</f>
        <v>64</v>
      </c>
      <c r="G3982" s="1" t="str">
        <f>TEXT(IF($B3982 = "Retail Item", IF((ROW($A3982) - 4504 - _xlfn.XMATCH($C3982, $C$4506:$C$5005, 0, 1)) &lt;= VLOOKUP($C3982, 'Instrument Table'!$B:$D, 3, FALSE), ROW($A3982) - 4504 - _xlfn.XMATCH($C3982, $C$4506:$C$5005, 0, 1), 0), 0), "00")</f>
        <v>00</v>
      </c>
      <c r="H3982" s="1" t="str">
        <f t="shared" si="373"/>
        <v>176</v>
      </c>
      <c r="I3982" s="1" t="str">
        <f t="shared" si="374"/>
        <v>16400-176</v>
      </c>
      <c r="J3982" s="1" t="str">
        <f t="shared" si="375"/>
        <v>Musical accessories production item #176</v>
      </c>
      <c r="K3982" s="1" t="str">
        <f>IF(SUM(COUNTIFS(I:I, I3982)) &gt; 1, "DUPLICATE", "UNIQUE")</f>
        <v>UNIQUE</v>
      </c>
      <c r="L3982" s="18">
        <v>4</v>
      </c>
      <c r="M3982" s="28">
        <v>25</v>
      </c>
      <c r="N3982" s="6">
        <v>400</v>
      </c>
      <c r="O3982" s="30">
        <f t="shared" si="376"/>
        <v>100</v>
      </c>
      <c r="P3982" s="30">
        <f t="shared" si="377"/>
        <v>10000</v>
      </c>
      <c r="Q3982" s="1">
        <f>COUNTIFS($P:$P, "&gt;" &amp; $P3982) + 1</f>
        <v>1771</v>
      </c>
      <c r="R3982" s="63">
        <f>(COUNTIFS($P:$P, "&gt;" &amp; $P3982) + 1) / (COUNTA($I:$I) - 1)</f>
        <v>0.35420000000000001</v>
      </c>
      <c r="S3982" s="23">
        <f>SUMIFS($P:$P, $Q:$Q, "&lt;" &amp; $Q3982)</f>
        <v>177955695</v>
      </c>
    </row>
    <row r="3983" spans="1:19" x14ac:dyDescent="0.25">
      <c r="A3983" s="1">
        <v>3978</v>
      </c>
      <c r="B3983" s="1" t="s">
        <v>2</v>
      </c>
      <c r="C3983" s="1" t="str">
        <f>IF($B3983 = "Production Item", _xlfn.XLOOKUP($A3983, 'Instrument Table'!$J:$J, 'Instrument Table'!$B:$B, $C3982), IF($B3983 = "Service Item", _xlfn.XLOOKUP($A3983, 'Instrument Table'!$I:$I, 'Instrument Table'!$B:$B, $C3982), _xlfn.XLOOKUP($A3983, 'Instrument Table'!$H:$H, 'Instrument Table'!$B:$B, $C3982)))</f>
        <v>Musical Accessories</v>
      </c>
      <c r="D3983" s="1" t="str">
        <f>VLOOKUP($C3983, 'Instrument Table'!$B:$C, 2, FALSE)</f>
        <v>Other</v>
      </c>
      <c r="E3983" s="1">
        <f t="shared" si="372"/>
        <v>1</v>
      </c>
      <c r="F3983" s="1">
        <f>_xlfn.XLOOKUP($C3983, 'Instrument Table'!$B:$B, 'Instrument Table'!$A:$A, "")</f>
        <v>64</v>
      </c>
      <c r="G3983" s="1" t="str">
        <f>TEXT(IF($B3983 = "Retail Item", IF((ROW($A3983) - 4504 - _xlfn.XMATCH($C3983, $C$4506:$C$5005, 0, 1)) &lt;= VLOOKUP($C3983, 'Instrument Table'!$B:$D, 3, FALSE), ROW($A3983) - 4504 - _xlfn.XMATCH($C3983, $C$4506:$C$5005, 0, 1), 0), 0), "00")</f>
        <v>00</v>
      </c>
      <c r="H3983" s="1" t="str">
        <f t="shared" si="373"/>
        <v>177</v>
      </c>
      <c r="I3983" s="1" t="str">
        <f t="shared" si="374"/>
        <v>16400-177</v>
      </c>
      <c r="J3983" s="1" t="str">
        <f t="shared" si="375"/>
        <v>Musical accessories production item #177</v>
      </c>
      <c r="K3983" s="1" t="str">
        <f>IF(SUM(COUNTIFS(I:I, I3983)) &gt; 1, "DUPLICATE", "UNIQUE")</f>
        <v>UNIQUE</v>
      </c>
      <c r="L3983" s="18">
        <v>1</v>
      </c>
      <c r="M3983" s="28">
        <v>6</v>
      </c>
      <c r="N3983" s="6">
        <v>9</v>
      </c>
      <c r="O3983" s="30">
        <f t="shared" si="376"/>
        <v>6</v>
      </c>
      <c r="P3983" s="30">
        <f t="shared" si="377"/>
        <v>54</v>
      </c>
      <c r="Q3983" s="1">
        <f>COUNTIFS($P:$P, "&gt;" &amp; $P3983) + 1</f>
        <v>4596</v>
      </c>
      <c r="R3983" s="63">
        <f>(COUNTIFS($P:$P, "&gt;" &amp; $P3983) + 1) / (COUNTA($I:$I) - 1)</f>
        <v>0.91920000000000002</v>
      </c>
      <c r="S3983" s="23">
        <f>SUMIFS($P:$P, $Q:$Q, "&lt;" &amp; $Q3983)</f>
        <v>186543478</v>
      </c>
    </row>
    <row r="3984" spans="1:19" x14ac:dyDescent="0.25">
      <c r="A3984" s="1">
        <v>3979</v>
      </c>
      <c r="B3984" s="1" t="s">
        <v>2</v>
      </c>
      <c r="C3984" s="1" t="str">
        <f>IF($B3984 = "Production Item", _xlfn.XLOOKUP($A3984, 'Instrument Table'!$J:$J, 'Instrument Table'!$B:$B, $C3983), IF($B3984 = "Service Item", _xlfn.XLOOKUP($A3984, 'Instrument Table'!$I:$I, 'Instrument Table'!$B:$B, $C3983), _xlfn.XLOOKUP($A3984, 'Instrument Table'!$H:$H, 'Instrument Table'!$B:$B, $C3983)))</f>
        <v>Musical Accessories</v>
      </c>
      <c r="D3984" s="1" t="str">
        <f>VLOOKUP($C3984, 'Instrument Table'!$B:$C, 2, FALSE)</f>
        <v>Other</v>
      </c>
      <c r="E3984" s="1">
        <f t="shared" si="372"/>
        <v>1</v>
      </c>
      <c r="F3984" s="1">
        <f>_xlfn.XLOOKUP($C3984, 'Instrument Table'!$B:$B, 'Instrument Table'!$A:$A, "")</f>
        <v>64</v>
      </c>
      <c r="G3984" s="1" t="str">
        <f>TEXT(IF($B3984 = "Retail Item", IF((ROW($A3984) - 4504 - _xlfn.XMATCH($C3984, $C$4506:$C$5005, 0, 1)) &lt;= VLOOKUP($C3984, 'Instrument Table'!$B:$D, 3, FALSE), ROW($A3984) - 4504 - _xlfn.XMATCH($C3984, $C$4506:$C$5005, 0, 1), 0), 0), "00")</f>
        <v>00</v>
      </c>
      <c r="H3984" s="1" t="str">
        <f t="shared" si="373"/>
        <v>178</v>
      </c>
      <c r="I3984" s="1" t="str">
        <f t="shared" si="374"/>
        <v>16400-178</v>
      </c>
      <c r="J3984" s="1" t="str">
        <f t="shared" si="375"/>
        <v>Musical accessories production item #178</v>
      </c>
      <c r="K3984" s="1" t="str">
        <f>IF(SUM(COUNTIFS(I:I, I3984)) &gt; 1, "DUPLICATE", "UNIQUE")</f>
        <v>UNIQUE</v>
      </c>
      <c r="L3984" s="18">
        <v>16</v>
      </c>
      <c r="M3984" s="28">
        <v>32</v>
      </c>
      <c r="N3984" s="6">
        <v>121</v>
      </c>
      <c r="O3984" s="30">
        <f t="shared" si="376"/>
        <v>512</v>
      </c>
      <c r="P3984" s="30">
        <f t="shared" si="377"/>
        <v>3872</v>
      </c>
      <c r="Q3984" s="1">
        <f>COUNTIFS($P:$P, "&gt;" &amp; $P3984) + 1</f>
        <v>2686</v>
      </c>
      <c r="R3984" s="63">
        <f>(COUNTIFS($P:$P, "&gt;" &amp; $P3984) + 1) / (COUNTA($I:$I) - 1)</f>
        <v>0.53720000000000001</v>
      </c>
      <c r="S3984" s="23">
        <f>SUMIFS($P:$P, $Q:$Q, "&lt;" &amp; $Q3984)</f>
        <v>183913006</v>
      </c>
    </row>
    <row r="3985" spans="1:19" x14ac:dyDescent="0.25">
      <c r="A3985" s="1">
        <v>3980</v>
      </c>
      <c r="B3985" s="1" t="s">
        <v>2</v>
      </c>
      <c r="C3985" s="1" t="str">
        <f>IF($B3985 = "Production Item", _xlfn.XLOOKUP($A3985, 'Instrument Table'!$J:$J, 'Instrument Table'!$B:$B, $C3984), IF($B3985 = "Service Item", _xlfn.XLOOKUP($A3985, 'Instrument Table'!$I:$I, 'Instrument Table'!$B:$B, $C3984), _xlfn.XLOOKUP($A3985, 'Instrument Table'!$H:$H, 'Instrument Table'!$B:$B, $C3984)))</f>
        <v>Musical Accessories</v>
      </c>
      <c r="D3985" s="1" t="str">
        <f>VLOOKUP($C3985, 'Instrument Table'!$B:$C, 2, FALSE)</f>
        <v>Other</v>
      </c>
      <c r="E3985" s="1">
        <f t="shared" si="372"/>
        <v>1</v>
      </c>
      <c r="F3985" s="1">
        <f>_xlfn.XLOOKUP($C3985, 'Instrument Table'!$B:$B, 'Instrument Table'!$A:$A, "")</f>
        <v>64</v>
      </c>
      <c r="G3985" s="1" t="str">
        <f>TEXT(IF($B3985 = "Retail Item", IF((ROW($A3985) - 4504 - _xlfn.XMATCH($C3985, $C$4506:$C$5005, 0, 1)) &lt;= VLOOKUP($C3985, 'Instrument Table'!$B:$D, 3, FALSE), ROW($A3985) - 4504 - _xlfn.XMATCH($C3985, $C$4506:$C$5005, 0, 1), 0), 0), "00")</f>
        <v>00</v>
      </c>
      <c r="H3985" s="1" t="str">
        <f t="shared" si="373"/>
        <v>179</v>
      </c>
      <c r="I3985" s="1" t="str">
        <f t="shared" si="374"/>
        <v>16400-179</v>
      </c>
      <c r="J3985" s="1" t="str">
        <f t="shared" si="375"/>
        <v>Musical accessories production item #179</v>
      </c>
      <c r="K3985" s="1" t="str">
        <f>IF(SUM(COUNTIFS(I:I, I3985)) &gt; 1, "DUPLICATE", "UNIQUE")</f>
        <v>UNIQUE</v>
      </c>
      <c r="L3985" s="18">
        <v>2</v>
      </c>
      <c r="M3985" s="28">
        <v>51</v>
      </c>
      <c r="N3985" s="6">
        <v>289</v>
      </c>
      <c r="O3985" s="30">
        <f t="shared" si="376"/>
        <v>102</v>
      </c>
      <c r="P3985" s="30">
        <f t="shared" si="377"/>
        <v>14739</v>
      </c>
      <c r="Q3985" s="1">
        <f>COUNTIFS($P:$P, "&gt;" &amp; $P3985) + 1</f>
        <v>1365</v>
      </c>
      <c r="R3985" s="63">
        <f>(COUNTIFS($P:$P, "&gt;" &amp; $P3985) + 1) / (COUNTA($I:$I) - 1)</f>
        <v>0.27300000000000002</v>
      </c>
      <c r="S3985" s="23">
        <f>SUMIFS($P:$P, $Q:$Q, "&lt;" &amp; $Q3985)</f>
        <v>172966555</v>
      </c>
    </row>
    <row r="3986" spans="1:19" x14ac:dyDescent="0.25">
      <c r="A3986" s="1">
        <v>3981</v>
      </c>
      <c r="B3986" s="1" t="s">
        <v>2</v>
      </c>
      <c r="C3986" s="1" t="str">
        <f>IF($B3986 = "Production Item", _xlfn.XLOOKUP($A3986, 'Instrument Table'!$J:$J, 'Instrument Table'!$B:$B, $C3985), IF($B3986 = "Service Item", _xlfn.XLOOKUP($A3986, 'Instrument Table'!$I:$I, 'Instrument Table'!$B:$B, $C3985), _xlfn.XLOOKUP($A3986, 'Instrument Table'!$H:$H, 'Instrument Table'!$B:$B, $C3985)))</f>
        <v>Musical Accessories</v>
      </c>
      <c r="D3986" s="1" t="str">
        <f>VLOOKUP($C3986, 'Instrument Table'!$B:$C, 2, FALSE)</f>
        <v>Other</v>
      </c>
      <c r="E3986" s="1">
        <f t="shared" si="372"/>
        <v>1</v>
      </c>
      <c r="F3986" s="1">
        <f>_xlfn.XLOOKUP($C3986, 'Instrument Table'!$B:$B, 'Instrument Table'!$A:$A, "")</f>
        <v>64</v>
      </c>
      <c r="G3986" s="1" t="str">
        <f>TEXT(IF($B3986 = "Retail Item", IF((ROW($A3986) - 4504 - _xlfn.XMATCH($C3986, $C$4506:$C$5005, 0, 1)) &lt;= VLOOKUP($C3986, 'Instrument Table'!$B:$D, 3, FALSE), ROW($A3986) - 4504 - _xlfn.XMATCH($C3986, $C$4506:$C$5005, 0, 1), 0), 0), "00")</f>
        <v>00</v>
      </c>
      <c r="H3986" s="1" t="str">
        <f t="shared" si="373"/>
        <v>180</v>
      </c>
      <c r="I3986" s="1" t="str">
        <f t="shared" si="374"/>
        <v>16400-180</v>
      </c>
      <c r="J3986" s="1" t="str">
        <f t="shared" si="375"/>
        <v>Musical accessories production item #180</v>
      </c>
      <c r="K3986" s="1" t="str">
        <f>IF(SUM(COUNTIFS(I:I, I3986)) &gt; 1, "DUPLICATE", "UNIQUE")</f>
        <v>UNIQUE</v>
      </c>
      <c r="L3986" s="18">
        <v>0</v>
      </c>
      <c r="M3986" s="28">
        <v>23</v>
      </c>
      <c r="N3986" s="6">
        <v>49</v>
      </c>
      <c r="O3986" s="30">
        <f t="shared" si="376"/>
        <v>0</v>
      </c>
      <c r="P3986" s="30">
        <f t="shared" si="377"/>
        <v>1127</v>
      </c>
      <c r="Q3986" s="1">
        <f>COUNTIFS($P:$P, "&gt;" &amp; $P3986) + 1</f>
        <v>3637</v>
      </c>
      <c r="R3986" s="63">
        <f>(COUNTIFS($P:$P, "&gt;" &amp; $P3986) + 1) / (COUNTA($I:$I) - 1)</f>
        <v>0.72740000000000005</v>
      </c>
      <c r="S3986" s="23">
        <f>SUMIFS($P:$P, $Q:$Q, "&lt;" &amp; $Q3986)</f>
        <v>186113260</v>
      </c>
    </row>
    <row r="3987" spans="1:19" x14ac:dyDescent="0.25">
      <c r="A3987" s="1">
        <v>3982</v>
      </c>
      <c r="B3987" s="1" t="s">
        <v>2</v>
      </c>
      <c r="C3987" s="1" t="str">
        <f>IF($B3987 = "Production Item", _xlfn.XLOOKUP($A3987, 'Instrument Table'!$J:$J, 'Instrument Table'!$B:$B, $C3986), IF($B3987 = "Service Item", _xlfn.XLOOKUP($A3987, 'Instrument Table'!$I:$I, 'Instrument Table'!$B:$B, $C3986), _xlfn.XLOOKUP($A3987, 'Instrument Table'!$H:$H, 'Instrument Table'!$B:$B, $C3986)))</f>
        <v>Musical Accessories</v>
      </c>
      <c r="D3987" s="1" t="str">
        <f>VLOOKUP($C3987, 'Instrument Table'!$B:$C, 2, FALSE)</f>
        <v>Other</v>
      </c>
      <c r="E3987" s="1">
        <f t="shared" si="372"/>
        <v>1</v>
      </c>
      <c r="F3987" s="1">
        <f>_xlfn.XLOOKUP($C3987, 'Instrument Table'!$B:$B, 'Instrument Table'!$A:$A, "")</f>
        <v>64</v>
      </c>
      <c r="G3987" s="1" t="str">
        <f>TEXT(IF($B3987 = "Retail Item", IF((ROW($A3987) - 4504 - _xlfn.XMATCH($C3987, $C$4506:$C$5005, 0, 1)) &lt;= VLOOKUP($C3987, 'Instrument Table'!$B:$D, 3, FALSE), ROW($A3987) - 4504 - _xlfn.XMATCH($C3987, $C$4506:$C$5005, 0, 1), 0), 0), "00")</f>
        <v>00</v>
      </c>
      <c r="H3987" s="1" t="str">
        <f t="shared" si="373"/>
        <v>181</v>
      </c>
      <c r="I3987" s="1" t="str">
        <f t="shared" si="374"/>
        <v>16400-181</v>
      </c>
      <c r="J3987" s="1" t="str">
        <f t="shared" si="375"/>
        <v>Musical accessories production item #181</v>
      </c>
      <c r="K3987" s="1" t="str">
        <f>IF(SUM(COUNTIFS(I:I, I3987)) &gt; 1, "DUPLICATE", "UNIQUE")</f>
        <v>UNIQUE</v>
      </c>
      <c r="L3987" s="18">
        <v>0</v>
      </c>
      <c r="M3987" s="28">
        <v>4</v>
      </c>
      <c r="N3987" s="6">
        <v>64</v>
      </c>
      <c r="O3987" s="30">
        <f t="shared" si="376"/>
        <v>0</v>
      </c>
      <c r="P3987" s="30">
        <f t="shared" si="377"/>
        <v>256</v>
      </c>
      <c r="Q3987" s="1">
        <f>COUNTIFS($P:$P, "&gt;" &amp; $P3987) + 1</f>
        <v>4259</v>
      </c>
      <c r="R3987" s="63">
        <f>(COUNTIFS($P:$P, "&gt;" &amp; $P3987) + 1) / (COUNTA($I:$I) - 1)</f>
        <v>0.8518</v>
      </c>
      <c r="S3987" s="23">
        <f>SUMIFS($P:$P, $Q:$Q, "&lt;" &amp; $Q3987)</f>
        <v>186497451</v>
      </c>
    </row>
    <row r="3988" spans="1:19" x14ac:dyDescent="0.25">
      <c r="A3988" s="1">
        <v>3983</v>
      </c>
      <c r="B3988" s="1" t="s">
        <v>2</v>
      </c>
      <c r="C3988" s="1" t="str">
        <f>IF($B3988 = "Production Item", _xlfn.XLOOKUP($A3988, 'Instrument Table'!$J:$J, 'Instrument Table'!$B:$B, $C3987), IF($B3988 = "Service Item", _xlfn.XLOOKUP($A3988, 'Instrument Table'!$I:$I, 'Instrument Table'!$B:$B, $C3987), _xlfn.XLOOKUP($A3988, 'Instrument Table'!$H:$H, 'Instrument Table'!$B:$B, $C3987)))</f>
        <v>Musical Accessories</v>
      </c>
      <c r="D3988" s="1" t="str">
        <f>VLOOKUP($C3988, 'Instrument Table'!$B:$C, 2, FALSE)</f>
        <v>Other</v>
      </c>
      <c r="E3988" s="1">
        <f t="shared" si="372"/>
        <v>1</v>
      </c>
      <c r="F3988" s="1">
        <f>_xlfn.XLOOKUP($C3988, 'Instrument Table'!$B:$B, 'Instrument Table'!$A:$A, "")</f>
        <v>64</v>
      </c>
      <c r="G3988" s="1" t="str">
        <f>TEXT(IF($B3988 = "Retail Item", IF((ROW($A3988) - 4504 - _xlfn.XMATCH($C3988, $C$4506:$C$5005, 0, 1)) &lt;= VLOOKUP($C3988, 'Instrument Table'!$B:$D, 3, FALSE), ROW($A3988) - 4504 - _xlfn.XMATCH($C3988, $C$4506:$C$5005, 0, 1), 0), 0), "00")</f>
        <v>00</v>
      </c>
      <c r="H3988" s="1" t="str">
        <f t="shared" si="373"/>
        <v>182</v>
      </c>
      <c r="I3988" s="1" t="str">
        <f t="shared" si="374"/>
        <v>16400-182</v>
      </c>
      <c r="J3988" s="1" t="str">
        <f t="shared" si="375"/>
        <v>Musical accessories production item #182</v>
      </c>
      <c r="K3988" s="1" t="str">
        <f>IF(SUM(COUNTIFS(I:I, I3988)) &gt; 1, "DUPLICATE", "UNIQUE")</f>
        <v>UNIQUE</v>
      </c>
      <c r="L3988" s="18">
        <v>1</v>
      </c>
      <c r="M3988" s="28">
        <v>46</v>
      </c>
      <c r="N3988" s="6">
        <v>289</v>
      </c>
      <c r="O3988" s="30">
        <f t="shared" si="376"/>
        <v>46</v>
      </c>
      <c r="P3988" s="30">
        <f t="shared" si="377"/>
        <v>13294</v>
      </c>
      <c r="Q3988" s="1">
        <f>COUNTIFS($P:$P, "&gt;" &amp; $P3988) + 1</f>
        <v>1476</v>
      </c>
      <c r="R3988" s="63">
        <f>(COUNTIFS($P:$P, "&gt;" &amp; $P3988) + 1) / (COUNTA($I:$I) - 1)</f>
        <v>0.29520000000000002</v>
      </c>
      <c r="S3988" s="23">
        <f>SUMIFS($P:$P, $Q:$Q, "&lt;" &amp; $Q3988)</f>
        <v>174523294</v>
      </c>
    </row>
    <row r="3989" spans="1:19" x14ac:dyDescent="0.25">
      <c r="A3989" s="1">
        <v>3984</v>
      </c>
      <c r="B3989" s="1" t="s">
        <v>2</v>
      </c>
      <c r="C3989" s="1" t="str">
        <f>IF($B3989 = "Production Item", _xlfn.XLOOKUP($A3989, 'Instrument Table'!$J:$J, 'Instrument Table'!$B:$B, $C3988), IF($B3989 = "Service Item", _xlfn.XLOOKUP($A3989, 'Instrument Table'!$I:$I, 'Instrument Table'!$B:$B, $C3988), _xlfn.XLOOKUP($A3989, 'Instrument Table'!$H:$H, 'Instrument Table'!$B:$B, $C3988)))</f>
        <v>Musical Accessories</v>
      </c>
      <c r="D3989" s="1" t="str">
        <f>VLOOKUP($C3989, 'Instrument Table'!$B:$C, 2, FALSE)</f>
        <v>Other</v>
      </c>
      <c r="E3989" s="1">
        <f t="shared" si="372"/>
        <v>1</v>
      </c>
      <c r="F3989" s="1">
        <f>_xlfn.XLOOKUP($C3989, 'Instrument Table'!$B:$B, 'Instrument Table'!$A:$A, "")</f>
        <v>64</v>
      </c>
      <c r="G3989" s="1" t="str">
        <f>TEXT(IF($B3989 = "Retail Item", IF((ROW($A3989) - 4504 - _xlfn.XMATCH($C3989, $C$4506:$C$5005, 0, 1)) &lt;= VLOOKUP($C3989, 'Instrument Table'!$B:$D, 3, FALSE), ROW($A3989) - 4504 - _xlfn.XMATCH($C3989, $C$4506:$C$5005, 0, 1), 0), 0), "00")</f>
        <v>00</v>
      </c>
      <c r="H3989" s="1" t="str">
        <f t="shared" si="373"/>
        <v>183</v>
      </c>
      <c r="I3989" s="1" t="str">
        <f t="shared" si="374"/>
        <v>16400-183</v>
      </c>
      <c r="J3989" s="1" t="str">
        <f t="shared" si="375"/>
        <v>Musical accessories production item #183</v>
      </c>
      <c r="K3989" s="1" t="str">
        <f>IF(SUM(COUNTIFS(I:I, I3989)) &gt; 1, "DUPLICATE", "UNIQUE")</f>
        <v>UNIQUE</v>
      </c>
      <c r="L3989" s="18">
        <v>8</v>
      </c>
      <c r="M3989" s="28">
        <v>78</v>
      </c>
      <c r="N3989" s="6">
        <v>144</v>
      </c>
      <c r="O3989" s="30">
        <f t="shared" si="376"/>
        <v>624</v>
      </c>
      <c r="P3989" s="30">
        <f t="shared" si="377"/>
        <v>11232</v>
      </c>
      <c r="Q3989" s="1">
        <f>COUNTIFS($P:$P, "&gt;" &amp; $P3989) + 1</f>
        <v>1664</v>
      </c>
      <c r="R3989" s="63">
        <f>(COUNTIFS($P:$P, "&gt;" &amp; $P3989) + 1) / (COUNTA($I:$I) - 1)</f>
        <v>0.33279999999999998</v>
      </c>
      <c r="S3989" s="23">
        <f>SUMIFS($P:$P, $Q:$Q, "&lt;" &amp; $Q3989)</f>
        <v>176816259</v>
      </c>
    </row>
    <row r="3990" spans="1:19" x14ac:dyDescent="0.25">
      <c r="A3990" s="1">
        <v>3985</v>
      </c>
      <c r="B3990" s="1" t="s">
        <v>2</v>
      </c>
      <c r="C3990" s="1" t="str">
        <f>IF($B3990 = "Production Item", _xlfn.XLOOKUP($A3990, 'Instrument Table'!$J:$J, 'Instrument Table'!$B:$B, $C3989), IF($B3990 = "Service Item", _xlfn.XLOOKUP($A3990, 'Instrument Table'!$I:$I, 'Instrument Table'!$B:$B, $C3989), _xlfn.XLOOKUP($A3990, 'Instrument Table'!$H:$H, 'Instrument Table'!$B:$B, $C3989)))</f>
        <v>Musical Accessories</v>
      </c>
      <c r="D3990" s="1" t="str">
        <f>VLOOKUP($C3990, 'Instrument Table'!$B:$C, 2, FALSE)</f>
        <v>Other</v>
      </c>
      <c r="E3990" s="1">
        <f t="shared" si="372"/>
        <v>1</v>
      </c>
      <c r="F3990" s="1">
        <f>_xlfn.XLOOKUP($C3990, 'Instrument Table'!$B:$B, 'Instrument Table'!$A:$A, "")</f>
        <v>64</v>
      </c>
      <c r="G3990" s="1" t="str">
        <f>TEXT(IF($B3990 = "Retail Item", IF((ROW($A3990) - 4504 - _xlfn.XMATCH($C3990, $C$4506:$C$5005, 0, 1)) &lt;= VLOOKUP($C3990, 'Instrument Table'!$B:$D, 3, FALSE), ROW($A3990) - 4504 - _xlfn.XMATCH($C3990, $C$4506:$C$5005, 0, 1), 0), 0), "00")</f>
        <v>00</v>
      </c>
      <c r="H3990" s="1" t="str">
        <f t="shared" si="373"/>
        <v>184</v>
      </c>
      <c r="I3990" s="1" t="str">
        <f t="shared" si="374"/>
        <v>16400-184</v>
      </c>
      <c r="J3990" s="1" t="str">
        <f t="shared" si="375"/>
        <v>Musical accessories production item #184</v>
      </c>
      <c r="K3990" s="1" t="str">
        <f>IF(SUM(COUNTIFS(I:I, I3990)) &gt; 1, "DUPLICATE", "UNIQUE")</f>
        <v>UNIQUE</v>
      </c>
      <c r="L3990" s="18">
        <v>1</v>
      </c>
      <c r="M3990" s="28">
        <v>54</v>
      </c>
      <c r="N3990" s="6">
        <v>9</v>
      </c>
      <c r="O3990" s="30">
        <f t="shared" si="376"/>
        <v>54</v>
      </c>
      <c r="P3990" s="30">
        <f t="shared" si="377"/>
        <v>486</v>
      </c>
      <c r="Q3990" s="1">
        <f>COUNTIFS($P:$P, "&gt;" &amp; $P3990) + 1</f>
        <v>4039</v>
      </c>
      <c r="R3990" s="63">
        <f>(COUNTIFS($P:$P, "&gt;" &amp; $P3990) + 1) / (COUNTA($I:$I) - 1)</f>
        <v>0.80779999999999996</v>
      </c>
      <c r="S3990" s="23">
        <f>SUMIFS($P:$P, $Q:$Q, "&lt;" &amp; $Q3990)</f>
        <v>186418092</v>
      </c>
    </row>
    <row r="3991" spans="1:19" x14ac:dyDescent="0.25">
      <c r="A3991" s="1">
        <v>3986</v>
      </c>
      <c r="B3991" s="1" t="s">
        <v>2</v>
      </c>
      <c r="C3991" s="1" t="str">
        <f>IF($B3991 = "Production Item", _xlfn.XLOOKUP($A3991, 'Instrument Table'!$J:$J, 'Instrument Table'!$B:$B, $C3990), IF($B3991 = "Service Item", _xlfn.XLOOKUP($A3991, 'Instrument Table'!$I:$I, 'Instrument Table'!$B:$B, $C3990), _xlfn.XLOOKUP($A3991, 'Instrument Table'!$H:$H, 'Instrument Table'!$B:$B, $C3990)))</f>
        <v>Musical Accessories</v>
      </c>
      <c r="D3991" s="1" t="str">
        <f>VLOOKUP($C3991, 'Instrument Table'!$B:$C, 2, FALSE)</f>
        <v>Other</v>
      </c>
      <c r="E3991" s="1">
        <f t="shared" si="372"/>
        <v>1</v>
      </c>
      <c r="F3991" s="1">
        <f>_xlfn.XLOOKUP($C3991, 'Instrument Table'!$B:$B, 'Instrument Table'!$A:$A, "")</f>
        <v>64</v>
      </c>
      <c r="G3991" s="1" t="str">
        <f>TEXT(IF($B3991 = "Retail Item", IF((ROW($A3991) - 4504 - _xlfn.XMATCH($C3991, $C$4506:$C$5005, 0, 1)) &lt;= VLOOKUP($C3991, 'Instrument Table'!$B:$D, 3, FALSE), ROW($A3991) - 4504 - _xlfn.XMATCH($C3991, $C$4506:$C$5005, 0, 1), 0), 0), "00")</f>
        <v>00</v>
      </c>
      <c r="H3991" s="1" t="str">
        <f t="shared" si="373"/>
        <v>185</v>
      </c>
      <c r="I3991" s="1" t="str">
        <f t="shared" si="374"/>
        <v>16400-185</v>
      </c>
      <c r="J3991" s="1" t="str">
        <f t="shared" si="375"/>
        <v>Musical accessories production item #185</v>
      </c>
      <c r="K3991" s="1" t="str">
        <f>IF(SUM(COUNTIFS(I:I, I3991)) &gt; 1, "DUPLICATE", "UNIQUE")</f>
        <v>UNIQUE</v>
      </c>
      <c r="L3991" s="18">
        <v>0</v>
      </c>
      <c r="M3991" s="28">
        <v>22</v>
      </c>
      <c r="N3991" s="6">
        <v>25</v>
      </c>
      <c r="O3991" s="30">
        <f t="shared" si="376"/>
        <v>0</v>
      </c>
      <c r="P3991" s="30">
        <f t="shared" si="377"/>
        <v>550</v>
      </c>
      <c r="Q3991" s="1">
        <f>COUNTIFS($P:$P, "&gt;" &amp; $P3991) + 1</f>
        <v>3978</v>
      </c>
      <c r="R3991" s="63">
        <f>(COUNTIFS($P:$P, "&gt;" &amp; $P3991) + 1) / (COUNTA($I:$I) - 1)</f>
        <v>0.79559999999999997</v>
      </c>
      <c r="S3991" s="23">
        <f>SUMIFS($P:$P, $Q:$Q, "&lt;" &amp; $Q3991)</f>
        <v>186386371</v>
      </c>
    </row>
    <row r="3992" spans="1:19" x14ac:dyDescent="0.25">
      <c r="A3992" s="1">
        <v>3987</v>
      </c>
      <c r="B3992" s="1" t="s">
        <v>2</v>
      </c>
      <c r="C3992" s="1" t="str">
        <f>IF($B3992 = "Production Item", _xlfn.XLOOKUP($A3992, 'Instrument Table'!$J:$J, 'Instrument Table'!$B:$B, $C3991), IF($B3992 = "Service Item", _xlfn.XLOOKUP($A3992, 'Instrument Table'!$I:$I, 'Instrument Table'!$B:$B, $C3991), _xlfn.XLOOKUP($A3992, 'Instrument Table'!$H:$H, 'Instrument Table'!$B:$B, $C3991)))</f>
        <v>Musical Accessories</v>
      </c>
      <c r="D3992" s="1" t="str">
        <f>VLOOKUP($C3992, 'Instrument Table'!$B:$C, 2, FALSE)</f>
        <v>Other</v>
      </c>
      <c r="E3992" s="1">
        <f t="shared" si="372"/>
        <v>1</v>
      </c>
      <c r="F3992" s="1">
        <f>_xlfn.XLOOKUP($C3992, 'Instrument Table'!$B:$B, 'Instrument Table'!$A:$A, "")</f>
        <v>64</v>
      </c>
      <c r="G3992" s="1" t="str">
        <f>TEXT(IF($B3992 = "Retail Item", IF((ROW($A3992) - 4504 - _xlfn.XMATCH($C3992, $C$4506:$C$5005, 0, 1)) &lt;= VLOOKUP($C3992, 'Instrument Table'!$B:$D, 3, FALSE), ROW($A3992) - 4504 - _xlfn.XMATCH($C3992, $C$4506:$C$5005, 0, 1), 0), 0), "00")</f>
        <v>00</v>
      </c>
      <c r="H3992" s="1" t="str">
        <f t="shared" si="373"/>
        <v>186</v>
      </c>
      <c r="I3992" s="1" t="str">
        <f t="shared" si="374"/>
        <v>16400-186</v>
      </c>
      <c r="J3992" s="1" t="str">
        <f t="shared" si="375"/>
        <v>Musical accessories production item #186</v>
      </c>
      <c r="K3992" s="1" t="str">
        <f>IF(SUM(COUNTIFS(I:I, I3992)) &gt; 1, "DUPLICATE", "UNIQUE")</f>
        <v>UNIQUE</v>
      </c>
      <c r="L3992" s="18">
        <v>0</v>
      </c>
      <c r="M3992" s="28">
        <v>76</v>
      </c>
      <c r="N3992" s="6">
        <v>9</v>
      </c>
      <c r="O3992" s="30">
        <f t="shared" si="376"/>
        <v>0</v>
      </c>
      <c r="P3992" s="30">
        <f t="shared" si="377"/>
        <v>684</v>
      </c>
      <c r="Q3992" s="1">
        <f>COUNTIFS($P:$P, "&gt;" &amp; $P3992) + 1</f>
        <v>3891</v>
      </c>
      <c r="R3992" s="63">
        <f>(COUNTIFS($P:$P, "&gt;" &amp; $P3992) + 1) / (COUNTA($I:$I) - 1)</f>
        <v>0.7782</v>
      </c>
      <c r="S3992" s="23">
        <f>SUMIFS($P:$P, $Q:$Q, "&lt;" &amp; $Q3992)</f>
        <v>186332760</v>
      </c>
    </row>
    <row r="3993" spans="1:19" x14ac:dyDescent="0.25">
      <c r="A3993" s="1">
        <v>3988</v>
      </c>
      <c r="B3993" s="1" t="s">
        <v>2</v>
      </c>
      <c r="C3993" s="1" t="str">
        <f>IF($B3993 = "Production Item", _xlfn.XLOOKUP($A3993, 'Instrument Table'!$J:$J, 'Instrument Table'!$B:$B, $C3992), IF($B3993 = "Service Item", _xlfn.XLOOKUP($A3993, 'Instrument Table'!$I:$I, 'Instrument Table'!$B:$B, $C3992), _xlfn.XLOOKUP($A3993, 'Instrument Table'!$H:$H, 'Instrument Table'!$B:$B, $C3992)))</f>
        <v>Musical Accessories</v>
      </c>
      <c r="D3993" s="1" t="str">
        <f>VLOOKUP($C3993, 'Instrument Table'!$B:$C, 2, FALSE)</f>
        <v>Other</v>
      </c>
      <c r="E3993" s="1">
        <f t="shared" si="372"/>
        <v>1</v>
      </c>
      <c r="F3993" s="1">
        <f>_xlfn.XLOOKUP($C3993, 'Instrument Table'!$B:$B, 'Instrument Table'!$A:$A, "")</f>
        <v>64</v>
      </c>
      <c r="G3993" s="1" t="str">
        <f>TEXT(IF($B3993 = "Retail Item", IF((ROW($A3993) - 4504 - _xlfn.XMATCH($C3993, $C$4506:$C$5005, 0, 1)) &lt;= VLOOKUP($C3993, 'Instrument Table'!$B:$D, 3, FALSE), ROW($A3993) - 4504 - _xlfn.XMATCH($C3993, $C$4506:$C$5005, 0, 1), 0), 0), "00")</f>
        <v>00</v>
      </c>
      <c r="H3993" s="1" t="str">
        <f t="shared" si="373"/>
        <v>187</v>
      </c>
      <c r="I3993" s="1" t="str">
        <f t="shared" si="374"/>
        <v>16400-187</v>
      </c>
      <c r="J3993" s="1" t="str">
        <f t="shared" si="375"/>
        <v>Musical accessories production item #187</v>
      </c>
      <c r="K3993" s="1" t="str">
        <f>IF(SUM(COUNTIFS(I:I, I3993)) &gt; 1, "DUPLICATE", "UNIQUE")</f>
        <v>UNIQUE</v>
      </c>
      <c r="L3993" s="18">
        <v>32</v>
      </c>
      <c r="M3993" s="28">
        <v>19</v>
      </c>
      <c r="N3993" s="6">
        <v>121</v>
      </c>
      <c r="O3993" s="30">
        <f t="shared" si="376"/>
        <v>608</v>
      </c>
      <c r="P3993" s="30">
        <f t="shared" si="377"/>
        <v>2299</v>
      </c>
      <c r="Q3993" s="1">
        <f>COUNTIFS($P:$P, "&gt;" &amp; $P3993) + 1</f>
        <v>3140</v>
      </c>
      <c r="R3993" s="63">
        <f>(COUNTIFS($P:$P, "&gt;" &amp; $P3993) + 1) / (COUNTA($I:$I) - 1)</f>
        <v>0.628</v>
      </c>
      <c r="S3993" s="23">
        <f>SUMIFS($P:$P, $Q:$Q, "&lt;" &amp; $Q3993)</f>
        <v>185275305</v>
      </c>
    </row>
    <row r="3994" spans="1:19" x14ac:dyDescent="0.25">
      <c r="A3994" s="1">
        <v>3989</v>
      </c>
      <c r="B3994" s="1" t="s">
        <v>2</v>
      </c>
      <c r="C3994" s="1" t="str">
        <f>IF($B3994 = "Production Item", _xlfn.XLOOKUP($A3994, 'Instrument Table'!$J:$J, 'Instrument Table'!$B:$B, $C3993), IF($B3994 = "Service Item", _xlfn.XLOOKUP($A3994, 'Instrument Table'!$I:$I, 'Instrument Table'!$B:$B, $C3993), _xlfn.XLOOKUP($A3994, 'Instrument Table'!$H:$H, 'Instrument Table'!$B:$B, $C3993)))</f>
        <v>Musical Accessories</v>
      </c>
      <c r="D3994" s="1" t="str">
        <f>VLOOKUP($C3994, 'Instrument Table'!$B:$C, 2, FALSE)</f>
        <v>Other</v>
      </c>
      <c r="E3994" s="1">
        <f t="shared" si="372"/>
        <v>1</v>
      </c>
      <c r="F3994" s="1">
        <f>_xlfn.XLOOKUP($C3994, 'Instrument Table'!$B:$B, 'Instrument Table'!$A:$A, "")</f>
        <v>64</v>
      </c>
      <c r="G3994" s="1" t="str">
        <f>TEXT(IF($B3994 = "Retail Item", IF((ROW($A3994) - 4504 - _xlfn.XMATCH($C3994, $C$4506:$C$5005, 0, 1)) &lt;= VLOOKUP($C3994, 'Instrument Table'!$B:$D, 3, FALSE), ROW($A3994) - 4504 - _xlfn.XMATCH($C3994, $C$4506:$C$5005, 0, 1), 0), 0), "00")</f>
        <v>00</v>
      </c>
      <c r="H3994" s="1" t="str">
        <f t="shared" si="373"/>
        <v>188</v>
      </c>
      <c r="I3994" s="1" t="str">
        <f t="shared" si="374"/>
        <v>16400-188</v>
      </c>
      <c r="J3994" s="1" t="str">
        <f t="shared" si="375"/>
        <v>Musical accessories production item #188</v>
      </c>
      <c r="K3994" s="1" t="str">
        <f>IF(SUM(COUNTIFS(I:I, I3994)) &gt; 1, "DUPLICATE", "UNIQUE")</f>
        <v>UNIQUE</v>
      </c>
      <c r="L3994" s="18">
        <v>1</v>
      </c>
      <c r="M3994" s="28">
        <v>13</v>
      </c>
      <c r="N3994" s="6">
        <v>49</v>
      </c>
      <c r="O3994" s="30">
        <f t="shared" si="376"/>
        <v>13</v>
      </c>
      <c r="P3994" s="30">
        <f t="shared" si="377"/>
        <v>637</v>
      </c>
      <c r="Q3994" s="1">
        <f>COUNTIFS($P:$P, "&gt;" &amp; $P3994) + 1</f>
        <v>3925</v>
      </c>
      <c r="R3994" s="63">
        <f>(COUNTIFS($P:$P, "&gt;" &amp; $P3994) + 1) / (COUNTA($I:$I) - 1)</f>
        <v>0.78500000000000003</v>
      </c>
      <c r="S3994" s="23">
        <f>SUMIFS($P:$P, $Q:$Q, "&lt;" &amp; $Q3994)</f>
        <v>186355119</v>
      </c>
    </row>
    <row r="3995" spans="1:19" x14ac:dyDescent="0.25">
      <c r="A3995" s="1">
        <v>3990</v>
      </c>
      <c r="B3995" s="1" t="s">
        <v>2</v>
      </c>
      <c r="C3995" s="1" t="str">
        <f>IF($B3995 = "Production Item", _xlfn.XLOOKUP($A3995, 'Instrument Table'!$J:$J, 'Instrument Table'!$B:$B, $C3994), IF($B3995 = "Service Item", _xlfn.XLOOKUP($A3995, 'Instrument Table'!$I:$I, 'Instrument Table'!$B:$B, $C3994), _xlfn.XLOOKUP($A3995, 'Instrument Table'!$H:$H, 'Instrument Table'!$B:$B, $C3994)))</f>
        <v>Musical Accessories</v>
      </c>
      <c r="D3995" s="1" t="str">
        <f>VLOOKUP($C3995, 'Instrument Table'!$B:$C, 2, FALSE)</f>
        <v>Other</v>
      </c>
      <c r="E3995" s="1">
        <f t="shared" si="372"/>
        <v>1</v>
      </c>
      <c r="F3995" s="1">
        <f>_xlfn.XLOOKUP($C3995, 'Instrument Table'!$B:$B, 'Instrument Table'!$A:$A, "")</f>
        <v>64</v>
      </c>
      <c r="G3995" s="1" t="str">
        <f>TEXT(IF($B3995 = "Retail Item", IF((ROW($A3995) - 4504 - _xlfn.XMATCH($C3995, $C$4506:$C$5005, 0, 1)) &lt;= VLOOKUP($C3995, 'Instrument Table'!$B:$D, 3, FALSE), ROW($A3995) - 4504 - _xlfn.XMATCH($C3995, $C$4506:$C$5005, 0, 1), 0), 0), "00")</f>
        <v>00</v>
      </c>
      <c r="H3995" s="1" t="str">
        <f t="shared" si="373"/>
        <v>189</v>
      </c>
      <c r="I3995" s="1" t="str">
        <f t="shared" si="374"/>
        <v>16400-189</v>
      </c>
      <c r="J3995" s="1" t="str">
        <f t="shared" si="375"/>
        <v>Musical accessories production item #189</v>
      </c>
      <c r="K3995" s="1" t="str">
        <f>IF(SUM(COUNTIFS(I:I, I3995)) &gt; 1, "DUPLICATE", "UNIQUE")</f>
        <v>UNIQUE</v>
      </c>
      <c r="L3995" s="18">
        <v>1</v>
      </c>
      <c r="M3995" s="28">
        <v>100</v>
      </c>
      <c r="N3995" s="6">
        <v>400</v>
      </c>
      <c r="O3995" s="30">
        <f t="shared" si="376"/>
        <v>100</v>
      </c>
      <c r="P3995" s="30">
        <f t="shared" si="377"/>
        <v>40000</v>
      </c>
      <c r="Q3995" s="1">
        <f>COUNTIFS($P:$P, "&gt;" &amp; $P3995) + 1</f>
        <v>551</v>
      </c>
      <c r="R3995" s="63">
        <f>(COUNTIFS($P:$P, "&gt;" &amp; $P3995) + 1) / (COUNTA($I:$I) - 1)</f>
        <v>0.11020000000000001</v>
      </c>
      <c r="S3995" s="23">
        <f>SUMIFS($P:$P, $Q:$Q, "&lt;" &amp; $Q3995)</f>
        <v>154017534</v>
      </c>
    </row>
    <row r="3996" spans="1:19" x14ac:dyDescent="0.25">
      <c r="A3996" s="1">
        <v>3991</v>
      </c>
      <c r="B3996" s="1" t="s">
        <v>2</v>
      </c>
      <c r="C3996" s="1" t="str">
        <f>IF($B3996 = "Production Item", _xlfn.XLOOKUP($A3996, 'Instrument Table'!$J:$J, 'Instrument Table'!$B:$B, $C3995), IF($B3996 = "Service Item", _xlfn.XLOOKUP($A3996, 'Instrument Table'!$I:$I, 'Instrument Table'!$B:$B, $C3995), _xlfn.XLOOKUP($A3996, 'Instrument Table'!$H:$H, 'Instrument Table'!$B:$B, $C3995)))</f>
        <v>Musical Accessories</v>
      </c>
      <c r="D3996" s="1" t="str">
        <f>VLOOKUP($C3996, 'Instrument Table'!$B:$C, 2, FALSE)</f>
        <v>Other</v>
      </c>
      <c r="E3996" s="1">
        <f t="shared" si="372"/>
        <v>1</v>
      </c>
      <c r="F3996" s="1">
        <f>_xlfn.XLOOKUP($C3996, 'Instrument Table'!$B:$B, 'Instrument Table'!$A:$A, "")</f>
        <v>64</v>
      </c>
      <c r="G3996" s="1" t="str">
        <f>TEXT(IF($B3996 = "Retail Item", IF((ROW($A3996) - 4504 - _xlfn.XMATCH($C3996, $C$4506:$C$5005, 0, 1)) &lt;= VLOOKUP($C3996, 'Instrument Table'!$B:$D, 3, FALSE), ROW($A3996) - 4504 - _xlfn.XMATCH($C3996, $C$4506:$C$5005, 0, 1), 0), 0), "00")</f>
        <v>00</v>
      </c>
      <c r="H3996" s="1" t="str">
        <f t="shared" si="373"/>
        <v>190</v>
      </c>
      <c r="I3996" s="1" t="str">
        <f t="shared" si="374"/>
        <v>16400-190</v>
      </c>
      <c r="J3996" s="1" t="str">
        <f t="shared" si="375"/>
        <v>Musical accessories production item #190</v>
      </c>
      <c r="K3996" s="1" t="str">
        <f>IF(SUM(COUNTIFS(I:I, I3996)) &gt; 1, "DUPLICATE", "UNIQUE")</f>
        <v>UNIQUE</v>
      </c>
      <c r="L3996" s="18">
        <v>1</v>
      </c>
      <c r="M3996" s="28">
        <v>3</v>
      </c>
      <c r="N3996" s="6">
        <v>25</v>
      </c>
      <c r="O3996" s="30">
        <f t="shared" si="376"/>
        <v>3</v>
      </c>
      <c r="P3996" s="30">
        <f t="shared" si="377"/>
        <v>75</v>
      </c>
      <c r="Q3996" s="1">
        <f>COUNTIFS($P:$P, "&gt;" &amp; $P3996) + 1</f>
        <v>4527</v>
      </c>
      <c r="R3996" s="63">
        <f>(COUNTIFS($P:$P, "&gt;" &amp; $P3996) + 1) / (COUNTA($I:$I) - 1)</f>
        <v>0.90539999999999998</v>
      </c>
      <c r="S3996" s="23">
        <f>SUMIFS($P:$P, $Q:$Q, "&lt;" &amp; $Q3996)</f>
        <v>186539016</v>
      </c>
    </row>
    <row r="3997" spans="1:19" x14ac:dyDescent="0.25">
      <c r="A3997" s="1">
        <v>3992</v>
      </c>
      <c r="B3997" s="1" t="s">
        <v>2</v>
      </c>
      <c r="C3997" s="1" t="str">
        <f>IF($B3997 = "Production Item", _xlfn.XLOOKUP($A3997, 'Instrument Table'!$J:$J, 'Instrument Table'!$B:$B, $C3996), IF($B3997 = "Service Item", _xlfn.XLOOKUP($A3997, 'Instrument Table'!$I:$I, 'Instrument Table'!$B:$B, $C3996), _xlfn.XLOOKUP($A3997, 'Instrument Table'!$H:$H, 'Instrument Table'!$B:$B, $C3996)))</f>
        <v>Musical Accessories</v>
      </c>
      <c r="D3997" s="1" t="str">
        <f>VLOOKUP($C3997, 'Instrument Table'!$B:$C, 2, FALSE)</f>
        <v>Other</v>
      </c>
      <c r="E3997" s="1">
        <f t="shared" si="372"/>
        <v>1</v>
      </c>
      <c r="F3997" s="1">
        <f>_xlfn.XLOOKUP($C3997, 'Instrument Table'!$B:$B, 'Instrument Table'!$A:$A, "")</f>
        <v>64</v>
      </c>
      <c r="G3997" s="1" t="str">
        <f>TEXT(IF($B3997 = "Retail Item", IF((ROW($A3997) - 4504 - _xlfn.XMATCH($C3997, $C$4506:$C$5005, 0, 1)) &lt;= VLOOKUP($C3997, 'Instrument Table'!$B:$D, 3, FALSE), ROW($A3997) - 4504 - _xlfn.XMATCH($C3997, $C$4506:$C$5005, 0, 1), 0), 0), "00")</f>
        <v>00</v>
      </c>
      <c r="H3997" s="1" t="str">
        <f t="shared" si="373"/>
        <v>191</v>
      </c>
      <c r="I3997" s="1" t="str">
        <f t="shared" si="374"/>
        <v>16400-191</v>
      </c>
      <c r="J3997" s="1" t="str">
        <f t="shared" si="375"/>
        <v>Musical accessories production item #191</v>
      </c>
      <c r="K3997" s="1" t="str">
        <f>IF(SUM(COUNTIFS(I:I, I3997)) &gt; 1, "DUPLICATE", "UNIQUE")</f>
        <v>UNIQUE</v>
      </c>
      <c r="L3997" s="18">
        <v>0</v>
      </c>
      <c r="M3997" s="28">
        <v>72</v>
      </c>
      <c r="N3997" s="6">
        <v>361</v>
      </c>
      <c r="O3997" s="30">
        <f t="shared" si="376"/>
        <v>0</v>
      </c>
      <c r="P3997" s="30">
        <f t="shared" si="377"/>
        <v>25992</v>
      </c>
      <c r="Q3997" s="1">
        <f>COUNTIFS($P:$P, "&gt;" &amp; $P3997) + 1</f>
        <v>790</v>
      </c>
      <c r="R3997" s="63">
        <f>(COUNTIFS($P:$P, "&gt;" &amp; $P3997) + 1) / (COUNTA($I:$I) - 1)</f>
        <v>0.158</v>
      </c>
      <c r="S3997" s="23">
        <f>SUMIFS($P:$P, $Q:$Q, "&lt;" &amp; $Q3997)</f>
        <v>161569013</v>
      </c>
    </row>
    <row r="3998" spans="1:19" x14ac:dyDescent="0.25">
      <c r="A3998" s="1">
        <v>3993</v>
      </c>
      <c r="B3998" s="1" t="s">
        <v>2</v>
      </c>
      <c r="C3998" s="1" t="str">
        <f>IF($B3998 = "Production Item", _xlfn.XLOOKUP($A3998, 'Instrument Table'!$J:$J, 'Instrument Table'!$B:$B, $C3997), IF($B3998 = "Service Item", _xlfn.XLOOKUP($A3998, 'Instrument Table'!$I:$I, 'Instrument Table'!$B:$B, $C3997), _xlfn.XLOOKUP($A3998, 'Instrument Table'!$H:$H, 'Instrument Table'!$B:$B, $C3997)))</f>
        <v>Musical Accessories</v>
      </c>
      <c r="D3998" s="1" t="str">
        <f>VLOOKUP($C3998, 'Instrument Table'!$B:$C, 2, FALSE)</f>
        <v>Other</v>
      </c>
      <c r="E3998" s="1">
        <f t="shared" si="372"/>
        <v>1</v>
      </c>
      <c r="F3998" s="1">
        <f>_xlfn.XLOOKUP($C3998, 'Instrument Table'!$B:$B, 'Instrument Table'!$A:$A, "")</f>
        <v>64</v>
      </c>
      <c r="G3998" s="1" t="str">
        <f>TEXT(IF($B3998 = "Retail Item", IF((ROW($A3998) - 4504 - _xlfn.XMATCH($C3998, $C$4506:$C$5005, 0, 1)) &lt;= VLOOKUP($C3998, 'Instrument Table'!$B:$D, 3, FALSE), ROW($A3998) - 4504 - _xlfn.XMATCH($C3998, $C$4506:$C$5005, 0, 1), 0), 0), "00")</f>
        <v>00</v>
      </c>
      <c r="H3998" s="1" t="str">
        <f t="shared" si="373"/>
        <v>192</v>
      </c>
      <c r="I3998" s="1" t="str">
        <f t="shared" si="374"/>
        <v>16400-192</v>
      </c>
      <c r="J3998" s="1" t="str">
        <f t="shared" si="375"/>
        <v>Musical accessories production item #192</v>
      </c>
      <c r="K3998" s="1" t="str">
        <f>IF(SUM(COUNTIFS(I:I, I3998)) &gt; 1, "DUPLICATE", "UNIQUE")</f>
        <v>UNIQUE</v>
      </c>
      <c r="L3998" s="18">
        <v>0</v>
      </c>
      <c r="M3998" s="28">
        <v>83</v>
      </c>
      <c r="N3998" s="6">
        <v>25</v>
      </c>
      <c r="O3998" s="30">
        <f t="shared" si="376"/>
        <v>0</v>
      </c>
      <c r="P3998" s="30">
        <f t="shared" si="377"/>
        <v>2075</v>
      </c>
      <c r="Q3998" s="1">
        <f>COUNTIFS($P:$P, "&gt;" &amp; $P3998) + 1</f>
        <v>3217</v>
      </c>
      <c r="R3998" s="63">
        <f>(COUNTIFS($P:$P, "&gt;" &amp; $P3998) + 1) / (COUNTA($I:$I) - 1)</f>
        <v>0.64339999999999997</v>
      </c>
      <c r="S3998" s="23">
        <f>SUMIFS($P:$P, $Q:$Q, "&lt;" &amp; $Q3998)</f>
        <v>185443402</v>
      </c>
    </row>
    <row r="3999" spans="1:19" x14ac:dyDescent="0.25">
      <c r="A3999" s="1">
        <v>3994</v>
      </c>
      <c r="B3999" s="1" t="s">
        <v>2</v>
      </c>
      <c r="C3999" s="1" t="str">
        <f>IF($B3999 = "Production Item", _xlfn.XLOOKUP($A3999, 'Instrument Table'!$J:$J, 'Instrument Table'!$B:$B, $C3998), IF($B3999 = "Service Item", _xlfn.XLOOKUP($A3999, 'Instrument Table'!$I:$I, 'Instrument Table'!$B:$B, $C3998), _xlfn.XLOOKUP($A3999, 'Instrument Table'!$H:$H, 'Instrument Table'!$B:$B, $C3998)))</f>
        <v>Musical Accessories</v>
      </c>
      <c r="D3999" s="1" t="str">
        <f>VLOOKUP($C3999, 'Instrument Table'!$B:$C, 2, FALSE)</f>
        <v>Other</v>
      </c>
      <c r="E3999" s="1">
        <f t="shared" si="372"/>
        <v>1</v>
      </c>
      <c r="F3999" s="1">
        <f>_xlfn.XLOOKUP($C3999, 'Instrument Table'!$B:$B, 'Instrument Table'!$A:$A, "")</f>
        <v>64</v>
      </c>
      <c r="G3999" s="1" t="str">
        <f>TEXT(IF($B3999 = "Retail Item", IF((ROW($A3999) - 4504 - _xlfn.XMATCH($C3999, $C$4506:$C$5005, 0, 1)) &lt;= VLOOKUP($C3999, 'Instrument Table'!$B:$D, 3, FALSE), ROW($A3999) - 4504 - _xlfn.XMATCH($C3999, $C$4506:$C$5005, 0, 1), 0), 0), "00")</f>
        <v>00</v>
      </c>
      <c r="H3999" s="1" t="str">
        <f t="shared" si="373"/>
        <v>193</v>
      </c>
      <c r="I3999" s="1" t="str">
        <f t="shared" si="374"/>
        <v>16400-193</v>
      </c>
      <c r="J3999" s="1" t="str">
        <f t="shared" si="375"/>
        <v>Musical accessories production item #193</v>
      </c>
      <c r="K3999" s="1" t="str">
        <f>IF(SUM(COUNTIFS(I:I, I3999)) &gt; 1, "DUPLICATE", "UNIQUE")</f>
        <v>UNIQUE</v>
      </c>
      <c r="L3999" s="18">
        <v>0</v>
      </c>
      <c r="M3999" s="28">
        <v>73</v>
      </c>
      <c r="N3999" s="6">
        <v>100</v>
      </c>
      <c r="O3999" s="30">
        <f t="shared" si="376"/>
        <v>0</v>
      </c>
      <c r="P3999" s="30">
        <f t="shared" si="377"/>
        <v>7300</v>
      </c>
      <c r="Q3999" s="1">
        <f>COUNTIFS($P:$P, "&gt;" &amp; $P3999) + 1</f>
        <v>2095</v>
      </c>
      <c r="R3999" s="63">
        <f>(COUNTIFS($P:$P, "&gt;" &amp; $P3999) + 1) / (COUNTA($I:$I) - 1)</f>
        <v>0.41899999999999998</v>
      </c>
      <c r="S3999" s="23">
        <f>SUMIFS($P:$P, $Q:$Q, "&lt;" &amp; $Q3999)</f>
        <v>180722217</v>
      </c>
    </row>
    <row r="4000" spans="1:19" x14ac:dyDescent="0.25">
      <c r="A4000" s="1">
        <v>3995</v>
      </c>
      <c r="B4000" s="1" t="s">
        <v>2</v>
      </c>
      <c r="C4000" s="1" t="str">
        <f>IF($B4000 = "Production Item", _xlfn.XLOOKUP($A4000, 'Instrument Table'!$J:$J, 'Instrument Table'!$B:$B, $C3999), IF($B4000 = "Service Item", _xlfn.XLOOKUP($A4000, 'Instrument Table'!$I:$I, 'Instrument Table'!$B:$B, $C3999), _xlfn.XLOOKUP($A4000, 'Instrument Table'!$H:$H, 'Instrument Table'!$B:$B, $C3999)))</f>
        <v>Musical Accessories</v>
      </c>
      <c r="D4000" s="1" t="str">
        <f>VLOOKUP($C4000, 'Instrument Table'!$B:$C, 2, FALSE)</f>
        <v>Other</v>
      </c>
      <c r="E4000" s="1">
        <f t="shared" si="372"/>
        <v>1</v>
      </c>
      <c r="F4000" s="1">
        <f>_xlfn.XLOOKUP($C4000, 'Instrument Table'!$B:$B, 'Instrument Table'!$A:$A, "")</f>
        <v>64</v>
      </c>
      <c r="G4000" s="1" t="str">
        <f>TEXT(IF($B4000 = "Retail Item", IF((ROW($A4000) - 4504 - _xlfn.XMATCH($C4000, $C$4506:$C$5005, 0, 1)) &lt;= VLOOKUP($C4000, 'Instrument Table'!$B:$D, 3, FALSE), ROW($A4000) - 4504 - _xlfn.XMATCH($C4000, $C$4506:$C$5005, 0, 1), 0), 0), "00")</f>
        <v>00</v>
      </c>
      <c r="H4000" s="1" t="str">
        <f t="shared" si="373"/>
        <v>194</v>
      </c>
      <c r="I4000" s="1" t="str">
        <f t="shared" si="374"/>
        <v>16400-194</v>
      </c>
      <c r="J4000" s="1" t="str">
        <f t="shared" si="375"/>
        <v>Musical accessories production item #194</v>
      </c>
      <c r="K4000" s="1" t="str">
        <f>IF(SUM(COUNTIFS(I:I, I4000)) &gt; 1, "DUPLICATE", "UNIQUE")</f>
        <v>UNIQUE</v>
      </c>
      <c r="L4000" s="18">
        <v>1</v>
      </c>
      <c r="M4000" s="28">
        <v>60</v>
      </c>
      <c r="N4000" s="6">
        <v>0</v>
      </c>
      <c r="O4000" s="30">
        <f t="shared" si="376"/>
        <v>60</v>
      </c>
      <c r="P4000" s="30">
        <f t="shared" si="377"/>
        <v>0</v>
      </c>
      <c r="Q4000" s="1">
        <f>COUNTIFS($P:$P, "&gt;" &amp; $P4000) + 1</f>
        <v>4746</v>
      </c>
      <c r="R4000" s="63">
        <f>(COUNTIFS($P:$P, "&gt;" &amp; $P4000) + 1) / (COUNTA($I:$I) - 1)</f>
        <v>0.94920000000000004</v>
      </c>
      <c r="S4000" s="23">
        <f>SUMIFS($P:$P, $Q:$Q, "&lt;" &amp; $Q4000)</f>
        <v>186547861</v>
      </c>
    </row>
    <row r="4001" spans="1:19" x14ac:dyDescent="0.25">
      <c r="A4001" s="1">
        <v>3996</v>
      </c>
      <c r="B4001" s="1" t="s">
        <v>2</v>
      </c>
      <c r="C4001" s="1" t="str">
        <f>IF($B4001 = "Production Item", _xlfn.XLOOKUP($A4001, 'Instrument Table'!$J:$J, 'Instrument Table'!$B:$B, $C4000), IF($B4001 = "Service Item", _xlfn.XLOOKUP($A4001, 'Instrument Table'!$I:$I, 'Instrument Table'!$B:$B, $C4000), _xlfn.XLOOKUP($A4001, 'Instrument Table'!$H:$H, 'Instrument Table'!$B:$B, $C4000)))</f>
        <v>Musical Accessories</v>
      </c>
      <c r="D4001" s="1" t="str">
        <f>VLOOKUP($C4001, 'Instrument Table'!$B:$C, 2, FALSE)</f>
        <v>Other</v>
      </c>
      <c r="E4001" s="1">
        <f t="shared" si="372"/>
        <v>1</v>
      </c>
      <c r="F4001" s="1">
        <f>_xlfn.XLOOKUP($C4001, 'Instrument Table'!$B:$B, 'Instrument Table'!$A:$A, "")</f>
        <v>64</v>
      </c>
      <c r="G4001" s="1" t="str">
        <f>TEXT(IF($B4001 = "Retail Item", IF((ROW($A4001) - 4504 - _xlfn.XMATCH($C4001, $C$4506:$C$5005, 0, 1)) &lt;= VLOOKUP($C4001, 'Instrument Table'!$B:$D, 3, FALSE), ROW($A4001) - 4504 - _xlfn.XMATCH($C4001, $C$4506:$C$5005, 0, 1), 0), 0), "00")</f>
        <v>00</v>
      </c>
      <c r="H4001" s="1" t="str">
        <f t="shared" si="373"/>
        <v>195</v>
      </c>
      <c r="I4001" s="1" t="str">
        <f t="shared" si="374"/>
        <v>16400-195</v>
      </c>
      <c r="J4001" s="1" t="str">
        <f t="shared" si="375"/>
        <v>Musical accessories production item #195</v>
      </c>
      <c r="K4001" s="1" t="str">
        <f>IF(SUM(COUNTIFS(I:I, I4001)) &gt; 1, "DUPLICATE", "UNIQUE")</f>
        <v>UNIQUE</v>
      </c>
      <c r="L4001" s="18">
        <v>0</v>
      </c>
      <c r="M4001" s="28">
        <v>62</v>
      </c>
      <c r="N4001" s="6">
        <v>36</v>
      </c>
      <c r="O4001" s="30">
        <f t="shared" si="376"/>
        <v>0</v>
      </c>
      <c r="P4001" s="30">
        <f t="shared" si="377"/>
        <v>2232</v>
      </c>
      <c r="Q4001" s="1">
        <f>COUNTIFS($P:$P, "&gt;" &amp; $P4001) + 1</f>
        <v>3163</v>
      </c>
      <c r="R4001" s="63">
        <f>(COUNTIFS($P:$P, "&gt;" &amp; $P4001) + 1) / (COUNTA($I:$I) - 1)</f>
        <v>0.63260000000000005</v>
      </c>
      <c r="S4001" s="23">
        <f>SUMIFS($P:$P, $Q:$Q, "&lt;" &amp; $Q4001)</f>
        <v>185327469</v>
      </c>
    </row>
    <row r="4002" spans="1:19" x14ac:dyDescent="0.25">
      <c r="A4002" s="1">
        <v>3997</v>
      </c>
      <c r="B4002" s="1" t="s">
        <v>2</v>
      </c>
      <c r="C4002" s="1" t="str">
        <f>IF($B4002 = "Production Item", _xlfn.XLOOKUP($A4002, 'Instrument Table'!$J:$J, 'Instrument Table'!$B:$B, $C4001), IF($B4002 = "Service Item", _xlfn.XLOOKUP($A4002, 'Instrument Table'!$I:$I, 'Instrument Table'!$B:$B, $C4001), _xlfn.XLOOKUP($A4002, 'Instrument Table'!$H:$H, 'Instrument Table'!$B:$B, $C4001)))</f>
        <v>Musical Accessories</v>
      </c>
      <c r="D4002" s="1" t="str">
        <f>VLOOKUP($C4002, 'Instrument Table'!$B:$C, 2, FALSE)</f>
        <v>Other</v>
      </c>
      <c r="E4002" s="1">
        <f t="shared" si="372"/>
        <v>1</v>
      </c>
      <c r="F4002" s="1">
        <f>_xlfn.XLOOKUP($C4002, 'Instrument Table'!$B:$B, 'Instrument Table'!$A:$A, "")</f>
        <v>64</v>
      </c>
      <c r="G4002" s="1" t="str">
        <f>TEXT(IF($B4002 = "Retail Item", IF((ROW($A4002) - 4504 - _xlfn.XMATCH($C4002, $C$4506:$C$5005, 0, 1)) &lt;= VLOOKUP($C4002, 'Instrument Table'!$B:$D, 3, FALSE), ROW($A4002) - 4504 - _xlfn.XMATCH($C4002, $C$4506:$C$5005, 0, 1), 0), 0), "00")</f>
        <v>00</v>
      </c>
      <c r="H4002" s="1" t="str">
        <f t="shared" si="373"/>
        <v>196</v>
      </c>
      <c r="I4002" s="1" t="str">
        <f t="shared" si="374"/>
        <v>16400-196</v>
      </c>
      <c r="J4002" s="1" t="str">
        <f t="shared" si="375"/>
        <v>Musical accessories production item #196</v>
      </c>
      <c r="K4002" s="1" t="str">
        <f>IF(SUM(COUNTIFS(I:I, I4002)) &gt; 1, "DUPLICATE", "UNIQUE")</f>
        <v>UNIQUE</v>
      </c>
      <c r="L4002" s="18">
        <v>32</v>
      </c>
      <c r="M4002" s="28">
        <v>54</v>
      </c>
      <c r="N4002" s="6">
        <v>225</v>
      </c>
      <c r="O4002" s="30">
        <f t="shared" si="376"/>
        <v>1728</v>
      </c>
      <c r="P4002" s="30">
        <f t="shared" si="377"/>
        <v>12150</v>
      </c>
      <c r="Q4002" s="1">
        <f>COUNTIFS($P:$P, "&gt;" &amp; $P4002) + 1</f>
        <v>1566</v>
      </c>
      <c r="R4002" s="63">
        <f>(COUNTIFS($P:$P, "&gt;" &amp; $P4002) + 1) / (COUNTA($I:$I) - 1)</f>
        <v>0.31319999999999998</v>
      </c>
      <c r="S4002" s="23">
        <f>SUMIFS($P:$P, $Q:$Q, "&lt;" &amp; $Q4002)</f>
        <v>175670874</v>
      </c>
    </row>
    <row r="4003" spans="1:19" x14ac:dyDescent="0.25">
      <c r="A4003" s="1">
        <v>3998</v>
      </c>
      <c r="B4003" s="1" t="s">
        <v>2</v>
      </c>
      <c r="C4003" s="1" t="str">
        <f>IF($B4003 = "Production Item", _xlfn.XLOOKUP($A4003, 'Instrument Table'!$J:$J, 'Instrument Table'!$B:$B, $C4002), IF($B4003 = "Service Item", _xlfn.XLOOKUP($A4003, 'Instrument Table'!$I:$I, 'Instrument Table'!$B:$B, $C4002), _xlfn.XLOOKUP($A4003, 'Instrument Table'!$H:$H, 'Instrument Table'!$B:$B, $C4002)))</f>
        <v>Musical Accessories</v>
      </c>
      <c r="D4003" s="1" t="str">
        <f>VLOOKUP($C4003, 'Instrument Table'!$B:$C, 2, FALSE)</f>
        <v>Other</v>
      </c>
      <c r="E4003" s="1">
        <f t="shared" si="372"/>
        <v>1</v>
      </c>
      <c r="F4003" s="1">
        <f>_xlfn.XLOOKUP($C4003, 'Instrument Table'!$B:$B, 'Instrument Table'!$A:$A, "")</f>
        <v>64</v>
      </c>
      <c r="G4003" s="1" t="str">
        <f>TEXT(IF($B4003 = "Retail Item", IF((ROW($A4003) - 4504 - _xlfn.XMATCH($C4003, $C$4506:$C$5005, 0, 1)) &lt;= VLOOKUP($C4003, 'Instrument Table'!$B:$D, 3, FALSE), ROW($A4003) - 4504 - _xlfn.XMATCH($C4003, $C$4506:$C$5005, 0, 1), 0), 0), "00")</f>
        <v>00</v>
      </c>
      <c r="H4003" s="1" t="str">
        <f t="shared" si="373"/>
        <v>197</v>
      </c>
      <c r="I4003" s="1" t="str">
        <f t="shared" si="374"/>
        <v>16400-197</v>
      </c>
      <c r="J4003" s="1" t="str">
        <f t="shared" si="375"/>
        <v>Musical accessories production item #197</v>
      </c>
      <c r="K4003" s="1" t="str">
        <f>IF(SUM(COUNTIFS(I:I, I4003)) &gt; 1, "DUPLICATE", "UNIQUE")</f>
        <v>UNIQUE</v>
      </c>
      <c r="L4003" s="18">
        <v>8</v>
      </c>
      <c r="M4003" s="28">
        <v>80</v>
      </c>
      <c r="N4003" s="6">
        <v>81</v>
      </c>
      <c r="O4003" s="30">
        <f t="shared" si="376"/>
        <v>640</v>
      </c>
      <c r="P4003" s="30">
        <f t="shared" si="377"/>
        <v>6480</v>
      </c>
      <c r="Q4003" s="1">
        <f>COUNTIFS($P:$P, "&gt;" &amp; $P4003) + 1</f>
        <v>2209</v>
      </c>
      <c r="R4003" s="63">
        <f>(COUNTIFS($P:$P, "&gt;" &amp; $P4003) + 1) / (COUNTA($I:$I) - 1)</f>
        <v>0.44180000000000003</v>
      </c>
      <c r="S4003" s="23">
        <f>SUMIFS($P:$P, $Q:$Q, "&lt;" &amp; $Q4003)</f>
        <v>181510092</v>
      </c>
    </row>
    <row r="4004" spans="1:19" x14ac:dyDescent="0.25">
      <c r="A4004" s="1">
        <v>3999</v>
      </c>
      <c r="B4004" s="1" t="s">
        <v>2</v>
      </c>
      <c r="C4004" s="1" t="str">
        <f>IF($B4004 = "Production Item", _xlfn.XLOOKUP($A4004, 'Instrument Table'!$J:$J, 'Instrument Table'!$B:$B, $C4003), IF($B4004 = "Service Item", _xlfn.XLOOKUP($A4004, 'Instrument Table'!$I:$I, 'Instrument Table'!$B:$B, $C4003), _xlfn.XLOOKUP($A4004, 'Instrument Table'!$H:$H, 'Instrument Table'!$B:$B, $C4003)))</f>
        <v>Musical Accessories</v>
      </c>
      <c r="D4004" s="1" t="str">
        <f>VLOOKUP($C4004, 'Instrument Table'!$B:$C, 2, FALSE)</f>
        <v>Other</v>
      </c>
      <c r="E4004" s="1">
        <f t="shared" si="372"/>
        <v>1</v>
      </c>
      <c r="F4004" s="1">
        <f>_xlfn.XLOOKUP($C4004, 'Instrument Table'!$B:$B, 'Instrument Table'!$A:$A, "")</f>
        <v>64</v>
      </c>
      <c r="G4004" s="1" t="str">
        <f>TEXT(IF($B4004 = "Retail Item", IF((ROW($A4004) - 4504 - _xlfn.XMATCH($C4004, $C$4506:$C$5005, 0, 1)) &lt;= VLOOKUP($C4004, 'Instrument Table'!$B:$D, 3, FALSE), ROW($A4004) - 4504 - _xlfn.XMATCH($C4004, $C$4506:$C$5005, 0, 1), 0), 0), "00")</f>
        <v>00</v>
      </c>
      <c r="H4004" s="1" t="str">
        <f t="shared" si="373"/>
        <v>198</v>
      </c>
      <c r="I4004" s="1" t="str">
        <f t="shared" si="374"/>
        <v>16400-198</v>
      </c>
      <c r="J4004" s="1" t="str">
        <f t="shared" si="375"/>
        <v>Musical accessories production item #198</v>
      </c>
      <c r="K4004" s="1" t="str">
        <f>IF(SUM(COUNTIFS(I:I, I4004)) &gt; 1, "DUPLICATE", "UNIQUE")</f>
        <v>UNIQUE</v>
      </c>
      <c r="L4004" s="18">
        <v>16</v>
      </c>
      <c r="M4004" s="28">
        <v>40</v>
      </c>
      <c r="N4004" s="6">
        <v>0</v>
      </c>
      <c r="O4004" s="30">
        <f t="shared" si="376"/>
        <v>640</v>
      </c>
      <c r="P4004" s="30">
        <f t="shared" si="377"/>
        <v>0</v>
      </c>
      <c r="Q4004" s="1">
        <f>COUNTIFS($P:$P, "&gt;" &amp; $P4004) + 1</f>
        <v>4746</v>
      </c>
      <c r="R4004" s="63">
        <f>(COUNTIFS($P:$P, "&gt;" &amp; $P4004) + 1) / (COUNTA($I:$I) - 1)</f>
        <v>0.94920000000000004</v>
      </c>
      <c r="S4004" s="23">
        <f>SUMIFS($P:$P, $Q:$Q, "&lt;" &amp; $Q4004)</f>
        <v>186547861</v>
      </c>
    </row>
    <row r="4005" spans="1:19" x14ac:dyDescent="0.25">
      <c r="A4005" s="1">
        <v>4000</v>
      </c>
      <c r="B4005" s="1" t="s">
        <v>2</v>
      </c>
      <c r="C4005" s="1" t="str">
        <f>IF($B4005 = "Production Item", _xlfn.XLOOKUP($A4005, 'Instrument Table'!$J:$J, 'Instrument Table'!$B:$B, $C4004), IF($B4005 = "Service Item", _xlfn.XLOOKUP($A4005, 'Instrument Table'!$I:$I, 'Instrument Table'!$B:$B, $C4004), _xlfn.XLOOKUP($A4005, 'Instrument Table'!$H:$H, 'Instrument Table'!$B:$B, $C4004)))</f>
        <v>Musical Accessories</v>
      </c>
      <c r="D4005" s="1" t="str">
        <f>VLOOKUP($C4005, 'Instrument Table'!$B:$C, 2, FALSE)</f>
        <v>Other</v>
      </c>
      <c r="E4005" s="1">
        <f t="shared" si="372"/>
        <v>1</v>
      </c>
      <c r="F4005" s="1">
        <f>_xlfn.XLOOKUP($C4005, 'Instrument Table'!$B:$B, 'Instrument Table'!$A:$A, "")</f>
        <v>64</v>
      </c>
      <c r="G4005" s="1" t="str">
        <f>TEXT(IF($B4005 = "Retail Item", IF((ROW($A4005) - 4504 - _xlfn.XMATCH($C4005, $C$4506:$C$5005, 0, 1)) &lt;= VLOOKUP($C4005, 'Instrument Table'!$B:$D, 3, FALSE), ROW($A4005) - 4504 - _xlfn.XMATCH($C4005, $C$4506:$C$5005, 0, 1), 0), 0), "00")</f>
        <v>00</v>
      </c>
      <c r="H4005" s="1" t="str">
        <f t="shared" si="373"/>
        <v>199</v>
      </c>
      <c r="I4005" s="1" t="str">
        <f t="shared" si="374"/>
        <v>16400-199</v>
      </c>
      <c r="J4005" s="1" t="str">
        <f t="shared" si="375"/>
        <v>Musical accessories production item #199</v>
      </c>
      <c r="K4005" s="1" t="str">
        <f>IF(SUM(COUNTIFS(I:I, I4005)) &gt; 1, "DUPLICATE", "UNIQUE")</f>
        <v>UNIQUE</v>
      </c>
      <c r="L4005" s="18">
        <v>1</v>
      </c>
      <c r="M4005" s="28">
        <v>71</v>
      </c>
      <c r="N4005" s="6">
        <v>9</v>
      </c>
      <c r="O4005" s="30">
        <f t="shared" si="376"/>
        <v>71</v>
      </c>
      <c r="P4005" s="30">
        <f t="shared" si="377"/>
        <v>639</v>
      </c>
      <c r="Q4005" s="1">
        <f>COUNTIFS($P:$P, "&gt;" &amp; $P4005) + 1</f>
        <v>3921</v>
      </c>
      <c r="R4005" s="63">
        <f>(COUNTIFS($P:$P, "&gt;" &amp; $P4005) + 1) / (COUNTA($I:$I) - 1)</f>
        <v>0.78420000000000001</v>
      </c>
      <c r="S4005" s="23">
        <f>SUMIFS($P:$P, $Q:$Q, "&lt;" &amp; $Q4005)</f>
        <v>186352563</v>
      </c>
    </row>
    <row r="4006" spans="1:19" x14ac:dyDescent="0.25">
      <c r="A4006" s="1">
        <v>4001</v>
      </c>
      <c r="B4006" s="1" t="s">
        <v>3</v>
      </c>
      <c r="C4006" s="1" t="str">
        <f>IF($B4006 = "Production Item", _xlfn.XLOOKUP($A4006, 'Instrument Table'!$J:$J, 'Instrument Table'!$B:$B, $C4005), IF($B4006 = "Service Item", _xlfn.XLOOKUP($A4006, 'Instrument Table'!$I:$I, 'Instrument Table'!$B:$B, $C4005), _xlfn.XLOOKUP($A4006, 'Instrument Table'!$H:$H, 'Instrument Table'!$B:$B, $C4005)))</f>
        <v>Grand Piano</v>
      </c>
      <c r="D4006" s="1" t="str">
        <f>VLOOKUP($C4006, 'Instrument Table'!$B:$C, 2, FALSE)</f>
        <v>Pianos</v>
      </c>
      <c r="E4006" s="1">
        <f t="shared" si="372"/>
        <v>2</v>
      </c>
      <c r="F4006" s="1">
        <f>_xlfn.XLOOKUP($C4006, 'Instrument Table'!$B:$B, 'Instrument Table'!$A:$A, "")</f>
        <v>10</v>
      </c>
      <c r="G4006" s="1" t="str">
        <f>TEXT(IF($B4006 = "Retail Item", IF((ROW($A4006) - 4504 - _xlfn.XMATCH($C4006, $C$4506:$C$5005, 0, 1)) &lt;= VLOOKUP($C4006, 'Instrument Table'!$B:$D, 3, FALSE), ROW($A4006) - 4504 - _xlfn.XMATCH($C4006, $C$4506:$C$5005, 0, 1), 0), 0), "00")</f>
        <v>00</v>
      </c>
      <c r="H4006" s="1" t="str">
        <f t="shared" si="373"/>
        <v>000</v>
      </c>
      <c r="I4006" s="1" t="str">
        <f t="shared" si="374"/>
        <v>21000-000</v>
      </c>
      <c r="J4006" s="1" t="str">
        <f t="shared" si="375"/>
        <v>Grand piano service item #000</v>
      </c>
      <c r="K4006" s="1" t="str">
        <f>IF(SUM(COUNTIFS(I:I, I4006)) &gt; 1, "DUPLICATE", "UNIQUE")</f>
        <v>UNIQUE</v>
      </c>
      <c r="L4006" s="18">
        <v>0</v>
      </c>
      <c r="M4006" s="28">
        <v>343</v>
      </c>
      <c r="N4006" s="6">
        <v>8</v>
      </c>
      <c r="O4006" s="30">
        <f t="shared" si="376"/>
        <v>0</v>
      </c>
      <c r="P4006" s="30">
        <f t="shared" si="377"/>
        <v>2744</v>
      </c>
      <c r="Q4006" s="1">
        <f>COUNTIFS($P:$P, "&gt;" &amp; $P4006) + 1</f>
        <v>2969</v>
      </c>
      <c r="R4006" s="63">
        <f>(COUNTIFS($P:$P, "&gt;" &amp; $P4006) + 1) / (COUNTA($I:$I) - 1)</f>
        <v>0.59379999999999999</v>
      </c>
      <c r="S4006" s="23">
        <f>SUMIFS($P:$P, $Q:$Q, "&lt;" &amp; $Q4006)</f>
        <v>184848382</v>
      </c>
    </row>
    <row r="4007" spans="1:19" x14ac:dyDescent="0.25">
      <c r="A4007" s="1">
        <v>4002</v>
      </c>
      <c r="B4007" s="1" t="s">
        <v>3</v>
      </c>
      <c r="C4007" s="1" t="str">
        <f>IF($B4007 = "Production Item", _xlfn.XLOOKUP($A4007, 'Instrument Table'!$J:$J, 'Instrument Table'!$B:$B, $C4006), IF($B4007 = "Service Item", _xlfn.XLOOKUP($A4007, 'Instrument Table'!$I:$I, 'Instrument Table'!$B:$B, $C4006), _xlfn.XLOOKUP($A4007, 'Instrument Table'!$H:$H, 'Instrument Table'!$B:$B, $C4006)))</f>
        <v>Grand Piano</v>
      </c>
      <c r="D4007" s="1" t="str">
        <f>VLOOKUP($C4007, 'Instrument Table'!$B:$C, 2, FALSE)</f>
        <v>Pianos</v>
      </c>
      <c r="E4007" s="1">
        <f t="shared" si="372"/>
        <v>2</v>
      </c>
      <c r="F4007" s="1">
        <f>_xlfn.XLOOKUP($C4007, 'Instrument Table'!$B:$B, 'Instrument Table'!$A:$A, "")</f>
        <v>10</v>
      </c>
      <c r="G4007" s="1" t="str">
        <f>TEXT(IF($B4007 = "Retail Item", IF((ROW($A4007) - 4504 - _xlfn.XMATCH($C4007, $C$4506:$C$5005, 0, 1)) &lt;= VLOOKUP($C4007, 'Instrument Table'!$B:$D, 3, FALSE), ROW($A4007) - 4504 - _xlfn.XMATCH($C4007, $C$4506:$C$5005, 0, 1), 0), 0), "00")</f>
        <v>00</v>
      </c>
      <c r="H4007" s="1" t="str">
        <f t="shared" si="373"/>
        <v>001</v>
      </c>
      <c r="I4007" s="1" t="str">
        <f t="shared" si="374"/>
        <v>21000-001</v>
      </c>
      <c r="J4007" s="1" t="str">
        <f t="shared" si="375"/>
        <v>Grand piano service item #001</v>
      </c>
      <c r="K4007" s="1" t="str">
        <f>IF(SUM(COUNTIFS(I:I, I4007)) &gt; 1, "DUPLICATE", "UNIQUE")</f>
        <v>UNIQUE</v>
      </c>
      <c r="L4007" s="18">
        <v>4</v>
      </c>
      <c r="M4007" s="28">
        <v>258</v>
      </c>
      <c r="N4007" s="6">
        <v>64</v>
      </c>
      <c r="O4007" s="30">
        <f t="shared" si="376"/>
        <v>1032</v>
      </c>
      <c r="P4007" s="30">
        <f t="shared" si="377"/>
        <v>16512</v>
      </c>
      <c r="Q4007" s="1">
        <f>COUNTIFS($P:$P, "&gt;" &amp; $P4007) + 1</f>
        <v>1246</v>
      </c>
      <c r="R4007" s="63">
        <f>(COUNTIFS($P:$P, "&gt;" &amp; $P4007) + 1) / (COUNTA($I:$I) - 1)</f>
        <v>0.2492</v>
      </c>
      <c r="S4007" s="23">
        <f>SUMIFS($P:$P, $Q:$Q, "&lt;" &amp; $Q4007)</f>
        <v>171103530</v>
      </c>
    </row>
    <row r="4008" spans="1:19" x14ac:dyDescent="0.25">
      <c r="A4008" s="1">
        <v>4003</v>
      </c>
      <c r="B4008" s="1" t="s">
        <v>3</v>
      </c>
      <c r="C4008" s="1" t="str">
        <f>IF($B4008 = "Production Item", _xlfn.XLOOKUP($A4008, 'Instrument Table'!$J:$J, 'Instrument Table'!$B:$B, $C4007), IF($B4008 = "Service Item", _xlfn.XLOOKUP($A4008, 'Instrument Table'!$I:$I, 'Instrument Table'!$B:$B, $C4007), _xlfn.XLOOKUP($A4008, 'Instrument Table'!$H:$H, 'Instrument Table'!$B:$B, $C4007)))</f>
        <v>Grand Piano</v>
      </c>
      <c r="D4008" s="1" t="str">
        <f>VLOOKUP($C4008, 'Instrument Table'!$B:$C, 2, FALSE)</f>
        <v>Pianos</v>
      </c>
      <c r="E4008" s="1">
        <f t="shared" si="372"/>
        <v>2</v>
      </c>
      <c r="F4008" s="1">
        <f>_xlfn.XLOOKUP($C4008, 'Instrument Table'!$B:$B, 'Instrument Table'!$A:$A, "")</f>
        <v>10</v>
      </c>
      <c r="G4008" s="1" t="str">
        <f>TEXT(IF($B4008 = "Retail Item", IF((ROW($A4008) - 4504 - _xlfn.XMATCH($C4008, $C$4506:$C$5005, 0, 1)) &lt;= VLOOKUP($C4008, 'Instrument Table'!$B:$D, 3, FALSE), ROW($A4008) - 4504 - _xlfn.XMATCH($C4008, $C$4506:$C$5005, 0, 1), 0), 0), "00")</f>
        <v>00</v>
      </c>
      <c r="H4008" s="1" t="str">
        <f t="shared" si="373"/>
        <v>002</v>
      </c>
      <c r="I4008" s="1" t="str">
        <f t="shared" si="374"/>
        <v>21000-002</v>
      </c>
      <c r="J4008" s="1" t="str">
        <f t="shared" si="375"/>
        <v>Grand piano service item #002</v>
      </c>
      <c r="K4008" s="1" t="str">
        <f>IF(SUM(COUNTIFS(I:I, I4008)) &gt; 1, "DUPLICATE", "UNIQUE")</f>
        <v>UNIQUE</v>
      </c>
      <c r="L4008" s="18">
        <v>9</v>
      </c>
      <c r="M4008" s="28">
        <v>331</v>
      </c>
      <c r="N4008" s="6">
        <v>8</v>
      </c>
      <c r="O4008" s="30">
        <f t="shared" si="376"/>
        <v>2979</v>
      </c>
      <c r="P4008" s="30">
        <f t="shared" si="377"/>
        <v>2648</v>
      </c>
      <c r="Q4008" s="1">
        <f>COUNTIFS($P:$P, "&gt;" &amp; $P4008) + 1</f>
        <v>2998</v>
      </c>
      <c r="R4008" s="63">
        <f>(COUNTIFS($P:$P, "&gt;" &amp; $P4008) + 1) / (COUNTA($I:$I) - 1)</f>
        <v>0.59960000000000002</v>
      </c>
      <c r="S4008" s="23">
        <f>SUMIFS($P:$P, $Q:$Q, "&lt;" &amp; $Q4008)</f>
        <v>184926806</v>
      </c>
    </row>
    <row r="4009" spans="1:19" x14ac:dyDescent="0.25">
      <c r="A4009" s="1">
        <v>4004</v>
      </c>
      <c r="B4009" s="1" t="s">
        <v>3</v>
      </c>
      <c r="C4009" s="1" t="str">
        <f>IF($B4009 = "Production Item", _xlfn.XLOOKUP($A4009, 'Instrument Table'!$J:$J, 'Instrument Table'!$B:$B, $C4008), IF($B4009 = "Service Item", _xlfn.XLOOKUP($A4009, 'Instrument Table'!$I:$I, 'Instrument Table'!$B:$B, $C4008), _xlfn.XLOOKUP($A4009, 'Instrument Table'!$H:$H, 'Instrument Table'!$B:$B, $C4008)))</f>
        <v>Grand Piano</v>
      </c>
      <c r="D4009" s="1" t="str">
        <f>VLOOKUP($C4009, 'Instrument Table'!$B:$C, 2, FALSE)</f>
        <v>Pianos</v>
      </c>
      <c r="E4009" s="1">
        <f t="shared" si="372"/>
        <v>2</v>
      </c>
      <c r="F4009" s="1">
        <f>_xlfn.XLOOKUP($C4009, 'Instrument Table'!$B:$B, 'Instrument Table'!$A:$A, "")</f>
        <v>10</v>
      </c>
      <c r="G4009" s="1" t="str">
        <f>TEXT(IF($B4009 = "Retail Item", IF((ROW($A4009) - 4504 - _xlfn.XMATCH($C4009, $C$4506:$C$5005, 0, 1)) &lt;= VLOOKUP($C4009, 'Instrument Table'!$B:$D, 3, FALSE), ROW($A4009) - 4504 - _xlfn.XMATCH($C4009, $C$4506:$C$5005, 0, 1), 0), 0), "00")</f>
        <v>00</v>
      </c>
      <c r="H4009" s="1" t="str">
        <f t="shared" si="373"/>
        <v>003</v>
      </c>
      <c r="I4009" s="1" t="str">
        <f t="shared" si="374"/>
        <v>21000-003</v>
      </c>
      <c r="J4009" s="1" t="str">
        <f t="shared" si="375"/>
        <v>Grand piano service item #003</v>
      </c>
      <c r="K4009" s="1" t="str">
        <f>IF(SUM(COUNTIFS(I:I, I4009)) &gt; 1, "DUPLICATE", "UNIQUE")</f>
        <v>UNIQUE</v>
      </c>
      <c r="L4009" s="18">
        <v>7</v>
      </c>
      <c r="M4009" s="28">
        <v>391</v>
      </c>
      <c r="N4009" s="6">
        <v>0</v>
      </c>
      <c r="O4009" s="30">
        <f t="shared" si="376"/>
        <v>2737</v>
      </c>
      <c r="P4009" s="30">
        <f t="shared" si="377"/>
        <v>0</v>
      </c>
      <c r="Q4009" s="1">
        <f>COUNTIFS($P:$P, "&gt;" &amp; $P4009) + 1</f>
        <v>4746</v>
      </c>
      <c r="R4009" s="63">
        <f>(COUNTIFS($P:$P, "&gt;" &amp; $P4009) + 1) / (COUNTA($I:$I) - 1)</f>
        <v>0.94920000000000004</v>
      </c>
      <c r="S4009" s="23">
        <f>SUMIFS($P:$P, $Q:$Q, "&lt;" &amp; $Q4009)</f>
        <v>186547861</v>
      </c>
    </row>
    <row r="4010" spans="1:19" x14ac:dyDescent="0.25">
      <c r="A4010" s="1">
        <v>4005</v>
      </c>
      <c r="B4010" s="1" t="s">
        <v>3</v>
      </c>
      <c r="C4010" s="1" t="str">
        <f>IF($B4010 = "Production Item", _xlfn.XLOOKUP($A4010, 'Instrument Table'!$J:$J, 'Instrument Table'!$B:$B, $C4009), IF($B4010 = "Service Item", _xlfn.XLOOKUP($A4010, 'Instrument Table'!$I:$I, 'Instrument Table'!$B:$B, $C4009), _xlfn.XLOOKUP($A4010, 'Instrument Table'!$H:$H, 'Instrument Table'!$B:$B, $C4009)))</f>
        <v>Grand Piano</v>
      </c>
      <c r="D4010" s="1" t="str">
        <f>VLOOKUP($C4010, 'Instrument Table'!$B:$C, 2, FALSE)</f>
        <v>Pianos</v>
      </c>
      <c r="E4010" s="1">
        <f t="shared" si="372"/>
        <v>2</v>
      </c>
      <c r="F4010" s="1">
        <f>_xlfn.XLOOKUP($C4010, 'Instrument Table'!$B:$B, 'Instrument Table'!$A:$A, "")</f>
        <v>10</v>
      </c>
      <c r="G4010" s="1" t="str">
        <f>TEXT(IF($B4010 = "Retail Item", IF((ROW($A4010) - 4504 - _xlfn.XMATCH($C4010, $C$4506:$C$5005, 0, 1)) &lt;= VLOOKUP($C4010, 'Instrument Table'!$B:$D, 3, FALSE), ROW($A4010) - 4504 - _xlfn.XMATCH($C4010, $C$4506:$C$5005, 0, 1), 0), 0), "00")</f>
        <v>00</v>
      </c>
      <c r="H4010" s="1" t="str">
        <f t="shared" si="373"/>
        <v>004</v>
      </c>
      <c r="I4010" s="1" t="str">
        <f t="shared" si="374"/>
        <v>21000-004</v>
      </c>
      <c r="J4010" s="1" t="str">
        <f t="shared" si="375"/>
        <v>Grand piano service item #004</v>
      </c>
      <c r="K4010" s="1" t="str">
        <f>IF(SUM(COUNTIFS(I:I, I4010)) &gt; 1, "DUPLICATE", "UNIQUE")</f>
        <v>UNIQUE</v>
      </c>
      <c r="L4010" s="18">
        <v>0</v>
      </c>
      <c r="M4010" s="28">
        <v>426</v>
      </c>
      <c r="N4010" s="6">
        <v>0</v>
      </c>
      <c r="O4010" s="30">
        <f t="shared" si="376"/>
        <v>0</v>
      </c>
      <c r="P4010" s="30">
        <f t="shared" si="377"/>
        <v>0</v>
      </c>
      <c r="Q4010" s="1">
        <f>COUNTIFS($P:$P, "&gt;" &amp; $P4010) + 1</f>
        <v>4746</v>
      </c>
      <c r="R4010" s="63">
        <f>(COUNTIFS($P:$P, "&gt;" &amp; $P4010) + 1) / (COUNTA($I:$I) - 1)</f>
        <v>0.94920000000000004</v>
      </c>
      <c r="S4010" s="23">
        <f>SUMIFS($P:$P, $Q:$Q, "&lt;" &amp; $Q4010)</f>
        <v>186547861</v>
      </c>
    </row>
    <row r="4011" spans="1:19" x14ac:dyDescent="0.25">
      <c r="A4011" s="1">
        <v>4006</v>
      </c>
      <c r="B4011" s="1" t="s">
        <v>3</v>
      </c>
      <c r="C4011" s="1" t="str">
        <f>IF($B4011 = "Production Item", _xlfn.XLOOKUP($A4011, 'Instrument Table'!$J:$J, 'Instrument Table'!$B:$B, $C4010), IF($B4011 = "Service Item", _xlfn.XLOOKUP($A4011, 'Instrument Table'!$I:$I, 'Instrument Table'!$B:$B, $C4010), _xlfn.XLOOKUP($A4011, 'Instrument Table'!$H:$H, 'Instrument Table'!$B:$B, $C4010)))</f>
        <v>Grand Piano</v>
      </c>
      <c r="D4011" s="1" t="str">
        <f>VLOOKUP($C4011, 'Instrument Table'!$B:$C, 2, FALSE)</f>
        <v>Pianos</v>
      </c>
      <c r="E4011" s="1">
        <f t="shared" si="372"/>
        <v>2</v>
      </c>
      <c r="F4011" s="1">
        <f>_xlfn.XLOOKUP($C4011, 'Instrument Table'!$B:$B, 'Instrument Table'!$A:$A, "")</f>
        <v>10</v>
      </c>
      <c r="G4011" s="1" t="str">
        <f>TEXT(IF($B4011 = "Retail Item", IF((ROW($A4011) - 4504 - _xlfn.XMATCH($C4011, $C$4506:$C$5005, 0, 1)) &lt;= VLOOKUP($C4011, 'Instrument Table'!$B:$D, 3, FALSE), ROW($A4011) - 4504 - _xlfn.XMATCH($C4011, $C$4506:$C$5005, 0, 1), 0), 0), "00")</f>
        <v>00</v>
      </c>
      <c r="H4011" s="1" t="str">
        <f t="shared" si="373"/>
        <v>005</v>
      </c>
      <c r="I4011" s="1" t="str">
        <f t="shared" si="374"/>
        <v>21000-005</v>
      </c>
      <c r="J4011" s="1" t="str">
        <f t="shared" si="375"/>
        <v>Grand piano service item #005</v>
      </c>
      <c r="K4011" s="1" t="str">
        <f>IF(SUM(COUNTIFS(I:I, I4011)) &gt; 1, "DUPLICATE", "UNIQUE")</f>
        <v>UNIQUE</v>
      </c>
      <c r="L4011" s="18">
        <v>8</v>
      </c>
      <c r="M4011" s="28">
        <v>283</v>
      </c>
      <c r="N4011" s="6">
        <v>27</v>
      </c>
      <c r="O4011" s="30">
        <f t="shared" si="376"/>
        <v>2264</v>
      </c>
      <c r="P4011" s="30">
        <f t="shared" si="377"/>
        <v>7641</v>
      </c>
      <c r="Q4011" s="1">
        <f>COUNTIFS($P:$P, "&gt;" &amp; $P4011) + 1</f>
        <v>2050</v>
      </c>
      <c r="R4011" s="63">
        <f>(COUNTIFS($P:$P, "&gt;" &amp; $P4011) + 1) / (COUNTA($I:$I) - 1)</f>
        <v>0.41</v>
      </c>
      <c r="S4011" s="23">
        <f>SUMIFS($P:$P, $Q:$Q, "&lt;" &amp; $Q4011)</f>
        <v>180385044</v>
      </c>
    </row>
    <row r="4012" spans="1:19" x14ac:dyDescent="0.25">
      <c r="A4012" s="1">
        <v>4007</v>
      </c>
      <c r="B4012" s="1" t="s">
        <v>3</v>
      </c>
      <c r="C4012" s="1" t="str">
        <f>IF($B4012 = "Production Item", _xlfn.XLOOKUP($A4012, 'Instrument Table'!$J:$J, 'Instrument Table'!$B:$B, $C4011), IF($B4012 = "Service Item", _xlfn.XLOOKUP($A4012, 'Instrument Table'!$I:$I, 'Instrument Table'!$B:$B, $C4011), _xlfn.XLOOKUP($A4012, 'Instrument Table'!$H:$H, 'Instrument Table'!$B:$B, $C4011)))</f>
        <v>Grand Piano</v>
      </c>
      <c r="D4012" s="1" t="str">
        <f>VLOOKUP($C4012, 'Instrument Table'!$B:$C, 2, FALSE)</f>
        <v>Pianos</v>
      </c>
      <c r="E4012" s="1">
        <f t="shared" si="372"/>
        <v>2</v>
      </c>
      <c r="F4012" s="1">
        <f>_xlfn.XLOOKUP($C4012, 'Instrument Table'!$B:$B, 'Instrument Table'!$A:$A, "")</f>
        <v>10</v>
      </c>
      <c r="G4012" s="1" t="str">
        <f>TEXT(IF($B4012 = "Retail Item", IF((ROW($A4012) - 4504 - _xlfn.XMATCH($C4012, $C$4506:$C$5005, 0, 1)) &lt;= VLOOKUP($C4012, 'Instrument Table'!$B:$D, 3, FALSE), ROW($A4012) - 4504 - _xlfn.XMATCH($C4012, $C$4506:$C$5005, 0, 1), 0), 0), "00")</f>
        <v>00</v>
      </c>
      <c r="H4012" s="1" t="str">
        <f t="shared" si="373"/>
        <v>006</v>
      </c>
      <c r="I4012" s="1" t="str">
        <f t="shared" si="374"/>
        <v>21000-006</v>
      </c>
      <c r="J4012" s="1" t="str">
        <f t="shared" si="375"/>
        <v>Grand piano service item #006</v>
      </c>
      <c r="K4012" s="1" t="str">
        <f>IF(SUM(COUNTIFS(I:I, I4012)) &gt; 1, "DUPLICATE", "UNIQUE")</f>
        <v>UNIQUE</v>
      </c>
      <c r="L4012" s="18">
        <v>4</v>
      </c>
      <c r="M4012" s="28">
        <v>478</v>
      </c>
      <c r="N4012" s="6">
        <v>0</v>
      </c>
      <c r="O4012" s="30">
        <f t="shared" si="376"/>
        <v>1912</v>
      </c>
      <c r="P4012" s="30">
        <f t="shared" si="377"/>
        <v>0</v>
      </c>
      <c r="Q4012" s="1">
        <f>COUNTIFS($P:$P, "&gt;" &amp; $P4012) + 1</f>
        <v>4746</v>
      </c>
      <c r="R4012" s="63">
        <f>(COUNTIFS($P:$P, "&gt;" &amp; $P4012) + 1) / (COUNTA($I:$I) - 1)</f>
        <v>0.94920000000000004</v>
      </c>
      <c r="S4012" s="23">
        <f>SUMIFS($P:$P, $Q:$Q, "&lt;" &amp; $Q4012)</f>
        <v>186547861</v>
      </c>
    </row>
    <row r="4013" spans="1:19" x14ac:dyDescent="0.25">
      <c r="A4013" s="1">
        <v>4008</v>
      </c>
      <c r="B4013" s="1" t="s">
        <v>3</v>
      </c>
      <c r="C4013" s="1" t="str">
        <f>IF($B4013 = "Production Item", _xlfn.XLOOKUP($A4013, 'Instrument Table'!$J:$J, 'Instrument Table'!$B:$B, $C4012), IF($B4013 = "Service Item", _xlfn.XLOOKUP($A4013, 'Instrument Table'!$I:$I, 'Instrument Table'!$B:$B, $C4012), _xlfn.XLOOKUP($A4013, 'Instrument Table'!$H:$H, 'Instrument Table'!$B:$B, $C4012)))</f>
        <v>Grand Piano</v>
      </c>
      <c r="D4013" s="1" t="str">
        <f>VLOOKUP($C4013, 'Instrument Table'!$B:$C, 2, FALSE)</f>
        <v>Pianos</v>
      </c>
      <c r="E4013" s="1">
        <f t="shared" si="372"/>
        <v>2</v>
      </c>
      <c r="F4013" s="1">
        <f>_xlfn.XLOOKUP($C4013, 'Instrument Table'!$B:$B, 'Instrument Table'!$A:$A, "")</f>
        <v>10</v>
      </c>
      <c r="G4013" s="1" t="str">
        <f>TEXT(IF($B4013 = "Retail Item", IF((ROW($A4013) - 4504 - _xlfn.XMATCH($C4013, $C$4506:$C$5005, 0, 1)) &lt;= VLOOKUP($C4013, 'Instrument Table'!$B:$D, 3, FALSE), ROW($A4013) - 4504 - _xlfn.XMATCH($C4013, $C$4506:$C$5005, 0, 1), 0), 0), "00")</f>
        <v>00</v>
      </c>
      <c r="H4013" s="1" t="str">
        <f t="shared" si="373"/>
        <v>007</v>
      </c>
      <c r="I4013" s="1" t="str">
        <f t="shared" si="374"/>
        <v>21000-007</v>
      </c>
      <c r="J4013" s="1" t="str">
        <f t="shared" si="375"/>
        <v>Grand piano service item #007</v>
      </c>
      <c r="K4013" s="1" t="str">
        <f>IF(SUM(COUNTIFS(I:I, I4013)) &gt; 1, "DUPLICATE", "UNIQUE")</f>
        <v>UNIQUE</v>
      </c>
      <c r="L4013" s="18">
        <v>7</v>
      </c>
      <c r="M4013" s="28">
        <v>909</v>
      </c>
      <c r="N4013" s="6">
        <v>125</v>
      </c>
      <c r="O4013" s="30">
        <f t="shared" si="376"/>
        <v>6363</v>
      </c>
      <c r="P4013" s="30">
        <f t="shared" si="377"/>
        <v>113625</v>
      </c>
      <c r="Q4013" s="1">
        <f>COUNTIFS($P:$P, "&gt;" &amp; $P4013) + 1</f>
        <v>389</v>
      </c>
      <c r="R4013" s="63">
        <f>(COUNTIFS($P:$P, "&gt;" &amp; $P4013) + 1) / (COUNTA($I:$I) - 1)</f>
        <v>7.7799999999999994E-2</v>
      </c>
      <c r="S4013" s="23">
        <f>SUMIFS($P:$P, $Q:$Q, "&lt;" &amp; $Q4013)</f>
        <v>142244201</v>
      </c>
    </row>
    <row r="4014" spans="1:19" x14ac:dyDescent="0.25">
      <c r="A4014" s="1">
        <v>4009</v>
      </c>
      <c r="B4014" s="1" t="s">
        <v>3</v>
      </c>
      <c r="C4014" s="1" t="str">
        <f>IF($B4014 = "Production Item", _xlfn.XLOOKUP($A4014, 'Instrument Table'!$J:$J, 'Instrument Table'!$B:$B, $C4013), IF($B4014 = "Service Item", _xlfn.XLOOKUP($A4014, 'Instrument Table'!$I:$I, 'Instrument Table'!$B:$B, $C4013), _xlfn.XLOOKUP($A4014, 'Instrument Table'!$H:$H, 'Instrument Table'!$B:$B, $C4013)))</f>
        <v>Grand Piano</v>
      </c>
      <c r="D4014" s="1" t="str">
        <f>VLOOKUP($C4014, 'Instrument Table'!$B:$C, 2, FALSE)</f>
        <v>Pianos</v>
      </c>
      <c r="E4014" s="1">
        <f t="shared" si="372"/>
        <v>2</v>
      </c>
      <c r="F4014" s="1">
        <f>_xlfn.XLOOKUP($C4014, 'Instrument Table'!$B:$B, 'Instrument Table'!$A:$A, "")</f>
        <v>10</v>
      </c>
      <c r="G4014" s="1" t="str">
        <f>TEXT(IF($B4014 = "Retail Item", IF((ROW($A4014) - 4504 - _xlfn.XMATCH($C4014, $C$4506:$C$5005, 0, 1)) &lt;= VLOOKUP($C4014, 'Instrument Table'!$B:$D, 3, FALSE), ROW($A4014) - 4504 - _xlfn.XMATCH($C4014, $C$4506:$C$5005, 0, 1), 0), 0), "00")</f>
        <v>00</v>
      </c>
      <c r="H4014" s="1" t="str">
        <f t="shared" si="373"/>
        <v>008</v>
      </c>
      <c r="I4014" s="1" t="str">
        <f t="shared" si="374"/>
        <v>21000-008</v>
      </c>
      <c r="J4014" s="1" t="str">
        <f t="shared" si="375"/>
        <v>Grand piano service item #008</v>
      </c>
      <c r="K4014" s="1" t="str">
        <f>IF(SUM(COUNTIFS(I:I, I4014)) &gt; 1, "DUPLICATE", "UNIQUE")</f>
        <v>UNIQUE</v>
      </c>
      <c r="L4014" s="18">
        <v>5</v>
      </c>
      <c r="M4014" s="28">
        <v>300</v>
      </c>
      <c r="N4014" s="6">
        <v>64</v>
      </c>
      <c r="O4014" s="30">
        <f t="shared" si="376"/>
        <v>1500</v>
      </c>
      <c r="P4014" s="30">
        <f t="shared" si="377"/>
        <v>19200</v>
      </c>
      <c r="Q4014" s="1">
        <f>COUNTIFS($P:$P, "&gt;" &amp; $P4014) + 1</f>
        <v>1090</v>
      </c>
      <c r="R4014" s="63">
        <f>(COUNTIFS($P:$P, "&gt;" &amp; $P4014) + 1) / (COUNTA($I:$I) - 1)</f>
        <v>0.218</v>
      </c>
      <c r="S4014" s="23">
        <f>SUMIFS($P:$P, $Q:$Q, "&lt;" &amp; $Q4014)</f>
        <v>168312341</v>
      </c>
    </row>
    <row r="4015" spans="1:19" x14ac:dyDescent="0.25">
      <c r="A4015" s="1">
        <v>4010</v>
      </c>
      <c r="B4015" s="1" t="s">
        <v>3</v>
      </c>
      <c r="C4015" s="1" t="str">
        <f>IF($B4015 = "Production Item", _xlfn.XLOOKUP($A4015, 'Instrument Table'!$J:$J, 'Instrument Table'!$B:$B, $C4014), IF($B4015 = "Service Item", _xlfn.XLOOKUP($A4015, 'Instrument Table'!$I:$I, 'Instrument Table'!$B:$B, $C4014), _xlfn.XLOOKUP($A4015, 'Instrument Table'!$H:$H, 'Instrument Table'!$B:$B, $C4014)))</f>
        <v>Grand Piano</v>
      </c>
      <c r="D4015" s="1" t="str">
        <f>VLOOKUP($C4015, 'Instrument Table'!$B:$C, 2, FALSE)</f>
        <v>Pianos</v>
      </c>
      <c r="E4015" s="1">
        <f t="shared" si="372"/>
        <v>2</v>
      </c>
      <c r="F4015" s="1">
        <f>_xlfn.XLOOKUP($C4015, 'Instrument Table'!$B:$B, 'Instrument Table'!$A:$A, "")</f>
        <v>10</v>
      </c>
      <c r="G4015" s="1" t="str">
        <f>TEXT(IF($B4015 = "Retail Item", IF((ROW($A4015) - 4504 - _xlfn.XMATCH($C4015, $C$4506:$C$5005, 0, 1)) &lt;= VLOOKUP($C4015, 'Instrument Table'!$B:$D, 3, FALSE), ROW($A4015) - 4504 - _xlfn.XMATCH($C4015, $C$4506:$C$5005, 0, 1), 0), 0), "00")</f>
        <v>00</v>
      </c>
      <c r="H4015" s="1" t="str">
        <f t="shared" si="373"/>
        <v>009</v>
      </c>
      <c r="I4015" s="1" t="str">
        <f t="shared" si="374"/>
        <v>21000-009</v>
      </c>
      <c r="J4015" s="1" t="str">
        <f t="shared" si="375"/>
        <v>Grand piano service item #009</v>
      </c>
      <c r="K4015" s="1" t="str">
        <f>IF(SUM(COUNTIFS(I:I, I4015)) &gt; 1, "DUPLICATE", "UNIQUE")</f>
        <v>UNIQUE</v>
      </c>
      <c r="L4015" s="18">
        <v>8</v>
      </c>
      <c r="M4015" s="28">
        <v>658</v>
      </c>
      <c r="N4015" s="6">
        <v>8</v>
      </c>
      <c r="O4015" s="30">
        <f t="shared" si="376"/>
        <v>5264</v>
      </c>
      <c r="P4015" s="30">
        <f t="shared" si="377"/>
        <v>5264</v>
      </c>
      <c r="Q4015" s="1">
        <f>COUNTIFS($P:$P, "&gt;" &amp; $P4015) + 1</f>
        <v>2394</v>
      </c>
      <c r="R4015" s="63">
        <f>(COUNTIFS($P:$P, "&gt;" &amp; $P4015) + 1) / (COUNTA($I:$I) - 1)</f>
        <v>0.4788</v>
      </c>
      <c r="S4015" s="23">
        <f>SUMIFS($P:$P, $Q:$Q, "&lt;" &amp; $Q4015)</f>
        <v>182585043</v>
      </c>
    </row>
    <row r="4016" spans="1:19" x14ac:dyDescent="0.25">
      <c r="A4016" s="1">
        <v>4011</v>
      </c>
      <c r="B4016" s="1" t="s">
        <v>3</v>
      </c>
      <c r="C4016" s="1" t="str">
        <f>IF($B4016 = "Production Item", _xlfn.XLOOKUP($A4016, 'Instrument Table'!$J:$J, 'Instrument Table'!$B:$B, $C4015), IF($B4016 = "Service Item", _xlfn.XLOOKUP($A4016, 'Instrument Table'!$I:$I, 'Instrument Table'!$B:$B, $C4015), _xlfn.XLOOKUP($A4016, 'Instrument Table'!$H:$H, 'Instrument Table'!$B:$B, $C4015)))</f>
        <v>Grand Piano</v>
      </c>
      <c r="D4016" s="1" t="str">
        <f>VLOOKUP($C4016, 'Instrument Table'!$B:$C, 2, FALSE)</f>
        <v>Pianos</v>
      </c>
      <c r="E4016" s="1">
        <f t="shared" si="372"/>
        <v>2</v>
      </c>
      <c r="F4016" s="1">
        <f>_xlfn.XLOOKUP($C4016, 'Instrument Table'!$B:$B, 'Instrument Table'!$A:$A, "")</f>
        <v>10</v>
      </c>
      <c r="G4016" s="1" t="str">
        <f>TEXT(IF($B4016 = "Retail Item", IF((ROW($A4016) - 4504 - _xlfn.XMATCH($C4016, $C$4506:$C$5005, 0, 1)) &lt;= VLOOKUP($C4016, 'Instrument Table'!$B:$D, 3, FALSE), ROW($A4016) - 4504 - _xlfn.XMATCH($C4016, $C$4506:$C$5005, 0, 1), 0), 0), "00")</f>
        <v>00</v>
      </c>
      <c r="H4016" s="1" t="str">
        <f t="shared" si="373"/>
        <v>010</v>
      </c>
      <c r="I4016" s="1" t="str">
        <f t="shared" si="374"/>
        <v>21000-010</v>
      </c>
      <c r="J4016" s="1" t="str">
        <f t="shared" si="375"/>
        <v>Grand piano service item #010</v>
      </c>
      <c r="K4016" s="1" t="str">
        <f>IF(SUM(COUNTIFS(I:I, I4016)) &gt; 1, "DUPLICATE", "UNIQUE")</f>
        <v>UNIQUE</v>
      </c>
      <c r="L4016" s="18">
        <v>7</v>
      </c>
      <c r="M4016" s="28">
        <v>356</v>
      </c>
      <c r="N4016" s="6">
        <v>64</v>
      </c>
      <c r="O4016" s="30">
        <f t="shared" si="376"/>
        <v>2492</v>
      </c>
      <c r="P4016" s="30">
        <f t="shared" si="377"/>
        <v>22784</v>
      </c>
      <c r="Q4016" s="1">
        <f>COUNTIFS($P:$P, "&gt;" &amp; $P4016) + 1</f>
        <v>915</v>
      </c>
      <c r="R4016" s="63">
        <f>(COUNTIFS($P:$P, "&gt;" &amp; $P4016) + 1) / (COUNTA($I:$I) - 1)</f>
        <v>0.183</v>
      </c>
      <c r="S4016" s="23">
        <f>SUMIFS($P:$P, $Q:$Q, "&lt;" &amp; $Q4016)</f>
        <v>164625098</v>
      </c>
    </row>
    <row r="4017" spans="1:19" x14ac:dyDescent="0.25">
      <c r="A4017" s="1">
        <v>4012</v>
      </c>
      <c r="B4017" s="1" t="s">
        <v>3</v>
      </c>
      <c r="C4017" s="1" t="str">
        <f>IF($B4017 = "Production Item", _xlfn.XLOOKUP($A4017, 'Instrument Table'!$J:$J, 'Instrument Table'!$B:$B, $C4016), IF($B4017 = "Service Item", _xlfn.XLOOKUP($A4017, 'Instrument Table'!$I:$I, 'Instrument Table'!$B:$B, $C4016), _xlfn.XLOOKUP($A4017, 'Instrument Table'!$H:$H, 'Instrument Table'!$B:$B, $C4016)))</f>
        <v>Grand Piano</v>
      </c>
      <c r="D4017" s="1" t="str">
        <f>VLOOKUP($C4017, 'Instrument Table'!$B:$C, 2, FALSE)</f>
        <v>Pianos</v>
      </c>
      <c r="E4017" s="1">
        <f t="shared" si="372"/>
        <v>2</v>
      </c>
      <c r="F4017" s="1">
        <f>_xlfn.XLOOKUP($C4017, 'Instrument Table'!$B:$B, 'Instrument Table'!$A:$A, "")</f>
        <v>10</v>
      </c>
      <c r="G4017" s="1" t="str">
        <f>TEXT(IF($B4017 = "Retail Item", IF((ROW($A4017) - 4504 - _xlfn.XMATCH($C4017, $C$4506:$C$5005, 0, 1)) &lt;= VLOOKUP($C4017, 'Instrument Table'!$B:$D, 3, FALSE), ROW($A4017) - 4504 - _xlfn.XMATCH($C4017, $C$4506:$C$5005, 0, 1), 0), 0), "00")</f>
        <v>00</v>
      </c>
      <c r="H4017" s="1" t="str">
        <f t="shared" si="373"/>
        <v>011</v>
      </c>
      <c r="I4017" s="1" t="str">
        <f t="shared" si="374"/>
        <v>21000-011</v>
      </c>
      <c r="J4017" s="1" t="str">
        <f t="shared" si="375"/>
        <v>Grand piano service item #011</v>
      </c>
      <c r="K4017" s="1" t="str">
        <f>IF(SUM(COUNTIFS(I:I, I4017)) &gt; 1, "DUPLICATE", "UNIQUE")</f>
        <v>UNIQUE</v>
      </c>
      <c r="L4017" s="18">
        <v>6</v>
      </c>
      <c r="M4017" s="28">
        <v>627</v>
      </c>
      <c r="N4017" s="6">
        <v>64</v>
      </c>
      <c r="O4017" s="30">
        <f t="shared" si="376"/>
        <v>3762</v>
      </c>
      <c r="P4017" s="30">
        <f t="shared" si="377"/>
        <v>40128</v>
      </c>
      <c r="Q4017" s="1">
        <f>COUNTIFS($P:$P, "&gt;" &amp; $P4017) + 1</f>
        <v>550</v>
      </c>
      <c r="R4017" s="63">
        <f>(COUNTIFS($P:$P, "&gt;" &amp; $P4017) + 1) / (COUNTA($I:$I) - 1)</f>
        <v>0.11</v>
      </c>
      <c r="S4017" s="23">
        <f>SUMIFS($P:$P, $Q:$Q, "&lt;" &amp; $Q4017)</f>
        <v>153977406</v>
      </c>
    </row>
    <row r="4018" spans="1:19" x14ac:dyDescent="0.25">
      <c r="A4018" s="1">
        <v>4013</v>
      </c>
      <c r="B4018" s="1" t="s">
        <v>3</v>
      </c>
      <c r="C4018" s="1" t="str">
        <f>IF($B4018 = "Production Item", _xlfn.XLOOKUP($A4018, 'Instrument Table'!$J:$J, 'Instrument Table'!$B:$B, $C4017), IF($B4018 = "Service Item", _xlfn.XLOOKUP($A4018, 'Instrument Table'!$I:$I, 'Instrument Table'!$B:$B, $C4017), _xlfn.XLOOKUP($A4018, 'Instrument Table'!$H:$H, 'Instrument Table'!$B:$B, $C4017)))</f>
        <v>Grand Piano</v>
      </c>
      <c r="D4018" s="1" t="str">
        <f>VLOOKUP($C4018, 'Instrument Table'!$B:$C, 2, FALSE)</f>
        <v>Pianos</v>
      </c>
      <c r="E4018" s="1">
        <f t="shared" si="372"/>
        <v>2</v>
      </c>
      <c r="F4018" s="1">
        <f>_xlfn.XLOOKUP($C4018, 'Instrument Table'!$B:$B, 'Instrument Table'!$A:$A, "")</f>
        <v>10</v>
      </c>
      <c r="G4018" s="1" t="str">
        <f>TEXT(IF($B4018 = "Retail Item", IF((ROW($A4018) - 4504 - _xlfn.XMATCH($C4018, $C$4506:$C$5005, 0, 1)) &lt;= VLOOKUP($C4018, 'Instrument Table'!$B:$D, 3, FALSE), ROW($A4018) - 4504 - _xlfn.XMATCH($C4018, $C$4506:$C$5005, 0, 1), 0), 0), "00")</f>
        <v>00</v>
      </c>
      <c r="H4018" s="1" t="str">
        <f t="shared" si="373"/>
        <v>012</v>
      </c>
      <c r="I4018" s="1" t="str">
        <f t="shared" si="374"/>
        <v>21000-012</v>
      </c>
      <c r="J4018" s="1" t="str">
        <f t="shared" si="375"/>
        <v>Grand piano service item #012</v>
      </c>
      <c r="K4018" s="1" t="str">
        <f>IF(SUM(COUNTIFS(I:I, I4018)) &gt; 1, "DUPLICATE", "UNIQUE")</f>
        <v>UNIQUE</v>
      </c>
      <c r="L4018" s="18">
        <v>4</v>
      </c>
      <c r="M4018" s="28">
        <v>504</v>
      </c>
      <c r="N4018" s="6">
        <v>0</v>
      </c>
      <c r="O4018" s="30">
        <f t="shared" si="376"/>
        <v>2016</v>
      </c>
      <c r="P4018" s="30">
        <f t="shared" si="377"/>
        <v>0</v>
      </c>
      <c r="Q4018" s="1">
        <f>COUNTIFS($P:$P, "&gt;" &amp; $P4018) + 1</f>
        <v>4746</v>
      </c>
      <c r="R4018" s="63">
        <f>(COUNTIFS($P:$P, "&gt;" &amp; $P4018) + 1) / (COUNTA($I:$I) - 1)</f>
        <v>0.94920000000000004</v>
      </c>
      <c r="S4018" s="23">
        <f>SUMIFS($P:$P, $Q:$Q, "&lt;" &amp; $Q4018)</f>
        <v>186547861</v>
      </c>
    </row>
    <row r="4019" spans="1:19" x14ac:dyDescent="0.25">
      <c r="A4019" s="1">
        <v>4014</v>
      </c>
      <c r="B4019" s="1" t="s">
        <v>3</v>
      </c>
      <c r="C4019" s="1" t="str">
        <f>IF($B4019 = "Production Item", _xlfn.XLOOKUP($A4019, 'Instrument Table'!$J:$J, 'Instrument Table'!$B:$B, $C4018), IF($B4019 = "Service Item", _xlfn.XLOOKUP($A4019, 'Instrument Table'!$I:$I, 'Instrument Table'!$B:$B, $C4018), _xlfn.XLOOKUP($A4019, 'Instrument Table'!$H:$H, 'Instrument Table'!$B:$B, $C4018)))</f>
        <v>Grand Piano</v>
      </c>
      <c r="D4019" s="1" t="str">
        <f>VLOOKUP($C4019, 'Instrument Table'!$B:$C, 2, FALSE)</f>
        <v>Pianos</v>
      </c>
      <c r="E4019" s="1">
        <f t="shared" si="372"/>
        <v>2</v>
      </c>
      <c r="F4019" s="1">
        <f>_xlfn.XLOOKUP($C4019, 'Instrument Table'!$B:$B, 'Instrument Table'!$A:$A, "")</f>
        <v>10</v>
      </c>
      <c r="G4019" s="1" t="str">
        <f>TEXT(IF($B4019 = "Retail Item", IF((ROW($A4019) - 4504 - _xlfn.XMATCH($C4019, $C$4506:$C$5005, 0, 1)) &lt;= VLOOKUP($C4019, 'Instrument Table'!$B:$D, 3, FALSE), ROW($A4019) - 4504 - _xlfn.XMATCH($C4019, $C$4506:$C$5005, 0, 1), 0), 0), "00")</f>
        <v>00</v>
      </c>
      <c r="H4019" s="1" t="str">
        <f t="shared" si="373"/>
        <v>013</v>
      </c>
      <c r="I4019" s="1" t="str">
        <f t="shared" si="374"/>
        <v>21000-013</v>
      </c>
      <c r="J4019" s="1" t="str">
        <f t="shared" si="375"/>
        <v>Grand piano service item #013</v>
      </c>
      <c r="K4019" s="1" t="str">
        <f>IF(SUM(COUNTIFS(I:I, I4019)) &gt; 1, "DUPLICATE", "UNIQUE")</f>
        <v>UNIQUE</v>
      </c>
      <c r="L4019" s="18">
        <v>1</v>
      </c>
      <c r="M4019" s="28">
        <v>839</v>
      </c>
      <c r="N4019" s="6">
        <v>1</v>
      </c>
      <c r="O4019" s="30">
        <f t="shared" si="376"/>
        <v>839</v>
      </c>
      <c r="P4019" s="30">
        <f t="shared" si="377"/>
        <v>839</v>
      </c>
      <c r="Q4019" s="1">
        <f>COUNTIFS($P:$P, "&gt;" &amp; $P4019) + 1</f>
        <v>3768</v>
      </c>
      <c r="R4019" s="63">
        <f>(COUNTIFS($P:$P, "&gt;" &amp; $P4019) + 1) / (COUNTA($I:$I) - 1)</f>
        <v>0.75360000000000005</v>
      </c>
      <c r="S4019" s="23">
        <f>SUMIFS($P:$P, $Q:$Q, "&lt;" &amp; $Q4019)</f>
        <v>186239564</v>
      </c>
    </row>
    <row r="4020" spans="1:19" x14ac:dyDescent="0.25">
      <c r="A4020" s="1">
        <v>4015</v>
      </c>
      <c r="B4020" s="1" t="s">
        <v>3</v>
      </c>
      <c r="C4020" s="1" t="str">
        <f>IF($B4020 = "Production Item", _xlfn.XLOOKUP($A4020, 'Instrument Table'!$J:$J, 'Instrument Table'!$B:$B, $C4019), IF($B4020 = "Service Item", _xlfn.XLOOKUP($A4020, 'Instrument Table'!$I:$I, 'Instrument Table'!$B:$B, $C4019), _xlfn.XLOOKUP($A4020, 'Instrument Table'!$H:$H, 'Instrument Table'!$B:$B, $C4019)))</f>
        <v>Grand Piano</v>
      </c>
      <c r="D4020" s="1" t="str">
        <f>VLOOKUP($C4020, 'Instrument Table'!$B:$C, 2, FALSE)</f>
        <v>Pianos</v>
      </c>
      <c r="E4020" s="1">
        <f t="shared" si="372"/>
        <v>2</v>
      </c>
      <c r="F4020" s="1">
        <f>_xlfn.XLOOKUP($C4020, 'Instrument Table'!$B:$B, 'Instrument Table'!$A:$A, "")</f>
        <v>10</v>
      </c>
      <c r="G4020" s="1" t="str">
        <f>TEXT(IF($B4020 = "Retail Item", IF((ROW($A4020) - 4504 - _xlfn.XMATCH($C4020, $C$4506:$C$5005, 0, 1)) &lt;= VLOOKUP($C4020, 'Instrument Table'!$B:$D, 3, FALSE), ROW($A4020) - 4504 - _xlfn.XMATCH($C4020, $C$4506:$C$5005, 0, 1), 0), 0), "00")</f>
        <v>00</v>
      </c>
      <c r="H4020" s="1" t="str">
        <f t="shared" si="373"/>
        <v>014</v>
      </c>
      <c r="I4020" s="1" t="str">
        <f t="shared" si="374"/>
        <v>21000-014</v>
      </c>
      <c r="J4020" s="1" t="str">
        <f t="shared" si="375"/>
        <v>Grand piano service item #014</v>
      </c>
      <c r="K4020" s="1" t="str">
        <f>IF(SUM(COUNTIFS(I:I, I4020)) &gt; 1, "DUPLICATE", "UNIQUE")</f>
        <v>UNIQUE</v>
      </c>
      <c r="L4020" s="18">
        <v>2</v>
      </c>
      <c r="M4020" s="28">
        <v>970</v>
      </c>
      <c r="N4020" s="6">
        <v>125</v>
      </c>
      <c r="O4020" s="30">
        <f t="shared" si="376"/>
        <v>1940</v>
      </c>
      <c r="P4020" s="30">
        <f t="shared" si="377"/>
        <v>121250</v>
      </c>
      <c r="Q4020" s="1">
        <f>COUNTIFS($P:$P, "&gt;" &amp; $P4020) + 1</f>
        <v>371</v>
      </c>
      <c r="R4020" s="63">
        <f>(COUNTIFS($P:$P, "&gt;" &amp; $P4020) + 1) / (COUNTA($I:$I) - 1)</f>
        <v>7.4200000000000002E-2</v>
      </c>
      <c r="S4020" s="23">
        <f>SUMIFS($P:$P, $Q:$Q, "&lt;" &amp; $Q4020)</f>
        <v>140143570</v>
      </c>
    </row>
    <row r="4021" spans="1:19" x14ac:dyDescent="0.25">
      <c r="A4021" s="1">
        <v>4016</v>
      </c>
      <c r="B4021" s="1" t="s">
        <v>3</v>
      </c>
      <c r="C4021" s="1" t="str">
        <f>IF($B4021 = "Production Item", _xlfn.XLOOKUP($A4021, 'Instrument Table'!$J:$J, 'Instrument Table'!$B:$B, $C4020), IF($B4021 = "Service Item", _xlfn.XLOOKUP($A4021, 'Instrument Table'!$I:$I, 'Instrument Table'!$B:$B, $C4020), _xlfn.XLOOKUP($A4021, 'Instrument Table'!$H:$H, 'Instrument Table'!$B:$B, $C4020)))</f>
        <v>Grand Piano</v>
      </c>
      <c r="D4021" s="1" t="str">
        <f>VLOOKUP($C4021, 'Instrument Table'!$B:$C, 2, FALSE)</f>
        <v>Pianos</v>
      </c>
      <c r="E4021" s="1">
        <f t="shared" si="372"/>
        <v>2</v>
      </c>
      <c r="F4021" s="1">
        <f>_xlfn.XLOOKUP($C4021, 'Instrument Table'!$B:$B, 'Instrument Table'!$A:$A, "")</f>
        <v>10</v>
      </c>
      <c r="G4021" s="1" t="str">
        <f>TEXT(IF($B4021 = "Retail Item", IF((ROW($A4021) - 4504 - _xlfn.XMATCH($C4021, $C$4506:$C$5005, 0, 1)) &lt;= VLOOKUP($C4021, 'Instrument Table'!$B:$D, 3, FALSE), ROW($A4021) - 4504 - _xlfn.XMATCH($C4021, $C$4506:$C$5005, 0, 1), 0), 0), "00")</f>
        <v>00</v>
      </c>
      <c r="H4021" s="1" t="str">
        <f t="shared" si="373"/>
        <v>015</v>
      </c>
      <c r="I4021" s="1" t="str">
        <f t="shared" si="374"/>
        <v>21000-015</v>
      </c>
      <c r="J4021" s="1" t="str">
        <f t="shared" si="375"/>
        <v>Grand piano service item #015</v>
      </c>
      <c r="K4021" s="1" t="str">
        <f>IF(SUM(COUNTIFS(I:I, I4021)) &gt; 1, "DUPLICATE", "UNIQUE")</f>
        <v>UNIQUE</v>
      </c>
      <c r="L4021" s="18">
        <v>2</v>
      </c>
      <c r="M4021" s="28">
        <v>444</v>
      </c>
      <c r="N4021" s="6">
        <v>27</v>
      </c>
      <c r="O4021" s="30">
        <f t="shared" si="376"/>
        <v>888</v>
      </c>
      <c r="P4021" s="30">
        <f t="shared" si="377"/>
        <v>11988</v>
      </c>
      <c r="Q4021" s="1">
        <f>COUNTIFS($P:$P, "&gt;" &amp; $P4021) + 1</f>
        <v>1583</v>
      </c>
      <c r="R4021" s="63">
        <f>(COUNTIFS($P:$P, "&gt;" &amp; $P4021) + 1) / (COUNTA($I:$I) - 1)</f>
        <v>0.31659999999999999</v>
      </c>
      <c r="S4021" s="23">
        <f>SUMIFS($P:$P, $Q:$Q, "&lt;" &amp; $Q4021)</f>
        <v>175876374</v>
      </c>
    </row>
    <row r="4022" spans="1:19" x14ac:dyDescent="0.25">
      <c r="A4022" s="1">
        <v>4017</v>
      </c>
      <c r="B4022" s="1" t="s">
        <v>3</v>
      </c>
      <c r="C4022" s="1" t="str">
        <f>IF($B4022 = "Production Item", _xlfn.XLOOKUP($A4022, 'Instrument Table'!$J:$J, 'Instrument Table'!$B:$B, $C4021), IF($B4022 = "Service Item", _xlfn.XLOOKUP($A4022, 'Instrument Table'!$I:$I, 'Instrument Table'!$B:$B, $C4021), _xlfn.XLOOKUP($A4022, 'Instrument Table'!$H:$H, 'Instrument Table'!$B:$B, $C4021)))</f>
        <v>Grand Piano</v>
      </c>
      <c r="D4022" s="1" t="str">
        <f>VLOOKUP($C4022, 'Instrument Table'!$B:$C, 2, FALSE)</f>
        <v>Pianos</v>
      </c>
      <c r="E4022" s="1">
        <f t="shared" si="372"/>
        <v>2</v>
      </c>
      <c r="F4022" s="1">
        <f>_xlfn.XLOOKUP($C4022, 'Instrument Table'!$B:$B, 'Instrument Table'!$A:$A, "")</f>
        <v>10</v>
      </c>
      <c r="G4022" s="1" t="str">
        <f>TEXT(IF($B4022 = "Retail Item", IF((ROW($A4022) - 4504 - _xlfn.XMATCH($C4022, $C$4506:$C$5005, 0, 1)) &lt;= VLOOKUP($C4022, 'Instrument Table'!$B:$D, 3, FALSE), ROW($A4022) - 4504 - _xlfn.XMATCH($C4022, $C$4506:$C$5005, 0, 1), 0), 0), "00")</f>
        <v>00</v>
      </c>
      <c r="H4022" s="1" t="str">
        <f t="shared" si="373"/>
        <v>016</v>
      </c>
      <c r="I4022" s="1" t="str">
        <f t="shared" si="374"/>
        <v>21000-016</v>
      </c>
      <c r="J4022" s="1" t="str">
        <f t="shared" si="375"/>
        <v>Grand piano service item #016</v>
      </c>
      <c r="K4022" s="1" t="str">
        <f>IF(SUM(COUNTIFS(I:I, I4022)) &gt; 1, "DUPLICATE", "UNIQUE")</f>
        <v>UNIQUE</v>
      </c>
      <c r="L4022" s="18">
        <v>0</v>
      </c>
      <c r="M4022" s="28">
        <v>642</v>
      </c>
      <c r="N4022" s="6">
        <v>27</v>
      </c>
      <c r="O4022" s="30">
        <f t="shared" si="376"/>
        <v>0</v>
      </c>
      <c r="P4022" s="30">
        <f t="shared" si="377"/>
        <v>17334</v>
      </c>
      <c r="Q4022" s="1">
        <f>COUNTIFS($P:$P, "&gt;" &amp; $P4022) + 1</f>
        <v>1198</v>
      </c>
      <c r="R4022" s="63">
        <f>(COUNTIFS($P:$P, "&gt;" &amp; $P4022) + 1) / (COUNTA($I:$I) - 1)</f>
        <v>0.23960000000000001</v>
      </c>
      <c r="S4022" s="23">
        <f>SUMIFS($P:$P, $Q:$Q, "&lt;" &amp; $Q4022)</f>
        <v>170291549</v>
      </c>
    </row>
    <row r="4023" spans="1:19" x14ac:dyDescent="0.25">
      <c r="A4023" s="1">
        <v>4018</v>
      </c>
      <c r="B4023" s="1" t="s">
        <v>3</v>
      </c>
      <c r="C4023" s="1" t="str">
        <f>IF($B4023 = "Production Item", _xlfn.XLOOKUP($A4023, 'Instrument Table'!$J:$J, 'Instrument Table'!$B:$B, $C4022), IF($B4023 = "Service Item", _xlfn.XLOOKUP($A4023, 'Instrument Table'!$I:$I, 'Instrument Table'!$B:$B, $C4022), _xlfn.XLOOKUP($A4023, 'Instrument Table'!$H:$H, 'Instrument Table'!$B:$B, $C4022)))</f>
        <v>Grand Piano</v>
      </c>
      <c r="D4023" s="1" t="str">
        <f>VLOOKUP($C4023, 'Instrument Table'!$B:$C, 2, FALSE)</f>
        <v>Pianos</v>
      </c>
      <c r="E4023" s="1">
        <f t="shared" si="372"/>
        <v>2</v>
      </c>
      <c r="F4023" s="1">
        <f>_xlfn.XLOOKUP($C4023, 'Instrument Table'!$B:$B, 'Instrument Table'!$A:$A, "")</f>
        <v>10</v>
      </c>
      <c r="G4023" s="1" t="str">
        <f>TEXT(IF($B4023 = "Retail Item", IF((ROW($A4023) - 4504 - _xlfn.XMATCH($C4023, $C$4506:$C$5005, 0, 1)) &lt;= VLOOKUP($C4023, 'Instrument Table'!$B:$D, 3, FALSE), ROW($A4023) - 4504 - _xlfn.XMATCH($C4023, $C$4506:$C$5005, 0, 1), 0), 0), "00")</f>
        <v>00</v>
      </c>
      <c r="H4023" s="1" t="str">
        <f t="shared" si="373"/>
        <v>017</v>
      </c>
      <c r="I4023" s="1" t="str">
        <f t="shared" si="374"/>
        <v>21000-017</v>
      </c>
      <c r="J4023" s="1" t="str">
        <f t="shared" si="375"/>
        <v>Grand piano service item #017</v>
      </c>
      <c r="K4023" s="1" t="str">
        <f>IF(SUM(COUNTIFS(I:I, I4023)) &gt; 1, "DUPLICATE", "UNIQUE")</f>
        <v>UNIQUE</v>
      </c>
      <c r="L4023" s="18">
        <v>5</v>
      </c>
      <c r="M4023" s="28">
        <v>595</v>
      </c>
      <c r="N4023" s="6">
        <v>64</v>
      </c>
      <c r="O4023" s="30">
        <f t="shared" si="376"/>
        <v>2975</v>
      </c>
      <c r="P4023" s="30">
        <f t="shared" si="377"/>
        <v>38080</v>
      </c>
      <c r="Q4023" s="1">
        <f>COUNTIFS($P:$P, "&gt;" &amp; $P4023) + 1</f>
        <v>571</v>
      </c>
      <c r="R4023" s="63">
        <f>(COUNTIFS($P:$P, "&gt;" &amp; $P4023) + 1) / (COUNTA($I:$I) - 1)</f>
        <v>0.1142</v>
      </c>
      <c r="S4023" s="23">
        <f>SUMIFS($P:$P, $Q:$Q, "&lt;" &amp; $Q4023)</f>
        <v>154806245</v>
      </c>
    </row>
    <row r="4024" spans="1:19" x14ac:dyDescent="0.25">
      <c r="A4024" s="1">
        <v>4019</v>
      </c>
      <c r="B4024" s="1" t="s">
        <v>3</v>
      </c>
      <c r="C4024" s="1" t="str">
        <f>IF($B4024 = "Production Item", _xlfn.XLOOKUP($A4024, 'Instrument Table'!$J:$J, 'Instrument Table'!$B:$B, $C4023), IF($B4024 = "Service Item", _xlfn.XLOOKUP($A4024, 'Instrument Table'!$I:$I, 'Instrument Table'!$B:$B, $C4023), _xlfn.XLOOKUP($A4024, 'Instrument Table'!$H:$H, 'Instrument Table'!$B:$B, $C4023)))</f>
        <v>Grand Piano</v>
      </c>
      <c r="D4024" s="1" t="str">
        <f>VLOOKUP($C4024, 'Instrument Table'!$B:$C, 2, FALSE)</f>
        <v>Pianos</v>
      </c>
      <c r="E4024" s="1">
        <f t="shared" si="372"/>
        <v>2</v>
      </c>
      <c r="F4024" s="1">
        <f>_xlfn.XLOOKUP($C4024, 'Instrument Table'!$B:$B, 'Instrument Table'!$A:$A, "")</f>
        <v>10</v>
      </c>
      <c r="G4024" s="1" t="str">
        <f>TEXT(IF($B4024 = "Retail Item", IF((ROW($A4024) - 4504 - _xlfn.XMATCH($C4024, $C$4506:$C$5005, 0, 1)) &lt;= VLOOKUP($C4024, 'Instrument Table'!$B:$D, 3, FALSE), ROW($A4024) - 4504 - _xlfn.XMATCH($C4024, $C$4506:$C$5005, 0, 1), 0), 0), "00")</f>
        <v>00</v>
      </c>
      <c r="H4024" s="1" t="str">
        <f t="shared" si="373"/>
        <v>018</v>
      </c>
      <c r="I4024" s="1" t="str">
        <f t="shared" si="374"/>
        <v>21000-018</v>
      </c>
      <c r="J4024" s="1" t="str">
        <f t="shared" si="375"/>
        <v>Grand piano service item #018</v>
      </c>
      <c r="K4024" s="1" t="str">
        <f>IF(SUM(COUNTIFS(I:I, I4024)) &gt; 1, "DUPLICATE", "UNIQUE")</f>
        <v>UNIQUE</v>
      </c>
      <c r="L4024" s="18">
        <v>3</v>
      </c>
      <c r="M4024" s="28">
        <v>210</v>
      </c>
      <c r="N4024" s="6">
        <v>0</v>
      </c>
      <c r="O4024" s="30">
        <f t="shared" si="376"/>
        <v>630</v>
      </c>
      <c r="P4024" s="30">
        <f t="shared" si="377"/>
        <v>0</v>
      </c>
      <c r="Q4024" s="1">
        <f>COUNTIFS($P:$P, "&gt;" &amp; $P4024) + 1</f>
        <v>4746</v>
      </c>
      <c r="R4024" s="63">
        <f>(COUNTIFS($P:$P, "&gt;" &amp; $P4024) + 1) / (COUNTA($I:$I) - 1)</f>
        <v>0.94920000000000004</v>
      </c>
      <c r="S4024" s="23">
        <f>SUMIFS($P:$P, $Q:$Q, "&lt;" &amp; $Q4024)</f>
        <v>186547861</v>
      </c>
    </row>
    <row r="4025" spans="1:19" x14ac:dyDescent="0.25">
      <c r="A4025" s="1">
        <v>4020</v>
      </c>
      <c r="B4025" s="1" t="s">
        <v>3</v>
      </c>
      <c r="C4025" s="1" t="str">
        <f>IF($B4025 = "Production Item", _xlfn.XLOOKUP($A4025, 'Instrument Table'!$J:$J, 'Instrument Table'!$B:$B, $C4024), IF($B4025 = "Service Item", _xlfn.XLOOKUP($A4025, 'Instrument Table'!$I:$I, 'Instrument Table'!$B:$B, $C4024), _xlfn.XLOOKUP($A4025, 'Instrument Table'!$H:$H, 'Instrument Table'!$B:$B, $C4024)))</f>
        <v>Grand Piano</v>
      </c>
      <c r="D4025" s="1" t="str">
        <f>VLOOKUP($C4025, 'Instrument Table'!$B:$C, 2, FALSE)</f>
        <v>Pianos</v>
      </c>
      <c r="E4025" s="1">
        <f t="shared" si="372"/>
        <v>2</v>
      </c>
      <c r="F4025" s="1">
        <f>_xlfn.XLOOKUP($C4025, 'Instrument Table'!$B:$B, 'Instrument Table'!$A:$A, "")</f>
        <v>10</v>
      </c>
      <c r="G4025" s="1" t="str">
        <f>TEXT(IF($B4025 = "Retail Item", IF((ROW($A4025) - 4504 - _xlfn.XMATCH($C4025, $C$4506:$C$5005, 0, 1)) &lt;= VLOOKUP($C4025, 'Instrument Table'!$B:$D, 3, FALSE), ROW($A4025) - 4504 - _xlfn.XMATCH($C4025, $C$4506:$C$5005, 0, 1), 0), 0), "00")</f>
        <v>00</v>
      </c>
      <c r="H4025" s="1" t="str">
        <f t="shared" si="373"/>
        <v>019</v>
      </c>
      <c r="I4025" s="1" t="str">
        <f t="shared" si="374"/>
        <v>21000-019</v>
      </c>
      <c r="J4025" s="1" t="str">
        <f t="shared" si="375"/>
        <v>Grand piano service item #019</v>
      </c>
      <c r="K4025" s="1" t="str">
        <f>IF(SUM(COUNTIFS(I:I, I4025)) &gt; 1, "DUPLICATE", "UNIQUE")</f>
        <v>UNIQUE</v>
      </c>
      <c r="L4025" s="18">
        <v>10</v>
      </c>
      <c r="M4025" s="28">
        <v>792</v>
      </c>
      <c r="N4025" s="6">
        <v>0</v>
      </c>
      <c r="O4025" s="30">
        <f t="shared" si="376"/>
        <v>7920</v>
      </c>
      <c r="P4025" s="30">
        <f t="shared" si="377"/>
        <v>0</v>
      </c>
      <c r="Q4025" s="1">
        <f>COUNTIFS($P:$P, "&gt;" &amp; $P4025) + 1</f>
        <v>4746</v>
      </c>
      <c r="R4025" s="63">
        <f>(COUNTIFS($P:$P, "&gt;" &amp; $P4025) + 1) / (COUNTA($I:$I) - 1)</f>
        <v>0.94920000000000004</v>
      </c>
      <c r="S4025" s="23">
        <f>SUMIFS($P:$P, $Q:$Q, "&lt;" &amp; $Q4025)</f>
        <v>186547861</v>
      </c>
    </row>
    <row r="4026" spans="1:19" x14ac:dyDescent="0.25">
      <c r="A4026" s="1">
        <v>4021</v>
      </c>
      <c r="B4026" s="1" t="s">
        <v>3</v>
      </c>
      <c r="C4026" s="1" t="str">
        <f>IF($B4026 = "Production Item", _xlfn.XLOOKUP($A4026, 'Instrument Table'!$J:$J, 'Instrument Table'!$B:$B, $C4025), IF($B4026 = "Service Item", _xlfn.XLOOKUP($A4026, 'Instrument Table'!$I:$I, 'Instrument Table'!$B:$B, $C4025), _xlfn.XLOOKUP($A4026, 'Instrument Table'!$H:$H, 'Instrument Table'!$B:$B, $C4025)))</f>
        <v>Grand Piano</v>
      </c>
      <c r="D4026" s="1" t="str">
        <f>VLOOKUP($C4026, 'Instrument Table'!$B:$C, 2, FALSE)</f>
        <v>Pianos</v>
      </c>
      <c r="E4026" s="1">
        <f t="shared" si="372"/>
        <v>2</v>
      </c>
      <c r="F4026" s="1">
        <f>_xlfn.XLOOKUP($C4026, 'Instrument Table'!$B:$B, 'Instrument Table'!$A:$A, "")</f>
        <v>10</v>
      </c>
      <c r="G4026" s="1" t="str">
        <f>TEXT(IF($B4026 = "Retail Item", IF((ROW($A4026) - 4504 - _xlfn.XMATCH($C4026, $C$4506:$C$5005, 0, 1)) &lt;= VLOOKUP($C4026, 'Instrument Table'!$B:$D, 3, FALSE), ROW($A4026) - 4504 - _xlfn.XMATCH($C4026, $C$4506:$C$5005, 0, 1), 0), 0), "00")</f>
        <v>00</v>
      </c>
      <c r="H4026" s="1" t="str">
        <f t="shared" si="373"/>
        <v>020</v>
      </c>
      <c r="I4026" s="1" t="str">
        <f t="shared" si="374"/>
        <v>21000-020</v>
      </c>
      <c r="J4026" s="1" t="str">
        <f t="shared" si="375"/>
        <v>Grand piano service item #020</v>
      </c>
      <c r="K4026" s="1" t="str">
        <f>IF(SUM(COUNTIFS(I:I, I4026)) &gt; 1, "DUPLICATE", "UNIQUE")</f>
        <v>UNIQUE</v>
      </c>
      <c r="L4026" s="18">
        <v>10</v>
      </c>
      <c r="M4026" s="28">
        <v>640</v>
      </c>
      <c r="N4026" s="6">
        <v>125</v>
      </c>
      <c r="O4026" s="30">
        <f t="shared" si="376"/>
        <v>6400</v>
      </c>
      <c r="P4026" s="30">
        <f t="shared" si="377"/>
        <v>80000</v>
      </c>
      <c r="Q4026" s="1">
        <f>COUNTIFS($P:$P, "&gt;" &amp; $P4026) + 1</f>
        <v>451</v>
      </c>
      <c r="R4026" s="63">
        <f>(COUNTIFS($P:$P, "&gt;" &amp; $P4026) + 1) / (COUNTA($I:$I) - 1)</f>
        <v>9.0200000000000002E-2</v>
      </c>
      <c r="S4026" s="23">
        <f>SUMIFS($P:$P, $Q:$Q, "&lt;" &amp; $Q4026)</f>
        <v>148101941</v>
      </c>
    </row>
    <row r="4027" spans="1:19" x14ac:dyDescent="0.25">
      <c r="A4027" s="1">
        <v>4022</v>
      </c>
      <c r="B4027" s="1" t="s">
        <v>3</v>
      </c>
      <c r="C4027" s="1" t="str">
        <f>IF($B4027 = "Production Item", _xlfn.XLOOKUP($A4027, 'Instrument Table'!$J:$J, 'Instrument Table'!$B:$B, $C4026), IF($B4027 = "Service Item", _xlfn.XLOOKUP($A4027, 'Instrument Table'!$I:$I, 'Instrument Table'!$B:$B, $C4026), _xlfn.XLOOKUP($A4027, 'Instrument Table'!$H:$H, 'Instrument Table'!$B:$B, $C4026)))</f>
        <v>Grand Piano</v>
      </c>
      <c r="D4027" s="1" t="str">
        <f>VLOOKUP($C4027, 'Instrument Table'!$B:$C, 2, FALSE)</f>
        <v>Pianos</v>
      </c>
      <c r="E4027" s="1">
        <f t="shared" si="372"/>
        <v>2</v>
      </c>
      <c r="F4027" s="1">
        <f>_xlfn.XLOOKUP($C4027, 'Instrument Table'!$B:$B, 'Instrument Table'!$A:$A, "")</f>
        <v>10</v>
      </c>
      <c r="G4027" s="1" t="str">
        <f>TEXT(IF($B4027 = "Retail Item", IF((ROW($A4027) - 4504 - _xlfn.XMATCH($C4027, $C$4506:$C$5005, 0, 1)) &lt;= VLOOKUP($C4027, 'Instrument Table'!$B:$D, 3, FALSE), ROW($A4027) - 4504 - _xlfn.XMATCH($C4027, $C$4506:$C$5005, 0, 1), 0), 0), "00")</f>
        <v>00</v>
      </c>
      <c r="H4027" s="1" t="str">
        <f t="shared" si="373"/>
        <v>021</v>
      </c>
      <c r="I4027" s="1" t="str">
        <f t="shared" si="374"/>
        <v>21000-021</v>
      </c>
      <c r="J4027" s="1" t="str">
        <f t="shared" si="375"/>
        <v>Grand piano service item #021</v>
      </c>
      <c r="K4027" s="1" t="str">
        <f>IF(SUM(COUNTIFS(I:I, I4027)) &gt; 1, "DUPLICATE", "UNIQUE")</f>
        <v>UNIQUE</v>
      </c>
      <c r="L4027" s="18">
        <v>4</v>
      </c>
      <c r="M4027" s="28">
        <v>318</v>
      </c>
      <c r="N4027" s="6">
        <v>125</v>
      </c>
      <c r="O4027" s="30">
        <f t="shared" si="376"/>
        <v>1272</v>
      </c>
      <c r="P4027" s="30">
        <f t="shared" si="377"/>
        <v>39750</v>
      </c>
      <c r="Q4027" s="1">
        <f>COUNTIFS($P:$P, "&gt;" &amp; $P4027) + 1</f>
        <v>558</v>
      </c>
      <c r="R4027" s="63">
        <f>(COUNTIFS($P:$P, "&gt;" &amp; $P4027) + 1) / (COUNTA($I:$I) - 1)</f>
        <v>0.1116</v>
      </c>
      <c r="S4027" s="23">
        <f>SUMIFS($P:$P, $Q:$Q, "&lt;" &amp; $Q4027)</f>
        <v>154297534</v>
      </c>
    </row>
    <row r="4028" spans="1:19" x14ac:dyDescent="0.25">
      <c r="A4028" s="1">
        <v>4023</v>
      </c>
      <c r="B4028" s="1" t="s">
        <v>3</v>
      </c>
      <c r="C4028" s="1" t="str">
        <f>IF($B4028 = "Production Item", _xlfn.XLOOKUP($A4028, 'Instrument Table'!$J:$J, 'Instrument Table'!$B:$B, $C4027), IF($B4028 = "Service Item", _xlfn.XLOOKUP($A4028, 'Instrument Table'!$I:$I, 'Instrument Table'!$B:$B, $C4027), _xlfn.XLOOKUP($A4028, 'Instrument Table'!$H:$H, 'Instrument Table'!$B:$B, $C4027)))</f>
        <v>Grand Piano</v>
      </c>
      <c r="D4028" s="1" t="str">
        <f>VLOOKUP($C4028, 'Instrument Table'!$B:$C, 2, FALSE)</f>
        <v>Pianos</v>
      </c>
      <c r="E4028" s="1">
        <f t="shared" si="372"/>
        <v>2</v>
      </c>
      <c r="F4028" s="1">
        <f>_xlfn.XLOOKUP($C4028, 'Instrument Table'!$B:$B, 'Instrument Table'!$A:$A, "")</f>
        <v>10</v>
      </c>
      <c r="G4028" s="1" t="str">
        <f>TEXT(IF($B4028 = "Retail Item", IF((ROW($A4028) - 4504 - _xlfn.XMATCH($C4028, $C$4506:$C$5005, 0, 1)) &lt;= VLOOKUP($C4028, 'Instrument Table'!$B:$D, 3, FALSE), ROW($A4028) - 4504 - _xlfn.XMATCH($C4028, $C$4506:$C$5005, 0, 1), 0), 0), "00")</f>
        <v>00</v>
      </c>
      <c r="H4028" s="1" t="str">
        <f t="shared" si="373"/>
        <v>022</v>
      </c>
      <c r="I4028" s="1" t="str">
        <f t="shared" si="374"/>
        <v>21000-022</v>
      </c>
      <c r="J4028" s="1" t="str">
        <f t="shared" si="375"/>
        <v>Grand piano service item #022</v>
      </c>
      <c r="K4028" s="1" t="str">
        <f>IF(SUM(COUNTIFS(I:I, I4028)) &gt; 1, "DUPLICATE", "UNIQUE")</f>
        <v>UNIQUE</v>
      </c>
      <c r="L4028" s="18">
        <v>6</v>
      </c>
      <c r="M4028" s="28">
        <v>33</v>
      </c>
      <c r="N4028" s="6">
        <v>64</v>
      </c>
      <c r="O4028" s="30">
        <f t="shared" si="376"/>
        <v>198</v>
      </c>
      <c r="P4028" s="30">
        <f t="shared" si="377"/>
        <v>2112</v>
      </c>
      <c r="Q4028" s="1">
        <f>COUNTIFS($P:$P, "&gt;" &amp; $P4028) + 1</f>
        <v>3201</v>
      </c>
      <c r="R4028" s="63">
        <f>(COUNTIFS($P:$P, "&gt;" &amp; $P4028) + 1) / (COUNTA($I:$I) - 1)</f>
        <v>0.64019999999999999</v>
      </c>
      <c r="S4028" s="23">
        <f>SUMIFS($P:$P, $Q:$Q, "&lt;" &amp; $Q4028)</f>
        <v>185409799</v>
      </c>
    </row>
    <row r="4029" spans="1:19" x14ac:dyDescent="0.25">
      <c r="A4029" s="1">
        <v>4024</v>
      </c>
      <c r="B4029" s="1" t="s">
        <v>3</v>
      </c>
      <c r="C4029" s="1" t="str">
        <f>IF($B4029 = "Production Item", _xlfn.XLOOKUP($A4029, 'Instrument Table'!$J:$J, 'Instrument Table'!$B:$B, $C4028), IF($B4029 = "Service Item", _xlfn.XLOOKUP($A4029, 'Instrument Table'!$I:$I, 'Instrument Table'!$B:$B, $C4028), _xlfn.XLOOKUP($A4029, 'Instrument Table'!$H:$H, 'Instrument Table'!$B:$B, $C4028)))</f>
        <v>Grand Piano</v>
      </c>
      <c r="D4029" s="1" t="str">
        <f>VLOOKUP($C4029, 'Instrument Table'!$B:$C, 2, FALSE)</f>
        <v>Pianos</v>
      </c>
      <c r="E4029" s="1">
        <f t="shared" si="372"/>
        <v>2</v>
      </c>
      <c r="F4029" s="1">
        <f>_xlfn.XLOOKUP($C4029, 'Instrument Table'!$B:$B, 'Instrument Table'!$A:$A, "")</f>
        <v>10</v>
      </c>
      <c r="G4029" s="1" t="str">
        <f>TEXT(IF($B4029 = "Retail Item", IF((ROW($A4029) - 4504 - _xlfn.XMATCH($C4029, $C$4506:$C$5005, 0, 1)) &lt;= VLOOKUP($C4029, 'Instrument Table'!$B:$D, 3, FALSE), ROW($A4029) - 4504 - _xlfn.XMATCH($C4029, $C$4506:$C$5005, 0, 1), 0), 0), "00")</f>
        <v>00</v>
      </c>
      <c r="H4029" s="1" t="str">
        <f t="shared" si="373"/>
        <v>023</v>
      </c>
      <c r="I4029" s="1" t="str">
        <f t="shared" si="374"/>
        <v>21000-023</v>
      </c>
      <c r="J4029" s="1" t="str">
        <f t="shared" si="375"/>
        <v>Grand piano service item #023</v>
      </c>
      <c r="K4029" s="1" t="str">
        <f>IF(SUM(COUNTIFS(I:I, I4029)) &gt; 1, "DUPLICATE", "UNIQUE")</f>
        <v>UNIQUE</v>
      </c>
      <c r="L4029" s="18">
        <v>4</v>
      </c>
      <c r="M4029" s="28">
        <v>123</v>
      </c>
      <c r="N4029" s="6">
        <v>8</v>
      </c>
      <c r="O4029" s="30">
        <f t="shared" si="376"/>
        <v>492</v>
      </c>
      <c r="P4029" s="30">
        <f t="shared" si="377"/>
        <v>984</v>
      </c>
      <c r="Q4029" s="1">
        <f>COUNTIFS($P:$P, "&gt;" &amp; $P4029) + 1</f>
        <v>3688</v>
      </c>
      <c r="R4029" s="63">
        <f>(COUNTIFS($P:$P, "&gt;" &amp; $P4029) + 1) / (COUNTA($I:$I) - 1)</f>
        <v>0.73760000000000003</v>
      </c>
      <c r="S4029" s="23">
        <f>SUMIFS($P:$P, $Q:$Q, "&lt;" &amp; $Q4029)</f>
        <v>186167118</v>
      </c>
    </row>
    <row r="4030" spans="1:19" x14ac:dyDescent="0.25">
      <c r="A4030" s="1">
        <v>4025</v>
      </c>
      <c r="B4030" s="1" t="s">
        <v>3</v>
      </c>
      <c r="C4030" s="1" t="str">
        <f>IF($B4030 = "Production Item", _xlfn.XLOOKUP($A4030, 'Instrument Table'!$J:$J, 'Instrument Table'!$B:$B, $C4029), IF($B4030 = "Service Item", _xlfn.XLOOKUP($A4030, 'Instrument Table'!$I:$I, 'Instrument Table'!$B:$B, $C4029), _xlfn.XLOOKUP($A4030, 'Instrument Table'!$H:$H, 'Instrument Table'!$B:$B, $C4029)))</f>
        <v>Grand Piano</v>
      </c>
      <c r="D4030" s="1" t="str">
        <f>VLOOKUP($C4030, 'Instrument Table'!$B:$C, 2, FALSE)</f>
        <v>Pianos</v>
      </c>
      <c r="E4030" s="1">
        <f t="shared" si="372"/>
        <v>2</v>
      </c>
      <c r="F4030" s="1">
        <f>_xlfn.XLOOKUP($C4030, 'Instrument Table'!$B:$B, 'Instrument Table'!$A:$A, "")</f>
        <v>10</v>
      </c>
      <c r="G4030" s="1" t="str">
        <f>TEXT(IF($B4030 = "Retail Item", IF((ROW($A4030) - 4504 - _xlfn.XMATCH($C4030, $C$4506:$C$5005, 0, 1)) &lt;= VLOOKUP($C4030, 'Instrument Table'!$B:$D, 3, FALSE), ROW($A4030) - 4504 - _xlfn.XMATCH($C4030, $C$4506:$C$5005, 0, 1), 0), 0), "00")</f>
        <v>00</v>
      </c>
      <c r="H4030" s="1" t="str">
        <f t="shared" si="373"/>
        <v>024</v>
      </c>
      <c r="I4030" s="1" t="str">
        <f t="shared" si="374"/>
        <v>21000-024</v>
      </c>
      <c r="J4030" s="1" t="str">
        <f t="shared" si="375"/>
        <v>Grand piano service item #024</v>
      </c>
      <c r="K4030" s="1" t="str">
        <f>IF(SUM(COUNTIFS(I:I, I4030)) &gt; 1, "DUPLICATE", "UNIQUE")</f>
        <v>UNIQUE</v>
      </c>
      <c r="L4030" s="18">
        <v>9</v>
      </c>
      <c r="M4030" s="28">
        <v>649</v>
      </c>
      <c r="N4030" s="6">
        <v>64</v>
      </c>
      <c r="O4030" s="30">
        <f t="shared" si="376"/>
        <v>5841</v>
      </c>
      <c r="P4030" s="30">
        <f t="shared" si="377"/>
        <v>41536</v>
      </c>
      <c r="Q4030" s="1">
        <f>COUNTIFS($P:$P, "&gt;" &amp; $P4030) + 1</f>
        <v>546</v>
      </c>
      <c r="R4030" s="63">
        <f>(COUNTIFS($P:$P, "&gt;" &amp; $P4030) + 1) / (COUNTA($I:$I) - 1)</f>
        <v>0.10920000000000001</v>
      </c>
      <c r="S4030" s="23">
        <f>SUMIFS($P:$P, $Q:$Q, "&lt;" &amp; $Q4030)</f>
        <v>153813315</v>
      </c>
    </row>
    <row r="4031" spans="1:19" x14ac:dyDescent="0.25">
      <c r="A4031" s="1">
        <v>4026</v>
      </c>
      <c r="B4031" s="1" t="s">
        <v>3</v>
      </c>
      <c r="C4031" s="1" t="str">
        <f>IF($B4031 = "Production Item", _xlfn.XLOOKUP($A4031, 'Instrument Table'!$J:$J, 'Instrument Table'!$B:$B, $C4030), IF($B4031 = "Service Item", _xlfn.XLOOKUP($A4031, 'Instrument Table'!$I:$I, 'Instrument Table'!$B:$B, $C4030), _xlfn.XLOOKUP($A4031, 'Instrument Table'!$H:$H, 'Instrument Table'!$B:$B, $C4030)))</f>
        <v>Grand Piano</v>
      </c>
      <c r="D4031" s="1" t="str">
        <f>VLOOKUP($C4031, 'Instrument Table'!$B:$C, 2, FALSE)</f>
        <v>Pianos</v>
      </c>
      <c r="E4031" s="1">
        <f t="shared" si="372"/>
        <v>2</v>
      </c>
      <c r="F4031" s="1">
        <f>_xlfn.XLOOKUP($C4031, 'Instrument Table'!$B:$B, 'Instrument Table'!$A:$A, "")</f>
        <v>10</v>
      </c>
      <c r="G4031" s="1" t="str">
        <f>TEXT(IF($B4031 = "Retail Item", IF((ROW($A4031) - 4504 - _xlfn.XMATCH($C4031, $C$4506:$C$5005, 0, 1)) &lt;= VLOOKUP($C4031, 'Instrument Table'!$B:$D, 3, FALSE), ROW($A4031) - 4504 - _xlfn.XMATCH($C4031, $C$4506:$C$5005, 0, 1), 0), 0), "00")</f>
        <v>00</v>
      </c>
      <c r="H4031" s="1" t="str">
        <f t="shared" si="373"/>
        <v>025</v>
      </c>
      <c r="I4031" s="1" t="str">
        <f t="shared" si="374"/>
        <v>21000-025</v>
      </c>
      <c r="J4031" s="1" t="str">
        <f t="shared" si="375"/>
        <v>Grand piano service item #025</v>
      </c>
      <c r="K4031" s="1" t="str">
        <f>IF(SUM(COUNTIFS(I:I, I4031)) &gt; 1, "DUPLICATE", "UNIQUE")</f>
        <v>UNIQUE</v>
      </c>
      <c r="L4031" s="18">
        <v>9</v>
      </c>
      <c r="M4031" s="28">
        <v>149</v>
      </c>
      <c r="N4031" s="6">
        <v>64</v>
      </c>
      <c r="O4031" s="30">
        <f t="shared" si="376"/>
        <v>1341</v>
      </c>
      <c r="P4031" s="30">
        <f t="shared" si="377"/>
        <v>9536</v>
      </c>
      <c r="Q4031" s="1">
        <f>COUNTIFS($P:$P, "&gt;" &amp; $P4031) + 1</f>
        <v>1814</v>
      </c>
      <c r="R4031" s="63">
        <f>(COUNTIFS($P:$P, "&gt;" &amp; $P4031) + 1) / (COUNTA($I:$I) - 1)</f>
        <v>0.36280000000000001</v>
      </c>
      <c r="S4031" s="23">
        <f>SUMIFS($P:$P, $Q:$Q, "&lt;" &amp; $Q4031)</f>
        <v>178375849</v>
      </c>
    </row>
    <row r="4032" spans="1:19" x14ac:dyDescent="0.25">
      <c r="A4032" s="1">
        <v>4027</v>
      </c>
      <c r="B4032" s="1" t="s">
        <v>3</v>
      </c>
      <c r="C4032" s="1" t="str">
        <f>IF($B4032 = "Production Item", _xlfn.XLOOKUP($A4032, 'Instrument Table'!$J:$J, 'Instrument Table'!$B:$B, $C4031), IF($B4032 = "Service Item", _xlfn.XLOOKUP($A4032, 'Instrument Table'!$I:$I, 'Instrument Table'!$B:$B, $C4031), _xlfn.XLOOKUP($A4032, 'Instrument Table'!$H:$H, 'Instrument Table'!$B:$B, $C4031)))</f>
        <v>Grand Piano</v>
      </c>
      <c r="D4032" s="1" t="str">
        <f>VLOOKUP($C4032, 'Instrument Table'!$B:$C, 2, FALSE)</f>
        <v>Pianos</v>
      </c>
      <c r="E4032" s="1">
        <f t="shared" si="372"/>
        <v>2</v>
      </c>
      <c r="F4032" s="1">
        <f>_xlfn.XLOOKUP($C4032, 'Instrument Table'!$B:$B, 'Instrument Table'!$A:$A, "")</f>
        <v>10</v>
      </c>
      <c r="G4032" s="1" t="str">
        <f>TEXT(IF($B4032 = "Retail Item", IF((ROW($A4032) - 4504 - _xlfn.XMATCH($C4032, $C$4506:$C$5005, 0, 1)) &lt;= VLOOKUP($C4032, 'Instrument Table'!$B:$D, 3, FALSE), ROW($A4032) - 4504 - _xlfn.XMATCH($C4032, $C$4506:$C$5005, 0, 1), 0), 0), "00")</f>
        <v>00</v>
      </c>
      <c r="H4032" s="1" t="str">
        <f t="shared" si="373"/>
        <v>026</v>
      </c>
      <c r="I4032" s="1" t="str">
        <f t="shared" si="374"/>
        <v>21000-026</v>
      </c>
      <c r="J4032" s="1" t="str">
        <f t="shared" si="375"/>
        <v>Grand piano service item #026</v>
      </c>
      <c r="K4032" s="1" t="str">
        <f>IF(SUM(COUNTIFS(I:I, I4032)) &gt; 1, "DUPLICATE", "UNIQUE")</f>
        <v>UNIQUE</v>
      </c>
      <c r="L4032" s="18">
        <v>3</v>
      </c>
      <c r="M4032" s="28">
        <v>287</v>
      </c>
      <c r="N4032" s="6">
        <v>8</v>
      </c>
      <c r="O4032" s="30">
        <f t="shared" si="376"/>
        <v>861</v>
      </c>
      <c r="P4032" s="30">
        <f t="shared" si="377"/>
        <v>2296</v>
      </c>
      <c r="Q4032" s="1">
        <f>COUNTIFS($P:$P, "&gt;" &amp; $P4032) + 1</f>
        <v>3143</v>
      </c>
      <c r="R4032" s="63">
        <f>(COUNTIFS($P:$P, "&gt;" &amp; $P4032) + 1) / (COUNTA($I:$I) - 1)</f>
        <v>0.62860000000000005</v>
      </c>
      <c r="S4032" s="23">
        <f>SUMIFS($P:$P, $Q:$Q, "&lt;" &amp; $Q4032)</f>
        <v>185282202</v>
      </c>
    </row>
    <row r="4033" spans="1:19" x14ac:dyDescent="0.25">
      <c r="A4033" s="1">
        <v>4028</v>
      </c>
      <c r="B4033" s="1" t="s">
        <v>3</v>
      </c>
      <c r="C4033" s="1" t="str">
        <f>IF($B4033 = "Production Item", _xlfn.XLOOKUP($A4033, 'Instrument Table'!$J:$J, 'Instrument Table'!$B:$B, $C4032), IF($B4033 = "Service Item", _xlfn.XLOOKUP($A4033, 'Instrument Table'!$I:$I, 'Instrument Table'!$B:$B, $C4032), _xlfn.XLOOKUP($A4033, 'Instrument Table'!$H:$H, 'Instrument Table'!$B:$B, $C4032)))</f>
        <v>Grand Piano</v>
      </c>
      <c r="D4033" s="1" t="str">
        <f>VLOOKUP($C4033, 'Instrument Table'!$B:$C, 2, FALSE)</f>
        <v>Pianos</v>
      </c>
      <c r="E4033" s="1">
        <f t="shared" si="372"/>
        <v>2</v>
      </c>
      <c r="F4033" s="1">
        <f>_xlfn.XLOOKUP($C4033, 'Instrument Table'!$B:$B, 'Instrument Table'!$A:$A, "")</f>
        <v>10</v>
      </c>
      <c r="G4033" s="1" t="str">
        <f>TEXT(IF($B4033 = "Retail Item", IF((ROW($A4033) - 4504 - _xlfn.XMATCH($C4033, $C$4506:$C$5005, 0, 1)) &lt;= VLOOKUP($C4033, 'Instrument Table'!$B:$D, 3, FALSE), ROW($A4033) - 4504 - _xlfn.XMATCH($C4033, $C$4506:$C$5005, 0, 1), 0), 0), "00")</f>
        <v>00</v>
      </c>
      <c r="H4033" s="1" t="str">
        <f t="shared" si="373"/>
        <v>027</v>
      </c>
      <c r="I4033" s="1" t="str">
        <f t="shared" si="374"/>
        <v>21000-027</v>
      </c>
      <c r="J4033" s="1" t="str">
        <f t="shared" si="375"/>
        <v>Grand piano service item #027</v>
      </c>
      <c r="K4033" s="1" t="str">
        <f>IF(SUM(COUNTIFS(I:I, I4033)) &gt; 1, "DUPLICATE", "UNIQUE")</f>
        <v>UNIQUE</v>
      </c>
      <c r="L4033" s="18">
        <v>7</v>
      </c>
      <c r="M4033" s="28">
        <v>339</v>
      </c>
      <c r="N4033" s="6">
        <v>1</v>
      </c>
      <c r="O4033" s="30">
        <f t="shared" si="376"/>
        <v>2373</v>
      </c>
      <c r="P4033" s="30">
        <f t="shared" si="377"/>
        <v>339</v>
      </c>
      <c r="Q4033" s="1">
        <f>COUNTIFS($P:$P, "&gt;" &amp; $P4033) + 1</f>
        <v>4167</v>
      </c>
      <c r="R4033" s="63">
        <f>(COUNTIFS($P:$P, "&gt;" &amp; $P4033) + 1) / (COUNTA($I:$I) - 1)</f>
        <v>0.83340000000000003</v>
      </c>
      <c r="S4033" s="23">
        <f>SUMIFS($P:$P, $Q:$Q, "&lt;" &amp; $Q4033)</f>
        <v>186469624</v>
      </c>
    </row>
    <row r="4034" spans="1:19" x14ac:dyDescent="0.25">
      <c r="A4034" s="1">
        <v>4029</v>
      </c>
      <c r="B4034" s="1" t="s">
        <v>3</v>
      </c>
      <c r="C4034" s="1" t="str">
        <f>IF($B4034 = "Production Item", _xlfn.XLOOKUP($A4034, 'Instrument Table'!$J:$J, 'Instrument Table'!$B:$B, $C4033), IF($B4034 = "Service Item", _xlfn.XLOOKUP($A4034, 'Instrument Table'!$I:$I, 'Instrument Table'!$B:$B, $C4033), _xlfn.XLOOKUP($A4034, 'Instrument Table'!$H:$H, 'Instrument Table'!$B:$B, $C4033)))</f>
        <v>Grand Piano</v>
      </c>
      <c r="D4034" s="1" t="str">
        <f>VLOOKUP($C4034, 'Instrument Table'!$B:$C, 2, FALSE)</f>
        <v>Pianos</v>
      </c>
      <c r="E4034" s="1">
        <f t="shared" si="372"/>
        <v>2</v>
      </c>
      <c r="F4034" s="1">
        <f>_xlfn.XLOOKUP($C4034, 'Instrument Table'!$B:$B, 'Instrument Table'!$A:$A, "")</f>
        <v>10</v>
      </c>
      <c r="G4034" s="1" t="str">
        <f>TEXT(IF($B4034 = "Retail Item", IF((ROW($A4034) - 4504 - _xlfn.XMATCH($C4034, $C$4506:$C$5005, 0, 1)) &lt;= VLOOKUP($C4034, 'Instrument Table'!$B:$D, 3, FALSE), ROW($A4034) - 4504 - _xlfn.XMATCH($C4034, $C$4506:$C$5005, 0, 1), 0), 0), "00")</f>
        <v>00</v>
      </c>
      <c r="H4034" s="1" t="str">
        <f t="shared" si="373"/>
        <v>028</v>
      </c>
      <c r="I4034" s="1" t="str">
        <f t="shared" si="374"/>
        <v>21000-028</v>
      </c>
      <c r="J4034" s="1" t="str">
        <f t="shared" si="375"/>
        <v>Grand piano service item #028</v>
      </c>
      <c r="K4034" s="1" t="str">
        <f>IF(SUM(COUNTIFS(I:I, I4034)) &gt; 1, "DUPLICATE", "UNIQUE")</f>
        <v>UNIQUE</v>
      </c>
      <c r="L4034" s="18">
        <v>4</v>
      </c>
      <c r="M4034" s="28">
        <v>611</v>
      </c>
      <c r="N4034" s="6">
        <v>1</v>
      </c>
      <c r="O4034" s="30">
        <f t="shared" si="376"/>
        <v>2444</v>
      </c>
      <c r="P4034" s="30">
        <f t="shared" si="377"/>
        <v>611</v>
      </c>
      <c r="Q4034" s="1">
        <f>COUNTIFS($P:$P, "&gt;" &amp; $P4034) + 1</f>
        <v>3932</v>
      </c>
      <c r="R4034" s="63">
        <f>(COUNTIFS($P:$P, "&gt;" &amp; $P4034) + 1) / (COUNTA($I:$I) - 1)</f>
        <v>0.78639999999999999</v>
      </c>
      <c r="S4034" s="23">
        <f>SUMIFS($P:$P, $Q:$Q, "&lt;" &amp; $Q4034)</f>
        <v>186359477</v>
      </c>
    </row>
    <row r="4035" spans="1:19" x14ac:dyDescent="0.25">
      <c r="A4035" s="1">
        <v>4030</v>
      </c>
      <c r="B4035" s="1" t="s">
        <v>3</v>
      </c>
      <c r="C4035" s="1" t="str">
        <f>IF($B4035 = "Production Item", _xlfn.XLOOKUP($A4035, 'Instrument Table'!$J:$J, 'Instrument Table'!$B:$B, $C4034), IF($B4035 = "Service Item", _xlfn.XLOOKUP($A4035, 'Instrument Table'!$I:$I, 'Instrument Table'!$B:$B, $C4034), _xlfn.XLOOKUP($A4035, 'Instrument Table'!$H:$H, 'Instrument Table'!$B:$B, $C4034)))</f>
        <v>Grand Piano</v>
      </c>
      <c r="D4035" s="1" t="str">
        <f>VLOOKUP($C4035, 'Instrument Table'!$B:$C, 2, FALSE)</f>
        <v>Pianos</v>
      </c>
      <c r="E4035" s="1">
        <f t="shared" si="372"/>
        <v>2</v>
      </c>
      <c r="F4035" s="1">
        <f>_xlfn.XLOOKUP($C4035, 'Instrument Table'!$B:$B, 'Instrument Table'!$A:$A, "")</f>
        <v>10</v>
      </c>
      <c r="G4035" s="1" t="str">
        <f>TEXT(IF($B4035 = "Retail Item", IF((ROW($A4035) - 4504 - _xlfn.XMATCH($C4035, $C$4506:$C$5005, 0, 1)) &lt;= VLOOKUP($C4035, 'Instrument Table'!$B:$D, 3, FALSE), ROW($A4035) - 4504 - _xlfn.XMATCH($C4035, $C$4506:$C$5005, 0, 1), 0), 0), "00")</f>
        <v>00</v>
      </c>
      <c r="H4035" s="1" t="str">
        <f t="shared" si="373"/>
        <v>029</v>
      </c>
      <c r="I4035" s="1" t="str">
        <f t="shared" si="374"/>
        <v>21000-029</v>
      </c>
      <c r="J4035" s="1" t="str">
        <f t="shared" si="375"/>
        <v>Grand piano service item #029</v>
      </c>
      <c r="K4035" s="1" t="str">
        <f>IF(SUM(COUNTIFS(I:I, I4035)) &gt; 1, "DUPLICATE", "UNIQUE")</f>
        <v>UNIQUE</v>
      </c>
      <c r="L4035" s="18">
        <v>1</v>
      </c>
      <c r="M4035" s="28">
        <v>968</v>
      </c>
      <c r="N4035" s="6">
        <v>0</v>
      </c>
      <c r="O4035" s="30">
        <f t="shared" si="376"/>
        <v>968</v>
      </c>
      <c r="P4035" s="30">
        <f t="shared" si="377"/>
        <v>0</v>
      </c>
      <c r="Q4035" s="1">
        <f>COUNTIFS($P:$P, "&gt;" &amp; $P4035) + 1</f>
        <v>4746</v>
      </c>
      <c r="R4035" s="63">
        <f>(COUNTIFS($P:$P, "&gt;" &amp; $P4035) + 1) / (COUNTA($I:$I) - 1)</f>
        <v>0.94920000000000004</v>
      </c>
      <c r="S4035" s="23">
        <f>SUMIFS($P:$P, $Q:$Q, "&lt;" &amp; $Q4035)</f>
        <v>186547861</v>
      </c>
    </row>
    <row r="4036" spans="1:19" x14ac:dyDescent="0.25">
      <c r="A4036" s="1">
        <v>4031</v>
      </c>
      <c r="B4036" s="1" t="s">
        <v>3</v>
      </c>
      <c r="C4036" s="1" t="str">
        <f>IF($B4036 = "Production Item", _xlfn.XLOOKUP($A4036, 'Instrument Table'!$J:$J, 'Instrument Table'!$B:$B, $C4035), IF($B4036 = "Service Item", _xlfn.XLOOKUP($A4036, 'Instrument Table'!$I:$I, 'Instrument Table'!$B:$B, $C4035), _xlfn.XLOOKUP($A4036, 'Instrument Table'!$H:$H, 'Instrument Table'!$B:$B, $C4035)))</f>
        <v>Grand Piano</v>
      </c>
      <c r="D4036" s="1" t="str">
        <f>VLOOKUP($C4036, 'Instrument Table'!$B:$C, 2, FALSE)</f>
        <v>Pianos</v>
      </c>
      <c r="E4036" s="1">
        <f t="shared" si="372"/>
        <v>2</v>
      </c>
      <c r="F4036" s="1">
        <f>_xlfn.XLOOKUP($C4036, 'Instrument Table'!$B:$B, 'Instrument Table'!$A:$A, "")</f>
        <v>10</v>
      </c>
      <c r="G4036" s="1" t="str">
        <f>TEXT(IF($B4036 = "Retail Item", IF((ROW($A4036) - 4504 - _xlfn.XMATCH($C4036, $C$4506:$C$5005, 0, 1)) &lt;= VLOOKUP($C4036, 'Instrument Table'!$B:$D, 3, FALSE), ROW($A4036) - 4504 - _xlfn.XMATCH($C4036, $C$4506:$C$5005, 0, 1), 0), 0), "00")</f>
        <v>00</v>
      </c>
      <c r="H4036" s="1" t="str">
        <f t="shared" si="373"/>
        <v>030</v>
      </c>
      <c r="I4036" s="1" t="str">
        <f t="shared" si="374"/>
        <v>21000-030</v>
      </c>
      <c r="J4036" s="1" t="str">
        <f t="shared" si="375"/>
        <v>Grand piano service item #030</v>
      </c>
      <c r="K4036" s="1" t="str">
        <f>IF(SUM(COUNTIFS(I:I, I4036)) &gt; 1, "DUPLICATE", "UNIQUE")</f>
        <v>UNIQUE</v>
      </c>
      <c r="L4036" s="18">
        <v>9</v>
      </c>
      <c r="M4036" s="28">
        <v>433</v>
      </c>
      <c r="N4036" s="6">
        <v>27</v>
      </c>
      <c r="O4036" s="30">
        <f t="shared" si="376"/>
        <v>3897</v>
      </c>
      <c r="P4036" s="30">
        <f t="shared" si="377"/>
        <v>11691</v>
      </c>
      <c r="Q4036" s="1">
        <f>COUNTIFS($P:$P, "&gt;" &amp; $P4036) + 1</f>
        <v>1606</v>
      </c>
      <c r="R4036" s="63">
        <f>(COUNTIFS($P:$P, "&gt;" &amp; $P4036) + 1) / (COUNTA($I:$I) - 1)</f>
        <v>0.32119999999999999</v>
      </c>
      <c r="S4036" s="23">
        <f>SUMIFS($P:$P, $Q:$Q, "&lt;" &amp; $Q4036)</f>
        <v>176149024</v>
      </c>
    </row>
    <row r="4037" spans="1:19" x14ac:dyDescent="0.25">
      <c r="A4037" s="1">
        <v>4032</v>
      </c>
      <c r="B4037" s="1" t="s">
        <v>3</v>
      </c>
      <c r="C4037" s="1" t="str">
        <f>IF($B4037 = "Production Item", _xlfn.XLOOKUP($A4037, 'Instrument Table'!$J:$J, 'Instrument Table'!$B:$B, $C4036), IF($B4037 = "Service Item", _xlfn.XLOOKUP($A4037, 'Instrument Table'!$I:$I, 'Instrument Table'!$B:$B, $C4036), _xlfn.XLOOKUP($A4037, 'Instrument Table'!$H:$H, 'Instrument Table'!$B:$B, $C4036)))</f>
        <v>Grand Piano</v>
      </c>
      <c r="D4037" s="1" t="str">
        <f>VLOOKUP($C4037, 'Instrument Table'!$B:$C, 2, FALSE)</f>
        <v>Pianos</v>
      </c>
      <c r="E4037" s="1">
        <f t="shared" si="372"/>
        <v>2</v>
      </c>
      <c r="F4037" s="1">
        <f>_xlfn.XLOOKUP($C4037, 'Instrument Table'!$B:$B, 'Instrument Table'!$A:$A, "")</f>
        <v>10</v>
      </c>
      <c r="G4037" s="1" t="str">
        <f>TEXT(IF($B4037 = "Retail Item", IF((ROW($A4037) - 4504 - _xlfn.XMATCH($C4037, $C$4506:$C$5005, 0, 1)) &lt;= VLOOKUP($C4037, 'Instrument Table'!$B:$D, 3, FALSE), ROW($A4037) - 4504 - _xlfn.XMATCH($C4037, $C$4506:$C$5005, 0, 1), 0), 0), "00")</f>
        <v>00</v>
      </c>
      <c r="H4037" s="1" t="str">
        <f t="shared" si="373"/>
        <v>031</v>
      </c>
      <c r="I4037" s="1" t="str">
        <f t="shared" si="374"/>
        <v>21000-031</v>
      </c>
      <c r="J4037" s="1" t="str">
        <f t="shared" si="375"/>
        <v>Grand piano service item #031</v>
      </c>
      <c r="K4037" s="1" t="str">
        <f>IF(SUM(COUNTIFS(I:I, I4037)) &gt; 1, "DUPLICATE", "UNIQUE")</f>
        <v>UNIQUE</v>
      </c>
      <c r="L4037" s="18">
        <v>9</v>
      </c>
      <c r="M4037" s="28">
        <v>131</v>
      </c>
      <c r="N4037" s="6">
        <v>8</v>
      </c>
      <c r="O4037" s="30">
        <f t="shared" si="376"/>
        <v>1179</v>
      </c>
      <c r="P4037" s="30">
        <f t="shared" si="377"/>
        <v>1048</v>
      </c>
      <c r="Q4037" s="1">
        <f>COUNTIFS($P:$P, "&gt;" &amp; $P4037) + 1</f>
        <v>3663</v>
      </c>
      <c r="R4037" s="63">
        <f>(COUNTIFS($P:$P, "&gt;" &amp; $P4037) + 1) / (COUNTA($I:$I) - 1)</f>
        <v>0.73260000000000003</v>
      </c>
      <c r="S4037" s="23">
        <f>SUMIFS($P:$P, $Q:$Q, "&lt;" &amp; $Q4037)</f>
        <v>186141781</v>
      </c>
    </row>
    <row r="4038" spans="1:19" x14ac:dyDescent="0.25">
      <c r="A4038" s="1">
        <v>4033</v>
      </c>
      <c r="B4038" s="1" t="s">
        <v>3</v>
      </c>
      <c r="C4038" s="1" t="str">
        <f>IF($B4038 = "Production Item", _xlfn.XLOOKUP($A4038, 'Instrument Table'!$J:$J, 'Instrument Table'!$B:$B, $C4037), IF($B4038 = "Service Item", _xlfn.XLOOKUP($A4038, 'Instrument Table'!$I:$I, 'Instrument Table'!$B:$B, $C4037), _xlfn.XLOOKUP($A4038, 'Instrument Table'!$H:$H, 'Instrument Table'!$B:$B, $C4037)))</f>
        <v>Grand Piano</v>
      </c>
      <c r="D4038" s="1" t="str">
        <f>VLOOKUP($C4038, 'Instrument Table'!$B:$C, 2, FALSE)</f>
        <v>Pianos</v>
      </c>
      <c r="E4038" s="1">
        <f t="shared" si="372"/>
        <v>2</v>
      </c>
      <c r="F4038" s="1">
        <f>_xlfn.XLOOKUP($C4038, 'Instrument Table'!$B:$B, 'Instrument Table'!$A:$A, "")</f>
        <v>10</v>
      </c>
      <c r="G4038" s="1" t="str">
        <f>TEXT(IF($B4038 = "Retail Item", IF((ROW($A4038) - 4504 - _xlfn.XMATCH($C4038, $C$4506:$C$5005, 0, 1)) &lt;= VLOOKUP($C4038, 'Instrument Table'!$B:$D, 3, FALSE), ROW($A4038) - 4504 - _xlfn.XMATCH($C4038, $C$4506:$C$5005, 0, 1), 0), 0), "00")</f>
        <v>00</v>
      </c>
      <c r="H4038" s="1" t="str">
        <f t="shared" si="373"/>
        <v>032</v>
      </c>
      <c r="I4038" s="1" t="str">
        <f t="shared" si="374"/>
        <v>21000-032</v>
      </c>
      <c r="J4038" s="1" t="str">
        <f t="shared" si="375"/>
        <v>Grand piano service item #032</v>
      </c>
      <c r="K4038" s="1" t="str">
        <f>IF(SUM(COUNTIFS(I:I, I4038)) &gt; 1, "DUPLICATE", "UNIQUE")</f>
        <v>UNIQUE</v>
      </c>
      <c r="L4038" s="18">
        <v>6</v>
      </c>
      <c r="M4038" s="28">
        <v>471</v>
      </c>
      <c r="N4038" s="6">
        <v>64</v>
      </c>
      <c r="O4038" s="30">
        <f t="shared" si="376"/>
        <v>2826</v>
      </c>
      <c r="P4038" s="30">
        <f t="shared" si="377"/>
        <v>30144</v>
      </c>
      <c r="Q4038" s="1">
        <f>COUNTIFS($P:$P, "&gt;" &amp; $P4038) + 1</f>
        <v>686</v>
      </c>
      <c r="R4038" s="63">
        <f>(COUNTIFS($P:$P, "&gt;" &amp; $P4038) + 1) / (COUNTA($I:$I) - 1)</f>
        <v>0.13719999999999999</v>
      </c>
      <c r="S4038" s="23">
        <f>SUMIFS($P:$P, $Q:$Q, "&lt;" &amp; $Q4038)</f>
        <v>158668229</v>
      </c>
    </row>
    <row r="4039" spans="1:19" x14ac:dyDescent="0.25">
      <c r="A4039" s="1">
        <v>4034</v>
      </c>
      <c r="B4039" s="1" t="s">
        <v>3</v>
      </c>
      <c r="C4039" s="1" t="str">
        <f>IF($B4039 = "Production Item", _xlfn.XLOOKUP($A4039, 'Instrument Table'!$J:$J, 'Instrument Table'!$B:$B, $C4038), IF($B4039 = "Service Item", _xlfn.XLOOKUP($A4039, 'Instrument Table'!$I:$I, 'Instrument Table'!$B:$B, $C4038), _xlfn.XLOOKUP($A4039, 'Instrument Table'!$H:$H, 'Instrument Table'!$B:$B, $C4038)))</f>
        <v>Grand Piano</v>
      </c>
      <c r="D4039" s="1" t="str">
        <f>VLOOKUP($C4039, 'Instrument Table'!$B:$C, 2, FALSE)</f>
        <v>Pianos</v>
      </c>
      <c r="E4039" s="1">
        <f t="shared" ref="E4039:E4102" si="378">IF($B4039 = "Production Item", 1, IF($B4039 = "Service Item", 2, IF($B4039 = "Retail Item", 3, "")))</f>
        <v>2</v>
      </c>
      <c r="F4039" s="1">
        <f>_xlfn.XLOOKUP($C4039, 'Instrument Table'!$B:$B, 'Instrument Table'!$A:$A, "")</f>
        <v>10</v>
      </c>
      <c r="G4039" s="1" t="str">
        <f>TEXT(IF($B4039 = "Retail Item", IF((ROW($A4039) - 4504 - _xlfn.XMATCH($C4039, $C$4506:$C$5005, 0, 1)) &lt;= VLOOKUP($C4039, 'Instrument Table'!$B:$D, 3, FALSE), ROW($A4039) - 4504 - _xlfn.XMATCH($C4039, $C$4506:$C$5005, 0, 1), 0), 0), "00")</f>
        <v>00</v>
      </c>
      <c r="H4039" s="1" t="str">
        <f t="shared" ref="H4039:H4102" si="379">TEXT(IF($E4039 &amp; $F4039 &amp; $G4039 = $E4038 &amp; $F4038 &amp; $G4038, 1 + H4038, 0), "000")</f>
        <v>033</v>
      </c>
      <c r="I4039" s="1" t="str">
        <f t="shared" ref="I4039:I4102" si="380" xml:space="preserve"> _xlfn.CONCAT($E4039, $F4039, $G4039, "-", H4039)</f>
        <v>21000-033</v>
      </c>
      <c r="J4039" s="1" t="str">
        <f t="shared" ref="J4039:J4102" si="381">LEFT($C4039, 1) &amp; LOWER(RIGHT($C4039, LEN($C4039) - 1)) &amp; IF(AND($G4039 &lt;&gt; "00", $B4039 = "Retail Item"), " model #" &amp; $G4039, " " &amp; LOWER($B4039) &amp; " #" &amp; $H4039)</f>
        <v>Grand piano service item #033</v>
      </c>
      <c r="K4039" s="1" t="str">
        <f>IF(SUM(COUNTIFS(I:I, I4039)) &gt; 1, "DUPLICATE", "UNIQUE")</f>
        <v>UNIQUE</v>
      </c>
      <c r="L4039" s="18">
        <v>10</v>
      </c>
      <c r="M4039" s="28">
        <v>727</v>
      </c>
      <c r="N4039" s="6">
        <v>8</v>
      </c>
      <c r="O4039" s="30">
        <f t="shared" ref="O4039:O4102" si="382">$L4039 * $M4039</f>
        <v>7270</v>
      </c>
      <c r="P4039" s="30">
        <f t="shared" ref="P4039:P4102" si="383">$N4039 * $M4039</f>
        <v>5816</v>
      </c>
      <c r="Q4039" s="1">
        <f>COUNTIFS($P:$P, "&gt;" &amp; $P4039) + 1</f>
        <v>2296</v>
      </c>
      <c r="R4039" s="63">
        <f>(COUNTIFS($P:$P, "&gt;" &amp; $P4039) + 1) / (COUNTA($I:$I) - 1)</f>
        <v>0.4592</v>
      </c>
      <c r="S4039" s="23">
        <f>SUMIFS($P:$P, $Q:$Q, "&lt;" &amp; $Q4039)</f>
        <v>182040986</v>
      </c>
    </row>
    <row r="4040" spans="1:19" x14ac:dyDescent="0.25">
      <c r="A4040" s="1">
        <v>4035</v>
      </c>
      <c r="B4040" s="1" t="s">
        <v>3</v>
      </c>
      <c r="C4040" s="1" t="str">
        <f>IF($B4040 = "Production Item", _xlfn.XLOOKUP($A4040, 'Instrument Table'!$J:$J, 'Instrument Table'!$B:$B, $C4039), IF($B4040 = "Service Item", _xlfn.XLOOKUP($A4040, 'Instrument Table'!$I:$I, 'Instrument Table'!$B:$B, $C4039), _xlfn.XLOOKUP($A4040, 'Instrument Table'!$H:$H, 'Instrument Table'!$B:$B, $C4039)))</f>
        <v>Grand Piano</v>
      </c>
      <c r="D4040" s="1" t="str">
        <f>VLOOKUP($C4040, 'Instrument Table'!$B:$C, 2, FALSE)</f>
        <v>Pianos</v>
      </c>
      <c r="E4040" s="1">
        <f t="shared" si="378"/>
        <v>2</v>
      </c>
      <c r="F4040" s="1">
        <f>_xlfn.XLOOKUP($C4040, 'Instrument Table'!$B:$B, 'Instrument Table'!$A:$A, "")</f>
        <v>10</v>
      </c>
      <c r="G4040" s="1" t="str">
        <f>TEXT(IF($B4040 = "Retail Item", IF((ROW($A4040) - 4504 - _xlfn.XMATCH($C4040, $C$4506:$C$5005, 0, 1)) &lt;= VLOOKUP($C4040, 'Instrument Table'!$B:$D, 3, FALSE), ROW($A4040) - 4504 - _xlfn.XMATCH($C4040, $C$4506:$C$5005, 0, 1), 0), 0), "00")</f>
        <v>00</v>
      </c>
      <c r="H4040" s="1" t="str">
        <f t="shared" si="379"/>
        <v>034</v>
      </c>
      <c r="I4040" s="1" t="str">
        <f t="shared" si="380"/>
        <v>21000-034</v>
      </c>
      <c r="J4040" s="1" t="str">
        <f t="shared" si="381"/>
        <v>Grand piano service item #034</v>
      </c>
      <c r="K4040" s="1" t="str">
        <f>IF(SUM(COUNTIFS(I:I, I4040)) &gt; 1, "DUPLICATE", "UNIQUE")</f>
        <v>UNIQUE</v>
      </c>
      <c r="L4040" s="18">
        <v>0</v>
      </c>
      <c r="M4040" s="28">
        <v>914</v>
      </c>
      <c r="N4040" s="6">
        <v>64</v>
      </c>
      <c r="O4040" s="30">
        <f t="shared" si="382"/>
        <v>0</v>
      </c>
      <c r="P4040" s="30">
        <f t="shared" si="383"/>
        <v>58496</v>
      </c>
      <c r="Q4040" s="1">
        <f>COUNTIFS($P:$P, "&gt;" &amp; $P4040) + 1</f>
        <v>503</v>
      </c>
      <c r="R4040" s="63">
        <f>(COUNTIFS($P:$P, "&gt;" &amp; $P4040) + 1) / (COUNTA($I:$I) - 1)</f>
        <v>0.10059999999999999</v>
      </c>
      <c r="S4040" s="23">
        <f>SUMIFS($P:$P, $Q:$Q, "&lt;" &amp; $Q4040)</f>
        <v>151642901</v>
      </c>
    </row>
    <row r="4041" spans="1:19" x14ac:dyDescent="0.25">
      <c r="A4041" s="1">
        <v>4036</v>
      </c>
      <c r="B4041" s="1" t="s">
        <v>3</v>
      </c>
      <c r="C4041" s="1" t="str">
        <f>IF($B4041 = "Production Item", _xlfn.XLOOKUP($A4041, 'Instrument Table'!$J:$J, 'Instrument Table'!$B:$B, $C4040), IF($B4041 = "Service Item", _xlfn.XLOOKUP($A4041, 'Instrument Table'!$I:$I, 'Instrument Table'!$B:$B, $C4040), _xlfn.XLOOKUP($A4041, 'Instrument Table'!$H:$H, 'Instrument Table'!$B:$B, $C4040)))</f>
        <v>Grand Piano</v>
      </c>
      <c r="D4041" s="1" t="str">
        <f>VLOOKUP($C4041, 'Instrument Table'!$B:$C, 2, FALSE)</f>
        <v>Pianos</v>
      </c>
      <c r="E4041" s="1">
        <f t="shared" si="378"/>
        <v>2</v>
      </c>
      <c r="F4041" s="1">
        <f>_xlfn.XLOOKUP($C4041, 'Instrument Table'!$B:$B, 'Instrument Table'!$A:$A, "")</f>
        <v>10</v>
      </c>
      <c r="G4041" s="1" t="str">
        <f>TEXT(IF($B4041 = "Retail Item", IF((ROW($A4041) - 4504 - _xlfn.XMATCH($C4041, $C$4506:$C$5005, 0, 1)) &lt;= VLOOKUP($C4041, 'Instrument Table'!$B:$D, 3, FALSE), ROW($A4041) - 4504 - _xlfn.XMATCH($C4041, $C$4506:$C$5005, 0, 1), 0), 0), "00")</f>
        <v>00</v>
      </c>
      <c r="H4041" s="1" t="str">
        <f t="shared" si="379"/>
        <v>035</v>
      </c>
      <c r="I4041" s="1" t="str">
        <f t="shared" si="380"/>
        <v>21000-035</v>
      </c>
      <c r="J4041" s="1" t="str">
        <f t="shared" si="381"/>
        <v>Grand piano service item #035</v>
      </c>
      <c r="K4041" s="1" t="str">
        <f>IF(SUM(COUNTIFS(I:I, I4041)) &gt; 1, "DUPLICATE", "UNIQUE")</f>
        <v>UNIQUE</v>
      </c>
      <c r="L4041" s="18">
        <v>3</v>
      </c>
      <c r="M4041" s="28">
        <v>846</v>
      </c>
      <c r="N4041" s="6">
        <v>8</v>
      </c>
      <c r="O4041" s="30">
        <f t="shared" si="382"/>
        <v>2538</v>
      </c>
      <c r="P4041" s="30">
        <f t="shared" si="383"/>
        <v>6768</v>
      </c>
      <c r="Q4041" s="1">
        <f>COUNTIFS($P:$P, "&gt;" &amp; $P4041) + 1</f>
        <v>2174</v>
      </c>
      <c r="R4041" s="63">
        <f>(COUNTIFS($P:$P, "&gt;" &amp; $P4041) + 1) / (COUNTA($I:$I) - 1)</f>
        <v>0.43480000000000002</v>
      </c>
      <c r="S4041" s="23">
        <f>SUMIFS($P:$P, $Q:$Q, "&lt;" &amp; $Q4041)</f>
        <v>181277820</v>
      </c>
    </row>
    <row r="4042" spans="1:19" x14ac:dyDescent="0.25">
      <c r="A4042" s="1">
        <v>4037</v>
      </c>
      <c r="B4042" s="1" t="s">
        <v>3</v>
      </c>
      <c r="C4042" s="1" t="str">
        <f>IF($B4042 = "Production Item", _xlfn.XLOOKUP($A4042, 'Instrument Table'!$J:$J, 'Instrument Table'!$B:$B, $C4041), IF($B4042 = "Service Item", _xlfn.XLOOKUP($A4042, 'Instrument Table'!$I:$I, 'Instrument Table'!$B:$B, $C4041), _xlfn.XLOOKUP($A4042, 'Instrument Table'!$H:$H, 'Instrument Table'!$B:$B, $C4041)))</f>
        <v>Grand Piano</v>
      </c>
      <c r="D4042" s="1" t="str">
        <f>VLOOKUP($C4042, 'Instrument Table'!$B:$C, 2, FALSE)</f>
        <v>Pianos</v>
      </c>
      <c r="E4042" s="1">
        <f t="shared" si="378"/>
        <v>2</v>
      </c>
      <c r="F4042" s="1">
        <f>_xlfn.XLOOKUP($C4042, 'Instrument Table'!$B:$B, 'Instrument Table'!$A:$A, "")</f>
        <v>10</v>
      </c>
      <c r="G4042" s="1" t="str">
        <f>TEXT(IF($B4042 = "Retail Item", IF((ROW($A4042) - 4504 - _xlfn.XMATCH($C4042, $C$4506:$C$5005, 0, 1)) &lt;= VLOOKUP($C4042, 'Instrument Table'!$B:$D, 3, FALSE), ROW($A4042) - 4504 - _xlfn.XMATCH($C4042, $C$4506:$C$5005, 0, 1), 0), 0), "00")</f>
        <v>00</v>
      </c>
      <c r="H4042" s="1" t="str">
        <f t="shared" si="379"/>
        <v>036</v>
      </c>
      <c r="I4042" s="1" t="str">
        <f t="shared" si="380"/>
        <v>21000-036</v>
      </c>
      <c r="J4042" s="1" t="str">
        <f t="shared" si="381"/>
        <v>Grand piano service item #036</v>
      </c>
      <c r="K4042" s="1" t="str">
        <f>IF(SUM(COUNTIFS(I:I, I4042)) &gt; 1, "DUPLICATE", "UNIQUE")</f>
        <v>UNIQUE</v>
      </c>
      <c r="L4042" s="18">
        <v>10</v>
      </c>
      <c r="M4042" s="28">
        <v>914</v>
      </c>
      <c r="N4042" s="6">
        <v>125</v>
      </c>
      <c r="O4042" s="30">
        <f t="shared" si="382"/>
        <v>9140</v>
      </c>
      <c r="P4042" s="30">
        <f t="shared" si="383"/>
        <v>114250</v>
      </c>
      <c r="Q4042" s="1">
        <f>COUNTIFS($P:$P, "&gt;" &amp; $P4042) + 1</f>
        <v>387</v>
      </c>
      <c r="R4042" s="63">
        <f>(COUNTIFS($P:$P, "&gt;" &amp; $P4042) + 1) / (COUNTA($I:$I) - 1)</f>
        <v>7.7399999999999997E-2</v>
      </c>
      <c r="S4042" s="23">
        <f>SUMIFS($P:$P, $Q:$Q, "&lt;" &amp; $Q4042)</f>
        <v>142015975</v>
      </c>
    </row>
    <row r="4043" spans="1:19" x14ac:dyDescent="0.25">
      <c r="A4043" s="1">
        <v>4038</v>
      </c>
      <c r="B4043" s="1" t="s">
        <v>3</v>
      </c>
      <c r="C4043" s="1" t="str">
        <f>IF($B4043 = "Production Item", _xlfn.XLOOKUP($A4043, 'Instrument Table'!$J:$J, 'Instrument Table'!$B:$B, $C4042), IF($B4043 = "Service Item", _xlfn.XLOOKUP($A4043, 'Instrument Table'!$I:$I, 'Instrument Table'!$B:$B, $C4042), _xlfn.XLOOKUP($A4043, 'Instrument Table'!$H:$H, 'Instrument Table'!$B:$B, $C4042)))</f>
        <v>Grand Piano</v>
      </c>
      <c r="D4043" s="1" t="str">
        <f>VLOOKUP($C4043, 'Instrument Table'!$B:$C, 2, FALSE)</f>
        <v>Pianos</v>
      </c>
      <c r="E4043" s="1">
        <f t="shared" si="378"/>
        <v>2</v>
      </c>
      <c r="F4043" s="1">
        <f>_xlfn.XLOOKUP($C4043, 'Instrument Table'!$B:$B, 'Instrument Table'!$A:$A, "")</f>
        <v>10</v>
      </c>
      <c r="G4043" s="1" t="str">
        <f>TEXT(IF($B4043 = "Retail Item", IF((ROW($A4043) - 4504 - _xlfn.XMATCH($C4043, $C$4506:$C$5005, 0, 1)) &lt;= VLOOKUP($C4043, 'Instrument Table'!$B:$D, 3, FALSE), ROW($A4043) - 4504 - _xlfn.XMATCH($C4043, $C$4506:$C$5005, 0, 1), 0), 0), "00")</f>
        <v>00</v>
      </c>
      <c r="H4043" s="1" t="str">
        <f t="shared" si="379"/>
        <v>037</v>
      </c>
      <c r="I4043" s="1" t="str">
        <f t="shared" si="380"/>
        <v>21000-037</v>
      </c>
      <c r="J4043" s="1" t="str">
        <f t="shared" si="381"/>
        <v>Grand piano service item #037</v>
      </c>
      <c r="K4043" s="1" t="str">
        <f>IF(SUM(COUNTIFS(I:I, I4043)) &gt; 1, "DUPLICATE", "UNIQUE")</f>
        <v>UNIQUE</v>
      </c>
      <c r="L4043" s="18">
        <v>8</v>
      </c>
      <c r="M4043" s="28">
        <v>439</v>
      </c>
      <c r="N4043" s="6">
        <v>125</v>
      </c>
      <c r="O4043" s="30">
        <f t="shared" si="382"/>
        <v>3512</v>
      </c>
      <c r="P4043" s="30">
        <f t="shared" si="383"/>
        <v>54875</v>
      </c>
      <c r="Q4043" s="1">
        <f>COUNTIFS($P:$P, "&gt;" &amp; $P4043) + 1</f>
        <v>513</v>
      </c>
      <c r="R4043" s="63">
        <f>(COUNTIFS($P:$P, "&gt;" &amp; $P4043) + 1) / (COUNTA($I:$I) - 1)</f>
        <v>0.1026</v>
      </c>
      <c r="S4043" s="23">
        <f>SUMIFS($P:$P, $Q:$Q, "&lt;" &amp; $Q4043)</f>
        <v>152211520</v>
      </c>
    </row>
    <row r="4044" spans="1:19" x14ac:dyDescent="0.25">
      <c r="A4044" s="1">
        <v>4039</v>
      </c>
      <c r="B4044" s="1" t="s">
        <v>3</v>
      </c>
      <c r="C4044" s="1" t="str">
        <f>IF($B4044 = "Production Item", _xlfn.XLOOKUP($A4044, 'Instrument Table'!$J:$J, 'Instrument Table'!$B:$B, $C4043), IF($B4044 = "Service Item", _xlfn.XLOOKUP($A4044, 'Instrument Table'!$I:$I, 'Instrument Table'!$B:$B, $C4043), _xlfn.XLOOKUP($A4044, 'Instrument Table'!$H:$H, 'Instrument Table'!$B:$B, $C4043)))</f>
        <v>Grand Piano</v>
      </c>
      <c r="D4044" s="1" t="str">
        <f>VLOOKUP($C4044, 'Instrument Table'!$B:$C, 2, FALSE)</f>
        <v>Pianos</v>
      </c>
      <c r="E4044" s="1">
        <f t="shared" si="378"/>
        <v>2</v>
      </c>
      <c r="F4044" s="1">
        <f>_xlfn.XLOOKUP($C4044, 'Instrument Table'!$B:$B, 'Instrument Table'!$A:$A, "")</f>
        <v>10</v>
      </c>
      <c r="G4044" s="1" t="str">
        <f>TEXT(IF($B4044 = "Retail Item", IF((ROW($A4044) - 4504 - _xlfn.XMATCH($C4044, $C$4506:$C$5005, 0, 1)) &lt;= VLOOKUP($C4044, 'Instrument Table'!$B:$D, 3, FALSE), ROW($A4044) - 4504 - _xlfn.XMATCH($C4044, $C$4506:$C$5005, 0, 1), 0), 0), "00")</f>
        <v>00</v>
      </c>
      <c r="H4044" s="1" t="str">
        <f t="shared" si="379"/>
        <v>038</v>
      </c>
      <c r="I4044" s="1" t="str">
        <f t="shared" si="380"/>
        <v>21000-038</v>
      </c>
      <c r="J4044" s="1" t="str">
        <f t="shared" si="381"/>
        <v>Grand piano service item #038</v>
      </c>
      <c r="K4044" s="1" t="str">
        <f>IF(SUM(COUNTIFS(I:I, I4044)) &gt; 1, "DUPLICATE", "UNIQUE")</f>
        <v>UNIQUE</v>
      </c>
      <c r="L4044" s="18">
        <v>3</v>
      </c>
      <c r="M4044" s="28">
        <v>350</v>
      </c>
      <c r="N4044" s="6">
        <v>0</v>
      </c>
      <c r="O4044" s="30">
        <f t="shared" si="382"/>
        <v>1050</v>
      </c>
      <c r="P4044" s="30">
        <f t="shared" si="383"/>
        <v>0</v>
      </c>
      <c r="Q4044" s="1">
        <f>COUNTIFS($P:$P, "&gt;" &amp; $P4044) + 1</f>
        <v>4746</v>
      </c>
      <c r="R4044" s="63">
        <f>(COUNTIFS($P:$P, "&gt;" &amp; $P4044) + 1) / (COUNTA($I:$I) - 1)</f>
        <v>0.94920000000000004</v>
      </c>
      <c r="S4044" s="23">
        <f>SUMIFS($P:$P, $Q:$Q, "&lt;" &amp; $Q4044)</f>
        <v>186547861</v>
      </c>
    </row>
    <row r="4045" spans="1:19" x14ac:dyDescent="0.25">
      <c r="A4045" s="1">
        <v>4040</v>
      </c>
      <c r="B4045" s="1" t="s">
        <v>3</v>
      </c>
      <c r="C4045" s="1" t="str">
        <f>IF($B4045 = "Production Item", _xlfn.XLOOKUP($A4045, 'Instrument Table'!$J:$J, 'Instrument Table'!$B:$B, $C4044), IF($B4045 = "Service Item", _xlfn.XLOOKUP($A4045, 'Instrument Table'!$I:$I, 'Instrument Table'!$B:$B, $C4044), _xlfn.XLOOKUP($A4045, 'Instrument Table'!$H:$H, 'Instrument Table'!$B:$B, $C4044)))</f>
        <v>Grand Piano</v>
      </c>
      <c r="D4045" s="1" t="str">
        <f>VLOOKUP($C4045, 'Instrument Table'!$B:$C, 2, FALSE)</f>
        <v>Pianos</v>
      </c>
      <c r="E4045" s="1">
        <f t="shared" si="378"/>
        <v>2</v>
      </c>
      <c r="F4045" s="1">
        <f>_xlfn.XLOOKUP($C4045, 'Instrument Table'!$B:$B, 'Instrument Table'!$A:$A, "")</f>
        <v>10</v>
      </c>
      <c r="G4045" s="1" t="str">
        <f>TEXT(IF($B4045 = "Retail Item", IF((ROW($A4045) - 4504 - _xlfn.XMATCH($C4045, $C$4506:$C$5005, 0, 1)) &lt;= VLOOKUP($C4045, 'Instrument Table'!$B:$D, 3, FALSE), ROW($A4045) - 4504 - _xlfn.XMATCH($C4045, $C$4506:$C$5005, 0, 1), 0), 0), "00")</f>
        <v>00</v>
      </c>
      <c r="H4045" s="1" t="str">
        <f t="shared" si="379"/>
        <v>039</v>
      </c>
      <c r="I4045" s="1" t="str">
        <f t="shared" si="380"/>
        <v>21000-039</v>
      </c>
      <c r="J4045" s="1" t="str">
        <f t="shared" si="381"/>
        <v>Grand piano service item #039</v>
      </c>
      <c r="K4045" s="1" t="str">
        <f>IF(SUM(COUNTIFS(I:I, I4045)) &gt; 1, "DUPLICATE", "UNIQUE")</f>
        <v>UNIQUE</v>
      </c>
      <c r="L4045" s="18">
        <v>2</v>
      </c>
      <c r="M4045" s="28">
        <v>816</v>
      </c>
      <c r="N4045" s="6">
        <v>27</v>
      </c>
      <c r="O4045" s="30">
        <f t="shared" si="382"/>
        <v>1632</v>
      </c>
      <c r="P4045" s="30">
        <f t="shared" si="383"/>
        <v>22032</v>
      </c>
      <c r="Q4045" s="1">
        <f>COUNTIFS($P:$P, "&gt;" &amp; $P4045) + 1</f>
        <v>952</v>
      </c>
      <c r="R4045" s="63">
        <f>(COUNTIFS($P:$P, "&gt;" &amp; $P4045) + 1) / (COUNTA($I:$I) - 1)</f>
        <v>0.19040000000000001</v>
      </c>
      <c r="S4045" s="23">
        <f>SUMIFS($P:$P, $Q:$Q, "&lt;" &amp; $Q4045)</f>
        <v>165453532</v>
      </c>
    </row>
    <row r="4046" spans="1:19" x14ac:dyDescent="0.25">
      <c r="A4046" s="1">
        <v>4041</v>
      </c>
      <c r="B4046" s="1" t="s">
        <v>3</v>
      </c>
      <c r="C4046" s="1" t="str">
        <f>IF($B4046 = "Production Item", _xlfn.XLOOKUP($A4046, 'Instrument Table'!$J:$J, 'Instrument Table'!$B:$B, $C4045), IF($B4046 = "Service Item", _xlfn.XLOOKUP($A4046, 'Instrument Table'!$I:$I, 'Instrument Table'!$B:$B, $C4045), _xlfn.XLOOKUP($A4046, 'Instrument Table'!$H:$H, 'Instrument Table'!$B:$B, $C4045)))</f>
        <v>Grand Piano</v>
      </c>
      <c r="D4046" s="1" t="str">
        <f>VLOOKUP($C4046, 'Instrument Table'!$B:$C, 2, FALSE)</f>
        <v>Pianos</v>
      </c>
      <c r="E4046" s="1">
        <f t="shared" si="378"/>
        <v>2</v>
      </c>
      <c r="F4046" s="1">
        <f>_xlfn.XLOOKUP($C4046, 'Instrument Table'!$B:$B, 'Instrument Table'!$A:$A, "")</f>
        <v>10</v>
      </c>
      <c r="G4046" s="1" t="str">
        <f>TEXT(IF($B4046 = "Retail Item", IF((ROW($A4046) - 4504 - _xlfn.XMATCH($C4046, $C$4506:$C$5005, 0, 1)) &lt;= VLOOKUP($C4046, 'Instrument Table'!$B:$D, 3, FALSE), ROW($A4046) - 4504 - _xlfn.XMATCH($C4046, $C$4506:$C$5005, 0, 1), 0), 0), "00")</f>
        <v>00</v>
      </c>
      <c r="H4046" s="1" t="str">
        <f t="shared" si="379"/>
        <v>040</v>
      </c>
      <c r="I4046" s="1" t="str">
        <f t="shared" si="380"/>
        <v>21000-040</v>
      </c>
      <c r="J4046" s="1" t="str">
        <f t="shared" si="381"/>
        <v>Grand piano service item #040</v>
      </c>
      <c r="K4046" s="1" t="str">
        <f>IF(SUM(COUNTIFS(I:I, I4046)) &gt; 1, "DUPLICATE", "UNIQUE")</f>
        <v>UNIQUE</v>
      </c>
      <c r="L4046" s="18">
        <v>4</v>
      </c>
      <c r="M4046" s="28">
        <v>421</v>
      </c>
      <c r="N4046" s="6">
        <v>64</v>
      </c>
      <c r="O4046" s="30">
        <f t="shared" si="382"/>
        <v>1684</v>
      </c>
      <c r="P4046" s="30">
        <f t="shared" si="383"/>
        <v>26944</v>
      </c>
      <c r="Q4046" s="1">
        <f>COUNTIFS($P:$P, "&gt;" &amp; $P4046) + 1</f>
        <v>755</v>
      </c>
      <c r="R4046" s="63">
        <f>(COUNTIFS($P:$P, "&gt;" &amp; $P4046) + 1) / (COUNTA($I:$I) - 1)</f>
        <v>0.151</v>
      </c>
      <c r="S4046" s="23">
        <f>SUMIFS($P:$P, $Q:$Q, "&lt;" &amp; $Q4046)</f>
        <v>160641150</v>
      </c>
    </row>
    <row r="4047" spans="1:19" x14ac:dyDescent="0.25">
      <c r="A4047" s="1">
        <v>4042</v>
      </c>
      <c r="B4047" s="1" t="s">
        <v>3</v>
      </c>
      <c r="C4047" s="1" t="str">
        <f>IF($B4047 = "Production Item", _xlfn.XLOOKUP($A4047, 'Instrument Table'!$J:$J, 'Instrument Table'!$B:$B, $C4046), IF($B4047 = "Service Item", _xlfn.XLOOKUP($A4047, 'Instrument Table'!$I:$I, 'Instrument Table'!$B:$B, $C4046), _xlfn.XLOOKUP($A4047, 'Instrument Table'!$H:$H, 'Instrument Table'!$B:$B, $C4046)))</f>
        <v>Grand Piano</v>
      </c>
      <c r="D4047" s="1" t="str">
        <f>VLOOKUP($C4047, 'Instrument Table'!$B:$C, 2, FALSE)</f>
        <v>Pianos</v>
      </c>
      <c r="E4047" s="1">
        <f t="shared" si="378"/>
        <v>2</v>
      </c>
      <c r="F4047" s="1">
        <f>_xlfn.XLOOKUP($C4047, 'Instrument Table'!$B:$B, 'Instrument Table'!$A:$A, "")</f>
        <v>10</v>
      </c>
      <c r="G4047" s="1" t="str">
        <f>TEXT(IF($B4047 = "Retail Item", IF((ROW($A4047) - 4504 - _xlfn.XMATCH($C4047, $C$4506:$C$5005, 0, 1)) &lt;= VLOOKUP($C4047, 'Instrument Table'!$B:$D, 3, FALSE), ROW($A4047) - 4504 - _xlfn.XMATCH($C4047, $C$4506:$C$5005, 0, 1), 0), 0), "00")</f>
        <v>00</v>
      </c>
      <c r="H4047" s="1" t="str">
        <f t="shared" si="379"/>
        <v>041</v>
      </c>
      <c r="I4047" s="1" t="str">
        <f t="shared" si="380"/>
        <v>21000-041</v>
      </c>
      <c r="J4047" s="1" t="str">
        <f t="shared" si="381"/>
        <v>Grand piano service item #041</v>
      </c>
      <c r="K4047" s="1" t="str">
        <f>IF(SUM(COUNTIFS(I:I, I4047)) &gt; 1, "DUPLICATE", "UNIQUE")</f>
        <v>UNIQUE</v>
      </c>
      <c r="L4047" s="18">
        <v>5</v>
      </c>
      <c r="M4047" s="28">
        <v>245</v>
      </c>
      <c r="N4047" s="6">
        <v>64</v>
      </c>
      <c r="O4047" s="30">
        <f t="shared" si="382"/>
        <v>1225</v>
      </c>
      <c r="P4047" s="30">
        <f t="shared" si="383"/>
        <v>15680</v>
      </c>
      <c r="Q4047" s="1">
        <f>COUNTIFS($P:$P, "&gt;" &amp; $P4047) + 1</f>
        <v>1301</v>
      </c>
      <c r="R4047" s="63">
        <f>(COUNTIFS($P:$P, "&gt;" &amp; $P4047) + 1) / (COUNTA($I:$I) - 1)</f>
        <v>0.26019999999999999</v>
      </c>
      <c r="S4047" s="23">
        <f>SUMIFS($P:$P, $Q:$Q, "&lt;" &amp; $Q4047)</f>
        <v>171989605</v>
      </c>
    </row>
    <row r="4048" spans="1:19" x14ac:dyDescent="0.25">
      <c r="A4048" s="1">
        <v>4043</v>
      </c>
      <c r="B4048" s="1" t="s">
        <v>3</v>
      </c>
      <c r="C4048" s="1" t="str">
        <f>IF($B4048 = "Production Item", _xlfn.XLOOKUP($A4048, 'Instrument Table'!$J:$J, 'Instrument Table'!$B:$B, $C4047), IF($B4048 = "Service Item", _xlfn.XLOOKUP($A4048, 'Instrument Table'!$I:$I, 'Instrument Table'!$B:$B, $C4047), _xlfn.XLOOKUP($A4048, 'Instrument Table'!$H:$H, 'Instrument Table'!$B:$B, $C4047)))</f>
        <v>Grand Piano</v>
      </c>
      <c r="D4048" s="1" t="str">
        <f>VLOOKUP($C4048, 'Instrument Table'!$B:$C, 2, FALSE)</f>
        <v>Pianos</v>
      </c>
      <c r="E4048" s="1">
        <f t="shared" si="378"/>
        <v>2</v>
      </c>
      <c r="F4048" s="1">
        <f>_xlfn.XLOOKUP($C4048, 'Instrument Table'!$B:$B, 'Instrument Table'!$A:$A, "")</f>
        <v>10</v>
      </c>
      <c r="G4048" s="1" t="str">
        <f>TEXT(IF($B4048 = "Retail Item", IF((ROW($A4048) - 4504 - _xlfn.XMATCH($C4048, $C$4506:$C$5005, 0, 1)) &lt;= VLOOKUP($C4048, 'Instrument Table'!$B:$D, 3, FALSE), ROW($A4048) - 4504 - _xlfn.XMATCH($C4048, $C$4506:$C$5005, 0, 1), 0), 0), "00")</f>
        <v>00</v>
      </c>
      <c r="H4048" s="1" t="str">
        <f t="shared" si="379"/>
        <v>042</v>
      </c>
      <c r="I4048" s="1" t="str">
        <f t="shared" si="380"/>
        <v>21000-042</v>
      </c>
      <c r="J4048" s="1" t="str">
        <f t="shared" si="381"/>
        <v>Grand piano service item #042</v>
      </c>
      <c r="K4048" s="1" t="str">
        <f>IF(SUM(COUNTIFS(I:I, I4048)) &gt; 1, "DUPLICATE", "UNIQUE")</f>
        <v>UNIQUE</v>
      </c>
      <c r="L4048" s="18">
        <v>3</v>
      </c>
      <c r="M4048" s="28">
        <v>391</v>
      </c>
      <c r="N4048" s="6">
        <v>125</v>
      </c>
      <c r="O4048" s="30">
        <f t="shared" si="382"/>
        <v>1173</v>
      </c>
      <c r="P4048" s="30">
        <f t="shared" si="383"/>
        <v>48875</v>
      </c>
      <c r="Q4048" s="1">
        <f>COUNTIFS($P:$P, "&gt;" &amp; $P4048) + 1</f>
        <v>529</v>
      </c>
      <c r="R4048" s="63">
        <f>(COUNTIFS($P:$P, "&gt;" &amp; $P4048) + 1) / (COUNTA($I:$I) - 1)</f>
        <v>0.10580000000000001</v>
      </c>
      <c r="S4048" s="23">
        <f>SUMIFS($P:$P, $Q:$Q, "&lt;" &amp; $Q4048)</f>
        <v>153051693</v>
      </c>
    </row>
    <row r="4049" spans="1:19" x14ac:dyDescent="0.25">
      <c r="A4049" s="1">
        <v>4044</v>
      </c>
      <c r="B4049" s="1" t="s">
        <v>3</v>
      </c>
      <c r="C4049" s="1" t="str">
        <f>IF($B4049 = "Production Item", _xlfn.XLOOKUP($A4049, 'Instrument Table'!$J:$J, 'Instrument Table'!$B:$B, $C4048), IF($B4049 = "Service Item", _xlfn.XLOOKUP($A4049, 'Instrument Table'!$I:$I, 'Instrument Table'!$B:$B, $C4048), _xlfn.XLOOKUP($A4049, 'Instrument Table'!$H:$H, 'Instrument Table'!$B:$B, $C4048)))</f>
        <v>Grand Piano</v>
      </c>
      <c r="D4049" s="1" t="str">
        <f>VLOOKUP($C4049, 'Instrument Table'!$B:$C, 2, FALSE)</f>
        <v>Pianos</v>
      </c>
      <c r="E4049" s="1">
        <f t="shared" si="378"/>
        <v>2</v>
      </c>
      <c r="F4049" s="1">
        <f>_xlfn.XLOOKUP($C4049, 'Instrument Table'!$B:$B, 'Instrument Table'!$A:$A, "")</f>
        <v>10</v>
      </c>
      <c r="G4049" s="1" t="str">
        <f>TEXT(IF($B4049 = "Retail Item", IF((ROW($A4049) - 4504 - _xlfn.XMATCH($C4049, $C$4506:$C$5005, 0, 1)) &lt;= VLOOKUP($C4049, 'Instrument Table'!$B:$D, 3, FALSE), ROW($A4049) - 4504 - _xlfn.XMATCH($C4049, $C$4506:$C$5005, 0, 1), 0), 0), "00")</f>
        <v>00</v>
      </c>
      <c r="H4049" s="1" t="str">
        <f t="shared" si="379"/>
        <v>043</v>
      </c>
      <c r="I4049" s="1" t="str">
        <f t="shared" si="380"/>
        <v>21000-043</v>
      </c>
      <c r="J4049" s="1" t="str">
        <f t="shared" si="381"/>
        <v>Grand piano service item #043</v>
      </c>
      <c r="K4049" s="1" t="str">
        <f>IF(SUM(COUNTIFS(I:I, I4049)) &gt; 1, "DUPLICATE", "UNIQUE")</f>
        <v>UNIQUE</v>
      </c>
      <c r="L4049" s="18">
        <v>8</v>
      </c>
      <c r="M4049" s="28">
        <v>599</v>
      </c>
      <c r="N4049" s="6">
        <v>1</v>
      </c>
      <c r="O4049" s="30">
        <f t="shared" si="382"/>
        <v>4792</v>
      </c>
      <c r="P4049" s="30">
        <f t="shared" si="383"/>
        <v>599</v>
      </c>
      <c r="Q4049" s="1">
        <f>COUNTIFS($P:$P, "&gt;" &amp; $P4049) + 1</f>
        <v>3942</v>
      </c>
      <c r="R4049" s="63">
        <f>(COUNTIFS($P:$P, "&gt;" &amp; $P4049) + 1) / (COUNTA($I:$I) - 1)</f>
        <v>0.78839999999999999</v>
      </c>
      <c r="S4049" s="23">
        <f>SUMIFS($P:$P, $Q:$Q, "&lt;" &amp; $Q4049)</f>
        <v>186365502</v>
      </c>
    </row>
    <row r="4050" spans="1:19" x14ac:dyDescent="0.25">
      <c r="A4050" s="1">
        <v>4045</v>
      </c>
      <c r="B4050" s="1" t="s">
        <v>3</v>
      </c>
      <c r="C4050" s="1" t="str">
        <f>IF($B4050 = "Production Item", _xlfn.XLOOKUP($A4050, 'Instrument Table'!$J:$J, 'Instrument Table'!$B:$B, $C4049), IF($B4050 = "Service Item", _xlfn.XLOOKUP($A4050, 'Instrument Table'!$I:$I, 'Instrument Table'!$B:$B, $C4049), _xlfn.XLOOKUP($A4050, 'Instrument Table'!$H:$H, 'Instrument Table'!$B:$B, $C4049)))</f>
        <v>Grand Piano</v>
      </c>
      <c r="D4050" s="1" t="str">
        <f>VLOOKUP($C4050, 'Instrument Table'!$B:$C, 2, FALSE)</f>
        <v>Pianos</v>
      </c>
      <c r="E4050" s="1">
        <f t="shared" si="378"/>
        <v>2</v>
      </c>
      <c r="F4050" s="1">
        <f>_xlfn.XLOOKUP($C4050, 'Instrument Table'!$B:$B, 'Instrument Table'!$A:$A, "")</f>
        <v>10</v>
      </c>
      <c r="G4050" s="1" t="str">
        <f>TEXT(IF($B4050 = "Retail Item", IF((ROW($A4050) - 4504 - _xlfn.XMATCH($C4050, $C$4506:$C$5005, 0, 1)) &lt;= VLOOKUP($C4050, 'Instrument Table'!$B:$D, 3, FALSE), ROW($A4050) - 4504 - _xlfn.XMATCH($C4050, $C$4506:$C$5005, 0, 1), 0), 0), "00")</f>
        <v>00</v>
      </c>
      <c r="H4050" s="1" t="str">
        <f t="shared" si="379"/>
        <v>044</v>
      </c>
      <c r="I4050" s="1" t="str">
        <f t="shared" si="380"/>
        <v>21000-044</v>
      </c>
      <c r="J4050" s="1" t="str">
        <f t="shared" si="381"/>
        <v>Grand piano service item #044</v>
      </c>
      <c r="K4050" s="1" t="str">
        <f>IF(SUM(COUNTIFS(I:I, I4050)) &gt; 1, "DUPLICATE", "UNIQUE")</f>
        <v>UNIQUE</v>
      </c>
      <c r="L4050" s="18">
        <v>9</v>
      </c>
      <c r="M4050" s="28">
        <v>774</v>
      </c>
      <c r="N4050" s="6">
        <v>27</v>
      </c>
      <c r="O4050" s="30">
        <f t="shared" si="382"/>
        <v>6966</v>
      </c>
      <c r="P4050" s="30">
        <f t="shared" si="383"/>
        <v>20898</v>
      </c>
      <c r="Q4050" s="1">
        <f>COUNTIFS($P:$P, "&gt;" &amp; $P4050) + 1</f>
        <v>1011</v>
      </c>
      <c r="R4050" s="63">
        <f>(COUNTIFS($P:$P, "&gt;" &amp; $P4050) + 1) / (COUNTA($I:$I) - 1)</f>
        <v>0.20219999999999999</v>
      </c>
      <c r="S4050" s="23">
        <f>SUMIFS($P:$P, $Q:$Q, "&lt;" &amp; $Q4050)</f>
        <v>166722319</v>
      </c>
    </row>
    <row r="4051" spans="1:19" x14ac:dyDescent="0.25">
      <c r="A4051" s="1">
        <v>4046</v>
      </c>
      <c r="B4051" s="1" t="s">
        <v>3</v>
      </c>
      <c r="C4051" s="1" t="str">
        <f>IF($B4051 = "Production Item", _xlfn.XLOOKUP($A4051, 'Instrument Table'!$J:$J, 'Instrument Table'!$B:$B, $C4050), IF($B4051 = "Service Item", _xlfn.XLOOKUP($A4051, 'Instrument Table'!$I:$I, 'Instrument Table'!$B:$B, $C4050), _xlfn.XLOOKUP($A4051, 'Instrument Table'!$H:$H, 'Instrument Table'!$B:$B, $C4050)))</f>
        <v>Grand Piano</v>
      </c>
      <c r="D4051" s="1" t="str">
        <f>VLOOKUP($C4051, 'Instrument Table'!$B:$C, 2, FALSE)</f>
        <v>Pianos</v>
      </c>
      <c r="E4051" s="1">
        <f t="shared" si="378"/>
        <v>2</v>
      </c>
      <c r="F4051" s="1">
        <f>_xlfn.XLOOKUP($C4051, 'Instrument Table'!$B:$B, 'Instrument Table'!$A:$A, "")</f>
        <v>10</v>
      </c>
      <c r="G4051" s="1" t="str">
        <f>TEXT(IF($B4051 = "Retail Item", IF((ROW($A4051) - 4504 - _xlfn.XMATCH($C4051, $C$4506:$C$5005, 0, 1)) &lt;= VLOOKUP($C4051, 'Instrument Table'!$B:$D, 3, FALSE), ROW($A4051) - 4504 - _xlfn.XMATCH($C4051, $C$4506:$C$5005, 0, 1), 0), 0), "00")</f>
        <v>00</v>
      </c>
      <c r="H4051" s="1" t="str">
        <f t="shared" si="379"/>
        <v>045</v>
      </c>
      <c r="I4051" s="1" t="str">
        <f t="shared" si="380"/>
        <v>21000-045</v>
      </c>
      <c r="J4051" s="1" t="str">
        <f t="shared" si="381"/>
        <v>Grand piano service item #045</v>
      </c>
      <c r="K4051" s="1" t="str">
        <f>IF(SUM(COUNTIFS(I:I, I4051)) &gt; 1, "DUPLICATE", "UNIQUE")</f>
        <v>UNIQUE</v>
      </c>
      <c r="L4051" s="18">
        <v>2</v>
      </c>
      <c r="M4051" s="28">
        <v>833</v>
      </c>
      <c r="N4051" s="6">
        <v>1</v>
      </c>
      <c r="O4051" s="30">
        <f t="shared" si="382"/>
        <v>1666</v>
      </c>
      <c r="P4051" s="30">
        <f t="shared" si="383"/>
        <v>833</v>
      </c>
      <c r="Q4051" s="1">
        <f>COUNTIFS($P:$P, "&gt;" &amp; $P4051) + 1</f>
        <v>3773</v>
      </c>
      <c r="R4051" s="63">
        <f>(COUNTIFS($P:$P, "&gt;" &amp; $P4051) + 1) / (COUNTA($I:$I) - 1)</f>
        <v>0.75460000000000005</v>
      </c>
      <c r="S4051" s="23">
        <f>SUMIFS($P:$P, $Q:$Q, "&lt;" &amp; $Q4051)</f>
        <v>186243751</v>
      </c>
    </row>
    <row r="4052" spans="1:19" x14ac:dyDescent="0.25">
      <c r="A4052" s="1">
        <v>4047</v>
      </c>
      <c r="B4052" s="1" t="s">
        <v>3</v>
      </c>
      <c r="C4052" s="1" t="str">
        <f>IF($B4052 = "Production Item", _xlfn.XLOOKUP($A4052, 'Instrument Table'!$J:$J, 'Instrument Table'!$B:$B, $C4051), IF($B4052 = "Service Item", _xlfn.XLOOKUP($A4052, 'Instrument Table'!$I:$I, 'Instrument Table'!$B:$B, $C4051), _xlfn.XLOOKUP($A4052, 'Instrument Table'!$H:$H, 'Instrument Table'!$B:$B, $C4051)))</f>
        <v>Grand Piano</v>
      </c>
      <c r="D4052" s="1" t="str">
        <f>VLOOKUP($C4052, 'Instrument Table'!$B:$C, 2, FALSE)</f>
        <v>Pianos</v>
      </c>
      <c r="E4052" s="1">
        <f t="shared" si="378"/>
        <v>2</v>
      </c>
      <c r="F4052" s="1">
        <f>_xlfn.XLOOKUP($C4052, 'Instrument Table'!$B:$B, 'Instrument Table'!$A:$A, "")</f>
        <v>10</v>
      </c>
      <c r="G4052" s="1" t="str">
        <f>TEXT(IF($B4052 = "Retail Item", IF((ROW($A4052) - 4504 - _xlfn.XMATCH($C4052, $C$4506:$C$5005, 0, 1)) &lt;= VLOOKUP($C4052, 'Instrument Table'!$B:$D, 3, FALSE), ROW($A4052) - 4504 - _xlfn.XMATCH($C4052, $C$4506:$C$5005, 0, 1), 0), 0), "00")</f>
        <v>00</v>
      </c>
      <c r="H4052" s="1" t="str">
        <f t="shared" si="379"/>
        <v>046</v>
      </c>
      <c r="I4052" s="1" t="str">
        <f t="shared" si="380"/>
        <v>21000-046</v>
      </c>
      <c r="J4052" s="1" t="str">
        <f t="shared" si="381"/>
        <v>Grand piano service item #046</v>
      </c>
      <c r="K4052" s="1" t="str">
        <f>IF(SUM(COUNTIFS(I:I, I4052)) &gt; 1, "DUPLICATE", "UNIQUE")</f>
        <v>UNIQUE</v>
      </c>
      <c r="L4052" s="18">
        <v>3</v>
      </c>
      <c r="M4052" s="28">
        <v>448</v>
      </c>
      <c r="N4052" s="6">
        <v>27</v>
      </c>
      <c r="O4052" s="30">
        <f t="shared" si="382"/>
        <v>1344</v>
      </c>
      <c r="P4052" s="30">
        <f t="shared" si="383"/>
        <v>12096</v>
      </c>
      <c r="Q4052" s="1">
        <f>COUNTIFS($P:$P, "&gt;" &amp; $P4052) + 1</f>
        <v>1572</v>
      </c>
      <c r="R4052" s="63">
        <f>(COUNTIFS($P:$P, "&gt;" &amp; $P4052) + 1) / (COUNTA($I:$I) - 1)</f>
        <v>0.31440000000000001</v>
      </c>
      <c r="S4052" s="23">
        <f>SUMIFS($P:$P, $Q:$Q, "&lt;" &amp; $Q4052)</f>
        <v>175743737</v>
      </c>
    </row>
    <row r="4053" spans="1:19" x14ac:dyDescent="0.25">
      <c r="A4053" s="1">
        <v>4048</v>
      </c>
      <c r="B4053" s="1" t="s">
        <v>3</v>
      </c>
      <c r="C4053" s="1" t="str">
        <f>IF($B4053 = "Production Item", _xlfn.XLOOKUP($A4053, 'Instrument Table'!$J:$J, 'Instrument Table'!$B:$B, $C4052), IF($B4053 = "Service Item", _xlfn.XLOOKUP($A4053, 'Instrument Table'!$I:$I, 'Instrument Table'!$B:$B, $C4052), _xlfn.XLOOKUP($A4053, 'Instrument Table'!$H:$H, 'Instrument Table'!$B:$B, $C4052)))</f>
        <v>Grand Piano</v>
      </c>
      <c r="D4053" s="1" t="str">
        <f>VLOOKUP($C4053, 'Instrument Table'!$B:$C, 2, FALSE)</f>
        <v>Pianos</v>
      </c>
      <c r="E4053" s="1">
        <f t="shared" si="378"/>
        <v>2</v>
      </c>
      <c r="F4053" s="1">
        <f>_xlfn.XLOOKUP($C4053, 'Instrument Table'!$B:$B, 'Instrument Table'!$A:$A, "")</f>
        <v>10</v>
      </c>
      <c r="G4053" s="1" t="str">
        <f>TEXT(IF($B4053 = "Retail Item", IF((ROW($A4053) - 4504 - _xlfn.XMATCH($C4053, $C$4506:$C$5005, 0, 1)) &lt;= VLOOKUP($C4053, 'Instrument Table'!$B:$D, 3, FALSE), ROW($A4053) - 4504 - _xlfn.XMATCH($C4053, $C$4506:$C$5005, 0, 1), 0), 0), "00")</f>
        <v>00</v>
      </c>
      <c r="H4053" s="1" t="str">
        <f t="shared" si="379"/>
        <v>047</v>
      </c>
      <c r="I4053" s="1" t="str">
        <f t="shared" si="380"/>
        <v>21000-047</v>
      </c>
      <c r="J4053" s="1" t="str">
        <f t="shared" si="381"/>
        <v>Grand piano service item #047</v>
      </c>
      <c r="K4053" s="1" t="str">
        <f>IF(SUM(COUNTIFS(I:I, I4053)) &gt; 1, "DUPLICATE", "UNIQUE")</f>
        <v>UNIQUE</v>
      </c>
      <c r="L4053" s="18">
        <v>10</v>
      </c>
      <c r="M4053" s="28">
        <v>903</v>
      </c>
      <c r="N4053" s="6">
        <v>64</v>
      </c>
      <c r="O4053" s="30">
        <f t="shared" si="382"/>
        <v>9030</v>
      </c>
      <c r="P4053" s="30">
        <f t="shared" si="383"/>
        <v>57792</v>
      </c>
      <c r="Q4053" s="1">
        <f>COUNTIFS($P:$P, "&gt;" &amp; $P4053) + 1</f>
        <v>504</v>
      </c>
      <c r="R4053" s="63">
        <f>(COUNTIFS($P:$P, "&gt;" &amp; $P4053) + 1) / (COUNTA($I:$I) - 1)</f>
        <v>0.1008</v>
      </c>
      <c r="S4053" s="23">
        <f>SUMIFS($P:$P, $Q:$Q, "&lt;" &amp; $Q4053)</f>
        <v>151701397</v>
      </c>
    </row>
    <row r="4054" spans="1:19" x14ac:dyDescent="0.25">
      <c r="A4054" s="1">
        <v>4049</v>
      </c>
      <c r="B4054" s="1" t="s">
        <v>3</v>
      </c>
      <c r="C4054" s="1" t="str">
        <f>IF($B4054 = "Production Item", _xlfn.XLOOKUP($A4054, 'Instrument Table'!$J:$J, 'Instrument Table'!$B:$B, $C4053), IF($B4054 = "Service Item", _xlfn.XLOOKUP($A4054, 'Instrument Table'!$I:$I, 'Instrument Table'!$B:$B, $C4053), _xlfn.XLOOKUP($A4054, 'Instrument Table'!$H:$H, 'Instrument Table'!$B:$B, $C4053)))</f>
        <v>Grand Piano</v>
      </c>
      <c r="D4054" s="1" t="str">
        <f>VLOOKUP($C4054, 'Instrument Table'!$B:$C, 2, FALSE)</f>
        <v>Pianos</v>
      </c>
      <c r="E4054" s="1">
        <f t="shared" si="378"/>
        <v>2</v>
      </c>
      <c r="F4054" s="1">
        <f>_xlfn.XLOOKUP($C4054, 'Instrument Table'!$B:$B, 'Instrument Table'!$A:$A, "")</f>
        <v>10</v>
      </c>
      <c r="G4054" s="1" t="str">
        <f>TEXT(IF($B4054 = "Retail Item", IF((ROW($A4054) - 4504 - _xlfn.XMATCH($C4054, $C$4506:$C$5005, 0, 1)) &lt;= VLOOKUP($C4054, 'Instrument Table'!$B:$D, 3, FALSE), ROW($A4054) - 4504 - _xlfn.XMATCH($C4054, $C$4506:$C$5005, 0, 1), 0), 0), "00")</f>
        <v>00</v>
      </c>
      <c r="H4054" s="1" t="str">
        <f t="shared" si="379"/>
        <v>048</v>
      </c>
      <c r="I4054" s="1" t="str">
        <f t="shared" si="380"/>
        <v>21000-048</v>
      </c>
      <c r="J4054" s="1" t="str">
        <f t="shared" si="381"/>
        <v>Grand piano service item #048</v>
      </c>
      <c r="K4054" s="1" t="str">
        <f>IF(SUM(COUNTIFS(I:I, I4054)) &gt; 1, "DUPLICATE", "UNIQUE")</f>
        <v>UNIQUE</v>
      </c>
      <c r="L4054" s="18">
        <v>0</v>
      </c>
      <c r="M4054" s="28">
        <v>455</v>
      </c>
      <c r="N4054" s="6">
        <v>64</v>
      </c>
      <c r="O4054" s="30">
        <f t="shared" si="382"/>
        <v>0</v>
      </c>
      <c r="P4054" s="30">
        <f t="shared" si="383"/>
        <v>29120</v>
      </c>
      <c r="Q4054" s="1">
        <f>COUNTIFS($P:$P, "&gt;" &amp; $P4054) + 1</f>
        <v>713</v>
      </c>
      <c r="R4054" s="63">
        <f>(COUNTIFS($P:$P, "&gt;" &amp; $P4054) + 1) / (COUNTA($I:$I) - 1)</f>
        <v>0.1426</v>
      </c>
      <c r="S4054" s="23">
        <f>SUMIFS($P:$P, $Q:$Q, "&lt;" &amp; $Q4054)</f>
        <v>159469131</v>
      </c>
    </row>
    <row r="4055" spans="1:19" x14ac:dyDescent="0.25">
      <c r="A4055" s="1">
        <v>4050</v>
      </c>
      <c r="B4055" s="1" t="s">
        <v>3</v>
      </c>
      <c r="C4055" s="1" t="str">
        <f>IF($B4055 = "Production Item", _xlfn.XLOOKUP($A4055, 'Instrument Table'!$J:$J, 'Instrument Table'!$B:$B, $C4054), IF($B4055 = "Service Item", _xlfn.XLOOKUP($A4055, 'Instrument Table'!$I:$I, 'Instrument Table'!$B:$B, $C4054), _xlfn.XLOOKUP($A4055, 'Instrument Table'!$H:$H, 'Instrument Table'!$B:$B, $C4054)))</f>
        <v>Grand Piano</v>
      </c>
      <c r="D4055" s="1" t="str">
        <f>VLOOKUP($C4055, 'Instrument Table'!$B:$C, 2, FALSE)</f>
        <v>Pianos</v>
      </c>
      <c r="E4055" s="1">
        <f t="shared" si="378"/>
        <v>2</v>
      </c>
      <c r="F4055" s="1">
        <f>_xlfn.XLOOKUP($C4055, 'Instrument Table'!$B:$B, 'Instrument Table'!$A:$A, "")</f>
        <v>10</v>
      </c>
      <c r="G4055" s="1" t="str">
        <f>TEXT(IF($B4055 = "Retail Item", IF((ROW($A4055) - 4504 - _xlfn.XMATCH($C4055, $C$4506:$C$5005, 0, 1)) &lt;= VLOOKUP($C4055, 'Instrument Table'!$B:$D, 3, FALSE), ROW($A4055) - 4504 - _xlfn.XMATCH($C4055, $C$4506:$C$5005, 0, 1), 0), 0), "00")</f>
        <v>00</v>
      </c>
      <c r="H4055" s="1" t="str">
        <f t="shared" si="379"/>
        <v>049</v>
      </c>
      <c r="I4055" s="1" t="str">
        <f t="shared" si="380"/>
        <v>21000-049</v>
      </c>
      <c r="J4055" s="1" t="str">
        <f t="shared" si="381"/>
        <v>Grand piano service item #049</v>
      </c>
      <c r="K4055" s="1" t="str">
        <f>IF(SUM(COUNTIFS(I:I, I4055)) &gt; 1, "DUPLICATE", "UNIQUE")</f>
        <v>UNIQUE</v>
      </c>
      <c r="L4055" s="18">
        <v>8</v>
      </c>
      <c r="M4055" s="28">
        <v>467</v>
      </c>
      <c r="N4055" s="6">
        <v>27</v>
      </c>
      <c r="O4055" s="30">
        <f t="shared" si="382"/>
        <v>3736</v>
      </c>
      <c r="P4055" s="30">
        <f t="shared" si="383"/>
        <v>12609</v>
      </c>
      <c r="Q4055" s="1">
        <f>COUNTIFS($P:$P, "&gt;" &amp; $P4055) + 1</f>
        <v>1534</v>
      </c>
      <c r="R4055" s="63">
        <f>(COUNTIFS($P:$P, "&gt;" &amp; $P4055) + 1) / (COUNTA($I:$I) - 1)</f>
        <v>0.30680000000000002</v>
      </c>
      <c r="S4055" s="23">
        <f>SUMIFS($P:$P, $Q:$Q, "&lt;" &amp; $Q4055)</f>
        <v>175275276</v>
      </c>
    </row>
    <row r="4056" spans="1:19" x14ac:dyDescent="0.25">
      <c r="A4056" s="1">
        <v>4051</v>
      </c>
      <c r="B4056" s="1" t="s">
        <v>3</v>
      </c>
      <c r="C4056" s="1" t="str">
        <f>IF($B4056 = "Production Item", _xlfn.XLOOKUP($A4056, 'Instrument Table'!$J:$J, 'Instrument Table'!$B:$B, $C4055), IF($B4056 = "Service Item", _xlfn.XLOOKUP($A4056, 'Instrument Table'!$I:$I, 'Instrument Table'!$B:$B, $C4055), _xlfn.XLOOKUP($A4056, 'Instrument Table'!$H:$H, 'Instrument Table'!$B:$B, $C4055)))</f>
        <v>Grand Piano</v>
      </c>
      <c r="D4056" s="1" t="str">
        <f>VLOOKUP($C4056, 'Instrument Table'!$B:$C, 2, FALSE)</f>
        <v>Pianos</v>
      </c>
      <c r="E4056" s="1">
        <f t="shared" si="378"/>
        <v>2</v>
      </c>
      <c r="F4056" s="1">
        <f>_xlfn.XLOOKUP($C4056, 'Instrument Table'!$B:$B, 'Instrument Table'!$A:$A, "")</f>
        <v>10</v>
      </c>
      <c r="G4056" s="1" t="str">
        <f>TEXT(IF($B4056 = "Retail Item", IF((ROW($A4056) - 4504 - _xlfn.XMATCH($C4056, $C$4506:$C$5005, 0, 1)) &lt;= VLOOKUP($C4056, 'Instrument Table'!$B:$D, 3, FALSE), ROW($A4056) - 4504 - _xlfn.XMATCH($C4056, $C$4506:$C$5005, 0, 1), 0), 0), "00")</f>
        <v>00</v>
      </c>
      <c r="H4056" s="1" t="str">
        <f t="shared" si="379"/>
        <v>050</v>
      </c>
      <c r="I4056" s="1" t="str">
        <f t="shared" si="380"/>
        <v>21000-050</v>
      </c>
      <c r="J4056" s="1" t="str">
        <f t="shared" si="381"/>
        <v>Grand piano service item #050</v>
      </c>
      <c r="K4056" s="1" t="str">
        <f>IF(SUM(COUNTIFS(I:I, I4056)) &gt; 1, "DUPLICATE", "UNIQUE")</f>
        <v>UNIQUE</v>
      </c>
      <c r="L4056" s="18">
        <v>3</v>
      </c>
      <c r="M4056" s="28">
        <v>276</v>
      </c>
      <c r="N4056" s="6">
        <v>0</v>
      </c>
      <c r="O4056" s="30">
        <f t="shared" si="382"/>
        <v>828</v>
      </c>
      <c r="P4056" s="30">
        <f t="shared" si="383"/>
        <v>0</v>
      </c>
      <c r="Q4056" s="1">
        <f>COUNTIFS($P:$P, "&gt;" &amp; $P4056) + 1</f>
        <v>4746</v>
      </c>
      <c r="R4056" s="63">
        <f>(COUNTIFS($P:$P, "&gt;" &amp; $P4056) + 1) / (COUNTA($I:$I) - 1)</f>
        <v>0.94920000000000004</v>
      </c>
      <c r="S4056" s="23">
        <f>SUMIFS($P:$P, $Q:$Q, "&lt;" &amp; $Q4056)</f>
        <v>186547861</v>
      </c>
    </row>
    <row r="4057" spans="1:19" x14ac:dyDescent="0.25">
      <c r="A4057" s="1">
        <v>4052</v>
      </c>
      <c r="B4057" s="1" t="s">
        <v>3</v>
      </c>
      <c r="C4057" s="1" t="str">
        <f>IF($B4057 = "Production Item", _xlfn.XLOOKUP($A4057, 'Instrument Table'!$J:$J, 'Instrument Table'!$B:$B, $C4056), IF($B4057 = "Service Item", _xlfn.XLOOKUP($A4057, 'Instrument Table'!$I:$I, 'Instrument Table'!$B:$B, $C4056), _xlfn.XLOOKUP($A4057, 'Instrument Table'!$H:$H, 'Instrument Table'!$B:$B, $C4056)))</f>
        <v>Grand Piano</v>
      </c>
      <c r="D4057" s="1" t="str">
        <f>VLOOKUP($C4057, 'Instrument Table'!$B:$C, 2, FALSE)</f>
        <v>Pianos</v>
      </c>
      <c r="E4057" s="1">
        <f t="shared" si="378"/>
        <v>2</v>
      </c>
      <c r="F4057" s="1">
        <f>_xlfn.XLOOKUP($C4057, 'Instrument Table'!$B:$B, 'Instrument Table'!$A:$A, "")</f>
        <v>10</v>
      </c>
      <c r="G4057" s="1" t="str">
        <f>TEXT(IF($B4057 = "Retail Item", IF((ROW($A4057) - 4504 - _xlfn.XMATCH($C4057, $C$4506:$C$5005, 0, 1)) &lt;= VLOOKUP($C4057, 'Instrument Table'!$B:$D, 3, FALSE), ROW($A4057) - 4504 - _xlfn.XMATCH($C4057, $C$4506:$C$5005, 0, 1), 0), 0), "00")</f>
        <v>00</v>
      </c>
      <c r="H4057" s="1" t="str">
        <f t="shared" si="379"/>
        <v>051</v>
      </c>
      <c r="I4057" s="1" t="str">
        <f t="shared" si="380"/>
        <v>21000-051</v>
      </c>
      <c r="J4057" s="1" t="str">
        <f t="shared" si="381"/>
        <v>Grand piano service item #051</v>
      </c>
      <c r="K4057" s="1" t="str">
        <f>IF(SUM(COUNTIFS(I:I, I4057)) &gt; 1, "DUPLICATE", "UNIQUE")</f>
        <v>UNIQUE</v>
      </c>
      <c r="L4057" s="18">
        <v>0</v>
      </c>
      <c r="M4057" s="28">
        <v>32</v>
      </c>
      <c r="N4057" s="6">
        <v>125</v>
      </c>
      <c r="O4057" s="30">
        <f t="shared" si="382"/>
        <v>0</v>
      </c>
      <c r="P4057" s="30">
        <f t="shared" si="383"/>
        <v>4000</v>
      </c>
      <c r="Q4057" s="1">
        <f>COUNTIFS($P:$P, "&gt;" &amp; $P4057) + 1</f>
        <v>2654</v>
      </c>
      <c r="R4057" s="63">
        <f>(COUNTIFS($P:$P, "&gt;" &amp; $P4057) + 1) / (COUNTA($I:$I) - 1)</f>
        <v>0.53080000000000005</v>
      </c>
      <c r="S4057" s="23">
        <f>SUMIFS($P:$P, $Q:$Q, "&lt;" &amp; $Q4057)</f>
        <v>183787076</v>
      </c>
    </row>
    <row r="4058" spans="1:19" x14ac:dyDescent="0.25">
      <c r="A4058" s="1">
        <v>4053</v>
      </c>
      <c r="B4058" s="1" t="s">
        <v>3</v>
      </c>
      <c r="C4058" s="1" t="str">
        <f>IF($B4058 = "Production Item", _xlfn.XLOOKUP($A4058, 'Instrument Table'!$J:$J, 'Instrument Table'!$B:$B, $C4057), IF($B4058 = "Service Item", _xlfn.XLOOKUP($A4058, 'Instrument Table'!$I:$I, 'Instrument Table'!$B:$B, $C4057), _xlfn.XLOOKUP($A4058, 'Instrument Table'!$H:$H, 'Instrument Table'!$B:$B, $C4057)))</f>
        <v>Grand Piano</v>
      </c>
      <c r="D4058" s="1" t="str">
        <f>VLOOKUP($C4058, 'Instrument Table'!$B:$C, 2, FALSE)</f>
        <v>Pianos</v>
      </c>
      <c r="E4058" s="1">
        <f t="shared" si="378"/>
        <v>2</v>
      </c>
      <c r="F4058" s="1">
        <f>_xlfn.XLOOKUP($C4058, 'Instrument Table'!$B:$B, 'Instrument Table'!$A:$A, "")</f>
        <v>10</v>
      </c>
      <c r="G4058" s="1" t="str">
        <f>TEXT(IF($B4058 = "Retail Item", IF((ROW($A4058) - 4504 - _xlfn.XMATCH($C4058, $C$4506:$C$5005, 0, 1)) &lt;= VLOOKUP($C4058, 'Instrument Table'!$B:$D, 3, FALSE), ROW($A4058) - 4504 - _xlfn.XMATCH($C4058, $C$4506:$C$5005, 0, 1), 0), 0), "00")</f>
        <v>00</v>
      </c>
      <c r="H4058" s="1" t="str">
        <f t="shared" si="379"/>
        <v>052</v>
      </c>
      <c r="I4058" s="1" t="str">
        <f t="shared" si="380"/>
        <v>21000-052</v>
      </c>
      <c r="J4058" s="1" t="str">
        <f t="shared" si="381"/>
        <v>Grand piano service item #052</v>
      </c>
      <c r="K4058" s="1" t="str">
        <f>IF(SUM(COUNTIFS(I:I, I4058)) &gt; 1, "DUPLICATE", "UNIQUE")</f>
        <v>UNIQUE</v>
      </c>
      <c r="L4058" s="18">
        <v>9</v>
      </c>
      <c r="M4058" s="28">
        <v>830</v>
      </c>
      <c r="N4058" s="6">
        <v>0</v>
      </c>
      <c r="O4058" s="30">
        <f t="shared" si="382"/>
        <v>7470</v>
      </c>
      <c r="P4058" s="30">
        <f t="shared" si="383"/>
        <v>0</v>
      </c>
      <c r="Q4058" s="1">
        <f>COUNTIFS($P:$P, "&gt;" &amp; $P4058) + 1</f>
        <v>4746</v>
      </c>
      <c r="R4058" s="63">
        <f>(COUNTIFS($P:$P, "&gt;" &amp; $P4058) + 1) / (COUNTA($I:$I) - 1)</f>
        <v>0.94920000000000004</v>
      </c>
      <c r="S4058" s="23">
        <f>SUMIFS($P:$P, $Q:$Q, "&lt;" &amp; $Q4058)</f>
        <v>186547861</v>
      </c>
    </row>
    <row r="4059" spans="1:19" x14ac:dyDescent="0.25">
      <c r="A4059" s="1">
        <v>4054</v>
      </c>
      <c r="B4059" s="1" t="s">
        <v>3</v>
      </c>
      <c r="C4059" s="1" t="str">
        <f>IF($B4059 = "Production Item", _xlfn.XLOOKUP($A4059, 'Instrument Table'!$J:$J, 'Instrument Table'!$B:$B, $C4058), IF($B4059 = "Service Item", _xlfn.XLOOKUP($A4059, 'Instrument Table'!$I:$I, 'Instrument Table'!$B:$B, $C4058), _xlfn.XLOOKUP($A4059, 'Instrument Table'!$H:$H, 'Instrument Table'!$B:$B, $C4058)))</f>
        <v>Grand Piano</v>
      </c>
      <c r="D4059" s="1" t="str">
        <f>VLOOKUP($C4059, 'Instrument Table'!$B:$C, 2, FALSE)</f>
        <v>Pianos</v>
      </c>
      <c r="E4059" s="1">
        <f t="shared" si="378"/>
        <v>2</v>
      </c>
      <c r="F4059" s="1">
        <f>_xlfn.XLOOKUP($C4059, 'Instrument Table'!$B:$B, 'Instrument Table'!$A:$A, "")</f>
        <v>10</v>
      </c>
      <c r="G4059" s="1" t="str">
        <f>TEXT(IF($B4059 = "Retail Item", IF((ROW($A4059) - 4504 - _xlfn.XMATCH($C4059, $C$4506:$C$5005, 0, 1)) &lt;= VLOOKUP($C4059, 'Instrument Table'!$B:$D, 3, FALSE), ROW($A4059) - 4504 - _xlfn.XMATCH($C4059, $C$4506:$C$5005, 0, 1), 0), 0), "00")</f>
        <v>00</v>
      </c>
      <c r="H4059" s="1" t="str">
        <f t="shared" si="379"/>
        <v>053</v>
      </c>
      <c r="I4059" s="1" t="str">
        <f t="shared" si="380"/>
        <v>21000-053</v>
      </c>
      <c r="J4059" s="1" t="str">
        <f t="shared" si="381"/>
        <v>Grand piano service item #053</v>
      </c>
      <c r="K4059" s="1" t="str">
        <f>IF(SUM(COUNTIFS(I:I, I4059)) &gt; 1, "DUPLICATE", "UNIQUE")</f>
        <v>UNIQUE</v>
      </c>
      <c r="L4059" s="18">
        <v>4</v>
      </c>
      <c r="M4059" s="28">
        <v>124</v>
      </c>
      <c r="N4059" s="6">
        <v>0</v>
      </c>
      <c r="O4059" s="30">
        <f t="shared" si="382"/>
        <v>496</v>
      </c>
      <c r="P4059" s="30">
        <f t="shared" si="383"/>
        <v>0</v>
      </c>
      <c r="Q4059" s="1">
        <f>COUNTIFS($P:$P, "&gt;" &amp; $P4059) + 1</f>
        <v>4746</v>
      </c>
      <c r="R4059" s="63">
        <f>(COUNTIFS($P:$P, "&gt;" &amp; $P4059) + 1) / (COUNTA($I:$I) - 1)</f>
        <v>0.94920000000000004</v>
      </c>
      <c r="S4059" s="23">
        <f>SUMIFS($P:$P, $Q:$Q, "&lt;" &amp; $Q4059)</f>
        <v>186547861</v>
      </c>
    </row>
    <row r="4060" spans="1:19" x14ac:dyDescent="0.25">
      <c r="A4060" s="1">
        <v>4055</v>
      </c>
      <c r="B4060" s="1" t="s">
        <v>3</v>
      </c>
      <c r="C4060" s="1" t="str">
        <f>IF($B4060 = "Production Item", _xlfn.XLOOKUP($A4060, 'Instrument Table'!$J:$J, 'Instrument Table'!$B:$B, $C4059), IF($B4060 = "Service Item", _xlfn.XLOOKUP($A4060, 'Instrument Table'!$I:$I, 'Instrument Table'!$B:$B, $C4059), _xlfn.XLOOKUP($A4060, 'Instrument Table'!$H:$H, 'Instrument Table'!$B:$B, $C4059)))</f>
        <v>Grand Piano</v>
      </c>
      <c r="D4060" s="1" t="str">
        <f>VLOOKUP($C4060, 'Instrument Table'!$B:$C, 2, FALSE)</f>
        <v>Pianos</v>
      </c>
      <c r="E4060" s="1">
        <f t="shared" si="378"/>
        <v>2</v>
      </c>
      <c r="F4060" s="1">
        <f>_xlfn.XLOOKUP($C4060, 'Instrument Table'!$B:$B, 'Instrument Table'!$A:$A, "")</f>
        <v>10</v>
      </c>
      <c r="G4060" s="1" t="str">
        <f>TEXT(IF($B4060 = "Retail Item", IF((ROW($A4060) - 4504 - _xlfn.XMATCH($C4060, $C$4506:$C$5005, 0, 1)) &lt;= VLOOKUP($C4060, 'Instrument Table'!$B:$D, 3, FALSE), ROW($A4060) - 4504 - _xlfn.XMATCH($C4060, $C$4506:$C$5005, 0, 1), 0), 0), "00")</f>
        <v>00</v>
      </c>
      <c r="H4060" s="1" t="str">
        <f t="shared" si="379"/>
        <v>054</v>
      </c>
      <c r="I4060" s="1" t="str">
        <f t="shared" si="380"/>
        <v>21000-054</v>
      </c>
      <c r="J4060" s="1" t="str">
        <f t="shared" si="381"/>
        <v>Grand piano service item #054</v>
      </c>
      <c r="K4060" s="1" t="str">
        <f>IF(SUM(COUNTIFS(I:I, I4060)) &gt; 1, "DUPLICATE", "UNIQUE")</f>
        <v>UNIQUE</v>
      </c>
      <c r="L4060" s="18">
        <v>1</v>
      </c>
      <c r="M4060" s="28">
        <v>917</v>
      </c>
      <c r="N4060" s="6">
        <v>8</v>
      </c>
      <c r="O4060" s="30">
        <f t="shared" si="382"/>
        <v>917</v>
      </c>
      <c r="P4060" s="30">
        <f t="shared" si="383"/>
        <v>7336</v>
      </c>
      <c r="Q4060" s="1">
        <f>COUNTIFS($P:$P, "&gt;" &amp; $P4060) + 1</f>
        <v>2094</v>
      </c>
      <c r="R4060" s="63">
        <f>(COUNTIFS($P:$P, "&gt;" &amp; $P4060) + 1) / (COUNTA($I:$I) - 1)</f>
        <v>0.41880000000000001</v>
      </c>
      <c r="S4060" s="23">
        <f>SUMIFS($P:$P, $Q:$Q, "&lt;" &amp; $Q4060)</f>
        <v>180714881</v>
      </c>
    </row>
    <row r="4061" spans="1:19" x14ac:dyDescent="0.25">
      <c r="A4061" s="1">
        <v>4056</v>
      </c>
      <c r="B4061" s="1" t="s">
        <v>3</v>
      </c>
      <c r="C4061" s="1" t="str">
        <f>IF($B4061 = "Production Item", _xlfn.XLOOKUP($A4061, 'Instrument Table'!$J:$J, 'Instrument Table'!$B:$B, $C4060), IF($B4061 = "Service Item", _xlfn.XLOOKUP($A4061, 'Instrument Table'!$I:$I, 'Instrument Table'!$B:$B, $C4060), _xlfn.XLOOKUP($A4061, 'Instrument Table'!$H:$H, 'Instrument Table'!$B:$B, $C4060)))</f>
        <v>Grand Piano</v>
      </c>
      <c r="D4061" s="1" t="str">
        <f>VLOOKUP($C4061, 'Instrument Table'!$B:$C, 2, FALSE)</f>
        <v>Pianos</v>
      </c>
      <c r="E4061" s="1">
        <f t="shared" si="378"/>
        <v>2</v>
      </c>
      <c r="F4061" s="1">
        <f>_xlfn.XLOOKUP($C4061, 'Instrument Table'!$B:$B, 'Instrument Table'!$A:$A, "")</f>
        <v>10</v>
      </c>
      <c r="G4061" s="1" t="str">
        <f>TEXT(IF($B4061 = "Retail Item", IF((ROW($A4061) - 4504 - _xlfn.XMATCH($C4061, $C$4506:$C$5005, 0, 1)) &lt;= VLOOKUP($C4061, 'Instrument Table'!$B:$D, 3, FALSE), ROW($A4061) - 4504 - _xlfn.XMATCH($C4061, $C$4506:$C$5005, 0, 1), 0), 0), "00")</f>
        <v>00</v>
      </c>
      <c r="H4061" s="1" t="str">
        <f t="shared" si="379"/>
        <v>055</v>
      </c>
      <c r="I4061" s="1" t="str">
        <f t="shared" si="380"/>
        <v>21000-055</v>
      </c>
      <c r="J4061" s="1" t="str">
        <f t="shared" si="381"/>
        <v>Grand piano service item #055</v>
      </c>
      <c r="K4061" s="1" t="str">
        <f>IF(SUM(COUNTIFS(I:I, I4061)) &gt; 1, "DUPLICATE", "UNIQUE")</f>
        <v>UNIQUE</v>
      </c>
      <c r="L4061" s="18">
        <v>0</v>
      </c>
      <c r="M4061" s="28">
        <v>658</v>
      </c>
      <c r="N4061" s="6">
        <v>125</v>
      </c>
      <c r="O4061" s="30">
        <f t="shared" si="382"/>
        <v>0</v>
      </c>
      <c r="P4061" s="30">
        <f t="shared" si="383"/>
        <v>82250</v>
      </c>
      <c r="Q4061" s="1">
        <f>COUNTIFS($P:$P, "&gt;" &amp; $P4061) + 1</f>
        <v>444</v>
      </c>
      <c r="R4061" s="63">
        <f>(COUNTIFS($P:$P, "&gt;" &amp; $P4061) + 1) / (COUNTA($I:$I) - 1)</f>
        <v>8.8800000000000004E-2</v>
      </c>
      <c r="S4061" s="23">
        <f>SUMIFS($P:$P, $Q:$Q, "&lt;" &amp; $Q4061)</f>
        <v>147534625</v>
      </c>
    </row>
    <row r="4062" spans="1:19" x14ac:dyDescent="0.25">
      <c r="A4062" s="1">
        <v>4057</v>
      </c>
      <c r="B4062" s="1" t="s">
        <v>3</v>
      </c>
      <c r="C4062" s="1" t="str">
        <f>IF($B4062 = "Production Item", _xlfn.XLOOKUP($A4062, 'Instrument Table'!$J:$J, 'Instrument Table'!$B:$B, $C4061), IF($B4062 = "Service Item", _xlfn.XLOOKUP($A4062, 'Instrument Table'!$I:$I, 'Instrument Table'!$B:$B, $C4061), _xlfn.XLOOKUP($A4062, 'Instrument Table'!$H:$H, 'Instrument Table'!$B:$B, $C4061)))</f>
        <v>Grand Piano</v>
      </c>
      <c r="D4062" s="1" t="str">
        <f>VLOOKUP($C4062, 'Instrument Table'!$B:$C, 2, FALSE)</f>
        <v>Pianos</v>
      </c>
      <c r="E4062" s="1">
        <f t="shared" si="378"/>
        <v>2</v>
      </c>
      <c r="F4062" s="1">
        <f>_xlfn.XLOOKUP($C4062, 'Instrument Table'!$B:$B, 'Instrument Table'!$A:$A, "")</f>
        <v>10</v>
      </c>
      <c r="G4062" s="1" t="str">
        <f>TEXT(IF($B4062 = "Retail Item", IF((ROW($A4062) - 4504 - _xlfn.XMATCH($C4062, $C$4506:$C$5005, 0, 1)) &lt;= VLOOKUP($C4062, 'Instrument Table'!$B:$D, 3, FALSE), ROW($A4062) - 4504 - _xlfn.XMATCH($C4062, $C$4506:$C$5005, 0, 1), 0), 0), "00")</f>
        <v>00</v>
      </c>
      <c r="H4062" s="1" t="str">
        <f t="shared" si="379"/>
        <v>056</v>
      </c>
      <c r="I4062" s="1" t="str">
        <f t="shared" si="380"/>
        <v>21000-056</v>
      </c>
      <c r="J4062" s="1" t="str">
        <f t="shared" si="381"/>
        <v>Grand piano service item #056</v>
      </c>
      <c r="K4062" s="1" t="str">
        <f>IF(SUM(COUNTIFS(I:I, I4062)) &gt; 1, "DUPLICATE", "UNIQUE")</f>
        <v>UNIQUE</v>
      </c>
      <c r="L4062" s="18">
        <v>6</v>
      </c>
      <c r="M4062" s="28">
        <v>392</v>
      </c>
      <c r="N4062" s="6">
        <v>1</v>
      </c>
      <c r="O4062" s="30">
        <f t="shared" si="382"/>
        <v>2352</v>
      </c>
      <c r="P4062" s="30">
        <f t="shared" si="383"/>
        <v>392</v>
      </c>
      <c r="Q4062" s="1">
        <f>COUNTIFS($P:$P, "&gt;" &amp; $P4062) + 1</f>
        <v>4108</v>
      </c>
      <c r="R4062" s="63">
        <f>(COUNTIFS($P:$P, "&gt;" &amp; $P4062) + 1) / (COUNTA($I:$I) - 1)</f>
        <v>0.8216</v>
      </c>
      <c r="S4062" s="23">
        <f>SUMIFS($P:$P, $Q:$Q, "&lt;" &amp; $Q4062)</f>
        <v>186448050</v>
      </c>
    </row>
    <row r="4063" spans="1:19" x14ac:dyDescent="0.25">
      <c r="A4063" s="1">
        <v>4058</v>
      </c>
      <c r="B4063" s="1" t="s">
        <v>3</v>
      </c>
      <c r="C4063" s="1" t="str">
        <f>IF($B4063 = "Production Item", _xlfn.XLOOKUP($A4063, 'Instrument Table'!$J:$J, 'Instrument Table'!$B:$B, $C4062), IF($B4063 = "Service Item", _xlfn.XLOOKUP($A4063, 'Instrument Table'!$I:$I, 'Instrument Table'!$B:$B, $C4062), _xlfn.XLOOKUP($A4063, 'Instrument Table'!$H:$H, 'Instrument Table'!$B:$B, $C4062)))</f>
        <v>Grand Piano</v>
      </c>
      <c r="D4063" s="1" t="str">
        <f>VLOOKUP($C4063, 'Instrument Table'!$B:$C, 2, FALSE)</f>
        <v>Pianos</v>
      </c>
      <c r="E4063" s="1">
        <f t="shared" si="378"/>
        <v>2</v>
      </c>
      <c r="F4063" s="1">
        <f>_xlfn.XLOOKUP($C4063, 'Instrument Table'!$B:$B, 'Instrument Table'!$A:$A, "")</f>
        <v>10</v>
      </c>
      <c r="G4063" s="1" t="str">
        <f>TEXT(IF($B4063 = "Retail Item", IF((ROW($A4063) - 4504 - _xlfn.XMATCH($C4063, $C$4506:$C$5005, 0, 1)) &lt;= VLOOKUP($C4063, 'Instrument Table'!$B:$D, 3, FALSE), ROW($A4063) - 4504 - _xlfn.XMATCH($C4063, $C$4506:$C$5005, 0, 1), 0), 0), "00")</f>
        <v>00</v>
      </c>
      <c r="H4063" s="1" t="str">
        <f t="shared" si="379"/>
        <v>057</v>
      </c>
      <c r="I4063" s="1" t="str">
        <f t="shared" si="380"/>
        <v>21000-057</v>
      </c>
      <c r="J4063" s="1" t="str">
        <f t="shared" si="381"/>
        <v>Grand piano service item #057</v>
      </c>
      <c r="K4063" s="1" t="str">
        <f>IF(SUM(COUNTIFS(I:I, I4063)) &gt; 1, "DUPLICATE", "UNIQUE")</f>
        <v>UNIQUE</v>
      </c>
      <c r="L4063" s="18">
        <v>3</v>
      </c>
      <c r="M4063" s="28">
        <v>236</v>
      </c>
      <c r="N4063" s="6">
        <v>27</v>
      </c>
      <c r="O4063" s="30">
        <f t="shared" si="382"/>
        <v>708</v>
      </c>
      <c r="P4063" s="30">
        <f t="shared" si="383"/>
        <v>6372</v>
      </c>
      <c r="Q4063" s="1">
        <f>COUNTIFS($P:$P, "&gt;" &amp; $P4063) + 1</f>
        <v>2222</v>
      </c>
      <c r="R4063" s="63">
        <f>(COUNTIFS($P:$P, "&gt;" &amp; $P4063) + 1) / (COUNTA($I:$I) - 1)</f>
        <v>0.44440000000000002</v>
      </c>
      <c r="S4063" s="23">
        <f>SUMIFS($P:$P, $Q:$Q, "&lt;" &amp; $Q4063)</f>
        <v>181593668</v>
      </c>
    </row>
    <row r="4064" spans="1:19" x14ac:dyDescent="0.25">
      <c r="A4064" s="1">
        <v>4059</v>
      </c>
      <c r="B4064" s="1" t="s">
        <v>3</v>
      </c>
      <c r="C4064" s="1" t="str">
        <f>IF($B4064 = "Production Item", _xlfn.XLOOKUP($A4064, 'Instrument Table'!$J:$J, 'Instrument Table'!$B:$B, $C4063), IF($B4064 = "Service Item", _xlfn.XLOOKUP($A4064, 'Instrument Table'!$I:$I, 'Instrument Table'!$B:$B, $C4063), _xlfn.XLOOKUP($A4064, 'Instrument Table'!$H:$H, 'Instrument Table'!$B:$B, $C4063)))</f>
        <v>Grand Piano</v>
      </c>
      <c r="D4064" s="1" t="str">
        <f>VLOOKUP($C4064, 'Instrument Table'!$B:$C, 2, FALSE)</f>
        <v>Pianos</v>
      </c>
      <c r="E4064" s="1">
        <f t="shared" si="378"/>
        <v>2</v>
      </c>
      <c r="F4064" s="1">
        <f>_xlfn.XLOOKUP($C4064, 'Instrument Table'!$B:$B, 'Instrument Table'!$A:$A, "")</f>
        <v>10</v>
      </c>
      <c r="G4064" s="1" t="str">
        <f>TEXT(IF($B4064 = "Retail Item", IF((ROW($A4064) - 4504 - _xlfn.XMATCH($C4064, $C$4506:$C$5005, 0, 1)) &lt;= VLOOKUP($C4064, 'Instrument Table'!$B:$D, 3, FALSE), ROW($A4064) - 4504 - _xlfn.XMATCH($C4064, $C$4506:$C$5005, 0, 1), 0), 0), "00")</f>
        <v>00</v>
      </c>
      <c r="H4064" s="1" t="str">
        <f t="shared" si="379"/>
        <v>058</v>
      </c>
      <c r="I4064" s="1" t="str">
        <f t="shared" si="380"/>
        <v>21000-058</v>
      </c>
      <c r="J4064" s="1" t="str">
        <f t="shared" si="381"/>
        <v>Grand piano service item #058</v>
      </c>
      <c r="K4064" s="1" t="str">
        <f>IF(SUM(COUNTIFS(I:I, I4064)) &gt; 1, "DUPLICATE", "UNIQUE")</f>
        <v>UNIQUE</v>
      </c>
      <c r="L4064" s="18">
        <v>9</v>
      </c>
      <c r="M4064" s="28">
        <v>874</v>
      </c>
      <c r="N4064" s="6">
        <v>125</v>
      </c>
      <c r="O4064" s="30">
        <f t="shared" si="382"/>
        <v>7866</v>
      </c>
      <c r="P4064" s="30">
        <f t="shared" si="383"/>
        <v>109250</v>
      </c>
      <c r="Q4064" s="1">
        <f>COUNTIFS($P:$P, "&gt;" &amp; $P4064) + 1</f>
        <v>393</v>
      </c>
      <c r="R4064" s="63">
        <f>(COUNTIFS($P:$P, "&gt;" &amp; $P4064) + 1) / (COUNTA($I:$I) - 1)</f>
        <v>7.8600000000000003E-2</v>
      </c>
      <c r="S4064" s="23">
        <f>SUMIFS($P:$P, $Q:$Q, "&lt;" &amp; $Q4064)</f>
        <v>142691384</v>
      </c>
    </row>
    <row r="4065" spans="1:19" x14ac:dyDescent="0.25">
      <c r="A4065" s="1">
        <v>4060</v>
      </c>
      <c r="B4065" s="1" t="s">
        <v>3</v>
      </c>
      <c r="C4065" s="1" t="str">
        <f>IF($B4065 = "Production Item", _xlfn.XLOOKUP($A4065, 'Instrument Table'!$J:$J, 'Instrument Table'!$B:$B, $C4064), IF($B4065 = "Service Item", _xlfn.XLOOKUP($A4065, 'Instrument Table'!$I:$I, 'Instrument Table'!$B:$B, $C4064), _xlfn.XLOOKUP($A4065, 'Instrument Table'!$H:$H, 'Instrument Table'!$B:$B, $C4064)))</f>
        <v>Grand Piano</v>
      </c>
      <c r="D4065" s="1" t="str">
        <f>VLOOKUP($C4065, 'Instrument Table'!$B:$C, 2, FALSE)</f>
        <v>Pianos</v>
      </c>
      <c r="E4065" s="1">
        <f t="shared" si="378"/>
        <v>2</v>
      </c>
      <c r="F4065" s="1">
        <f>_xlfn.XLOOKUP($C4065, 'Instrument Table'!$B:$B, 'Instrument Table'!$A:$A, "")</f>
        <v>10</v>
      </c>
      <c r="G4065" s="1" t="str">
        <f>TEXT(IF($B4065 = "Retail Item", IF((ROW($A4065) - 4504 - _xlfn.XMATCH($C4065, $C$4506:$C$5005, 0, 1)) &lt;= VLOOKUP($C4065, 'Instrument Table'!$B:$D, 3, FALSE), ROW($A4065) - 4504 - _xlfn.XMATCH($C4065, $C$4506:$C$5005, 0, 1), 0), 0), "00")</f>
        <v>00</v>
      </c>
      <c r="H4065" s="1" t="str">
        <f t="shared" si="379"/>
        <v>059</v>
      </c>
      <c r="I4065" s="1" t="str">
        <f t="shared" si="380"/>
        <v>21000-059</v>
      </c>
      <c r="J4065" s="1" t="str">
        <f t="shared" si="381"/>
        <v>Grand piano service item #059</v>
      </c>
      <c r="K4065" s="1" t="str">
        <f>IF(SUM(COUNTIFS(I:I, I4065)) &gt; 1, "DUPLICATE", "UNIQUE")</f>
        <v>UNIQUE</v>
      </c>
      <c r="L4065" s="18">
        <v>3</v>
      </c>
      <c r="M4065" s="28">
        <v>881</v>
      </c>
      <c r="N4065" s="6">
        <v>8</v>
      </c>
      <c r="O4065" s="30">
        <f t="shared" si="382"/>
        <v>2643</v>
      </c>
      <c r="P4065" s="30">
        <f t="shared" si="383"/>
        <v>7048</v>
      </c>
      <c r="Q4065" s="1">
        <f>COUNTIFS($P:$P, "&gt;" &amp; $P4065) + 1</f>
        <v>2132</v>
      </c>
      <c r="R4065" s="63">
        <f>(COUNTIFS($P:$P, "&gt;" &amp; $P4065) + 1) / (COUNTA($I:$I) - 1)</f>
        <v>0.4264</v>
      </c>
      <c r="S4065" s="23">
        <f>SUMIFS($P:$P, $Q:$Q, "&lt;" &amp; $Q4065)</f>
        <v>180988380</v>
      </c>
    </row>
    <row r="4066" spans="1:19" x14ac:dyDescent="0.25">
      <c r="A4066" s="1">
        <v>4061</v>
      </c>
      <c r="B4066" s="1" t="s">
        <v>3</v>
      </c>
      <c r="C4066" s="1" t="str">
        <f>IF($B4066 = "Production Item", _xlfn.XLOOKUP($A4066, 'Instrument Table'!$J:$J, 'Instrument Table'!$B:$B, $C4065), IF($B4066 = "Service Item", _xlfn.XLOOKUP($A4066, 'Instrument Table'!$I:$I, 'Instrument Table'!$B:$B, $C4065), _xlfn.XLOOKUP($A4066, 'Instrument Table'!$H:$H, 'Instrument Table'!$B:$B, $C4065)))</f>
        <v>Grand Piano</v>
      </c>
      <c r="D4066" s="1" t="str">
        <f>VLOOKUP($C4066, 'Instrument Table'!$B:$C, 2, FALSE)</f>
        <v>Pianos</v>
      </c>
      <c r="E4066" s="1">
        <f t="shared" si="378"/>
        <v>2</v>
      </c>
      <c r="F4066" s="1">
        <f>_xlfn.XLOOKUP($C4066, 'Instrument Table'!$B:$B, 'Instrument Table'!$A:$A, "")</f>
        <v>10</v>
      </c>
      <c r="G4066" s="1" t="str">
        <f>TEXT(IF($B4066 = "Retail Item", IF((ROW($A4066) - 4504 - _xlfn.XMATCH($C4066, $C$4506:$C$5005, 0, 1)) &lt;= VLOOKUP($C4066, 'Instrument Table'!$B:$D, 3, FALSE), ROW($A4066) - 4504 - _xlfn.XMATCH($C4066, $C$4506:$C$5005, 0, 1), 0), 0), "00")</f>
        <v>00</v>
      </c>
      <c r="H4066" s="1" t="str">
        <f t="shared" si="379"/>
        <v>060</v>
      </c>
      <c r="I4066" s="1" t="str">
        <f t="shared" si="380"/>
        <v>21000-060</v>
      </c>
      <c r="J4066" s="1" t="str">
        <f t="shared" si="381"/>
        <v>Grand piano service item #060</v>
      </c>
      <c r="K4066" s="1" t="str">
        <f>IF(SUM(COUNTIFS(I:I, I4066)) &gt; 1, "DUPLICATE", "UNIQUE")</f>
        <v>UNIQUE</v>
      </c>
      <c r="L4066" s="18">
        <v>0</v>
      </c>
      <c r="M4066" s="28">
        <v>155</v>
      </c>
      <c r="N4066" s="6">
        <v>27</v>
      </c>
      <c r="O4066" s="30">
        <f t="shared" si="382"/>
        <v>0</v>
      </c>
      <c r="P4066" s="30">
        <f t="shared" si="383"/>
        <v>4185</v>
      </c>
      <c r="Q4066" s="1">
        <f>COUNTIFS($P:$P, "&gt;" &amp; $P4066) + 1</f>
        <v>2620</v>
      </c>
      <c r="R4066" s="63">
        <f>(COUNTIFS($P:$P, "&gt;" &amp; $P4066) + 1) / (COUNTA($I:$I) - 1)</f>
        <v>0.52400000000000002</v>
      </c>
      <c r="S4066" s="23">
        <f>SUMIFS($P:$P, $Q:$Q, "&lt;" &amp; $Q4066)</f>
        <v>183647809</v>
      </c>
    </row>
    <row r="4067" spans="1:19" x14ac:dyDescent="0.25">
      <c r="A4067" s="1">
        <v>4062</v>
      </c>
      <c r="B4067" s="1" t="s">
        <v>3</v>
      </c>
      <c r="C4067" s="1" t="str">
        <f>IF($B4067 = "Production Item", _xlfn.XLOOKUP($A4067, 'Instrument Table'!$J:$J, 'Instrument Table'!$B:$B, $C4066), IF($B4067 = "Service Item", _xlfn.XLOOKUP($A4067, 'Instrument Table'!$I:$I, 'Instrument Table'!$B:$B, $C4066), _xlfn.XLOOKUP($A4067, 'Instrument Table'!$H:$H, 'Instrument Table'!$B:$B, $C4066)))</f>
        <v>Grand Piano</v>
      </c>
      <c r="D4067" s="1" t="str">
        <f>VLOOKUP($C4067, 'Instrument Table'!$B:$C, 2, FALSE)</f>
        <v>Pianos</v>
      </c>
      <c r="E4067" s="1">
        <f t="shared" si="378"/>
        <v>2</v>
      </c>
      <c r="F4067" s="1">
        <f>_xlfn.XLOOKUP($C4067, 'Instrument Table'!$B:$B, 'Instrument Table'!$A:$A, "")</f>
        <v>10</v>
      </c>
      <c r="G4067" s="1" t="str">
        <f>TEXT(IF($B4067 = "Retail Item", IF((ROW($A4067) - 4504 - _xlfn.XMATCH($C4067, $C$4506:$C$5005, 0, 1)) &lt;= VLOOKUP($C4067, 'Instrument Table'!$B:$D, 3, FALSE), ROW($A4067) - 4504 - _xlfn.XMATCH($C4067, $C$4506:$C$5005, 0, 1), 0), 0), "00")</f>
        <v>00</v>
      </c>
      <c r="H4067" s="1" t="str">
        <f t="shared" si="379"/>
        <v>061</v>
      </c>
      <c r="I4067" s="1" t="str">
        <f t="shared" si="380"/>
        <v>21000-061</v>
      </c>
      <c r="J4067" s="1" t="str">
        <f t="shared" si="381"/>
        <v>Grand piano service item #061</v>
      </c>
      <c r="K4067" s="1" t="str">
        <f>IF(SUM(COUNTIFS(I:I, I4067)) &gt; 1, "DUPLICATE", "UNIQUE")</f>
        <v>UNIQUE</v>
      </c>
      <c r="L4067" s="18">
        <v>2</v>
      </c>
      <c r="M4067" s="28">
        <v>660</v>
      </c>
      <c r="N4067" s="6">
        <v>8</v>
      </c>
      <c r="O4067" s="30">
        <f t="shared" si="382"/>
        <v>1320</v>
      </c>
      <c r="P4067" s="30">
        <f t="shared" si="383"/>
        <v>5280</v>
      </c>
      <c r="Q4067" s="1">
        <f>COUNTIFS($P:$P, "&gt;" &amp; $P4067) + 1</f>
        <v>2391</v>
      </c>
      <c r="R4067" s="63">
        <f>(COUNTIFS($P:$P, "&gt;" &amp; $P4067) + 1) / (COUNTA($I:$I) - 1)</f>
        <v>0.47820000000000001</v>
      </c>
      <c r="S4067" s="23">
        <f>SUMIFS($P:$P, $Q:$Q, "&lt;" &amp; $Q4067)</f>
        <v>182569233</v>
      </c>
    </row>
    <row r="4068" spans="1:19" x14ac:dyDescent="0.25">
      <c r="A4068" s="1">
        <v>4063</v>
      </c>
      <c r="B4068" s="1" t="s">
        <v>3</v>
      </c>
      <c r="C4068" s="1" t="str">
        <f>IF($B4068 = "Production Item", _xlfn.XLOOKUP($A4068, 'Instrument Table'!$J:$J, 'Instrument Table'!$B:$B, $C4067), IF($B4068 = "Service Item", _xlfn.XLOOKUP($A4068, 'Instrument Table'!$I:$I, 'Instrument Table'!$B:$B, $C4067), _xlfn.XLOOKUP($A4068, 'Instrument Table'!$H:$H, 'Instrument Table'!$B:$B, $C4067)))</f>
        <v>Grand Piano</v>
      </c>
      <c r="D4068" s="1" t="str">
        <f>VLOOKUP($C4068, 'Instrument Table'!$B:$C, 2, FALSE)</f>
        <v>Pianos</v>
      </c>
      <c r="E4068" s="1">
        <f t="shared" si="378"/>
        <v>2</v>
      </c>
      <c r="F4068" s="1">
        <f>_xlfn.XLOOKUP($C4068, 'Instrument Table'!$B:$B, 'Instrument Table'!$A:$A, "")</f>
        <v>10</v>
      </c>
      <c r="G4068" s="1" t="str">
        <f>TEXT(IF($B4068 = "Retail Item", IF((ROW($A4068) - 4504 - _xlfn.XMATCH($C4068, $C$4506:$C$5005, 0, 1)) &lt;= VLOOKUP($C4068, 'Instrument Table'!$B:$D, 3, FALSE), ROW($A4068) - 4504 - _xlfn.XMATCH($C4068, $C$4506:$C$5005, 0, 1), 0), 0), "00")</f>
        <v>00</v>
      </c>
      <c r="H4068" s="1" t="str">
        <f t="shared" si="379"/>
        <v>062</v>
      </c>
      <c r="I4068" s="1" t="str">
        <f t="shared" si="380"/>
        <v>21000-062</v>
      </c>
      <c r="J4068" s="1" t="str">
        <f t="shared" si="381"/>
        <v>Grand piano service item #062</v>
      </c>
      <c r="K4068" s="1" t="str">
        <f>IF(SUM(COUNTIFS(I:I, I4068)) &gt; 1, "DUPLICATE", "UNIQUE")</f>
        <v>UNIQUE</v>
      </c>
      <c r="L4068" s="18">
        <v>2</v>
      </c>
      <c r="M4068" s="28">
        <v>347</v>
      </c>
      <c r="N4068" s="6">
        <v>8</v>
      </c>
      <c r="O4068" s="30">
        <f t="shared" si="382"/>
        <v>694</v>
      </c>
      <c r="P4068" s="30">
        <f t="shared" si="383"/>
        <v>2776</v>
      </c>
      <c r="Q4068" s="1">
        <f>COUNTIFS($P:$P, "&gt;" &amp; $P4068) + 1</f>
        <v>2965</v>
      </c>
      <c r="R4068" s="63">
        <f>(COUNTIFS($P:$P, "&gt;" &amp; $P4068) + 1) / (COUNTA($I:$I) - 1)</f>
        <v>0.59299999999999997</v>
      </c>
      <c r="S4068" s="23">
        <f>SUMIFS($P:$P, $Q:$Q, "&lt;" &amp; $Q4068)</f>
        <v>184837308</v>
      </c>
    </row>
    <row r="4069" spans="1:19" x14ac:dyDescent="0.25">
      <c r="A4069" s="1">
        <v>4064</v>
      </c>
      <c r="B4069" s="1" t="s">
        <v>3</v>
      </c>
      <c r="C4069" s="1" t="str">
        <f>IF($B4069 = "Production Item", _xlfn.XLOOKUP($A4069, 'Instrument Table'!$J:$J, 'Instrument Table'!$B:$B, $C4068), IF($B4069 = "Service Item", _xlfn.XLOOKUP($A4069, 'Instrument Table'!$I:$I, 'Instrument Table'!$B:$B, $C4068), _xlfn.XLOOKUP($A4069, 'Instrument Table'!$H:$H, 'Instrument Table'!$B:$B, $C4068)))</f>
        <v>Grand Piano</v>
      </c>
      <c r="D4069" s="1" t="str">
        <f>VLOOKUP($C4069, 'Instrument Table'!$B:$C, 2, FALSE)</f>
        <v>Pianos</v>
      </c>
      <c r="E4069" s="1">
        <f t="shared" si="378"/>
        <v>2</v>
      </c>
      <c r="F4069" s="1">
        <f>_xlfn.XLOOKUP($C4069, 'Instrument Table'!$B:$B, 'Instrument Table'!$A:$A, "")</f>
        <v>10</v>
      </c>
      <c r="G4069" s="1" t="str">
        <f>TEXT(IF($B4069 = "Retail Item", IF((ROW($A4069) - 4504 - _xlfn.XMATCH($C4069, $C$4506:$C$5005, 0, 1)) &lt;= VLOOKUP($C4069, 'Instrument Table'!$B:$D, 3, FALSE), ROW($A4069) - 4504 - _xlfn.XMATCH($C4069, $C$4506:$C$5005, 0, 1), 0), 0), "00")</f>
        <v>00</v>
      </c>
      <c r="H4069" s="1" t="str">
        <f t="shared" si="379"/>
        <v>063</v>
      </c>
      <c r="I4069" s="1" t="str">
        <f t="shared" si="380"/>
        <v>21000-063</v>
      </c>
      <c r="J4069" s="1" t="str">
        <f t="shared" si="381"/>
        <v>Grand piano service item #063</v>
      </c>
      <c r="K4069" s="1" t="str">
        <f>IF(SUM(COUNTIFS(I:I, I4069)) &gt; 1, "DUPLICATE", "UNIQUE")</f>
        <v>UNIQUE</v>
      </c>
      <c r="L4069" s="18">
        <v>9</v>
      </c>
      <c r="M4069" s="28">
        <v>652</v>
      </c>
      <c r="N4069" s="6">
        <v>1</v>
      </c>
      <c r="O4069" s="30">
        <f t="shared" si="382"/>
        <v>5868</v>
      </c>
      <c r="P4069" s="30">
        <f t="shared" si="383"/>
        <v>652</v>
      </c>
      <c r="Q4069" s="1">
        <f>COUNTIFS($P:$P, "&gt;" &amp; $P4069) + 1</f>
        <v>3909</v>
      </c>
      <c r="R4069" s="63">
        <f>(COUNTIFS($P:$P, "&gt;" &amp; $P4069) + 1) / (COUNTA($I:$I) - 1)</f>
        <v>0.78180000000000005</v>
      </c>
      <c r="S4069" s="23">
        <f>SUMIFS($P:$P, $Q:$Q, "&lt;" &amp; $Q4069)</f>
        <v>186344797</v>
      </c>
    </row>
    <row r="4070" spans="1:19" x14ac:dyDescent="0.25">
      <c r="A4070" s="1">
        <v>4065</v>
      </c>
      <c r="B4070" s="1" t="s">
        <v>3</v>
      </c>
      <c r="C4070" s="1" t="str">
        <f>IF($B4070 = "Production Item", _xlfn.XLOOKUP($A4070, 'Instrument Table'!$J:$J, 'Instrument Table'!$B:$B, $C4069), IF($B4070 = "Service Item", _xlfn.XLOOKUP($A4070, 'Instrument Table'!$I:$I, 'Instrument Table'!$B:$B, $C4069), _xlfn.XLOOKUP($A4070, 'Instrument Table'!$H:$H, 'Instrument Table'!$B:$B, $C4069)))</f>
        <v>Grand Piano</v>
      </c>
      <c r="D4070" s="1" t="str">
        <f>VLOOKUP($C4070, 'Instrument Table'!$B:$C, 2, FALSE)</f>
        <v>Pianos</v>
      </c>
      <c r="E4070" s="1">
        <f t="shared" si="378"/>
        <v>2</v>
      </c>
      <c r="F4070" s="1">
        <f>_xlfn.XLOOKUP($C4070, 'Instrument Table'!$B:$B, 'Instrument Table'!$A:$A, "")</f>
        <v>10</v>
      </c>
      <c r="G4070" s="1" t="str">
        <f>TEXT(IF($B4070 = "Retail Item", IF((ROW($A4070) - 4504 - _xlfn.XMATCH($C4070, $C$4506:$C$5005, 0, 1)) &lt;= VLOOKUP($C4070, 'Instrument Table'!$B:$D, 3, FALSE), ROW($A4070) - 4504 - _xlfn.XMATCH($C4070, $C$4506:$C$5005, 0, 1), 0), 0), "00")</f>
        <v>00</v>
      </c>
      <c r="H4070" s="1" t="str">
        <f t="shared" si="379"/>
        <v>064</v>
      </c>
      <c r="I4070" s="1" t="str">
        <f t="shared" si="380"/>
        <v>21000-064</v>
      </c>
      <c r="J4070" s="1" t="str">
        <f t="shared" si="381"/>
        <v>Grand piano service item #064</v>
      </c>
      <c r="K4070" s="1" t="str">
        <f>IF(SUM(COUNTIFS(I:I, I4070)) &gt; 1, "DUPLICATE", "UNIQUE")</f>
        <v>UNIQUE</v>
      </c>
      <c r="L4070" s="18">
        <v>2</v>
      </c>
      <c r="M4070" s="28">
        <v>764</v>
      </c>
      <c r="N4070" s="6">
        <v>1</v>
      </c>
      <c r="O4070" s="30">
        <f t="shared" si="382"/>
        <v>1528</v>
      </c>
      <c r="P4070" s="30">
        <f t="shared" si="383"/>
        <v>764</v>
      </c>
      <c r="Q4070" s="1">
        <f>COUNTIFS($P:$P, "&gt;" &amp; $P4070) + 1</f>
        <v>3824</v>
      </c>
      <c r="R4070" s="63">
        <f>(COUNTIFS($P:$P, "&gt;" &amp; $P4070) + 1) / (COUNTA($I:$I) - 1)</f>
        <v>0.76480000000000004</v>
      </c>
      <c r="S4070" s="23">
        <f>SUMIFS($P:$P, $Q:$Q, "&lt;" &amp; $Q4070)</f>
        <v>186284200</v>
      </c>
    </row>
    <row r="4071" spans="1:19" x14ac:dyDescent="0.25">
      <c r="A4071" s="1">
        <v>4066</v>
      </c>
      <c r="B4071" s="1" t="s">
        <v>3</v>
      </c>
      <c r="C4071" s="1" t="str">
        <f>IF($B4071 = "Production Item", _xlfn.XLOOKUP($A4071, 'Instrument Table'!$J:$J, 'Instrument Table'!$B:$B, $C4070), IF($B4071 = "Service Item", _xlfn.XLOOKUP($A4071, 'Instrument Table'!$I:$I, 'Instrument Table'!$B:$B, $C4070), _xlfn.XLOOKUP($A4071, 'Instrument Table'!$H:$H, 'Instrument Table'!$B:$B, $C4070)))</f>
        <v>Grand Piano</v>
      </c>
      <c r="D4071" s="1" t="str">
        <f>VLOOKUP($C4071, 'Instrument Table'!$B:$C, 2, FALSE)</f>
        <v>Pianos</v>
      </c>
      <c r="E4071" s="1">
        <f t="shared" si="378"/>
        <v>2</v>
      </c>
      <c r="F4071" s="1">
        <f>_xlfn.XLOOKUP($C4071, 'Instrument Table'!$B:$B, 'Instrument Table'!$A:$A, "")</f>
        <v>10</v>
      </c>
      <c r="G4071" s="1" t="str">
        <f>TEXT(IF($B4071 = "Retail Item", IF((ROW($A4071) - 4504 - _xlfn.XMATCH($C4071, $C$4506:$C$5005, 0, 1)) &lt;= VLOOKUP($C4071, 'Instrument Table'!$B:$D, 3, FALSE), ROW($A4071) - 4504 - _xlfn.XMATCH($C4071, $C$4506:$C$5005, 0, 1), 0), 0), "00")</f>
        <v>00</v>
      </c>
      <c r="H4071" s="1" t="str">
        <f t="shared" si="379"/>
        <v>065</v>
      </c>
      <c r="I4071" s="1" t="str">
        <f t="shared" si="380"/>
        <v>21000-065</v>
      </c>
      <c r="J4071" s="1" t="str">
        <f t="shared" si="381"/>
        <v>Grand piano service item #065</v>
      </c>
      <c r="K4071" s="1" t="str">
        <f>IF(SUM(COUNTIFS(I:I, I4071)) &gt; 1, "DUPLICATE", "UNIQUE")</f>
        <v>UNIQUE</v>
      </c>
      <c r="L4071" s="18">
        <v>0</v>
      </c>
      <c r="M4071" s="28">
        <v>104</v>
      </c>
      <c r="N4071" s="6">
        <v>1</v>
      </c>
      <c r="O4071" s="30">
        <f t="shared" si="382"/>
        <v>0</v>
      </c>
      <c r="P4071" s="30">
        <f t="shared" si="383"/>
        <v>104</v>
      </c>
      <c r="Q4071" s="1">
        <f>COUNTIFS($P:$P, "&gt;" &amp; $P4071) + 1</f>
        <v>4449</v>
      </c>
      <c r="R4071" s="63">
        <f>(COUNTIFS($P:$P, "&gt;" &amp; $P4071) + 1) / (COUNTA($I:$I) - 1)</f>
        <v>0.88980000000000004</v>
      </c>
      <c r="S4071" s="23">
        <f>SUMIFS($P:$P, $Q:$Q, "&lt;" &amp; $Q4071)</f>
        <v>186532107</v>
      </c>
    </row>
    <row r="4072" spans="1:19" x14ac:dyDescent="0.25">
      <c r="A4072" s="1">
        <v>4067</v>
      </c>
      <c r="B4072" s="1" t="s">
        <v>3</v>
      </c>
      <c r="C4072" s="1" t="str">
        <f>IF($B4072 = "Production Item", _xlfn.XLOOKUP($A4072, 'Instrument Table'!$J:$J, 'Instrument Table'!$B:$B, $C4071), IF($B4072 = "Service Item", _xlfn.XLOOKUP($A4072, 'Instrument Table'!$I:$I, 'Instrument Table'!$B:$B, $C4071), _xlfn.XLOOKUP($A4072, 'Instrument Table'!$H:$H, 'Instrument Table'!$B:$B, $C4071)))</f>
        <v>Grand Piano</v>
      </c>
      <c r="D4072" s="1" t="str">
        <f>VLOOKUP($C4072, 'Instrument Table'!$B:$C, 2, FALSE)</f>
        <v>Pianos</v>
      </c>
      <c r="E4072" s="1">
        <f t="shared" si="378"/>
        <v>2</v>
      </c>
      <c r="F4072" s="1">
        <f>_xlfn.XLOOKUP($C4072, 'Instrument Table'!$B:$B, 'Instrument Table'!$A:$A, "")</f>
        <v>10</v>
      </c>
      <c r="G4072" s="1" t="str">
        <f>TEXT(IF($B4072 = "Retail Item", IF((ROW($A4072) - 4504 - _xlfn.XMATCH($C4072, $C$4506:$C$5005, 0, 1)) &lt;= VLOOKUP($C4072, 'Instrument Table'!$B:$D, 3, FALSE), ROW($A4072) - 4504 - _xlfn.XMATCH($C4072, $C$4506:$C$5005, 0, 1), 0), 0), "00")</f>
        <v>00</v>
      </c>
      <c r="H4072" s="1" t="str">
        <f t="shared" si="379"/>
        <v>066</v>
      </c>
      <c r="I4072" s="1" t="str">
        <f t="shared" si="380"/>
        <v>21000-066</v>
      </c>
      <c r="J4072" s="1" t="str">
        <f t="shared" si="381"/>
        <v>Grand piano service item #066</v>
      </c>
      <c r="K4072" s="1" t="str">
        <f>IF(SUM(COUNTIFS(I:I, I4072)) &gt; 1, "DUPLICATE", "UNIQUE")</f>
        <v>UNIQUE</v>
      </c>
      <c r="L4072" s="18">
        <v>5</v>
      </c>
      <c r="M4072" s="28">
        <v>695</v>
      </c>
      <c r="N4072" s="6">
        <v>64</v>
      </c>
      <c r="O4072" s="30">
        <f t="shared" si="382"/>
        <v>3475</v>
      </c>
      <c r="P4072" s="30">
        <f t="shared" si="383"/>
        <v>44480</v>
      </c>
      <c r="Q4072" s="1">
        <f>COUNTIFS($P:$P, "&gt;" &amp; $P4072) + 1</f>
        <v>536</v>
      </c>
      <c r="R4072" s="63">
        <f>(COUNTIFS($P:$P, "&gt;" &amp; $P4072) + 1) / (COUNTA($I:$I) - 1)</f>
        <v>0.1072</v>
      </c>
      <c r="S4072" s="23">
        <f>SUMIFS($P:$P, $Q:$Q, "&lt;" &amp; $Q4072)</f>
        <v>153381993</v>
      </c>
    </row>
    <row r="4073" spans="1:19" x14ac:dyDescent="0.25">
      <c r="A4073" s="1">
        <v>4068</v>
      </c>
      <c r="B4073" s="1" t="s">
        <v>3</v>
      </c>
      <c r="C4073" s="1" t="str">
        <f>IF($B4073 = "Production Item", _xlfn.XLOOKUP($A4073, 'Instrument Table'!$J:$J, 'Instrument Table'!$B:$B, $C4072), IF($B4073 = "Service Item", _xlfn.XLOOKUP($A4073, 'Instrument Table'!$I:$I, 'Instrument Table'!$B:$B, $C4072), _xlfn.XLOOKUP($A4073, 'Instrument Table'!$H:$H, 'Instrument Table'!$B:$B, $C4072)))</f>
        <v>Grand Piano</v>
      </c>
      <c r="D4073" s="1" t="str">
        <f>VLOOKUP($C4073, 'Instrument Table'!$B:$C, 2, FALSE)</f>
        <v>Pianos</v>
      </c>
      <c r="E4073" s="1">
        <f t="shared" si="378"/>
        <v>2</v>
      </c>
      <c r="F4073" s="1">
        <f>_xlfn.XLOOKUP($C4073, 'Instrument Table'!$B:$B, 'Instrument Table'!$A:$A, "")</f>
        <v>10</v>
      </c>
      <c r="G4073" s="1" t="str">
        <f>TEXT(IF($B4073 = "Retail Item", IF((ROW($A4073) - 4504 - _xlfn.XMATCH($C4073, $C$4506:$C$5005, 0, 1)) &lt;= VLOOKUP($C4073, 'Instrument Table'!$B:$D, 3, FALSE), ROW($A4073) - 4504 - _xlfn.XMATCH($C4073, $C$4506:$C$5005, 0, 1), 0), 0), "00")</f>
        <v>00</v>
      </c>
      <c r="H4073" s="1" t="str">
        <f t="shared" si="379"/>
        <v>067</v>
      </c>
      <c r="I4073" s="1" t="str">
        <f t="shared" si="380"/>
        <v>21000-067</v>
      </c>
      <c r="J4073" s="1" t="str">
        <f t="shared" si="381"/>
        <v>Grand piano service item #067</v>
      </c>
      <c r="K4073" s="1" t="str">
        <f>IF(SUM(COUNTIFS(I:I, I4073)) &gt; 1, "DUPLICATE", "UNIQUE")</f>
        <v>UNIQUE</v>
      </c>
      <c r="L4073" s="18">
        <v>7</v>
      </c>
      <c r="M4073" s="28">
        <v>49</v>
      </c>
      <c r="N4073" s="6">
        <v>0</v>
      </c>
      <c r="O4073" s="30">
        <f t="shared" si="382"/>
        <v>343</v>
      </c>
      <c r="P4073" s="30">
        <f t="shared" si="383"/>
        <v>0</v>
      </c>
      <c r="Q4073" s="1">
        <f>COUNTIFS($P:$P, "&gt;" &amp; $P4073) + 1</f>
        <v>4746</v>
      </c>
      <c r="R4073" s="63">
        <f>(COUNTIFS($P:$P, "&gt;" &amp; $P4073) + 1) / (COUNTA($I:$I) - 1)</f>
        <v>0.94920000000000004</v>
      </c>
      <c r="S4073" s="23">
        <f>SUMIFS($P:$P, $Q:$Q, "&lt;" &amp; $Q4073)</f>
        <v>186547861</v>
      </c>
    </row>
    <row r="4074" spans="1:19" x14ac:dyDescent="0.25">
      <c r="A4074" s="1">
        <v>4069</v>
      </c>
      <c r="B4074" s="1" t="s">
        <v>3</v>
      </c>
      <c r="C4074" s="1" t="str">
        <f>IF($B4074 = "Production Item", _xlfn.XLOOKUP($A4074, 'Instrument Table'!$J:$J, 'Instrument Table'!$B:$B, $C4073), IF($B4074 = "Service Item", _xlfn.XLOOKUP($A4074, 'Instrument Table'!$I:$I, 'Instrument Table'!$B:$B, $C4073), _xlfn.XLOOKUP($A4074, 'Instrument Table'!$H:$H, 'Instrument Table'!$B:$B, $C4073)))</f>
        <v>Grand Piano</v>
      </c>
      <c r="D4074" s="1" t="str">
        <f>VLOOKUP($C4074, 'Instrument Table'!$B:$C, 2, FALSE)</f>
        <v>Pianos</v>
      </c>
      <c r="E4074" s="1">
        <f t="shared" si="378"/>
        <v>2</v>
      </c>
      <c r="F4074" s="1">
        <f>_xlfn.XLOOKUP($C4074, 'Instrument Table'!$B:$B, 'Instrument Table'!$A:$A, "")</f>
        <v>10</v>
      </c>
      <c r="G4074" s="1" t="str">
        <f>TEXT(IF($B4074 = "Retail Item", IF((ROW($A4074) - 4504 - _xlfn.XMATCH($C4074, $C$4506:$C$5005, 0, 1)) &lt;= VLOOKUP($C4074, 'Instrument Table'!$B:$D, 3, FALSE), ROW($A4074) - 4504 - _xlfn.XMATCH($C4074, $C$4506:$C$5005, 0, 1), 0), 0), "00")</f>
        <v>00</v>
      </c>
      <c r="H4074" s="1" t="str">
        <f t="shared" si="379"/>
        <v>068</v>
      </c>
      <c r="I4074" s="1" t="str">
        <f t="shared" si="380"/>
        <v>21000-068</v>
      </c>
      <c r="J4074" s="1" t="str">
        <f t="shared" si="381"/>
        <v>Grand piano service item #068</v>
      </c>
      <c r="K4074" s="1" t="str">
        <f>IF(SUM(COUNTIFS(I:I, I4074)) &gt; 1, "DUPLICATE", "UNIQUE")</f>
        <v>UNIQUE</v>
      </c>
      <c r="L4074" s="18">
        <v>2</v>
      </c>
      <c r="M4074" s="28">
        <v>809</v>
      </c>
      <c r="N4074" s="6">
        <v>125</v>
      </c>
      <c r="O4074" s="30">
        <f t="shared" si="382"/>
        <v>1618</v>
      </c>
      <c r="P4074" s="30">
        <f t="shared" si="383"/>
        <v>101125</v>
      </c>
      <c r="Q4074" s="1">
        <f>COUNTIFS($P:$P, "&gt;" &amp; $P4074) + 1</f>
        <v>406</v>
      </c>
      <c r="R4074" s="63">
        <f>(COUNTIFS($P:$P, "&gt;" &amp; $P4074) + 1) / (COUNTA($I:$I) - 1)</f>
        <v>8.1199999999999994E-2</v>
      </c>
      <c r="S4074" s="23">
        <f>SUMIFS($P:$P, $Q:$Q, "&lt;" &amp; $Q4074)</f>
        <v>144058878</v>
      </c>
    </row>
    <row r="4075" spans="1:19" x14ac:dyDescent="0.25">
      <c r="A4075" s="1">
        <v>4070</v>
      </c>
      <c r="B4075" s="1" t="s">
        <v>3</v>
      </c>
      <c r="C4075" s="1" t="str">
        <f>IF($B4075 = "Production Item", _xlfn.XLOOKUP($A4075, 'Instrument Table'!$J:$J, 'Instrument Table'!$B:$B, $C4074), IF($B4075 = "Service Item", _xlfn.XLOOKUP($A4075, 'Instrument Table'!$I:$I, 'Instrument Table'!$B:$B, $C4074), _xlfn.XLOOKUP($A4075, 'Instrument Table'!$H:$H, 'Instrument Table'!$B:$B, $C4074)))</f>
        <v>Grand Piano</v>
      </c>
      <c r="D4075" s="1" t="str">
        <f>VLOOKUP($C4075, 'Instrument Table'!$B:$C, 2, FALSE)</f>
        <v>Pianos</v>
      </c>
      <c r="E4075" s="1">
        <f t="shared" si="378"/>
        <v>2</v>
      </c>
      <c r="F4075" s="1">
        <f>_xlfn.XLOOKUP($C4075, 'Instrument Table'!$B:$B, 'Instrument Table'!$A:$A, "")</f>
        <v>10</v>
      </c>
      <c r="G4075" s="1" t="str">
        <f>TEXT(IF($B4075 = "Retail Item", IF((ROW($A4075) - 4504 - _xlfn.XMATCH($C4075, $C$4506:$C$5005, 0, 1)) &lt;= VLOOKUP($C4075, 'Instrument Table'!$B:$D, 3, FALSE), ROW($A4075) - 4504 - _xlfn.XMATCH($C4075, $C$4506:$C$5005, 0, 1), 0), 0), "00")</f>
        <v>00</v>
      </c>
      <c r="H4075" s="1" t="str">
        <f t="shared" si="379"/>
        <v>069</v>
      </c>
      <c r="I4075" s="1" t="str">
        <f t="shared" si="380"/>
        <v>21000-069</v>
      </c>
      <c r="J4075" s="1" t="str">
        <f t="shared" si="381"/>
        <v>Grand piano service item #069</v>
      </c>
      <c r="K4075" s="1" t="str">
        <f>IF(SUM(COUNTIFS(I:I, I4075)) &gt; 1, "DUPLICATE", "UNIQUE")</f>
        <v>UNIQUE</v>
      </c>
      <c r="L4075" s="18">
        <v>4</v>
      </c>
      <c r="M4075" s="28">
        <v>255</v>
      </c>
      <c r="N4075" s="6">
        <v>8</v>
      </c>
      <c r="O4075" s="30">
        <f t="shared" si="382"/>
        <v>1020</v>
      </c>
      <c r="P4075" s="30">
        <f t="shared" si="383"/>
        <v>2040</v>
      </c>
      <c r="Q4075" s="1">
        <f>COUNTIFS($P:$P, "&gt;" &amp; $P4075) + 1</f>
        <v>3239</v>
      </c>
      <c r="R4075" s="63">
        <f>(COUNTIFS($P:$P, "&gt;" &amp; $P4075) + 1) / (COUNTA($I:$I) - 1)</f>
        <v>0.64780000000000004</v>
      </c>
      <c r="S4075" s="23">
        <f>SUMIFS($P:$P, $Q:$Q, "&lt;" &amp; $Q4075)</f>
        <v>185488795</v>
      </c>
    </row>
    <row r="4076" spans="1:19" x14ac:dyDescent="0.25">
      <c r="A4076" s="1">
        <v>4071</v>
      </c>
      <c r="B4076" s="1" t="s">
        <v>3</v>
      </c>
      <c r="C4076" s="1" t="str">
        <f>IF($B4076 = "Production Item", _xlfn.XLOOKUP($A4076, 'Instrument Table'!$J:$J, 'Instrument Table'!$B:$B, $C4075), IF($B4076 = "Service Item", _xlfn.XLOOKUP($A4076, 'Instrument Table'!$I:$I, 'Instrument Table'!$B:$B, $C4075), _xlfn.XLOOKUP($A4076, 'Instrument Table'!$H:$H, 'Instrument Table'!$B:$B, $C4075)))</f>
        <v>Upright Piano</v>
      </c>
      <c r="D4076" s="1" t="str">
        <f>VLOOKUP($C4076, 'Instrument Table'!$B:$C, 2, FALSE)</f>
        <v>Pianos</v>
      </c>
      <c r="E4076" s="1">
        <f t="shared" si="378"/>
        <v>2</v>
      </c>
      <c r="F4076" s="1">
        <f>_xlfn.XLOOKUP($C4076, 'Instrument Table'!$B:$B, 'Instrument Table'!$A:$A, "")</f>
        <v>11</v>
      </c>
      <c r="G4076" s="1" t="str">
        <f>TEXT(IF($B4076 = "Retail Item", IF((ROW($A4076) - 4504 - _xlfn.XMATCH($C4076, $C$4506:$C$5005, 0, 1)) &lt;= VLOOKUP($C4076, 'Instrument Table'!$B:$D, 3, FALSE), ROW($A4076) - 4504 - _xlfn.XMATCH($C4076, $C$4506:$C$5005, 0, 1), 0), 0), "00")</f>
        <v>00</v>
      </c>
      <c r="H4076" s="1" t="str">
        <f t="shared" si="379"/>
        <v>000</v>
      </c>
      <c r="I4076" s="1" t="str">
        <f t="shared" si="380"/>
        <v>21100-000</v>
      </c>
      <c r="J4076" s="1" t="str">
        <f t="shared" si="381"/>
        <v>Upright piano service item #000</v>
      </c>
      <c r="K4076" s="1" t="str">
        <f>IF(SUM(COUNTIFS(I:I, I4076)) &gt; 1, "DUPLICATE", "UNIQUE")</f>
        <v>UNIQUE</v>
      </c>
      <c r="L4076" s="18">
        <v>8</v>
      </c>
      <c r="M4076" s="28">
        <v>991</v>
      </c>
      <c r="N4076" s="6">
        <v>1</v>
      </c>
      <c r="O4076" s="30">
        <f t="shared" si="382"/>
        <v>7928</v>
      </c>
      <c r="P4076" s="30">
        <f t="shared" si="383"/>
        <v>991</v>
      </c>
      <c r="Q4076" s="1">
        <f>COUNTIFS($P:$P, "&gt;" &amp; $P4076) + 1</f>
        <v>3687</v>
      </c>
      <c r="R4076" s="63">
        <f>(COUNTIFS($P:$P, "&gt;" &amp; $P4076) + 1) / (COUNTA($I:$I) - 1)</f>
        <v>0.73740000000000006</v>
      </c>
      <c r="S4076" s="23">
        <f>SUMIFS($P:$P, $Q:$Q, "&lt;" &amp; $Q4076)</f>
        <v>186166127</v>
      </c>
    </row>
    <row r="4077" spans="1:19" x14ac:dyDescent="0.25">
      <c r="A4077" s="1">
        <v>4072</v>
      </c>
      <c r="B4077" s="1" t="s">
        <v>3</v>
      </c>
      <c r="C4077" s="1" t="str">
        <f>IF($B4077 = "Production Item", _xlfn.XLOOKUP($A4077, 'Instrument Table'!$J:$J, 'Instrument Table'!$B:$B, $C4076), IF($B4077 = "Service Item", _xlfn.XLOOKUP($A4077, 'Instrument Table'!$I:$I, 'Instrument Table'!$B:$B, $C4076), _xlfn.XLOOKUP($A4077, 'Instrument Table'!$H:$H, 'Instrument Table'!$B:$B, $C4076)))</f>
        <v>Upright Piano</v>
      </c>
      <c r="D4077" s="1" t="str">
        <f>VLOOKUP($C4077, 'Instrument Table'!$B:$C, 2, FALSE)</f>
        <v>Pianos</v>
      </c>
      <c r="E4077" s="1">
        <f t="shared" si="378"/>
        <v>2</v>
      </c>
      <c r="F4077" s="1">
        <f>_xlfn.XLOOKUP($C4077, 'Instrument Table'!$B:$B, 'Instrument Table'!$A:$A, "")</f>
        <v>11</v>
      </c>
      <c r="G4077" s="1" t="str">
        <f>TEXT(IF($B4077 = "Retail Item", IF((ROW($A4077) - 4504 - _xlfn.XMATCH($C4077, $C$4506:$C$5005, 0, 1)) &lt;= VLOOKUP($C4077, 'Instrument Table'!$B:$D, 3, FALSE), ROW($A4077) - 4504 - _xlfn.XMATCH($C4077, $C$4506:$C$5005, 0, 1), 0), 0), "00")</f>
        <v>00</v>
      </c>
      <c r="H4077" s="1" t="str">
        <f t="shared" si="379"/>
        <v>001</v>
      </c>
      <c r="I4077" s="1" t="str">
        <f t="shared" si="380"/>
        <v>21100-001</v>
      </c>
      <c r="J4077" s="1" t="str">
        <f t="shared" si="381"/>
        <v>Upright piano service item #001</v>
      </c>
      <c r="K4077" s="1" t="str">
        <f>IF(SUM(COUNTIFS(I:I, I4077)) &gt; 1, "DUPLICATE", "UNIQUE")</f>
        <v>UNIQUE</v>
      </c>
      <c r="L4077" s="18">
        <v>5</v>
      </c>
      <c r="M4077" s="28">
        <v>887</v>
      </c>
      <c r="N4077" s="6">
        <v>1</v>
      </c>
      <c r="O4077" s="30">
        <f t="shared" si="382"/>
        <v>4435</v>
      </c>
      <c r="P4077" s="30">
        <f t="shared" si="383"/>
        <v>887</v>
      </c>
      <c r="Q4077" s="1">
        <f>COUNTIFS($P:$P, "&gt;" &amp; $P4077) + 1</f>
        <v>3734</v>
      </c>
      <c r="R4077" s="63">
        <f>(COUNTIFS($P:$P, "&gt;" &amp; $P4077) + 1) / (COUNTA($I:$I) - 1)</f>
        <v>0.74680000000000002</v>
      </c>
      <c r="S4077" s="23">
        <f>SUMIFS($P:$P, $Q:$Q, "&lt;" &amp; $Q4077)</f>
        <v>186210143</v>
      </c>
    </row>
    <row r="4078" spans="1:19" x14ac:dyDescent="0.25">
      <c r="A4078" s="1">
        <v>4073</v>
      </c>
      <c r="B4078" s="1" t="s">
        <v>3</v>
      </c>
      <c r="C4078" s="1" t="str">
        <f>IF($B4078 = "Production Item", _xlfn.XLOOKUP($A4078, 'Instrument Table'!$J:$J, 'Instrument Table'!$B:$B, $C4077), IF($B4078 = "Service Item", _xlfn.XLOOKUP($A4078, 'Instrument Table'!$I:$I, 'Instrument Table'!$B:$B, $C4077), _xlfn.XLOOKUP($A4078, 'Instrument Table'!$H:$H, 'Instrument Table'!$B:$B, $C4077)))</f>
        <v>Upright Piano</v>
      </c>
      <c r="D4078" s="1" t="str">
        <f>VLOOKUP($C4078, 'Instrument Table'!$B:$C, 2, FALSE)</f>
        <v>Pianos</v>
      </c>
      <c r="E4078" s="1">
        <f t="shared" si="378"/>
        <v>2</v>
      </c>
      <c r="F4078" s="1">
        <f>_xlfn.XLOOKUP($C4078, 'Instrument Table'!$B:$B, 'Instrument Table'!$A:$A, "")</f>
        <v>11</v>
      </c>
      <c r="G4078" s="1" t="str">
        <f>TEXT(IF($B4078 = "Retail Item", IF((ROW($A4078) - 4504 - _xlfn.XMATCH($C4078, $C$4506:$C$5005, 0, 1)) &lt;= VLOOKUP($C4078, 'Instrument Table'!$B:$D, 3, FALSE), ROW($A4078) - 4504 - _xlfn.XMATCH($C4078, $C$4506:$C$5005, 0, 1), 0), 0), "00")</f>
        <v>00</v>
      </c>
      <c r="H4078" s="1" t="str">
        <f t="shared" si="379"/>
        <v>002</v>
      </c>
      <c r="I4078" s="1" t="str">
        <f t="shared" si="380"/>
        <v>21100-002</v>
      </c>
      <c r="J4078" s="1" t="str">
        <f t="shared" si="381"/>
        <v>Upright piano service item #002</v>
      </c>
      <c r="K4078" s="1" t="str">
        <f>IF(SUM(COUNTIFS(I:I, I4078)) &gt; 1, "DUPLICATE", "UNIQUE")</f>
        <v>UNIQUE</v>
      </c>
      <c r="L4078" s="18">
        <v>4</v>
      </c>
      <c r="M4078" s="28">
        <v>496</v>
      </c>
      <c r="N4078" s="6">
        <v>125</v>
      </c>
      <c r="O4078" s="30">
        <f t="shared" si="382"/>
        <v>1984</v>
      </c>
      <c r="P4078" s="30">
        <f t="shared" si="383"/>
        <v>62000</v>
      </c>
      <c r="Q4078" s="1">
        <f>COUNTIFS($P:$P, "&gt;" &amp; $P4078) + 1</f>
        <v>495</v>
      </c>
      <c r="R4078" s="63">
        <f>(COUNTIFS($P:$P, "&gt;" &amp; $P4078) + 1) / (COUNTA($I:$I) - 1)</f>
        <v>9.9000000000000005E-2</v>
      </c>
      <c r="S4078" s="23">
        <f>SUMIFS($P:$P, $Q:$Q, "&lt;" &amp; $Q4078)</f>
        <v>151159989</v>
      </c>
    </row>
    <row r="4079" spans="1:19" x14ac:dyDescent="0.25">
      <c r="A4079" s="1">
        <v>4074</v>
      </c>
      <c r="B4079" s="1" t="s">
        <v>3</v>
      </c>
      <c r="C4079" s="1" t="str">
        <f>IF($B4079 = "Production Item", _xlfn.XLOOKUP($A4079, 'Instrument Table'!$J:$J, 'Instrument Table'!$B:$B, $C4078), IF($B4079 = "Service Item", _xlfn.XLOOKUP($A4079, 'Instrument Table'!$I:$I, 'Instrument Table'!$B:$B, $C4078), _xlfn.XLOOKUP($A4079, 'Instrument Table'!$H:$H, 'Instrument Table'!$B:$B, $C4078)))</f>
        <v>Upright Piano</v>
      </c>
      <c r="D4079" s="1" t="str">
        <f>VLOOKUP($C4079, 'Instrument Table'!$B:$C, 2, FALSE)</f>
        <v>Pianos</v>
      </c>
      <c r="E4079" s="1">
        <f t="shared" si="378"/>
        <v>2</v>
      </c>
      <c r="F4079" s="1">
        <f>_xlfn.XLOOKUP($C4079, 'Instrument Table'!$B:$B, 'Instrument Table'!$A:$A, "")</f>
        <v>11</v>
      </c>
      <c r="G4079" s="1" t="str">
        <f>TEXT(IF($B4079 = "Retail Item", IF((ROW($A4079) - 4504 - _xlfn.XMATCH($C4079, $C$4506:$C$5005, 0, 1)) &lt;= VLOOKUP($C4079, 'Instrument Table'!$B:$D, 3, FALSE), ROW($A4079) - 4504 - _xlfn.XMATCH($C4079, $C$4506:$C$5005, 0, 1), 0), 0), "00")</f>
        <v>00</v>
      </c>
      <c r="H4079" s="1" t="str">
        <f t="shared" si="379"/>
        <v>003</v>
      </c>
      <c r="I4079" s="1" t="str">
        <f t="shared" si="380"/>
        <v>21100-003</v>
      </c>
      <c r="J4079" s="1" t="str">
        <f t="shared" si="381"/>
        <v>Upright piano service item #003</v>
      </c>
      <c r="K4079" s="1" t="str">
        <f>IF(SUM(COUNTIFS(I:I, I4079)) &gt; 1, "DUPLICATE", "UNIQUE")</f>
        <v>UNIQUE</v>
      </c>
      <c r="L4079" s="18">
        <v>1</v>
      </c>
      <c r="M4079" s="28">
        <v>44</v>
      </c>
      <c r="N4079" s="6">
        <v>64</v>
      </c>
      <c r="O4079" s="30">
        <f t="shared" si="382"/>
        <v>44</v>
      </c>
      <c r="P4079" s="30">
        <f t="shared" si="383"/>
        <v>2816</v>
      </c>
      <c r="Q4079" s="1">
        <f>COUNTIFS($P:$P, "&gt;" &amp; $P4079) + 1</f>
        <v>2954</v>
      </c>
      <c r="R4079" s="63">
        <f>(COUNTIFS($P:$P, "&gt;" &amp; $P4079) + 1) / (COUNTA($I:$I) - 1)</f>
        <v>0.59079999999999999</v>
      </c>
      <c r="S4079" s="23">
        <f>SUMIFS($P:$P, $Q:$Q, "&lt;" &amp; $Q4079)</f>
        <v>184806461</v>
      </c>
    </row>
    <row r="4080" spans="1:19" x14ac:dyDescent="0.25">
      <c r="A4080" s="1">
        <v>4075</v>
      </c>
      <c r="B4080" s="1" t="s">
        <v>3</v>
      </c>
      <c r="C4080" s="1" t="str">
        <f>IF($B4080 = "Production Item", _xlfn.XLOOKUP($A4080, 'Instrument Table'!$J:$J, 'Instrument Table'!$B:$B, $C4079), IF($B4080 = "Service Item", _xlfn.XLOOKUP($A4080, 'Instrument Table'!$I:$I, 'Instrument Table'!$B:$B, $C4079), _xlfn.XLOOKUP($A4080, 'Instrument Table'!$H:$H, 'Instrument Table'!$B:$B, $C4079)))</f>
        <v>Upright Piano</v>
      </c>
      <c r="D4080" s="1" t="str">
        <f>VLOOKUP($C4080, 'Instrument Table'!$B:$C, 2, FALSE)</f>
        <v>Pianos</v>
      </c>
      <c r="E4080" s="1">
        <f t="shared" si="378"/>
        <v>2</v>
      </c>
      <c r="F4080" s="1">
        <f>_xlfn.XLOOKUP($C4080, 'Instrument Table'!$B:$B, 'Instrument Table'!$A:$A, "")</f>
        <v>11</v>
      </c>
      <c r="G4080" s="1" t="str">
        <f>TEXT(IF($B4080 = "Retail Item", IF((ROW($A4080) - 4504 - _xlfn.XMATCH($C4080, $C$4506:$C$5005, 0, 1)) &lt;= VLOOKUP($C4080, 'Instrument Table'!$B:$D, 3, FALSE), ROW($A4080) - 4504 - _xlfn.XMATCH($C4080, $C$4506:$C$5005, 0, 1), 0), 0), "00")</f>
        <v>00</v>
      </c>
      <c r="H4080" s="1" t="str">
        <f t="shared" si="379"/>
        <v>004</v>
      </c>
      <c r="I4080" s="1" t="str">
        <f t="shared" si="380"/>
        <v>21100-004</v>
      </c>
      <c r="J4080" s="1" t="str">
        <f t="shared" si="381"/>
        <v>Upright piano service item #004</v>
      </c>
      <c r="K4080" s="1" t="str">
        <f>IF(SUM(COUNTIFS(I:I, I4080)) &gt; 1, "DUPLICATE", "UNIQUE")</f>
        <v>UNIQUE</v>
      </c>
      <c r="L4080" s="18">
        <v>8</v>
      </c>
      <c r="M4080" s="28">
        <v>604</v>
      </c>
      <c r="N4080" s="6">
        <v>27</v>
      </c>
      <c r="O4080" s="30">
        <f t="shared" si="382"/>
        <v>4832</v>
      </c>
      <c r="P4080" s="30">
        <f t="shared" si="383"/>
        <v>16308</v>
      </c>
      <c r="Q4080" s="1">
        <f>COUNTIFS($P:$P, "&gt;" &amp; $P4080) + 1</f>
        <v>1256</v>
      </c>
      <c r="R4080" s="63">
        <f>(COUNTIFS($P:$P, "&gt;" &amp; $P4080) + 1) / (COUNTA($I:$I) - 1)</f>
        <v>0.25119999999999998</v>
      </c>
      <c r="S4080" s="23">
        <f>SUMIFS($P:$P, $Q:$Q, "&lt;" &amp; $Q4080)</f>
        <v>171268000</v>
      </c>
    </row>
    <row r="4081" spans="1:19" x14ac:dyDescent="0.25">
      <c r="A4081" s="1">
        <v>4076</v>
      </c>
      <c r="B4081" s="1" t="s">
        <v>3</v>
      </c>
      <c r="C4081" s="1" t="str">
        <f>IF($B4081 = "Production Item", _xlfn.XLOOKUP($A4081, 'Instrument Table'!$J:$J, 'Instrument Table'!$B:$B, $C4080), IF($B4081 = "Service Item", _xlfn.XLOOKUP($A4081, 'Instrument Table'!$I:$I, 'Instrument Table'!$B:$B, $C4080), _xlfn.XLOOKUP($A4081, 'Instrument Table'!$H:$H, 'Instrument Table'!$B:$B, $C4080)))</f>
        <v>Upright Piano</v>
      </c>
      <c r="D4081" s="1" t="str">
        <f>VLOOKUP($C4081, 'Instrument Table'!$B:$C, 2, FALSE)</f>
        <v>Pianos</v>
      </c>
      <c r="E4081" s="1">
        <f t="shared" si="378"/>
        <v>2</v>
      </c>
      <c r="F4081" s="1">
        <f>_xlfn.XLOOKUP($C4081, 'Instrument Table'!$B:$B, 'Instrument Table'!$A:$A, "")</f>
        <v>11</v>
      </c>
      <c r="G4081" s="1" t="str">
        <f>TEXT(IF($B4081 = "Retail Item", IF((ROW($A4081) - 4504 - _xlfn.XMATCH($C4081, $C$4506:$C$5005, 0, 1)) &lt;= VLOOKUP($C4081, 'Instrument Table'!$B:$D, 3, FALSE), ROW($A4081) - 4504 - _xlfn.XMATCH($C4081, $C$4506:$C$5005, 0, 1), 0), 0), "00")</f>
        <v>00</v>
      </c>
      <c r="H4081" s="1" t="str">
        <f t="shared" si="379"/>
        <v>005</v>
      </c>
      <c r="I4081" s="1" t="str">
        <f t="shared" si="380"/>
        <v>21100-005</v>
      </c>
      <c r="J4081" s="1" t="str">
        <f t="shared" si="381"/>
        <v>Upright piano service item #005</v>
      </c>
      <c r="K4081" s="1" t="str">
        <f>IF(SUM(COUNTIFS(I:I, I4081)) &gt; 1, "DUPLICATE", "UNIQUE")</f>
        <v>UNIQUE</v>
      </c>
      <c r="L4081" s="18">
        <v>2</v>
      </c>
      <c r="M4081" s="28">
        <v>401</v>
      </c>
      <c r="N4081" s="6">
        <v>8</v>
      </c>
      <c r="O4081" s="30">
        <f t="shared" si="382"/>
        <v>802</v>
      </c>
      <c r="P4081" s="30">
        <f t="shared" si="383"/>
        <v>3208</v>
      </c>
      <c r="Q4081" s="1">
        <f>COUNTIFS($P:$P, "&gt;" &amp; $P4081) + 1</f>
        <v>2852</v>
      </c>
      <c r="R4081" s="63">
        <f>(COUNTIFS($P:$P, "&gt;" &amp; $P4081) + 1) / (COUNTA($I:$I) - 1)</f>
        <v>0.57040000000000002</v>
      </c>
      <c r="S4081" s="23">
        <f>SUMIFS($P:$P, $Q:$Q, "&lt;" &amp; $Q4081)</f>
        <v>184498232</v>
      </c>
    </row>
    <row r="4082" spans="1:19" x14ac:dyDescent="0.25">
      <c r="A4082" s="1">
        <v>4077</v>
      </c>
      <c r="B4082" s="1" t="s">
        <v>3</v>
      </c>
      <c r="C4082" s="1" t="str">
        <f>IF($B4082 = "Production Item", _xlfn.XLOOKUP($A4082, 'Instrument Table'!$J:$J, 'Instrument Table'!$B:$B, $C4081), IF($B4082 = "Service Item", _xlfn.XLOOKUP($A4082, 'Instrument Table'!$I:$I, 'Instrument Table'!$B:$B, $C4081), _xlfn.XLOOKUP($A4082, 'Instrument Table'!$H:$H, 'Instrument Table'!$B:$B, $C4081)))</f>
        <v>Upright Piano</v>
      </c>
      <c r="D4082" s="1" t="str">
        <f>VLOOKUP($C4082, 'Instrument Table'!$B:$C, 2, FALSE)</f>
        <v>Pianos</v>
      </c>
      <c r="E4082" s="1">
        <f t="shared" si="378"/>
        <v>2</v>
      </c>
      <c r="F4082" s="1">
        <f>_xlfn.XLOOKUP($C4082, 'Instrument Table'!$B:$B, 'Instrument Table'!$A:$A, "")</f>
        <v>11</v>
      </c>
      <c r="G4082" s="1" t="str">
        <f>TEXT(IF($B4082 = "Retail Item", IF((ROW($A4082) - 4504 - _xlfn.XMATCH($C4082, $C$4506:$C$5005, 0, 1)) &lt;= VLOOKUP($C4082, 'Instrument Table'!$B:$D, 3, FALSE), ROW($A4082) - 4504 - _xlfn.XMATCH($C4082, $C$4506:$C$5005, 0, 1), 0), 0), "00")</f>
        <v>00</v>
      </c>
      <c r="H4082" s="1" t="str">
        <f t="shared" si="379"/>
        <v>006</v>
      </c>
      <c r="I4082" s="1" t="str">
        <f t="shared" si="380"/>
        <v>21100-006</v>
      </c>
      <c r="J4082" s="1" t="str">
        <f t="shared" si="381"/>
        <v>Upright piano service item #006</v>
      </c>
      <c r="K4082" s="1" t="str">
        <f>IF(SUM(COUNTIFS(I:I, I4082)) &gt; 1, "DUPLICATE", "UNIQUE")</f>
        <v>UNIQUE</v>
      </c>
      <c r="L4082" s="18">
        <v>10</v>
      </c>
      <c r="M4082" s="28">
        <v>814</v>
      </c>
      <c r="N4082" s="6">
        <v>1</v>
      </c>
      <c r="O4082" s="30">
        <f t="shared" si="382"/>
        <v>8140</v>
      </c>
      <c r="P4082" s="30">
        <f t="shared" si="383"/>
        <v>814</v>
      </c>
      <c r="Q4082" s="1">
        <f>COUNTIFS($P:$P, "&gt;" &amp; $P4082) + 1</f>
        <v>3784</v>
      </c>
      <c r="R4082" s="63">
        <f>(COUNTIFS($P:$P, "&gt;" &amp; $P4082) + 1) / (COUNTA($I:$I) - 1)</f>
        <v>0.75680000000000003</v>
      </c>
      <c r="S4082" s="23">
        <f>SUMIFS($P:$P, $Q:$Q, "&lt;" &amp; $Q4082)</f>
        <v>186252836</v>
      </c>
    </row>
    <row r="4083" spans="1:19" x14ac:dyDescent="0.25">
      <c r="A4083" s="1">
        <v>4078</v>
      </c>
      <c r="B4083" s="1" t="s">
        <v>3</v>
      </c>
      <c r="C4083" s="1" t="str">
        <f>IF($B4083 = "Production Item", _xlfn.XLOOKUP($A4083, 'Instrument Table'!$J:$J, 'Instrument Table'!$B:$B, $C4082), IF($B4083 = "Service Item", _xlfn.XLOOKUP($A4083, 'Instrument Table'!$I:$I, 'Instrument Table'!$B:$B, $C4082), _xlfn.XLOOKUP($A4083, 'Instrument Table'!$H:$H, 'Instrument Table'!$B:$B, $C4082)))</f>
        <v>Upright Piano</v>
      </c>
      <c r="D4083" s="1" t="str">
        <f>VLOOKUP($C4083, 'Instrument Table'!$B:$C, 2, FALSE)</f>
        <v>Pianos</v>
      </c>
      <c r="E4083" s="1">
        <f t="shared" si="378"/>
        <v>2</v>
      </c>
      <c r="F4083" s="1">
        <f>_xlfn.XLOOKUP($C4083, 'Instrument Table'!$B:$B, 'Instrument Table'!$A:$A, "")</f>
        <v>11</v>
      </c>
      <c r="G4083" s="1" t="str">
        <f>TEXT(IF($B4083 = "Retail Item", IF((ROW($A4083) - 4504 - _xlfn.XMATCH($C4083, $C$4506:$C$5005, 0, 1)) &lt;= VLOOKUP($C4083, 'Instrument Table'!$B:$D, 3, FALSE), ROW($A4083) - 4504 - _xlfn.XMATCH($C4083, $C$4506:$C$5005, 0, 1), 0), 0), "00")</f>
        <v>00</v>
      </c>
      <c r="H4083" s="1" t="str">
        <f t="shared" si="379"/>
        <v>007</v>
      </c>
      <c r="I4083" s="1" t="str">
        <f t="shared" si="380"/>
        <v>21100-007</v>
      </c>
      <c r="J4083" s="1" t="str">
        <f t="shared" si="381"/>
        <v>Upright piano service item #007</v>
      </c>
      <c r="K4083" s="1" t="str">
        <f>IF(SUM(COUNTIFS(I:I, I4083)) &gt; 1, "DUPLICATE", "UNIQUE")</f>
        <v>UNIQUE</v>
      </c>
      <c r="L4083" s="18">
        <v>5</v>
      </c>
      <c r="M4083" s="28">
        <v>215</v>
      </c>
      <c r="N4083" s="6">
        <v>27</v>
      </c>
      <c r="O4083" s="30">
        <f t="shared" si="382"/>
        <v>1075</v>
      </c>
      <c r="P4083" s="30">
        <f t="shared" si="383"/>
        <v>5805</v>
      </c>
      <c r="Q4083" s="1">
        <f>COUNTIFS($P:$P, "&gt;" &amp; $P4083) + 1</f>
        <v>2298</v>
      </c>
      <c r="R4083" s="63">
        <f>(COUNTIFS($P:$P, "&gt;" &amp; $P4083) + 1) / (COUNTA($I:$I) - 1)</f>
        <v>0.45960000000000001</v>
      </c>
      <c r="S4083" s="23">
        <f>SUMIFS($P:$P, $Q:$Q, "&lt;" &amp; $Q4083)</f>
        <v>182052610</v>
      </c>
    </row>
    <row r="4084" spans="1:19" x14ac:dyDescent="0.25">
      <c r="A4084" s="1">
        <v>4079</v>
      </c>
      <c r="B4084" s="1" t="s">
        <v>3</v>
      </c>
      <c r="C4084" s="1" t="str">
        <f>IF($B4084 = "Production Item", _xlfn.XLOOKUP($A4084, 'Instrument Table'!$J:$J, 'Instrument Table'!$B:$B, $C4083), IF($B4084 = "Service Item", _xlfn.XLOOKUP($A4084, 'Instrument Table'!$I:$I, 'Instrument Table'!$B:$B, $C4083), _xlfn.XLOOKUP($A4084, 'Instrument Table'!$H:$H, 'Instrument Table'!$B:$B, $C4083)))</f>
        <v>Upright Piano</v>
      </c>
      <c r="D4084" s="1" t="str">
        <f>VLOOKUP($C4084, 'Instrument Table'!$B:$C, 2, FALSE)</f>
        <v>Pianos</v>
      </c>
      <c r="E4084" s="1">
        <f t="shared" si="378"/>
        <v>2</v>
      </c>
      <c r="F4084" s="1">
        <f>_xlfn.XLOOKUP($C4084, 'Instrument Table'!$B:$B, 'Instrument Table'!$A:$A, "")</f>
        <v>11</v>
      </c>
      <c r="G4084" s="1" t="str">
        <f>TEXT(IF($B4084 = "Retail Item", IF((ROW($A4084) - 4504 - _xlfn.XMATCH($C4084, $C$4506:$C$5005, 0, 1)) &lt;= VLOOKUP($C4084, 'Instrument Table'!$B:$D, 3, FALSE), ROW($A4084) - 4504 - _xlfn.XMATCH($C4084, $C$4506:$C$5005, 0, 1), 0), 0), "00")</f>
        <v>00</v>
      </c>
      <c r="H4084" s="1" t="str">
        <f t="shared" si="379"/>
        <v>008</v>
      </c>
      <c r="I4084" s="1" t="str">
        <f t="shared" si="380"/>
        <v>21100-008</v>
      </c>
      <c r="J4084" s="1" t="str">
        <f t="shared" si="381"/>
        <v>Upright piano service item #008</v>
      </c>
      <c r="K4084" s="1" t="str">
        <f>IF(SUM(COUNTIFS(I:I, I4084)) &gt; 1, "DUPLICATE", "UNIQUE")</f>
        <v>UNIQUE</v>
      </c>
      <c r="L4084" s="18">
        <v>6</v>
      </c>
      <c r="M4084" s="28">
        <v>353</v>
      </c>
      <c r="N4084" s="6">
        <v>64</v>
      </c>
      <c r="O4084" s="30">
        <f t="shared" si="382"/>
        <v>2118</v>
      </c>
      <c r="P4084" s="30">
        <f t="shared" si="383"/>
        <v>22592</v>
      </c>
      <c r="Q4084" s="1">
        <f>COUNTIFS($P:$P, "&gt;" &amp; $P4084) + 1</f>
        <v>921</v>
      </c>
      <c r="R4084" s="63">
        <f>(COUNTIFS($P:$P, "&gt;" &amp; $P4084) + 1) / (COUNTA($I:$I) - 1)</f>
        <v>0.1842</v>
      </c>
      <c r="S4084" s="23">
        <f>SUMIFS($P:$P, $Q:$Q, "&lt;" &amp; $Q4084)</f>
        <v>164761512</v>
      </c>
    </row>
    <row r="4085" spans="1:19" x14ac:dyDescent="0.25">
      <c r="A4085" s="1">
        <v>4080</v>
      </c>
      <c r="B4085" s="1" t="s">
        <v>3</v>
      </c>
      <c r="C4085" s="1" t="str">
        <f>IF($B4085 = "Production Item", _xlfn.XLOOKUP($A4085, 'Instrument Table'!$J:$J, 'Instrument Table'!$B:$B, $C4084), IF($B4085 = "Service Item", _xlfn.XLOOKUP($A4085, 'Instrument Table'!$I:$I, 'Instrument Table'!$B:$B, $C4084), _xlfn.XLOOKUP($A4085, 'Instrument Table'!$H:$H, 'Instrument Table'!$B:$B, $C4084)))</f>
        <v>Upright Piano</v>
      </c>
      <c r="D4085" s="1" t="str">
        <f>VLOOKUP($C4085, 'Instrument Table'!$B:$C, 2, FALSE)</f>
        <v>Pianos</v>
      </c>
      <c r="E4085" s="1">
        <f t="shared" si="378"/>
        <v>2</v>
      </c>
      <c r="F4085" s="1">
        <f>_xlfn.XLOOKUP($C4085, 'Instrument Table'!$B:$B, 'Instrument Table'!$A:$A, "")</f>
        <v>11</v>
      </c>
      <c r="G4085" s="1" t="str">
        <f>TEXT(IF($B4085 = "Retail Item", IF((ROW($A4085) - 4504 - _xlfn.XMATCH($C4085, $C$4506:$C$5005, 0, 1)) &lt;= VLOOKUP($C4085, 'Instrument Table'!$B:$D, 3, FALSE), ROW($A4085) - 4504 - _xlfn.XMATCH($C4085, $C$4506:$C$5005, 0, 1), 0), 0), "00")</f>
        <v>00</v>
      </c>
      <c r="H4085" s="1" t="str">
        <f t="shared" si="379"/>
        <v>009</v>
      </c>
      <c r="I4085" s="1" t="str">
        <f t="shared" si="380"/>
        <v>21100-009</v>
      </c>
      <c r="J4085" s="1" t="str">
        <f t="shared" si="381"/>
        <v>Upright piano service item #009</v>
      </c>
      <c r="K4085" s="1" t="str">
        <f>IF(SUM(COUNTIFS(I:I, I4085)) &gt; 1, "DUPLICATE", "UNIQUE")</f>
        <v>UNIQUE</v>
      </c>
      <c r="L4085" s="18">
        <v>5</v>
      </c>
      <c r="M4085" s="28">
        <v>284</v>
      </c>
      <c r="N4085" s="6">
        <v>1</v>
      </c>
      <c r="O4085" s="30">
        <f t="shared" si="382"/>
        <v>1420</v>
      </c>
      <c r="P4085" s="30">
        <f t="shared" si="383"/>
        <v>284</v>
      </c>
      <c r="Q4085" s="1">
        <f>COUNTIFS($P:$P, "&gt;" &amp; $P4085) + 1</f>
        <v>4234</v>
      </c>
      <c r="R4085" s="63">
        <f>(COUNTIFS($P:$P, "&gt;" &amp; $P4085) + 1) / (COUNTA($I:$I) - 1)</f>
        <v>0.8468</v>
      </c>
      <c r="S4085" s="23">
        <f>SUMIFS($P:$P, $Q:$Q, "&lt;" &amp; $Q4085)</f>
        <v>186490637</v>
      </c>
    </row>
    <row r="4086" spans="1:19" x14ac:dyDescent="0.25">
      <c r="A4086" s="1">
        <v>4081</v>
      </c>
      <c r="B4086" s="1" t="s">
        <v>3</v>
      </c>
      <c r="C4086" s="1" t="str">
        <f>IF($B4086 = "Production Item", _xlfn.XLOOKUP($A4086, 'Instrument Table'!$J:$J, 'Instrument Table'!$B:$B, $C4085), IF($B4086 = "Service Item", _xlfn.XLOOKUP($A4086, 'Instrument Table'!$I:$I, 'Instrument Table'!$B:$B, $C4085), _xlfn.XLOOKUP($A4086, 'Instrument Table'!$H:$H, 'Instrument Table'!$B:$B, $C4085)))</f>
        <v>Upright Piano</v>
      </c>
      <c r="D4086" s="1" t="str">
        <f>VLOOKUP($C4086, 'Instrument Table'!$B:$C, 2, FALSE)</f>
        <v>Pianos</v>
      </c>
      <c r="E4086" s="1">
        <f t="shared" si="378"/>
        <v>2</v>
      </c>
      <c r="F4086" s="1">
        <f>_xlfn.XLOOKUP($C4086, 'Instrument Table'!$B:$B, 'Instrument Table'!$A:$A, "")</f>
        <v>11</v>
      </c>
      <c r="G4086" s="1" t="str">
        <f>TEXT(IF($B4086 = "Retail Item", IF((ROW($A4086) - 4504 - _xlfn.XMATCH($C4086, $C$4506:$C$5005, 0, 1)) &lt;= VLOOKUP($C4086, 'Instrument Table'!$B:$D, 3, FALSE), ROW($A4086) - 4504 - _xlfn.XMATCH($C4086, $C$4506:$C$5005, 0, 1), 0), 0), "00")</f>
        <v>00</v>
      </c>
      <c r="H4086" s="1" t="str">
        <f t="shared" si="379"/>
        <v>010</v>
      </c>
      <c r="I4086" s="1" t="str">
        <f t="shared" si="380"/>
        <v>21100-010</v>
      </c>
      <c r="J4086" s="1" t="str">
        <f t="shared" si="381"/>
        <v>Upright piano service item #010</v>
      </c>
      <c r="K4086" s="1" t="str">
        <f>IF(SUM(COUNTIFS(I:I, I4086)) &gt; 1, "DUPLICATE", "UNIQUE")</f>
        <v>UNIQUE</v>
      </c>
      <c r="L4086" s="18">
        <v>8</v>
      </c>
      <c r="M4086" s="28">
        <v>517</v>
      </c>
      <c r="N4086" s="6">
        <v>27</v>
      </c>
      <c r="O4086" s="30">
        <f t="shared" si="382"/>
        <v>4136</v>
      </c>
      <c r="P4086" s="30">
        <f t="shared" si="383"/>
        <v>13959</v>
      </c>
      <c r="Q4086" s="1">
        <f>COUNTIFS($P:$P, "&gt;" &amp; $P4086) + 1</f>
        <v>1425</v>
      </c>
      <c r="R4086" s="63">
        <f>(COUNTIFS($P:$P, "&gt;" &amp; $P4086) + 1) / (COUNTA($I:$I) - 1)</f>
        <v>0.28499999999999998</v>
      </c>
      <c r="S4086" s="23">
        <f>SUMIFS($P:$P, $Q:$Q, "&lt;" &amp; $Q4086)</f>
        <v>173828613</v>
      </c>
    </row>
    <row r="4087" spans="1:19" x14ac:dyDescent="0.25">
      <c r="A4087" s="1">
        <v>4082</v>
      </c>
      <c r="B4087" s="1" t="s">
        <v>3</v>
      </c>
      <c r="C4087" s="1" t="str">
        <f>IF($B4087 = "Production Item", _xlfn.XLOOKUP($A4087, 'Instrument Table'!$J:$J, 'Instrument Table'!$B:$B, $C4086), IF($B4087 = "Service Item", _xlfn.XLOOKUP($A4087, 'Instrument Table'!$I:$I, 'Instrument Table'!$B:$B, $C4086), _xlfn.XLOOKUP($A4087, 'Instrument Table'!$H:$H, 'Instrument Table'!$B:$B, $C4086)))</f>
        <v>Upright Piano</v>
      </c>
      <c r="D4087" s="1" t="str">
        <f>VLOOKUP($C4087, 'Instrument Table'!$B:$C, 2, FALSE)</f>
        <v>Pianos</v>
      </c>
      <c r="E4087" s="1">
        <f t="shared" si="378"/>
        <v>2</v>
      </c>
      <c r="F4087" s="1">
        <f>_xlfn.XLOOKUP($C4087, 'Instrument Table'!$B:$B, 'Instrument Table'!$A:$A, "")</f>
        <v>11</v>
      </c>
      <c r="G4087" s="1" t="str">
        <f>TEXT(IF($B4087 = "Retail Item", IF((ROW($A4087) - 4504 - _xlfn.XMATCH($C4087, $C$4506:$C$5005, 0, 1)) &lt;= VLOOKUP($C4087, 'Instrument Table'!$B:$D, 3, FALSE), ROW($A4087) - 4504 - _xlfn.XMATCH($C4087, $C$4506:$C$5005, 0, 1), 0), 0), "00")</f>
        <v>00</v>
      </c>
      <c r="H4087" s="1" t="str">
        <f t="shared" si="379"/>
        <v>011</v>
      </c>
      <c r="I4087" s="1" t="str">
        <f t="shared" si="380"/>
        <v>21100-011</v>
      </c>
      <c r="J4087" s="1" t="str">
        <f t="shared" si="381"/>
        <v>Upright piano service item #011</v>
      </c>
      <c r="K4087" s="1" t="str">
        <f>IF(SUM(COUNTIFS(I:I, I4087)) &gt; 1, "DUPLICATE", "UNIQUE")</f>
        <v>UNIQUE</v>
      </c>
      <c r="L4087" s="18">
        <v>1</v>
      </c>
      <c r="M4087" s="28">
        <v>715</v>
      </c>
      <c r="N4087" s="6">
        <v>1</v>
      </c>
      <c r="O4087" s="30">
        <f t="shared" si="382"/>
        <v>715</v>
      </c>
      <c r="P4087" s="30">
        <f t="shared" si="383"/>
        <v>715</v>
      </c>
      <c r="Q4087" s="1">
        <f>COUNTIFS($P:$P, "&gt;" &amp; $P4087) + 1</f>
        <v>3869</v>
      </c>
      <c r="R4087" s="63">
        <f>(COUNTIFS($P:$P, "&gt;" &amp; $P4087) + 1) / (COUNTA($I:$I) - 1)</f>
        <v>0.77380000000000004</v>
      </c>
      <c r="S4087" s="23">
        <f>SUMIFS($P:$P, $Q:$Q, "&lt;" &amp; $Q4087)</f>
        <v>186317292</v>
      </c>
    </row>
    <row r="4088" spans="1:19" x14ac:dyDescent="0.25">
      <c r="A4088" s="1">
        <v>4083</v>
      </c>
      <c r="B4088" s="1" t="s">
        <v>3</v>
      </c>
      <c r="C4088" s="1" t="str">
        <f>IF($B4088 = "Production Item", _xlfn.XLOOKUP($A4088, 'Instrument Table'!$J:$J, 'Instrument Table'!$B:$B, $C4087), IF($B4088 = "Service Item", _xlfn.XLOOKUP($A4088, 'Instrument Table'!$I:$I, 'Instrument Table'!$B:$B, $C4087), _xlfn.XLOOKUP($A4088, 'Instrument Table'!$H:$H, 'Instrument Table'!$B:$B, $C4087)))</f>
        <v>Upright Piano</v>
      </c>
      <c r="D4088" s="1" t="str">
        <f>VLOOKUP($C4088, 'Instrument Table'!$B:$C, 2, FALSE)</f>
        <v>Pianos</v>
      </c>
      <c r="E4088" s="1">
        <f t="shared" si="378"/>
        <v>2</v>
      </c>
      <c r="F4088" s="1">
        <f>_xlfn.XLOOKUP($C4088, 'Instrument Table'!$B:$B, 'Instrument Table'!$A:$A, "")</f>
        <v>11</v>
      </c>
      <c r="G4088" s="1" t="str">
        <f>TEXT(IF($B4088 = "Retail Item", IF((ROW($A4088) - 4504 - _xlfn.XMATCH($C4088, $C$4506:$C$5005, 0, 1)) &lt;= VLOOKUP($C4088, 'Instrument Table'!$B:$D, 3, FALSE), ROW($A4088) - 4504 - _xlfn.XMATCH($C4088, $C$4506:$C$5005, 0, 1), 0), 0), "00")</f>
        <v>00</v>
      </c>
      <c r="H4088" s="1" t="str">
        <f t="shared" si="379"/>
        <v>012</v>
      </c>
      <c r="I4088" s="1" t="str">
        <f t="shared" si="380"/>
        <v>21100-012</v>
      </c>
      <c r="J4088" s="1" t="str">
        <f t="shared" si="381"/>
        <v>Upright piano service item #012</v>
      </c>
      <c r="K4088" s="1" t="str">
        <f>IF(SUM(COUNTIFS(I:I, I4088)) &gt; 1, "DUPLICATE", "UNIQUE")</f>
        <v>UNIQUE</v>
      </c>
      <c r="L4088" s="18">
        <v>0</v>
      </c>
      <c r="M4088" s="28">
        <v>4</v>
      </c>
      <c r="N4088" s="6">
        <v>64</v>
      </c>
      <c r="O4088" s="30">
        <f t="shared" si="382"/>
        <v>0</v>
      </c>
      <c r="P4088" s="30">
        <f t="shared" si="383"/>
        <v>256</v>
      </c>
      <c r="Q4088" s="1">
        <f>COUNTIFS($P:$P, "&gt;" &amp; $P4088) + 1</f>
        <v>4259</v>
      </c>
      <c r="R4088" s="63">
        <f>(COUNTIFS($P:$P, "&gt;" &amp; $P4088) + 1) / (COUNTA($I:$I) - 1)</f>
        <v>0.8518</v>
      </c>
      <c r="S4088" s="23">
        <f>SUMIFS($P:$P, $Q:$Q, "&lt;" &amp; $Q4088)</f>
        <v>186497451</v>
      </c>
    </row>
    <row r="4089" spans="1:19" x14ac:dyDescent="0.25">
      <c r="A4089" s="1">
        <v>4084</v>
      </c>
      <c r="B4089" s="1" t="s">
        <v>3</v>
      </c>
      <c r="C4089" s="1" t="str">
        <f>IF($B4089 = "Production Item", _xlfn.XLOOKUP($A4089, 'Instrument Table'!$J:$J, 'Instrument Table'!$B:$B, $C4088), IF($B4089 = "Service Item", _xlfn.XLOOKUP($A4089, 'Instrument Table'!$I:$I, 'Instrument Table'!$B:$B, $C4088), _xlfn.XLOOKUP($A4089, 'Instrument Table'!$H:$H, 'Instrument Table'!$B:$B, $C4088)))</f>
        <v>Upright Piano</v>
      </c>
      <c r="D4089" s="1" t="str">
        <f>VLOOKUP($C4089, 'Instrument Table'!$B:$C, 2, FALSE)</f>
        <v>Pianos</v>
      </c>
      <c r="E4089" s="1">
        <f t="shared" si="378"/>
        <v>2</v>
      </c>
      <c r="F4089" s="1">
        <f>_xlfn.XLOOKUP($C4089, 'Instrument Table'!$B:$B, 'Instrument Table'!$A:$A, "")</f>
        <v>11</v>
      </c>
      <c r="G4089" s="1" t="str">
        <f>TEXT(IF($B4089 = "Retail Item", IF((ROW($A4089) - 4504 - _xlfn.XMATCH($C4089, $C$4506:$C$5005, 0, 1)) &lt;= VLOOKUP($C4089, 'Instrument Table'!$B:$D, 3, FALSE), ROW($A4089) - 4504 - _xlfn.XMATCH($C4089, $C$4506:$C$5005, 0, 1), 0), 0), "00")</f>
        <v>00</v>
      </c>
      <c r="H4089" s="1" t="str">
        <f t="shared" si="379"/>
        <v>013</v>
      </c>
      <c r="I4089" s="1" t="str">
        <f t="shared" si="380"/>
        <v>21100-013</v>
      </c>
      <c r="J4089" s="1" t="str">
        <f t="shared" si="381"/>
        <v>Upright piano service item #013</v>
      </c>
      <c r="K4089" s="1" t="str">
        <f>IF(SUM(COUNTIFS(I:I, I4089)) &gt; 1, "DUPLICATE", "UNIQUE")</f>
        <v>UNIQUE</v>
      </c>
      <c r="L4089" s="18">
        <v>10</v>
      </c>
      <c r="M4089" s="28">
        <v>10</v>
      </c>
      <c r="N4089" s="6">
        <v>0</v>
      </c>
      <c r="O4089" s="30">
        <f t="shared" si="382"/>
        <v>100</v>
      </c>
      <c r="P4089" s="30">
        <f t="shared" si="383"/>
        <v>0</v>
      </c>
      <c r="Q4089" s="1">
        <f>COUNTIFS($P:$P, "&gt;" &amp; $P4089) + 1</f>
        <v>4746</v>
      </c>
      <c r="R4089" s="63">
        <f>(COUNTIFS($P:$P, "&gt;" &amp; $P4089) + 1) / (COUNTA($I:$I) - 1)</f>
        <v>0.94920000000000004</v>
      </c>
      <c r="S4089" s="23">
        <f>SUMIFS($P:$P, $Q:$Q, "&lt;" &amp; $Q4089)</f>
        <v>186547861</v>
      </c>
    </row>
    <row r="4090" spans="1:19" x14ac:dyDescent="0.25">
      <c r="A4090" s="1">
        <v>4085</v>
      </c>
      <c r="B4090" s="1" t="s">
        <v>3</v>
      </c>
      <c r="C4090" s="1" t="str">
        <f>IF($B4090 = "Production Item", _xlfn.XLOOKUP($A4090, 'Instrument Table'!$J:$J, 'Instrument Table'!$B:$B, $C4089), IF($B4090 = "Service Item", _xlfn.XLOOKUP($A4090, 'Instrument Table'!$I:$I, 'Instrument Table'!$B:$B, $C4089), _xlfn.XLOOKUP($A4090, 'Instrument Table'!$H:$H, 'Instrument Table'!$B:$B, $C4089)))</f>
        <v>Upright Piano</v>
      </c>
      <c r="D4090" s="1" t="str">
        <f>VLOOKUP($C4090, 'Instrument Table'!$B:$C, 2, FALSE)</f>
        <v>Pianos</v>
      </c>
      <c r="E4090" s="1">
        <f t="shared" si="378"/>
        <v>2</v>
      </c>
      <c r="F4090" s="1">
        <f>_xlfn.XLOOKUP($C4090, 'Instrument Table'!$B:$B, 'Instrument Table'!$A:$A, "")</f>
        <v>11</v>
      </c>
      <c r="G4090" s="1" t="str">
        <f>TEXT(IF($B4090 = "Retail Item", IF((ROW($A4090) - 4504 - _xlfn.XMATCH($C4090, $C$4506:$C$5005, 0, 1)) &lt;= VLOOKUP($C4090, 'Instrument Table'!$B:$D, 3, FALSE), ROW($A4090) - 4504 - _xlfn.XMATCH($C4090, $C$4506:$C$5005, 0, 1), 0), 0), "00")</f>
        <v>00</v>
      </c>
      <c r="H4090" s="1" t="str">
        <f t="shared" si="379"/>
        <v>014</v>
      </c>
      <c r="I4090" s="1" t="str">
        <f t="shared" si="380"/>
        <v>21100-014</v>
      </c>
      <c r="J4090" s="1" t="str">
        <f t="shared" si="381"/>
        <v>Upright piano service item #014</v>
      </c>
      <c r="K4090" s="1" t="str">
        <f>IF(SUM(COUNTIFS(I:I, I4090)) &gt; 1, "DUPLICATE", "UNIQUE")</f>
        <v>UNIQUE</v>
      </c>
      <c r="L4090" s="18">
        <v>10</v>
      </c>
      <c r="M4090" s="28">
        <v>206</v>
      </c>
      <c r="N4090" s="6">
        <v>125</v>
      </c>
      <c r="O4090" s="30">
        <f t="shared" si="382"/>
        <v>2060</v>
      </c>
      <c r="P4090" s="30">
        <f t="shared" si="383"/>
        <v>25750</v>
      </c>
      <c r="Q4090" s="1">
        <f>COUNTIFS($P:$P, "&gt;" &amp; $P4090) + 1</f>
        <v>797</v>
      </c>
      <c r="R4090" s="63">
        <f>(COUNTIFS($P:$P, "&gt;" &amp; $P4090) + 1) / (COUNTA($I:$I) - 1)</f>
        <v>0.15939999999999999</v>
      </c>
      <c r="S4090" s="23">
        <f>SUMIFS($P:$P, $Q:$Q, "&lt;" &amp; $Q4090)</f>
        <v>161750570</v>
      </c>
    </row>
    <row r="4091" spans="1:19" x14ac:dyDescent="0.25">
      <c r="A4091" s="1">
        <v>4086</v>
      </c>
      <c r="B4091" s="1" t="s">
        <v>3</v>
      </c>
      <c r="C4091" s="1" t="str">
        <f>IF($B4091 = "Production Item", _xlfn.XLOOKUP($A4091, 'Instrument Table'!$J:$J, 'Instrument Table'!$B:$B, $C4090), IF($B4091 = "Service Item", _xlfn.XLOOKUP($A4091, 'Instrument Table'!$I:$I, 'Instrument Table'!$B:$B, $C4090), _xlfn.XLOOKUP($A4091, 'Instrument Table'!$H:$H, 'Instrument Table'!$B:$B, $C4090)))</f>
        <v>Upright Piano</v>
      </c>
      <c r="D4091" s="1" t="str">
        <f>VLOOKUP($C4091, 'Instrument Table'!$B:$C, 2, FALSE)</f>
        <v>Pianos</v>
      </c>
      <c r="E4091" s="1">
        <f t="shared" si="378"/>
        <v>2</v>
      </c>
      <c r="F4091" s="1">
        <f>_xlfn.XLOOKUP($C4091, 'Instrument Table'!$B:$B, 'Instrument Table'!$A:$A, "")</f>
        <v>11</v>
      </c>
      <c r="G4091" s="1" t="str">
        <f>TEXT(IF($B4091 = "Retail Item", IF((ROW($A4091) - 4504 - _xlfn.XMATCH($C4091, $C$4506:$C$5005, 0, 1)) &lt;= VLOOKUP($C4091, 'Instrument Table'!$B:$D, 3, FALSE), ROW($A4091) - 4504 - _xlfn.XMATCH($C4091, $C$4506:$C$5005, 0, 1), 0), 0), "00")</f>
        <v>00</v>
      </c>
      <c r="H4091" s="1" t="str">
        <f t="shared" si="379"/>
        <v>015</v>
      </c>
      <c r="I4091" s="1" t="str">
        <f t="shared" si="380"/>
        <v>21100-015</v>
      </c>
      <c r="J4091" s="1" t="str">
        <f t="shared" si="381"/>
        <v>Upright piano service item #015</v>
      </c>
      <c r="K4091" s="1" t="str">
        <f>IF(SUM(COUNTIFS(I:I, I4091)) &gt; 1, "DUPLICATE", "UNIQUE")</f>
        <v>UNIQUE</v>
      </c>
      <c r="L4091" s="18">
        <v>6</v>
      </c>
      <c r="M4091" s="28">
        <v>746</v>
      </c>
      <c r="N4091" s="6">
        <v>8</v>
      </c>
      <c r="O4091" s="30">
        <f t="shared" si="382"/>
        <v>4476</v>
      </c>
      <c r="P4091" s="30">
        <f t="shared" si="383"/>
        <v>5968</v>
      </c>
      <c r="Q4091" s="1">
        <f>COUNTIFS($P:$P, "&gt;" &amp; $P4091) + 1</f>
        <v>2274</v>
      </c>
      <c r="R4091" s="63">
        <f>(COUNTIFS($P:$P, "&gt;" &amp; $P4091) + 1) / (COUNTA($I:$I) - 1)</f>
        <v>0.45479999999999998</v>
      </c>
      <c r="S4091" s="23">
        <f>SUMIFS($P:$P, $Q:$Q, "&lt;" &amp; $Q4091)</f>
        <v>181911834</v>
      </c>
    </row>
    <row r="4092" spans="1:19" x14ac:dyDescent="0.25">
      <c r="A4092" s="1">
        <v>4087</v>
      </c>
      <c r="B4092" s="1" t="s">
        <v>3</v>
      </c>
      <c r="C4092" s="1" t="str">
        <f>IF($B4092 = "Production Item", _xlfn.XLOOKUP($A4092, 'Instrument Table'!$J:$J, 'Instrument Table'!$B:$B, $C4091), IF($B4092 = "Service Item", _xlfn.XLOOKUP($A4092, 'Instrument Table'!$I:$I, 'Instrument Table'!$B:$B, $C4091), _xlfn.XLOOKUP($A4092, 'Instrument Table'!$H:$H, 'Instrument Table'!$B:$B, $C4091)))</f>
        <v>Upright Piano</v>
      </c>
      <c r="D4092" s="1" t="str">
        <f>VLOOKUP($C4092, 'Instrument Table'!$B:$C, 2, FALSE)</f>
        <v>Pianos</v>
      </c>
      <c r="E4092" s="1">
        <f t="shared" si="378"/>
        <v>2</v>
      </c>
      <c r="F4092" s="1">
        <f>_xlfn.XLOOKUP($C4092, 'Instrument Table'!$B:$B, 'Instrument Table'!$A:$A, "")</f>
        <v>11</v>
      </c>
      <c r="G4092" s="1" t="str">
        <f>TEXT(IF($B4092 = "Retail Item", IF((ROW($A4092) - 4504 - _xlfn.XMATCH($C4092, $C$4506:$C$5005, 0, 1)) &lt;= VLOOKUP($C4092, 'Instrument Table'!$B:$D, 3, FALSE), ROW($A4092) - 4504 - _xlfn.XMATCH($C4092, $C$4506:$C$5005, 0, 1), 0), 0), "00")</f>
        <v>00</v>
      </c>
      <c r="H4092" s="1" t="str">
        <f t="shared" si="379"/>
        <v>016</v>
      </c>
      <c r="I4092" s="1" t="str">
        <f t="shared" si="380"/>
        <v>21100-016</v>
      </c>
      <c r="J4092" s="1" t="str">
        <f t="shared" si="381"/>
        <v>Upright piano service item #016</v>
      </c>
      <c r="K4092" s="1" t="str">
        <f>IF(SUM(COUNTIFS(I:I, I4092)) &gt; 1, "DUPLICATE", "UNIQUE")</f>
        <v>UNIQUE</v>
      </c>
      <c r="L4092" s="18">
        <v>4</v>
      </c>
      <c r="M4092" s="28">
        <v>55</v>
      </c>
      <c r="N4092" s="6">
        <v>125</v>
      </c>
      <c r="O4092" s="30">
        <f t="shared" si="382"/>
        <v>220</v>
      </c>
      <c r="P4092" s="30">
        <f t="shared" si="383"/>
        <v>6875</v>
      </c>
      <c r="Q4092" s="1">
        <f>COUNTIFS($P:$P, "&gt;" &amp; $P4092) + 1</f>
        <v>2154</v>
      </c>
      <c r="R4092" s="63">
        <f>(COUNTIFS($P:$P, "&gt;" &amp; $P4092) + 1) / (COUNTA($I:$I) - 1)</f>
        <v>0.43080000000000002</v>
      </c>
      <c r="S4092" s="23">
        <f>SUMIFS($P:$P, $Q:$Q, "&lt;" &amp; $Q4092)</f>
        <v>181141254</v>
      </c>
    </row>
    <row r="4093" spans="1:19" x14ac:dyDescent="0.25">
      <c r="A4093" s="1">
        <v>4088</v>
      </c>
      <c r="B4093" s="1" t="s">
        <v>3</v>
      </c>
      <c r="C4093" s="1" t="str">
        <f>IF($B4093 = "Production Item", _xlfn.XLOOKUP($A4093, 'Instrument Table'!$J:$J, 'Instrument Table'!$B:$B, $C4092), IF($B4093 = "Service Item", _xlfn.XLOOKUP($A4093, 'Instrument Table'!$I:$I, 'Instrument Table'!$B:$B, $C4092), _xlfn.XLOOKUP($A4093, 'Instrument Table'!$H:$H, 'Instrument Table'!$B:$B, $C4092)))</f>
        <v>Upright Piano</v>
      </c>
      <c r="D4093" s="1" t="str">
        <f>VLOOKUP($C4093, 'Instrument Table'!$B:$C, 2, FALSE)</f>
        <v>Pianos</v>
      </c>
      <c r="E4093" s="1">
        <f t="shared" si="378"/>
        <v>2</v>
      </c>
      <c r="F4093" s="1">
        <f>_xlfn.XLOOKUP($C4093, 'Instrument Table'!$B:$B, 'Instrument Table'!$A:$A, "")</f>
        <v>11</v>
      </c>
      <c r="G4093" s="1" t="str">
        <f>TEXT(IF($B4093 = "Retail Item", IF((ROW($A4093) - 4504 - _xlfn.XMATCH($C4093, $C$4506:$C$5005, 0, 1)) &lt;= VLOOKUP($C4093, 'Instrument Table'!$B:$D, 3, FALSE), ROW($A4093) - 4504 - _xlfn.XMATCH($C4093, $C$4506:$C$5005, 0, 1), 0), 0), "00")</f>
        <v>00</v>
      </c>
      <c r="H4093" s="1" t="str">
        <f t="shared" si="379"/>
        <v>017</v>
      </c>
      <c r="I4093" s="1" t="str">
        <f t="shared" si="380"/>
        <v>21100-017</v>
      </c>
      <c r="J4093" s="1" t="str">
        <f t="shared" si="381"/>
        <v>Upright piano service item #017</v>
      </c>
      <c r="K4093" s="1" t="str">
        <f>IF(SUM(COUNTIFS(I:I, I4093)) &gt; 1, "DUPLICATE", "UNIQUE")</f>
        <v>UNIQUE</v>
      </c>
      <c r="L4093" s="18">
        <v>3</v>
      </c>
      <c r="M4093" s="28">
        <v>58</v>
      </c>
      <c r="N4093" s="6">
        <v>27</v>
      </c>
      <c r="O4093" s="30">
        <f t="shared" si="382"/>
        <v>174</v>
      </c>
      <c r="P4093" s="30">
        <f t="shared" si="383"/>
        <v>1566</v>
      </c>
      <c r="Q4093" s="1">
        <f>COUNTIFS($P:$P, "&gt;" &amp; $P4093) + 1</f>
        <v>3439</v>
      </c>
      <c r="R4093" s="63">
        <f>(COUNTIFS($P:$P, "&gt;" &amp; $P4093) + 1) / (COUNTA($I:$I) - 1)</f>
        <v>0.68779999999999997</v>
      </c>
      <c r="S4093" s="23">
        <f>SUMIFS($P:$P, $Q:$Q, "&lt;" &amp; $Q4093)</f>
        <v>185846861</v>
      </c>
    </row>
    <row r="4094" spans="1:19" x14ac:dyDescent="0.25">
      <c r="A4094" s="1">
        <v>4089</v>
      </c>
      <c r="B4094" s="1" t="s">
        <v>3</v>
      </c>
      <c r="C4094" s="1" t="str">
        <f>IF($B4094 = "Production Item", _xlfn.XLOOKUP($A4094, 'Instrument Table'!$J:$J, 'Instrument Table'!$B:$B, $C4093), IF($B4094 = "Service Item", _xlfn.XLOOKUP($A4094, 'Instrument Table'!$I:$I, 'Instrument Table'!$B:$B, $C4093), _xlfn.XLOOKUP($A4094, 'Instrument Table'!$H:$H, 'Instrument Table'!$B:$B, $C4093)))</f>
        <v>Upright Piano</v>
      </c>
      <c r="D4094" s="1" t="str">
        <f>VLOOKUP($C4094, 'Instrument Table'!$B:$C, 2, FALSE)</f>
        <v>Pianos</v>
      </c>
      <c r="E4094" s="1">
        <f t="shared" si="378"/>
        <v>2</v>
      </c>
      <c r="F4094" s="1">
        <f>_xlfn.XLOOKUP($C4094, 'Instrument Table'!$B:$B, 'Instrument Table'!$A:$A, "")</f>
        <v>11</v>
      </c>
      <c r="G4094" s="1" t="str">
        <f>TEXT(IF($B4094 = "Retail Item", IF((ROW($A4094) - 4504 - _xlfn.XMATCH($C4094, $C$4506:$C$5005, 0, 1)) &lt;= VLOOKUP($C4094, 'Instrument Table'!$B:$D, 3, FALSE), ROW($A4094) - 4504 - _xlfn.XMATCH($C4094, $C$4506:$C$5005, 0, 1), 0), 0), "00")</f>
        <v>00</v>
      </c>
      <c r="H4094" s="1" t="str">
        <f t="shared" si="379"/>
        <v>018</v>
      </c>
      <c r="I4094" s="1" t="str">
        <f t="shared" si="380"/>
        <v>21100-018</v>
      </c>
      <c r="J4094" s="1" t="str">
        <f t="shared" si="381"/>
        <v>Upright piano service item #018</v>
      </c>
      <c r="K4094" s="1" t="str">
        <f>IF(SUM(COUNTIFS(I:I, I4094)) &gt; 1, "DUPLICATE", "UNIQUE")</f>
        <v>UNIQUE</v>
      </c>
      <c r="L4094" s="18">
        <v>7</v>
      </c>
      <c r="M4094" s="28">
        <v>263</v>
      </c>
      <c r="N4094" s="6">
        <v>1</v>
      </c>
      <c r="O4094" s="30">
        <f t="shared" si="382"/>
        <v>1841</v>
      </c>
      <c r="P4094" s="30">
        <f t="shared" si="383"/>
        <v>263</v>
      </c>
      <c r="Q4094" s="1">
        <f>COUNTIFS($P:$P, "&gt;" &amp; $P4094) + 1</f>
        <v>4253</v>
      </c>
      <c r="R4094" s="63">
        <f>(COUNTIFS($P:$P, "&gt;" &amp; $P4094) + 1) / (COUNTA($I:$I) - 1)</f>
        <v>0.85060000000000002</v>
      </c>
      <c r="S4094" s="23">
        <f>SUMIFS($P:$P, $Q:$Q, "&lt;" &amp; $Q4094)</f>
        <v>186495886</v>
      </c>
    </row>
    <row r="4095" spans="1:19" x14ac:dyDescent="0.25">
      <c r="A4095" s="1">
        <v>4090</v>
      </c>
      <c r="B4095" s="1" t="s">
        <v>3</v>
      </c>
      <c r="C4095" s="1" t="str">
        <f>IF($B4095 = "Production Item", _xlfn.XLOOKUP($A4095, 'Instrument Table'!$J:$J, 'Instrument Table'!$B:$B, $C4094), IF($B4095 = "Service Item", _xlfn.XLOOKUP($A4095, 'Instrument Table'!$I:$I, 'Instrument Table'!$B:$B, $C4094), _xlfn.XLOOKUP($A4095, 'Instrument Table'!$H:$H, 'Instrument Table'!$B:$B, $C4094)))</f>
        <v>Upright Piano</v>
      </c>
      <c r="D4095" s="1" t="str">
        <f>VLOOKUP($C4095, 'Instrument Table'!$B:$C, 2, FALSE)</f>
        <v>Pianos</v>
      </c>
      <c r="E4095" s="1">
        <f t="shared" si="378"/>
        <v>2</v>
      </c>
      <c r="F4095" s="1">
        <f>_xlfn.XLOOKUP($C4095, 'Instrument Table'!$B:$B, 'Instrument Table'!$A:$A, "")</f>
        <v>11</v>
      </c>
      <c r="G4095" s="1" t="str">
        <f>TEXT(IF($B4095 = "Retail Item", IF((ROW($A4095) - 4504 - _xlfn.XMATCH($C4095, $C$4506:$C$5005, 0, 1)) &lt;= VLOOKUP($C4095, 'Instrument Table'!$B:$D, 3, FALSE), ROW($A4095) - 4504 - _xlfn.XMATCH($C4095, $C$4506:$C$5005, 0, 1), 0), 0), "00")</f>
        <v>00</v>
      </c>
      <c r="H4095" s="1" t="str">
        <f t="shared" si="379"/>
        <v>019</v>
      </c>
      <c r="I4095" s="1" t="str">
        <f t="shared" si="380"/>
        <v>21100-019</v>
      </c>
      <c r="J4095" s="1" t="str">
        <f t="shared" si="381"/>
        <v>Upright piano service item #019</v>
      </c>
      <c r="K4095" s="1" t="str">
        <f>IF(SUM(COUNTIFS(I:I, I4095)) &gt; 1, "DUPLICATE", "UNIQUE")</f>
        <v>UNIQUE</v>
      </c>
      <c r="L4095" s="18">
        <v>10</v>
      </c>
      <c r="M4095" s="28">
        <v>729</v>
      </c>
      <c r="N4095" s="6">
        <v>0</v>
      </c>
      <c r="O4095" s="30">
        <f t="shared" si="382"/>
        <v>7290</v>
      </c>
      <c r="P4095" s="30">
        <f t="shared" si="383"/>
        <v>0</v>
      </c>
      <c r="Q4095" s="1">
        <f>COUNTIFS($P:$P, "&gt;" &amp; $P4095) + 1</f>
        <v>4746</v>
      </c>
      <c r="R4095" s="63">
        <f>(COUNTIFS($P:$P, "&gt;" &amp; $P4095) + 1) / (COUNTA($I:$I) - 1)</f>
        <v>0.94920000000000004</v>
      </c>
      <c r="S4095" s="23">
        <f>SUMIFS($P:$P, $Q:$Q, "&lt;" &amp; $Q4095)</f>
        <v>186547861</v>
      </c>
    </row>
    <row r="4096" spans="1:19" x14ac:dyDescent="0.25">
      <c r="A4096" s="1">
        <v>4091</v>
      </c>
      <c r="B4096" s="1" t="s">
        <v>3</v>
      </c>
      <c r="C4096" s="1" t="str">
        <f>IF($B4096 = "Production Item", _xlfn.XLOOKUP($A4096, 'Instrument Table'!$J:$J, 'Instrument Table'!$B:$B, $C4095), IF($B4096 = "Service Item", _xlfn.XLOOKUP($A4096, 'Instrument Table'!$I:$I, 'Instrument Table'!$B:$B, $C4095), _xlfn.XLOOKUP($A4096, 'Instrument Table'!$H:$H, 'Instrument Table'!$B:$B, $C4095)))</f>
        <v>Upright Piano</v>
      </c>
      <c r="D4096" s="1" t="str">
        <f>VLOOKUP($C4096, 'Instrument Table'!$B:$C, 2, FALSE)</f>
        <v>Pianos</v>
      </c>
      <c r="E4096" s="1">
        <f t="shared" si="378"/>
        <v>2</v>
      </c>
      <c r="F4096" s="1">
        <f>_xlfn.XLOOKUP($C4096, 'Instrument Table'!$B:$B, 'Instrument Table'!$A:$A, "")</f>
        <v>11</v>
      </c>
      <c r="G4096" s="1" t="str">
        <f>TEXT(IF($B4096 = "Retail Item", IF((ROW($A4096) - 4504 - _xlfn.XMATCH($C4096, $C$4506:$C$5005, 0, 1)) &lt;= VLOOKUP($C4096, 'Instrument Table'!$B:$D, 3, FALSE), ROW($A4096) - 4504 - _xlfn.XMATCH($C4096, $C$4506:$C$5005, 0, 1), 0), 0), "00")</f>
        <v>00</v>
      </c>
      <c r="H4096" s="1" t="str">
        <f t="shared" si="379"/>
        <v>020</v>
      </c>
      <c r="I4096" s="1" t="str">
        <f t="shared" si="380"/>
        <v>21100-020</v>
      </c>
      <c r="J4096" s="1" t="str">
        <f t="shared" si="381"/>
        <v>Upright piano service item #020</v>
      </c>
      <c r="K4096" s="1" t="str">
        <f>IF(SUM(COUNTIFS(I:I, I4096)) &gt; 1, "DUPLICATE", "UNIQUE")</f>
        <v>UNIQUE</v>
      </c>
      <c r="L4096" s="18">
        <v>9</v>
      </c>
      <c r="M4096" s="28">
        <v>582</v>
      </c>
      <c r="N4096" s="6">
        <v>64</v>
      </c>
      <c r="O4096" s="30">
        <f t="shared" si="382"/>
        <v>5238</v>
      </c>
      <c r="P4096" s="30">
        <f t="shared" si="383"/>
        <v>37248</v>
      </c>
      <c r="Q4096" s="1">
        <f>COUNTIFS($P:$P, "&gt;" &amp; $P4096) + 1</f>
        <v>580</v>
      </c>
      <c r="R4096" s="63">
        <f>(COUNTIFS($P:$P, "&gt;" &amp; $P4096) + 1) / (COUNTA($I:$I) - 1)</f>
        <v>0.11600000000000001</v>
      </c>
      <c r="S4096" s="23">
        <f>SUMIFS($P:$P, $Q:$Q, "&lt;" &amp; $Q4096)</f>
        <v>155146725</v>
      </c>
    </row>
    <row r="4097" spans="1:19" x14ac:dyDescent="0.25">
      <c r="A4097" s="1">
        <v>4092</v>
      </c>
      <c r="B4097" s="1" t="s">
        <v>3</v>
      </c>
      <c r="C4097" s="1" t="str">
        <f>IF($B4097 = "Production Item", _xlfn.XLOOKUP($A4097, 'Instrument Table'!$J:$J, 'Instrument Table'!$B:$B, $C4096), IF($B4097 = "Service Item", _xlfn.XLOOKUP($A4097, 'Instrument Table'!$I:$I, 'Instrument Table'!$B:$B, $C4096), _xlfn.XLOOKUP($A4097, 'Instrument Table'!$H:$H, 'Instrument Table'!$B:$B, $C4096)))</f>
        <v>Upright Piano</v>
      </c>
      <c r="D4097" s="1" t="str">
        <f>VLOOKUP($C4097, 'Instrument Table'!$B:$C, 2, FALSE)</f>
        <v>Pianos</v>
      </c>
      <c r="E4097" s="1">
        <f t="shared" si="378"/>
        <v>2</v>
      </c>
      <c r="F4097" s="1">
        <f>_xlfn.XLOOKUP($C4097, 'Instrument Table'!$B:$B, 'Instrument Table'!$A:$A, "")</f>
        <v>11</v>
      </c>
      <c r="G4097" s="1" t="str">
        <f>TEXT(IF($B4097 = "Retail Item", IF((ROW($A4097) - 4504 - _xlfn.XMATCH($C4097, $C$4506:$C$5005, 0, 1)) &lt;= VLOOKUP($C4097, 'Instrument Table'!$B:$D, 3, FALSE), ROW($A4097) - 4504 - _xlfn.XMATCH($C4097, $C$4506:$C$5005, 0, 1), 0), 0), "00")</f>
        <v>00</v>
      </c>
      <c r="H4097" s="1" t="str">
        <f t="shared" si="379"/>
        <v>021</v>
      </c>
      <c r="I4097" s="1" t="str">
        <f t="shared" si="380"/>
        <v>21100-021</v>
      </c>
      <c r="J4097" s="1" t="str">
        <f t="shared" si="381"/>
        <v>Upright piano service item #021</v>
      </c>
      <c r="K4097" s="1" t="str">
        <f>IF(SUM(COUNTIFS(I:I, I4097)) &gt; 1, "DUPLICATE", "UNIQUE")</f>
        <v>UNIQUE</v>
      </c>
      <c r="L4097" s="18">
        <v>1</v>
      </c>
      <c r="M4097" s="28">
        <v>691</v>
      </c>
      <c r="N4097" s="6">
        <v>125</v>
      </c>
      <c r="O4097" s="30">
        <f t="shared" si="382"/>
        <v>691</v>
      </c>
      <c r="P4097" s="30">
        <f t="shared" si="383"/>
        <v>86375</v>
      </c>
      <c r="Q4097" s="1">
        <f>COUNTIFS($P:$P, "&gt;" &amp; $P4097) + 1</f>
        <v>435</v>
      </c>
      <c r="R4097" s="63">
        <f>(COUNTIFS($P:$P, "&gt;" &amp; $P4097) + 1) / (COUNTA($I:$I) - 1)</f>
        <v>8.6999999999999994E-2</v>
      </c>
      <c r="S4097" s="23">
        <f>SUMIFS($P:$P, $Q:$Q, "&lt;" &amp; $Q4097)</f>
        <v>146779668</v>
      </c>
    </row>
    <row r="4098" spans="1:19" x14ac:dyDescent="0.25">
      <c r="A4098" s="1">
        <v>4093</v>
      </c>
      <c r="B4098" s="1" t="s">
        <v>3</v>
      </c>
      <c r="C4098" s="1" t="str">
        <f>IF($B4098 = "Production Item", _xlfn.XLOOKUP($A4098, 'Instrument Table'!$J:$J, 'Instrument Table'!$B:$B, $C4097), IF($B4098 = "Service Item", _xlfn.XLOOKUP($A4098, 'Instrument Table'!$I:$I, 'Instrument Table'!$B:$B, $C4097), _xlfn.XLOOKUP($A4098, 'Instrument Table'!$H:$H, 'Instrument Table'!$B:$B, $C4097)))</f>
        <v>Upright Piano</v>
      </c>
      <c r="D4098" s="1" t="str">
        <f>VLOOKUP($C4098, 'Instrument Table'!$B:$C, 2, FALSE)</f>
        <v>Pianos</v>
      </c>
      <c r="E4098" s="1">
        <f t="shared" si="378"/>
        <v>2</v>
      </c>
      <c r="F4098" s="1">
        <f>_xlfn.XLOOKUP($C4098, 'Instrument Table'!$B:$B, 'Instrument Table'!$A:$A, "")</f>
        <v>11</v>
      </c>
      <c r="G4098" s="1" t="str">
        <f>TEXT(IF($B4098 = "Retail Item", IF((ROW($A4098) - 4504 - _xlfn.XMATCH($C4098, $C$4506:$C$5005, 0, 1)) &lt;= VLOOKUP($C4098, 'Instrument Table'!$B:$D, 3, FALSE), ROW($A4098) - 4504 - _xlfn.XMATCH($C4098, $C$4506:$C$5005, 0, 1), 0), 0), "00")</f>
        <v>00</v>
      </c>
      <c r="H4098" s="1" t="str">
        <f t="shared" si="379"/>
        <v>022</v>
      </c>
      <c r="I4098" s="1" t="str">
        <f t="shared" si="380"/>
        <v>21100-022</v>
      </c>
      <c r="J4098" s="1" t="str">
        <f t="shared" si="381"/>
        <v>Upright piano service item #022</v>
      </c>
      <c r="K4098" s="1" t="str">
        <f>IF(SUM(COUNTIFS(I:I, I4098)) &gt; 1, "DUPLICATE", "UNIQUE")</f>
        <v>UNIQUE</v>
      </c>
      <c r="L4098" s="18">
        <v>2</v>
      </c>
      <c r="M4098" s="28">
        <v>845</v>
      </c>
      <c r="N4098" s="6">
        <v>0</v>
      </c>
      <c r="O4098" s="30">
        <f t="shared" si="382"/>
        <v>1690</v>
      </c>
      <c r="P4098" s="30">
        <f t="shared" si="383"/>
        <v>0</v>
      </c>
      <c r="Q4098" s="1">
        <f>COUNTIFS($P:$P, "&gt;" &amp; $P4098) + 1</f>
        <v>4746</v>
      </c>
      <c r="R4098" s="63">
        <f>(COUNTIFS($P:$P, "&gt;" &amp; $P4098) + 1) / (COUNTA($I:$I) - 1)</f>
        <v>0.94920000000000004</v>
      </c>
      <c r="S4098" s="23">
        <f>SUMIFS($P:$P, $Q:$Q, "&lt;" &amp; $Q4098)</f>
        <v>186547861</v>
      </c>
    </row>
    <row r="4099" spans="1:19" x14ac:dyDescent="0.25">
      <c r="A4099" s="1">
        <v>4094</v>
      </c>
      <c r="B4099" s="1" t="s">
        <v>3</v>
      </c>
      <c r="C4099" s="1" t="str">
        <f>IF($B4099 = "Production Item", _xlfn.XLOOKUP($A4099, 'Instrument Table'!$J:$J, 'Instrument Table'!$B:$B, $C4098), IF($B4099 = "Service Item", _xlfn.XLOOKUP($A4099, 'Instrument Table'!$I:$I, 'Instrument Table'!$B:$B, $C4098), _xlfn.XLOOKUP($A4099, 'Instrument Table'!$H:$H, 'Instrument Table'!$B:$B, $C4098)))</f>
        <v>Upright Piano</v>
      </c>
      <c r="D4099" s="1" t="str">
        <f>VLOOKUP($C4099, 'Instrument Table'!$B:$C, 2, FALSE)</f>
        <v>Pianos</v>
      </c>
      <c r="E4099" s="1">
        <f t="shared" si="378"/>
        <v>2</v>
      </c>
      <c r="F4099" s="1">
        <f>_xlfn.XLOOKUP($C4099, 'Instrument Table'!$B:$B, 'Instrument Table'!$A:$A, "")</f>
        <v>11</v>
      </c>
      <c r="G4099" s="1" t="str">
        <f>TEXT(IF($B4099 = "Retail Item", IF((ROW($A4099) - 4504 - _xlfn.XMATCH($C4099, $C$4506:$C$5005, 0, 1)) &lt;= VLOOKUP($C4099, 'Instrument Table'!$B:$D, 3, FALSE), ROW($A4099) - 4504 - _xlfn.XMATCH($C4099, $C$4506:$C$5005, 0, 1), 0), 0), "00")</f>
        <v>00</v>
      </c>
      <c r="H4099" s="1" t="str">
        <f t="shared" si="379"/>
        <v>023</v>
      </c>
      <c r="I4099" s="1" t="str">
        <f t="shared" si="380"/>
        <v>21100-023</v>
      </c>
      <c r="J4099" s="1" t="str">
        <f t="shared" si="381"/>
        <v>Upright piano service item #023</v>
      </c>
      <c r="K4099" s="1" t="str">
        <f>IF(SUM(COUNTIFS(I:I, I4099)) &gt; 1, "DUPLICATE", "UNIQUE")</f>
        <v>UNIQUE</v>
      </c>
      <c r="L4099" s="18">
        <v>7</v>
      </c>
      <c r="M4099" s="28">
        <v>775</v>
      </c>
      <c r="N4099" s="6">
        <v>0</v>
      </c>
      <c r="O4099" s="30">
        <f t="shared" si="382"/>
        <v>5425</v>
      </c>
      <c r="P4099" s="30">
        <f t="shared" si="383"/>
        <v>0</v>
      </c>
      <c r="Q4099" s="1">
        <f>COUNTIFS($P:$P, "&gt;" &amp; $P4099) + 1</f>
        <v>4746</v>
      </c>
      <c r="R4099" s="63">
        <f>(COUNTIFS($P:$P, "&gt;" &amp; $P4099) + 1) / (COUNTA($I:$I) - 1)</f>
        <v>0.94920000000000004</v>
      </c>
      <c r="S4099" s="23">
        <f>SUMIFS($P:$P, $Q:$Q, "&lt;" &amp; $Q4099)</f>
        <v>186547861</v>
      </c>
    </row>
    <row r="4100" spans="1:19" x14ac:dyDescent="0.25">
      <c r="A4100" s="1">
        <v>4095</v>
      </c>
      <c r="B4100" s="1" t="s">
        <v>3</v>
      </c>
      <c r="C4100" s="1" t="str">
        <f>IF($B4100 = "Production Item", _xlfn.XLOOKUP($A4100, 'Instrument Table'!$J:$J, 'Instrument Table'!$B:$B, $C4099), IF($B4100 = "Service Item", _xlfn.XLOOKUP($A4100, 'Instrument Table'!$I:$I, 'Instrument Table'!$B:$B, $C4099), _xlfn.XLOOKUP($A4100, 'Instrument Table'!$H:$H, 'Instrument Table'!$B:$B, $C4099)))</f>
        <v>Upright Piano</v>
      </c>
      <c r="D4100" s="1" t="str">
        <f>VLOOKUP($C4100, 'Instrument Table'!$B:$C, 2, FALSE)</f>
        <v>Pianos</v>
      </c>
      <c r="E4100" s="1">
        <f t="shared" si="378"/>
        <v>2</v>
      </c>
      <c r="F4100" s="1">
        <f>_xlfn.XLOOKUP($C4100, 'Instrument Table'!$B:$B, 'Instrument Table'!$A:$A, "")</f>
        <v>11</v>
      </c>
      <c r="G4100" s="1" t="str">
        <f>TEXT(IF($B4100 = "Retail Item", IF((ROW($A4100) - 4504 - _xlfn.XMATCH($C4100, $C$4506:$C$5005, 0, 1)) &lt;= VLOOKUP($C4100, 'Instrument Table'!$B:$D, 3, FALSE), ROW($A4100) - 4504 - _xlfn.XMATCH($C4100, $C$4506:$C$5005, 0, 1), 0), 0), "00")</f>
        <v>00</v>
      </c>
      <c r="H4100" s="1" t="str">
        <f t="shared" si="379"/>
        <v>024</v>
      </c>
      <c r="I4100" s="1" t="str">
        <f t="shared" si="380"/>
        <v>21100-024</v>
      </c>
      <c r="J4100" s="1" t="str">
        <f t="shared" si="381"/>
        <v>Upright piano service item #024</v>
      </c>
      <c r="K4100" s="1" t="str">
        <f>IF(SUM(COUNTIFS(I:I, I4100)) &gt; 1, "DUPLICATE", "UNIQUE")</f>
        <v>UNIQUE</v>
      </c>
      <c r="L4100" s="18">
        <v>2</v>
      </c>
      <c r="M4100" s="28">
        <v>69</v>
      </c>
      <c r="N4100" s="6">
        <v>64</v>
      </c>
      <c r="O4100" s="30">
        <f t="shared" si="382"/>
        <v>138</v>
      </c>
      <c r="P4100" s="30">
        <f t="shared" si="383"/>
        <v>4416</v>
      </c>
      <c r="Q4100" s="1">
        <f>COUNTIFS($P:$P, "&gt;" &amp; $P4100) + 1</f>
        <v>2563</v>
      </c>
      <c r="R4100" s="63">
        <f>(COUNTIFS($P:$P, "&gt;" &amp; $P4100) + 1) / (COUNTA($I:$I) - 1)</f>
        <v>0.51259999999999994</v>
      </c>
      <c r="S4100" s="23">
        <f>SUMIFS($P:$P, $Q:$Q, "&lt;" &amp; $Q4100)</f>
        <v>183403028</v>
      </c>
    </row>
    <row r="4101" spans="1:19" x14ac:dyDescent="0.25">
      <c r="A4101" s="1">
        <v>4096</v>
      </c>
      <c r="B4101" s="1" t="s">
        <v>3</v>
      </c>
      <c r="C4101" s="1" t="str">
        <f>IF($B4101 = "Production Item", _xlfn.XLOOKUP($A4101, 'Instrument Table'!$J:$J, 'Instrument Table'!$B:$B, $C4100), IF($B4101 = "Service Item", _xlfn.XLOOKUP($A4101, 'Instrument Table'!$I:$I, 'Instrument Table'!$B:$B, $C4100), _xlfn.XLOOKUP($A4101, 'Instrument Table'!$H:$H, 'Instrument Table'!$B:$B, $C4100)))</f>
        <v>Upright Piano</v>
      </c>
      <c r="D4101" s="1" t="str">
        <f>VLOOKUP($C4101, 'Instrument Table'!$B:$C, 2, FALSE)</f>
        <v>Pianos</v>
      </c>
      <c r="E4101" s="1">
        <f t="shared" si="378"/>
        <v>2</v>
      </c>
      <c r="F4101" s="1">
        <f>_xlfn.XLOOKUP($C4101, 'Instrument Table'!$B:$B, 'Instrument Table'!$A:$A, "")</f>
        <v>11</v>
      </c>
      <c r="G4101" s="1" t="str">
        <f>TEXT(IF($B4101 = "Retail Item", IF((ROW($A4101) - 4504 - _xlfn.XMATCH($C4101, $C$4506:$C$5005, 0, 1)) &lt;= VLOOKUP($C4101, 'Instrument Table'!$B:$D, 3, FALSE), ROW($A4101) - 4504 - _xlfn.XMATCH($C4101, $C$4506:$C$5005, 0, 1), 0), 0), "00")</f>
        <v>00</v>
      </c>
      <c r="H4101" s="1" t="str">
        <f t="shared" si="379"/>
        <v>025</v>
      </c>
      <c r="I4101" s="1" t="str">
        <f t="shared" si="380"/>
        <v>21100-025</v>
      </c>
      <c r="J4101" s="1" t="str">
        <f t="shared" si="381"/>
        <v>Upright piano service item #025</v>
      </c>
      <c r="K4101" s="1" t="str">
        <f>IF(SUM(COUNTIFS(I:I, I4101)) &gt; 1, "DUPLICATE", "UNIQUE")</f>
        <v>UNIQUE</v>
      </c>
      <c r="L4101" s="18">
        <v>10</v>
      </c>
      <c r="M4101" s="28">
        <v>510</v>
      </c>
      <c r="N4101" s="6">
        <v>0</v>
      </c>
      <c r="O4101" s="30">
        <f t="shared" si="382"/>
        <v>5100</v>
      </c>
      <c r="P4101" s="30">
        <f t="shared" si="383"/>
        <v>0</v>
      </c>
      <c r="Q4101" s="1">
        <f>COUNTIFS($P:$P, "&gt;" &amp; $P4101) + 1</f>
        <v>4746</v>
      </c>
      <c r="R4101" s="63">
        <f>(COUNTIFS($P:$P, "&gt;" &amp; $P4101) + 1) / (COUNTA($I:$I) - 1)</f>
        <v>0.94920000000000004</v>
      </c>
      <c r="S4101" s="23">
        <f>SUMIFS($P:$P, $Q:$Q, "&lt;" &amp; $Q4101)</f>
        <v>186547861</v>
      </c>
    </row>
    <row r="4102" spans="1:19" x14ac:dyDescent="0.25">
      <c r="A4102" s="1">
        <v>4097</v>
      </c>
      <c r="B4102" s="1" t="s">
        <v>3</v>
      </c>
      <c r="C4102" s="1" t="str">
        <f>IF($B4102 = "Production Item", _xlfn.XLOOKUP($A4102, 'Instrument Table'!$J:$J, 'Instrument Table'!$B:$B, $C4101), IF($B4102 = "Service Item", _xlfn.XLOOKUP($A4102, 'Instrument Table'!$I:$I, 'Instrument Table'!$B:$B, $C4101), _xlfn.XLOOKUP($A4102, 'Instrument Table'!$H:$H, 'Instrument Table'!$B:$B, $C4101)))</f>
        <v>Upright Piano</v>
      </c>
      <c r="D4102" s="1" t="str">
        <f>VLOOKUP($C4102, 'Instrument Table'!$B:$C, 2, FALSE)</f>
        <v>Pianos</v>
      </c>
      <c r="E4102" s="1">
        <f t="shared" si="378"/>
        <v>2</v>
      </c>
      <c r="F4102" s="1">
        <f>_xlfn.XLOOKUP($C4102, 'Instrument Table'!$B:$B, 'Instrument Table'!$A:$A, "")</f>
        <v>11</v>
      </c>
      <c r="G4102" s="1" t="str">
        <f>TEXT(IF($B4102 = "Retail Item", IF((ROW($A4102) - 4504 - _xlfn.XMATCH($C4102, $C$4506:$C$5005, 0, 1)) &lt;= VLOOKUP($C4102, 'Instrument Table'!$B:$D, 3, FALSE), ROW($A4102) - 4504 - _xlfn.XMATCH($C4102, $C$4506:$C$5005, 0, 1), 0), 0), "00")</f>
        <v>00</v>
      </c>
      <c r="H4102" s="1" t="str">
        <f t="shared" si="379"/>
        <v>026</v>
      </c>
      <c r="I4102" s="1" t="str">
        <f t="shared" si="380"/>
        <v>21100-026</v>
      </c>
      <c r="J4102" s="1" t="str">
        <f t="shared" si="381"/>
        <v>Upright piano service item #026</v>
      </c>
      <c r="K4102" s="1" t="str">
        <f>IF(SUM(COUNTIFS(I:I, I4102)) &gt; 1, "DUPLICATE", "UNIQUE")</f>
        <v>UNIQUE</v>
      </c>
      <c r="L4102" s="18">
        <v>2</v>
      </c>
      <c r="M4102" s="28">
        <v>532</v>
      </c>
      <c r="N4102" s="6">
        <v>0</v>
      </c>
      <c r="O4102" s="30">
        <f t="shared" si="382"/>
        <v>1064</v>
      </c>
      <c r="P4102" s="30">
        <f t="shared" si="383"/>
        <v>0</v>
      </c>
      <c r="Q4102" s="1">
        <f>COUNTIFS($P:$P, "&gt;" &amp; $P4102) + 1</f>
        <v>4746</v>
      </c>
      <c r="R4102" s="63">
        <f>(COUNTIFS($P:$P, "&gt;" &amp; $P4102) + 1) / (COUNTA($I:$I) - 1)</f>
        <v>0.94920000000000004</v>
      </c>
      <c r="S4102" s="23">
        <f>SUMIFS($P:$P, $Q:$Q, "&lt;" &amp; $Q4102)</f>
        <v>186547861</v>
      </c>
    </row>
    <row r="4103" spans="1:19" x14ac:dyDescent="0.25">
      <c r="A4103" s="1">
        <v>4098</v>
      </c>
      <c r="B4103" s="1" t="s">
        <v>3</v>
      </c>
      <c r="C4103" s="1" t="str">
        <f>IF($B4103 = "Production Item", _xlfn.XLOOKUP($A4103, 'Instrument Table'!$J:$J, 'Instrument Table'!$B:$B, $C4102), IF($B4103 = "Service Item", _xlfn.XLOOKUP($A4103, 'Instrument Table'!$I:$I, 'Instrument Table'!$B:$B, $C4102), _xlfn.XLOOKUP($A4103, 'Instrument Table'!$H:$H, 'Instrument Table'!$B:$B, $C4102)))</f>
        <v>Upright Piano</v>
      </c>
      <c r="D4103" s="1" t="str">
        <f>VLOOKUP($C4103, 'Instrument Table'!$B:$C, 2, FALSE)</f>
        <v>Pianos</v>
      </c>
      <c r="E4103" s="1">
        <f t="shared" ref="E4103:E4166" si="384">IF($B4103 = "Production Item", 1, IF($B4103 = "Service Item", 2, IF($B4103 = "Retail Item", 3, "")))</f>
        <v>2</v>
      </c>
      <c r="F4103" s="1">
        <f>_xlfn.XLOOKUP($C4103, 'Instrument Table'!$B:$B, 'Instrument Table'!$A:$A, "")</f>
        <v>11</v>
      </c>
      <c r="G4103" s="1" t="str">
        <f>TEXT(IF($B4103 = "Retail Item", IF((ROW($A4103) - 4504 - _xlfn.XMATCH($C4103, $C$4506:$C$5005, 0, 1)) &lt;= VLOOKUP($C4103, 'Instrument Table'!$B:$D, 3, FALSE), ROW($A4103) - 4504 - _xlfn.XMATCH($C4103, $C$4506:$C$5005, 0, 1), 0), 0), "00")</f>
        <v>00</v>
      </c>
      <c r="H4103" s="1" t="str">
        <f t="shared" ref="H4103:H4166" si="385">TEXT(IF($E4103 &amp; $F4103 &amp; $G4103 = $E4102 &amp; $F4102 &amp; $G4102, 1 + H4102, 0), "000")</f>
        <v>027</v>
      </c>
      <c r="I4103" s="1" t="str">
        <f t="shared" ref="I4103:I4166" si="386" xml:space="preserve"> _xlfn.CONCAT($E4103, $F4103, $G4103, "-", H4103)</f>
        <v>21100-027</v>
      </c>
      <c r="J4103" s="1" t="str">
        <f t="shared" ref="J4103:J4166" si="387">LEFT($C4103, 1) &amp; LOWER(RIGHT($C4103, LEN($C4103) - 1)) &amp; IF(AND($G4103 &lt;&gt; "00", $B4103 = "Retail Item"), " model #" &amp; $G4103, " " &amp; LOWER($B4103) &amp; " #" &amp; $H4103)</f>
        <v>Upright piano service item #027</v>
      </c>
      <c r="K4103" s="1" t="str">
        <f>IF(SUM(COUNTIFS(I:I, I4103)) &gt; 1, "DUPLICATE", "UNIQUE")</f>
        <v>UNIQUE</v>
      </c>
      <c r="L4103" s="18">
        <v>8</v>
      </c>
      <c r="M4103" s="28">
        <v>288</v>
      </c>
      <c r="N4103" s="6">
        <v>64</v>
      </c>
      <c r="O4103" s="30">
        <f t="shared" ref="O4103:O4166" si="388">$L4103 * $M4103</f>
        <v>2304</v>
      </c>
      <c r="P4103" s="30">
        <f t="shared" ref="P4103:P4166" si="389">$N4103 * $M4103</f>
        <v>18432</v>
      </c>
      <c r="Q4103" s="1">
        <f>COUNTIFS($P:$P, "&gt;" &amp; $P4103) + 1</f>
        <v>1137</v>
      </c>
      <c r="R4103" s="63">
        <f>(COUNTIFS($P:$P, "&gt;" &amp; $P4103) + 1) / (COUNTA($I:$I) - 1)</f>
        <v>0.22739999999999999</v>
      </c>
      <c r="S4103" s="23">
        <f>SUMIFS($P:$P, $Q:$Q, "&lt;" &amp; $Q4103)</f>
        <v>169197389</v>
      </c>
    </row>
    <row r="4104" spans="1:19" x14ac:dyDescent="0.25">
      <c r="A4104" s="1">
        <v>4099</v>
      </c>
      <c r="B4104" s="1" t="s">
        <v>3</v>
      </c>
      <c r="C4104" s="1" t="str">
        <f>IF($B4104 = "Production Item", _xlfn.XLOOKUP($A4104, 'Instrument Table'!$J:$J, 'Instrument Table'!$B:$B, $C4103), IF($B4104 = "Service Item", _xlfn.XLOOKUP($A4104, 'Instrument Table'!$I:$I, 'Instrument Table'!$B:$B, $C4103), _xlfn.XLOOKUP($A4104, 'Instrument Table'!$H:$H, 'Instrument Table'!$B:$B, $C4103)))</f>
        <v>Upright Piano</v>
      </c>
      <c r="D4104" s="1" t="str">
        <f>VLOOKUP($C4104, 'Instrument Table'!$B:$C, 2, FALSE)</f>
        <v>Pianos</v>
      </c>
      <c r="E4104" s="1">
        <f t="shared" si="384"/>
        <v>2</v>
      </c>
      <c r="F4104" s="1">
        <f>_xlfn.XLOOKUP($C4104, 'Instrument Table'!$B:$B, 'Instrument Table'!$A:$A, "")</f>
        <v>11</v>
      </c>
      <c r="G4104" s="1" t="str">
        <f>TEXT(IF($B4104 = "Retail Item", IF((ROW($A4104) - 4504 - _xlfn.XMATCH($C4104, $C$4506:$C$5005, 0, 1)) &lt;= VLOOKUP($C4104, 'Instrument Table'!$B:$D, 3, FALSE), ROW($A4104) - 4504 - _xlfn.XMATCH($C4104, $C$4506:$C$5005, 0, 1), 0), 0), "00")</f>
        <v>00</v>
      </c>
      <c r="H4104" s="1" t="str">
        <f t="shared" si="385"/>
        <v>028</v>
      </c>
      <c r="I4104" s="1" t="str">
        <f t="shared" si="386"/>
        <v>21100-028</v>
      </c>
      <c r="J4104" s="1" t="str">
        <f t="shared" si="387"/>
        <v>Upright piano service item #028</v>
      </c>
      <c r="K4104" s="1" t="str">
        <f>IF(SUM(COUNTIFS(I:I, I4104)) &gt; 1, "DUPLICATE", "UNIQUE")</f>
        <v>UNIQUE</v>
      </c>
      <c r="L4104" s="18">
        <v>0</v>
      </c>
      <c r="M4104" s="28">
        <v>993</v>
      </c>
      <c r="N4104" s="6">
        <v>27</v>
      </c>
      <c r="O4104" s="30">
        <f t="shared" si="388"/>
        <v>0</v>
      </c>
      <c r="P4104" s="30">
        <f t="shared" si="389"/>
        <v>26811</v>
      </c>
      <c r="Q4104" s="1">
        <f>COUNTIFS($P:$P, "&gt;" &amp; $P4104) + 1</f>
        <v>761</v>
      </c>
      <c r="R4104" s="63">
        <f>(COUNTIFS($P:$P, "&gt;" &amp; $P4104) + 1) / (COUNTA($I:$I) - 1)</f>
        <v>0.1522</v>
      </c>
      <c r="S4104" s="23">
        <f>SUMIFS($P:$P, $Q:$Q, "&lt;" &amp; $Q4104)</f>
        <v>160802539</v>
      </c>
    </row>
    <row r="4105" spans="1:19" x14ac:dyDescent="0.25">
      <c r="A4105" s="1">
        <v>4100</v>
      </c>
      <c r="B4105" s="1" t="s">
        <v>3</v>
      </c>
      <c r="C4105" s="1" t="str">
        <f>IF($B4105 = "Production Item", _xlfn.XLOOKUP($A4105, 'Instrument Table'!$J:$J, 'Instrument Table'!$B:$B, $C4104), IF($B4105 = "Service Item", _xlfn.XLOOKUP($A4105, 'Instrument Table'!$I:$I, 'Instrument Table'!$B:$B, $C4104), _xlfn.XLOOKUP($A4105, 'Instrument Table'!$H:$H, 'Instrument Table'!$B:$B, $C4104)))</f>
        <v>Upright Piano</v>
      </c>
      <c r="D4105" s="1" t="str">
        <f>VLOOKUP($C4105, 'Instrument Table'!$B:$C, 2, FALSE)</f>
        <v>Pianos</v>
      </c>
      <c r="E4105" s="1">
        <f t="shared" si="384"/>
        <v>2</v>
      </c>
      <c r="F4105" s="1">
        <f>_xlfn.XLOOKUP($C4105, 'Instrument Table'!$B:$B, 'Instrument Table'!$A:$A, "")</f>
        <v>11</v>
      </c>
      <c r="G4105" s="1" t="str">
        <f>TEXT(IF($B4105 = "Retail Item", IF((ROW($A4105) - 4504 - _xlfn.XMATCH($C4105, $C$4506:$C$5005, 0, 1)) &lt;= VLOOKUP($C4105, 'Instrument Table'!$B:$D, 3, FALSE), ROW($A4105) - 4504 - _xlfn.XMATCH($C4105, $C$4506:$C$5005, 0, 1), 0), 0), "00")</f>
        <v>00</v>
      </c>
      <c r="H4105" s="1" t="str">
        <f t="shared" si="385"/>
        <v>029</v>
      </c>
      <c r="I4105" s="1" t="str">
        <f t="shared" si="386"/>
        <v>21100-029</v>
      </c>
      <c r="J4105" s="1" t="str">
        <f t="shared" si="387"/>
        <v>Upright piano service item #029</v>
      </c>
      <c r="K4105" s="1" t="str">
        <f>IF(SUM(COUNTIFS(I:I, I4105)) &gt; 1, "DUPLICATE", "UNIQUE")</f>
        <v>UNIQUE</v>
      </c>
      <c r="L4105" s="18">
        <v>0</v>
      </c>
      <c r="M4105" s="28">
        <v>275</v>
      </c>
      <c r="N4105" s="6">
        <v>0</v>
      </c>
      <c r="O4105" s="30">
        <f t="shared" si="388"/>
        <v>0</v>
      </c>
      <c r="P4105" s="30">
        <f t="shared" si="389"/>
        <v>0</v>
      </c>
      <c r="Q4105" s="1">
        <f>COUNTIFS($P:$P, "&gt;" &amp; $P4105) + 1</f>
        <v>4746</v>
      </c>
      <c r="R4105" s="63">
        <f>(COUNTIFS($P:$P, "&gt;" &amp; $P4105) + 1) / (COUNTA($I:$I) - 1)</f>
        <v>0.94920000000000004</v>
      </c>
      <c r="S4105" s="23">
        <f>SUMIFS($P:$P, $Q:$Q, "&lt;" &amp; $Q4105)</f>
        <v>186547861</v>
      </c>
    </row>
    <row r="4106" spans="1:19" x14ac:dyDescent="0.25">
      <c r="A4106" s="1">
        <v>4101</v>
      </c>
      <c r="B4106" s="1" t="s">
        <v>3</v>
      </c>
      <c r="C4106" s="1" t="str">
        <f>IF($B4106 = "Production Item", _xlfn.XLOOKUP($A4106, 'Instrument Table'!$J:$J, 'Instrument Table'!$B:$B, $C4105), IF($B4106 = "Service Item", _xlfn.XLOOKUP($A4106, 'Instrument Table'!$I:$I, 'Instrument Table'!$B:$B, $C4105), _xlfn.XLOOKUP($A4106, 'Instrument Table'!$H:$H, 'Instrument Table'!$B:$B, $C4105)))</f>
        <v>Upright Piano</v>
      </c>
      <c r="D4106" s="1" t="str">
        <f>VLOOKUP($C4106, 'Instrument Table'!$B:$C, 2, FALSE)</f>
        <v>Pianos</v>
      </c>
      <c r="E4106" s="1">
        <f t="shared" si="384"/>
        <v>2</v>
      </c>
      <c r="F4106" s="1">
        <f>_xlfn.XLOOKUP($C4106, 'Instrument Table'!$B:$B, 'Instrument Table'!$A:$A, "")</f>
        <v>11</v>
      </c>
      <c r="G4106" s="1" t="str">
        <f>TEXT(IF($B4106 = "Retail Item", IF((ROW($A4106) - 4504 - _xlfn.XMATCH($C4106, $C$4506:$C$5005, 0, 1)) &lt;= VLOOKUP($C4106, 'Instrument Table'!$B:$D, 3, FALSE), ROW($A4106) - 4504 - _xlfn.XMATCH($C4106, $C$4506:$C$5005, 0, 1), 0), 0), "00")</f>
        <v>00</v>
      </c>
      <c r="H4106" s="1" t="str">
        <f t="shared" si="385"/>
        <v>030</v>
      </c>
      <c r="I4106" s="1" t="str">
        <f t="shared" si="386"/>
        <v>21100-030</v>
      </c>
      <c r="J4106" s="1" t="str">
        <f t="shared" si="387"/>
        <v>Upright piano service item #030</v>
      </c>
      <c r="K4106" s="1" t="str">
        <f>IF(SUM(COUNTIFS(I:I, I4106)) &gt; 1, "DUPLICATE", "UNIQUE")</f>
        <v>UNIQUE</v>
      </c>
      <c r="L4106" s="18">
        <v>6</v>
      </c>
      <c r="M4106" s="28">
        <v>717</v>
      </c>
      <c r="N4106" s="6">
        <v>125</v>
      </c>
      <c r="O4106" s="30">
        <f t="shared" si="388"/>
        <v>4302</v>
      </c>
      <c r="P4106" s="30">
        <f t="shared" si="389"/>
        <v>89625</v>
      </c>
      <c r="Q4106" s="1">
        <f>COUNTIFS($P:$P, "&gt;" &amp; $P4106) + 1</f>
        <v>429</v>
      </c>
      <c r="R4106" s="63">
        <f>(COUNTIFS($P:$P, "&gt;" &amp; $P4106) + 1) / (COUNTA($I:$I) - 1)</f>
        <v>8.5800000000000001E-2</v>
      </c>
      <c r="S4106" s="23">
        <f>SUMIFS($P:$P, $Q:$Q, "&lt;" &amp; $Q4106)</f>
        <v>146251483</v>
      </c>
    </row>
    <row r="4107" spans="1:19" x14ac:dyDescent="0.25">
      <c r="A4107" s="1">
        <v>4102</v>
      </c>
      <c r="B4107" s="1" t="s">
        <v>3</v>
      </c>
      <c r="C4107" s="1" t="str">
        <f>IF($B4107 = "Production Item", _xlfn.XLOOKUP($A4107, 'Instrument Table'!$J:$J, 'Instrument Table'!$B:$B, $C4106), IF($B4107 = "Service Item", _xlfn.XLOOKUP($A4107, 'Instrument Table'!$I:$I, 'Instrument Table'!$B:$B, $C4106), _xlfn.XLOOKUP($A4107, 'Instrument Table'!$H:$H, 'Instrument Table'!$B:$B, $C4106)))</f>
        <v>Upright Piano</v>
      </c>
      <c r="D4107" s="1" t="str">
        <f>VLOOKUP($C4107, 'Instrument Table'!$B:$C, 2, FALSE)</f>
        <v>Pianos</v>
      </c>
      <c r="E4107" s="1">
        <f t="shared" si="384"/>
        <v>2</v>
      </c>
      <c r="F4107" s="1">
        <f>_xlfn.XLOOKUP($C4107, 'Instrument Table'!$B:$B, 'Instrument Table'!$A:$A, "")</f>
        <v>11</v>
      </c>
      <c r="G4107" s="1" t="str">
        <f>TEXT(IF($B4107 = "Retail Item", IF((ROW($A4107) - 4504 - _xlfn.XMATCH($C4107, $C$4506:$C$5005, 0, 1)) &lt;= VLOOKUP($C4107, 'Instrument Table'!$B:$D, 3, FALSE), ROW($A4107) - 4504 - _xlfn.XMATCH($C4107, $C$4506:$C$5005, 0, 1), 0), 0), "00")</f>
        <v>00</v>
      </c>
      <c r="H4107" s="1" t="str">
        <f t="shared" si="385"/>
        <v>031</v>
      </c>
      <c r="I4107" s="1" t="str">
        <f t="shared" si="386"/>
        <v>21100-031</v>
      </c>
      <c r="J4107" s="1" t="str">
        <f t="shared" si="387"/>
        <v>Upright piano service item #031</v>
      </c>
      <c r="K4107" s="1" t="str">
        <f>IF(SUM(COUNTIFS(I:I, I4107)) &gt; 1, "DUPLICATE", "UNIQUE")</f>
        <v>UNIQUE</v>
      </c>
      <c r="L4107" s="18">
        <v>6</v>
      </c>
      <c r="M4107" s="28">
        <v>288</v>
      </c>
      <c r="N4107" s="6">
        <v>0</v>
      </c>
      <c r="O4107" s="30">
        <f t="shared" si="388"/>
        <v>1728</v>
      </c>
      <c r="P4107" s="30">
        <f t="shared" si="389"/>
        <v>0</v>
      </c>
      <c r="Q4107" s="1">
        <f>COUNTIFS($P:$P, "&gt;" &amp; $P4107) + 1</f>
        <v>4746</v>
      </c>
      <c r="R4107" s="63">
        <f>(COUNTIFS($P:$P, "&gt;" &amp; $P4107) + 1) / (COUNTA($I:$I) - 1)</f>
        <v>0.94920000000000004</v>
      </c>
      <c r="S4107" s="23">
        <f>SUMIFS($P:$P, $Q:$Q, "&lt;" &amp; $Q4107)</f>
        <v>186547861</v>
      </c>
    </row>
    <row r="4108" spans="1:19" x14ac:dyDescent="0.25">
      <c r="A4108" s="1">
        <v>4103</v>
      </c>
      <c r="B4108" s="1" t="s">
        <v>3</v>
      </c>
      <c r="C4108" s="1" t="str">
        <f>IF($B4108 = "Production Item", _xlfn.XLOOKUP($A4108, 'Instrument Table'!$J:$J, 'Instrument Table'!$B:$B, $C4107), IF($B4108 = "Service Item", _xlfn.XLOOKUP($A4108, 'Instrument Table'!$I:$I, 'Instrument Table'!$B:$B, $C4107), _xlfn.XLOOKUP($A4108, 'Instrument Table'!$H:$H, 'Instrument Table'!$B:$B, $C4107)))</f>
        <v>Upright Piano</v>
      </c>
      <c r="D4108" s="1" t="str">
        <f>VLOOKUP($C4108, 'Instrument Table'!$B:$C, 2, FALSE)</f>
        <v>Pianos</v>
      </c>
      <c r="E4108" s="1">
        <f t="shared" si="384"/>
        <v>2</v>
      </c>
      <c r="F4108" s="1">
        <f>_xlfn.XLOOKUP($C4108, 'Instrument Table'!$B:$B, 'Instrument Table'!$A:$A, "")</f>
        <v>11</v>
      </c>
      <c r="G4108" s="1" t="str">
        <f>TEXT(IF($B4108 = "Retail Item", IF((ROW($A4108) - 4504 - _xlfn.XMATCH($C4108, $C$4506:$C$5005, 0, 1)) &lt;= VLOOKUP($C4108, 'Instrument Table'!$B:$D, 3, FALSE), ROW($A4108) - 4504 - _xlfn.XMATCH($C4108, $C$4506:$C$5005, 0, 1), 0), 0), "00")</f>
        <v>00</v>
      </c>
      <c r="H4108" s="1" t="str">
        <f t="shared" si="385"/>
        <v>032</v>
      </c>
      <c r="I4108" s="1" t="str">
        <f t="shared" si="386"/>
        <v>21100-032</v>
      </c>
      <c r="J4108" s="1" t="str">
        <f t="shared" si="387"/>
        <v>Upright piano service item #032</v>
      </c>
      <c r="K4108" s="1" t="str">
        <f>IF(SUM(COUNTIFS(I:I, I4108)) &gt; 1, "DUPLICATE", "UNIQUE")</f>
        <v>UNIQUE</v>
      </c>
      <c r="L4108" s="18">
        <v>2</v>
      </c>
      <c r="M4108" s="28">
        <v>603</v>
      </c>
      <c r="N4108" s="6">
        <v>1</v>
      </c>
      <c r="O4108" s="30">
        <f t="shared" si="388"/>
        <v>1206</v>
      </c>
      <c r="P4108" s="30">
        <f t="shared" si="389"/>
        <v>603</v>
      </c>
      <c r="Q4108" s="1">
        <f>COUNTIFS($P:$P, "&gt;" &amp; $P4108) + 1</f>
        <v>3934</v>
      </c>
      <c r="R4108" s="63">
        <f>(COUNTIFS($P:$P, "&gt;" &amp; $P4108) + 1) / (COUNTA($I:$I) - 1)</f>
        <v>0.78680000000000005</v>
      </c>
      <c r="S4108" s="23">
        <f>SUMIFS($P:$P, $Q:$Q, "&lt;" &amp; $Q4108)</f>
        <v>186360696</v>
      </c>
    </row>
    <row r="4109" spans="1:19" x14ac:dyDescent="0.25">
      <c r="A4109" s="1">
        <v>4104</v>
      </c>
      <c r="B4109" s="1" t="s">
        <v>3</v>
      </c>
      <c r="C4109" s="1" t="str">
        <f>IF($B4109 = "Production Item", _xlfn.XLOOKUP($A4109, 'Instrument Table'!$J:$J, 'Instrument Table'!$B:$B, $C4108), IF($B4109 = "Service Item", _xlfn.XLOOKUP($A4109, 'Instrument Table'!$I:$I, 'Instrument Table'!$B:$B, $C4108), _xlfn.XLOOKUP($A4109, 'Instrument Table'!$H:$H, 'Instrument Table'!$B:$B, $C4108)))</f>
        <v>Upright Piano</v>
      </c>
      <c r="D4109" s="1" t="str">
        <f>VLOOKUP($C4109, 'Instrument Table'!$B:$C, 2, FALSE)</f>
        <v>Pianos</v>
      </c>
      <c r="E4109" s="1">
        <f t="shared" si="384"/>
        <v>2</v>
      </c>
      <c r="F4109" s="1">
        <f>_xlfn.XLOOKUP($C4109, 'Instrument Table'!$B:$B, 'Instrument Table'!$A:$A, "")</f>
        <v>11</v>
      </c>
      <c r="G4109" s="1" t="str">
        <f>TEXT(IF($B4109 = "Retail Item", IF((ROW($A4109) - 4504 - _xlfn.XMATCH($C4109, $C$4506:$C$5005, 0, 1)) &lt;= VLOOKUP($C4109, 'Instrument Table'!$B:$D, 3, FALSE), ROW($A4109) - 4504 - _xlfn.XMATCH($C4109, $C$4506:$C$5005, 0, 1), 0), 0), "00")</f>
        <v>00</v>
      </c>
      <c r="H4109" s="1" t="str">
        <f t="shared" si="385"/>
        <v>033</v>
      </c>
      <c r="I4109" s="1" t="str">
        <f t="shared" si="386"/>
        <v>21100-033</v>
      </c>
      <c r="J4109" s="1" t="str">
        <f t="shared" si="387"/>
        <v>Upright piano service item #033</v>
      </c>
      <c r="K4109" s="1" t="str">
        <f>IF(SUM(COUNTIFS(I:I, I4109)) &gt; 1, "DUPLICATE", "UNIQUE")</f>
        <v>UNIQUE</v>
      </c>
      <c r="L4109" s="18">
        <v>9</v>
      </c>
      <c r="M4109" s="28">
        <v>569</v>
      </c>
      <c r="N4109" s="6">
        <v>0</v>
      </c>
      <c r="O4109" s="30">
        <f t="shared" si="388"/>
        <v>5121</v>
      </c>
      <c r="P4109" s="30">
        <f t="shared" si="389"/>
        <v>0</v>
      </c>
      <c r="Q4109" s="1">
        <f>COUNTIFS($P:$P, "&gt;" &amp; $P4109) + 1</f>
        <v>4746</v>
      </c>
      <c r="R4109" s="63">
        <f>(COUNTIFS($P:$P, "&gt;" &amp; $P4109) + 1) / (COUNTA($I:$I) - 1)</f>
        <v>0.94920000000000004</v>
      </c>
      <c r="S4109" s="23">
        <f>SUMIFS($P:$P, $Q:$Q, "&lt;" &amp; $Q4109)</f>
        <v>186547861</v>
      </c>
    </row>
    <row r="4110" spans="1:19" x14ac:dyDescent="0.25">
      <c r="A4110" s="1">
        <v>4105</v>
      </c>
      <c r="B4110" s="1" t="s">
        <v>3</v>
      </c>
      <c r="C4110" s="1" t="str">
        <f>IF($B4110 = "Production Item", _xlfn.XLOOKUP($A4110, 'Instrument Table'!$J:$J, 'Instrument Table'!$B:$B, $C4109), IF($B4110 = "Service Item", _xlfn.XLOOKUP($A4110, 'Instrument Table'!$I:$I, 'Instrument Table'!$B:$B, $C4109), _xlfn.XLOOKUP($A4110, 'Instrument Table'!$H:$H, 'Instrument Table'!$B:$B, $C4109)))</f>
        <v>Upright Piano</v>
      </c>
      <c r="D4110" s="1" t="str">
        <f>VLOOKUP($C4110, 'Instrument Table'!$B:$C, 2, FALSE)</f>
        <v>Pianos</v>
      </c>
      <c r="E4110" s="1">
        <f t="shared" si="384"/>
        <v>2</v>
      </c>
      <c r="F4110" s="1">
        <f>_xlfn.XLOOKUP($C4110, 'Instrument Table'!$B:$B, 'Instrument Table'!$A:$A, "")</f>
        <v>11</v>
      </c>
      <c r="G4110" s="1" t="str">
        <f>TEXT(IF($B4110 = "Retail Item", IF((ROW($A4110) - 4504 - _xlfn.XMATCH($C4110, $C$4506:$C$5005, 0, 1)) &lt;= VLOOKUP($C4110, 'Instrument Table'!$B:$D, 3, FALSE), ROW($A4110) - 4504 - _xlfn.XMATCH($C4110, $C$4506:$C$5005, 0, 1), 0), 0), "00")</f>
        <v>00</v>
      </c>
      <c r="H4110" s="1" t="str">
        <f t="shared" si="385"/>
        <v>034</v>
      </c>
      <c r="I4110" s="1" t="str">
        <f t="shared" si="386"/>
        <v>21100-034</v>
      </c>
      <c r="J4110" s="1" t="str">
        <f t="shared" si="387"/>
        <v>Upright piano service item #034</v>
      </c>
      <c r="K4110" s="1" t="str">
        <f>IF(SUM(COUNTIFS(I:I, I4110)) &gt; 1, "DUPLICATE", "UNIQUE")</f>
        <v>UNIQUE</v>
      </c>
      <c r="L4110" s="18">
        <v>1</v>
      </c>
      <c r="M4110" s="28">
        <v>664</v>
      </c>
      <c r="N4110" s="6">
        <v>27</v>
      </c>
      <c r="O4110" s="30">
        <f t="shared" si="388"/>
        <v>664</v>
      </c>
      <c r="P4110" s="30">
        <f t="shared" si="389"/>
        <v>17928</v>
      </c>
      <c r="Q4110" s="1">
        <f>COUNTIFS($P:$P, "&gt;" &amp; $P4110) + 1</f>
        <v>1166</v>
      </c>
      <c r="R4110" s="63">
        <f>(COUNTIFS($P:$P, "&gt;" &amp; $P4110) + 1) / (COUNTA($I:$I) - 1)</f>
        <v>0.23319999999999999</v>
      </c>
      <c r="S4110" s="23">
        <f>SUMIFS($P:$P, $Q:$Q, "&lt;" &amp; $Q4110)</f>
        <v>169726762</v>
      </c>
    </row>
    <row r="4111" spans="1:19" x14ac:dyDescent="0.25">
      <c r="A4111" s="1">
        <v>4106</v>
      </c>
      <c r="B4111" s="1" t="s">
        <v>3</v>
      </c>
      <c r="C4111" s="1" t="str">
        <f>IF($B4111 = "Production Item", _xlfn.XLOOKUP($A4111, 'Instrument Table'!$J:$J, 'Instrument Table'!$B:$B, $C4110), IF($B4111 = "Service Item", _xlfn.XLOOKUP($A4111, 'Instrument Table'!$I:$I, 'Instrument Table'!$B:$B, $C4110), _xlfn.XLOOKUP($A4111, 'Instrument Table'!$H:$H, 'Instrument Table'!$B:$B, $C4110)))</f>
        <v>Upright Piano</v>
      </c>
      <c r="D4111" s="1" t="str">
        <f>VLOOKUP($C4111, 'Instrument Table'!$B:$C, 2, FALSE)</f>
        <v>Pianos</v>
      </c>
      <c r="E4111" s="1">
        <f t="shared" si="384"/>
        <v>2</v>
      </c>
      <c r="F4111" s="1">
        <f>_xlfn.XLOOKUP($C4111, 'Instrument Table'!$B:$B, 'Instrument Table'!$A:$A, "")</f>
        <v>11</v>
      </c>
      <c r="G4111" s="1" t="str">
        <f>TEXT(IF($B4111 = "Retail Item", IF((ROW($A4111) - 4504 - _xlfn.XMATCH($C4111, $C$4506:$C$5005, 0, 1)) &lt;= VLOOKUP($C4111, 'Instrument Table'!$B:$D, 3, FALSE), ROW($A4111) - 4504 - _xlfn.XMATCH($C4111, $C$4506:$C$5005, 0, 1), 0), 0), "00")</f>
        <v>00</v>
      </c>
      <c r="H4111" s="1" t="str">
        <f t="shared" si="385"/>
        <v>035</v>
      </c>
      <c r="I4111" s="1" t="str">
        <f t="shared" si="386"/>
        <v>21100-035</v>
      </c>
      <c r="J4111" s="1" t="str">
        <f t="shared" si="387"/>
        <v>Upright piano service item #035</v>
      </c>
      <c r="K4111" s="1" t="str">
        <f>IF(SUM(COUNTIFS(I:I, I4111)) &gt; 1, "DUPLICATE", "UNIQUE")</f>
        <v>UNIQUE</v>
      </c>
      <c r="L4111" s="18">
        <v>6</v>
      </c>
      <c r="M4111" s="28">
        <v>209</v>
      </c>
      <c r="N4111" s="6">
        <v>27</v>
      </c>
      <c r="O4111" s="30">
        <f t="shared" si="388"/>
        <v>1254</v>
      </c>
      <c r="P4111" s="30">
        <f t="shared" si="389"/>
        <v>5643</v>
      </c>
      <c r="Q4111" s="1">
        <f>COUNTIFS($P:$P, "&gt;" &amp; $P4111) + 1</f>
        <v>2329</v>
      </c>
      <c r="R4111" s="63">
        <f>(COUNTIFS($P:$P, "&gt;" &amp; $P4111) + 1) / (COUNTA($I:$I) - 1)</f>
        <v>0.46579999999999999</v>
      </c>
      <c r="S4111" s="23">
        <f>SUMIFS($P:$P, $Q:$Q, "&lt;" &amp; $Q4111)</f>
        <v>182230388</v>
      </c>
    </row>
    <row r="4112" spans="1:19" x14ac:dyDescent="0.25">
      <c r="A4112" s="1">
        <v>4107</v>
      </c>
      <c r="B4112" s="1" t="s">
        <v>3</v>
      </c>
      <c r="C4112" s="1" t="str">
        <f>IF($B4112 = "Production Item", _xlfn.XLOOKUP($A4112, 'Instrument Table'!$J:$J, 'Instrument Table'!$B:$B, $C4111), IF($B4112 = "Service Item", _xlfn.XLOOKUP($A4112, 'Instrument Table'!$I:$I, 'Instrument Table'!$B:$B, $C4111), _xlfn.XLOOKUP($A4112, 'Instrument Table'!$H:$H, 'Instrument Table'!$B:$B, $C4111)))</f>
        <v>Upright Piano</v>
      </c>
      <c r="D4112" s="1" t="str">
        <f>VLOOKUP($C4112, 'Instrument Table'!$B:$C, 2, FALSE)</f>
        <v>Pianos</v>
      </c>
      <c r="E4112" s="1">
        <f t="shared" si="384"/>
        <v>2</v>
      </c>
      <c r="F4112" s="1">
        <f>_xlfn.XLOOKUP($C4112, 'Instrument Table'!$B:$B, 'Instrument Table'!$A:$A, "")</f>
        <v>11</v>
      </c>
      <c r="G4112" s="1" t="str">
        <f>TEXT(IF($B4112 = "Retail Item", IF((ROW($A4112) - 4504 - _xlfn.XMATCH($C4112, $C$4506:$C$5005, 0, 1)) &lt;= VLOOKUP($C4112, 'Instrument Table'!$B:$D, 3, FALSE), ROW($A4112) - 4504 - _xlfn.XMATCH($C4112, $C$4506:$C$5005, 0, 1), 0), 0), "00")</f>
        <v>00</v>
      </c>
      <c r="H4112" s="1" t="str">
        <f t="shared" si="385"/>
        <v>036</v>
      </c>
      <c r="I4112" s="1" t="str">
        <f t="shared" si="386"/>
        <v>21100-036</v>
      </c>
      <c r="J4112" s="1" t="str">
        <f t="shared" si="387"/>
        <v>Upright piano service item #036</v>
      </c>
      <c r="K4112" s="1" t="str">
        <f>IF(SUM(COUNTIFS(I:I, I4112)) &gt; 1, "DUPLICATE", "UNIQUE")</f>
        <v>UNIQUE</v>
      </c>
      <c r="L4112" s="18">
        <v>5</v>
      </c>
      <c r="M4112" s="28">
        <v>965</v>
      </c>
      <c r="N4112" s="6">
        <v>27</v>
      </c>
      <c r="O4112" s="30">
        <f t="shared" si="388"/>
        <v>4825</v>
      </c>
      <c r="P4112" s="30">
        <f t="shared" si="389"/>
        <v>26055</v>
      </c>
      <c r="Q4112" s="1">
        <f>COUNTIFS($P:$P, "&gt;" &amp; $P4112) + 1</f>
        <v>785</v>
      </c>
      <c r="R4112" s="63">
        <f>(COUNTIFS($P:$P, "&gt;" &amp; $P4112) + 1) / (COUNTA($I:$I) - 1)</f>
        <v>0.157</v>
      </c>
      <c r="S4112" s="23">
        <f>SUMIFS($P:$P, $Q:$Q, "&lt;" &amp; $Q4112)</f>
        <v>161438948</v>
      </c>
    </row>
    <row r="4113" spans="1:19" x14ac:dyDescent="0.25">
      <c r="A4113" s="1">
        <v>4108</v>
      </c>
      <c r="B4113" s="1" t="s">
        <v>3</v>
      </c>
      <c r="C4113" s="1" t="str">
        <f>IF($B4113 = "Production Item", _xlfn.XLOOKUP($A4113, 'Instrument Table'!$J:$J, 'Instrument Table'!$B:$B, $C4112), IF($B4113 = "Service Item", _xlfn.XLOOKUP($A4113, 'Instrument Table'!$I:$I, 'Instrument Table'!$B:$B, $C4112), _xlfn.XLOOKUP($A4113, 'Instrument Table'!$H:$H, 'Instrument Table'!$B:$B, $C4112)))</f>
        <v>Upright Piano</v>
      </c>
      <c r="D4113" s="1" t="str">
        <f>VLOOKUP($C4113, 'Instrument Table'!$B:$C, 2, FALSE)</f>
        <v>Pianos</v>
      </c>
      <c r="E4113" s="1">
        <f t="shared" si="384"/>
        <v>2</v>
      </c>
      <c r="F4113" s="1">
        <f>_xlfn.XLOOKUP($C4113, 'Instrument Table'!$B:$B, 'Instrument Table'!$A:$A, "")</f>
        <v>11</v>
      </c>
      <c r="G4113" s="1" t="str">
        <f>TEXT(IF($B4113 = "Retail Item", IF((ROW($A4113) - 4504 - _xlfn.XMATCH($C4113, $C$4506:$C$5005, 0, 1)) &lt;= VLOOKUP($C4113, 'Instrument Table'!$B:$D, 3, FALSE), ROW($A4113) - 4504 - _xlfn.XMATCH($C4113, $C$4506:$C$5005, 0, 1), 0), 0), "00")</f>
        <v>00</v>
      </c>
      <c r="H4113" s="1" t="str">
        <f t="shared" si="385"/>
        <v>037</v>
      </c>
      <c r="I4113" s="1" t="str">
        <f t="shared" si="386"/>
        <v>21100-037</v>
      </c>
      <c r="J4113" s="1" t="str">
        <f t="shared" si="387"/>
        <v>Upright piano service item #037</v>
      </c>
      <c r="K4113" s="1" t="str">
        <f>IF(SUM(COUNTIFS(I:I, I4113)) &gt; 1, "DUPLICATE", "UNIQUE")</f>
        <v>UNIQUE</v>
      </c>
      <c r="L4113" s="18">
        <v>4</v>
      </c>
      <c r="M4113" s="28">
        <v>71</v>
      </c>
      <c r="N4113" s="6">
        <v>1</v>
      </c>
      <c r="O4113" s="30">
        <f t="shared" si="388"/>
        <v>284</v>
      </c>
      <c r="P4113" s="30">
        <f t="shared" si="389"/>
        <v>71</v>
      </c>
      <c r="Q4113" s="1">
        <f>COUNTIFS($P:$P, "&gt;" &amp; $P4113) + 1</f>
        <v>4540</v>
      </c>
      <c r="R4113" s="63">
        <f>(COUNTIFS($P:$P, "&gt;" &amp; $P4113) + 1) / (COUNTA($I:$I) - 1)</f>
        <v>0.90800000000000003</v>
      </c>
      <c r="S4113" s="23">
        <f>SUMIFS($P:$P, $Q:$Q, "&lt;" &amp; $Q4113)</f>
        <v>186539970</v>
      </c>
    </row>
    <row r="4114" spans="1:19" x14ac:dyDescent="0.25">
      <c r="A4114" s="1">
        <v>4109</v>
      </c>
      <c r="B4114" s="1" t="s">
        <v>3</v>
      </c>
      <c r="C4114" s="1" t="str">
        <f>IF($B4114 = "Production Item", _xlfn.XLOOKUP($A4114, 'Instrument Table'!$J:$J, 'Instrument Table'!$B:$B, $C4113), IF($B4114 = "Service Item", _xlfn.XLOOKUP($A4114, 'Instrument Table'!$I:$I, 'Instrument Table'!$B:$B, $C4113), _xlfn.XLOOKUP($A4114, 'Instrument Table'!$H:$H, 'Instrument Table'!$B:$B, $C4113)))</f>
        <v>Upright Piano</v>
      </c>
      <c r="D4114" s="1" t="str">
        <f>VLOOKUP($C4114, 'Instrument Table'!$B:$C, 2, FALSE)</f>
        <v>Pianos</v>
      </c>
      <c r="E4114" s="1">
        <f t="shared" si="384"/>
        <v>2</v>
      </c>
      <c r="F4114" s="1">
        <f>_xlfn.XLOOKUP($C4114, 'Instrument Table'!$B:$B, 'Instrument Table'!$A:$A, "")</f>
        <v>11</v>
      </c>
      <c r="G4114" s="1" t="str">
        <f>TEXT(IF($B4114 = "Retail Item", IF((ROW($A4114) - 4504 - _xlfn.XMATCH($C4114, $C$4506:$C$5005, 0, 1)) &lt;= VLOOKUP($C4114, 'Instrument Table'!$B:$D, 3, FALSE), ROW($A4114) - 4504 - _xlfn.XMATCH($C4114, $C$4506:$C$5005, 0, 1), 0), 0), "00")</f>
        <v>00</v>
      </c>
      <c r="H4114" s="1" t="str">
        <f t="shared" si="385"/>
        <v>038</v>
      </c>
      <c r="I4114" s="1" t="str">
        <f t="shared" si="386"/>
        <v>21100-038</v>
      </c>
      <c r="J4114" s="1" t="str">
        <f t="shared" si="387"/>
        <v>Upright piano service item #038</v>
      </c>
      <c r="K4114" s="1" t="str">
        <f>IF(SUM(COUNTIFS(I:I, I4114)) &gt; 1, "DUPLICATE", "UNIQUE")</f>
        <v>UNIQUE</v>
      </c>
      <c r="L4114" s="18">
        <v>7</v>
      </c>
      <c r="M4114" s="28">
        <v>37</v>
      </c>
      <c r="N4114" s="6">
        <v>1</v>
      </c>
      <c r="O4114" s="30">
        <f t="shared" si="388"/>
        <v>259</v>
      </c>
      <c r="P4114" s="30">
        <f t="shared" si="389"/>
        <v>37</v>
      </c>
      <c r="Q4114" s="1">
        <f>COUNTIFS($P:$P, "&gt;" &amp; $P4114) + 1</f>
        <v>4648</v>
      </c>
      <c r="R4114" s="63">
        <f>(COUNTIFS($P:$P, "&gt;" &amp; $P4114) + 1) / (COUNTA($I:$I) - 1)</f>
        <v>0.92959999999999998</v>
      </c>
      <c r="S4114" s="23">
        <f>SUMIFS($P:$P, $Q:$Q, "&lt;" &amp; $Q4114)</f>
        <v>186545950</v>
      </c>
    </row>
    <row r="4115" spans="1:19" x14ac:dyDescent="0.25">
      <c r="A4115" s="1">
        <v>4110</v>
      </c>
      <c r="B4115" s="1" t="s">
        <v>3</v>
      </c>
      <c r="C4115" s="1" t="str">
        <f>IF($B4115 = "Production Item", _xlfn.XLOOKUP($A4115, 'Instrument Table'!$J:$J, 'Instrument Table'!$B:$B, $C4114), IF($B4115 = "Service Item", _xlfn.XLOOKUP($A4115, 'Instrument Table'!$I:$I, 'Instrument Table'!$B:$B, $C4114), _xlfn.XLOOKUP($A4115, 'Instrument Table'!$H:$H, 'Instrument Table'!$B:$B, $C4114)))</f>
        <v>Upright Piano</v>
      </c>
      <c r="D4115" s="1" t="str">
        <f>VLOOKUP($C4115, 'Instrument Table'!$B:$C, 2, FALSE)</f>
        <v>Pianos</v>
      </c>
      <c r="E4115" s="1">
        <f t="shared" si="384"/>
        <v>2</v>
      </c>
      <c r="F4115" s="1">
        <f>_xlfn.XLOOKUP($C4115, 'Instrument Table'!$B:$B, 'Instrument Table'!$A:$A, "")</f>
        <v>11</v>
      </c>
      <c r="G4115" s="1" t="str">
        <f>TEXT(IF($B4115 = "Retail Item", IF((ROW($A4115) - 4504 - _xlfn.XMATCH($C4115, $C$4506:$C$5005, 0, 1)) &lt;= VLOOKUP($C4115, 'Instrument Table'!$B:$D, 3, FALSE), ROW($A4115) - 4504 - _xlfn.XMATCH($C4115, $C$4506:$C$5005, 0, 1), 0), 0), "00")</f>
        <v>00</v>
      </c>
      <c r="H4115" s="1" t="str">
        <f t="shared" si="385"/>
        <v>039</v>
      </c>
      <c r="I4115" s="1" t="str">
        <f t="shared" si="386"/>
        <v>21100-039</v>
      </c>
      <c r="J4115" s="1" t="str">
        <f t="shared" si="387"/>
        <v>Upright piano service item #039</v>
      </c>
      <c r="K4115" s="1" t="str">
        <f>IF(SUM(COUNTIFS(I:I, I4115)) &gt; 1, "DUPLICATE", "UNIQUE")</f>
        <v>UNIQUE</v>
      </c>
      <c r="L4115" s="18">
        <v>1</v>
      </c>
      <c r="M4115" s="28">
        <v>490</v>
      </c>
      <c r="N4115" s="6">
        <v>64</v>
      </c>
      <c r="O4115" s="30">
        <f t="shared" si="388"/>
        <v>490</v>
      </c>
      <c r="P4115" s="30">
        <f t="shared" si="389"/>
        <v>31360</v>
      </c>
      <c r="Q4115" s="1">
        <f>COUNTIFS($P:$P, "&gt;" &amp; $P4115) + 1</f>
        <v>665</v>
      </c>
      <c r="R4115" s="63">
        <f>(COUNTIFS($P:$P, "&gt;" &amp; $P4115) + 1) / (COUNTA($I:$I) - 1)</f>
        <v>0.13300000000000001</v>
      </c>
      <c r="S4115" s="23">
        <f>SUMIFS($P:$P, $Q:$Q, "&lt;" &amp; $Q4115)</f>
        <v>158020267</v>
      </c>
    </row>
    <row r="4116" spans="1:19" x14ac:dyDescent="0.25">
      <c r="A4116" s="1">
        <v>4111</v>
      </c>
      <c r="B4116" s="1" t="s">
        <v>3</v>
      </c>
      <c r="C4116" s="1" t="str">
        <f>IF($B4116 = "Production Item", _xlfn.XLOOKUP($A4116, 'Instrument Table'!$J:$J, 'Instrument Table'!$B:$B, $C4115), IF($B4116 = "Service Item", _xlfn.XLOOKUP($A4116, 'Instrument Table'!$I:$I, 'Instrument Table'!$B:$B, $C4115), _xlfn.XLOOKUP($A4116, 'Instrument Table'!$H:$H, 'Instrument Table'!$B:$B, $C4115)))</f>
        <v>Electric Keyboard</v>
      </c>
      <c r="D4116" s="1" t="str">
        <f>VLOOKUP($C4116, 'Instrument Table'!$B:$C, 2, FALSE)</f>
        <v>Pianos</v>
      </c>
      <c r="E4116" s="1">
        <f t="shared" si="384"/>
        <v>2</v>
      </c>
      <c r="F4116" s="1">
        <f>_xlfn.XLOOKUP($C4116, 'Instrument Table'!$B:$B, 'Instrument Table'!$A:$A, "")</f>
        <v>12</v>
      </c>
      <c r="G4116" s="1" t="str">
        <f>TEXT(IF($B4116 = "Retail Item", IF((ROW($A4116) - 4504 - _xlfn.XMATCH($C4116, $C$4506:$C$5005, 0, 1)) &lt;= VLOOKUP($C4116, 'Instrument Table'!$B:$D, 3, FALSE), ROW($A4116) - 4504 - _xlfn.XMATCH($C4116, $C$4506:$C$5005, 0, 1), 0), 0), "00")</f>
        <v>00</v>
      </c>
      <c r="H4116" s="1" t="str">
        <f t="shared" si="385"/>
        <v>000</v>
      </c>
      <c r="I4116" s="1" t="str">
        <f t="shared" si="386"/>
        <v>21200-000</v>
      </c>
      <c r="J4116" s="1" t="str">
        <f t="shared" si="387"/>
        <v>Electric keyboard service item #000</v>
      </c>
      <c r="K4116" s="1" t="str">
        <f>IF(SUM(COUNTIFS(I:I, I4116)) &gt; 1, "DUPLICATE", "UNIQUE")</f>
        <v>UNIQUE</v>
      </c>
      <c r="L4116" s="18">
        <v>0</v>
      </c>
      <c r="M4116" s="28">
        <v>739</v>
      </c>
      <c r="N4116" s="6">
        <v>27</v>
      </c>
      <c r="O4116" s="30">
        <f t="shared" si="388"/>
        <v>0</v>
      </c>
      <c r="P4116" s="30">
        <f t="shared" si="389"/>
        <v>19953</v>
      </c>
      <c r="Q4116" s="1">
        <f>COUNTIFS($P:$P, "&gt;" &amp; $P4116) + 1</f>
        <v>1061</v>
      </c>
      <c r="R4116" s="63">
        <f>(COUNTIFS($P:$P, "&gt;" &amp; $P4116) + 1) / (COUNTA($I:$I) - 1)</f>
        <v>0.2122</v>
      </c>
      <c r="S4116" s="23">
        <f>SUMIFS($P:$P, $Q:$Q, "&lt;" &amp; $Q4116)</f>
        <v>167743232</v>
      </c>
    </row>
    <row r="4117" spans="1:19" x14ac:dyDescent="0.25">
      <c r="A4117" s="1">
        <v>4112</v>
      </c>
      <c r="B4117" s="1" t="s">
        <v>3</v>
      </c>
      <c r="C4117" s="1" t="str">
        <f>IF($B4117 = "Production Item", _xlfn.XLOOKUP($A4117, 'Instrument Table'!$J:$J, 'Instrument Table'!$B:$B, $C4116), IF($B4117 = "Service Item", _xlfn.XLOOKUP($A4117, 'Instrument Table'!$I:$I, 'Instrument Table'!$B:$B, $C4116), _xlfn.XLOOKUP($A4117, 'Instrument Table'!$H:$H, 'Instrument Table'!$B:$B, $C4116)))</f>
        <v>Electric Keyboard</v>
      </c>
      <c r="D4117" s="1" t="str">
        <f>VLOOKUP($C4117, 'Instrument Table'!$B:$C, 2, FALSE)</f>
        <v>Pianos</v>
      </c>
      <c r="E4117" s="1">
        <f t="shared" si="384"/>
        <v>2</v>
      </c>
      <c r="F4117" s="1">
        <f>_xlfn.XLOOKUP($C4117, 'Instrument Table'!$B:$B, 'Instrument Table'!$A:$A, "")</f>
        <v>12</v>
      </c>
      <c r="G4117" s="1" t="str">
        <f>TEXT(IF($B4117 = "Retail Item", IF((ROW($A4117) - 4504 - _xlfn.XMATCH($C4117, $C$4506:$C$5005, 0, 1)) &lt;= VLOOKUP($C4117, 'Instrument Table'!$B:$D, 3, FALSE), ROW($A4117) - 4504 - _xlfn.XMATCH($C4117, $C$4506:$C$5005, 0, 1), 0), 0), "00")</f>
        <v>00</v>
      </c>
      <c r="H4117" s="1" t="str">
        <f t="shared" si="385"/>
        <v>001</v>
      </c>
      <c r="I4117" s="1" t="str">
        <f t="shared" si="386"/>
        <v>21200-001</v>
      </c>
      <c r="J4117" s="1" t="str">
        <f t="shared" si="387"/>
        <v>Electric keyboard service item #001</v>
      </c>
      <c r="K4117" s="1" t="str">
        <f>IF(SUM(COUNTIFS(I:I, I4117)) &gt; 1, "DUPLICATE", "UNIQUE")</f>
        <v>UNIQUE</v>
      </c>
      <c r="L4117" s="18">
        <v>0</v>
      </c>
      <c r="M4117" s="28">
        <v>495</v>
      </c>
      <c r="N4117" s="6">
        <v>1</v>
      </c>
      <c r="O4117" s="30">
        <f t="shared" si="388"/>
        <v>0</v>
      </c>
      <c r="P4117" s="30">
        <f t="shared" si="389"/>
        <v>495</v>
      </c>
      <c r="Q4117" s="1">
        <f>COUNTIFS($P:$P, "&gt;" &amp; $P4117) + 1</f>
        <v>4032</v>
      </c>
      <c r="R4117" s="63">
        <f>(COUNTIFS($P:$P, "&gt;" &amp; $P4117) + 1) / (COUNTA($I:$I) - 1)</f>
        <v>0.80640000000000001</v>
      </c>
      <c r="S4117" s="23">
        <f>SUMIFS($P:$P, $Q:$Q, "&lt;" &amp; $Q4117)</f>
        <v>186414647</v>
      </c>
    </row>
    <row r="4118" spans="1:19" x14ac:dyDescent="0.25">
      <c r="A4118" s="1">
        <v>4113</v>
      </c>
      <c r="B4118" s="1" t="s">
        <v>3</v>
      </c>
      <c r="C4118" s="1" t="str">
        <f>IF($B4118 = "Production Item", _xlfn.XLOOKUP($A4118, 'Instrument Table'!$J:$J, 'Instrument Table'!$B:$B, $C4117), IF($B4118 = "Service Item", _xlfn.XLOOKUP($A4118, 'Instrument Table'!$I:$I, 'Instrument Table'!$B:$B, $C4117), _xlfn.XLOOKUP($A4118, 'Instrument Table'!$H:$H, 'Instrument Table'!$B:$B, $C4117)))</f>
        <v>Electric Keyboard</v>
      </c>
      <c r="D4118" s="1" t="str">
        <f>VLOOKUP($C4118, 'Instrument Table'!$B:$C, 2, FALSE)</f>
        <v>Pianos</v>
      </c>
      <c r="E4118" s="1">
        <f t="shared" si="384"/>
        <v>2</v>
      </c>
      <c r="F4118" s="1">
        <f>_xlfn.XLOOKUP($C4118, 'Instrument Table'!$B:$B, 'Instrument Table'!$A:$A, "")</f>
        <v>12</v>
      </c>
      <c r="G4118" s="1" t="str">
        <f>TEXT(IF($B4118 = "Retail Item", IF((ROW($A4118) - 4504 - _xlfn.XMATCH($C4118, $C$4506:$C$5005, 0, 1)) &lt;= VLOOKUP($C4118, 'Instrument Table'!$B:$D, 3, FALSE), ROW($A4118) - 4504 - _xlfn.XMATCH($C4118, $C$4506:$C$5005, 0, 1), 0), 0), "00")</f>
        <v>00</v>
      </c>
      <c r="H4118" s="1" t="str">
        <f t="shared" si="385"/>
        <v>002</v>
      </c>
      <c r="I4118" s="1" t="str">
        <f t="shared" si="386"/>
        <v>21200-002</v>
      </c>
      <c r="J4118" s="1" t="str">
        <f t="shared" si="387"/>
        <v>Electric keyboard service item #002</v>
      </c>
      <c r="K4118" s="1" t="str">
        <f>IF(SUM(COUNTIFS(I:I, I4118)) &gt; 1, "DUPLICATE", "UNIQUE")</f>
        <v>UNIQUE</v>
      </c>
      <c r="L4118" s="18">
        <v>7</v>
      </c>
      <c r="M4118" s="28">
        <v>263</v>
      </c>
      <c r="N4118" s="6">
        <v>64</v>
      </c>
      <c r="O4118" s="30">
        <f t="shared" si="388"/>
        <v>1841</v>
      </c>
      <c r="P4118" s="30">
        <f t="shared" si="389"/>
        <v>16832</v>
      </c>
      <c r="Q4118" s="1">
        <f>COUNTIFS($P:$P, "&gt;" &amp; $P4118) + 1</f>
        <v>1229</v>
      </c>
      <c r="R4118" s="63">
        <f>(COUNTIFS($P:$P, "&gt;" &amp; $P4118) + 1) / (COUNTA($I:$I) - 1)</f>
        <v>0.24579999999999999</v>
      </c>
      <c r="S4118" s="23">
        <f>SUMIFS($P:$P, $Q:$Q, "&lt;" &amp; $Q4118)</f>
        <v>170820067</v>
      </c>
    </row>
    <row r="4119" spans="1:19" x14ac:dyDescent="0.25">
      <c r="A4119" s="1">
        <v>4114</v>
      </c>
      <c r="B4119" s="1" t="s">
        <v>3</v>
      </c>
      <c r="C4119" s="1" t="str">
        <f>IF($B4119 = "Production Item", _xlfn.XLOOKUP($A4119, 'Instrument Table'!$J:$J, 'Instrument Table'!$B:$B, $C4118), IF($B4119 = "Service Item", _xlfn.XLOOKUP($A4119, 'Instrument Table'!$I:$I, 'Instrument Table'!$B:$B, $C4118), _xlfn.XLOOKUP($A4119, 'Instrument Table'!$H:$H, 'Instrument Table'!$B:$B, $C4118)))</f>
        <v>Electric Keyboard</v>
      </c>
      <c r="D4119" s="1" t="str">
        <f>VLOOKUP($C4119, 'Instrument Table'!$B:$C, 2, FALSE)</f>
        <v>Pianos</v>
      </c>
      <c r="E4119" s="1">
        <f t="shared" si="384"/>
        <v>2</v>
      </c>
      <c r="F4119" s="1">
        <f>_xlfn.XLOOKUP($C4119, 'Instrument Table'!$B:$B, 'Instrument Table'!$A:$A, "")</f>
        <v>12</v>
      </c>
      <c r="G4119" s="1" t="str">
        <f>TEXT(IF($B4119 = "Retail Item", IF((ROW($A4119) - 4504 - _xlfn.XMATCH($C4119, $C$4506:$C$5005, 0, 1)) &lt;= VLOOKUP($C4119, 'Instrument Table'!$B:$D, 3, FALSE), ROW($A4119) - 4504 - _xlfn.XMATCH($C4119, $C$4506:$C$5005, 0, 1), 0), 0), "00")</f>
        <v>00</v>
      </c>
      <c r="H4119" s="1" t="str">
        <f t="shared" si="385"/>
        <v>003</v>
      </c>
      <c r="I4119" s="1" t="str">
        <f t="shared" si="386"/>
        <v>21200-003</v>
      </c>
      <c r="J4119" s="1" t="str">
        <f t="shared" si="387"/>
        <v>Electric keyboard service item #003</v>
      </c>
      <c r="K4119" s="1" t="str">
        <f>IF(SUM(COUNTIFS(I:I, I4119)) &gt; 1, "DUPLICATE", "UNIQUE")</f>
        <v>UNIQUE</v>
      </c>
      <c r="L4119" s="18">
        <v>8</v>
      </c>
      <c r="M4119" s="28">
        <v>235</v>
      </c>
      <c r="N4119" s="6">
        <v>64</v>
      </c>
      <c r="O4119" s="30">
        <f t="shared" si="388"/>
        <v>1880</v>
      </c>
      <c r="P4119" s="30">
        <f t="shared" si="389"/>
        <v>15040</v>
      </c>
      <c r="Q4119" s="1">
        <f>COUNTIFS($P:$P, "&gt;" &amp; $P4119) + 1</f>
        <v>1349</v>
      </c>
      <c r="R4119" s="63">
        <f>(COUNTIFS($P:$P, "&gt;" &amp; $P4119) + 1) / (COUNTA($I:$I) - 1)</f>
        <v>0.26979999999999998</v>
      </c>
      <c r="S4119" s="23">
        <f>SUMIFS($P:$P, $Q:$Q, "&lt;" &amp; $Q4119)</f>
        <v>172727892</v>
      </c>
    </row>
    <row r="4120" spans="1:19" x14ac:dyDescent="0.25">
      <c r="A4120" s="1">
        <v>4115</v>
      </c>
      <c r="B4120" s="1" t="s">
        <v>3</v>
      </c>
      <c r="C4120" s="1" t="str">
        <f>IF($B4120 = "Production Item", _xlfn.XLOOKUP($A4120, 'Instrument Table'!$J:$J, 'Instrument Table'!$B:$B, $C4119), IF($B4120 = "Service Item", _xlfn.XLOOKUP($A4120, 'Instrument Table'!$I:$I, 'Instrument Table'!$B:$B, $C4119), _xlfn.XLOOKUP($A4120, 'Instrument Table'!$H:$H, 'Instrument Table'!$B:$B, $C4119)))</f>
        <v>Electric Keyboard</v>
      </c>
      <c r="D4120" s="1" t="str">
        <f>VLOOKUP($C4120, 'Instrument Table'!$B:$C, 2, FALSE)</f>
        <v>Pianos</v>
      </c>
      <c r="E4120" s="1">
        <f t="shared" si="384"/>
        <v>2</v>
      </c>
      <c r="F4120" s="1">
        <f>_xlfn.XLOOKUP($C4120, 'Instrument Table'!$B:$B, 'Instrument Table'!$A:$A, "")</f>
        <v>12</v>
      </c>
      <c r="G4120" s="1" t="str">
        <f>TEXT(IF($B4120 = "Retail Item", IF((ROW($A4120) - 4504 - _xlfn.XMATCH($C4120, $C$4506:$C$5005, 0, 1)) &lt;= VLOOKUP($C4120, 'Instrument Table'!$B:$D, 3, FALSE), ROW($A4120) - 4504 - _xlfn.XMATCH($C4120, $C$4506:$C$5005, 0, 1), 0), 0), "00")</f>
        <v>00</v>
      </c>
      <c r="H4120" s="1" t="str">
        <f t="shared" si="385"/>
        <v>004</v>
      </c>
      <c r="I4120" s="1" t="str">
        <f t="shared" si="386"/>
        <v>21200-004</v>
      </c>
      <c r="J4120" s="1" t="str">
        <f t="shared" si="387"/>
        <v>Electric keyboard service item #004</v>
      </c>
      <c r="K4120" s="1" t="str">
        <f>IF(SUM(COUNTIFS(I:I, I4120)) &gt; 1, "DUPLICATE", "UNIQUE")</f>
        <v>UNIQUE</v>
      </c>
      <c r="L4120" s="18">
        <v>7</v>
      </c>
      <c r="M4120" s="28">
        <v>192</v>
      </c>
      <c r="N4120" s="6">
        <v>0</v>
      </c>
      <c r="O4120" s="30">
        <f t="shared" si="388"/>
        <v>1344</v>
      </c>
      <c r="P4120" s="30">
        <f t="shared" si="389"/>
        <v>0</v>
      </c>
      <c r="Q4120" s="1">
        <f>COUNTIFS($P:$P, "&gt;" &amp; $P4120) + 1</f>
        <v>4746</v>
      </c>
      <c r="R4120" s="63">
        <f>(COUNTIFS($P:$P, "&gt;" &amp; $P4120) + 1) / (COUNTA($I:$I) - 1)</f>
        <v>0.94920000000000004</v>
      </c>
      <c r="S4120" s="23">
        <f>SUMIFS($P:$P, $Q:$Q, "&lt;" &amp; $Q4120)</f>
        <v>186547861</v>
      </c>
    </row>
    <row r="4121" spans="1:19" x14ac:dyDescent="0.25">
      <c r="A4121" s="1">
        <v>4116</v>
      </c>
      <c r="B4121" s="1" t="s">
        <v>3</v>
      </c>
      <c r="C4121" s="1" t="str">
        <f>IF($B4121 = "Production Item", _xlfn.XLOOKUP($A4121, 'Instrument Table'!$J:$J, 'Instrument Table'!$B:$B, $C4120), IF($B4121 = "Service Item", _xlfn.XLOOKUP($A4121, 'Instrument Table'!$I:$I, 'Instrument Table'!$B:$B, $C4120), _xlfn.XLOOKUP($A4121, 'Instrument Table'!$H:$H, 'Instrument Table'!$B:$B, $C4120)))</f>
        <v>Electric Keyboard</v>
      </c>
      <c r="D4121" s="1" t="str">
        <f>VLOOKUP($C4121, 'Instrument Table'!$B:$C, 2, FALSE)</f>
        <v>Pianos</v>
      </c>
      <c r="E4121" s="1">
        <f t="shared" si="384"/>
        <v>2</v>
      </c>
      <c r="F4121" s="1">
        <f>_xlfn.XLOOKUP($C4121, 'Instrument Table'!$B:$B, 'Instrument Table'!$A:$A, "")</f>
        <v>12</v>
      </c>
      <c r="G4121" s="1" t="str">
        <f>TEXT(IF($B4121 = "Retail Item", IF((ROW($A4121) - 4504 - _xlfn.XMATCH($C4121, $C$4506:$C$5005, 0, 1)) &lt;= VLOOKUP($C4121, 'Instrument Table'!$B:$D, 3, FALSE), ROW($A4121) - 4504 - _xlfn.XMATCH($C4121, $C$4506:$C$5005, 0, 1), 0), 0), "00")</f>
        <v>00</v>
      </c>
      <c r="H4121" s="1" t="str">
        <f t="shared" si="385"/>
        <v>005</v>
      </c>
      <c r="I4121" s="1" t="str">
        <f t="shared" si="386"/>
        <v>21200-005</v>
      </c>
      <c r="J4121" s="1" t="str">
        <f t="shared" si="387"/>
        <v>Electric keyboard service item #005</v>
      </c>
      <c r="K4121" s="1" t="str">
        <f>IF(SUM(COUNTIFS(I:I, I4121)) &gt; 1, "DUPLICATE", "UNIQUE")</f>
        <v>UNIQUE</v>
      </c>
      <c r="L4121" s="18">
        <v>0</v>
      </c>
      <c r="M4121" s="28">
        <v>458</v>
      </c>
      <c r="N4121" s="6">
        <v>8</v>
      </c>
      <c r="O4121" s="30">
        <f t="shared" si="388"/>
        <v>0</v>
      </c>
      <c r="P4121" s="30">
        <f t="shared" si="389"/>
        <v>3664</v>
      </c>
      <c r="Q4121" s="1">
        <f>COUNTIFS($P:$P, "&gt;" &amp; $P4121) + 1</f>
        <v>2728</v>
      </c>
      <c r="R4121" s="63">
        <f>(COUNTIFS($P:$P, "&gt;" &amp; $P4121) + 1) / (COUNTA($I:$I) - 1)</f>
        <v>0.54559999999999997</v>
      </c>
      <c r="S4121" s="23">
        <f>SUMIFS($P:$P, $Q:$Q, "&lt;" &amp; $Q4121)</f>
        <v>184071298</v>
      </c>
    </row>
    <row r="4122" spans="1:19" x14ac:dyDescent="0.25">
      <c r="A4122" s="1">
        <v>4117</v>
      </c>
      <c r="B4122" s="1" t="s">
        <v>3</v>
      </c>
      <c r="C4122" s="1" t="str">
        <f>IF($B4122 = "Production Item", _xlfn.XLOOKUP($A4122, 'Instrument Table'!$J:$J, 'Instrument Table'!$B:$B, $C4121), IF($B4122 = "Service Item", _xlfn.XLOOKUP($A4122, 'Instrument Table'!$I:$I, 'Instrument Table'!$B:$B, $C4121), _xlfn.XLOOKUP($A4122, 'Instrument Table'!$H:$H, 'Instrument Table'!$B:$B, $C4121)))</f>
        <v>Electric Keyboard</v>
      </c>
      <c r="D4122" s="1" t="str">
        <f>VLOOKUP($C4122, 'Instrument Table'!$B:$C, 2, FALSE)</f>
        <v>Pianos</v>
      </c>
      <c r="E4122" s="1">
        <f t="shared" si="384"/>
        <v>2</v>
      </c>
      <c r="F4122" s="1">
        <f>_xlfn.XLOOKUP($C4122, 'Instrument Table'!$B:$B, 'Instrument Table'!$A:$A, "")</f>
        <v>12</v>
      </c>
      <c r="G4122" s="1" t="str">
        <f>TEXT(IF($B4122 = "Retail Item", IF((ROW($A4122) - 4504 - _xlfn.XMATCH($C4122, $C$4506:$C$5005, 0, 1)) &lt;= VLOOKUP($C4122, 'Instrument Table'!$B:$D, 3, FALSE), ROW($A4122) - 4504 - _xlfn.XMATCH($C4122, $C$4506:$C$5005, 0, 1), 0), 0), "00")</f>
        <v>00</v>
      </c>
      <c r="H4122" s="1" t="str">
        <f t="shared" si="385"/>
        <v>006</v>
      </c>
      <c r="I4122" s="1" t="str">
        <f t="shared" si="386"/>
        <v>21200-006</v>
      </c>
      <c r="J4122" s="1" t="str">
        <f t="shared" si="387"/>
        <v>Electric keyboard service item #006</v>
      </c>
      <c r="K4122" s="1" t="str">
        <f>IF(SUM(COUNTIFS(I:I, I4122)) &gt; 1, "DUPLICATE", "UNIQUE")</f>
        <v>UNIQUE</v>
      </c>
      <c r="L4122" s="18">
        <v>2</v>
      </c>
      <c r="M4122" s="28">
        <v>814</v>
      </c>
      <c r="N4122" s="6">
        <v>64</v>
      </c>
      <c r="O4122" s="30">
        <f t="shared" si="388"/>
        <v>1628</v>
      </c>
      <c r="P4122" s="30">
        <f t="shared" si="389"/>
        <v>52096</v>
      </c>
      <c r="Q4122" s="1">
        <f>COUNTIFS($P:$P, "&gt;" &amp; $P4122) + 1</f>
        <v>523</v>
      </c>
      <c r="R4122" s="63">
        <f>(COUNTIFS($P:$P, "&gt;" &amp; $P4122) + 1) / (COUNTA($I:$I) - 1)</f>
        <v>0.1046</v>
      </c>
      <c r="S4122" s="23">
        <f>SUMIFS($P:$P, $Q:$Q, "&lt;" &amp; $Q4122)</f>
        <v>152746599</v>
      </c>
    </row>
    <row r="4123" spans="1:19" x14ac:dyDescent="0.25">
      <c r="A4123" s="1">
        <v>4118</v>
      </c>
      <c r="B4123" s="1" t="s">
        <v>3</v>
      </c>
      <c r="C4123" s="1" t="str">
        <f>IF($B4123 = "Production Item", _xlfn.XLOOKUP($A4123, 'Instrument Table'!$J:$J, 'Instrument Table'!$B:$B, $C4122), IF($B4123 = "Service Item", _xlfn.XLOOKUP($A4123, 'Instrument Table'!$I:$I, 'Instrument Table'!$B:$B, $C4122), _xlfn.XLOOKUP($A4123, 'Instrument Table'!$H:$H, 'Instrument Table'!$B:$B, $C4122)))</f>
        <v>Electric Keyboard</v>
      </c>
      <c r="D4123" s="1" t="str">
        <f>VLOOKUP($C4123, 'Instrument Table'!$B:$C, 2, FALSE)</f>
        <v>Pianos</v>
      </c>
      <c r="E4123" s="1">
        <f t="shared" si="384"/>
        <v>2</v>
      </c>
      <c r="F4123" s="1">
        <f>_xlfn.XLOOKUP($C4123, 'Instrument Table'!$B:$B, 'Instrument Table'!$A:$A, "")</f>
        <v>12</v>
      </c>
      <c r="G4123" s="1" t="str">
        <f>TEXT(IF($B4123 = "Retail Item", IF((ROW($A4123) - 4504 - _xlfn.XMATCH($C4123, $C$4506:$C$5005, 0, 1)) &lt;= VLOOKUP($C4123, 'Instrument Table'!$B:$D, 3, FALSE), ROW($A4123) - 4504 - _xlfn.XMATCH($C4123, $C$4506:$C$5005, 0, 1), 0), 0), "00")</f>
        <v>00</v>
      </c>
      <c r="H4123" s="1" t="str">
        <f t="shared" si="385"/>
        <v>007</v>
      </c>
      <c r="I4123" s="1" t="str">
        <f t="shared" si="386"/>
        <v>21200-007</v>
      </c>
      <c r="J4123" s="1" t="str">
        <f t="shared" si="387"/>
        <v>Electric keyboard service item #007</v>
      </c>
      <c r="K4123" s="1" t="str">
        <f>IF(SUM(COUNTIFS(I:I, I4123)) &gt; 1, "DUPLICATE", "UNIQUE")</f>
        <v>UNIQUE</v>
      </c>
      <c r="L4123" s="18">
        <v>8</v>
      </c>
      <c r="M4123" s="28">
        <v>730</v>
      </c>
      <c r="N4123" s="6">
        <v>1</v>
      </c>
      <c r="O4123" s="30">
        <f t="shared" si="388"/>
        <v>5840</v>
      </c>
      <c r="P4123" s="30">
        <f t="shared" si="389"/>
        <v>730</v>
      </c>
      <c r="Q4123" s="1">
        <f>COUNTIFS($P:$P, "&gt;" &amp; $P4123) + 1</f>
        <v>3845</v>
      </c>
      <c r="R4123" s="63">
        <f>(COUNTIFS($P:$P, "&gt;" &amp; $P4123) + 1) / (COUNTA($I:$I) - 1)</f>
        <v>0.76900000000000002</v>
      </c>
      <c r="S4123" s="23">
        <f>SUMIFS($P:$P, $Q:$Q, "&lt;" &amp; $Q4123)</f>
        <v>186299896</v>
      </c>
    </row>
    <row r="4124" spans="1:19" x14ac:dyDescent="0.25">
      <c r="A4124" s="1">
        <v>4119</v>
      </c>
      <c r="B4124" s="1" t="s">
        <v>3</v>
      </c>
      <c r="C4124" s="1" t="str">
        <f>IF($B4124 = "Production Item", _xlfn.XLOOKUP($A4124, 'Instrument Table'!$J:$J, 'Instrument Table'!$B:$B, $C4123), IF($B4124 = "Service Item", _xlfn.XLOOKUP($A4124, 'Instrument Table'!$I:$I, 'Instrument Table'!$B:$B, $C4123), _xlfn.XLOOKUP($A4124, 'Instrument Table'!$H:$H, 'Instrument Table'!$B:$B, $C4123)))</f>
        <v>Electric Keyboard</v>
      </c>
      <c r="D4124" s="1" t="str">
        <f>VLOOKUP($C4124, 'Instrument Table'!$B:$C, 2, FALSE)</f>
        <v>Pianos</v>
      </c>
      <c r="E4124" s="1">
        <f t="shared" si="384"/>
        <v>2</v>
      </c>
      <c r="F4124" s="1">
        <f>_xlfn.XLOOKUP($C4124, 'Instrument Table'!$B:$B, 'Instrument Table'!$A:$A, "")</f>
        <v>12</v>
      </c>
      <c r="G4124" s="1" t="str">
        <f>TEXT(IF($B4124 = "Retail Item", IF((ROW($A4124) - 4504 - _xlfn.XMATCH($C4124, $C$4506:$C$5005, 0, 1)) &lt;= VLOOKUP($C4124, 'Instrument Table'!$B:$D, 3, FALSE), ROW($A4124) - 4504 - _xlfn.XMATCH($C4124, $C$4506:$C$5005, 0, 1), 0), 0), "00")</f>
        <v>00</v>
      </c>
      <c r="H4124" s="1" t="str">
        <f t="shared" si="385"/>
        <v>008</v>
      </c>
      <c r="I4124" s="1" t="str">
        <f t="shared" si="386"/>
        <v>21200-008</v>
      </c>
      <c r="J4124" s="1" t="str">
        <f t="shared" si="387"/>
        <v>Electric keyboard service item #008</v>
      </c>
      <c r="K4124" s="1" t="str">
        <f>IF(SUM(COUNTIFS(I:I, I4124)) &gt; 1, "DUPLICATE", "UNIQUE")</f>
        <v>UNIQUE</v>
      </c>
      <c r="L4124" s="18">
        <v>9</v>
      </c>
      <c r="M4124" s="28">
        <v>816</v>
      </c>
      <c r="N4124" s="6">
        <v>27</v>
      </c>
      <c r="O4124" s="30">
        <f t="shared" si="388"/>
        <v>7344</v>
      </c>
      <c r="P4124" s="30">
        <f t="shared" si="389"/>
        <v>22032</v>
      </c>
      <c r="Q4124" s="1">
        <f>COUNTIFS($P:$P, "&gt;" &amp; $P4124) + 1</f>
        <v>952</v>
      </c>
      <c r="R4124" s="63">
        <f>(COUNTIFS($P:$P, "&gt;" &amp; $P4124) + 1) / (COUNTA($I:$I) - 1)</f>
        <v>0.19040000000000001</v>
      </c>
      <c r="S4124" s="23">
        <f>SUMIFS($P:$P, $Q:$Q, "&lt;" &amp; $Q4124)</f>
        <v>165453532</v>
      </c>
    </row>
    <row r="4125" spans="1:19" x14ac:dyDescent="0.25">
      <c r="A4125" s="1">
        <v>4120</v>
      </c>
      <c r="B4125" s="1" t="s">
        <v>3</v>
      </c>
      <c r="C4125" s="1" t="str">
        <f>IF($B4125 = "Production Item", _xlfn.XLOOKUP($A4125, 'Instrument Table'!$J:$J, 'Instrument Table'!$B:$B, $C4124), IF($B4125 = "Service Item", _xlfn.XLOOKUP($A4125, 'Instrument Table'!$I:$I, 'Instrument Table'!$B:$B, $C4124), _xlfn.XLOOKUP($A4125, 'Instrument Table'!$H:$H, 'Instrument Table'!$B:$B, $C4124)))</f>
        <v>Electric Keyboard</v>
      </c>
      <c r="D4125" s="1" t="str">
        <f>VLOOKUP($C4125, 'Instrument Table'!$B:$C, 2, FALSE)</f>
        <v>Pianos</v>
      </c>
      <c r="E4125" s="1">
        <f t="shared" si="384"/>
        <v>2</v>
      </c>
      <c r="F4125" s="1">
        <f>_xlfn.XLOOKUP($C4125, 'Instrument Table'!$B:$B, 'Instrument Table'!$A:$A, "")</f>
        <v>12</v>
      </c>
      <c r="G4125" s="1" t="str">
        <f>TEXT(IF($B4125 = "Retail Item", IF((ROW($A4125) - 4504 - _xlfn.XMATCH($C4125, $C$4506:$C$5005, 0, 1)) &lt;= VLOOKUP($C4125, 'Instrument Table'!$B:$D, 3, FALSE), ROW($A4125) - 4504 - _xlfn.XMATCH($C4125, $C$4506:$C$5005, 0, 1), 0), 0), "00")</f>
        <v>00</v>
      </c>
      <c r="H4125" s="1" t="str">
        <f t="shared" si="385"/>
        <v>009</v>
      </c>
      <c r="I4125" s="1" t="str">
        <f t="shared" si="386"/>
        <v>21200-009</v>
      </c>
      <c r="J4125" s="1" t="str">
        <f t="shared" si="387"/>
        <v>Electric keyboard service item #009</v>
      </c>
      <c r="K4125" s="1" t="str">
        <f>IF(SUM(COUNTIFS(I:I, I4125)) &gt; 1, "DUPLICATE", "UNIQUE")</f>
        <v>UNIQUE</v>
      </c>
      <c r="L4125" s="18">
        <v>8</v>
      </c>
      <c r="M4125" s="28">
        <v>686</v>
      </c>
      <c r="N4125" s="6">
        <v>1</v>
      </c>
      <c r="O4125" s="30">
        <f t="shared" si="388"/>
        <v>5488</v>
      </c>
      <c r="P4125" s="30">
        <f t="shared" si="389"/>
        <v>686</v>
      </c>
      <c r="Q4125" s="1">
        <f>COUNTIFS($P:$P, "&gt;" &amp; $P4125) + 1</f>
        <v>3890</v>
      </c>
      <c r="R4125" s="63">
        <f>(COUNTIFS($P:$P, "&gt;" &amp; $P4125) + 1) / (COUNTA($I:$I) - 1)</f>
        <v>0.77800000000000002</v>
      </c>
      <c r="S4125" s="23">
        <f>SUMIFS($P:$P, $Q:$Q, "&lt;" &amp; $Q4125)</f>
        <v>186332074</v>
      </c>
    </row>
    <row r="4126" spans="1:19" x14ac:dyDescent="0.25">
      <c r="A4126" s="1">
        <v>4121</v>
      </c>
      <c r="B4126" s="1" t="s">
        <v>3</v>
      </c>
      <c r="C4126" s="1" t="str">
        <f>IF($B4126 = "Production Item", _xlfn.XLOOKUP($A4126, 'Instrument Table'!$J:$J, 'Instrument Table'!$B:$B, $C4125), IF($B4126 = "Service Item", _xlfn.XLOOKUP($A4126, 'Instrument Table'!$I:$I, 'Instrument Table'!$B:$B, $C4125), _xlfn.XLOOKUP($A4126, 'Instrument Table'!$H:$H, 'Instrument Table'!$B:$B, $C4125)))</f>
        <v>Electric Keyboard</v>
      </c>
      <c r="D4126" s="1" t="str">
        <f>VLOOKUP($C4126, 'Instrument Table'!$B:$C, 2, FALSE)</f>
        <v>Pianos</v>
      </c>
      <c r="E4126" s="1">
        <f t="shared" si="384"/>
        <v>2</v>
      </c>
      <c r="F4126" s="1">
        <f>_xlfn.XLOOKUP($C4126, 'Instrument Table'!$B:$B, 'Instrument Table'!$A:$A, "")</f>
        <v>12</v>
      </c>
      <c r="G4126" s="1" t="str">
        <f>TEXT(IF($B4126 = "Retail Item", IF((ROW($A4126) - 4504 - _xlfn.XMATCH($C4126, $C$4506:$C$5005, 0, 1)) &lt;= VLOOKUP($C4126, 'Instrument Table'!$B:$D, 3, FALSE), ROW($A4126) - 4504 - _xlfn.XMATCH($C4126, $C$4506:$C$5005, 0, 1), 0), 0), "00")</f>
        <v>00</v>
      </c>
      <c r="H4126" s="1" t="str">
        <f t="shared" si="385"/>
        <v>010</v>
      </c>
      <c r="I4126" s="1" t="str">
        <f t="shared" si="386"/>
        <v>21200-010</v>
      </c>
      <c r="J4126" s="1" t="str">
        <f t="shared" si="387"/>
        <v>Electric keyboard service item #010</v>
      </c>
      <c r="K4126" s="1" t="str">
        <f>IF(SUM(COUNTIFS(I:I, I4126)) &gt; 1, "DUPLICATE", "UNIQUE")</f>
        <v>UNIQUE</v>
      </c>
      <c r="L4126" s="18">
        <v>4</v>
      </c>
      <c r="M4126" s="28">
        <v>638</v>
      </c>
      <c r="N4126" s="6">
        <v>8</v>
      </c>
      <c r="O4126" s="30">
        <f t="shared" si="388"/>
        <v>2552</v>
      </c>
      <c r="P4126" s="30">
        <f t="shared" si="389"/>
        <v>5104</v>
      </c>
      <c r="Q4126" s="1">
        <f>COUNTIFS($P:$P, "&gt;" &amp; $P4126) + 1</f>
        <v>2424</v>
      </c>
      <c r="R4126" s="63">
        <f>(COUNTIFS($P:$P, "&gt;" &amp; $P4126) + 1) / (COUNTA($I:$I) - 1)</f>
        <v>0.48480000000000001</v>
      </c>
      <c r="S4126" s="23">
        <f>SUMIFS($P:$P, $Q:$Q, "&lt;" &amp; $Q4126)</f>
        <v>182740927</v>
      </c>
    </row>
    <row r="4127" spans="1:19" x14ac:dyDescent="0.25">
      <c r="A4127" s="1">
        <v>4122</v>
      </c>
      <c r="B4127" s="1" t="s">
        <v>3</v>
      </c>
      <c r="C4127" s="1" t="str">
        <f>IF($B4127 = "Production Item", _xlfn.XLOOKUP($A4127, 'Instrument Table'!$J:$J, 'Instrument Table'!$B:$B, $C4126), IF($B4127 = "Service Item", _xlfn.XLOOKUP($A4127, 'Instrument Table'!$I:$I, 'Instrument Table'!$B:$B, $C4126), _xlfn.XLOOKUP($A4127, 'Instrument Table'!$H:$H, 'Instrument Table'!$B:$B, $C4126)))</f>
        <v>Electric Keyboard</v>
      </c>
      <c r="D4127" s="1" t="str">
        <f>VLOOKUP($C4127, 'Instrument Table'!$B:$C, 2, FALSE)</f>
        <v>Pianos</v>
      </c>
      <c r="E4127" s="1">
        <f t="shared" si="384"/>
        <v>2</v>
      </c>
      <c r="F4127" s="1">
        <f>_xlfn.XLOOKUP($C4127, 'Instrument Table'!$B:$B, 'Instrument Table'!$A:$A, "")</f>
        <v>12</v>
      </c>
      <c r="G4127" s="1" t="str">
        <f>TEXT(IF($B4127 = "Retail Item", IF((ROW($A4127) - 4504 - _xlfn.XMATCH($C4127, $C$4506:$C$5005, 0, 1)) &lt;= VLOOKUP($C4127, 'Instrument Table'!$B:$D, 3, FALSE), ROW($A4127) - 4504 - _xlfn.XMATCH($C4127, $C$4506:$C$5005, 0, 1), 0), 0), "00")</f>
        <v>00</v>
      </c>
      <c r="H4127" s="1" t="str">
        <f t="shared" si="385"/>
        <v>011</v>
      </c>
      <c r="I4127" s="1" t="str">
        <f t="shared" si="386"/>
        <v>21200-011</v>
      </c>
      <c r="J4127" s="1" t="str">
        <f t="shared" si="387"/>
        <v>Electric keyboard service item #011</v>
      </c>
      <c r="K4127" s="1" t="str">
        <f>IF(SUM(COUNTIFS(I:I, I4127)) &gt; 1, "DUPLICATE", "UNIQUE")</f>
        <v>UNIQUE</v>
      </c>
      <c r="L4127" s="18">
        <v>9</v>
      </c>
      <c r="M4127" s="28">
        <v>516</v>
      </c>
      <c r="N4127" s="6">
        <v>1</v>
      </c>
      <c r="O4127" s="30">
        <f t="shared" si="388"/>
        <v>4644</v>
      </c>
      <c r="P4127" s="30">
        <f t="shared" si="389"/>
        <v>516</v>
      </c>
      <c r="Q4127" s="1">
        <f>COUNTIFS($P:$P, "&gt;" &amp; $P4127) + 1</f>
        <v>4007</v>
      </c>
      <c r="R4127" s="63">
        <f>(COUNTIFS($P:$P, "&gt;" &amp; $P4127) + 1) / (COUNTA($I:$I) - 1)</f>
        <v>0.8014</v>
      </c>
      <c r="S4127" s="23">
        <f>SUMIFS($P:$P, $Q:$Q, "&lt;" &amp; $Q4127)</f>
        <v>186401962</v>
      </c>
    </row>
    <row r="4128" spans="1:19" x14ac:dyDescent="0.25">
      <c r="A4128" s="1">
        <v>4123</v>
      </c>
      <c r="B4128" s="1" t="s">
        <v>3</v>
      </c>
      <c r="C4128" s="1" t="str">
        <f>IF($B4128 = "Production Item", _xlfn.XLOOKUP($A4128, 'Instrument Table'!$J:$J, 'Instrument Table'!$B:$B, $C4127), IF($B4128 = "Service Item", _xlfn.XLOOKUP($A4128, 'Instrument Table'!$I:$I, 'Instrument Table'!$B:$B, $C4127), _xlfn.XLOOKUP($A4128, 'Instrument Table'!$H:$H, 'Instrument Table'!$B:$B, $C4127)))</f>
        <v>Electric Keyboard</v>
      </c>
      <c r="D4128" s="1" t="str">
        <f>VLOOKUP($C4128, 'Instrument Table'!$B:$C, 2, FALSE)</f>
        <v>Pianos</v>
      </c>
      <c r="E4128" s="1">
        <f t="shared" si="384"/>
        <v>2</v>
      </c>
      <c r="F4128" s="1">
        <f>_xlfn.XLOOKUP($C4128, 'Instrument Table'!$B:$B, 'Instrument Table'!$A:$A, "")</f>
        <v>12</v>
      </c>
      <c r="G4128" s="1" t="str">
        <f>TEXT(IF($B4128 = "Retail Item", IF((ROW($A4128) - 4504 - _xlfn.XMATCH($C4128, $C$4506:$C$5005, 0, 1)) &lt;= VLOOKUP($C4128, 'Instrument Table'!$B:$D, 3, FALSE), ROW($A4128) - 4504 - _xlfn.XMATCH($C4128, $C$4506:$C$5005, 0, 1), 0), 0), "00")</f>
        <v>00</v>
      </c>
      <c r="H4128" s="1" t="str">
        <f t="shared" si="385"/>
        <v>012</v>
      </c>
      <c r="I4128" s="1" t="str">
        <f t="shared" si="386"/>
        <v>21200-012</v>
      </c>
      <c r="J4128" s="1" t="str">
        <f t="shared" si="387"/>
        <v>Electric keyboard service item #012</v>
      </c>
      <c r="K4128" s="1" t="str">
        <f>IF(SUM(COUNTIFS(I:I, I4128)) &gt; 1, "DUPLICATE", "UNIQUE")</f>
        <v>UNIQUE</v>
      </c>
      <c r="L4128" s="18">
        <v>10</v>
      </c>
      <c r="M4128" s="28">
        <v>49</v>
      </c>
      <c r="N4128" s="6">
        <v>1</v>
      </c>
      <c r="O4128" s="30">
        <f t="shared" si="388"/>
        <v>490</v>
      </c>
      <c r="P4128" s="30">
        <f t="shared" si="389"/>
        <v>49</v>
      </c>
      <c r="Q4128" s="1">
        <f>COUNTIFS($P:$P, "&gt;" &amp; $P4128) + 1</f>
        <v>4617</v>
      </c>
      <c r="R4128" s="63">
        <f>(COUNTIFS($P:$P, "&gt;" &amp; $P4128) + 1) / (COUNTA($I:$I) - 1)</f>
        <v>0.9234</v>
      </c>
      <c r="S4128" s="23">
        <f>SUMIFS($P:$P, $Q:$Q, "&lt;" &amp; $Q4128)</f>
        <v>186544585</v>
      </c>
    </row>
    <row r="4129" spans="1:19" x14ac:dyDescent="0.25">
      <c r="A4129" s="1">
        <v>4124</v>
      </c>
      <c r="B4129" s="1" t="s">
        <v>3</v>
      </c>
      <c r="C4129" s="1" t="str">
        <f>IF($B4129 = "Production Item", _xlfn.XLOOKUP($A4129, 'Instrument Table'!$J:$J, 'Instrument Table'!$B:$B, $C4128), IF($B4129 = "Service Item", _xlfn.XLOOKUP($A4129, 'Instrument Table'!$I:$I, 'Instrument Table'!$B:$B, $C4128), _xlfn.XLOOKUP($A4129, 'Instrument Table'!$H:$H, 'Instrument Table'!$B:$B, $C4128)))</f>
        <v>Electric Keyboard</v>
      </c>
      <c r="D4129" s="1" t="str">
        <f>VLOOKUP($C4129, 'Instrument Table'!$B:$C, 2, FALSE)</f>
        <v>Pianos</v>
      </c>
      <c r="E4129" s="1">
        <f t="shared" si="384"/>
        <v>2</v>
      </c>
      <c r="F4129" s="1">
        <f>_xlfn.XLOOKUP($C4129, 'Instrument Table'!$B:$B, 'Instrument Table'!$A:$A, "")</f>
        <v>12</v>
      </c>
      <c r="G4129" s="1" t="str">
        <f>TEXT(IF($B4129 = "Retail Item", IF((ROW($A4129) - 4504 - _xlfn.XMATCH($C4129, $C$4506:$C$5005, 0, 1)) &lt;= VLOOKUP($C4129, 'Instrument Table'!$B:$D, 3, FALSE), ROW($A4129) - 4504 - _xlfn.XMATCH($C4129, $C$4506:$C$5005, 0, 1), 0), 0), "00")</f>
        <v>00</v>
      </c>
      <c r="H4129" s="1" t="str">
        <f t="shared" si="385"/>
        <v>013</v>
      </c>
      <c r="I4129" s="1" t="str">
        <f t="shared" si="386"/>
        <v>21200-013</v>
      </c>
      <c r="J4129" s="1" t="str">
        <f t="shared" si="387"/>
        <v>Electric keyboard service item #013</v>
      </c>
      <c r="K4129" s="1" t="str">
        <f>IF(SUM(COUNTIFS(I:I, I4129)) &gt; 1, "DUPLICATE", "UNIQUE")</f>
        <v>UNIQUE</v>
      </c>
      <c r="L4129" s="18">
        <v>1</v>
      </c>
      <c r="M4129" s="28">
        <v>822</v>
      </c>
      <c r="N4129" s="6">
        <v>27</v>
      </c>
      <c r="O4129" s="30">
        <f t="shared" si="388"/>
        <v>822</v>
      </c>
      <c r="P4129" s="30">
        <f t="shared" si="389"/>
        <v>22194</v>
      </c>
      <c r="Q4129" s="1">
        <f>COUNTIFS($P:$P, "&gt;" &amp; $P4129) + 1</f>
        <v>945</v>
      </c>
      <c r="R4129" s="63">
        <f>(COUNTIFS($P:$P, "&gt;" &amp; $P4129) + 1) / (COUNTA($I:$I) - 1)</f>
        <v>0.189</v>
      </c>
      <c r="S4129" s="23">
        <f>SUMIFS($P:$P, $Q:$Q, "&lt;" &amp; $Q4129)</f>
        <v>165299029</v>
      </c>
    </row>
    <row r="4130" spans="1:19" x14ac:dyDescent="0.25">
      <c r="A4130" s="1">
        <v>4125</v>
      </c>
      <c r="B4130" s="1" t="s">
        <v>3</v>
      </c>
      <c r="C4130" s="1" t="str">
        <f>IF($B4130 = "Production Item", _xlfn.XLOOKUP($A4130, 'Instrument Table'!$J:$J, 'Instrument Table'!$B:$B, $C4129), IF($B4130 = "Service Item", _xlfn.XLOOKUP($A4130, 'Instrument Table'!$I:$I, 'Instrument Table'!$B:$B, $C4129), _xlfn.XLOOKUP($A4130, 'Instrument Table'!$H:$H, 'Instrument Table'!$B:$B, $C4129)))</f>
        <v>Electric Keyboard</v>
      </c>
      <c r="D4130" s="1" t="str">
        <f>VLOOKUP($C4130, 'Instrument Table'!$B:$C, 2, FALSE)</f>
        <v>Pianos</v>
      </c>
      <c r="E4130" s="1">
        <f t="shared" si="384"/>
        <v>2</v>
      </c>
      <c r="F4130" s="1">
        <f>_xlfn.XLOOKUP($C4130, 'Instrument Table'!$B:$B, 'Instrument Table'!$A:$A, "")</f>
        <v>12</v>
      </c>
      <c r="G4130" s="1" t="str">
        <f>TEXT(IF($B4130 = "Retail Item", IF((ROW($A4130) - 4504 - _xlfn.XMATCH($C4130, $C$4506:$C$5005, 0, 1)) &lt;= VLOOKUP($C4130, 'Instrument Table'!$B:$D, 3, FALSE), ROW($A4130) - 4504 - _xlfn.XMATCH($C4130, $C$4506:$C$5005, 0, 1), 0), 0), "00")</f>
        <v>00</v>
      </c>
      <c r="H4130" s="1" t="str">
        <f t="shared" si="385"/>
        <v>014</v>
      </c>
      <c r="I4130" s="1" t="str">
        <f t="shared" si="386"/>
        <v>21200-014</v>
      </c>
      <c r="J4130" s="1" t="str">
        <f t="shared" si="387"/>
        <v>Electric keyboard service item #014</v>
      </c>
      <c r="K4130" s="1" t="str">
        <f>IF(SUM(COUNTIFS(I:I, I4130)) &gt; 1, "DUPLICATE", "UNIQUE")</f>
        <v>UNIQUE</v>
      </c>
      <c r="L4130" s="18">
        <v>3</v>
      </c>
      <c r="M4130" s="28">
        <v>982</v>
      </c>
      <c r="N4130" s="6">
        <v>27</v>
      </c>
      <c r="O4130" s="30">
        <f t="shared" si="388"/>
        <v>2946</v>
      </c>
      <c r="P4130" s="30">
        <f t="shared" si="389"/>
        <v>26514</v>
      </c>
      <c r="Q4130" s="1">
        <f>COUNTIFS($P:$P, "&gt;" &amp; $P4130) + 1</f>
        <v>774</v>
      </c>
      <c r="R4130" s="63">
        <f>(COUNTIFS($P:$P, "&gt;" &amp; $P4130) + 1) / (COUNTA($I:$I) - 1)</f>
        <v>0.15479999999999999</v>
      </c>
      <c r="S4130" s="23">
        <f>SUMIFS($P:$P, $Q:$Q, "&lt;" &amp; $Q4130)</f>
        <v>161149446</v>
      </c>
    </row>
    <row r="4131" spans="1:19" x14ac:dyDescent="0.25">
      <c r="A4131" s="1">
        <v>4126</v>
      </c>
      <c r="B4131" s="1" t="s">
        <v>3</v>
      </c>
      <c r="C4131" s="1" t="str">
        <f>IF($B4131 = "Production Item", _xlfn.XLOOKUP($A4131, 'Instrument Table'!$J:$J, 'Instrument Table'!$B:$B, $C4130), IF($B4131 = "Service Item", _xlfn.XLOOKUP($A4131, 'Instrument Table'!$I:$I, 'Instrument Table'!$B:$B, $C4130), _xlfn.XLOOKUP($A4131, 'Instrument Table'!$H:$H, 'Instrument Table'!$B:$B, $C4130)))</f>
        <v>Electric Keyboard</v>
      </c>
      <c r="D4131" s="1" t="str">
        <f>VLOOKUP($C4131, 'Instrument Table'!$B:$C, 2, FALSE)</f>
        <v>Pianos</v>
      </c>
      <c r="E4131" s="1">
        <f t="shared" si="384"/>
        <v>2</v>
      </c>
      <c r="F4131" s="1">
        <f>_xlfn.XLOOKUP($C4131, 'Instrument Table'!$B:$B, 'Instrument Table'!$A:$A, "")</f>
        <v>12</v>
      </c>
      <c r="G4131" s="1" t="str">
        <f>TEXT(IF($B4131 = "Retail Item", IF((ROW($A4131) - 4504 - _xlfn.XMATCH($C4131, $C$4506:$C$5005, 0, 1)) &lt;= VLOOKUP($C4131, 'Instrument Table'!$B:$D, 3, FALSE), ROW($A4131) - 4504 - _xlfn.XMATCH($C4131, $C$4506:$C$5005, 0, 1), 0), 0), "00")</f>
        <v>00</v>
      </c>
      <c r="H4131" s="1" t="str">
        <f t="shared" si="385"/>
        <v>015</v>
      </c>
      <c r="I4131" s="1" t="str">
        <f t="shared" si="386"/>
        <v>21200-015</v>
      </c>
      <c r="J4131" s="1" t="str">
        <f t="shared" si="387"/>
        <v>Electric keyboard service item #015</v>
      </c>
      <c r="K4131" s="1" t="str">
        <f>IF(SUM(COUNTIFS(I:I, I4131)) &gt; 1, "DUPLICATE", "UNIQUE")</f>
        <v>UNIQUE</v>
      </c>
      <c r="L4131" s="18">
        <v>9</v>
      </c>
      <c r="M4131" s="28">
        <v>507</v>
      </c>
      <c r="N4131" s="6">
        <v>125</v>
      </c>
      <c r="O4131" s="30">
        <f t="shared" si="388"/>
        <v>4563</v>
      </c>
      <c r="P4131" s="30">
        <f t="shared" si="389"/>
        <v>63375</v>
      </c>
      <c r="Q4131" s="1">
        <f>COUNTIFS($P:$P, "&gt;" &amp; $P4131) + 1</f>
        <v>490</v>
      </c>
      <c r="R4131" s="63">
        <f>(COUNTIFS($P:$P, "&gt;" &amp; $P4131) + 1) / (COUNTA($I:$I) - 1)</f>
        <v>9.8000000000000004E-2</v>
      </c>
      <c r="S4131" s="23">
        <f>SUMIFS($P:$P, $Q:$Q, "&lt;" &amp; $Q4131)</f>
        <v>150846116</v>
      </c>
    </row>
    <row r="4132" spans="1:19" x14ac:dyDescent="0.25">
      <c r="A4132" s="1">
        <v>4127</v>
      </c>
      <c r="B4132" s="1" t="s">
        <v>3</v>
      </c>
      <c r="C4132" s="1" t="str">
        <f>IF($B4132 = "Production Item", _xlfn.XLOOKUP($A4132, 'Instrument Table'!$J:$J, 'Instrument Table'!$B:$B, $C4131), IF($B4132 = "Service Item", _xlfn.XLOOKUP($A4132, 'Instrument Table'!$I:$I, 'Instrument Table'!$B:$B, $C4131), _xlfn.XLOOKUP($A4132, 'Instrument Table'!$H:$H, 'Instrument Table'!$B:$B, $C4131)))</f>
        <v>Electric Keyboard</v>
      </c>
      <c r="D4132" s="1" t="str">
        <f>VLOOKUP($C4132, 'Instrument Table'!$B:$C, 2, FALSE)</f>
        <v>Pianos</v>
      </c>
      <c r="E4132" s="1">
        <f t="shared" si="384"/>
        <v>2</v>
      </c>
      <c r="F4132" s="1">
        <f>_xlfn.XLOOKUP($C4132, 'Instrument Table'!$B:$B, 'Instrument Table'!$A:$A, "")</f>
        <v>12</v>
      </c>
      <c r="G4132" s="1" t="str">
        <f>TEXT(IF($B4132 = "Retail Item", IF((ROW($A4132) - 4504 - _xlfn.XMATCH($C4132, $C$4506:$C$5005, 0, 1)) &lt;= VLOOKUP($C4132, 'Instrument Table'!$B:$D, 3, FALSE), ROW($A4132) - 4504 - _xlfn.XMATCH($C4132, $C$4506:$C$5005, 0, 1), 0), 0), "00")</f>
        <v>00</v>
      </c>
      <c r="H4132" s="1" t="str">
        <f t="shared" si="385"/>
        <v>016</v>
      </c>
      <c r="I4132" s="1" t="str">
        <f t="shared" si="386"/>
        <v>21200-016</v>
      </c>
      <c r="J4132" s="1" t="str">
        <f t="shared" si="387"/>
        <v>Electric keyboard service item #016</v>
      </c>
      <c r="K4132" s="1" t="str">
        <f>IF(SUM(COUNTIFS(I:I, I4132)) &gt; 1, "DUPLICATE", "UNIQUE")</f>
        <v>UNIQUE</v>
      </c>
      <c r="L4132" s="18">
        <v>1</v>
      </c>
      <c r="M4132" s="28">
        <v>158</v>
      </c>
      <c r="N4132" s="6">
        <v>64</v>
      </c>
      <c r="O4132" s="30">
        <f t="shared" si="388"/>
        <v>158</v>
      </c>
      <c r="P4132" s="30">
        <f t="shared" si="389"/>
        <v>10112</v>
      </c>
      <c r="Q4132" s="1">
        <f>COUNTIFS($P:$P, "&gt;" &amp; $P4132) + 1</f>
        <v>1763</v>
      </c>
      <c r="R4132" s="63">
        <f>(COUNTIFS($P:$P, "&gt;" &amp; $P4132) + 1) / (COUNTA($I:$I) - 1)</f>
        <v>0.35260000000000002</v>
      </c>
      <c r="S4132" s="23">
        <f>SUMIFS($P:$P, $Q:$Q, "&lt;" &amp; $Q4132)</f>
        <v>177875177</v>
      </c>
    </row>
    <row r="4133" spans="1:19" x14ac:dyDescent="0.25">
      <c r="A4133" s="1">
        <v>4128</v>
      </c>
      <c r="B4133" s="1" t="s">
        <v>3</v>
      </c>
      <c r="C4133" s="1" t="str">
        <f>IF($B4133 = "Production Item", _xlfn.XLOOKUP($A4133, 'Instrument Table'!$J:$J, 'Instrument Table'!$B:$B, $C4132), IF($B4133 = "Service Item", _xlfn.XLOOKUP($A4133, 'Instrument Table'!$I:$I, 'Instrument Table'!$B:$B, $C4132), _xlfn.XLOOKUP($A4133, 'Instrument Table'!$H:$H, 'Instrument Table'!$B:$B, $C4132)))</f>
        <v>Electric Keyboard</v>
      </c>
      <c r="D4133" s="1" t="str">
        <f>VLOOKUP($C4133, 'Instrument Table'!$B:$C, 2, FALSE)</f>
        <v>Pianos</v>
      </c>
      <c r="E4133" s="1">
        <f t="shared" si="384"/>
        <v>2</v>
      </c>
      <c r="F4133" s="1">
        <f>_xlfn.XLOOKUP($C4133, 'Instrument Table'!$B:$B, 'Instrument Table'!$A:$A, "")</f>
        <v>12</v>
      </c>
      <c r="G4133" s="1" t="str">
        <f>TEXT(IF($B4133 = "Retail Item", IF((ROW($A4133) - 4504 - _xlfn.XMATCH($C4133, $C$4506:$C$5005, 0, 1)) &lt;= VLOOKUP($C4133, 'Instrument Table'!$B:$D, 3, FALSE), ROW($A4133) - 4504 - _xlfn.XMATCH($C4133, $C$4506:$C$5005, 0, 1), 0), 0), "00")</f>
        <v>00</v>
      </c>
      <c r="H4133" s="1" t="str">
        <f t="shared" si="385"/>
        <v>017</v>
      </c>
      <c r="I4133" s="1" t="str">
        <f t="shared" si="386"/>
        <v>21200-017</v>
      </c>
      <c r="J4133" s="1" t="str">
        <f t="shared" si="387"/>
        <v>Electric keyboard service item #017</v>
      </c>
      <c r="K4133" s="1" t="str">
        <f>IF(SUM(COUNTIFS(I:I, I4133)) &gt; 1, "DUPLICATE", "UNIQUE")</f>
        <v>UNIQUE</v>
      </c>
      <c r="L4133" s="18">
        <v>1</v>
      </c>
      <c r="M4133" s="28">
        <v>591</v>
      </c>
      <c r="N4133" s="6">
        <v>125</v>
      </c>
      <c r="O4133" s="30">
        <f t="shared" si="388"/>
        <v>591</v>
      </c>
      <c r="P4133" s="30">
        <f t="shared" si="389"/>
        <v>73875</v>
      </c>
      <c r="Q4133" s="1">
        <f>COUNTIFS($P:$P, "&gt;" &amp; $P4133) + 1</f>
        <v>461</v>
      </c>
      <c r="R4133" s="63">
        <f>(COUNTIFS($P:$P, "&gt;" &amp; $P4133) + 1) / (COUNTA($I:$I) - 1)</f>
        <v>9.2200000000000004E-2</v>
      </c>
      <c r="S4133" s="23">
        <f>SUMIFS($P:$P, $Q:$Q, "&lt;" &amp; $Q4133)</f>
        <v>148863673</v>
      </c>
    </row>
    <row r="4134" spans="1:19" x14ac:dyDescent="0.25">
      <c r="A4134" s="1">
        <v>4129</v>
      </c>
      <c r="B4134" s="1" t="s">
        <v>3</v>
      </c>
      <c r="C4134" s="1" t="str">
        <f>IF($B4134 = "Production Item", _xlfn.XLOOKUP($A4134, 'Instrument Table'!$J:$J, 'Instrument Table'!$B:$B, $C4133), IF($B4134 = "Service Item", _xlfn.XLOOKUP($A4134, 'Instrument Table'!$I:$I, 'Instrument Table'!$B:$B, $C4133), _xlfn.XLOOKUP($A4134, 'Instrument Table'!$H:$H, 'Instrument Table'!$B:$B, $C4133)))</f>
        <v>Electric Keyboard</v>
      </c>
      <c r="D4134" s="1" t="str">
        <f>VLOOKUP($C4134, 'Instrument Table'!$B:$C, 2, FALSE)</f>
        <v>Pianos</v>
      </c>
      <c r="E4134" s="1">
        <f t="shared" si="384"/>
        <v>2</v>
      </c>
      <c r="F4134" s="1">
        <f>_xlfn.XLOOKUP($C4134, 'Instrument Table'!$B:$B, 'Instrument Table'!$A:$A, "")</f>
        <v>12</v>
      </c>
      <c r="G4134" s="1" t="str">
        <f>TEXT(IF($B4134 = "Retail Item", IF((ROW($A4134) - 4504 - _xlfn.XMATCH($C4134, $C$4506:$C$5005, 0, 1)) &lt;= VLOOKUP($C4134, 'Instrument Table'!$B:$D, 3, FALSE), ROW($A4134) - 4504 - _xlfn.XMATCH($C4134, $C$4506:$C$5005, 0, 1), 0), 0), "00")</f>
        <v>00</v>
      </c>
      <c r="H4134" s="1" t="str">
        <f t="shared" si="385"/>
        <v>018</v>
      </c>
      <c r="I4134" s="1" t="str">
        <f t="shared" si="386"/>
        <v>21200-018</v>
      </c>
      <c r="J4134" s="1" t="str">
        <f t="shared" si="387"/>
        <v>Electric keyboard service item #018</v>
      </c>
      <c r="K4134" s="1" t="str">
        <f>IF(SUM(COUNTIFS(I:I, I4134)) &gt; 1, "DUPLICATE", "UNIQUE")</f>
        <v>UNIQUE</v>
      </c>
      <c r="L4134" s="18">
        <v>10</v>
      </c>
      <c r="M4134" s="28">
        <v>974</v>
      </c>
      <c r="N4134" s="6">
        <v>27</v>
      </c>
      <c r="O4134" s="30">
        <f t="shared" si="388"/>
        <v>9740</v>
      </c>
      <c r="P4134" s="30">
        <f t="shared" si="389"/>
        <v>26298</v>
      </c>
      <c r="Q4134" s="1">
        <f>COUNTIFS($P:$P, "&gt;" &amp; $P4134) + 1</f>
        <v>782</v>
      </c>
      <c r="R4134" s="63">
        <f>(COUNTIFS($P:$P, "&gt;" &amp; $P4134) + 1) / (COUNTA($I:$I) - 1)</f>
        <v>0.15640000000000001</v>
      </c>
      <c r="S4134" s="23">
        <f>SUMIFS($P:$P, $Q:$Q, "&lt;" &amp; $Q4134)</f>
        <v>161360321</v>
      </c>
    </row>
    <row r="4135" spans="1:19" x14ac:dyDescent="0.25">
      <c r="A4135" s="1">
        <v>4130</v>
      </c>
      <c r="B4135" s="1" t="s">
        <v>3</v>
      </c>
      <c r="C4135" s="1" t="str">
        <f>IF($B4135 = "Production Item", _xlfn.XLOOKUP($A4135, 'Instrument Table'!$J:$J, 'Instrument Table'!$B:$B, $C4134), IF($B4135 = "Service Item", _xlfn.XLOOKUP($A4135, 'Instrument Table'!$I:$I, 'Instrument Table'!$B:$B, $C4134), _xlfn.XLOOKUP($A4135, 'Instrument Table'!$H:$H, 'Instrument Table'!$B:$B, $C4134)))</f>
        <v>Electric Keyboard</v>
      </c>
      <c r="D4135" s="1" t="str">
        <f>VLOOKUP($C4135, 'Instrument Table'!$B:$C, 2, FALSE)</f>
        <v>Pianos</v>
      </c>
      <c r="E4135" s="1">
        <f t="shared" si="384"/>
        <v>2</v>
      </c>
      <c r="F4135" s="1">
        <f>_xlfn.XLOOKUP($C4135, 'Instrument Table'!$B:$B, 'Instrument Table'!$A:$A, "")</f>
        <v>12</v>
      </c>
      <c r="G4135" s="1" t="str">
        <f>TEXT(IF($B4135 = "Retail Item", IF((ROW($A4135) - 4504 - _xlfn.XMATCH($C4135, $C$4506:$C$5005, 0, 1)) &lt;= VLOOKUP($C4135, 'Instrument Table'!$B:$D, 3, FALSE), ROW($A4135) - 4504 - _xlfn.XMATCH($C4135, $C$4506:$C$5005, 0, 1), 0), 0), "00")</f>
        <v>00</v>
      </c>
      <c r="H4135" s="1" t="str">
        <f t="shared" si="385"/>
        <v>019</v>
      </c>
      <c r="I4135" s="1" t="str">
        <f t="shared" si="386"/>
        <v>21200-019</v>
      </c>
      <c r="J4135" s="1" t="str">
        <f t="shared" si="387"/>
        <v>Electric keyboard service item #019</v>
      </c>
      <c r="K4135" s="1" t="str">
        <f>IF(SUM(COUNTIFS(I:I, I4135)) &gt; 1, "DUPLICATE", "UNIQUE")</f>
        <v>UNIQUE</v>
      </c>
      <c r="L4135" s="18">
        <v>1</v>
      </c>
      <c r="M4135" s="28">
        <v>160</v>
      </c>
      <c r="N4135" s="6">
        <v>64</v>
      </c>
      <c r="O4135" s="30">
        <f t="shared" si="388"/>
        <v>160</v>
      </c>
      <c r="P4135" s="30">
        <f t="shared" si="389"/>
        <v>10240</v>
      </c>
      <c r="Q4135" s="1">
        <f>COUNTIFS($P:$P, "&gt;" &amp; $P4135) + 1</f>
        <v>1754</v>
      </c>
      <c r="R4135" s="63">
        <f>(COUNTIFS($P:$P, "&gt;" &amp; $P4135) + 1) / (COUNTA($I:$I) - 1)</f>
        <v>0.3508</v>
      </c>
      <c r="S4135" s="23">
        <f>SUMIFS($P:$P, $Q:$Q, "&lt;" &amp; $Q4135)</f>
        <v>177783414</v>
      </c>
    </row>
    <row r="4136" spans="1:19" x14ac:dyDescent="0.25">
      <c r="A4136" s="1">
        <v>4131</v>
      </c>
      <c r="B4136" s="1" t="s">
        <v>3</v>
      </c>
      <c r="C4136" s="1" t="str">
        <f>IF($B4136 = "Production Item", _xlfn.XLOOKUP($A4136, 'Instrument Table'!$J:$J, 'Instrument Table'!$B:$B, $C4135), IF($B4136 = "Service Item", _xlfn.XLOOKUP($A4136, 'Instrument Table'!$I:$I, 'Instrument Table'!$B:$B, $C4135), _xlfn.XLOOKUP($A4136, 'Instrument Table'!$H:$H, 'Instrument Table'!$B:$B, $C4135)))</f>
        <v>Violin</v>
      </c>
      <c r="D4136" s="1" t="str">
        <f>VLOOKUP($C4136, 'Instrument Table'!$B:$C, 2, FALSE)</f>
        <v>Strings</v>
      </c>
      <c r="E4136" s="1">
        <f t="shared" si="384"/>
        <v>2</v>
      </c>
      <c r="F4136" s="1">
        <f>_xlfn.XLOOKUP($C4136, 'Instrument Table'!$B:$B, 'Instrument Table'!$A:$A, "")</f>
        <v>20</v>
      </c>
      <c r="G4136" s="1" t="str">
        <f>TEXT(IF($B4136 = "Retail Item", IF((ROW($A4136) - 4504 - _xlfn.XMATCH($C4136, $C$4506:$C$5005, 0, 1)) &lt;= VLOOKUP($C4136, 'Instrument Table'!$B:$D, 3, FALSE), ROW($A4136) - 4504 - _xlfn.XMATCH($C4136, $C$4506:$C$5005, 0, 1), 0), 0), "00")</f>
        <v>00</v>
      </c>
      <c r="H4136" s="1" t="str">
        <f t="shared" si="385"/>
        <v>000</v>
      </c>
      <c r="I4136" s="1" t="str">
        <f t="shared" si="386"/>
        <v>22000-000</v>
      </c>
      <c r="J4136" s="1" t="str">
        <f t="shared" si="387"/>
        <v>Violin service item #000</v>
      </c>
      <c r="K4136" s="1" t="str">
        <f>IF(SUM(COUNTIFS(I:I, I4136)) &gt; 1, "DUPLICATE", "UNIQUE")</f>
        <v>UNIQUE</v>
      </c>
      <c r="L4136" s="18">
        <v>1</v>
      </c>
      <c r="M4136" s="28">
        <v>815</v>
      </c>
      <c r="N4136" s="6">
        <v>125</v>
      </c>
      <c r="O4136" s="30">
        <f t="shared" si="388"/>
        <v>815</v>
      </c>
      <c r="P4136" s="30">
        <f t="shared" si="389"/>
        <v>101875</v>
      </c>
      <c r="Q4136" s="1">
        <f>COUNTIFS($P:$P, "&gt;" &amp; $P4136) + 1</f>
        <v>405</v>
      </c>
      <c r="R4136" s="63">
        <f>(COUNTIFS($P:$P, "&gt;" &amp; $P4136) + 1) / (COUNTA($I:$I) - 1)</f>
        <v>8.1000000000000003E-2</v>
      </c>
      <c r="S4136" s="23">
        <f>SUMIFS($P:$P, $Q:$Q, "&lt;" &amp; $Q4136)</f>
        <v>143957003</v>
      </c>
    </row>
    <row r="4137" spans="1:19" x14ac:dyDescent="0.25">
      <c r="A4137" s="1">
        <v>4132</v>
      </c>
      <c r="B4137" s="1" t="s">
        <v>3</v>
      </c>
      <c r="C4137" s="1" t="str">
        <f>IF($B4137 = "Production Item", _xlfn.XLOOKUP($A4137, 'Instrument Table'!$J:$J, 'Instrument Table'!$B:$B, $C4136), IF($B4137 = "Service Item", _xlfn.XLOOKUP($A4137, 'Instrument Table'!$I:$I, 'Instrument Table'!$B:$B, $C4136), _xlfn.XLOOKUP($A4137, 'Instrument Table'!$H:$H, 'Instrument Table'!$B:$B, $C4136)))</f>
        <v>Violin</v>
      </c>
      <c r="D4137" s="1" t="str">
        <f>VLOOKUP($C4137, 'Instrument Table'!$B:$C, 2, FALSE)</f>
        <v>Strings</v>
      </c>
      <c r="E4137" s="1">
        <f t="shared" si="384"/>
        <v>2</v>
      </c>
      <c r="F4137" s="1">
        <f>_xlfn.XLOOKUP($C4137, 'Instrument Table'!$B:$B, 'Instrument Table'!$A:$A, "")</f>
        <v>20</v>
      </c>
      <c r="G4137" s="1" t="str">
        <f>TEXT(IF($B4137 = "Retail Item", IF((ROW($A4137) - 4504 - _xlfn.XMATCH($C4137, $C$4506:$C$5005, 0, 1)) &lt;= VLOOKUP($C4137, 'Instrument Table'!$B:$D, 3, FALSE), ROW($A4137) - 4504 - _xlfn.XMATCH($C4137, $C$4506:$C$5005, 0, 1), 0), 0), "00")</f>
        <v>00</v>
      </c>
      <c r="H4137" s="1" t="str">
        <f t="shared" si="385"/>
        <v>001</v>
      </c>
      <c r="I4137" s="1" t="str">
        <f t="shared" si="386"/>
        <v>22000-001</v>
      </c>
      <c r="J4137" s="1" t="str">
        <f t="shared" si="387"/>
        <v>Violin service item #001</v>
      </c>
      <c r="K4137" s="1" t="str">
        <f>IF(SUM(COUNTIFS(I:I, I4137)) &gt; 1, "DUPLICATE", "UNIQUE")</f>
        <v>UNIQUE</v>
      </c>
      <c r="L4137" s="18">
        <v>2</v>
      </c>
      <c r="M4137" s="28">
        <v>487</v>
      </c>
      <c r="N4137" s="6">
        <v>27</v>
      </c>
      <c r="O4137" s="30">
        <f t="shared" si="388"/>
        <v>974</v>
      </c>
      <c r="P4137" s="30">
        <f t="shared" si="389"/>
        <v>13149</v>
      </c>
      <c r="Q4137" s="1">
        <f>COUNTIFS($P:$P, "&gt;" &amp; $P4137) + 1</f>
        <v>1489</v>
      </c>
      <c r="R4137" s="63">
        <f>(COUNTIFS($P:$P, "&gt;" &amp; $P4137) + 1) / (COUNTA($I:$I) - 1)</f>
        <v>0.29780000000000001</v>
      </c>
      <c r="S4137" s="23">
        <f>SUMIFS($P:$P, $Q:$Q, "&lt;" &amp; $Q4137)</f>
        <v>174695956</v>
      </c>
    </row>
    <row r="4138" spans="1:19" x14ac:dyDescent="0.25">
      <c r="A4138" s="1">
        <v>4133</v>
      </c>
      <c r="B4138" s="1" t="s">
        <v>3</v>
      </c>
      <c r="C4138" s="1" t="str">
        <f>IF($B4138 = "Production Item", _xlfn.XLOOKUP($A4138, 'Instrument Table'!$J:$J, 'Instrument Table'!$B:$B, $C4137), IF($B4138 = "Service Item", _xlfn.XLOOKUP($A4138, 'Instrument Table'!$I:$I, 'Instrument Table'!$B:$B, $C4137), _xlfn.XLOOKUP($A4138, 'Instrument Table'!$H:$H, 'Instrument Table'!$B:$B, $C4137)))</f>
        <v>Violin</v>
      </c>
      <c r="D4138" s="1" t="str">
        <f>VLOOKUP($C4138, 'Instrument Table'!$B:$C, 2, FALSE)</f>
        <v>Strings</v>
      </c>
      <c r="E4138" s="1">
        <f t="shared" si="384"/>
        <v>2</v>
      </c>
      <c r="F4138" s="1">
        <f>_xlfn.XLOOKUP($C4138, 'Instrument Table'!$B:$B, 'Instrument Table'!$A:$A, "")</f>
        <v>20</v>
      </c>
      <c r="G4138" s="1" t="str">
        <f>TEXT(IF($B4138 = "Retail Item", IF((ROW($A4138) - 4504 - _xlfn.XMATCH($C4138, $C$4506:$C$5005, 0, 1)) &lt;= VLOOKUP($C4138, 'Instrument Table'!$B:$D, 3, FALSE), ROW($A4138) - 4504 - _xlfn.XMATCH($C4138, $C$4506:$C$5005, 0, 1), 0), 0), "00")</f>
        <v>00</v>
      </c>
      <c r="H4138" s="1" t="str">
        <f t="shared" si="385"/>
        <v>002</v>
      </c>
      <c r="I4138" s="1" t="str">
        <f t="shared" si="386"/>
        <v>22000-002</v>
      </c>
      <c r="J4138" s="1" t="str">
        <f t="shared" si="387"/>
        <v>Violin service item #002</v>
      </c>
      <c r="K4138" s="1" t="str">
        <f>IF(SUM(COUNTIFS(I:I, I4138)) &gt; 1, "DUPLICATE", "UNIQUE")</f>
        <v>UNIQUE</v>
      </c>
      <c r="L4138" s="18">
        <v>2</v>
      </c>
      <c r="M4138" s="28">
        <v>501</v>
      </c>
      <c r="N4138" s="6">
        <v>0</v>
      </c>
      <c r="O4138" s="30">
        <f t="shared" si="388"/>
        <v>1002</v>
      </c>
      <c r="P4138" s="30">
        <f t="shared" si="389"/>
        <v>0</v>
      </c>
      <c r="Q4138" s="1">
        <f>COUNTIFS($P:$P, "&gt;" &amp; $P4138) + 1</f>
        <v>4746</v>
      </c>
      <c r="R4138" s="63">
        <f>(COUNTIFS($P:$P, "&gt;" &amp; $P4138) + 1) / (COUNTA($I:$I) - 1)</f>
        <v>0.94920000000000004</v>
      </c>
      <c r="S4138" s="23">
        <f>SUMIFS($P:$P, $Q:$Q, "&lt;" &amp; $Q4138)</f>
        <v>186547861</v>
      </c>
    </row>
    <row r="4139" spans="1:19" x14ac:dyDescent="0.25">
      <c r="A4139" s="1">
        <v>4134</v>
      </c>
      <c r="B4139" s="1" t="s">
        <v>3</v>
      </c>
      <c r="C4139" s="1" t="str">
        <f>IF($B4139 = "Production Item", _xlfn.XLOOKUP($A4139, 'Instrument Table'!$J:$J, 'Instrument Table'!$B:$B, $C4138), IF($B4139 = "Service Item", _xlfn.XLOOKUP($A4139, 'Instrument Table'!$I:$I, 'Instrument Table'!$B:$B, $C4138), _xlfn.XLOOKUP($A4139, 'Instrument Table'!$H:$H, 'Instrument Table'!$B:$B, $C4138)))</f>
        <v>Violin</v>
      </c>
      <c r="D4139" s="1" t="str">
        <f>VLOOKUP($C4139, 'Instrument Table'!$B:$C, 2, FALSE)</f>
        <v>Strings</v>
      </c>
      <c r="E4139" s="1">
        <f t="shared" si="384"/>
        <v>2</v>
      </c>
      <c r="F4139" s="1">
        <f>_xlfn.XLOOKUP($C4139, 'Instrument Table'!$B:$B, 'Instrument Table'!$A:$A, "")</f>
        <v>20</v>
      </c>
      <c r="G4139" s="1" t="str">
        <f>TEXT(IF($B4139 = "Retail Item", IF((ROW($A4139) - 4504 - _xlfn.XMATCH($C4139, $C$4506:$C$5005, 0, 1)) &lt;= VLOOKUP($C4139, 'Instrument Table'!$B:$D, 3, FALSE), ROW($A4139) - 4504 - _xlfn.XMATCH($C4139, $C$4506:$C$5005, 0, 1), 0), 0), "00")</f>
        <v>00</v>
      </c>
      <c r="H4139" s="1" t="str">
        <f t="shared" si="385"/>
        <v>003</v>
      </c>
      <c r="I4139" s="1" t="str">
        <f t="shared" si="386"/>
        <v>22000-003</v>
      </c>
      <c r="J4139" s="1" t="str">
        <f t="shared" si="387"/>
        <v>Violin service item #003</v>
      </c>
      <c r="K4139" s="1" t="str">
        <f>IF(SUM(COUNTIFS(I:I, I4139)) &gt; 1, "DUPLICATE", "UNIQUE")</f>
        <v>UNIQUE</v>
      </c>
      <c r="L4139" s="18">
        <v>6</v>
      </c>
      <c r="M4139" s="28">
        <v>456</v>
      </c>
      <c r="N4139" s="6">
        <v>8</v>
      </c>
      <c r="O4139" s="30">
        <f t="shared" si="388"/>
        <v>2736</v>
      </c>
      <c r="P4139" s="30">
        <f t="shared" si="389"/>
        <v>3648</v>
      </c>
      <c r="Q4139" s="1">
        <f>COUNTIFS($P:$P, "&gt;" &amp; $P4139) + 1</f>
        <v>2729</v>
      </c>
      <c r="R4139" s="63">
        <f>(COUNTIFS($P:$P, "&gt;" &amp; $P4139) + 1) / (COUNTA($I:$I) - 1)</f>
        <v>0.54579999999999995</v>
      </c>
      <c r="S4139" s="23">
        <f>SUMIFS($P:$P, $Q:$Q, "&lt;" &amp; $Q4139)</f>
        <v>184074962</v>
      </c>
    </row>
    <row r="4140" spans="1:19" x14ac:dyDescent="0.25">
      <c r="A4140" s="1">
        <v>4135</v>
      </c>
      <c r="B4140" s="1" t="s">
        <v>3</v>
      </c>
      <c r="C4140" s="1" t="str">
        <f>IF($B4140 = "Production Item", _xlfn.XLOOKUP($A4140, 'Instrument Table'!$J:$J, 'Instrument Table'!$B:$B, $C4139), IF($B4140 = "Service Item", _xlfn.XLOOKUP($A4140, 'Instrument Table'!$I:$I, 'Instrument Table'!$B:$B, $C4139), _xlfn.XLOOKUP($A4140, 'Instrument Table'!$H:$H, 'Instrument Table'!$B:$B, $C4139)))</f>
        <v>Violin</v>
      </c>
      <c r="D4140" s="1" t="str">
        <f>VLOOKUP($C4140, 'Instrument Table'!$B:$C, 2, FALSE)</f>
        <v>Strings</v>
      </c>
      <c r="E4140" s="1">
        <f t="shared" si="384"/>
        <v>2</v>
      </c>
      <c r="F4140" s="1">
        <f>_xlfn.XLOOKUP($C4140, 'Instrument Table'!$B:$B, 'Instrument Table'!$A:$A, "")</f>
        <v>20</v>
      </c>
      <c r="G4140" s="1" t="str">
        <f>TEXT(IF($B4140 = "Retail Item", IF((ROW($A4140) - 4504 - _xlfn.XMATCH($C4140, $C$4506:$C$5005, 0, 1)) &lt;= VLOOKUP($C4140, 'Instrument Table'!$B:$D, 3, FALSE), ROW($A4140) - 4504 - _xlfn.XMATCH($C4140, $C$4506:$C$5005, 0, 1), 0), 0), "00")</f>
        <v>00</v>
      </c>
      <c r="H4140" s="1" t="str">
        <f t="shared" si="385"/>
        <v>004</v>
      </c>
      <c r="I4140" s="1" t="str">
        <f t="shared" si="386"/>
        <v>22000-004</v>
      </c>
      <c r="J4140" s="1" t="str">
        <f t="shared" si="387"/>
        <v>Violin service item #004</v>
      </c>
      <c r="K4140" s="1" t="str">
        <f>IF(SUM(COUNTIFS(I:I, I4140)) &gt; 1, "DUPLICATE", "UNIQUE")</f>
        <v>UNIQUE</v>
      </c>
      <c r="L4140" s="18">
        <v>7</v>
      </c>
      <c r="M4140" s="28">
        <v>556</v>
      </c>
      <c r="N4140" s="6">
        <v>27</v>
      </c>
      <c r="O4140" s="30">
        <f t="shared" si="388"/>
        <v>3892</v>
      </c>
      <c r="P4140" s="30">
        <f t="shared" si="389"/>
        <v>15012</v>
      </c>
      <c r="Q4140" s="1">
        <f>COUNTIFS($P:$P, "&gt;" &amp; $P4140) + 1</f>
        <v>1352</v>
      </c>
      <c r="R4140" s="63">
        <f>(COUNTIFS($P:$P, "&gt;" &amp; $P4140) + 1) / (COUNTA($I:$I) - 1)</f>
        <v>0.27039999999999997</v>
      </c>
      <c r="S4140" s="23">
        <f>SUMIFS($P:$P, $Q:$Q, "&lt;" &amp; $Q4140)</f>
        <v>172772988</v>
      </c>
    </row>
    <row r="4141" spans="1:19" x14ac:dyDescent="0.25">
      <c r="A4141" s="1">
        <v>4136</v>
      </c>
      <c r="B4141" s="1" t="s">
        <v>3</v>
      </c>
      <c r="C4141" s="1" t="str">
        <f>IF($B4141 = "Production Item", _xlfn.XLOOKUP($A4141, 'Instrument Table'!$J:$J, 'Instrument Table'!$B:$B, $C4140), IF($B4141 = "Service Item", _xlfn.XLOOKUP($A4141, 'Instrument Table'!$I:$I, 'Instrument Table'!$B:$B, $C4140), _xlfn.XLOOKUP($A4141, 'Instrument Table'!$H:$H, 'Instrument Table'!$B:$B, $C4140)))</f>
        <v>Violin</v>
      </c>
      <c r="D4141" s="1" t="str">
        <f>VLOOKUP($C4141, 'Instrument Table'!$B:$C, 2, FALSE)</f>
        <v>Strings</v>
      </c>
      <c r="E4141" s="1">
        <f t="shared" si="384"/>
        <v>2</v>
      </c>
      <c r="F4141" s="1">
        <f>_xlfn.XLOOKUP($C4141, 'Instrument Table'!$B:$B, 'Instrument Table'!$A:$A, "")</f>
        <v>20</v>
      </c>
      <c r="G4141" s="1" t="str">
        <f>TEXT(IF($B4141 = "Retail Item", IF((ROW($A4141) - 4504 - _xlfn.XMATCH($C4141, $C$4506:$C$5005, 0, 1)) &lt;= VLOOKUP($C4141, 'Instrument Table'!$B:$D, 3, FALSE), ROW($A4141) - 4504 - _xlfn.XMATCH($C4141, $C$4506:$C$5005, 0, 1), 0), 0), "00")</f>
        <v>00</v>
      </c>
      <c r="H4141" s="1" t="str">
        <f t="shared" si="385"/>
        <v>005</v>
      </c>
      <c r="I4141" s="1" t="str">
        <f t="shared" si="386"/>
        <v>22000-005</v>
      </c>
      <c r="J4141" s="1" t="str">
        <f t="shared" si="387"/>
        <v>Violin service item #005</v>
      </c>
      <c r="K4141" s="1" t="str">
        <f>IF(SUM(COUNTIFS(I:I, I4141)) &gt; 1, "DUPLICATE", "UNIQUE")</f>
        <v>UNIQUE</v>
      </c>
      <c r="L4141" s="18">
        <v>8</v>
      </c>
      <c r="M4141" s="28">
        <v>528</v>
      </c>
      <c r="N4141" s="6">
        <v>1</v>
      </c>
      <c r="O4141" s="30">
        <f t="shared" si="388"/>
        <v>4224</v>
      </c>
      <c r="P4141" s="30">
        <f t="shared" si="389"/>
        <v>528</v>
      </c>
      <c r="Q4141" s="1">
        <f>COUNTIFS($P:$P, "&gt;" &amp; $P4141) + 1</f>
        <v>3999</v>
      </c>
      <c r="R4141" s="63">
        <f>(COUNTIFS($P:$P, "&gt;" &amp; $P4141) + 1) / (COUNTA($I:$I) - 1)</f>
        <v>0.79979999999999996</v>
      </c>
      <c r="S4141" s="23">
        <f>SUMIFS($P:$P, $Q:$Q, "&lt;" &amp; $Q4141)</f>
        <v>186397774</v>
      </c>
    </row>
    <row r="4142" spans="1:19" x14ac:dyDescent="0.25">
      <c r="A4142" s="1">
        <v>4137</v>
      </c>
      <c r="B4142" s="1" t="s">
        <v>3</v>
      </c>
      <c r="C4142" s="1" t="str">
        <f>IF($B4142 = "Production Item", _xlfn.XLOOKUP($A4142, 'Instrument Table'!$J:$J, 'Instrument Table'!$B:$B, $C4141), IF($B4142 = "Service Item", _xlfn.XLOOKUP($A4142, 'Instrument Table'!$I:$I, 'Instrument Table'!$B:$B, $C4141), _xlfn.XLOOKUP($A4142, 'Instrument Table'!$H:$H, 'Instrument Table'!$B:$B, $C4141)))</f>
        <v>Violin</v>
      </c>
      <c r="D4142" s="1" t="str">
        <f>VLOOKUP($C4142, 'Instrument Table'!$B:$C, 2, FALSE)</f>
        <v>Strings</v>
      </c>
      <c r="E4142" s="1">
        <f t="shared" si="384"/>
        <v>2</v>
      </c>
      <c r="F4142" s="1">
        <f>_xlfn.XLOOKUP($C4142, 'Instrument Table'!$B:$B, 'Instrument Table'!$A:$A, "")</f>
        <v>20</v>
      </c>
      <c r="G4142" s="1" t="str">
        <f>TEXT(IF($B4142 = "Retail Item", IF((ROW($A4142) - 4504 - _xlfn.XMATCH($C4142, $C$4506:$C$5005, 0, 1)) &lt;= VLOOKUP($C4142, 'Instrument Table'!$B:$D, 3, FALSE), ROW($A4142) - 4504 - _xlfn.XMATCH($C4142, $C$4506:$C$5005, 0, 1), 0), 0), "00")</f>
        <v>00</v>
      </c>
      <c r="H4142" s="1" t="str">
        <f t="shared" si="385"/>
        <v>006</v>
      </c>
      <c r="I4142" s="1" t="str">
        <f t="shared" si="386"/>
        <v>22000-006</v>
      </c>
      <c r="J4142" s="1" t="str">
        <f t="shared" si="387"/>
        <v>Violin service item #006</v>
      </c>
      <c r="K4142" s="1" t="str">
        <f>IF(SUM(COUNTIFS(I:I, I4142)) &gt; 1, "DUPLICATE", "UNIQUE")</f>
        <v>UNIQUE</v>
      </c>
      <c r="L4142" s="18">
        <v>4</v>
      </c>
      <c r="M4142" s="28">
        <v>808</v>
      </c>
      <c r="N4142" s="6">
        <v>0</v>
      </c>
      <c r="O4142" s="30">
        <f t="shared" si="388"/>
        <v>3232</v>
      </c>
      <c r="P4142" s="30">
        <f t="shared" si="389"/>
        <v>0</v>
      </c>
      <c r="Q4142" s="1">
        <f>COUNTIFS($P:$P, "&gt;" &amp; $P4142) + 1</f>
        <v>4746</v>
      </c>
      <c r="R4142" s="63">
        <f>(COUNTIFS($P:$P, "&gt;" &amp; $P4142) + 1) / (COUNTA($I:$I) - 1)</f>
        <v>0.94920000000000004</v>
      </c>
      <c r="S4142" s="23">
        <f>SUMIFS($P:$P, $Q:$Q, "&lt;" &amp; $Q4142)</f>
        <v>186547861</v>
      </c>
    </row>
    <row r="4143" spans="1:19" x14ac:dyDescent="0.25">
      <c r="A4143" s="1">
        <v>4138</v>
      </c>
      <c r="B4143" s="1" t="s">
        <v>3</v>
      </c>
      <c r="C4143" s="1" t="str">
        <f>IF($B4143 = "Production Item", _xlfn.XLOOKUP($A4143, 'Instrument Table'!$J:$J, 'Instrument Table'!$B:$B, $C4142), IF($B4143 = "Service Item", _xlfn.XLOOKUP($A4143, 'Instrument Table'!$I:$I, 'Instrument Table'!$B:$B, $C4142), _xlfn.XLOOKUP($A4143, 'Instrument Table'!$H:$H, 'Instrument Table'!$B:$B, $C4142)))</f>
        <v>Violin</v>
      </c>
      <c r="D4143" s="1" t="str">
        <f>VLOOKUP($C4143, 'Instrument Table'!$B:$C, 2, FALSE)</f>
        <v>Strings</v>
      </c>
      <c r="E4143" s="1">
        <f t="shared" si="384"/>
        <v>2</v>
      </c>
      <c r="F4143" s="1">
        <f>_xlfn.XLOOKUP($C4143, 'Instrument Table'!$B:$B, 'Instrument Table'!$A:$A, "")</f>
        <v>20</v>
      </c>
      <c r="G4143" s="1" t="str">
        <f>TEXT(IF($B4143 = "Retail Item", IF((ROW($A4143) - 4504 - _xlfn.XMATCH($C4143, $C$4506:$C$5005, 0, 1)) &lt;= VLOOKUP($C4143, 'Instrument Table'!$B:$D, 3, FALSE), ROW($A4143) - 4504 - _xlfn.XMATCH($C4143, $C$4506:$C$5005, 0, 1), 0), 0), "00")</f>
        <v>00</v>
      </c>
      <c r="H4143" s="1" t="str">
        <f t="shared" si="385"/>
        <v>007</v>
      </c>
      <c r="I4143" s="1" t="str">
        <f t="shared" si="386"/>
        <v>22000-007</v>
      </c>
      <c r="J4143" s="1" t="str">
        <f t="shared" si="387"/>
        <v>Violin service item #007</v>
      </c>
      <c r="K4143" s="1" t="str">
        <f>IF(SUM(COUNTIFS(I:I, I4143)) &gt; 1, "DUPLICATE", "UNIQUE")</f>
        <v>UNIQUE</v>
      </c>
      <c r="L4143" s="18">
        <v>6</v>
      </c>
      <c r="M4143" s="28">
        <v>650</v>
      </c>
      <c r="N4143" s="6">
        <v>0</v>
      </c>
      <c r="O4143" s="30">
        <f t="shared" si="388"/>
        <v>3900</v>
      </c>
      <c r="P4143" s="30">
        <f t="shared" si="389"/>
        <v>0</v>
      </c>
      <c r="Q4143" s="1">
        <f>COUNTIFS($P:$P, "&gt;" &amp; $P4143) + 1</f>
        <v>4746</v>
      </c>
      <c r="R4143" s="63">
        <f>(COUNTIFS($P:$P, "&gt;" &amp; $P4143) + 1) / (COUNTA($I:$I) - 1)</f>
        <v>0.94920000000000004</v>
      </c>
      <c r="S4143" s="23">
        <f>SUMIFS($P:$P, $Q:$Q, "&lt;" &amp; $Q4143)</f>
        <v>186547861</v>
      </c>
    </row>
    <row r="4144" spans="1:19" x14ac:dyDescent="0.25">
      <c r="A4144" s="1">
        <v>4139</v>
      </c>
      <c r="B4144" s="1" t="s">
        <v>3</v>
      </c>
      <c r="C4144" s="1" t="str">
        <f>IF($B4144 = "Production Item", _xlfn.XLOOKUP($A4144, 'Instrument Table'!$J:$J, 'Instrument Table'!$B:$B, $C4143), IF($B4144 = "Service Item", _xlfn.XLOOKUP($A4144, 'Instrument Table'!$I:$I, 'Instrument Table'!$B:$B, $C4143), _xlfn.XLOOKUP($A4144, 'Instrument Table'!$H:$H, 'Instrument Table'!$B:$B, $C4143)))</f>
        <v>Violin</v>
      </c>
      <c r="D4144" s="1" t="str">
        <f>VLOOKUP($C4144, 'Instrument Table'!$B:$C, 2, FALSE)</f>
        <v>Strings</v>
      </c>
      <c r="E4144" s="1">
        <f t="shared" si="384"/>
        <v>2</v>
      </c>
      <c r="F4144" s="1">
        <f>_xlfn.XLOOKUP($C4144, 'Instrument Table'!$B:$B, 'Instrument Table'!$A:$A, "")</f>
        <v>20</v>
      </c>
      <c r="G4144" s="1" t="str">
        <f>TEXT(IF($B4144 = "Retail Item", IF((ROW($A4144) - 4504 - _xlfn.XMATCH($C4144, $C$4506:$C$5005, 0, 1)) &lt;= VLOOKUP($C4144, 'Instrument Table'!$B:$D, 3, FALSE), ROW($A4144) - 4504 - _xlfn.XMATCH($C4144, $C$4506:$C$5005, 0, 1), 0), 0), "00")</f>
        <v>00</v>
      </c>
      <c r="H4144" s="1" t="str">
        <f t="shared" si="385"/>
        <v>008</v>
      </c>
      <c r="I4144" s="1" t="str">
        <f t="shared" si="386"/>
        <v>22000-008</v>
      </c>
      <c r="J4144" s="1" t="str">
        <f t="shared" si="387"/>
        <v>Violin service item #008</v>
      </c>
      <c r="K4144" s="1" t="str">
        <f>IF(SUM(COUNTIFS(I:I, I4144)) &gt; 1, "DUPLICATE", "UNIQUE")</f>
        <v>UNIQUE</v>
      </c>
      <c r="L4144" s="18">
        <v>8</v>
      </c>
      <c r="M4144" s="28">
        <v>125</v>
      </c>
      <c r="N4144" s="6">
        <v>8</v>
      </c>
      <c r="O4144" s="30">
        <f t="shared" si="388"/>
        <v>1000</v>
      </c>
      <c r="P4144" s="30">
        <f t="shared" si="389"/>
        <v>1000</v>
      </c>
      <c r="Q4144" s="1">
        <f>COUNTIFS($P:$P, "&gt;" &amp; $P4144) + 1</f>
        <v>3679</v>
      </c>
      <c r="R4144" s="63">
        <f>(COUNTIFS($P:$P, "&gt;" &amp; $P4144) + 1) / (COUNTA($I:$I) - 1)</f>
        <v>0.73580000000000001</v>
      </c>
      <c r="S4144" s="23">
        <f>SUMIFS($P:$P, $Q:$Q, "&lt;" &amp; $Q4144)</f>
        <v>186158143</v>
      </c>
    </row>
    <row r="4145" spans="1:19" x14ac:dyDescent="0.25">
      <c r="A4145" s="1">
        <v>4140</v>
      </c>
      <c r="B4145" s="1" t="s">
        <v>3</v>
      </c>
      <c r="C4145" s="1" t="str">
        <f>IF($B4145 = "Production Item", _xlfn.XLOOKUP($A4145, 'Instrument Table'!$J:$J, 'Instrument Table'!$B:$B, $C4144), IF($B4145 = "Service Item", _xlfn.XLOOKUP($A4145, 'Instrument Table'!$I:$I, 'Instrument Table'!$B:$B, $C4144), _xlfn.XLOOKUP($A4145, 'Instrument Table'!$H:$H, 'Instrument Table'!$B:$B, $C4144)))</f>
        <v>Violin</v>
      </c>
      <c r="D4145" s="1" t="str">
        <f>VLOOKUP($C4145, 'Instrument Table'!$B:$C, 2, FALSE)</f>
        <v>Strings</v>
      </c>
      <c r="E4145" s="1">
        <f t="shared" si="384"/>
        <v>2</v>
      </c>
      <c r="F4145" s="1">
        <f>_xlfn.XLOOKUP($C4145, 'Instrument Table'!$B:$B, 'Instrument Table'!$A:$A, "")</f>
        <v>20</v>
      </c>
      <c r="G4145" s="1" t="str">
        <f>TEXT(IF($B4145 = "Retail Item", IF((ROW($A4145) - 4504 - _xlfn.XMATCH($C4145, $C$4506:$C$5005, 0, 1)) &lt;= VLOOKUP($C4145, 'Instrument Table'!$B:$D, 3, FALSE), ROW($A4145) - 4504 - _xlfn.XMATCH($C4145, $C$4506:$C$5005, 0, 1), 0), 0), "00")</f>
        <v>00</v>
      </c>
      <c r="H4145" s="1" t="str">
        <f t="shared" si="385"/>
        <v>009</v>
      </c>
      <c r="I4145" s="1" t="str">
        <f t="shared" si="386"/>
        <v>22000-009</v>
      </c>
      <c r="J4145" s="1" t="str">
        <f t="shared" si="387"/>
        <v>Violin service item #009</v>
      </c>
      <c r="K4145" s="1" t="str">
        <f>IF(SUM(COUNTIFS(I:I, I4145)) &gt; 1, "DUPLICATE", "UNIQUE")</f>
        <v>UNIQUE</v>
      </c>
      <c r="L4145" s="18">
        <v>5</v>
      </c>
      <c r="M4145" s="28">
        <v>66</v>
      </c>
      <c r="N4145" s="6">
        <v>1</v>
      </c>
      <c r="O4145" s="30">
        <f t="shared" si="388"/>
        <v>330</v>
      </c>
      <c r="P4145" s="30">
        <f t="shared" si="389"/>
        <v>66</v>
      </c>
      <c r="Q4145" s="1">
        <f>COUNTIFS($P:$P, "&gt;" &amp; $P4145) + 1</f>
        <v>4547</v>
      </c>
      <c r="R4145" s="63">
        <f>(COUNTIFS($P:$P, "&gt;" &amp; $P4145) + 1) / (COUNTA($I:$I) - 1)</f>
        <v>0.90939999999999999</v>
      </c>
      <c r="S4145" s="23">
        <f>SUMIFS($P:$P, $Q:$Q, "&lt;" &amp; $Q4145)</f>
        <v>186540456</v>
      </c>
    </row>
    <row r="4146" spans="1:19" x14ac:dyDescent="0.25">
      <c r="A4146" s="1">
        <v>4141</v>
      </c>
      <c r="B4146" s="1" t="s">
        <v>3</v>
      </c>
      <c r="C4146" s="1" t="str">
        <f>IF($B4146 = "Production Item", _xlfn.XLOOKUP($A4146, 'Instrument Table'!$J:$J, 'Instrument Table'!$B:$B, $C4145), IF($B4146 = "Service Item", _xlfn.XLOOKUP($A4146, 'Instrument Table'!$I:$I, 'Instrument Table'!$B:$B, $C4145), _xlfn.XLOOKUP($A4146, 'Instrument Table'!$H:$H, 'Instrument Table'!$B:$B, $C4145)))</f>
        <v>Violin</v>
      </c>
      <c r="D4146" s="1" t="str">
        <f>VLOOKUP($C4146, 'Instrument Table'!$B:$C, 2, FALSE)</f>
        <v>Strings</v>
      </c>
      <c r="E4146" s="1">
        <f t="shared" si="384"/>
        <v>2</v>
      </c>
      <c r="F4146" s="1">
        <f>_xlfn.XLOOKUP($C4146, 'Instrument Table'!$B:$B, 'Instrument Table'!$A:$A, "")</f>
        <v>20</v>
      </c>
      <c r="G4146" s="1" t="str">
        <f>TEXT(IF($B4146 = "Retail Item", IF((ROW($A4146) - 4504 - _xlfn.XMATCH($C4146, $C$4506:$C$5005, 0, 1)) &lt;= VLOOKUP($C4146, 'Instrument Table'!$B:$D, 3, FALSE), ROW($A4146) - 4504 - _xlfn.XMATCH($C4146, $C$4506:$C$5005, 0, 1), 0), 0), "00")</f>
        <v>00</v>
      </c>
      <c r="H4146" s="1" t="str">
        <f t="shared" si="385"/>
        <v>010</v>
      </c>
      <c r="I4146" s="1" t="str">
        <f t="shared" si="386"/>
        <v>22000-010</v>
      </c>
      <c r="J4146" s="1" t="str">
        <f t="shared" si="387"/>
        <v>Violin service item #010</v>
      </c>
      <c r="K4146" s="1" t="str">
        <f>IF(SUM(COUNTIFS(I:I, I4146)) &gt; 1, "DUPLICATE", "UNIQUE")</f>
        <v>UNIQUE</v>
      </c>
      <c r="L4146" s="18">
        <v>4</v>
      </c>
      <c r="M4146" s="28">
        <v>990</v>
      </c>
      <c r="N4146" s="6">
        <v>27</v>
      </c>
      <c r="O4146" s="30">
        <f t="shared" si="388"/>
        <v>3960</v>
      </c>
      <c r="P4146" s="30">
        <f t="shared" si="389"/>
        <v>26730</v>
      </c>
      <c r="Q4146" s="1">
        <f>COUNTIFS($P:$P, "&gt;" &amp; $P4146) + 1</f>
        <v>765</v>
      </c>
      <c r="R4146" s="63">
        <f>(COUNTIFS($P:$P, "&gt;" &amp; $P4146) + 1) / (COUNTA($I:$I) - 1)</f>
        <v>0.153</v>
      </c>
      <c r="S4146" s="23">
        <f>SUMIFS($P:$P, $Q:$Q, "&lt;" &amp; $Q4146)</f>
        <v>160909702</v>
      </c>
    </row>
    <row r="4147" spans="1:19" x14ac:dyDescent="0.25">
      <c r="A4147" s="1">
        <v>4142</v>
      </c>
      <c r="B4147" s="1" t="s">
        <v>3</v>
      </c>
      <c r="C4147" s="1" t="str">
        <f>IF($B4147 = "Production Item", _xlfn.XLOOKUP($A4147, 'Instrument Table'!$J:$J, 'Instrument Table'!$B:$B, $C4146), IF($B4147 = "Service Item", _xlfn.XLOOKUP($A4147, 'Instrument Table'!$I:$I, 'Instrument Table'!$B:$B, $C4146), _xlfn.XLOOKUP($A4147, 'Instrument Table'!$H:$H, 'Instrument Table'!$B:$B, $C4146)))</f>
        <v>Violin</v>
      </c>
      <c r="D4147" s="1" t="str">
        <f>VLOOKUP($C4147, 'Instrument Table'!$B:$C, 2, FALSE)</f>
        <v>Strings</v>
      </c>
      <c r="E4147" s="1">
        <f t="shared" si="384"/>
        <v>2</v>
      </c>
      <c r="F4147" s="1">
        <f>_xlfn.XLOOKUP($C4147, 'Instrument Table'!$B:$B, 'Instrument Table'!$A:$A, "")</f>
        <v>20</v>
      </c>
      <c r="G4147" s="1" t="str">
        <f>TEXT(IF($B4147 = "Retail Item", IF((ROW($A4147) - 4504 - _xlfn.XMATCH($C4147, $C$4506:$C$5005, 0, 1)) &lt;= VLOOKUP($C4147, 'Instrument Table'!$B:$D, 3, FALSE), ROW($A4147) - 4504 - _xlfn.XMATCH($C4147, $C$4506:$C$5005, 0, 1), 0), 0), "00")</f>
        <v>00</v>
      </c>
      <c r="H4147" s="1" t="str">
        <f t="shared" si="385"/>
        <v>011</v>
      </c>
      <c r="I4147" s="1" t="str">
        <f t="shared" si="386"/>
        <v>22000-011</v>
      </c>
      <c r="J4147" s="1" t="str">
        <f t="shared" si="387"/>
        <v>Violin service item #011</v>
      </c>
      <c r="K4147" s="1" t="str">
        <f>IF(SUM(COUNTIFS(I:I, I4147)) &gt; 1, "DUPLICATE", "UNIQUE")</f>
        <v>UNIQUE</v>
      </c>
      <c r="L4147" s="18">
        <v>1</v>
      </c>
      <c r="M4147" s="28">
        <v>520</v>
      </c>
      <c r="N4147" s="6">
        <v>8</v>
      </c>
      <c r="O4147" s="30">
        <f t="shared" si="388"/>
        <v>520</v>
      </c>
      <c r="P4147" s="30">
        <f t="shared" si="389"/>
        <v>4160</v>
      </c>
      <c r="Q4147" s="1">
        <f>COUNTIFS($P:$P, "&gt;" &amp; $P4147) + 1</f>
        <v>2622</v>
      </c>
      <c r="R4147" s="63">
        <f>(COUNTIFS($P:$P, "&gt;" &amp; $P4147) + 1) / (COUNTA($I:$I) - 1)</f>
        <v>0.52439999999999998</v>
      </c>
      <c r="S4147" s="23">
        <f>SUMIFS($P:$P, $Q:$Q, "&lt;" &amp; $Q4147)</f>
        <v>183656170</v>
      </c>
    </row>
    <row r="4148" spans="1:19" x14ac:dyDescent="0.25">
      <c r="A4148" s="1">
        <v>4143</v>
      </c>
      <c r="B4148" s="1" t="s">
        <v>3</v>
      </c>
      <c r="C4148" s="1" t="str">
        <f>IF($B4148 = "Production Item", _xlfn.XLOOKUP($A4148, 'Instrument Table'!$J:$J, 'Instrument Table'!$B:$B, $C4147), IF($B4148 = "Service Item", _xlfn.XLOOKUP($A4148, 'Instrument Table'!$I:$I, 'Instrument Table'!$B:$B, $C4147), _xlfn.XLOOKUP($A4148, 'Instrument Table'!$H:$H, 'Instrument Table'!$B:$B, $C4147)))</f>
        <v>Violin</v>
      </c>
      <c r="D4148" s="1" t="str">
        <f>VLOOKUP($C4148, 'Instrument Table'!$B:$C, 2, FALSE)</f>
        <v>Strings</v>
      </c>
      <c r="E4148" s="1">
        <f t="shared" si="384"/>
        <v>2</v>
      </c>
      <c r="F4148" s="1">
        <f>_xlfn.XLOOKUP($C4148, 'Instrument Table'!$B:$B, 'Instrument Table'!$A:$A, "")</f>
        <v>20</v>
      </c>
      <c r="G4148" s="1" t="str">
        <f>TEXT(IF($B4148 = "Retail Item", IF((ROW($A4148) - 4504 - _xlfn.XMATCH($C4148, $C$4506:$C$5005, 0, 1)) &lt;= VLOOKUP($C4148, 'Instrument Table'!$B:$D, 3, FALSE), ROW($A4148) - 4504 - _xlfn.XMATCH($C4148, $C$4506:$C$5005, 0, 1), 0), 0), "00")</f>
        <v>00</v>
      </c>
      <c r="H4148" s="1" t="str">
        <f t="shared" si="385"/>
        <v>012</v>
      </c>
      <c r="I4148" s="1" t="str">
        <f t="shared" si="386"/>
        <v>22000-012</v>
      </c>
      <c r="J4148" s="1" t="str">
        <f t="shared" si="387"/>
        <v>Violin service item #012</v>
      </c>
      <c r="K4148" s="1" t="str">
        <f>IF(SUM(COUNTIFS(I:I, I4148)) &gt; 1, "DUPLICATE", "UNIQUE")</f>
        <v>UNIQUE</v>
      </c>
      <c r="L4148" s="18">
        <v>0</v>
      </c>
      <c r="M4148" s="28">
        <v>848</v>
      </c>
      <c r="N4148" s="6">
        <v>27</v>
      </c>
      <c r="O4148" s="30">
        <f t="shared" si="388"/>
        <v>0</v>
      </c>
      <c r="P4148" s="30">
        <f t="shared" si="389"/>
        <v>22896</v>
      </c>
      <c r="Q4148" s="1">
        <f>COUNTIFS($P:$P, "&gt;" &amp; $P4148) + 1</f>
        <v>908</v>
      </c>
      <c r="R4148" s="63">
        <f>(COUNTIFS($P:$P, "&gt;" &amp; $P4148) + 1) / (COUNTA($I:$I) - 1)</f>
        <v>0.18160000000000001</v>
      </c>
      <c r="S4148" s="23">
        <f>SUMIFS($P:$P, $Q:$Q, "&lt;" &amp; $Q4148)</f>
        <v>164465247</v>
      </c>
    </row>
    <row r="4149" spans="1:19" x14ac:dyDescent="0.25">
      <c r="A4149" s="1">
        <v>4144</v>
      </c>
      <c r="B4149" s="1" t="s">
        <v>3</v>
      </c>
      <c r="C4149" s="1" t="str">
        <f>IF($B4149 = "Production Item", _xlfn.XLOOKUP($A4149, 'Instrument Table'!$J:$J, 'Instrument Table'!$B:$B, $C4148), IF($B4149 = "Service Item", _xlfn.XLOOKUP($A4149, 'Instrument Table'!$I:$I, 'Instrument Table'!$B:$B, $C4148), _xlfn.XLOOKUP($A4149, 'Instrument Table'!$H:$H, 'Instrument Table'!$B:$B, $C4148)))</f>
        <v>Violin</v>
      </c>
      <c r="D4149" s="1" t="str">
        <f>VLOOKUP($C4149, 'Instrument Table'!$B:$C, 2, FALSE)</f>
        <v>Strings</v>
      </c>
      <c r="E4149" s="1">
        <f t="shared" si="384"/>
        <v>2</v>
      </c>
      <c r="F4149" s="1">
        <f>_xlfn.XLOOKUP($C4149, 'Instrument Table'!$B:$B, 'Instrument Table'!$A:$A, "")</f>
        <v>20</v>
      </c>
      <c r="G4149" s="1" t="str">
        <f>TEXT(IF($B4149 = "Retail Item", IF((ROW($A4149) - 4504 - _xlfn.XMATCH($C4149, $C$4506:$C$5005, 0, 1)) &lt;= VLOOKUP($C4149, 'Instrument Table'!$B:$D, 3, FALSE), ROW($A4149) - 4504 - _xlfn.XMATCH($C4149, $C$4506:$C$5005, 0, 1), 0), 0), "00")</f>
        <v>00</v>
      </c>
      <c r="H4149" s="1" t="str">
        <f t="shared" si="385"/>
        <v>013</v>
      </c>
      <c r="I4149" s="1" t="str">
        <f t="shared" si="386"/>
        <v>22000-013</v>
      </c>
      <c r="J4149" s="1" t="str">
        <f t="shared" si="387"/>
        <v>Violin service item #013</v>
      </c>
      <c r="K4149" s="1" t="str">
        <f>IF(SUM(COUNTIFS(I:I, I4149)) &gt; 1, "DUPLICATE", "UNIQUE")</f>
        <v>UNIQUE</v>
      </c>
      <c r="L4149" s="18">
        <v>2</v>
      </c>
      <c r="M4149" s="28">
        <v>448</v>
      </c>
      <c r="N4149" s="6">
        <v>1</v>
      </c>
      <c r="O4149" s="30">
        <f t="shared" si="388"/>
        <v>896</v>
      </c>
      <c r="P4149" s="30">
        <f t="shared" si="389"/>
        <v>448</v>
      </c>
      <c r="Q4149" s="1">
        <f>COUNTIFS($P:$P, "&gt;" &amp; $P4149) + 1</f>
        <v>4062</v>
      </c>
      <c r="R4149" s="63">
        <f>(COUNTIFS($P:$P, "&gt;" &amp; $P4149) + 1) / (COUNTA($I:$I) - 1)</f>
        <v>0.81240000000000001</v>
      </c>
      <c r="S4149" s="23">
        <f>SUMIFS($P:$P, $Q:$Q, "&lt;" &amp; $Q4149)</f>
        <v>186428850</v>
      </c>
    </row>
    <row r="4150" spans="1:19" x14ac:dyDescent="0.25">
      <c r="A4150" s="1">
        <v>4145</v>
      </c>
      <c r="B4150" s="1" t="s">
        <v>3</v>
      </c>
      <c r="C4150" s="1" t="str">
        <f>IF($B4150 = "Production Item", _xlfn.XLOOKUP($A4150, 'Instrument Table'!$J:$J, 'Instrument Table'!$B:$B, $C4149), IF($B4150 = "Service Item", _xlfn.XLOOKUP($A4150, 'Instrument Table'!$I:$I, 'Instrument Table'!$B:$B, $C4149), _xlfn.XLOOKUP($A4150, 'Instrument Table'!$H:$H, 'Instrument Table'!$B:$B, $C4149)))</f>
        <v>Violin</v>
      </c>
      <c r="D4150" s="1" t="str">
        <f>VLOOKUP($C4150, 'Instrument Table'!$B:$C, 2, FALSE)</f>
        <v>Strings</v>
      </c>
      <c r="E4150" s="1">
        <f t="shared" si="384"/>
        <v>2</v>
      </c>
      <c r="F4150" s="1">
        <f>_xlfn.XLOOKUP($C4150, 'Instrument Table'!$B:$B, 'Instrument Table'!$A:$A, "")</f>
        <v>20</v>
      </c>
      <c r="G4150" s="1" t="str">
        <f>TEXT(IF($B4150 = "Retail Item", IF((ROW($A4150) - 4504 - _xlfn.XMATCH($C4150, $C$4506:$C$5005, 0, 1)) &lt;= VLOOKUP($C4150, 'Instrument Table'!$B:$D, 3, FALSE), ROW($A4150) - 4504 - _xlfn.XMATCH($C4150, $C$4506:$C$5005, 0, 1), 0), 0), "00")</f>
        <v>00</v>
      </c>
      <c r="H4150" s="1" t="str">
        <f t="shared" si="385"/>
        <v>014</v>
      </c>
      <c r="I4150" s="1" t="str">
        <f t="shared" si="386"/>
        <v>22000-014</v>
      </c>
      <c r="J4150" s="1" t="str">
        <f t="shared" si="387"/>
        <v>Violin service item #014</v>
      </c>
      <c r="K4150" s="1" t="str">
        <f>IF(SUM(COUNTIFS(I:I, I4150)) &gt; 1, "DUPLICATE", "UNIQUE")</f>
        <v>UNIQUE</v>
      </c>
      <c r="L4150" s="18">
        <v>2</v>
      </c>
      <c r="M4150" s="28">
        <v>152</v>
      </c>
      <c r="N4150" s="6">
        <v>64</v>
      </c>
      <c r="O4150" s="30">
        <f t="shared" si="388"/>
        <v>304</v>
      </c>
      <c r="P4150" s="30">
        <f t="shared" si="389"/>
        <v>9728</v>
      </c>
      <c r="Q4150" s="1">
        <f>COUNTIFS($P:$P, "&gt;" &amp; $P4150) + 1</f>
        <v>1793</v>
      </c>
      <c r="R4150" s="63">
        <f>(COUNTIFS($P:$P, "&gt;" &amp; $P4150) + 1) / (COUNTA($I:$I) - 1)</f>
        <v>0.35859999999999997</v>
      </c>
      <c r="S4150" s="23">
        <f>SUMIFS($P:$P, $Q:$Q, "&lt;" &amp; $Q4150)</f>
        <v>178173272</v>
      </c>
    </row>
    <row r="4151" spans="1:19" x14ac:dyDescent="0.25">
      <c r="A4151" s="1">
        <v>4146</v>
      </c>
      <c r="B4151" s="1" t="s">
        <v>3</v>
      </c>
      <c r="C4151" s="1" t="str">
        <f>IF($B4151 = "Production Item", _xlfn.XLOOKUP($A4151, 'Instrument Table'!$J:$J, 'Instrument Table'!$B:$B, $C4150), IF($B4151 = "Service Item", _xlfn.XLOOKUP($A4151, 'Instrument Table'!$I:$I, 'Instrument Table'!$B:$B, $C4150), _xlfn.XLOOKUP($A4151, 'Instrument Table'!$H:$H, 'Instrument Table'!$B:$B, $C4150)))</f>
        <v>Violin</v>
      </c>
      <c r="D4151" s="1" t="str">
        <f>VLOOKUP($C4151, 'Instrument Table'!$B:$C, 2, FALSE)</f>
        <v>Strings</v>
      </c>
      <c r="E4151" s="1">
        <f t="shared" si="384"/>
        <v>2</v>
      </c>
      <c r="F4151" s="1">
        <f>_xlfn.XLOOKUP($C4151, 'Instrument Table'!$B:$B, 'Instrument Table'!$A:$A, "")</f>
        <v>20</v>
      </c>
      <c r="G4151" s="1" t="str">
        <f>TEXT(IF($B4151 = "Retail Item", IF((ROW($A4151) - 4504 - _xlfn.XMATCH($C4151, $C$4506:$C$5005, 0, 1)) &lt;= VLOOKUP($C4151, 'Instrument Table'!$B:$D, 3, FALSE), ROW($A4151) - 4504 - _xlfn.XMATCH($C4151, $C$4506:$C$5005, 0, 1), 0), 0), "00")</f>
        <v>00</v>
      </c>
      <c r="H4151" s="1" t="str">
        <f t="shared" si="385"/>
        <v>015</v>
      </c>
      <c r="I4151" s="1" t="str">
        <f t="shared" si="386"/>
        <v>22000-015</v>
      </c>
      <c r="J4151" s="1" t="str">
        <f t="shared" si="387"/>
        <v>Violin service item #015</v>
      </c>
      <c r="K4151" s="1" t="str">
        <f>IF(SUM(COUNTIFS(I:I, I4151)) &gt; 1, "DUPLICATE", "UNIQUE")</f>
        <v>UNIQUE</v>
      </c>
      <c r="L4151" s="18">
        <v>3</v>
      </c>
      <c r="M4151" s="28">
        <v>77</v>
      </c>
      <c r="N4151" s="6">
        <v>1</v>
      </c>
      <c r="O4151" s="30">
        <f t="shared" si="388"/>
        <v>231</v>
      </c>
      <c r="P4151" s="30">
        <f t="shared" si="389"/>
        <v>77</v>
      </c>
      <c r="Q4151" s="1">
        <f>COUNTIFS($P:$P, "&gt;" &amp; $P4151) + 1</f>
        <v>4521</v>
      </c>
      <c r="R4151" s="63">
        <f>(COUNTIFS($P:$P, "&gt;" &amp; $P4151) + 1) / (COUNTA($I:$I) - 1)</f>
        <v>0.9042</v>
      </c>
      <c r="S4151" s="23">
        <f>SUMIFS($P:$P, $Q:$Q, "&lt;" &amp; $Q4151)</f>
        <v>186538558</v>
      </c>
    </row>
    <row r="4152" spans="1:19" x14ac:dyDescent="0.25">
      <c r="A4152" s="1">
        <v>4147</v>
      </c>
      <c r="B4152" s="1" t="s">
        <v>3</v>
      </c>
      <c r="C4152" s="1" t="str">
        <f>IF($B4152 = "Production Item", _xlfn.XLOOKUP($A4152, 'Instrument Table'!$J:$J, 'Instrument Table'!$B:$B, $C4151), IF($B4152 = "Service Item", _xlfn.XLOOKUP($A4152, 'Instrument Table'!$I:$I, 'Instrument Table'!$B:$B, $C4151), _xlfn.XLOOKUP($A4152, 'Instrument Table'!$H:$H, 'Instrument Table'!$B:$B, $C4151)))</f>
        <v>Violin</v>
      </c>
      <c r="D4152" s="1" t="str">
        <f>VLOOKUP($C4152, 'Instrument Table'!$B:$C, 2, FALSE)</f>
        <v>Strings</v>
      </c>
      <c r="E4152" s="1">
        <f t="shared" si="384"/>
        <v>2</v>
      </c>
      <c r="F4152" s="1">
        <f>_xlfn.XLOOKUP($C4152, 'Instrument Table'!$B:$B, 'Instrument Table'!$A:$A, "")</f>
        <v>20</v>
      </c>
      <c r="G4152" s="1" t="str">
        <f>TEXT(IF($B4152 = "Retail Item", IF((ROW($A4152) - 4504 - _xlfn.XMATCH($C4152, $C$4506:$C$5005, 0, 1)) &lt;= VLOOKUP($C4152, 'Instrument Table'!$B:$D, 3, FALSE), ROW($A4152) - 4504 - _xlfn.XMATCH($C4152, $C$4506:$C$5005, 0, 1), 0), 0), "00")</f>
        <v>00</v>
      </c>
      <c r="H4152" s="1" t="str">
        <f t="shared" si="385"/>
        <v>016</v>
      </c>
      <c r="I4152" s="1" t="str">
        <f t="shared" si="386"/>
        <v>22000-016</v>
      </c>
      <c r="J4152" s="1" t="str">
        <f t="shared" si="387"/>
        <v>Violin service item #016</v>
      </c>
      <c r="K4152" s="1" t="str">
        <f>IF(SUM(COUNTIFS(I:I, I4152)) &gt; 1, "DUPLICATE", "UNIQUE")</f>
        <v>UNIQUE</v>
      </c>
      <c r="L4152" s="18">
        <v>7</v>
      </c>
      <c r="M4152" s="28">
        <v>321</v>
      </c>
      <c r="N4152" s="6">
        <v>8</v>
      </c>
      <c r="O4152" s="30">
        <f t="shared" si="388"/>
        <v>2247</v>
      </c>
      <c r="P4152" s="30">
        <f t="shared" si="389"/>
        <v>2568</v>
      </c>
      <c r="Q4152" s="1">
        <f>COUNTIFS($P:$P, "&gt;" &amp; $P4152) + 1</f>
        <v>3024</v>
      </c>
      <c r="R4152" s="63">
        <f>(COUNTIFS($P:$P, "&gt;" &amp; $P4152) + 1) / (COUNTA($I:$I) - 1)</f>
        <v>0.6048</v>
      </c>
      <c r="S4152" s="23">
        <f>SUMIFS($P:$P, $Q:$Q, "&lt;" &amp; $Q4152)</f>
        <v>184994570</v>
      </c>
    </row>
    <row r="4153" spans="1:19" x14ac:dyDescent="0.25">
      <c r="A4153" s="1">
        <v>4148</v>
      </c>
      <c r="B4153" s="1" t="s">
        <v>3</v>
      </c>
      <c r="C4153" s="1" t="str">
        <f>IF($B4153 = "Production Item", _xlfn.XLOOKUP($A4153, 'Instrument Table'!$J:$J, 'Instrument Table'!$B:$B, $C4152), IF($B4153 = "Service Item", _xlfn.XLOOKUP($A4153, 'Instrument Table'!$I:$I, 'Instrument Table'!$B:$B, $C4152), _xlfn.XLOOKUP($A4153, 'Instrument Table'!$H:$H, 'Instrument Table'!$B:$B, $C4152)))</f>
        <v>Violin</v>
      </c>
      <c r="D4153" s="1" t="str">
        <f>VLOOKUP($C4153, 'Instrument Table'!$B:$C, 2, FALSE)</f>
        <v>Strings</v>
      </c>
      <c r="E4153" s="1">
        <f t="shared" si="384"/>
        <v>2</v>
      </c>
      <c r="F4153" s="1">
        <f>_xlfn.XLOOKUP($C4153, 'Instrument Table'!$B:$B, 'Instrument Table'!$A:$A, "")</f>
        <v>20</v>
      </c>
      <c r="G4153" s="1" t="str">
        <f>TEXT(IF($B4153 = "Retail Item", IF((ROW($A4153) - 4504 - _xlfn.XMATCH($C4153, $C$4506:$C$5005, 0, 1)) &lt;= VLOOKUP($C4153, 'Instrument Table'!$B:$D, 3, FALSE), ROW($A4153) - 4504 - _xlfn.XMATCH($C4153, $C$4506:$C$5005, 0, 1), 0), 0), "00")</f>
        <v>00</v>
      </c>
      <c r="H4153" s="1" t="str">
        <f t="shared" si="385"/>
        <v>017</v>
      </c>
      <c r="I4153" s="1" t="str">
        <f t="shared" si="386"/>
        <v>22000-017</v>
      </c>
      <c r="J4153" s="1" t="str">
        <f t="shared" si="387"/>
        <v>Violin service item #017</v>
      </c>
      <c r="K4153" s="1" t="str">
        <f>IF(SUM(COUNTIFS(I:I, I4153)) &gt; 1, "DUPLICATE", "UNIQUE")</f>
        <v>UNIQUE</v>
      </c>
      <c r="L4153" s="18">
        <v>5</v>
      </c>
      <c r="M4153" s="28">
        <v>929</v>
      </c>
      <c r="N4153" s="6">
        <v>64</v>
      </c>
      <c r="O4153" s="30">
        <f t="shared" si="388"/>
        <v>4645</v>
      </c>
      <c r="P4153" s="30">
        <f t="shared" si="389"/>
        <v>59456</v>
      </c>
      <c r="Q4153" s="1">
        <f>COUNTIFS($P:$P, "&gt;" &amp; $P4153) + 1</f>
        <v>501</v>
      </c>
      <c r="R4153" s="63">
        <f>(COUNTIFS($P:$P, "&gt;" &amp; $P4153) + 1) / (COUNTA($I:$I) - 1)</f>
        <v>0.1002</v>
      </c>
      <c r="S4153" s="23">
        <f>SUMIFS($P:$P, $Q:$Q, "&lt;" &amp; $Q4153)</f>
        <v>151524757</v>
      </c>
    </row>
    <row r="4154" spans="1:19" x14ac:dyDescent="0.25">
      <c r="A4154" s="1">
        <v>4149</v>
      </c>
      <c r="B4154" s="1" t="s">
        <v>3</v>
      </c>
      <c r="C4154" s="1" t="str">
        <f>IF($B4154 = "Production Item", _xlfn.XLOOKUP($A4154, 'Instrument Table'!$J:$J, 'Instrument Table'!$B:$B, $C4153), IF($B4154 = "Service Item", _xlfn.XLOOKUP($A4154, 'Instrument Table'!$I:$I, 'Instrument Table'!$B:$B, $C4153), _xlfn.XLOOKUP($A4154, 'Instrument Table'!$H:$H, 'Instrument Table'!$B:$B, $C4153)))</f>
        <v>Violin</v>
      </c>
      <c r="D4154" s="1" t="str">
        <f>VLOOKUP($C4154, 'Instrument Table'!$B:$C, 2, FALSE)</f>
        <v>Strings</v>
      </c>
      <c r="E4154" s="1">
        <f t="shared" si="384"/>
        <v>2</v>
      </c>
      <c r="F4154" s="1">
        <f>_xlfn.XLOOKUP($C4154, 'Instrument Table'!$B:$B, 'Instrument Table'!$A:$A, "")</f>
        <v>20</v>
      </c>
      <c r="G4154" s="1" t="str">
        <f>TEXT(IF($B4154 = "Retail Item", IF((ROW($A4154) - 4504 - _xlfn.XMATCH($C4154, $C$4506:$C$5005, 0, 1)) &lt;= VLOOKUP($C4154, 'Instrument Table'!$B:$D, 3, FALSE), ROW($A4154) - 4504 - _xlfn.XMATCH($C4154, $C$4506:$C$5005, 0, 1), 0), 0), "00")</f>
        <v>00</v>
      </c>
      <c r="H4154" s="1" t="str">
        <f t="shared" si="385"/>
        <v>018</v>
      </c>
      <c r="I4154" s="1" t="str">
        <f t="shared" si="386"/>
        <v>22000-018</v>
      </c>
      <c r="J4154" s="1" t="str">
        <f t="shared" si="387"/>
        <v>Violin service item #018</v>
      </c>
      <c r="K4154" s="1" t="str">
        <f>IF(SUM(COUNTIFS(I:I, I4154)) &gt; 1, "DUPLICATE", "UNIQUE")</f>
        <v>UNIQUE</v>
      </c>
      <c r="L4154" s="18">
        <v>1</v>
      </c>
      <c r="M4154" s="28">
        <v>896</v>
      </c>
      <c r="N4154" s="6">
        <v>64</v>
      </c>
      <c r="O4154" s="30">
        <f t="shared" si="388"/>
        <v>896</v>
      </c>
      <c r="P4154" s="30">
        <f t="shared" si="389"/>
        <v>57344</v>
      </c>
      <c r="Q4154" s="1">
        <f>COUNTIFS($P:$P, "&gt;" &amp; $P4154) + 1</f>
        <v>507</v>
      </c>
      <c r="R4154" s="63">
        <f>(COUNTIFS($P:$P, "&gt;" &amp; $P4154) + 1) / (COUNTA($I:$I) - 1)</f>
        <v>0.1014</v>
      </c>
      <c r="S4154" s="23">
        <f>SUMIFS($P:$P, $Q:$Q, "&lt;" &amp; $Q4154)</f>
        <v>151874342</v>
      </c>
    </row>
    <row r="4155" spans="1:19" x14ac:dyDescent="0.25">
      <c r="A4155" s="1">
        <v>4150</v>
      </c>
      <c r="B4155" s="1" t="s">
        <v>3</v>
      </c>
      <c r="C4155" s="1" t="str">
        <f>IF($B4155 = "Production Item", _xlfn.XLOOKUP($A4155, 'Instrument Table'!$J:$J, 'Instrument Table'!$B:$B, $C4154), IF($B4155 = "Service Item", _xlfn.XLOOKUP($A4155, 'Instrument Table'!$I:$I, 'Instrument Table'!$B:$B, $C4154), _xlfn.XLOOKUP($A4155, 'Instrument Table'!$H:$H, 'Instrument Table'!$B:$B, $C4154)))</f>
        <v>Violin</v>
      </c>
      <c r="D4155" s="1" t="str">
        <f>VLOOKUP($C4155, 'Instrument Table'!$B:$C, 2, FALSE)</f>
        <v>Strings</v>
      </c>
      <c r="E4155" s="1">
        <f t="shared" si="384"/>
        <v>2</v>
      </c>
      <c r="F4155" s="1">
        <f>_xlfn.XLOOKUP($C4155, 'Instrument Table'!$B:$B, 'Instrument Table'!$A:$A, "")</f>
        <v>20</v>
      </c>
      <c r="G4155" s="1" t="str">
        <f>TEXT(IF($B4155 = "Retail Item", IF((ROW($A4155) - 4504 - _xlfn.XMATCH($C4155, $C$4506:$C$5005, 0, 1)) &lt;= VLOOKUP($C4155, 'Instrument Table'!$B:$D, 3, FALSE), ROW($A4155) - 4504 - _xlfn.XMATCH($C4155, $C$4506:$C$5005, 0, 1), 0), 0), "00")</f>
        <v>00</v>
      </c>
      <c r="H4155" s="1" t="str">
        <f t="shared" si="385"/>
        <v>019</v>
      </c>
      <c r="I4155" s="1" t="str">
        <f t="shared" si="386"/>
        <v>22000-019</v>
      </c>
      <c r="J4155" s="1" t="str">
        <f t="shared" si="387"/>
        <v>Violin service item #019</v>
      </c>
      <c r="K4155" s="1" t="str">
        <f>IF(SUM(COUNTIFS(I:I, I4155)) &gt; 1, "DUPLICATE", "UNIQUE")</f>
        <v>UNIQUE</v>
      </c>
      <c r="L4155" s="18">
        <v>5</v>
      </c>
      <c r="M4155" s="28">
        <v>441</v>
      </c>
      <c r="N4155" s="6">
        <v>8</v>
      </c>
      <c r="O4155" s="30">
        <f t="shared" si="388"/>
        <v>2205</v>
      </c>
      <c r="P4155" s="30">
        <f t="shared" si="389"/>
        <v>3528</v>
      </c>
      <c r="Q4155" s="1">
        <f>COUNTIFS($P:$P, "&gt;" &amp; $P4155) + 1</f>
        <v>2761</v>
      </c>
      <c r="R4155" s="63">
        <f>(COUNTIFS($P:$P, "&gt;" &amp; $P4155) + 1) / (COUNTA($I:$I) - 1)</f>
        <v>0.55220000000000002</v>
      </c>
      <c r="S4155" s="23">
        <f>SUMIFS($P:$P, $Q:$Q, "&lt;" &amp; $Q4155)</f>
        <v>184189975</v>
      </c>
    </row>
    <row r="4156" spans="1:19" x14ac:dyDescent="0.25">
      <c r="A4156" s="1">
        <v>4151</v>
      </c>
      <c r="B4156" s="1" t="s">
        <v>3</v>
      </c>
      <c r="C4156" s="1" t="str">
        <f>IF($B4156 = "Production Item", _xlfn.XLOOKUP($A4156, 'Instrument Table'!$J:$J, 'Instrument Table'!$B:$B, $C4155), IF($B4156 = "Service Item", _xlfn.XLOOKUP($A4156, 'Instrument Table'!$I:$I, 'Instrument Table'!$B:$B, $C4155), _xlfn.XLOOKUP($A4156, 'Instrument Table'!$H:$H, 'Instrument Table'!$B:$B, $C4155)))</f>
        <v>Violin</v>
      </c>
      <c r="D4156" s="1" t="str">
        <f>VLOOKUP($C4156, 'Instrument Table'!$B:$C, 2, FALSE)</f>
        <v>Strings</v>
      </c>
      <c r="E4156" s="1">
        <f t="shared" si="384"/>
        <v>2</v>
      </c>
      <c r="F4156" s="1">
        <f>_xlfn.XLOOKUP($C4156, 'Instrument Table'!$B:$B, 'Instrument Table'!$A:$A, "")</f>
        <v>20</v>
      </c>
      <c r="G4156" s="1" t="str">
        <f>TEXT(IF($B4156 = "Retail Item", IF((ROW($A4156) - 4504 - _xlfn.XMATCH($C4156, $C$4506:$C$5005, 0, 1)) &lt;= VLOOKUP($C4156, 'Instrument Table'!$B:$D, 3, FALSE), ROW($A4156) - 4504 - _xlfn.XMATCH($C4156, $C$4506:$C$5005, 0, 1), 0), 0), "00")</f>
        <v>00</v>
      </c>
      <c r="H4156" s="1" t="str">
        <f t="shared" si="385"/>
        <v>020</v>
      </c>
      <c r="I4156" s="1" t="str">
        <f t="shared" si="386"/>
        <v>22000-020</v>
      </c>
      <c r="J4156" s="1" t="str">
        <f t="shared" si="387"/>
        <v>Violin service item #020</v>
      </c>
      <c r="K4156" s="1" t="str">
        <f>IF(SUM(COUNTIFS(I:I, I4156)) &gt; 1, "DUPLICATE", "UNIQUE")</f>
        <v>UNIQUE</v>
      </c>
      <c r="L4156" s="18">
        <v>4</v>
      </c>
      <c r="M4156" s="28">
        <v>83</v>
      </c>
      <c r="N4156" s="6">
        <v>0</v>
      </c>
      <c r="O4156" s="30">
        <f t="shared" si="388"/>
        <v>332</v>
      </c>
      <c r="P4156" s="30">
        <f t="shared" si="389"/>
        <v>0</v>
      </c>
      <c r="Q4156" s="1">
        <f>COUNTIFS($P:$P, "&gt;" &amp; $P4156) + 1</f>
        <v>4746</v>
      </c>
      <c r="R4156" s="63">
        <f>(COUNTIFS($P:$P, "&gt;" &amp; $P4156) + 1) / (COUNTA($I:$I) - 1)</f>
        <v>0.94920000000000004</v>
      </c>
      <c r="S4156" s="23">
        <f>SUMIFS($P:$P, $Q:$Q, "&lt;" &amp; $Q4156)</f>
        <v>186547861</v>
      </c>
    </row>
    <row r="4157" spans="1:19" x14ac:dyDescent="0.25">
      <c r="A4157" s="1">
        <v>4152</v>
      </c>
      <c r="B4157" s="1" t="s">
        <v>3</v>
      </c>
      <c r="C4157" s="1" t="str">
        <f>IF($B4157 = "Production Item", _xlfn.XLOOKUP($A4157, 'Instrument Table'!$J:$J, 'Instrument Table'!$B:$B, $C4156), IF($B4157 = "Service Item", _xlfn.XLOOKUP($A4157, 'Instrument Table'!$I:$I, 'Instrument Table'!$B:$B, $C4156), _xlfn.XLOOKUP($A4157, 'Instrument Table'!$H:$H, 'Instrument Table'!$B:$B, $C4156)))</f>
        <v>Violin</v>
      </c>
      <c r="D4157" s="1" t="str">
        <f>VLOOKUP($C4157, 'Instrument Table'!$B:$C, 2, FALSE)</f>
        <v>Strings</v>
      </c>
      <c r="E4157" s="1">
        <f t="shared" si="384"/>
        <v>2</v>
      </c>
      <c r="F4157" s="1">
        <f>_xlfn.XLOOKUP($C4157, 'Instrument Table'!$B:$B, 'Instrument Table'!$A:$A, "")</f>
        <v>20</v>
      </c>
      <c r="G4157" s="1" t="str">
        <f>TEXT(IF($B4157 = "Retail Item", IF((ROW($A4157) - 4504 - _xlfn.XMATCH($C4157, $C$4506:$C$5005, 0, 1)) &lt;= VLOOKUP($C4157, 'Instrument Table'!$B:$D, 3, FALSE), ROW($A4157) - 4504 - _xlfn.XMATCH($C4157, $C$4506:$C$5005, 0, 1), 0), 0), "00")</f>
        <v>00</v>
      </c>
      <c r="H4157" s="1" t="str">
        <f t="shared" si="385"/>
        <v>021</v>
      </c>
      <c r="I4157" s="1" t="str">
        <f t="shared" si="386"/>
        <v>22000-021</v>
      </c>
      <c r="J4157" s="1" t="str">
        <f t="shared" si="387"/>
        <v>Violin service item #021</v>
      </c>
      <c r="K4157" s="1" t="str">
        <f>IF(SUM(COUNTIFS(I:I, I4157)) &gt; 1, "DUPLICATE", "UNIQUE")</f>
        <v>UNIQUE</v>
      </c>
      <c r="L4157" s="18">
        <v>9</v>
      </c>
      <c r="M4157" s="28">
        <v>149</v>
      </c>
      <c r="N4157" s="6">
        <v>125</v>
      </c>
      <c r="O4157" s="30">
        <f t="shared" si="388"/>
        <v>1341</v>
      </c>
      <c r="P4157" s="30">
        <f t="shared" si="389"/>
        <v>18625</v>
      </c>
      <c r="Q4157" s="1">
        <f>COUNTIFS($P:$P, "&gt;" &amp; $P4157) + 1</f>
        <v>1125</v>
      </c>
      <c r="R4157" s="63">
        <f>(COUNTIFS($P:$P, "&gt;" &amp; $P4157) + 1) / (COUNTA($I:$I) - 1)</f>
        <v>0.22500000000000001</v>
      </c>
      <c r="S4157" s="23">
        <f>SUMIFS($P:$P, $Q:$Q, "&lt;" &amp; $Q4157)</f>
        <v>168975186</v>
      </c>
    </row>
    <row r="4158" spans="1:19" x14ac:dyDescent="0.25">
      <c r="A4158" s="1">
        <v>4153</v>
      </c>
      <c r="B4158" s="1" t="s">
        <v>3</v>
      </c>
      <c r="C4158" s="1" t="str">
        <f>IF($B4158 = "Production Item", _xlfn.XLOOKUP($A4158, 'Instrument Table'!$J:$J, 'Instrument Table'!$B:$B, $C4157), IF($B4158 = "Service Item", _xlfn.XLOOKUP($A4158, 'Instrument Table'!$I:$I, 'Instrument Table'!$B:$B, $C4157), _xlfn.XLOOKUP($A4158, 'Instrument Table'!$H:$H, 'Instrument Table'!$B:$B, $C4157)))</f>
        <v>Violin</v>
      </c>
      <c r="D4158" s="1" t="str">
        <f>VLOOKUP($C4158, 'Instrument Table'!$B:$C, 2, FALSE)</f>
        <v>Strings</v>
      </c>
      <c r="E4158" s="1">
        <f t="shared" si="384"/>
        <v>2</v>
      </c>
      <c r="F4158" s="1">
        <f>_xlfn.XLOOKUP($C4158, 'Instrument Table'!$B:$B, 'Instrument Table'!$A:$A, "")</f>
        <v>20</v>
      </c>
      <c r="G4158" s="1" t="str">
        <f>TEXT(IF($B4158 = "Retail Item", IF((ROW($A4158) - 4504 - _xlfn.XMATCH($C4158, $C$4506:$C$5005, 0, 1)) &lt;= VLOOKUP($C4158, 'Instrument Table'!$B:$D, 3, FALSE), ROW($A4158) - 4504 - _xlfn.XMATCH($C4158, $C$4506:$C$5005, 0, 1), 0), 0), "00")</f>
        <v>00</v>
      </c>
      <c r="H4158" s="1" t="str">
        <f t="shared" si="385"/>
        <v>022</v>
      </c>
      <c r="I4158" s="1" t="str">
        <f t="shared" si="386"/>
        <v>22000-022</v>
      </c>
      <c r="J4158" s="1" t="str">
        <f t="shared" si="387"/>
        <v>Violin service item #022</v>
      </c>
      <c r="K4158" s="1" t="str">
        <f>IF(SUM(COUNTIFS(I:I, I4158)) &gt; 1, "DUPLICATE", "UNIQUE")</f>
        <v>UNIQUE</v>
      </c>
      <c r="L4158" s="18">
        <v>4</v>
      </c>
      <c r="M4158" s="28">
        <v>402</v>
      </c>
      <c r="N4158" s="6">
        <v>27</v>
      </c>
      <c r="O4158" s="30">
        <f t="shared" si="388"/>
        <v>1608</v>
      </c>
      <c r="P4158" s="30">
        <f t="shared" si="389"/>
        <v>10854</v>
      </c>
      <c r="Q4158" s="1">
        <f>COUNTIFS($P:$P, "&gt;" &amp; $P4158) + 1</f>
        <v>1697</v>
      </c>
      <c r="R4158" s="63">
        <f>(COUNTIFS($P:$P, "&gt;" &amp; $P4158) + 1) / (COUNTA($I:$I) - 1)</f>
        <v>0.33939999999999998</v>
      </c>
      <c r="S4158" s="23">
        <f>SUMIFS($P:$P, $Q:$Q, "&lt;" &amp; $Q4158)</f>
        <v>177180922</v>
      </c>
    </row>
    <row r="4159" spans="1:19" x14ac:dyDescent="0.25">
      <c r="A4159" s="1">
        <v>4154</v>
      </c>
      <c r="B4159" s="1" t="s">
        <v>3</v>
      </c>
      <c r="C4159" s="1" t="str">
        <f>IF($B4159 = "Production Item", _xlfn.XLOOKUP($A4159, 'Instrument Table'!$J:$J, 'Instrument Table'!$B:$B, $C4158), IF($B4159 = "Service Item", _xlfn.XLOOKUP($A4159, 'Instrument Table'!$I:$I, 'Instrument Table'!$B:$B, $C4158), _xlfn.XLOOKUP($A4159, 'Instrument Table'!$H:$H, 'Instrument Table'!$B:$B, $C4158)))</f>
        <v>Violin</v>
      </c>
      <c r="D4159" s="1" t="str">
        <f>VLOOKUP($C4159, 'Instrument Table'!$B:$C, 2, FALSE)</f>
        <v>Strings</v>
      </c>
      <c r="E4159" s="1">
        <f t="shared" si="384"/>
        <v>2</v>
      </c>
      <c r="F4159" s="1">
        <f>_xlfn.XLOOKUP($C4159, 'Instrument Table'!$B:$B, 'Instrument Table'!$A:$A, "")</f>
        <v>20</v>
      </c>
      <c r="G4159" s="1" t="str">
        <f>TEXT(IF($B4159 = "Retail Item", IF((ROW($A4159) - 4504 - _xlfn.XMATCH($C4159, $C$4506:$C$5005, 0, 1)) &lt;= VLOOKUP($C4159, 'Instrument Table'!$B:$D, 3, FALSE), ROW($A4159) - 4504 - _xlfn.XMATCH($C4159, $C$4506:$C$5005, 0, 1), 0), 0), "00")</f>
        <v>00</v>
      </c>
      <c r="H4159" s="1" t="str">
        <f t="shared" si="385"/>
        <v>023</v>
      </c>
      <c r="I4159" s="1" t="str">
        <f t="shared" si="386"/>
        <v>22000-023</v>
      </c>
      <c r="J4159" s="1" t="str">
        <f t="shared" si="387"/>
        <v>Violin service item #023</v>
      </c>
      <c r="K4159" s="1" t="str">
        <f>IF(SUM(COUNTIFS(I:I, I4159)) &gt; 1, "DUPLICATE", "UNIQUE")</f>
        <v>UNIQUE</v>
      </c>
      <c r="L4159" s="18">
        <v>3</v>
      </c>
      <c r="M4159" s="28">
        <v>972</v>
      </c>
      <c r="N4159" s="6">
        <v>8</v>
      </c>
      <c r="O4159" s="30">
        <f t="shared" si="388"/>
        <v>2916</v>
      </c>
      <c r="P4159" s="30">
        <f t="shared" si="389"/>
        <v>7776</v>
      </c>
      <c r="Q4159" s="1">
        <f>COUNTIFS($P:$P, "&gt;" &amp; $P4159) + 1</f>
        <v>2019</v>
      </c>
      <c r="R4159" s="63">
        <f>(COUNTIFS($P:$P, "&gt;" &amp; $P4159) + 1) / (COUNTA($I:$I) - 1)</f>
        <v>0.40379999999999999</v>
      </c>
      <c r="S4159" s="23">
        <f>SUMIFS($P:$P, $Q:$Q, "&lt;" &amp; $Q4159)</f>
        <v>180145621</v>
      </c>
    </row>
    <row r="4160" spans="1:19" x14ac:dyDescent="0.25">
      <c r="A4160" s="1">
        <v>4155</v>
      </c>
      <c r="B4160" s="1" t="s">
        <v>3</v>
      </c>
      <c r="C4160" s="1" t="str">
        <f>IF($B4160 = "Production Item", _xlfn.XLOOKUP($A4160, 'Instrument Table'!$J:$J, 'Instrument Table'!$B:$B, $C4159), IF($B4160 = "Service Item", _xlfn.XLOOKUP($A4160, 'Instrument Table'!$I:$I, 'Instrument Table'!$B:$B, $C4159), _xlfn.XLOOKUP($A4160, 'Instrument Table'!$H:$H, 'Instrument Table'!$B:$B, $C4159)))</f>
        <v>Violin</v>
      </c>
      <c r="D4160" s="1" t="str">
        <f>VLOOKUP($C4160, 'Instrument Table'!$B:$C, 2, FALSE)</f>
        <v>Strings</v>
      </c>
      <c r="E4160" s="1">
        <f t="shared" si="384"/>
        <v>2</v>
      </c>
      <c r="F4160" s="1">
        <f>_xlfn.XLOOKUP($C4160, 'Instrument Table'!$B:$B, 'Instrument Table'!$A:$A, "")</f>
        <v>20</v>
      </c>
      <c r="G4160" s="1" t="str">
        <f>TEXT(IF($B4160 = "Retail Item", IF((ROW($A4160) - 4504 - _xlfn.XMATCH($C4160, $C$4506:$C$5005, 0, 1)) &lt;= VLOOKUP($C4160, 'Instrument Table'!$B:$D, 3, FALSE), ROW($A4160) - 4504 - _xlfn.XMATCH($C4160, $C$4506:$C$5005, 0, 1), 0), 0), "00")</f>
        <v>00</v>
      </c>
      <c r="H4160" s="1" t="str">
        <f t="shared" si="385"/>
        <v>024</v>
      </c>
      <c r="I4160" s="1" t="str">
        <f t="shared" si="386"/>
        <v>22000-024</v>
      </c>
      <c r="J4160" s="1" t="str">
        <f t="shared" si="387"/>
        <v>Violin service item #024</v>
      </c>
      <c r="K4160" s="1" t="str">
        <f>IF(SUM(COUNTIFS(I:I, I4160)) &gt; 1, "DUPLICATE", "UNIQUE")</f>
        <v>UNIQUE</v>
      </c>
      <c r="L4160" s="18">
        <v>0</v>
      </c>
      <c r="M4160" s="28">
        <v>317</v>
      </c>
      <c r="N4160" s="6">
        <v>64</v>
      </c>
      <c r="O4160" s="30">
        <f t="shared" si="388"/>
        <v>0</v>
      </c>
      <c r="P4160" s="30">
        <f t="shared" si="389"/>
        <v>20288</v>
      </c>
      <c r="Q4160" s="1">
        <f>COUNTIFS($P:$P, "&gt;" &amp; $P4160) + 1</f>
        <v>1041</v>
      </c>
      <c r="R4160" s="63">
        <f>(COUNTIFS($P:$P, "&gt;" &amp; $P4160) + 1) / (COUNTA($I:$I) - 1)</f>
        <v>0.2082</v>
      </c>
      <c r="S4160" s="23">
        <f>SUMIFS($P:$P, $Q:$Q, "&lt;" &amp; $Q4160)</f>
        <v>167340268</v>
      </c>
    </row>
    <row r="4161" spans="1:19" x14ac:dyDescent="0.25">
      <c r="A4161" s="1">
        <v>4156</v>
      </c>
      <c r="B4161" s="1" t="s">
        <v>3</v>
      </c>
      <c r="C4161" s="1" t="str">
        <f>IF($B4161 = "Production Item", _xlfn.XLOOKUP($A4161, 'Instrument Table'!$J:$J, 'Instrument Table'!$B:$B, $C4160), IF($B4161 = "Service Item", _xlfn.XLOOKUP($A4161, 'Instrument Table'!$I:$I, 'Instrument Table'!$B:$B, $C4160), _xlfn.XLOOKUP($A4161, 'Instrument Table'!$H:$H, 'Instrument Table'!$B:$B, $C4160)))</f>
        <v>Violin</v>
      </c>
      <c r="D4161" s="1" t="str">
        <f>VLOOKUP($C4161, 'Instrument Table'!$B:$C, 2, FALSE)</f>
        <v>Strings</v>
      </c>
      <c r="E4161" s="1">
        <f t="shared" si="384"/>
        <v>2</v>
      </c>
      <c r="F4161" s="1">
        <f>_xlfn.XLOOKUP($C4161, 'Instrument Table'!$B:$B, 'Instrument Table'!$A:$A, "")</f>
        <v>20</v>
      </c>
      <c r="G4161" s="1" t="str">
        <f>TEXT(IF($B4161 = "Retail Item", IF((ROW($A4161) - 4504 - _xlfn.XMATCH($C4161, $C$4506:$C$5005, 0, 1)) &lt;= VLOOKUP($C4161, 'Instrument Table'!$B:$D, 3, FALSE), ROW($A4161) - 4504 - _xlfn.XMATCH($C4161, $C$4506:$C$5005, 0, 1), 0), 0), "00")</f>
        <v>00</v>
      </c>
      <c r="H4161" s="1" t="str">
        <f t="shared" si="385"/>
        <v>025</v>
      </c>
      <c r="I4161" s="1" t="str">
        <f t="shared" si="386"/>
        <v>22000-025</v>
      </c>
      <c r="J4161" s="1" t="str">
        <f t="shared" si="387"/>
        <v>Violin service item #025</v>
      </c>
      <c r="K4161" s="1" t="str">
        <f>IF(SUM(COUNTIFS(I:I, I4161)) &gt; 1, "DUPLICATE", "UNIQUE")</f>
        <v>UNIQUE</v>
      </c>
      <c r="L4161" s="18">
        <v>8</v>
      </c>
      <c r="M4161" s="28">
        <v>985</v>
      </c>
      <c r="N4161" s="6">
        <v>125</v>
      </c>
      <c r="O4161" s="30">
        <f t="shared" si="388"/>
        <v>7880</v>
      </c>
      <c r="P4161" s="30">
        <f t="shared" si="389"/>
        <v>123125</v>
      </c>
      <c r="Q4161" s="1">
        <f>COUNTIFS($P:$P, "&gt;" &amp; $P4161) + 1</f>
        <v>368</v>
      </c>
      <c r="R4161" s="63">
        <f>(COUNTIFS($P:$P, "&gt;" &amp; $P4161) + 1) / (COUNTA($I:$I) - 1)</f>
        <v>7.3599999999999999E-2</v>
      </c>
      <c r="S4161" s="23">
        <f>SUMIFS($P:$P, $Q:$Q, "&lt;" &amp; $Q4161)</f>
        <v>139775160</v>
      </c>
    </row>
    <row r="4162" spans="1:19" x14ac:dyDescent="0.25">
      <c r="A4162" s="1">
        <v>4157</v>
      </c>
      <c r="B4162" s="1" t="s">
        <v>3</v>
      </c>
      <c r="C4162" s="1" t="str">
        <f>IF($B4162 = "Production Item", _xlfn.XLOOKUP($A4162, 'Instrument Table'!$J:$J, 'Instrument Table'!$B:$B, $C4161), IF($B4162 = "Service Item", _xlfn.XLOOKUP($A4162, 'Instrument Table'!$I:$I, 'Instrument Table'!$B:$B, $C4161), _xlfn.XLOOKUP($A4162, 'Instrument Table'!$H:$H, 'Instrument Table'!$B:$B, $C4161)))</f>
        <v>Violin</v>
      </c>
      <c r="D4162" s="1" t="str">
        <f>VLOOKUP($C4162, 'Instrument Table'!$B:$C, 2, FALSE)</f>
        <v>Strings</v>
      </c>
      <c r="E4162" s="1">
        <f t="shared" si="384"/>
        <v>2</v>
      </c>
      <c r="F4162" s="1">
        <f>_xlfn.XLOOKUP($C4162, 'Instrument Table'!$B:$B, 'Instrument Table'!$A:$A, "")</f>
        <v>20</v>
      </c>
      <c r="G4162" s="1" t="str">
        <f>TEXT(IF($B4162 = "Retail Item", IF((ROW($A4162) - 4504 - _xlfn.XMATCH($C4162, $C$4506:$C$5005, 0, 1)) &lt;= VLOOKUP($C4162, 'Instrument Table'!$B:$D, 3, FALSE), ROW($A4162) - 4504 - _xlfn.XMATCH($C4162, $C$4506:$C$5005, 0, 1), 0), 0), "00")</f>
        <v>00</v>
      </c>
      <c r="H4162" s="1" t="str">
        <f t="shared" si="385"/>
        <v>026</v>
      </c>
      <c r="I4162" s="1" t="str">
        <f t="shared" si="386"/>
        <v>22000-026</v>
      </c>
      <c r="J4162" s="1" t="str">
        <f t="shared" si="387"/>
        <v>Violin service item #026</v>
      </c>
      <c r="K4162" s="1" t="str">
        <f>IF(SUM(COUNTIFS(I:I, I4162)) &gt; 1, "DUPLICATE", "UNIQUE")</f>
        <v>UNIQUE</v>
      </c>
      <c r="L4162" s="18">
        <v>8</v>
      </c>
      <c r="M4162" s="28">
        <v>18</v>
      </c>
      <c r="N4162" s="6">
        <v>0</v>
      </c>
      <c r="O4162" s="30">
        <f t="shared" si="388"/>
        <v>144</v>
      </c>
      <c r="P4162" s="30">
        <f t="shared" si="389"/>
        <v>0</v>
      </c>
      <c r="Q4162" s="1">
        <f>COUNTIFS($P:$P, "&gt;" &amp; $P4162) + 1</f>
        <v>4746</v>
      </c>
      <c r="R4162" s="63">
        <f>(COUNTIFS($P:$P, "&gt;" &amp; $P4162) + 1) / (COUNTA($I:$I) - 1)</f>
        <v>0.94920000000000004</v>
      </c>
      <c r="S4162" s="23">
        <f>SUMIFS($P:$P, $Q:$Q, "&lt;" &amp; $Q4162)</f>
        <v>186547861</v>
      </c>
    </row>
    <row r="4163" spans="1:19" x14ac:dyDescent="0.25">
      <c r="A4163" s="1">
        <v>4158</v>
      </c>
      <c r="B4163" s="1" t="s">
        <v>3</v>
      </c>
      <c r="C4163" s="1" t="str">
        <f>IF($B4163 = "Production Item", _xlfn.XLOOKUP($A4163, 'Instrument Table'!$J:$J, 'Instrument Table'!$B:$B, $C4162), IF($B4163 = "Service Item", _xlfn.XLOOKUP($A4163, 'Instrument Table'!$I:$I, 'Instrument Table'!$B:$B, $C4162), _xlfn.XLOOKUP($A4163, 'Instrument Table'!$H:$H, 'Instrument Table'!$B:$B, $C4162)))</f>
        <v>Violin</v>
      </c>
      <c r="D4163" s="1" t="str">
        <f>VLOOKUP($C4163, 'Instrument Table'!$B:$C, 2, FALSE)</f>
        <v>Strings</v>
      </c>
      <c r="E4163" s="1">
        <f t="shared" si="384"/>
        <v>2</v>
      </c>
      <c r="F4163" s="1">
        <f>_xlfn.XLOOKUP($C4163, 'Instrument Table'!$B:$B, 'Instrument Table'!$A:$A, "")</f>
        <v>20</v>
      </c>
      <c r="G4163" s="1" t="str">
        <f>TEXT(IF($B4163 = "Retail Item", IF((ROW($A4163) - 4504 - _xlfn.XMATCH($C4163, $C$4506:$C$5005, 0, 1)) &lt;= VLOOKUP($C4163, 'Instrument Table'!$B:$D, 3, FALSE), ROW($A4163) - 4504 - _xlfn.XMATCH($C4163, $C$4506:$C$5005, 0, 1), 0), 0), "00")</f>
        <v>00</v>
      </c>
      <c r="H4163" s="1" t="str">
        <f t="shared" si="385"/>
        <v>027</v>
      </c>
      <c r="I4163" s="1" t="str">
        <f t="shared" si="386"/>
        <v>22000-027</v>
      </c>
      <c r="J4163" s="1" t="str">
        <f t="shared" si="387"/>
        <v>Violin service item #027</v>
      </c>
      <c r="K4163" s="1" t="str">
        <f>IF(SUM(COUNTIFS(I:I, I4163)) &gt; 1, "DUPLICATE", "UNIQUE")</f>
        <v>UNIQUE</v>
      </c>
      <c r="L4163" s="18">
        <v>2</v>
      </c>
      <c r="M4163" s="28">
        <v>276</v>
      </c>
      <c r="N4163" s="6">
        <v>125</v>
      </c>
      <c r="O4163" s="30">
        <f t="shared" si="388"/>
        <v>552</v>
      </c>
      <c r="P4163" s="30">
        <f t="shared" si="389"/>
        <v>34500</v>
      </c>
      <c r="Q4163" s="1">
        <f>COUNTIFS($P:$P, "&gt;" &amp; $P4163) + 1</f>
        <v>609</v>
      </c>
      <c r="R4163" s="63">
        <f>(COUNTIFS($P:$P, "&gt;" &amp; $P4163) + 1) / (COUNTA($I:$I) - 1)</f>
        <v>0.12180000000000001</v>
      </c>
      <c r="S4163" s="23">
        <f>SUMIFS($P:$P, $Q:$Q, "&lt;" &amp; $Q4163)</f>
        <v>156185276</v>
      </c>
    </row>
    <row r="4164" spans="1:19" x14ac:dyDescent="0.25">
      <c r="A4164" s="1">
        <v>4159</v>
      </c>
      <c r="B4164" s="1" t="s">
        <v>3</v>
      </c>
      <c r="C4164" s="1" t="str">
        <f>IF($B4164 = "Production Item", _xlfn.XLOOKUP($A4164, 'Instrument Table'!$J:$J, 'Instrument Table'!$B:$B, $C4163), IF($B4164 = "Service Item", _xlfn.XLOOKUP($A4164, 'Instrument Table'!$I:$I, 'Instrument Table'!$B:$B, $C4163), _xlfn.XLOOKUP($A4164, 'Instrument Table'!$H:$H, 'Instrument Table'!$B:$B, $C4163)))</f>
        <v>Violin</v>
      </c>
      <c r="D4164" s="1" t="str">
        <f>VLOOKUP($C4164, 'Instrument Table'!$B:$C, 2, FALSE)</f>
        <v>Strings</v>
      </c>
      <c r="E4164" s="1">
        <f t="shared" si="384"/>
        <v>2</v>
      </c>
      <c r="F4164" s="1">
        <f>_xlfn.XLOOKUP($C4164, 'Instrument Table'!$B:$B, 'Instrument Table'!$A:$A, "")</f>
        <v>20</v>
      </c>
      <c r="G4164" s="1" t="str">
        <f>TEXT(IF($B4164 = "Retail Item", IF((ROW($A4164) - 4504 - _xlfn.XMATCH($C4164, $C$4506:$C$5005, 0, 1)) &lt;= VLOOKUP($C4164, 'Instrument Table'!$B:$D, 3, FALSE), ROW($A4164) - 4504 - _xlfn.XMATCH($C4164, $C$4506:$C$5005, 0, 1), 0), 0), "00")</f>
        <v>00</v>
      </c>
      <c r="H4164" s="1" t="str">
        <f t="shared" si="385"/>
        <v>028</v>
      </c>
      <c r="I4164" s="1" t="str">
        <f t="shared" si="386"/>
        <v>22000-028</v>
      </c>
      <c r="J4164" s="1" t="str">
        <f t="shared" si="387"/>
        <v>Violin service item #028</v>
      </c>
      <c r="K4164" s="1" t="str">
        <f>IF(SUM(COUNTIFS(I:I, I4164)) &gt; 1, "DUPLICATE", "UNIQUE")</f>
        <v>UNIQUE</v>
      </c>
      <c r="L4164" s="18">
        <v>5</v>
      </c>
      <c r="M4164" s="28">
        <v>266</v>
      </c>
      <c r="N4164" s="6">
        <v>27</v>
      </c>
      <c r="O4164" s="30">
        <f t="shared" si="388"/>
        <v>1330</v>
      </c>
      <c r="P4164" s="30">
        <f t="shared" si="389"/>
        <v>7182</v>
      </c>
      <c r="Q4164" s="1">
        <f>COUNTIFS($P:$P, "&gt;" &amp; $P4164) + 1</f>
        <v>2120</v>
      </c>
      <c r="R4164" s="63">
        <f>(COUNTIFS($P:$P, "&gt;" &amp; $P4164) + 1) / (COUNTA($I:$I) - 1)</f>
        <v>0.42399999999999999</v>
      </c>
      <c r="S4164" s="23">
        <f>SUMIFS($P:$P, $Q:$Q, "&lt;" &amp; $Q4164)</f>
        <v>180903271</v>
      </c>
    </row>
    <row r="4165" spans="1:19" x14ac:dyDescent="0.25">
      <c r="A4165" s="1">
        <v>4160</v>
      </c>
      <c r="B4165" s="1" t="s">
        <v>3</v>
      </c>
      <c r="C4165" s="1" t="str">
        <f>IF($B4165 = "Production Item", _xlfn.XLOOKUP($A4165, 'Instrument Table'!$J:$J, 'Instrument Table'!$B:$B, $C4164), IF($B4165 = "Service Item", _xlfn.XLOOKUP($A4165, 'Instrument Table'!$I:$I, 'Instrument Table'!$B:$B, $C4164), _xlfn.XLOOKUP($A4165, 'Instrument Table'!$H:$H, 'Instrument Table'!$B:$B, $C4164)))</f>
        <v>Violin</v>
      </c>
      <c r="D4165" s="1" t="str">
        <f>VLOOKUP($C4165, 'Instrument Table'!$B:$C, 2, FALSE)</f>
        <v>Strings</v>
      </c>
      <c r="E4165" s="1">
        <f t="shared" si="384"/>
        <v>2</v>
      </c>
      <c r="F4165" s="1">
        <f>_xlfn.XLOOKUP($C4165, 'Instrument Table'!$B:$B, 'Instrument Table'!$A:$A, "")</f>
        <v>20</v>
      </c>
      <c r="G4165" s="1" t="str">
        <f>TEXT(IF($B4165 = "Retail Item", IF((ROW($A4165) - 4504 - _xlfn.XMATCH($C4165, $C$4506:$C$5005, 0, 1)) &lt;= VLOOKUP($C4165, 'Instrument Table'!$B:$D, 3, FALSE), ROW($A4165) - 4504 - _xlfn.XMATCH($C4165, $C$4506:$C$5005, 0, 1), 0), 0), "00")</f>
        <v>00</v>
      </c>
      <c r="H4165" s="1" t="str">
        <f t="shared" si="385"/>
        <v>029</v>
      </c>
      <c r="I4165" s="1" t="str">
        <f t="shared" si="386"/>
        <v>22000-029</v>
      </c>
      <c r="J4165" s="1" t="str">
        <f t="shared" si="387"/>
        <v>Violin service item #029</v>
      </c>
      <c r="K4165" s="1" t="str">
        <f>IF(SUM(COUNTIFS(I:I, I4165)) &gt; 1, "DUPLICATE", "UNIQUE")</f>
        <v>UNIQUE</v>
      </c>
      <c r="L4165" s="18">
        <v>8</v>
      </c>
      <c r="M4165" s="28">
        <v>259</v>
      </c>
      <c r="N4165" s="6">
        <v>0</v>
      </c>
      <c r="O4165" s="30">
        <f t="shared" si="388"/>
        <v>2072</v>
      </c>
      <c r="P4165" s="30">
        <f t="shared" si="389"/>
        <v>0</v>
      </c>
      <c r="Q4165" s="1">
        <f>COUNTIFS($P:$P, "&gt;" &amp; $P4165) + 1</f>
        <v>4746</v>
      </c>
      <c r="R4165" s="63">
        <f>(COUNTIFS($P:$P, "&gt;" &amp; $P4165) + 1) / (COUNTA($I:$I) - 1)</f>
        <v>0.94920000000000004</v>
      </c>
      <c r="S4165" s="23">
        <f>SUMIFS($P:$P, $Q:$Q, "&lt;" &amp; $Q4165)</f>
        <v>186547861</v>
      </c>
    </row>
    <row r="4166" spans="1:19" x14ac:dyDescent="0.25">
      <c r="A4166" s="1">
        <v>4161</v>
      </c>
      <c r="B4166" s="1" t="s">
        <v>3</v>
      </c>
      <c r="C4166" s="1" t="str">
        <f>IF($B4166 = "Production Item", _xlfn.XLOOKUP($A4166, 'Instrument Table'!$J:$J, 'Instrument Table'!$B:$B, $C4165), IF($B4166 = "Service Item", _xlfn.XLOOKUP($A4166, 'Instrument Table'!$I:$I, 'Instrument Table'!$B:$B, $C4165), _xlfn.XLOOKUP($A4166, 'Instrument Table'!$H:$H, 'Instrument Table'!$B:$B, $C4165)))</f>
        <v>Viola</v>
      </c>
      <c r="D4166" s="1" t="str">
        <f>VLOOKUP($C4166, 'Instrument Table'!$B:$C, 2, FALSE)</f>
        <v>Strings</v>
      </c>
      <c r="E4166" s="1">
        <f t="shared" si="384"/>
        <v>2</v>
      </c>
      <c r="F4166" s="1">
        <f>_xlfn.XLOOKUP($C4166, 'Instrument Table'!$B:$B, 'Instrument Table'!$A:$A, "")</f>
        <v>21</v>
      </c>
      <c r="G4166" s="1" t="str">
        <f>TEXT(IF($B4166 = "Retail Item", IF((ROW($A4166) - 4504 - _xlfn.XMATCH($C4166, $C$4506:$C$5005, 0, 1)) &lt;= VLOOKUP($C4166, 'Instrument Table'!$B:$D, 3, FALSE), ROW($A4166) - 4504 - _xlfn.XMATCH($C4166, $C$4506:$C$5005, 0, 1), 0), 0), "00")</f>
        <v>00</v>
      </c>
      <c r="H4166" s="1" t="str">
        <f t="shared" si="385"/>
        <v>000</v>
      </c>
      <c r="I4166" s="1" t="str">
        <f t="shared" si="386"/>
        <v>22100-000</v>
      </c>
      <c r="J4166" s="1" t="str">
        <f t="shared" si="387"/>
        <v>Viola service item #000</v>
      </c>
      <c r="K4166" s="1" t="str">
        <f>IF(SUM(COUNTIFS(I:I, I4166)) &gt; 1, "DUPLICATE", "UNIQUE")</f>
        <v>UNIQUE</v>
      </c>
      <c r="L4166" s="18">
        <v>3</v>
      </c>
      <c r="M4166" s="28">
        <v>833</v>
      </c>
      <c r="N4166" s="6">
        <v>1</v>
      </c>
      <c r="O4166" s="30">
        <f t="shared" si="388"/>
        <v>2499</v>
      </c>
      <c r="P4166" s="30">
        <f t="shared" si="389"/>
        <v>833</v>
      </c>
      <c r="Q4166" s="1">
        <f>COUNTIFS($P:$P, "&gt;" &amp; $P4166) + 1</f>
        <v>3773</v>
      </c>
      <c r="R4166" s="63">
        <f>(COUNTIFS($P:$P, "&gt;" &amp; $P4166) + 1) / (COUNTA($I:$I) - 1)</f>
        <v>0.75460000000000005</v>
      </c>
      <c r="S4166" s="23">
        <f>SUMIFS($P:$P, $Q:$Q, "&lt;" &amp; $Q4166)</f>
        <v>186243751</v>
      </c>
    </row>
    <row r="4167" spans="1:19" x14ac:dyDescent="0.25">
      <c r="A4167" s="1">
        <v>4162</v>
      </c>
      <c r="B4167" s="1" t="s">
        <v>3</v>
      </c>
      <c r="C4167" s="1" t="str">
        <f>IF($B4167 = "Production Item", _xlfn.XLOOKUP($A4167, 'Instrument Table'!$J:$J, 'Instrument Table'!$B:$B, $C4166), IF($B4167 = "Service Item", _xlfn.XLOOKUP($A4167, 'Instrument Table'!$I:$I, 'Instrument Table'!$B:$B, $C4166), _xlfn.XLOOKUP($A4167, 'Instrument Table'!$H:$H, 'Instrument Table'!$B:$B, $C4166)))</f>
        <v>Viola</v>
      </c>
      <c r="D4167" s="1" t="str">
        <f>VLOOKUP($C4167, 'Instrument Table'!$B:$C, 2, FALSE)</f>
        <v>Strings</v>
      </c>
      <c r="E4167" s="1">
        <f t="shared" ref="E4167:E4230" si="390">IF($B4167 = "Production Item", 1, IF($B4167 = "Service Item", 2, IF($B4167 = "Retail Item", 3, "")))</f>
        <v>2</v>
      </c>
      <c r="F4167" s="1">
        <f>_xlfn.XLOOKUP($C4167, 'Instrument Table'!$B:$B, 'Instrument Table'!$A:$A, "")</f>
        <v>21</v>
      </c>
      <c r="G4167" s="1" t="str">
        <f>TEXT(IF($B4167 = "Retail Item", IF((ROW($A4167) - 4504 - _xlfn.XMATCH($C4167, $C$4506:$C$5005, 0, 1)) &lt;= VLOOKUP($C4167, 'Instrument Table'!$B:$D, 3, FALSE), ROW($A4167) - 4504 - _xlfn.XMATCH($C4167, $C$4506:$C$5005, 0, 1), 0), 0), "00")</f>
        <v>00</v>
      </c>
      <c r="H4167" s="1" t="str">
        <f t="shared" ref="H4167:H4230" si="391">TEXT(IF($E4167 &amp; $F4167 &amp; $G4167 = $E4166 &amp; $F4166 &amp; $G4166, 1 + H4166, 0), "000")</f>
        <v>001</v>
      </c>
      <c r="I4167" s="1" t="str">
        <f t="shared" ref="I4167:I4230" si="392" xml:space="preserve"> _xlfn.CONCAT($E4167, $F4167, $G4167, "-", H4167)</f>
        <v>22100-001</v>
      </c>
      <c r="J4167" s="1" t="str">
        <f t="shared" ref="J4167:J4230" si="393">LEFT($C4167, 1) &amp; LOWER(RIGHT($C4167, LEN($C4167) - 1)) &amp; IF(AND($G4167 &lt;&gt; "00", $B4167 = "Retail Item"), " model #" &amp; $G4167, " " &amp; LOWER($B4167) &amp; " #" &amp; $H4167)</f>
        <v>Viola service item #001</v>
      </c>
      <c r="K4167" s="1" t="str">
        <f>IF(SUM(COUNTIFS(I:I, I4167)) &gt; 1, "DUPLICATE", "UNIQUE")</f>
        <v>UNIQUE</v>
      </c>
      <c r="L4167" s="18">
        <v>7</v>
      </c>
      <c r="M4167" s="28">
        <v>785</v>
      </c>
      <c r="N4167" s="6">
        <v>1</v>
      </c>
      <c r="O4167" s="30">
        <f t="shared" ref="O4167:O4230" si="394">$L4167 * $M4167</f>
        <v>5495</v>
      </c>
      <c r="P4167" s="30">
        <f t="shared" ref="P4167:P4230" si="395">$N4167 * $M4167</f>
        <v>785</v>
      </c>
      <c r="Q4167" s="1">
        <f>COUNTIFS($P:$P, "&gt;" &amp; $P4167) + 1</f>
        <v>3799</v>
      </c>
      <c r="R4167" s="63">
        <f>(COUNTIFS($P:$P, "&gt;" &amp; $P4167) + 1) / (COUNTA($I:$I) - 1)</f>
        <v>0.75980000000000003</v>
      </c>
      <c r="S4167" s="23">
        <f>SUMIFS($P:$P, $Q:$Q, "&lt;" &amp; $Q4167)</f>
        <v>186264858</v>
      </c>
    </row>
    <row r="4168" spans="1:19" x14ac:dyDescent="0.25">
      <c r="A4168" s="1">
        <v>4163</v>
      </c>
      <c r="B4168" s="1" t="s">
        <v>3</v>
      </c>
      <c r="C4168" s="1" t="str">
        <f>IF($B4168 = "Production Item", _xlfn.XLOOKUP($A4168, 'Instrument Table'!$J:$J, 'Instrument Table'!$B:$B, $C4167), IF($B4168 = "Service Item", _xlfn.XLOOKUP($A4168, 'Instrument Table'!$I:$I, 'Instrument Table'!$B:$B, $C4167), _xlfn.XLOOKUP($A4168, 'Instrument Table'!$H:$H, 'Instrument Table'!$B:$B, $C4167)))</f>
        <v>Viola</v>
      </c>
      <c r="D4168" s="1" t="str">
        <f>VLOOKUP($C4168, 'Instrument Table'!$B:$C, 2, FALSE)</f>
        <v>Strings</v>
      </c>
      <c r="E4168" s="1">
        <f t="shared" si="390"/>
        <v>2</v>
      </c>
      <c r="F4168" s="1">
        <f>_xlfn.XLOOKUP($C4168, 'Instrument Table'!$B:$B, 'Instrument Table'!$A:$A, "")</f>
        <v>21</v>
      </c>
      <c r="G4168" s="1" t="str">
        <f>TEXT(IF($B4168 = "Retail Item", IF((ROW($A4168) - 4504 - _xlfn.XMATCH($C4168, $C$4506:$C$5005, 0, 1)) &lt;= VLOOKUP($C4168, 'Instrument Table'!$B:$D, 3, FALSE), ROW($A4168) - 4504 - _xlfn.XMATCH($C4168, $C$4506:$C$5005, 0, 1), 0), 0), "00")</f>
        <v>00</v>
      </c>
      <c r="H4168" s="1" t="str">
        <f t="shared" si="391"/>
        <v>002</v>
      </c>
      <c r="I4168" s="1" t="str">
        <f t="shared" si="392"/>
        <v>22100-002</v>
      </c>
      <c r="J4168" s="1" t="str">
        <f t="shared" si="393"/>
        <v>Viola service item #002</v>
      </c>
      <c r="K4168" s="1" t="str">
        <f>IF(SUM(COUNTIFS(I:I, I4168)) &gt; 1, "DUPLICATE", "UNIQUE")</f>
        <v>UNIQUE</v>
      </c>
      <c r="L4168" s="18">
        <v>7</v>
      </c>
      <c r="M4168" s="28">
        <v>434</v>
      </c>
      <c r="N4168" s="6">
        <v>8</v>
      </c>
      <c r="O4168" s="30">
        <f t="shared" si="394"/>
        <v>3038</v>
      </c>
      <c r="P4168" s="30">
        <f t="shared" si="395"/>
        <v>3472</v>
      </c>
      <c r="Q4168" s="1">
        <f>COUNTIFS($P:$P, "&gt;" &amp; $P4168) + 1</f>
        <v>2785</v>
      </c>
      <c r="R4168" s="63">
        <f>(COUNTIFS($P:$P, "&gt;" &amp; $P4168) + 1) / (COUNTA($I:$I) - 1)</f>
        <v>0.55700000000000005</v>
      </c>
      <c r="S4168" s="23">
        <f>SUMIFS($P:$P, $Q:$Q, "&lt;" &amp; $Q4168)</f>
        <v>184274239</v>
      </c>
    </row>
    <row r="4169" spans="1:19" x14ac:dyDescent="0.25">
      <c r="A4169" s="1">
        <v>4164</v>
      </c>
      <c r="B4169" s="1" t="s">
        <v>3</v>
      </c>
      <c r="C4169" s="1" t="str">
        <f>IF($B4169 = "Production Item", _xlfn.XLOOKUP($A4169, 'Instrument Table'!$J:$J, 'Instrument Table'!$B:$B, $C4168), IF($B4169 = "Service Item", _xlfn.XLOOKUP($A4169, 'Instrument Table'!$I:$I, 'Instrument Table'!$B:$B, $C4168), _xlfn.XLOOKUP($A4169, 'Instrument Table'!$H:$H, 'Instrument Table'!$B:$B, $C4168)))</f>
        <v>Viola</v>
      </c>
      <c r="D4169" s="1" t="str">
        <f>VLOOKUP($C4169, 'Instrument Table'!$B:$C, 2, FALSE)</f>
        <v>Strings</v>
      </c>
      <c r="E4169" s="1">
        <f t="shared" si="390"/>
        <v>2</v>
      </c>
      <c r="F4169" s="1">
        <f>_xlfn.XLOOKUP($C4169, 'Instrument Table'!$B:$B, 'Instrument Table'!$A:$A, "")</f>
        <v>21</v>
      </c>
      <c r="G4169" s="1" t="str">
        <f>TEXT(IF($B4169 = "Retail Item", IF((ROW($A4169) - 4504 - _xlfn.XMATCH($C4169, $C$4506:$C$5005, 0, 1)) &lt;= VLOOKUP($C4169, 'Instrument Table'!$B:$D, 3, FALSE), ROW($A4169) - 4504 - _xlfn.XMATCH($C4169, $C$4506:$C$5005, 0, 1), 0), 0), "00")</f>
        <v>00</v>
      </c>
      <c r="H4169" s="1" t="str">
        <f t="shared" si="391"/>
        <v>003</v>
      </c>
      <c r="I4169" s="1" t="str">
        <f t="shared" si="392"/>
        <v>22100-003</v>
      </c>
      <c r="J4169" s="1" t="str">
        <f t="shared" si="393"/>
        <v>Viola service item #003</v>
      </c>
      <c r="K4169" s="1" t="str">
        <f>IF(SUM(COUNTIFS(I:I, I4169)) &gt; 1, "DUPLICATE", "UNIQUE")</f>
        <v>UNIQUE</v>
      </c>
      <c r="L4169" s="18">
        <v>9</v>
      </c>
      <c r="M4169" s="28">
        <v>533</v>
      </c>
      <c r="N4169" s="6">
        <v>8</v>
      </c>
      <c r="O4169" s="30">
        <f t="shared" si="394"/>
        <v>4797</v>
      </c>
      <c r="P4169" s="30">
        <f t="shared" si="395"/>
        <v>4264</v>
      </c>
      <c r="Q4169" s="1">
        <f>COUNTIFS($P:$P, "&gt;" &amp; $P4169) + 1</f>
        <v>2597</v>
      </c>
      <c r="R4169" s="63">
        <f>(COUNTIFS($P:$P, "&gt;" &amp; $P4169) + 1) / (COUNTA($I:$I) - 1)</f>
        <v>0.51939999999999997</v>
      </c>
      <c r="S4169" s="23">
        <f>SUMIFS($P:$P, $Q:$Q, "&lt;" &amp; $Q4169)</f>
        <v>183550636</v>
      </c>
    </row>
    <row r="4170" spans="1:19" x14ac:dyDescent="0.25">
      <c r="A4170" s="1">
        <v>4165</v>
      </c>
      <c r="B4170" s="1" t="s">
        <v>3</v>
      </c>
      <c r="C4170" s="1" t="str">
        <f>IF($B4170 = "Production Item", _xlfn.XLOOKUP($A4170, 'Instrument Table'!$J:$J, 'Instrument Table'!$B:$B, $C4169), IF($B4170 = "Service Item", _xlfn.XLOOKUP($A4170, 'Instrument Table'!$I:$I, 'Instrument Table'!$B:$B, $C4169), _xlfn.XLOOKUP($A4170, 'Instrument Table'!$H:$H, 'Instrument Table'!$B:$B, $C4169)))</f>
        <v>Viola</v>
      </c>
      <c r="D4170" s="1" t="str">
        <f>VLOOKUP($C4170, 'Instrument Table'!$B:$C, 2, FALSE)</f>
        <v>Strings</v>
      </c>
      <c r="E4170" s="1">
        <f t="shared" si="390"/>
        <v>2</v>
      </c>
      <c r="F4170" s="1">
        <f>_xlfn.XLOOKUP($C4170, 'Instrument Table'!$B:$B, 'Instrument Table'!$A:$A, "")</f>
        <v>21</v>
      </c>
      <c r="G4170" s="1" t="str">
        <f>TEXT(IF($B4170 = "Retail Item", IF((ROW($A4170) - 4504 - _xlfn.XMATCH($C4170, $C$4506:$C$5005, 0, 1)) &lt;= VLOOKUP($C4170, 'Instrument Table'!$B:$D, 3, FALSE), ROW($A4170) - 4504 - _xlfn.XMATCH($C4170, $C$4506:$C$5005, 0, 1), 0), 0), "00")</f>
        <v>00</v>
      </c>
      <c r="H4170" s="1" t="str">
        <f t="shared" si="391"/>
        <v>004</v>
      </c>
      <c r="I4170" s="1" t="str">
        <f t="shared" si="392"/>
        <v>22100-004</v>
      </c>
      <c r="J4170" s="1" t="str">
        <f t="shared" si="393"/>
        <v>Viola service item #004</v>
      </c>
      <c r="K4170" s="1" t="str">
        <f>IF(SUM(COUNTIFS(I:I, I4170)) &gt; 1, "DUPLICATE", "UNIQUE")</f>
        <v>UNIQUE</v>
      </c>
      <c r="L4170" s="18">
        <v>2</v>
      </c>
      <c r="M4170" s="28">
        <v>868</v>
      </c>
      <c r="N4170" s="6">
        <v>1</v>
      </c>
      <c r="O4170" s="30">
        <f t="shared" si="394"/>
        <v>1736</v>
      </c>
      <c r="P4170" s="30">
        <f t="shared" si="395"/>
        <v>868</v>
      </c>
      <c r="Q4170" s="1">
        <f>COUNTIFS($P:$P, "&gt;" &amp; $P4170) + 1</f>
        <v>3747</v>
      </c>
      <c r="R4170" s="63">
        <f>(COUNTIFS($P:$P, "&gt;" &amp; $P4170) + 1) / (COUNTA($I:$I) - 1)</f>
        <v>0.74939999999999996</v>
      </c>
      <c r="S4170" s="23">
        <f>SUMIFS($P:$P, $Q:$Q, "&lt;" &amp; $Q4170)</f>
        <v>186221576</v>
      </c>
    </row>
    <row r="4171" spans="1:19" x14ac:dyDescent="0.25">
      <c r="A4171" s="1">
        <v>4166</v>
      </c>
      <c r="B4171" s="1" t="s">
        <v>3</v>
      </c>
      <c r="C4171" s="1" t="str">
        <f>IF($B4171 = "Production Item", _xlfn.XLOOKUP($A4171, 'Instrument Table'!$J:$J, 'Instrument Table'!$B:$B, $C4170), IF($B4171 = "Service Item", _xlfn.XLOOKUP($A4171, 'Instrument Table'!$I:$I, 'Instrument Table'!$B:$B, $C4170), _xlfn.XLOOKUP($A4171, 'Instrument Table'!$H:$H, 'Instrument Table'!$B:$B, $C4170)))</f>
        <v>Viola</v>
      </c>
      <c r="D4171" s="1" t="str">
        <f>VLOOKUP($C4171, 'Instrument Table'!$B:$C, 2, FALSE)</f>
        <v>Strings</v>
      </c>
      <c r="E4171" s="1">
        <f t="shared" si="390"/>
        <v>2</v>
      </c>
      <c r="F4171" s="1">
        <f>_xlfn.XLOOKUP($C4171, 'Instrument Table'!$B:$B, 'Instrument Table'!$A:$A, "")</f>
        <v>21</v>
      </c>
      <c r="G4171" s="1" t="str">
        <f>TEXT(IF($B4171 = "Retail Item", IF((ROW($A4171) - 4504 - _xlfn.XMATCH($C4171, $C$4506:$C$5005, 0, 1)) &lt;= VLOOKUP($C4171, 'Instrument Table'!$B:$D, 3, FALSE), ROW($A4171) - 4504 - _xlfn.XMATCH($C4171, $C$4506:$C$5005, 0, 1), 0), 0), "00")</f>
        <v>00</v>
      </c>
      <c r="H4171" s="1" t="str">
        <f t="shared" si="391"/>
        <v>005</v>
      </c>
      <c r="I4171" s="1" t="str">
        <f t="shared" si="392"/>
        <v>22100-005</v>
      </c>
      <c r="J4171" s="1" t="str">
        <f t="shared" si="393"/>
        <v>Viola service item #005</v>
      </c>
      <c r="K4171" s="1" t="str">
        <f>IF(SUM(COUNTIFS(I:I, I4171)) &gt; 1, "DUPLICATE", "UNIQUE")</f>
        <v>UNIQUE</v>
      </c>
      <c r="L4171" s="18">
        <v>4</v>
      </c>
      <c r="M4171" s="28">
        <v>56</v>
      </c>
      <c r="N4171" s="6">
        <v>125</v>
      </c>
      <c r="O4171" s="30">
        <f t="shared" si="394"/>
        <v>224</v>
      </c>
      <c r="P4171" s="30">
        <f t="shared" si="395"/>
        <v>7000</v>
      </c>
      <c r="Q4171" s="1">
        <f>COUNTIFS($P:$P, "&gt;" &amp; $P4171) + 1</f>
        <v>2135</v>
      </c>
      <c r="R4171" s="63">
        <f>(COUNTIFS($P:$P, "&gt;" &amp; $P4171) + 1) / (COUNTA($I:$I) - 1)</f>
        <v>0.42699999999999999</v>
      </c>
      <c r="S4171" s="23">
        <f>SUMIFS($P:$P, $Q:$Q, "&lt;" &amp; $Q4171)</f>
        <v>181009478</v>
      </c>
    </row>
    <row r="4172" spans="1:19" x14ac:dyDescent="0.25">
      <c r="A4172" s="1">
        <v>4167</v>
      </c>
      <c r="B4172" s="1" t="s">
        <v>3</v>
      </c>
      <c r="C4172" s="1" t="str">
        <f>IF($B4172 = "Production Item", _xlfn.XLOOKUP($A4172, 'Instrument Table'!$J:$J, 'Instrument Table'!$B:$B, $C4171), IF($B4172 = "Service Item", _xlfn.XLOOKUP($A4172, 'Instrument Table'!$I:$I, 'Instrument Table'!$B:$B, $C4171), _xlfn.XLOOKUP($A4172, 'Instrument Table'!$H:$H, 'Instrument Table'!$B:$B, $C4171)))</f>
        <v>Viola</v>
      </c>
      <c r="D4172" s="1" t="str">
        <f>VLOOKUP($C4172, 'Instrument Table'!$B:$C, 2, FALSE)</f>
        <v>Strings</v>
      </c>
      <c r="E4172" s="1">
        <f t="shared" si="390"/>
        <v>2</v>
      </c>
      <c r="F4172" s="1">
        <f>_xlfn.XLOOKUP($C4172, 'Instrument Table'!$B:$B, 'Instrument Table'!$A:$A, "")</f>
        <v>21</v>
      </c>
      <c r="G4172" s="1" t="str">
        <f>TEXT(IF($B4172 = "Retail Item", IF((ROW($A4172) - 4504 - _xlfn.XMATCH($C4172, $C$4506:$C$5005, 0, 1)) &lt;= VLOOKUP($C4172, 'Instrument Table'!$B:$D, 3, FALSE), ROW($A4172) - 4504 - _xlfn.XMATCH($C4172, $C$4506:$C$5005, 0, 1), 0), 0), "00")</f>
        <v>00</v>
      </c>
      <c r="H4172" s="1" t="str">
        <f t="shared" si="391"/>
        <v>006</v>
      </c>
      <c r="I4172" s="1" t="str">
        <f t="shared" si="392"/>
        <v>22100-006</v>
      </c>
      <c r="J4172" s="1" t="str">
        <f t="shared" si="393"/>
        <v>Viola service item #006</v>
      </c>
      <c r="K4172" s="1" t="str">
        <f>IF(SUM(COUNTIFS(I:I, I4172)) &gt; 1, "DUPLICATE", "UNIQUE")</f>
        <v>UNIQUE</v>
      </c>
      <c r="L4172" s="18">
        <v>0</v>
      </c>
      <c r="M4172" s="28">
        <v>518</v>
      </c>
      <c r="N4172" s="6">
        <v>27</v>
      </c>
      <c r="O4172" s="30">
        <f t="shared" si="394"/>
        <v>0</v>
      </c>
      <c r="P4172" s="30">
        <f t="shared" si="395"/>
        <v>13986</v>
      </c>
      <c r="Q4172" s="1">
        <f>COUNTIFS($P:$P, "&gt;" &amp; $P4172) + 1</f>
        <v>1423</v>
      </c>
      <c r="R4172" s="63">
        <f>(COUNTIFS($P:$P, "&gt;" &amp; $P4172) + 1) / (COUNTA($I:$I) - 1)</f>
        <v>0.28460000000000002</v>
      </c>
      <c r="S4172" s="23">
        <f>SUMIFS($P:$P, $Q:$Q, "&lt;" &amp; $Q4172)</f>
        <v>173800659</v>
      </c>
    </row>
    <row r="4173" spans="1:19" x14ac:dyDescent="0.25">
      <c r="A4173" s="1">
        <v>4168</v>
      </c>
      <c r="B4173" s="1" t="s">
        <v>3</v>
      </c>
      <c r="C4173" s="1" t="str">
        <f>IF($B4173 = "Production Item", _xlfn.XLOOKUP($A4173, 'Instrument Table'!$J:$J, 'Instrument Table'!$B:$B, $C4172), IF($B4173 = "Service Item", _xlfn.XLOOKUP($A4173, 'Instrument Table'!$I:$I, 'Instrument Table'!$B:$B, $C4172), _xlfn.XLOOKUP($A4173, 'Instrument Table'!$H:$H, 'Instrument Table'!$B:$B, $C4172)))</f>
        <v>Viola</v>
      </c>
      <c r="D4173" s="1" t="str">
        <f>VLOOKUP($C4173, 'Instrument Table'!$B:$C, 2, FALSE)</f>
        <v>Strings</v>
      </c>
      <c r="E4173" s="1">
        <f t="shared" si="390"/>
        <v>2</v>
      </c>
      <c r="F4173" s="1">
        <f>_xlfn.XLOOKUP($C4173, 'Instrument Table'!$B:$B, 'Instrument Table'!$A:$A, "")</f>
        <v>21</v>
      </c>
      <c r="G4173" s="1" t="str">
        <f>TEXT(IF($B4173 = "Retail Item", IF((ROW($A4173) - 4504 - _xlfn.XMATCH($C4173, $C$4506:$C$5005, 0, 1)) &lt;= VLOOKUP($C4173, 'Instrument Table'!$B:$D, 3, FALSE), ROW($A4173) - 4504 - _xlfn.XMATCH($C4173, $C$4506:$C$5005, 0, 1), 0), 0), "00")</f>
        <v>00</v>
      </c>
      <c r="H4173" s="1" t="str">
        <f t="shared" si="391"/>
        <v>007</v>
      </c>
      <c r="I4173" s="1" t="str">
        <f t="shared" si="392"/>
        <v>22100-007</v>
      </c>
      <c r="J4173" s="1" t="str">
        <f t="shared" si="393"/>
        <v>Viola service item #007</v>
      </c>
      <c r="K4173" s="1" t="str">
        <f>IF(SUM(COUNTIFS(I:I, I4173)) &gt; 1, "DUPLICATE", "UNIQUE")</f>
        <v>UNIQUE</v>
      </c>
      <c r="L4173" s="18">
        <v>7</v>
      </c>
      <c r="M4173" s="28">
        <v>914</v>
      </c>
      <c r="N4173" s="6">
        <v>1</v>
      </c>
      <c r="O4173" s="30">
        <f t="shared" si="394"/>
        <v>6398</v>
      </c>
      <c r="P4173" s="30">
        <f t="shared" si="395"/>
        <v>914</v>
      </c>
      <c r="Q4173" s="1">
        <f>COUNTIFS($P:$P, "&gt;" &amp; $P4173) + 1</f>
        <v>3718</v>
      </c>
      <c r="R4173" s="63">
        <f>(COUNTIFS($P:$P, "&gt;" &amp; $P4173) + 1) / (COUNTA($I:$I) - 1)</f>
        <v>0.74360000000000004</v>
      </c>
      <c r="S4173" s="23">
        <f>SUMIFS($P:$P, $Q:$Q, "&lt;" &amp; $Q4173)</f>
        <v>186195750</v>
      </c>
    </row>
    <row r="4174" spans="1:19" x14ac:dyDescent="0.25">
      <c r="A4174" s="1">
        <v>4169</v>
      </c>
      <c r="B4174" s="1" t="s">
        <v>3</v>
      </c>
      <c r="C4174" s="1" t="str">
        <f>IF($B4174 = "Production Item", _xlfn.XLOOKUP($A4174, 'Instrument Table'!$J:$J, 'Instrument Table'!$B:$B, $C4173), IF($B4174 = "Service Item", _xlfn.XLOOKUP($A4174, 'Instrument Table'!$I:$I, 'Instrument Table'!$B:$B, $C4173), _xlfn.XLOOKUP($A4174, 'Instrument Table'!$H:$H, 'Instrument Table'!$B:$B, $C4173)))</f>
        <v>Viola</v>
      </c>
      <c r="D4174" s="1" t="str">
        <f>VLOOKUP($C4174, 'Instrument Table'!$B:$C, 2, FALSE)</f>
        <v>Strings</v>
      </c>
      <c r="E4174" s="1">
        <f t="shared" si="390"/>
        <v>2</v>
      </c>
      <c r="F4174" s="1">
        <f>_xlfn.XLOOKUP($C4174, 'Instrument Table'!$B:$B, 'Instrument Table'!$A:$A, "")</f>
        <v>21</v>
      </c>
      <c r="G4174" s="1" t="str">
        <f>TEXT(IF($B4174 = "Retail Item", IF((ROW($A4174) - 4504 - _xlfn.XMATCH($C4174, $C$4506:$C$5005, 0, 1)) &lt;= VLOOKUP($C4174, 'Instrument Table'!$B:$D, 3, FALSE), ROW($A4174) - 4504 - _xlfn.XMATCH($C4174, $C$4506:$C$5005, 0, 1), 0), 0), "00")</f>
        <v>00</v>
      </c>
      <c r="H4174" s="1" t="str">
        <f t="shared" si="391"/>
        <v>008</v>
      </c>
      <c r="I4174" s="1" t="str">
        <f t="shared" si="392"/>
        <v>22100-008</v>
      </c>
      <c r="J4174" s="1" t="str">
        <f t="shared" si="393"/>
        <v>Viola service item #008</v>
      </c>
      <c r="K4174" s="1" t="str">
        <f>IF(SUM(COUNTIFS(I:I, I4174)) &gt; 1, "DUPLICATE", "UNIQUE")</f>
        <v>UNIQUE</v>
      </c>
      <c r="L4174" s="18">
        <v>8</v>
      </c>
      <c r="M4174" s="28">
        <v>992</v>
      </c>
      <c r="N4174" s="6">
        <v>1</v>
      </c>
      <c r="O4174" s="30">
        <f t="shared" si="394"/>
        <v>7936</v>
      </c>
      <c r="P4174" s="30">
        <f t="shared" si="395"/>
        <v>992</v>
      </c>
      <c r="Q4174" s="1">
        <f>COUNTIFS($P:$P, "&gt;" &amp; $P4174) + 1</f>
        <v>3685</v>
      </c>
      <c r="R4174" s="63">
        <f>(COUNTIFS($P:$P, "&gt;" &amp; $P4174) + 1) / (COUNTA($I:$I) - 1)</f>
        <v>0.73699999999999999</v>
      </c>
      <c r="S4174" s="23">
        <f>SUMIFS($P:$P, $Q:$Q, "&lt;" &amp; $Q4174)</f>
        <v>186164143</v>
      </c>
    </row>
    <row r="4175" spans="1:19" x14ac:dyDescent="0.25">
      <c r="A4175" s="1">
        <v>4170</v>
      </c>
      <c r="B4175" s="1" t="s">
        <v>3</v>
      </c>
      <c r="C4175" s="1" t="str">
        <f>IF($B4175 = "Production Item", _xlfn.XLOOKUP($A4175, 'Instrument Table'!$J:$J, 'Instrument Table'!$B:$B, $C4174), IF($B4175 = "Service Item", _xlfn.XLOOKUP($A4175, 'Instrument Table'!$I:$I, 'Instrument Table'!$B:$B, $C4174), _xlfn.XLOOKUP($A4175, 'Instrument Table'!$H:$H, 'Instrument Table'!$B:$B, $C4174)))</f>
        <v>Viola</v>
      </c>
      <c r="D4175" s="1" t="str">
        <f>VLOOKUP($C4175, 'Instrument Table'!$B:$C, 2, FALSE)</f>
        <v>Strings</v>
      </c>
      <c r="E4175" s="1">
        <f t="shared" si="390"/>
        <v>2</v>
      </c>
      <c r="F4175" s="1">
        <f>_xlfn.XLOOKUP($C4175, 'Instrument Table'!$B:$B, 'Instrument Table'!$A:$A, "")</f>
        <v>21</v>
      </c>
      <c r="G4175" s="1" t="str">
        <f>TEXT(IF($B4175 = "Retail Item", IF((ROW($A4175) - 4504 - _xlfn.XMATCH($C4175, $C$4506:$C$5005, 0, 1)) &lt;= VLOOKUP($C4175, 'Instrument Table'!$B:$D, 3, FALSE), ROW($A4175) - 4504 - _xlfn.XMATCH($C4175, $C$4506:$C$5005, 0, 1), 0), 0), "00")</f>
        <v>00</v>
      </c>
      <c r="H4175" s="1" t="str">
        <f t="shared" si="391"/>
        <v>009</v>
      </c>
      <c r="I4175" s="1" t="str">
        <f t="shared" si="392"/>
        <v>22100-009</v>
      </c>
      <c r="J4175" s="1" t="str">
        <f t="shared" si="393"/>
        <v>Viola service item #009</v>
      </c>
      <c r="K4175" s="1" t="str">
        <f>IF(SUM(COUNTIFS(I:I, I4175)) &gt; 1, "DUPLICATE", "UNIQUE")</f>
        <v>UNIQUE</v>
      </c>
      <c r="L4175" s="18">
        <v>7</v>
      </c>
      <c r="M4175" s="28">
        <v>190</v>
      </c>
      <c r="N4175" s="6">
        <v>1</v>
      </c>
      <c r="O4175" s="30">
        <f t="shared" si="394"/>
        <v>1330</v>
      </c>
      <c r="P4175" s="30">
        <f t="shared" si="395"/>
        <v>190</v>
      </c>
      <c r="Q4175" s="1">
        <f>COUNTIFS($P:$P, "&gt;" &amp; $P4175) + 1</f>
        <v>4346</v>
      </c>
      <c r="R4175" s="63">
        <f>(COUNTIFS($P:$P, "&gt;" &amp; $P4175) + 1) / (COUNTA($I:$I) - 1)</f>
        <v>0.86919999999999997</v>
      </c>
      <c r="S4175" s="23">
        <f>SUMIFS($P:$P, $Q:$Q, "&lt;" &amp; $Q4175)</f>
        <v>186516821</v>
      </c>
    </row>
    <row r="4176" spans="1:19" x14ac:dyDescent="0.25">
      <c r="A4176" s="1">
        <v>4171</v>
      </c>
      <c r="B4176" s="1" t="s">
        <v>3</v>
      </c>
      <c r="C4176" s="1" t="str">
        <f>IF($B4176 = "Production Item", _xlfn.XLOOKUP($A4176, 'Instrument Table'!$J:$J, 'Instrument Table'!$B:$B, $C4175), IF($B4176 = "Service Item", _xlfn.XLOOKUP($A4176, 'Instrument Table'!$I:$I, 'Instrument Table'!$B:$B, $C4175), _xlfn.XLOOKUP($A4176, 'Instrument Table'!$H:$H, 'Instrument Table'!$B:$B, $C4175)))</f>
        <v>Cello</v>
      </c>
      <c r="D4176" s="1" t="str">
        <f>VLOOKUP($C4176, 'Instrument Table'!$B:$C, 2, FALSE)</f>
        <v>Strings</v>
      </c>
      <c r="E4176" s="1">
        <f t="shared" si="390"/>
        <v>2</v>
      </c>
      <c r="F4176" s="1">
        <f>_xlfn.XLOOKUP($C4176, 'Instrument Table'!$B:$B, 'Instrument Table'!$A:$A, "")</f>
        <v>22</v>
      </c>
      <c r="G4176" s="1" t="str">
        <f>TEXT(IF($B4176 = "Retail Item", IF((ROW($A4176) - 4504 - _xlfn.XMATCH($C4176, $C$4506:$C$5005, 0, 1)) &lt;= VLOOKUP($C4176, 'Instrument Table'!$B:$D, 3, FALSE), ROW($A4176) - 4504 - _xlfn.XMATCH($C4176, $C$4506:$C$5005, 0, 1), 0), 0), "00")</f>
        <v>00</v>
      </c>
      <c r="H4176" s="1" t="str">
        <f t="shared" si="391"/>
        <v>000</v>
      </c>
      <c r="I4176" s="1" t="str">
        <f t="shared" si="392"/>
        <v>22200-000</v>
      </c>
      <c r="J4176" s="1" t="str">
        <f t="shared" si="393"/>
        <v>Cello service item #000</v>
      </c>
      <c r="K4176" s="1" t="str">
        <f>IF(SUM(COUNTIFS(I:I, I4176)) &gt; 1, "DUPLICATE", "UNIQUE")</f>
        <v>UNIQUE</v>
      </c>
      <c r="L4176" s="18">
        <v>5</v>
      </c>
      <c r="M4176" s="28">
        <v>291</v>
      </c>
      <c r="N4176" s="6">
        <v>8</v>
      </c>
      <c r="O4176" s="30">
        <f t="shared" si="394"/>
        <v>1455</v>
      </c>
      <c r="P4176" s="30">
        <f t="shared" si="395"/>
        <v>2328</v>
      </c>
      <c r="Q4176" s="1">
        <f>COUNTIFS($P:$P, "&gt;" &amp; $P4176) + 1</f>
        <v>3114</v>
      </c>
      <c r="R4176" s="63">
        <f>(COUNTIFS($P:$P, "&gt;" &amp; $P4176) + 1) / (COUNTA($I:$I) - 1)</f>
        <v>0.62280000000000002</v>
      </c>
      <c r="S4176" s="23">
        <f>SUMIFS($P:$P, $Q:$Q, "&lt;" &amp; $Q4176)</f>
        <v>185215364</v>
      </c>
    </row>
    <row r="4177" spans="1:19" x14ac:dyDescent="0.25">
      <c r="A4177" s="1">
        <v>4172</v>
      </c>
      <c r="B4177" s="1" t="s">
        <v>3</v>
      </c>
      <c r="C4177" s="1" t="str">
        <f>IF($B4177 = "Production Item", _xlfn.XLOOKUP($A4177, 'Instrument Table'!$J:$J, 'Instrument Table'!$B:$B, $C4176), IF($B4177 = "Service Item", _xlfn.XLOOKUP($A4177, 'Instrument Table'!$I:$I, 'Instrument Table'!$B:$B, $C4176), _xlfn.XLOOKUP($A4177, 'Instrument Table'!$H:$H, 'Instrument Table'!$B:$B, $C4176)))</f>
        <v>Cello</v>
      </c>
      <c r="D4177" s="1" t="str">
        <f>VLOOKUP($C4177, 'Instrument Table'!$B:$C, 2, FALSE)</f>
        <v>Strings</v>
      </c>
      <c r="E4177" s="1">
        <f t="shared" si="390"/>
        <v>2</v>
      </c>
      <c r="F4177" s="1">
        <f>_xlfn.XLOOKUP($C4177, 'Instrument Table'!$B:$B, 'Instrument Table'!$A:$A, "")</f>
        <v>22</v>
      </c>
      <c r="G4177" s="1" t="str">
        <f>TEXT(IF($B4177 = "Retail Item", IF((ROW($A4177) - 4504 - _xlfn.XMATCH($C4177, $C$4506:$C$5005, 0, 1)) &lt;= VLOOKUP($C4177, 'Instrument Table'!$B:$D, 3, FALSE), ROW($A4177) - 4504 - _xlfn.XMATCH($C4177, $C$4506:$C$5005, 0, 1), 0), 0), "00")</f>
        <v>00</v>
      </c>
      <c r="H4177" s="1" t="str">
        <f t="shared" si="391"/>
        <v>001</v>
      </c>
      <c r="I4177" s="1" t="str">
        <f t="shared" si="392"/>
        <v>22200-001</v>
      </c>
      <c r="J4177" s="1" t="str">
        <f t="shared" si="393"/>
        <v>Cello service item #001</v>
      </c>
      <c r="K4177" s="1" t="str">
        <f>IF(SUM(COUNTIFS(I:I, I4177)) &gt; 1, "DUPLICATE", "UNIQUE")</f>
        <v>UNIQUE</v>
      </c>
      <c r="L4177" s="18">
        <v>6</v>
      </c>
      <c r="M4177" s="28">
        <v>513</v>
      </c>
      <c r="N4177" s="6">
        <v>1</v>
      </c>
      <c r="O4177" s="30">
        <f t="shared" si="394"/>
        <v>3078</v>
      </c>
      <c r="P4177" s="30">
        <f t="shared" si="395"/>
        <v>513</v>
      </c>
      <c r="Q4177" s="1">
        <f>COUNTIFS($P:$P, "&gt;" &amp; $P4177) + 1</f>
        <v>4008</v>
      </c>
      <c r="R4177" s="63">
        <f>(COUNTIFS($P:$P, "&gt;" &amp; $P4177) + 1) / (COUNTA($I:$I) - 1)</f>
        <v>0.80159999999999998</v>
      </c>
      <c r="S4177" s="23">
        <f>SUMIFS($P:$P, $Q:$Q, "&lt;" &amp; $Q4177)</f>
        <v>186402478</v>
      </c>
    </row>
    <row r="4178" spans="1:19" x14ac:dyDescent="0.25">
      <c r="A4178" s="1">
        <v>4173</v>
      </c>
      <c r="B4178" s="1" t="s">
        <v>3</v>
      </c>
      <c r="C4178" s="1" t="str">
        <f>IF($B4178 = "Production Item", _xlfn.XLOOKUP($A4178, 'Instrument Table'!$J:$J, 'Instrument Table'!$B:$B, $C4177), IF($B4178 = "Service Item", _xlfn.XLOOKUP($A4178, 'Instrument Table'!$I:$I, 'Instrument Table'!$B:$B, $C4177), _xlfn.XLOOKUP($A4178, 'Instrument Table'!$H:$H, 'Instrument Table'!$B:$B, $C4177)))</f>
        <v>Cello</v>
      </c>
      <c r="D4178" s="1" t="str">
        <f>VLOOKUP($C4178, 'Instrument Table'!$B:$C, 2, FALSE)</f>
        <v>Strings</v>
      </c>
      <c r="E4178" s="1">
        <f t="shared" si="390"/>
        <v>2</v>
      </c>
      <c r="F4178" s="1">
        <f>_xlfn.XLOOKUP($C4178, 'Instrument Table'!$B:$B, 'Instrument Table'!$A:$A, "")</f>
        <v>22</v>
      </c>
      <c r="G4178" s="1" t="str">
        <f>TEXT(IF($B4178 = "Retail Item", IF((ROW($A4178) - 4504 - _xlfn.XMATCH($C4178, $C$4506:$C$5005, 0, 1)) &lt;= VLOOKUP($C4178, 'Instrument Table'!$B:$D, 3, FALSE), ROW($A4178) - 4504 - _xlfn.XMATCH($C4178, $C$4506:$C$5005, 0, 1), 0), 0), "00")</f>
        <v>00</v>
      </c>
      <c r="H4178" s="1" t="str">
        <f t="shared" si="391"/>
        <v>002</v>
      </c>
      <c r="I4178" s="1" t="str">
        <f t="shared" si="392"/>
        <v>22200-002</v>
      </c>
      <c r="J4178" s="1" t="str">
        <f t="shared" si="393"/>
        <v>Cello service item #002</v>
      </c>
      <c r="K4178" s="1" t="str">
        <f>IF(SUM(COUNTIFS(I:I, I4178)) &gt; 1, "DUPLICATE", "UNIQUE")</f>
        <v>UNIQUE</v>
      </c>
      <c r="L4178" s="18">
        <v>4</v>
      </c>
      <c r="M4178" s="28">
        <v>447</v>
      </c>
      <c r="N4178" s="6">
        <v>64</v>
      </c>
      <c r="O4178" s="30">
        <f t="shared" si="394"/>
        <v>1788</v>
      </c>
      <c r="P4178" s="30">
        <f t="shared" si="395"/>
        <v>28608</v>
      </c>
      <c r="Q4178" s="1">
        <f>COUNTIFS($P:$P, "&gt;" &amp; $P4178) + 1</f>
        <v>722</v>
      </c>
      <c r="R4178" s="63">
        <f>(COUNTIFS($P:$P, "&gt;" &amp; $P4178) + 1) / (COUNTA($I:$I) - 1)</f>
        <v>0.1444</v>
      </c>
      <c r="S4178" s="23">
        <f>SUMIFS($P:$P, $Q:$Q, "&lt;" &amp; $Q4178)</f>
        <v>159728589</v>
      </c>
    </row>
    <row r="4179" spans="1:19" x14ac:dyDescent="0.25">
      <c r="A4179" s="1">
        <v>4174</v>
      </c>
      <c r="B4179" s="1" t="s">
        <v>3</v>
      </c>
      <c r="C4179" s="1" t="str">
        <f>IF($B4179 = "Production Item", _xlfn.XLOOKUP($A4179, 'Instrument Table'!$J:$J, 'Instrument Table'!$B:$B, $C4178), IF($B4179 = "Service Item", _xlfn.XLOOKUP($A4179, 'Instrument Table'!$I:$I, 'Instrument Table'!$B:$B, $C4178), _xlfn.XLOOKUP($A4179, 'Instrument Table'!$H:$H, 'Instrument Table'!$B:$B, $C4178)))</f>
        <v>Cello</v>
      </c>
      <c r="D4179" s="1" t="str">
        <f>VLOOKUP($C4179, 'Instrument Table'!$B:$C, 2, FALSE)</f>
        <v>Strings</v>
      </c>
      <c r="E4179" s="1">
        <f t="shared" si="390"/>
        <v>2</v>
      </c>
      <c r="F4179" s="1">
        <f>_xlfn.XLOOKUP($C4179, 'Instrument Table'!$B:$B, 'Instrument Table'!$A:$A, "")</f>
        <v>22</v>
      </c>
      <c r="G4179" s="1" t="str">
        <f>TEXT(IF($B4179 = "Retail Item", IF((ROW($A4179) - 4504 - _xlfn.XMATCH($C4179, $C$4506:$C$5005, 0, 1)) &lt;= VLOOKUP($C4179, 'Instrument Table'!$B:$D, 3, FALSE), ROW($A4179) - 4504 - _xlfn.XMATCH($C4179, $C$4506:$C$5005, 0, 1), 0), 0), "00")</f>
        <v>00</v>
      </c>
      <c r="H4179" s="1" t="str">
        <f t="shared" si="391"/>
        <v>003</v>
      </c>
      <c r="I4179" s="1" t="str">
        <f t="shared" si="392"/>
        <v>22200-003</v>
      </c>
      <c r="J4179" s="1" t="str">
        <f t="shared" si="393"/>
        <v>Cello service item #003</v>
      </c>
      <c r="K4179" s="1" t="str">
        <f>IF(SUM(COUNTIFS(I:I, I4179)) &gt; 1, "DUPLICATE", "UNIQUE")</f>
        <v>UNIQUE</v>
      </c>
      <c r="L4179" s="18">
        <v>3</v>
      </c>
      <c r="M4179" s="28">
        <v>553</v>
      </c>
      <c r="N4179" s="6">
        <v>27</v>
      </c>
      <c r="O4179" s="30">
        <f t="shared" si="394"/>
        <v>1659</v>
      </c>
      <c r="P4179" s="30">
        <f t="shared" si="395"/>
        <v>14931</v>
      </c>
      <c r="Q4179" s="1">
        <f>COUNTIFS($P:$P, "&gt;" &amp; $P4179) + 1</f>
        <v>1353</v>
      </c>
      <c r="R4179" s="63">
        <f>(COUNTIFS($P:$P, "&gt;" &amp; $P4179) + 1) / (COUNTA($I:$I) - 1)</f>
        <v>0.27060000000000001</v>
      </c>
      <c r="S4179" s="23">
        <f>SUMIFS($P:$P, $Q:$Q, "&lt;" &amp; $Q4179)</f>
        <v>172788000</v>
      </c>
    </row>
    <row r="4180" spans="1:19" x14ac:dyDescent="0.25">
      <c r="A4180" s="1">
        <v>4175</v>
      </c>
      <c r="B4180" s="1" t="s">
        <v>3</v>
      </c>
      <c r="C4180" s="1" t="str">
        <f>IF($B4180 = "Production Item", _xlfn.XLOOKUP($A4180, 'Instrument Table'!$J:$J, 'Instrument Table'!$B:$B, $C4179), IF($B4180 = "Service Item", _xlfn.XLOOKUP($A4180, 'Instrument Table'!$I:$I, 'Instrument Table'!$B:$B, $C4179), _xlfn.XLOOKUP($A4180, 'Instrument Table'!$H:$H, 'Instrument Table'!$B:$B, $C4179)))</f>
        <v>Cello</v>
      </c>
      <c r="D4180" s="1" t="str">
        <f>VLOOKUP($C4180, 'Instrument Table'!$B:$C, 2, FALSE)</f>
        <v>Strings</v>
      </c>
      <c r="E4180" s="1">
        <f t="shared" si="390"/>
        <v>2</v>
      </c>
      <c r="F4180" s="1">
        <f>_xlfn.XLOOKUP($C4180, 'Instrument Table'!$B:$B, 'Instrument Table'!$A:$A, "")</f>
        <v>22</v>
      </c>
      <c r="G4180" s="1" t="str">
        <f>TEXT(IF($B4180 = "Retail Item", IF((ROW($A4180) - 4504 - _xlfn.XMATCH($C4180, $C$4506:$C$5005, 0, 1)) &lt;= VLOOKUP($C4180, 'Instrument Table'!$B:$D, 3, FALSE), ROW($A4180) - 4504 - _xlfn.XMATCH($C4180, $C$4506:$C$5005, 0, 1), 0), 0), "00")</f>
        <v>00</v>
      </c>
      <c r="H4180" s="1" t="str">
        <f t="shared" si="391"/>
        <v>004</v>
      </c>
      <c r="I4180" s="1" t="str">
        <f t="shared" si="392"/>
        <v>22200-004</v>
      </c>
      <c r="J4180" s="1" t="str">
        <f t="shared" si="393"/>
        <v>Cello service item #004</v>
      </c>
      <c r="K4180" s="1" t="str">
        <f>IF(SUM(COUNTIFS(I:I, I4180)) &gt; 1, "DUPLICATE", "UNIQUE")</f>
        <v>UNIQUE</v>
      </c>
      <c r="L4180" s="18">
        <v>1</v>
      </c>
      <c r="M4180" s="28">
        <v>404</v>
      </c>
      <c r="N4180" s="6">
        <v>8</v>
      </c>
      <c r="O4180" s="30">
        <f t="shared" si="394"/>
        <v>404</v>
      </c>
      <c r="P4180" s="30">
        <f t="shared" si="395"/>
        <v>3232</v>
      </c>
      <c r="Q4180" s="1">
        <f>COUNTIFS($P:$P, "&gt;" &amp; $P4180) + 1</f>
        <v>2849</v>
      </c>
      <c r="R4180" s="63">
        <f>(COUNTIFS($P:$P, "&gt;" &amp; $P4180) + 1) / (COUNTA($I:$I) - 1)</f>
        <v>0.56979999999999997</v>
      </c>
      <c r="S4180" s="23">
        <f>SUMIFS($P:$P, $Q:$Q, "&lt;" &amp; $Q4180)</f>
        <v>184488578</v>
      </c>
    </row>
    <row r="4181" spans="1:19" x14ac:dyDescent="0.25">
      <c r="A4181" s="1">
        <v>4176</v>
      </c>
      <c r="B4181" s="1" t="s">
        <v>3</v>
      </c>
      <c r="C4181" s="1" t="str">
        <f>IF($B4181 = "Production Item", _xlfn.XLOOKUP($A4181, 'Instrument Table'!$J:$J, 'Instrument Table'!$B:$B, $C4180), IF($B4181 = "Service Item", _xlfn.XLOOKUP($A4181, 'Instrument Table'!$I:$I, 'Instrument Table'!$B:$B, $C4180), _xlfn.XLOOKUP($A4181, 'Instrument Table'!$H:$H, 'Instrument Table'!$B:$B, $C4180)))</f>
        <v>Cello</v>
      </c>
      <c r="D4181" s="1" t="str">
        <f>VLOOKUP($C4181, 'Instrument Table'!$B:$C, 2, FALSE)</f>
        <v>Strings</v>
      </c>
      <c r="E4181" s="1">
        <f t="shared" si="390"/>
        <v>2</v>
      </c>
      <c r="F4181" s="1">
        <f>_xlfn.XLOOKUP($C4181, 'Instrument Table'!$B:$B, 'Instrument Table'!$A:$A, "")</f>
        <v>22</v>
      </c>
      <c r="G4181" s="1" t="str">
        <f>TEXT(IF($B4181 = "Retail Item", IF((ROW($A4181) - 4504 - _xlfn.XMATCH($C4181, $C$4506:$C$5005, 0, 1)) &lt;= VLOOKUP($C4181, 'Instrument Table'!$B:$D, 3, FALSE), ROW($A4181) - 4504 - _xlfn.XMATCH($C4181, $C$4506:$C$5005, 0, 1), 0), 0), "00")</f>
        <v>00</v>
      </c>
      <c r="H4181" s="1" t="str">
        <f t="shared" si="391"/>
        <v>005</v>
      </c>
      <c r="I4181" s="1" t="str">
        <f t="shared" si="392"/>
        <v>22200-005</v>
      </c>
      <c r="J4181" s="1" t="str">
        <f t="shared" si="393"/>
        <v>Cello service item #005</v>
      </c>
      <c r="K4181" s="1" t="str">
        <f>IF(SUM(COUNTIFS(I:I, I4181)) &gt; 1, "DUPLICATE", "UNIQUE")</f>
        <v>UNIQUE</v>
      </c>
      <c r="L4181" s="18">
        <v>1</v>
      </c>
      <c r="M4181" s="28">
        <v>579</v>
      </c>
      <c r="N4181" s="6">
        <v>1</v>
      </c>
      <c r="O4181" s="30">
        <f t="shared" si="394"/>
        <v>579</v>
      </c>
      <c r="P4181" s="30">
        <f t="shared" si="395"/>
        <v>579</v>
      </c>
      <c r="Q4181" s="1">
        <f>COUNTIFS($P:$P, "&gt;" &amp; $P4181) + 1</f>
        <v>3956</v>
      </c>
      <c r="R4181" s="63">
        <f>(COUNTIFS($P:$P, "&gt;" &amp; $P4181) + 1) / (COUNTA($I:$I) - 1)</f>
        <v>0.79120000000000001</v>
      </c>
      <c r="S4181" s="23">
        <f>SUMIFS($P:$P, $Q:$Q, "&lt;" &amp; $Q4181)</f>
        <v>186373789</v>
      </c>
    </row>
    <row r="4182" spans="1:19" x14ac:dyDescent="0.25">
      <c r="A4182" s="1">
        <v>4177</v>
      </c>
      <c r="B4182" s="1" t="s">
        <v>3</v>
      </c>
      <c r="C4182" s="1" t="str">
        <f>IF($B4182 = "Production Item", _xlfn.XLOOKUP($A4182, 'Instrument Table'!$J:$J, 'Instrument Table'!$B:$B, $C4181), IF($B4182 = "Service Item", _xlfn.XLOOKUP($A4182, 'Instrument Table'!$I:$I, 'Instrument Table'!$B:$B, $C4181), _xlfn.XLOOKUP($A4182, 'Instrument Table'!$H:$H, 'Instrument Table'!$B:$B, $C4181)))</f>
        <v>Cello</v>
      </c>
      <c r="D4182" s="1" t="str">
        <f>VLOOKUP($C4182, 'Instrument Table'!$B:$C, 2, FALSE)</f>
        <v>Strings</v>
      </c>
      <c r="E4182" s="1">
        <f t="shared" si="390"/>
        <v>2</v>
      </c>
      <c r="F4182" s="1">
        <f>_xlfn.XLOOKUP($C4182, 'Instrument Table'!$B:$B, 'Instrument Table'!$A:$A, "")</f>
        <v>22</v>
      </c>
      <c r="G4182" s="1" t="str">
        <f>TEXT(IF($B4182 = "Retail Item", IF((ROW($A4182) - 4504 - _xlfn.XMATCH($C4182, $C$4506:$C$5005, 0, 1)) &lt;= VLOOKUP($C4182, 'Instrument Table'!$B:$D, 3, FALSE), ROW($A4182) - 4504 - _xlfn.XMATCH($C4182, $C$4506:$C$5005, 0, 1), 0), 0), "00")</f>
        <v>00</v>
      </c>
      <c r="H4182" s="1" t="str">
        <f t="shared" si="391"/>
        <v>006</v>
      </c>
      <c r="I4182" s="1" t="str">
        <f t="shared" si="392"/>
        <v>22200-006</v>
      </c>
      <c r="J4182" s="1" t="str">
        <f t="shared" si="393"/>
        <v>Cello service item #006</v>
      </c>
      <c r="K4182" s="1" t="str">
        <f>IF(SUM(COUNTIFS(I:I, I4182)) &gt; 1, "DUPLICATE", "UNIQUE")</f>
        <v>UNIQUE</v>
      </c>
      <c r="L4182" s="18">
        <v>10</v>
      </c>
      <c r="M4182" s="28">
        <v>936</v>
      </c>
      <c r="N4182" s="6">
        <v>125</v>
      </c>
      <c r="O4182" s="30">
        <f t="shared" si="394"/>
        <v>9360</v>
      </c>
      <c r="P4182" s="30">
        <f t="shared" si="395"/>
        <v>117000</v>
      </c>
      <c r="Q4182" s="1">
        <f>COUNTIFS($P:$P, "&gt;" &amp; $P4182) + 1</f>
        <v>378</v>
      </c>
      <c r="R4182" s="63">
        <f>(COUNTIFS($P:$P, "&gt;" &amp; $P4182) + 1) / (COUNTA($I:$I) - 1)</f>
        <v>7.5600000000000001E-2</v>
      </c>
      <c r="S4182" s="23">
        <f>SUMIFS($P:$P, $Q:$Q, "&lt;" &amp; $Q4182)</f>
        <v>140974241</v>
      </c>
    </row>
    <row r="4183" spans="1:19" x14ac:dyDescent="0.25">
      <c r="A4183" s="1">
        <v>4178</v>
      </c>
      <c r="B4183" s="1" t="s">
        <v>3</v>
      </c>
      <c r="C4183" s="1" t="str">
        <f>IF($B4183 = "Production Item", _xlfn.XLOOKUP($A4183, 'Instrument Table'!$J:$J, 'Instrument Table'!$B:$B, $C4182), IF($B4183 = "Service Item", _xlfn.XLOOKUP($A4183, 'Instrument Table'!$I:$I, 'Instrument Table'!$B:$B, $C4182), _xlfn.XLOOKUP($A4183, 'Instrument Table'!$H:$H, 'Instrument Table'!$B:$B, $C4182)))</f>
        <v>Cello</v>
      </c>
      <c r="D4183" s="1" t="str">
        <f>VLOOKUP($C4183, 'Instrument Table'!$B:$C, 2, FALSE)</f>
        <v>Strings</v>
      </c>
      <c r="E4183" s="1">
        <f t="shared" si="390"/>
        <v>2</v>
      </c>
      <c r="F4183" s="1">
        <f>_xlfn.XLOOKUP($C4183, 'Instrument Table'!$B:$B, 'Instrument Table'!$A:$A, "")</f>
        <v>22</v>
      </c>
      <c r="G4183" s="1" t="str">
        <f>TEXT(IF($B4183 = "Retail Item", IF((ROW($A4183) - 4504 - _xlfn.XMATCH($C4183, $C$4506:$C$5005, 0, 1)) &lt;= VLOOKUP($C4183, 'Instrument Table'!$B:$D, 3, FALSE), ROW($A4183) - 4504 - _xlfn.XMATCH($C4183, $C$4506:$C$5005, 0, 1), 0), 0), "00")</f>
        <v>00</v>
      </c>
      <c r="H4183" s="1" t="str">
        <f t="shared" si="391"/>
        <v>007</v>
      </c>
      <c r="I4183" s="1" t="str">
        <f t="shared" si="392"/>
        <v>22200-007</v>
      </c>
      <c r="J4183" s="1" t="str">
        <f t="shared" si="393"/>
        <v>Cello service item #007</v>
      </c>
      <c r="K4183" s="1" t="str">
        <f>IF(SUM(COUNTIFS(I:I, I4183)) &gt; 1, "DUPLICATE", "UNIQUE")</f>
        <v>UNIQUE</v>
      </c>
      <c r="L4183" s="18">
        <v>10</v>
      </c>
      <c r="M4183" s="28">
        <v>349</v>
      </c>
      <c r="N4183" s="6">
        <v>0</v>
      </c>
      <c r="O4183" s="30">
        <f t="shared" si="394"/>
        <v>3490</v>
      </c>
      <c r="P4183" s="30">
        <f t="shared" si="395"/>
        <v>0</v>
      </c>
      <c r="Q4183" s="1">
        <f>COUNTIFS($P:$P, "&gt;" &amp; $P4183) + 1</f>
        <v>4746</v>
      </c>
      <c r="R4183" s="63">
        <f>(COUNTIFS($P:$P, "&gt;" &amp; $P4183) + 1) / (COUNTA($I:$I) - 1)</f>
        <v>0.94920000000000004</v>
      </c>
      <c r="S4183" s="23">
        <f>SUMIFS($P:$P, $Q:$Q, "&lt;" &amp; $Q4183)</f>
        <v>186547861</v>
      </c>
    </row>
    <row r="4184" spans="1:19" x14ac:dyDescent="0.25">
      <c r="A4184" s="1">
        <v>4179</v>
      </c>
      <c r="B4184" s="1" t="s">
        <v>3</v>
      </c>
      <c r="C4184" s="1" t="str">
        <f>IF($B4184 = "Production Item", _xlfn.XLOOKUP($A4184, 'Instrument Table'!$J:$J, 'Instrument Table'!$B:$B, $C4183), IF($B4184 = "Service Item", _xlfn.XLOOKUP($A4184, 'Instrument Table'!$I:$I, 'Instrument Table'!$B:$B, $C4183), _xlfn.XLOOKUP($A4184, 'Instrument Table'!$H:$H, 'Instrument Table'!$B:$B, $C4183)))</f>
        <v>Cello</v>
      </c>
      <c r="D4184" s="1" t="str">
        <f>VLOOKUP($C4184, 'Instrument Table'!$B:$C, 2, FALSE)</f>
        <v>Strings</v>
      </c>
      <c r="E4184" s="1">
        <f t="shared" si="390"/>
        <v>2</v>
      </c>
      <c r="F4184" s="1">
        <f>_xlfn.XLOOKUP($C4184, 'Instrument Table'!$B:$B, 'Instrument Table'!$A:$A, "")</f>
        <v>22</v>
      </c>
      <c r="G4184" s="1" t="str">
        <f>TEXT(IF($B4184 = "Retail Item", IF((ROW($A4184) - 4504 - _xlfn.XMATCH($C4184, $C$4506:$C$5005, 0, 1)) &lt;= VLOOKUP($C4184, 'Instrument Table'!$B:$D, 3, FALSE), ROW($A4184) - 4504 - _xlfn.XMATCH($C4184, $C$4506:$C$5005, 0, 1), 0), 0), "00")</f>
        <v>00</v>
      </c>
      <c r="H4184" s="1" t="str">
        <f t="shared" si="391"/>
        <v>008</v>
      </c>
      <c r="I4184" s="1" t="str">
        <f t="shared" si="392"/>
        <v>22200-008</v>
      </c>
      <c r="J4184" s="1" t="str">
        <f t="shared" si="393"/>
        <v>Cello service item #008</v>
      </c>
      <c r="K4184" s="1" t="str">
        <f>IF(SUM(COUNTIFS(I:I, I4184)) &gt; 1, "DUPLICATE", "UNIQUE")</f>
        <v>UNIQUE</v>
      </c>
      <c r="L4184" s="18">
        <v>5</v>
      </c>
      <c r="M4184" s="28">
        <v>46</v>
      </c>
      <c r="N4184" s="6">
        <v>1</v>
      </c>
      <c r="O4184" s="30">
        <f t="shared" si="394"/>
        <v>230</v>
      </c>
      <c r="P4184" s="30">
        <f t="shared" si="395"/>
        <v>46</v>
      </c>
      <c r="Q4184" s="1">
        <f>COUNTIFS($P:$P, "&gt;" &amp; $P4184) + 1</f>
        <v>4628</v>
      </c>
      <c r="R4184" s="63">
        <f>(COUNTIFS($P:$P, "&gt;" &amp; $P4184) + 1) / (COUNTA($I:$I) - 1)</f>
        <v>0.92559999999999998</v>
      </c>
      <c r="S4184" s="23">
        <f>SUMIFS($P:$P, $Q:$Q, "&lt;" &amp; $Q4184)</f>
        <v>186545113</v>
      </c>
    </row>
    <row r="4185" spans="1:19" x14ac:dyDescent="0.25">
      <c r="A4185" s="1">
        <v>4180</v>
      </c>
      <c r="B4185" s="1" t="s">
        <v>3</v>
      </c>
      <c r="C4185" s="1" t="str">
        <f>IF($B4185 = "Production Item", _xlfn.XLOOKUP($A4185, 'Instrument Table'!$J:$J, 'Instrument Table'!$B:$B, $C4184), IF($B4185 = "Service Item", _xlfn.XLOOKUP($A4185, 'Instrument Table'!$I:$I, 'Instrument Table'!$B:$B, $C4184), _xlfn.XLOOKUP($A4185, 'Instrument Table'!$H:$H, 'Instrument Table'!$B:$B, $C4184)))</f>
        <v>Cello</v>
      </c>
      <c r="D4185" s="1" t="str">
        <f>VLOOKUP($C4185, 'Instrument Table'!$B:$C, 2, FALSE)</f>
        <v>Strings</v>
      </c>
      <c r="E4185" s="1">
        <f t="shared" si="390"/>
        <v>2</v>
      </c>
      <c r="F4185" s="1">
        <f>_xlfn.XLOOKUP($C4185, 'Instrument Table'!$B:$B, 'Instrument Table'!$A:$A, "")</f>
        <v>22</v>
      </c>
      <c r="G4185" s="1" t="str">
        <f>TEXT(IF($B4185 = "Retail Item", IF((ROW($A4185) - 4504 - _xlfn.XMATCH($C4185, $C$4506:$C$5005, 0, 1)) &lt;= VLOOKUP($C4185, 'Instrument Table'!$B:$D, 3, FALSE), ROW($A4185) - 4504 - _xlfn.XMATCH($C4185, $C$4506:$C$5005, 0, 1), 0), 0), "00")</f>
        <v>00</v>
      </c>
      <c r="H4185" s="1" t="str">
        <f t="shared" si="391"/>
        <v>009</v>
      </c>
      <c r="I4185" s="1" t="str">
        <f t="shared" si="392"/>
        <v>22200-009</v>
      </c>
      <c r="J4185" s="1" t="str">
        <f t="shared" si="393"/>
        <v>Cello service item #009</v>
      </c>
      <c r="K4185" s="1" t="str">
        <f>IF(SUM(COUNTIFS(I:I, I4185)) &gt; 1, "DUPLICATE", "UNIQUE")</f>
        <v>UNIQUE</v>
      </c>
      <c r="L4185" s="18">
        <v>10</v>
      </c>
      <c r="M4185" s="28">
        <v>438</v>
      </c>
      <c r="N4185" s="6">
        <v>125</v>
      </c>
      <c r="O4185" s="30">
        <f t="shared" si="394"/>
        <v>4380</v>
      </c>
      <c r="P4185" s="30">
        <f t="shared" si="395"/>
        <v>54750</v>
      </c>
      <c r="Q4185" s="1">
        <f>COUNTIFS($P:$P, "&gt;" &amp; $P4185) + 1</f>
        <v>514</v>
      </c>
      <c r="R4185" s="63">
        <f>(COUNTIFS($P:$P, "&gt;" &amp; $P4185) + 1) / (COUNTA($I:$I) - 1)</f>
        <v>0.1028</v>
      </c>
      <c r="S4185" s="23">
        <f>SUMIFS($P:$P, $Q:$Q, "&lt;" &amp; $Q4185)</f>
        <v>152266395</v>
      </c>
    </row>
    <row r="4186" spans="1:19" x14ac:dyDescent="0.25">
      <c r="A4186" s="1">
        <v>4181</v>
      </c>
      <c r="B4186" s="1" t="s">
        <v>3</v>
      </c>
      <c r="C4186" s="1" t="str">
        <f>IF($B4186 = "Production Item", _xlfn.XLOOKUP($A4186, 'Instrument Table'!$J:$J, 'Instrument Table'!$B:$B, $C4185), IF($B4186 = "Service Item", _xlfn.XLOOKUP($A4186, 'Instrument Table'!$I:$I, 'Instrument Table'!$B:$B, $C4185), _xlfn.XLOOKUP($A4186, 'Instrument Table'!$H:$H, 'Instrument Table'!$B:$B, $C4185)))</f>
        <v>Bass</v>
      </c>
      <c r="D4186" s="1" t="str">
        <f>VLOOKUP($C4186, 'Instrument Table'!$B:$C, 2, FALSE)</f>
        <v>Strings</v>
      </c>
      <c r="E4186" s="1">
        <f t="shared" si="390"/>
        <v>2</v>
      </c>
      <c r="F4186" s="1">
        <f>_xlfn.XLOOKUP($C4186, 'Instrument Table'!$B:$B, 'Instrument Table'!$A:$A, "")</f>
        <v>23</v>
      </c>
      <c r="G4186" s="1" t="str">
        <f>TEXT(IF($B4186 = "Retail Item", IF((ROW($A4186) - 4504 - _xlfn.XMATCH($C4186, $C$4506:$C$5005, 0, 1)) &lt;= VLOOKUP($C4186, 'Instrument Table'!$B:$D, 3, FALSE), ROW($A4186) - 4504 - _xlfn.XMATCH($C4186, $C$4506:$C$5005, 0, 1), 0), 0), "00")</f>
        <v>00</v>
      </c>
      <c r="H4186" s="1" t="str">
        <f t="shared" si="391"/>
        <v>000</v>
      </c>
      <c r="I4186" s="1" t="str">
        <f t="shared" si="392"/>
        <v>22300-000</v>
      </c>
      <c r="J4186" s="1" t="str">
        <f t="shared" si="393"/>
        <v>Bass service item #000</v>
      </c>
      <c r="K4186" s="1" t="str">
        <f>IF(SUM(COUNTIFS(I:I, I4186)) &gt; 1, "DUPLICATE", "UNIQUE")</f>
        <v>UNIQUE</v>
      </c>
      <c r="L4186" s="18">
        <v>9</v>
      </c>
      <c r="M4186" s="28">
        <v>146</v>
      </c>
      <c r="N4186" s="6">
        <v>27</v>
      </c>
      <c r="O4186" s="30">
        <f t="shared" si="394"/>
        <v>1314</v>
      </c>
      <c r="P4186" s="30">
        <f t="shared" si="395"/>
        <v>3942</v>
      </c>
      <c r="Q4186" s="1">
        <f>COUNTIFS($P:$P, "&gt;" &amp; $P4186) + 1</f>
        <v>2666</v>
      </c>
      <c r="R4186" s="63">
        <f>(COUNTIFS($P:$P, "&gt;" &amp; $P4186) + 1) / (COUNTA($I:$I) - 1)</f>
        <v>0.53320000000000001</v>
      </c>
      <c r="S4186" s="23">
        <f>SUMIFS($P:$P, $Q:$Q, "&lt;" &amp; $Q4186)</f>
        <v>183834882</v>
      </c>
    </row>
    <row r="4187" spans="1:19" x14ac:dyDescent="0.25">
      <c r="A4187" s="1">
        <v>4182</v>
      </c>
      <c r="B4187" s="1" t="s">
        <v>3</v>
      </c>
      <c r="C4187" s="1" t="str">
        <f>IF($B4187 = "Production Item", _xlfn.XLOOKUP($A4187, 'Instrument Table'!$J:$J, 'Instrument Table'!$B:$B, $C4186), IF($B4187 = "Service Item", _xlfn.XLOOKUP($A4187, 'Instrument Table'!$I:$I, 'Instrument Table'!$B:$B, $C4186), _xlfn.XLOOKUP($A4187, 'Instrument Table'!$H:$H, 'Instrument Table'!$B:$B, $C4186)))</f>
        <v>Bass</v>
      </c>
      <c r="D4187" s="1" t="str">
        <f>VLOOKUP($C4187, 'Instrument Table'!$B:$C, 2, FALSE)</f>
        <v>Strings</v>
      </c>
      <c r="E4187" s="1">
        <f t="shared" si="390"/>
        <v>2</v>
      </c>
      <c r="F4187" s="1">
        <f>_xlfn.XLOOKUP($C4187, 'Instrument Table'!$B:$B, 'Instrument Table'!$A:$A, "")</f>
        <v>23</v>
      </c>
      <c r="G4187" s="1" t="str">
        <f>TEXT(IF($B4187 = "Retail Item", IF((ROW($A4187) - 4504 - _xlfn.XMATCH($C4187, $C$4506:$C$5005, 0, 1)) &lt;= VLOOKUP($C4187, 'Instrument Table'!$B:$D, 3, FALSE), ROW($A4187) - 4504 - _xlfn.XMATCH($C4187, $C$4506:$C$5005, 0, 1), 0), 0), "00")</f>
        <v>00</v>
      </c>
      <c r="H4187" s="1" t="str">
        <f t="shared" si="391"/>
        <v>001</v>
      </c>
      <c r="I4187" s="1" t="str">
        <f t="shared" si="392"/>
        <v>22300-001</v>
      </c>
      <c r="J4187" s="1" t="str">
        <f t="shared" si="393"/>
        <v>Bass service item #001</v>
      </c>
      <c r="K4187" s="1" t="str">
        <f>IF(SUM(COUNTIFS(I:I, I4187)) &gt; 1, "DUPLICATE", "UNIQUE")</f>
        <v>UNIQUE</v>
      </c>
      <c r="L4187" s="18">
        <v>9</v>
      </c>
      <c r="M4187" s="28">
        <v>950</v>
      </c>
      <c r="N4187" s="6">
        <v>64</v>
      </c>
      <c r="O4187" s="30">
        <f t="shared" si="394"/>
        <v>8550</v>
      </c>
      <c r="P4187" s="30">
        <f t="shared" si="395"/>
        <v>60800</v>
      </c>
      <c r="Q4187" s="1">
        <f>COUNTIFS($P:$P, "&gt;" &amp; $P4187) + 1</f>
        <v>497</v>
      </c>
      <c r="R4187" s="63">
        <f>(COUNTIFS($P:$P, "&gt;" &amp; $P4187) + 1) / (COUNTA($I:$I) - 1)</f>
        <v>9.9400000000000002E-2</v>
      </c>
      <c r="S4187" s="23">
        <f>SUMIFS($P:$P, $Q:$Q, "&lt;" &amp; $Q4187)</f>
        <v>151283789</v>
      </c>
    </row>
    <row r="4188" spans="1:19" x14ac:dyDescent="0.25">
      <c r="A4188" s="1">
        <v>4183</v>
      </c>
      <c r="B4188" s="1" t="s">
        <v>3</v>
      </c>
      <c r="C4188" s="1" t="str">
        <f>IF($B4188 = "Production Item", _xlfn.XLOOKUP($A4188, 'Instrument Table'!$J:$J, 'Instrument Table'!$B:$B, $C4187), IF($B4188 = "Service Item", _xlfn.XLOOKUP($A4188, 'Instrument Table'!$I:$I, 'Instrument Table'!$B:$B, $C4187), _xlfn.XLOOKUP($A4188, 'Instrument Table'!$H:$H, 'Instrument Table'!$B:$B, $C4187)))</f>
        <v>Bass</v>
      </c>
      <c r="D4188" s="1" t="str">
        <f>VLOOKUP($C4188, 'Instrument Table'!$B:$C, 2, FALSE)</f>
        <v>Strings</v>
      </c>
      <c r="E4188" s="1">
        <f t="shared" si="390"/>
        <v>2</v>
      </c>
      <c r="F4188" s="1">
        <f>_xlfn.XLOOKUP($C4188, 'Instrument Table'!$B:$B, 'Instrument Table'!$A:$A, "")</f>
        <v>23</v>
      </c>
      <c r="G4188" s="1" t="str">
        <f>TEXT(IF($B4188 = "Retail Item", IF((ROW($A4188) - 4504 - _xlfn.XMATCH($C4188, $C$4506:$C$5005, 0, 1)) &lt;= VLOOKUP($C4188, 'Instrument Table'!$B:$D, 3, FALSE), ROW($A4188) - 4504 - _xlfn.XMATCH($C4188, $C$4506:$C$5005, 0, 1), 0), 0), "00")</f>
        <v>00</v>
      </c>
      <c r="H4188" s="1" t="str">
        <f t="shared" si="391"/>
        <v>002</v>
      </c>
      <c r="I4188" s="1" t="str">
        <f t="shared" si="392"/>
        <v>22300-002</v>
      </c>
      <c r="J4188" s="1" t="str">
        <f t="shared" si="393"/>
        <v>Bass service item #002</v>
      </c>
      <c r="K4188" s="1" t="str">
        <f>IF(SUM(COUNTIFS(I:I, I4188)) &gt; 1, "DUPLICATE", "UNIQUE")</f>
        <v>UNIQUE</v>
      </c>
      <c r="L4188" s="18">
        <v>5</v>
      </c>
      <c r="M4188" s="28">
        <v>15</v>
      </c>
      <c r="N4188" s="6">
        <v>8</v>
      </c>
      <c r="O4188" s="30">
        <f t="shared" si="394"/>
        <v>75</v>
      </c>
      <c r="P4188" s="30">
        <f t="shared" si="395"/>
        <v>120</v>
      </c>
      <c r="Q4188" s="1">
        <f>COUNTIFS($P:$P, "&gt;" &amp; $P4188) + 1</f>
        <v>4427</v>
      </c>
      <c r="R4188" s="63">
        <f>(COUNTIFS($P:$P, "&gt;" &amp; $P4188) + 1) / (COUNTA($I:$I) - 1)</f>
        <v>0.88539999999999996</v>
      </c>
      <c r="S4188" s="23">
        <f>SUMIFS($P:$P, $Q:$Q, "&lt;" &amp; $Q4188)</f>
        <v>186529639</v>
      </c>
    </row>
    <row r="4189" spans="1:19" x14ac:dyDescent="0.25">
      <c r="A4189" s="1">
        <v>4184</v>
      </c>
      <c r="B4189" s="1" t="s">
        <v>3</v>
      </c>
      <c r="C4189" s="1" t="str">
        <f>IF($B4189 = "Production Item", _xlfn.XLOOKUP($A4189, 'Instrument Table'!$J:$J, 'Instrument Table'!$B:$B, $C4188), IF($B4189 = "Service Item", _xlfn.XLOOKUP($A4189, 'Instrument Table'!$I:$I, 'Instrument Table'!$B:$B, $C4188), _xlfn.XLOOKUP($A4189, 'Instrument Table'!$H:$H, 'Instrument Table'!$B:$B, $C4188)))</f>
        <v>Bass</v>
      </c>
      <c r="D4189" s="1" t="str">
        <f>VLOOKUP($C4189, 'Instrument Table'!$B:$C, 2, FALSE)</f>
        <v>Strings</v>
      </c>
      <c r="E4189" s="1">
        <f t="shared" si="390"/>
        <v>2</v>
      </c>
      <c r="F4189" s="1">
        <f>_xlfn.XLOOKUP($C4189, 'Instrument Table'!$B:$B, 'Instrument Table'!$A:$A, "")</f>
        <v>23</v>
      </c>
      <c r="G4189" s="1" t="str">
        <f>TEXT(IF($B4189 = "Retail Item", IF((ROW($A4189) - 4504 - _xlfn.XMATCH($C4189, $C$4506:$C$5005, 0, 1)) &lt;= VLOOKUP($C4189, 'Instrument Table'!$B:$D, 3, FALSE), ROW($A4189) - 4504 - _xlfn.XMATCH($C4189, $C$4506:$C$5005, 0, 1), 0), 0), "00")</f>
        <v>00</v>
      </c>
      <c r="H4189" s="1" t="str">
        <f t="shared" si="391"/>
        <v>003</v>
      </c>
      <c r="I4189" s="1" t="str">
        <f t="shared" si="392"/>
        <v>22300-003</v>
      </c>
      <c r="J4189" s="1" t="str">
        <f t="shared" si="393"/>
        <v>Bass service item #003</v>
      </c>
      <c r="K4189" s="1" t="str">
        <f>IF(SUM(COUNTIFS(I:I, I4189)) &gt; 1, "DUPLICATE", "UNIQUE")</f>
        <v>UNIQUE</v>
      </c>
      <c r="L4189" s="18">
        <v>10</v>
      </c>
      <c r="M4189" s="28">
        <v>802</v>
      </c>
      <c r="N4189" s="6">
        <v>125</v>
      </c>
      <c r="O4189" s="30">
        <f t="shared" si="394"/>
        <v>8020</v>
      </c>
      <c r="P4189" s="30">
        <f t="shared" si="395"/>
        <v>100250</v>
      </c>
      <c r="Q4189" s="1">
        <f>COUNTIFS($P:$P, "&gt;" &amp; $P4189) + 1</f>
        <v>407</v>
      </c>
      <c r="R4189" s="63">
        <f>(COUNTIFS($P:$P, "&gt;" &amp; $P4189) + 1) / (COUNTA($I:$I) - 1)</f>
        <v>8.14E-2</v>
      </c>
      <c r="S4189" s="23">
        <f>SUMIFS($P:$P, $Q:$Q, "&lt;" &amp; $Q4189)</f>
        <v>144160003</v>
      </c>
    </row>
    <row r="4190" spans="1:19" x14ac:dyDescent="0.25">
      <c r="A4190" s="1">
        <v>4185</v>
      </c>
      <c r="B4190" s="1" t="s">
        <v>3</v>
      </c>
      <c r="C4190" s="1" t="str">
        <f>IF($B4190 = "Production Item", _xlfn.XLOOKUP($A4190, 'Instrument Table'!$J:$J, 'Instrument Table'!$B:$B, $C4189), IF($B4190 = "Service Item", _xlfn.XLOOKUP($A4190, 'Instrument Table'!$I:$I, 'Instrument Table'!$B:$B, $C4189), _xlfn.XLOOKUP($A4190, 'Instrument Table'!$H:$H, 'Instrument Table'!$B:$B, $C4189)))</f>
        <v>Bass</v>
      </c>
      <c r="D4190" s="1" t="str">
        <f>VLOOKUP($C4190, 'Instrument Table'!$B:$C, 2, FALSE)</f>
        <v>Strings</v>
      </c>
      <c r="E4190" s="1">
        <f t="shared" si="390"/>
        <v>2</v>
      </c>
      <c r="F4190" s="1">
        <f>_xlfn.XLOOKUP($C4190, 'Instrument Table'!$B:$B, 'Instrument Table'!$A:$A, "")</f>
        <v>23</v>
      </c>
      <c r="G4190" s="1" t="str">
        <f>TEXT(IF($B4190 = "Retail Item", IF((ROW($A4190) - 4504 - _xlfn.XMATCH($C4190, $C$4506:$C$5005, 0, 1)) &lt;= VLOOKUP($C4190, 'Instrument Table'!$B:$D, 3, FALSE), ROW($A4190) - 4504 - _xlfn.XMATCH($C4190, $C$4506:$C$5005, 0, 1), 0), 0), "00")</f>
        <v>00</v>
      </c>
      <c r="H4190" s="1" t="str">
        <f t="shared" si="391"/>
        <v>004</v>
      </c>
      <c r="I4190" s="1" t="str">
        <f t="shared" si="392"/>
        <v>22300-004</v>
      </c>
      <c r="J4190" s="1" t="str">
        <f t="shared" si="393"/>
        <v>Bass service item #004</v>
      </c>
      <c r="K4190" s="1" t="str">
        <f>IF(SUM(COUNTIFS(I:I, I4190)) &gt; 1, "DUPLICATE", "UNIQUE")</f>
        <v>UNIQUE</v>
      </c>
      <c r="L4190" s="18">
        <v>2</v>
      </c>
      <c r="M4190" s="28">
        <v>281</v>
      </c>
      <c r="N4190" s="6">
        <v>64</v>
      </c>
      <c r="O4190" s="30">
        <f t="shared" si="394"/>
        <v>562</v>
      </c>
      <c r="P4190" s="30">
        <f t="shared" si="395"/>
        <v>17984</v>
      </c>
      <c r="Q4190" s="1">
        <f>COUNTIFS($P:$P, "&gt;" &amp; $P4190) + 1</f>
        <v>1165</v>
      </c>
      <c r="R4190" s="63">
        <f>(COUNTIFS($P:$P, "&gt;" &amp; $P4190) + 1) / (COUNTA($I:$I) - 1)</f>
        <v>0.23300000000000001</v>
      </c>
      <c r="S4190" s="23">
        <f>SUMIFS($P:$P, $Q:$Q, "&lt;" &amp; $Q4190)</f>
        <v>169708778</v>
      </c>
    </row>
    <row r="4191" spans="1:19" x14ac:dyDescent="0.25">
      <c r="A4191" s="1">
        <v>4186</v>
      </c>
      <c r="B4191" s="1" t="s">
        <v>3</v>
      </c>
      <c r="C4191" s="1" t="str">
        <f>IF($B4191 = "Production Item", _xlfn.XLOOKUP($A4191, 'Instrument Table'!$J:$J, 'Instrument Table'!$B:$B, $C4190), IF($B4191 = "Service Item", _xlfn.XLOOKUP($A4191, 'Instrument Table'!$I:$I, 'Instrument Table'!$B:$B, $C4190), _xlfn.XLOOKUP($A4191, 'Instrument Table'!$H:$H, 'Instrument Table'!$B:$B, $C4190)))</f>
        <v>Bass</v>
      </c>
      <c r="D4191" s="1" t="str">
        <f>VLOOKUP($C4191, 'Instrument Table'!$B:$C, 2, FALSE)</f>
        <v>Strings</v>
      </c>
      <c r="E4191" s="1">
        <f t="shared" si="390"/>
        <v>2</v>
      </c>
      <c r="F4191" s="1">
        <f>_xlfn.XLOOKUP($C4191, 'Instrument Table'!$B:$B, 'Instrument Table'!$A:$A, "")</f>
        <v>23</v>
      </c>
      <c r="G4191" s="1" t="str">
        <f>TEXT(IF($B4191 = "Retail Item", IF((ROW($A4191) - 4504 - _xlfn.XMATCH($C4191, $C$4506:$C$5005, 0, 1)) &lt;= VLOOKUP($C4191, 'Instrument Table'!$B:$D, 3, FALSE), ROW($A4191) - 4504 - _xlfn.XMATCH($C4191, $C$4506:$C$5005, 0, 1), 0), 0), "00")</f>
        <v>00</v>
      </c>
      <c r="H4191" s="1" t="str">
        <f t="shared" si="391"/>
        <v>005</v>
      </c>
      <c r="I4191" s="1" t="str">
        <f t="shared" si="392"/>
        <v>22300-005</v>
      </c>
      <c r="J4191" s="1" t="str">
        <f t="shared" si="393"/>
        <v>Bass service item #005</v>
      </c>
      <c r="K4191" s="1" t="str">
        <f>IF(SUM(COUNTIFS(I:I, I4191)) &gt; 1, "DUPLICATE", "UNIQUE")</f>
        <v>UNIQUE</v>
      </c>
      <c r="L4191" s="18">
        <v>1</v>
      </c>
      <c r="M4191" s="28">
        <v>891</v>
      </c>
      <c r="N4191" s="6">
        <v>125</v>
      </c>
      <c r="O4191" s="30">
        <f t="shared" si="394"/>
        <v>891</v>
      </c>
      <c r="P4191" s="30">
        <f t="shared" si="395"/>
        <v>111375</v>
      </c>
      <c r="Q4191" s="1">
        <f>COUNTIFS($P:$P, "&gt;" &amp; $P4191) + 1</f>
        <v>391</v>
      </c>
      <c r="R4191" s="63">
        <f>(COUNTIFS($P:$P, "&gt;" &amp; $P4191) + 1) / (COUNTA($I:$I) - 1)</f>
        <v>7.8200000000000006E-2</v>
      </c>
      <c r="S4191" s="23">
        <f>SUMIFS($P:$P, $Q:$Q, "&lt;" &amp; $Q4191)</f>
        <v>142469717</v>
      </c>
    </row>
    <row r="4192" spans="1:19" x14ac:dyDescent="0.25">
      <c r="A4192" s="1">
        <v>4187</v>
      </c>
      <c r="B4192" s="1" t="s">
        <v>3</v>
      </c>
      <c r="C4192" s="1" t="str">
        <f>IF($B4192 = "Production Item", _xlfn.XLOOKUP($A4192, 'Instrument Table'!$J:$J, 'Instrument Table'!$B:$B, $C4191), IF($B4192 = "Service Item", _xlfn.XLOOKUP($A4192, 'Instrument Table'!$I:$I, 'Instrument Table'!$B:$B, $C4191), _xlfn.XLOOKUP($A4192, 'Instrument Table'!$H:$H, 'Instrument Table'!$B:$B, $C4191)))</f>
        <v>Bass</v>
      </c>
      <c r="D4192" s="1" t="str">
        <f>VLOOKUP($C4192, 'Instrument Table'!$B:$C, 2, FALSE)</f>
        <v>Strings</v>
      </c>
      <c r="E4192" s="1">
        <f t="shared" si="390"/>
        <v>2</v>
      </c>
      <c r="F4192" s="1">
        <f>_xlfn.XLOOKUP($C4192, 'Instrument Table'!$B:$B, 'Instrument Table'!$A:$A, "")</f>
        <v>23</v>
      </c>
      <c r="G4192" s="1" t="str">
        <f>TEXT(IF($B4192 = "Retail Item", IF((ROW($A4192) - 4504 - _xlfn.XMATCH($C4192, $C$4506:$C$5005, 0, 1)) &lt;= VLOOKUP($C4192, 'Instrument Table'!$B:$D, 3, FALSE), ROW($A4192) - 4504 - _xlfn.XMATCH($C4192, $C$4506:$C$5005, 0, 1), 0), 0), "00")</f>
        <v>00</v>
      </c>
      <c r="H4192" s="1" t="str">
        <f t="shared" si="391"/>
        <v>006</v>
      </c>
      <c r="I4192" s="1" t="str">
        <f t="shared" si="392"/>
        <v>22300-006</v>
      </c>
      <c r="J4192" s="1" t="str">
        <f t="shared" si="393"/>
        <v>Bass service item #006</v>
      </c>
      <c r="K4192" s="1" t="str">
        <f>IF(SUM(COUNTIFS(I:I, I4192)) &gt; 1, "DUPLICATE", "UNIQUE")</f>
        <v>UNIQUE</v>
      </c>
      <c r="L4192" s="18">
        <v>5</v>
      </c>
      <c r="M4192" s="28">
        <v>105</v>
      </c>
      <c r="N4192" s="6">
        <v>64</v>
      </c>
      <c r="O4192" s="30">
        <f t="shared" si="394"/>
        <v>525</v>
      </c>
      <c r="P4192" s="30">
        <f t="shared" si="395"/>
        <v>6720</v>
      </c>
      <c r="Q4192" s="1">
        <f>COUNTIFS($P:$P, "&gt;" &amp; $P4192) + 1</f>
        <v>2182</v>
      </c>
      <c r="R4192" s="63">
        <f>(COUNTIFS($P:$P, "&gt;" &amp; $P4192) + 1) / (COUNTA($I:$I) - 1)</f>
        <v>0.43640000000000001</v>
      </c>
      <c r="S4192" s="23">
        <f>SUMIFS($P:$P, $Q:$Q, "&lt;" &amp; $Q4192)</f>
        <v>181331848</v>
      </c>
    </row>
    <row r="4193" spans="1:19" x14ac:dyDescent="0.25">
      <c r="A4193" s="1">
        <v>4188</v>
      </c>
      <c r="B4193" s="1" t="s">
        <v>3</v>
      </c>
      <c r="C4193" s="1" t="str">
        <f>IF($B4193 = "Production Item", _xlfn.XLOOKUP($A4193, 'Instrument Table'!$J:$J, 'Instrument Table'!$B:$B, $C4192), IF($B4193 = "Service Item", _xlfn.XLOOKUP($A4193, 'Instrument Table'!$I:$I, 'Instrument Table'!$B:$B, $C4192), _xlfn.XLOOKUP($A4193, 'Instrument Table'!$H:$H, 'Instrument Table'!$B:$B, $C4192)))</f>
        <v>Bass</v>
      </c>
      <c r="D4193" s="1" t="str">
        <f>VLOOKUP($C4193, 'Instrument Table'!$B:$C, 2, FALSE)</f>
        <v>Strings</v>
      </c>
      <c r="E4193" s="1">
        <f t="shared" si="390"/>
        <v>2</v>
      </c>
      <c r="F4193" s="1">
        <f>_xlfn.XLOOKUP($C4193, 'Instrument Table'!$B:$B, 'Instrument Table'!$A:$A, "")</f>
        <v>23</v>
      </c>
      <c r="G4193" s="1" t="str">
        <f>TEXT(IF($B4193 = "Retail Item", IF((ROW($A4193) - 4504 - _xlfn.XMATCH($C4193, $C$4506:$C$5005, 0, 1)) &lt;= VLOOKUP($C4193, 'Instrument Table'!$B:$D, 3, FALSE), ROW($A4193) - 4504 - _xlfn.XMATCH($C4193, $C$4506:$C$5005, 0, 1), 0), 0), "00")</f>
        <v>00</v>
      </c>
      <c r="H4193" s="1" t="str">
        <f t="shared" si="391"/>
        <v>007</v>
      </c>
      <c r="I4193" s="1" t="str">
        <f t="shared" si="392"/>
        <v>22300-007</v>
      </c>
      <c r="J4193" s="1" t="str">
        <f t="shared" si="393"/>
        <v>Bass service item #007</v>
      </c>
      <c r="K4193" s="1" t="str">
        <f>IF(SUM(COUNTIFS(I:I, I4193)) &gt; 1, "DUPLICATE", "UNIQUE")</f>
        <v>UNIQUE</v>
      </c>
      <c r="L4193" s="18">
        <v>3</v>
      </c>
      <c r="M4193" s="28">
        <v>745</v>
      </c>
      <c r="N4193" s="6">
        <v>0</v>
      </c>
      <c r="O4193" s="30">
        <f t="shared" si="394"/>
        <v>2235</v>
      </c>
      <c r="P4193" s="30">
        <f t="shared" si="395"/>
        <v>0</v>
      </c>
      <c r="Q4193" s="1">
        <f>COUNTIFS($P:$P, "&gt;" &amp; $P4193) + 1</f>
        <v>4746</v>
      </c>
      <c r="R4193" s="63">
        <f>(COUNTIFS($P:$P, "&gt;" &amp; $P4193) + 1) / (COUNTA($I:$I) - 1)</f>
        <v>0.94920000000000004</v>
      </c>
      <c r="S4193" s="23">
        <f>SUMIFS($P:$P, $Q:$Q, "&lt;" &amp; $Q4193)</f>
        <v>186547861</v>
      </c>
    </row>
    <row r="4194" spans="1:19" x14ac:dyDescent="0.25">
      <c r="A4194" s="1">
        <v>4189</v>
      </c>
      <c r="B4194" s="1" t="s">
        <v>3</v>
      </c>
      <c r="C4194" s="1" t="str">
        <f>IF($B4194 = "Production Item", _xlfn.XLOOKUP($A4194, 'Instrument Table'!$J:$J, 'Instrument Table'!$B:$B, $C4193), IF($B4194 = "Service Item", _xlfn.XLOOKUP($A4194, 'Instrument Table'!$I:$I, 'Instrument Table'!$B:$B, $C4193), _xlfn.XLOOKUP($A4194, 'Instrument Table'!$H:$H, 'Instrument Table'!$B:$B, $C4193)))</f>
        <v>Bass</v>
      </c>
      <c r="D4194" s="1" t="str">
        <f>VLOOKUP($C4194, 'Instrument Table'!$B:$C, 2, FALSE)</f>
        <v>Strings</v>
      </c>
      <c r="E4194" s="1">
        <f t="shared" si="390"/>
        <v>2</v>
      </c>
      <c r="F4194" s="1">
        <f>_xlfn.XLOOKUP($C4194, 'Instrument Table'!$B:$B, 'Instrument Table'!$A:$A, "")</f>
        <v>23</v>
      </c>
      <c r="G4194" s="1" t="str">
        <f>TEXT(IF($B4194 = "Retail Item", IF((ROW($A4194) - 4504 - _xlfn.XMATCH($C4194, $C$4506:$C$5005, 0, 1)) &lt;= VLOOKUP($C4194, 'Instrument Table'!$B:$D, 3, FALSE), ROW($A4194) - 4504 - _xlfn.XMATCH($C4194, $C$4506:$C$5005, 0, 1), 0), 0), "00")</f>
        <v>00</v>
      </c>
      <c r="H4194" s="1" t="str">
        <f t="shared" si="391"/>
        <v>008</v>
      </c>
      <c r="I4194" s="1" t="str">
        <f t="shared" si="392"/>
        <v>22300-008</v>
      </c>
      <c r="J4194" s="1" t="str">
        <f t="shared" si="393"/>
        <v>Bass service item #008</v>
      </c>
      <c r="K4194" s="1" t="str">
        <f>IF(SUM(COUNTIFS(I:I, I4194)) &gt; 1, "DUPLICATE", "UNIQUE")</f>
        <v>UNIQUE</v>
      </c>
      <c r="L4194" s="18">
        <v>9</v>
      </c>
      <c r="M4194" s="28">
        <v>933</v>
      </c>
      <c r="N4194" s="6">
        <v>27</v>
      </c>
      <c r="O4194" s="30">
        <f t="shared" si="394"/>
        <v>8397</v>
      </c>
      <c r="P4194" s="30">
        <f t="shared" si="395"/>
        <v>25191</v>
      </c>
      <c r="Q4194" s="1">
        <f>COUNTIFS($P:$P, "&gt;" &amp; $P4194) + 1</f>
        <v>821</v>
      </c>
      <c r="R4194" s="63">
        <f>(COUNTIFS($P:$P, "&gt;" &amp; $P4194) + 1) / (COUNTA($I:$I) - 1)</f>
        <v>0.16420000000000001</v>
      </c>
      <c r="S4194" s="23">
        <f>SUMIFS($P:$P, $Q:$Q, "&lt;" &amp; $Q4194)</f>
        <v>162363389</v>
      </c>
    </row>
    <row r="4195" spans="1:19" x14ac:dyDescent="0.25">
      <c r="A4195" s="1">
        <v>4190</v>
      </c>
      <c r="B4195" s="1" t="s">
        <v>3</v>
      </c>
      <c r="C4195" s="1" t="str">
        <f>IF($B4195 = "Production Item", _xlfn.XLOOKUP($A4195, 'Instrument Table'!$J:$J, 'Instrument Table'!$B:$B, $C4194), IF($B4195 = "Service Item", _xlfn.XLOOKUP($A4195, 'Instrument Table'!$I:$I, 'Instrument Table'!$B:$B, $C4194), _xlfn.XLOOKUP($A4195, 'Instrument Table'!$H:$H, 'Instrument Table'!$B:$B, $C4194)))</f>
        <v>Bass</v>
      </c>
      <c r="D4195" s="1" t="str">
        <f>VLOOKUP($C4195, 'Instrument Table'!$B:$C, 2, FALSE)</f>
        <v>Strings</v>
      </c>
      <c r="E4195" s="1">
        <f t="shared" si="390"/>
        <v>2</v>
      </c>
      <c r="F4195" s="1">
        <f>_xlfn.XLOOKUP($C4195, 'Instrument Table'!$B:$B, 'Instrument Table'!$A:$A, "")</f>
        <v>23</v>
      </c>
      <c r="G4195" s="1" t="str">
        <f>TEXT(IF($B4195 = "Retail Item", IF((ROW($A4195) - 4504 - _xlfn.XMATCH($C4195, $C$4506:$C$5005, 0, 1)) &lt;= VLOOKUP($C4195, 'Instrument Table'!$B:$D, 3, FALSE), ROW($A4195) - 4504 - _xlfn.XMATCH($C4195, $C$4506:$C$5005, 0, 1), 0), 0), "00")</f>
        <v>00</v>
      </c>
      <c r="H4195" s="1" t="str">
        <f t="shared" si="391"/>
        <v>009</v>
      </c>
      <c r="I4195" s="1" t="str">
        <f t="shared" si="392"/>
        <v>22300-009</v>
      </c>
      <c r="J4195" s="1" t="str">
        <f t="shared" si="393"/>
        <v>Bass service item #009</v>
      </c>
      <c r="K4195" s="1" t="str">
        <f>IF(SUM(COUNTIFS(I:I, I4195)) &gt; 1, "DUPLICATE", "UNIQUE")</f>
        <v>UNIQUE</v>
      </c>
      <c r="L4195" s="18">
        <v>5</v>
      </c>
      <c r="M4195" s="28">
        <v>885</v>
      </c>
      <c r="N4195" s="6">
        <v>1</v>
      </c>
      <c r="O4195" s="30">
        <f t="shared" si="394"/>
        <v>4425</v>
      </c>
      <c r="P4195" s="30">
        <f t="shared" si="395"/>
        <v>885</v>
      </c>
      <c r="Q4195" s="1">
        <f>COUNTIFS($P:$P, "&gt;" &amp; $P4195) + 1</f>
        <v>3735</v>
      </c>
      <c r="R4195" s="63">
        <f>(COUNTIFS($P:$P, "&gt;" &amp; $P4195) + 1) / (COUNTA($I:$I) - 1)</f>
        <v>0.747</v>
      </c>
      <c r="S4195" s="23">
        <f>SUMIFS($P:$P, $Q:$Q, "&lt;" &amp; $Q4195)</f>
        <v>186211030</v>
      </c>
    </row>
    <row r="4196" spans="1:19" x14ac:dyDescent="0.25">
      <c r="A4196" s="1">
        <v>4191</v>
      </c>
      <c r="B4196" s="1" t="s">
        <v>3</v>
      </c>
      <c r="C4196" s="1" t="str">
        <f>IF($B4196 = "Production Item", _xlfn.XLOOKUP($A4196, 'Instrument Table'!$J:$J, 'Instrument Table'!$B:$B, $C4195), IF($B4196 = "Service Item", _xlfn.XLOOKUP($A4196, 'Instrument Table'!$I:$I, 'Instrument Table'!$B:$B, $C4195), _xlfn.XLOOKUP($A4196, 'Instrument Table'!$H:$H, 'Instrument Table'!$B:$B, $C4195)))</f>
        <v>Acoustic Guitar</v>
      </c>
      <c r="D4196" s="1" t="str">
        <f>VLOOKUP($C4196, 'Instrument Table'!$B:$C, 2, FALSE)</f>
        <v>Strings</v>
      </c>
      <c r="E4196" s="1">
        <f t="shared" si="390"/>
        <v>2</v>
      </c>
      <c r="F4196" s="1">
        <f>_xlfn.XLOOKUP($C4196, 'Instrument Table'!$B:$B, 'Instrument Table'!$A:$A, "")</f>
        <v>24</v>
      </c>
      <c r="G4196" s="1" t="str">
        <f>TEXT(IF($B4196 = "Retail Item", IF((ROW($A4196) - 4504 - _xlfn.XMATCH($C4196, $C$4506:$C$5005, 0, 1)) &lt;= VLOOKUP($C4196, 'Instrument Table'!$B:$D, 3, FALSE), ROW($A4196) - 4504 - _xlfn.XMATCH($C4196, $C$4506:$C$5005, 0, 1), 0), 0), "00")</f>
        <v>00</v>
      </c>
      <c r="H4196" s="1" t="str">
        <f t="shared" si="391"/>
        <v>000</v>
      </c>
      <c r="I4196" s="1" t="str">
        <f t="shared" si="392"/>
        <v>22400-000</v>
      </c>
      <c r="J4196" s="1" t="str">
        <f t="shared" si="393"/>
        <v>Acoustic guitar service item #000</v>
      </c>
      <c r="K4196" s="1" t="str">
        <f>IF(SUM(COUNTIFS(I:I, I4196)) &gt; 1, "DUPLICATE", "UNIQUE")</f>
        <v>UNIQUE</v>
      </c>
      <c r="L4196" s="18">
        <v>7</v>
      </c>
      <c r="M4196" s="28">
        <v>315</v>
      </c>
      <c r="N4196" s="6">
        <v>125</v>
      </c>
      <c r="O4196" s="30">
        <f t="shared" si="394"/>
        <v>2205</v>
      </c>
      <c r="P4196" s="30">
        <f t="shared" si="395"/>
        <v>39375</v>
      </c>
      <c r="Q4196" s="1">
        <f>COUNTIFS($P:$P, "&gt;" &amp; $P4196) + 1</f>
        <v>563</v>
      </c>
      <c r="R4196" s="63">
        <f>(COUNTIFS($P:$P, "&gt;" &amp; $P4196) + 1) / (COUNTA($I:$I) - 1)</f>
        <v>0.11260000000000001</v>
      </c>
      <c r="S4196" s="23">
        <f>SUMIFS($P:$P, $Q:$Q, "&lt;" &amp; $Q4196)</f>
        <v>154495834</v>
      </c>
    </row>
    <row r="4197" spans="1:19" x14ac:dyDescent="0.25">
      <c r="A4197" s="1">
        <v>4192</v>
      </c>
      <c r="B4197" s="1" t="s">
        <v>3</v>
      </c>
      <c r="C4197" s="1" t="str">
        <f>IF($B4197 = "Production Item", _xlfn.XLOOKUP($A4197, 'Instrument Table'!$J:$J, 'Instrument Table'!$B:$B, $C4196), IF($B4197 = "Service Item", _xlfn.XLOOKUP($A4197, 'Instrument Table'!$I:$I, 'Instrument Table'!$B:$B, $C4196), _xlfn.XLOOKUP($A4197, 'Instrument Table'!$H:$H, 'Instrument Table'!$B:$B, $C4196)))</f>
        <v>Acoustic Guitar</v>
      </c>
      <c r="D4197" s="1" t="str">
        <f>VLOOKUP($C4197, 'Instrument Table'!$B:$C, 2, FALSE)</f>
        <v>Strings</v>
      </c>
      <c r="E4197" s="1">
        <f t="shared" si="390"/>
        <v>2</v>
      </c>
      <c r="F4197" s="1">
        <f>_xlfn.XLOOKUP($C4197, 'Instrument Table'!$B:$B, 'Instrument Table'!$A:$A, "")</f>
        <v>24</v>
      </c>
      <c r="G4197" s="1" t="str">
        <f>TEXT(IF($B4197 = "Retail Item", IF((ROW($A4197) - 4504 - _xlfn.XMATCH($C4197, $C$4506:$C$5005, 0, 1)) &lt;= VLOOKUP($C4197, 'Instrument Table'!$B:$D, 3, FALSE), ROW($A4197) - 4504 - _xlfn.XMATCH($C4197, $C$4506:$C$5005, 0, 1), 0), 0), "00")</f>
        <v>00</v>
      </c>
      <c r="H4197" s="1" t="str">
        <f t="shared" si="391"/>
        <v>001</v>
      </c>
      <c r="I4197" s="1" t="str">
        <f t="shared" si="392"/>
        <v>22400-001</v>
      </c>
      <c r="J4197" s="1" t="str">
        <f t="shared" si="393"/>
        <v>Acoustic guitar service item #001</v>
      </c>
      <c r="K4197" s="1" t="str">
        <f>IF(SUM(COUNTIFS(I:I, I4197)) &gt; 1, "DUPLICATE", "UNIQUE")</f>
        <v>UNIQUE</v>
      </c>
      <c r="L4197" s="18">
        <v>7</v>
      </c>
      <c r="M4197" s="28">
        <v>856</v>
      </c>
      <c r="N4197" s="6">
        <v>0</v>
      </c>
      <c r="O4197" s="30">
        <f t="shared" si="394"/>
        <v>5992</v>
      </c>
      <c r="P4197" s="30">
        <f t="shared" si="395"/>
        <v>0</v>
      </c>
      <c r="Q4197" s="1">
        <f>COUNTIFS($P:$P, "&gt;" &amp; $P4197) + 1</f>
        <v>4746</v>
      </c>
      <c r="R4197" s="63">
        <f>(COUNTIFS($P:$P, "&gt;" &amp; $P4197) + 1) / (COUNTA($I:$I) - 1)</f>
        <v>0.94920000000000004</v>
      </c>
      <c r="S4197" s="23">
        <f>SUMIFS($P:$P, $Q:$Q, "&lt;" &amp; $Q4197)</f>
        <v>186547861</v>
      </c>
    </row>
    <row r="4198" spans="1:19" x14ac:dyDescent="0.25">
      <c r="A4198" s="1">
        <v>4193</v>
      </c>
      <c r="B4198" s="1" t="s">
        <v>3</v>
      </c>
      <c r="C4198" s="1" t="str">
        <f>IF($B4198 = "Production Item", _xlfn.XLOOKUP($A4198, 'Instrument Table'!$J:$J, 'Instrument Table'!$B:$B, $C4197), IF($B4198 = "Service Item", _xlfn.XLOOKUP($A4198, 'Instrument Table'!$I:$I, 'Instrument Table'!$B:$B, $C4197), _xlfn.XLOOKUP($A4198, 'Instrument Table'!$H:$H, 'Instrument Table'!$B:$B, $C4197)))</f>
        <v>Acoustic Guitar</v>
      </c>
      <c r="D4198" s="1" t="str">
        <f>VLOOKUP($C4198, 'Instrument Table'!$B:$C, 2, FALSE)</f>
        <v>Strings</v>
      </c>
      <c r="E4198" s="1">
        <f t="shared" si="390"/>
        <v>2</v>
      </c>
      <c r="F4198" s="1">
        <f>_xlfn.XLOOKUP($C4198, 'Instrument Table'!$B:$B, 'Instrument Table'!$A:$A, "")</f>
        <v>24</v>
      </c>
      <c r="G4198" s="1" t="str">
        <f>TEXT(IF($B4198 = "Retail Item", IF((ROW($A4198) - 4504 - _xlfn.XMATCH($C4198, $C$4506:$C$5005, 0, 1)) &lt;= VLOOKUP($C4198, 'Instrument Table'!$B:$D, 3, FALSE), ROW($A4198) - 4504 - _xlfn.XMATCH($C4198, $C$4506:$C$5005, 0, 1), 0), 0), "00")</f>
        <v>00</v>
      </c>
      <c r="H4198" s="1" t="str">
        <f t="shared" si="391"/>
        <v>002</v>
      </c>
      <c r="I4198" s="1" t="str">
        <f t="shared" si="392"/>
        <v>22400-002</v>
      </c>
      <c r="J4198" s="1" t="str">
        <f t="shared" si="393"/>
        <v>Acoustic guitar service item #002</v>
      </c>
      <c r="K4198" s="1" t="str">
        <f>IF(SUM(COUNTIFS(I:I, I4198)) &gt; 1, "DUPLICATE", "UNIQUE")</f>
        <v>UNIQUE</v>
      </c>
      <c r="L4198" s="18">
        <v>2</v>
      </c>
      <c r="M4198" s="28">
        <v>438</v>
      </c>
      <c r="N4198" s="6">
        <v>27</v>
      </c>
      <c r="O4198" s="30">
        <f t="shared" si="394"/>
        <v>876</v>
      </c>
      <c r="P4198" s="30">
        <f t="shared" si="395"/>
        <v>11826</v>
      </c>
      <c r="Q4198" s="1">
        <f>COUNTIFS($P:$P, "&gt;" &amp; $P4198) + 1</f>
        <v>1596</v>
      </c>
      <c r="R4198" s="63">
        <f>(COUNTIFS($P:$P, "&gt;" &amp; $P4198) + 1) / (COUNTA($I:$I) - 1)</f>
        <v>0.31919999999999998</v>
      </c>
      <c r="S4198" s="23">
        <f>SUMIFS($P:$P, $Q:$Q, "&lt;" &amp; $Q4198)</f>
        <v>176031426</v>
      </c>
    </row>
    <row r="4199" spans="1:19" x14ac:dyDescent="0.25">
      <c r="A4199" s="1">
        <v>4194</v>
      </c>
      <c r="B4199" s="1" t="s">
        <v>3</v>
      </c>
      <c r="C4199" s="1" t="str">
        <f>IF($B4199 = "Production Item", _xlfn.XLOOKUP($A4199, 'Instrument Table'!$J:$J, 'Instrument Table'!$B:$B, $C4198), IF($B4199 = "Service Item", _xlfn.XLOOKUP($A4199, 'Instrument Table'!$I:$I, 'Instrument Table'!$B:$B, $C4198), _xlfn.XLOOKUP($A4199, 'Instrument Table'!$H:$H, 'Instrument Table'!$B:$B, $C4198)))</f>
        <v>Acoustic Guitar</v>
      </c>
      <c r="D4199" s="1" t="str">
        <f>VLOOKUP($C4199, 'Instrument Table'!$B:$C, 2, FALSE)</f>
        <v>Strings</v>
      </c>
      <c r="E4199" s="1">
        <f t="shared" si="390"/>
        <v>2</v>
      </c>
      <c r="F4199" s="1">
        <f>_xlfn.XLOOKUP($C4199, 'Instrument Table'!$B:$B, 'Instrument Table'!$A:$A, "")</f>
        <v>24</v>
      </c>
      <c r="G4199" s="1" t="str">
        <f>TEXT(IF($B4199 = "Retail Item", IF((ROW($A4199) - 4504 - _xlfn.XMATCH($C4199, $C$4506:$C$5005, 0, 1)) &lt;= VLOOKUP($C4199, 'Instrument Table'!$B:$D, 3, FALSE), ROW($A4199) - 4504 - _xlfn.XMATCH($C4199, $C$4506:$C$5005, 0, 1), 0), 0), "00")</f>
        <v>00</v>
      </c>
      <c r="H4199" s="1" t="str">
        <f t="shared" si="391"/>
        <v>003</v>
      </c>
      <c r="I4199" s="1" t="str">
        <f t="shared" si="392"/>
        <v>22400-003</v>
      </c>
      <c r="J4199" s="1" t="str">
        <f t="shared" si="393"/>
        <v>Acoustic guitar service item #003</v>
      </c>
      <c r="K4199" s="1" t="str">
        <f>IF(SUM(COUNTIFS(I:I, I4199)) &gt; 1, "DUPLICATE", "UNIQUE")</f>
        <v>UNIQUE</v>
      </c>
      <c r="L4199" s="18">
        <v>1</v>
      </c>
      <c r="M4199" s="28">
        <v>598</v>
      </c>
      <c r="N4199" s="6">
        <v>0</v>
      </c>
      <c r="O4199" s="30">
        <f t="shared" si="394"/>
        <v>598</v>
      </c>
      <c r="P4199" s="30">
        <f t="shared" si="395"/>
        <v>0</v>
      </c>
      <c r="Q4199" s="1">
        <f>COUNTIFS($P:$P, "&gt;" &amp; $P4199) + 1</f>
        <v>4746</v>
      </c>
      <c r="R4199" s="63">
        <f>(COUNTIFS($P:$P, "&gt;" &amp; $P4199) + 1) / (COUNTA($I:$I) - 1)</f>
        <v>0.94920000000000004</v>
      </c>
      <c r="S4199" s="23">
        <f>SUMIFS($P:$P, $Q:$Q, "&lt;" &amp; $Q4199)</f>
        <v>186547861</v>
      </c>
    </row>
    <row r="4200" spans="1:19" x14ac:dyDescent="0.25">
      <c r="A4200" s="1">
        <v>4195</v>
      </c>
      <c r="B4200" s="1" t="s">
        <v>3</v>
      </c>
      <c r="C4200" s="1" t="str">
        <f>IF($B4200 = "Production Item", _xlfn.XLOOKUP($A4200, 'Instrument Table'!$J:$J, 'Instrument Table'!$B:$B, $C4199), IF($B4200 = "Service Item", _xlfn.XLOOKUP($A4200, 'Instrument Table'!$I:$I, 'Instrument Table'!$B:$B, $C4199), _xlfn.XLOOKUP($A4200, 'Instrument Table'!$H:$H, 'Instrument Table'!$B:$B, $C4199)))</f>
        <v>Acoustic Guitar</v>
      </c>
      <c r="D4200" s="1" t="str">
        <f>VLOOKUP($C4200, 'Instrument Table'!$B:$C, 2, FALSE)</f>
        <v>Strings</v>
      </c>
      <c r="E4200" s="1">
        <f t="shared" si="390"/>
        <v>2</v>
      </c>
      <c r="F4200" s="1">
        <f>_xlfn.XLOOKUP($C4200, 'Instrument Table'!$B:$B, 'Instrument Table'!$A:$A, "")</f>
        <v>24</v>
      </c>
      <c r="G4200" s="1" t="str">
        <f>TEXT(IF($B4200 = "Retail Item", IF((ROW($A4200) - 4504 - _xlfn.XMATCH($C4200, $C$4506:$C$5005, 0, 1)) &lt;= VLOOKUP($C4200, 'Instrument Table'!$B:$D, 3, FALSE), ROW($A4200) - 4504 - _xlfn.XMATCH($C4200, $C$4506:$C$5005, 0, 1), 0), 0), "00")</f>
        <v>00</v>
      </c>
      <c r="H4200" s="1" t="str">
        <f t="shared" si="391"/>
        <v>004</v>
      </c>
      <c r="I4200" s="1" t="str">
        <f t="shared" si="392"/>
        <v>22400-004</v>
      </c>
      <c r="J4200" s="1" t="str">
        <f t="shared" si="393"/>
        <v>Acoustic guitar service item #004</v>
      </c>
      <c r="K4200" s="1" t="str">
        <f>IF(SUM(COUNTIFS(I:I, I4200)) &gt; 1, "DUPLICATE", "UNIQUE")</f>
        <v>UNIQUE</v>
      </c>
      <c r="L4200" s="18">
        <v>4</v>
      </c>
      <c r="M4200" s="28">
        <v>131</v>
      </c>
      <c r="N4200" s="6">
        <v>8</v>
      </c>
      <c r="O4200" s="30">
        <f t="shared" si="394"/>
        <v>524</v>
      </c>
      <c r="P4200" s="30">
        <f t="shared" si="395"/>
        <v>1048</v>
      </c>
      <c r="Q4200" s="1">
        <f>COUNTIFS($P:$P, "&gt;" &amp; $P4200) + 1</f>
        <v>3663</v>
      </c>
      <c r="R4200" s="63">
        <f>(COUNTIFS($P:$P, "&gt;" &amp; $P4200) + 1) / (COUNTA($I:$I) - 1)</f>
        <v>0.73260000000000003</v>
      </c>
      <c r="S4200" s="23">
        <f>SUMIFS($P:$P, $Q:$Q, "&lt;" &amp; $Q4200)</f>
        <v>186141781</v>
      </c>
    </row>
    <row r="4201" spans="1:19" x14ac:dyDescent="0.25">
      <c r="A4201" s="1">
        <v>4196</v>
      </c>
      <c r="B4201" s="1" t="s">
        <v>3</v>
      </c>
      <c r="C4201" s="1" t="str">
        <f>IF($B4201 = "Production Item", _xlfn.XLOOKUP($A4201, 'Instrument Table'!$J:$J, 'Instrument Table'!$B:$B, $C4200), IF($B4201 = "Service Item", _xlfn.XLOOKUP($A4201, 'Instrument Table'!$I:$I, 'Instrument Table'!$B:$B, $C4200), _xlfn.XLOOKUP($A4201, 'Instrument Table'!$H:$H, 'Instrument Table'!$B:$B, $C4200)))</f>
        <v>Acoustic Guitar</v>
      </c>
      <c r="D4201" s="1" t="str">
        <f>VLOOKUP($C4201, 'Instrument Table'!$B:$C, 2, FALSE)</f>
        <v>Strings</v>
      </c>
      <c r="E4201" s="1">
        <f t="shared" si="390"/>
        <v>2</v>
      </c>
      <c r="F4201" s="1">
        <f>_xlfn.XLOOKUP($C4201, 'Instrument Table'!$B:$B, 'Instrument Table'!$A:$A, "")</f>
        <v>24</v>
      </c>
      <c r="G4201" s="1" t="str">
        <f>TEXT(IF($B4201 = "Retail Item", IF((ROW($A4201) - 4504 - _xlfn.XMATCH($C4201, $C$4506:$C$5005, 0, 1)) &lt;= VLOOKUP($C4201, 'Instrument Table'!$B:$D, 3, FALSE), ROW($A4201) - 4504 - _xlfn.XMATCH($C4201, $C$4506:$C$5005, 0, 1), 0), 0), "00")</f>
        <v>00</v>
      </c>
      <c r="H4201" s="1" t="str">
        <f t="shared" si="391"/>
        <v>005</v>
      </c>
      <c r="I4201" s="1" t="str">
        <f t="shared" si="392"/>
        <v>22400-005</v>
      </c>
      <c r="J4201" s="1" t="str">
        <f t="shared" si="393"/>
        <v>Acoustic guitar service item #005</v>
      </c>
      <c r="K4201" s="1" t="str">
        <f>IF(SUM(COUNTIFS(I:I, I4201)) &gt; 1, "DUPLICATE", "UNIQUE")</f>
        <v>UNIQUE</v>
      </c>
      <c r="L4201" s="18">
        <v>8</v>
      </c>
      <c r="M4201" s="28">
        <v>707</v>
      </c>
      <c r="N4201" s="6">
        <v>0</v>
      </c>
      <c r="O4201" s="30">
        <f t="shared" si="394"/>
        <v>5656</v>
      </c>
      <c r="P4201" s="30">
        <f t="shared" si="395"/>
        <v>0</v>
      </c>
      <c r="Q4201" s="1">
        <f>COUNTIFS($P:$P, "&gt;" &amp; $P4201) + 1</f>
        <v>4746</v>
      </c>
      <c r="R4201" s="63">
        <f>(COUNTIFS($P:$P, "&gt;" &amp; $P4201) + 1) / (COUNTA($I:$I) - 1)</f>
        <v>0.94920000000000004</v>
      </c>
      <c r="S4201" s="23">
        <f>SUMIFS($P:$P, $Q:$Q, "&lt;" &amp; $Q4201)</f>
        <v>186547861</v>
      </c>
    </row>
    <row r="4202" spans="1:19" x14ac:dyDescent="0.25">
      <c r="A4202" s="1">
        <v>4197</v>
      </c>
      <c r="B4202" s="1" t="s">
        <v>3</v>
      </c>
      <c r="C4202" s="1" t="str">
        <f>IF($B4202 = "Production Item", _xlfn.XLOOKUP($A4202, 'Instrument Table'!$J:$J, 'Instrument Table'!$B:$B, $C4201), IF($B4202 = "Service Item", _xlfn.XLOOKUP($A4202, 'Instrument Table'!$I:$I, 'Instrument Table'!$B:$B, $C4201), _xlfn.XLOOKUP($A4202, 'Instrument Table'!$H:$H, 'Instrument Table'!$B:$B, $C4201)))</f>
        <v>Acoustic Guitar</v>
      </c>
      <c r="D4202" s="1" t="str">
        <f>VLOOKUP($C4202, 'Instrument Table'!$B:$C, 2, FALSE)</f>
        <v>Strings</v>
      </c>
      <c r="E4202" s="1">
        <f t="shared" si="390"/>
        <v>2</v>
      </c>
      <c r="F4202" s="1">
        <f>_xlfn.XLOOKUP($C4202, 'Instrument Table'!$B:$B, 'Instrument Table'!$A:$A, "")</f>
        <v>24</v>
      </c>
      <c r="G4202" s="1" t="str">
        <f>TEXT(IF($B4202 = "Retail Item", IF((ROW($A4202) - 4504 - _xlfn.XMATCH($C4202, $C$4506:$C$5005, 0, 1)) &lt;= VLOOKUP($C4202, 'Instrument Table'!$B:$D, 3, FALSE), ROW($A4202) - 4504 - _xlfn.XMATCH($C4202, $C$4506:$C$5005, 0, 1), 0), 0), "00")</f>
        <v>00</v>
      </c>
      <c r="H4202" s="1" t="str">
        <f t="shared" si="391"/>
        <v>006</v>
      </c>
      <c r="I4202" s="1" t="str">
        <f t="shared" si="392"/>
        <v>22400-006</v>
      </c>
      <c r="J4202" s="1" t="str">
        <f t="shared" si="393"/>
        <v>Acoustic guitar service item #006</v>
      </c>
      <c r="K4202" s="1" t="str">
        <f>IF(SUM(COUNTIFS(I:I, I4202)) &gt; 1, "DUPLICATE", "UNIQUE")</f>
        <v>UNIQUE</v>
      </c>
      <c r="L4202" s="18">
        <v>6</v>
      </c>
      <c r="M4202" s="28">
        <v>121</v>
      </c>
      <c r="N4202" s="6">
        <v>8</v>
      </c>
      <c r="O4202" s="30">
        <f t="shared" si="394"/>
        <v>726</v>
      </c>
      <c r="P4202" s="30">
        <f t="shared" si="395"/>
        <v>968</v>
      </c>
      <c r="Q4202" s="1">
        <f>COUNTIFS($P:$P, "&gt;" &amp; $P4202) + 1</f>
        <v>3698</v>
      </c>
      <c r="R4202" s="63">
        <f>(COUNTIFS($P:$P, "&gt;" &amp; $P4202) + 1) / (COUNTA($I:$I) - 1)</f>
        <v>0.73960000000000004</v>
      </c>
      <c r="S4202" s="23">
        <f>SUMIFS($P:$P, $Q:$Q, "&lt;" &amp; $Q4202)</f>
        <v>186176894</v>
      </c>
    </row>
    <row r="4203" spans="1:19" x14ac:dyDescent="0.25">
      <c r="A4203" s="1">
        <v>4198</v>
      </c>
      <c r="B4203" s="1" t="s">
        <v>3</v>
      </c>
      <c r="C4203" s="1" t="str">
        <f>IF($B4203 = "Production Item", _xlfn.XLOOKUP($A4203, 'Instrument Table'!$J:$J, 'Instrument Table'!$B:$B, $C4202), IF($B4203 = "Service Item", _xlfn.XLOOKUP($A4203, 'Instrument Table'!$I:$I, 'Instrument Table'!$B:$B, $C4202), _xlfn.XLOOKUP($A4203, 'Instrument Table'!$H:$H, 'Instrument Table'!$B:$B, $C4202)))</f>
        <v>Acoustic Guitar</v>
      </c>
      <c r="D4203" s="1" t="str">
        <f>VLOOKUP($C4203, 'Instrument Table'!$B:$C, 2, FALSE)</f>
        <v>Strings</v>
      </c>
      <c r="E4203" s="1">
        <f t="shared" si="390"/>
        <v>2</v>
      </c>
      <c r="F4203" s="1">
        <f>_xlfn.XLOOKUP($C4203, 'Instrument Table'!$B:$B, 'Instrument Table'!$A:$A, "")</f>
        <v>24</v>
      </c>
      <c r="G4203" s="1" t="str">
        <f>TEXT(IF($B4203 = "Retail Item", IF((ROW($A4203) - 4504 - _xlfn.XMATCH($C4203, $C$4506:$C$5005, 0, 1)) &lt;= VLOOKUP($C4203, 'Instrument Table'!$B:$D, 3, FALSE), ROW($A4203) - 4504 - _xlfn.XMATCH($C4203, $C$4506:$C$5005, 0, 1), 0), 0), "00")</f>
        <v>00</v>
      </c>
      <c r="H4203" s="1" t="str">
        <f t="shared" si="391"/>
        <v>007</v>
      </c>
      <c r="I4203" s="1" t="str">
        <f t="shared" si="392"/>
        <v>22400-007</v>
      </c>
      <c r="J4203" s="1" t="str">
        <f t="shared" si="393"/>
        <v>Acoustic guitar service item #007</v>
      </c>
      <c r="K4203" s="1" t="str">
        <f>IF(SUM(COUNTIFS(I:I, I4203)) &gt; 1, "DUPLICATE", "UNIQUE")</f>
        <v>UNIQUE</v>
      </c>
      <c r="L4203" s="18">
        <v>6</v>
      </c>
      <c r="M4203" s="28">
        <v>740</v>
      </c>
      <c r="N4203" s="6">
        <v>64</v>
      </c>
      <c r="O4203" s="30">
        <f t="shared" si="394"/>
        <v>4440</v>
      </c>
      <c r="P4203" s="30">
        <f t="shared" si="395"/>
        <v>47360</v>
      </c>
      <c r="Q4203" s="1">
        <f>COUNTIFS($P:$P, "&gt;" &amp; $P4203) + 1</f>
        <v>532</v>
      </c>
      <c r="R4203" s="63">
        <f>(COUNTIFS($P:$P, "&gt;" &amp; $P4203) + 1) / (COUNTA($I:$I) - 1)</f>
        <v>0.10639999999999999</v>
      </c>
      <c r="S4203" s="23">
        <f>SUMIFS($P:$P, $Q:$Q, "&lt;" &amp; $Q4203)</f>
        <v>153195489</v>
      </c>
    </row>
    <row r="4204" spans="1:19" x14ac:dyDescent="0.25">
      <c r="A4204" s="1">
        <v>4199</v>
      </c>
      <c r="B4204" s="1" t="s">
        <v>3</v>
      </c>
      <c r="C4204" s="1" t="str">
        <f>IF($B4204 = "Production Item", _xlfn.XLOOKUP($A4204, 'Instrument Table'!$J:$J, 'Instrument Table'!$B:$B, $C4203), IF($B4204 = "Service Item", _xlfn.XLOOKUP($A4204, 'Instrument Table'!$I:$I, 'Instrument Table'!$B:$B, $C4203), _xlfn.XLOOKUP($A4204, 'Instrument Table'!$H:$H, 'Instrument Table'!$B:$B, $C4203)))</f>
        <v>Acoustic Guitar</v>
      </c>
      <c r="D4204" s="1" t="str">
        <f>VLOOKUP($C4204, 'Instrument Table'!$B:$C, 2, FALSE)</f>
        <v>Strings</v>
      </c>
      <c r="E4204" s="1">
        <f t="shared" si="390"/>
        <v>2</v>
      </c>
      <c r="F4204" s="1">
        <f>_xlfn.XLOOKUP($C4204, 'Instrument Table'!$B:$B, 'Instrument Table'!$A:$A, "")</f>
        <v>24</v>
      </c>
      <c r="G4204" s="1" t="str">
        <f>TEXT(IF($B4204 = "Retail Item", IF((ROW($A4204) - 4504 - _xlfn.XMATCH($C4204, $C$4506:$C$5005, 0, 1)) &lt;= VLOOKUP($C4204, 'Instrument Table'!$B:$D, 3, FALSE), ROW($A4204) - 4504 - _xlfn.XMATCH($C4204, $C$4506:$C$5005, 0, 1), 0), 0), "00")</f>
        <v>00</v>
      </c>
      <c r="H4204" s="1" t="str">
        <f t="shared" si="391"/>
        <v>008</v>
      </c>
      <c r="I4204" s="1" t="str">
        <f t="shared" si="392"/>
        <v>22400-008</v>
      </c>
      <c r="J4204" s="1" t="str">
        <f t="shared" si="393"/>
        <v>Acoustic guitar service item #008</v>
      </c>
      <c r="K4204" s="1" t="str">
        <f>IF(SUM(COUNTIFS(I:I, I4204)) &gt; 1, "DUPLICATE", "UNIQUE")</f>
        <v>UNIQUE</v>
      </c>
      <c r="L4204" s="18">
        <v>3</v>
      </c>
      <c r="M4204" s="28">
        <v>324</v>
      </c>
      <c r="N4204" s="6">
        <v>8</v>
      </c>
      <c r="O4204" s="30">
        <f t="shared" si="394"/>
        <v>972</v>
      </c>
      <c r="P4204" s="30">
        <f t="shared" si="395"/>
        <v>2592</v>
      </c>
      <c r="Q4204" s="1">
        <f>COUNTIFS($P:$P, "&gt;" &amp; $P4204) + 1</f>
        <v>3012</v>
      </c>
      <c r="R4204" s="63">
        <f>(COUNTIFS($P:$P, "&gt;" &amp; $P4204) + 1) / (COUNTA($I:$I) - 1)</f>
        <v>0.60240000000000005</v>
      </c>
      <c r="S4204" s="23">
        <f>SUMIFS($P:$P, $Q:$Q, "&lt;" &amp; $Q4204)</f>
        <v>184963466</v>
      </c>
    </row>
    <row r="4205" spans="1:19" x14ac:dyDescent="0.25">
      <c r="A4205" s="1">
        <v>4200</v>
      </c>
      <c r="B4205" s="1" t="s">
        <v>3</v>
      </c>
      <c r="C4205" s="1" t="str">
        <f>IF($B4205 = "Production Item", _xlfn.XLOOKUP($A4205, 'Instrument Table'!$J:$J, 'Instrument Table'!$B:$B, $C4204), IF($B4205 = "Service Item", _xlfn.XLOOKUP($A4205, 'Instrument Table'!$I:$I, 'Instrument Table'!$B:$B, $C4204), _xlfn.XLOOKUP($A4205, 'Instrument Table'!$H:$H, 'Instrument Table'!$B:$B, $C4204)))</f>
        <v>Acoustic Guitar</v>
      </c>
      <c r="D4205" s="1" t="str">
        <f>VLOOKUP($C4205, 'Instrument Table'!$B:$C, 2, FALSE)</f>
        <v>Strings</v>
      </c>
      <c r="E4205" s="1">
        <f t="shared" si="390"/>
        <v>2</v>
      </c>
      <c r="F4205" s="1">
        <f>_xlfn.XLOOKUP($C4205, 'Instrument Table'!$B:$B, 'Instrument Table'!$A:$A, "")</f>
        <v>24</v>
      </c>
      <c r="G4205" s="1" t="str">
        <f>TEXT(IF($B4205 = "Retail Item", IF((ROW($A4205) - 4504 - _xlfn.XMATCH($C4205, $C$4506:$C$5005, 0, 1)) &lt;= VLOOKUP($C4205, 'Instrument Table'!$B:$D, 3, FALSE), ROW($A4205) - 4504 - _xlfn.XMATCH($C4205, $C$4506:$C$5005, 0, 1), 0), 0), "00")</f>
        <v>00</v>
      </c>
      <c r="H4205" s="1" t="str">
        <f t="shared" si="391"/>
        <v>009</v>
      </c>
      <c r="I4205" s="1" t="str">
        <f t="shared" si="392"/>
        <v>22400-009</v>
      </c>
      <c r="J4205" s="1" t="str">
        <f t="shared" si="393"/>
        <v>Acoustic guitar service item #009</v>
      </c>
      <c r="K4205" s="1" t="str">
        <f>IF(SUM(COUNTIFS(I:I, I4205)) &gt; 1, "DUPLICATE", "UNIQUE")</f>
        <v>UNIQUE</v>
      </c>
      <c r="L4205" s="18">
        <v>8</v>
      </c>
      <c r="M4205" s="28">
        <v>165</v>
      </c>
      <c r="N4205" s="6">
        <v>27</v>
      </c>
      <c r="O4205" s="30">
        <f t="shared" si="394"/>
        <v>1320</v>
      </c>
      <c r="P4205" s="30">
        <f t="shared" si="395"/>
        <v>4455</v>
      </c>
      <c r="Q4205" s="1">
        <f>COUNTIFS($P:$P, "&gt;" &amp; $P4205) + 1</f>
        <v>2560</v>
      </c>
      <c r="R4205" s="63">
        <f>(COUNTIFS($P:$P, "&gt;" &amp; $P4205) + 1) / (COUNTA($I:$I) - 1)</f>
        <v>0.51200000000000001</v>
      </c>
      <c r="S4205" s="23">
        <f>SUMIFS($P:$P, $Q:$Q, "&lt;" &amp; $Q4205)</f>
        <v>183389663</v>
      </c>
    </row>
    <row r="4206" spans="1:19" x14ac:dyDescent="0.25">
      <c r="A4206" s="1">
        <v>4201</v>
      </c>
      <c r="B4206" s="1" t="s">
        <v>3</v>
      </c>
      <c r="C4206" s="1" t="str">
        <f>IF($B4206 = "Production Item", _xlfn.XLOOKUP($A4206, 'Instrument Table'!$J:$J, 'Instrument Table'!$B:$B, $C4205), IF($B4206 = "Service Item", _xlfn.XLOOKUP($A4206, 'Instrument Table'!$I:$I, 'Instrument Table'!$B:$B, $C4205), _xlfn.XLOOKUP($A4206, 'Instrument Table'!$H:$H, 'Instrument Table'!$B:$B, $C4205)))</f>
        <v>Acoustic Guitar</v>
      </c>
      <c r="D4206" s="1" t="str">
        <f>VLOOKUP($C4206, 'Instrument Table'!$B:$C, 2, FALSE)</f>
        <v>Strings</v>
      </c>
      <c r="E4206" s="1">
        <f t="shared" si="390"/>
        <v>2</v>
      </c>
      <c r="F4206" s="1">
        <f>_xlfn.XLOOKUP($C4206, 'Instrument Table'!$B:$B, 'Instrument Table'!$A:$A, "")</f>
        <v>24</v>
      </c>
      <c r="G4206" s="1" t="str">
        <f>TEXT(IF($B4206 = "Retail Item", IF((ROW($A4206) - 4504 - _xlfn.XMATCH($C4206, $C$4506:$C$5005, 0, 1)) &lt;= VLOOKUP($C4206, 'Instrument Table'!$B:$D, 3, FALSE), ROW($A4206) - 4504 - _xlfn.XMATCH($C4206, $C$4506:$C$5005, 0, 1), 0), 0), "00")</f>
        <v>00</v>
      </c>
      <c r="H4206" s="1" t="str">
        <f t="shared" si="391"/>
        <v>010</v>
      </c>
      <c r="I4206" s="1" t="str">
        <f t="shared" si="392"/>
        <v>22400-010</v>
      </c>
      <c r="J4206" s="1" t="str">
        <f t="shared" si="393"/>
        <v>Acoustic guitar service item #010</v>
      </c>
      <c r="K4206" s="1" t="str">
        <f>IF(SUM(COUNTIFS(I:I, I4206)) &gt; 1, "DUPLICATE", "UNIQUE")</f>
        <v>UNIQUE</v>
      </c>
      <c r="L4206" s="18">
        <v>6</v>
      </c>
      <c r="M4206" s="28">
        <v>877</v>
      </c>
      <c r="N4206" s="6">
        <v>1</v>
      </c>
      <c r="O4206" s="30">
        <f t="shared" si="394"/>
        <v>5262</v>
      </c>
      <c r="P4206" s="30">
        <f t="shared" si="395"/>
        <v>877</v>
      </c>
      <c r="Q4206" s="1">
        <f>COUNTIFS($P:$P, "&gt;" &amp; $P4206) + 1</f>
        <v>3743</v>
      </c>
      <c r="R4206" s="63">
        <f>(COUNTIFS($P:$P, "&gt;" &amp; $P4206) + 1) / (COUNTA($I:$I) - 1)</f>
        <v>0.74860000000000004</v>
      </c>
      <c r="S4206" s="23">
        <f>SUMIFS($P:$P, $Q:$Q, "&lt;" &amp; $Q4206)</f>
        <v>186218078</v>
      </c>
    </row>
    <row r="4207" spans="1:19" x14ac:dyDescent="0.25">
      <c r="A4207" s="1">
        <v>4202</v>
      </c>
      <c r="B4207" s="1" t="s">
        <v>3</v>
      </c>
      <c r="C4207" s="1" t="str">
        <f>IF($B4207 = "Production Item", _xlfn.XLOOKUP($A4207, 'Instrument Table'!$J:$J, 'Instrument Table'!$B:$B, $C4206), IF($B4207 = "Service Item", _xlfn.XLOOKUP($A4207, 'Instrument Table'!$I:$I, 'Instrument Table'!$B:$B, $C4206), _xlfn.XLOOKUP($A4207, 'Instrument Table'!$H:$H, 'Instrument Table'!$B:$B, $C4206)))</f>
        <v>Acoustic Guitar</v>
      </c>
      <c r="D4207" s="1" t="str">
        <f>VLOOKUP($C4207, 'Instrument Table'!$B:$C, 2, FALSE)</f>
        <v>Strings</v>
      </c>
      <c r="E4207" s="1">
        <f t="shared" si="390"/>
        <v>2</v>
      </c>
      <c r="F4207" s="1">
        <f>_xlfn.XLOOKUP($C4207, 'Instrument Table'!$B:$B, 'Instrument Table'!$A:$A, "")</f>
        <v>24</v>
      </c>
      <c r="G4207" s="1" t="str">
        <f>TEXT(IF($B4207 = "Retail Item", IF((ROW($A4207) - 4504 - _xlfn.XMATCH($C4207, $C$4506:$C$5005, 0, 1)) &lt;= VLOOKUP($C4207, 'Instrument Table'!$B:$D, 3, FALSE), ROW($A4207) - 4504 - _xlfn.XMATCH($C4207, $C$4506:$C$5005, 0, 1), 0), 0), "00")</f>
        <v>00</v>
      </c>
      <c r="H4207" s="1" t="str">
        <f t="shared" si="391"/>
        <v>011</v>
      </c>
      <c r="I4207" s="1" t="str">
        <f t="shared" si="392"/>
        <v>22400-011</v>
      </c>
      <c r="J4207" s="1" t="str">
        <f t="shared" si="393"/>
        <v>Acoustic guitar service item #011</v>
      </c>
      <c r="K4207" s="1" t="str">
        <f>IF(SUM(COUNTIFS(I:I, I4207)) &gt; 1, "DUPLICATE", "UNIQUE")</f>
        <v>UNIQUE</v>
      </c>
      <c r="L4207" s="18">
        <v>7</v>
      </c>
      <c r="M4207" s="28">
        <v>562</v>
      </c>
      <c r="N4207" s="6">
        <v>8</v>
      </c>
      <c r="O4207" s="30">
        <f t="shared" si="394"/>
        <v>3934</v>
      </c>
      <c r="P4207" s="30">
        <f t="shared" si="395"/>
        <v>4496</v>
      </c>
      <c r="Q4207" s="1">
        <f>COUNTIFS($P:$P, "&gt;" &amp; $P4207) + 1</f>
        <v>2547</v>
      </c>
      <c r="R4207" s="63">
        <f>(COUNTIFS($P:$P, "&gt;" &amp; $P4207) + 1) / (COUNTA($I:$I) - 1)</f>
        <v>0.50939999999999996</v>
      </c>
      <c r="S4207" s="23">
        <f>SUMIFS($P:$P, $Q:$Q, "&lt;" &amp; $Q4207)</f>
        <v>183331507</v>
      </c>
    </row>
    <row r="4208" spans="1:19" x14ac:dyDescent="0.25">
      <c r="A4208" s="1">
        <v>4203</v>
      </c>
      <c r="B4208" s="1" t="s">
        <v>3</v>
      </c>
      <c r="C4208" s="1" t="str">
        <f>IF($B4208 = "Production Item", _xlfn.XLOOKUP($A4208, 'Instrument Table'!$J:$J, 'Instrument Table'!$B:$B, $C4207), IF($B4208 = "Service Item", _xlfn.XLOOKUP($A4208, 'Instrument Table'!$I:$I, 'Instrument Table'!$B:$B, $C4207), _xlfn.XLOOKUP($A4208, 'Instrument Table'!$H:$H, 'Instrument Table'!$B:$B, $C4207)))</f>
        <v>Acoustic Guitar</v>
      </c>
      <c r="D4208" s="1" t="str">
        <f>VLOOKUP($C4208, 'Instrument Table'!$B:$C, 2, FALSE)</f>
        <v>Strings</v>
      </c>
      <c r="E4208" s="1">
        <f t="shared" si="390"/>
        <v>2</v>
      </c>
      <c r="F4208" s="1">
        <f>_xlfn.XLOOKUP($C4208, 'Instrument Table'!$B:$B, 'Instrument Table'!$A:$A, "")</f>
        <v>24</v>
      </c>
      <c r="G4208" s="1" t="str">
        <f>TEXT(IF($B4208 = "Retail Item", IF((ROW($A4208) - 4504 - _xlfn.XMATCH($C4208, $C$4506:$C$5005, 0, 1)) &lt;= VLOOKUP($C4208, 'Instrument Table'!$B:$D, 3, FALSE), ROW($A4208) - 4504 - _xlfn.XMATCH($C4208, $C$4506:$C$5005, 0, 1), 0), 0), "00")</f>
        <v>00</v>
      </c>
      <c r="H4208" s="1" t="str">
        <f t="shared" si="391"/>
        <v>012</v>
      </c>
      <c r="I4208" s="1" t="str">
        <f t="shared" si="392"/>
        <v>22400-012</v>
      </c>
      <c r="J4208" s="1" t="str">
        <f t="shared" si="393"/>
        <v>Acoustic guitar service item #012</v>
      </c>
      <c r="K4208" s="1" t="str">
        <f>IF(SUM(COUNTIFS(I:I, I4208)) &gt; 1, "DUPLICATE", "UNIQUE")</f>
        <v>UNIQUE</v>
      </c>
      <c r="L4208" s="18">
        <v>5</v>
      </c>
      <c r="M4208" s="28">
        <v>167</v>
      </c>
      <c r="N4208" s="6">
        <v>1</v>
      </c>
      <c r="O4208" s="30">
        <f t="shared" si="394"/>
        <v>835</v>
      </c>
      <c r="P4208" s="30">
        <f t="shared" si="395"/>
        <v>167</v>
      </c>
      <c r="Q4208" s="1">
        <f>COUNTIFS($P:$P, "&gt;" &amp; $P4208) + 1</f>
        <v>4379</v>
      </c>
      <c r="R4208" s="63">
        <f>(COUNTIFS($P:$P, "&gt;" &amp; $P4208) + 1) / (COUNTA($I:$I) - 1)</f>
        <v>0.87580000000000002</v>
      </c>
      <c r="S4208" s="23">
        <f>SUMIFS($P:$P, $Q:$Q, "&lt;" &amp; $Q4208)</f>
        <v>186522695</v>
      </c>
    </row>
    <row r="4209" spans="1:19" x14ac:dyDescent="0.25">
      <c r="A4209" s="1">
        <v>4204</v>
      </c>
      <c r="B4209" s="1" t="s">
        <v>3</v>
      </c>
      <c r="C4209" s="1" t="str">
        <f>IF($B4209 = "Production Item", _xlfn.XLOOKUP($A4209, 'Instrument Table'!$J:$J, 'Instrument Table'!$B:$B, $C4208), IF($B4209 = "Service Item", _xlfn.XLOOKUP($A4209, 'Instrument Table'!$I:$I, 'Instrument Table'!$B:$B, $C4208), _xlfn.XLOOKUP($A4209, 'Instrument Table'!$H:$H, 'Instrument Table'!$B:$B, $C4208)))</f>
        <v>Acoustic Guitar</v>
      </c>
      <c r="D4209" s="1" t="str">
        <f>VLOOKUP($C4209, 'Instrument Table'!$B:$C, 2, FALSE)</f>
        <v>Strings</v>
      </c>
      <c r="E4209" s="1">
        <f t="shared" si="390"/>
        <v>2</v>
      </c>
      <c r="F4209" s="1">
        <f>_xlfn.XLOOKUP($C4209, 'Instrument Table'!$B:$B, 'Instrument Table'!$A:$A, "")</f>
        <v>24</v>
      </c>
      <c r="G4209" s="1" t="str">
        <f>TEXT(IF($B4209 = "Retail Item", IF((ROW($A4209) - 4504 - _xlfn.XMATCH($C4209, $C$4506:$C$5005, 0, 1)) &lt;= VLOOKUP($C4209, 'Instrument Table'!$B:$D, 3, FALSE), ROW($A4209) - 4504 - _xlfn.XMATCH($C4209, $C$4506:$C$5005, 0, 1), 0), 0), "00")</f>
        <v>00</v>
      </c>
      <c r="H4209" s="1" t="str">
        <f t="shared" si="391"/>
        <v>013</v>
      </c>
      <c r="I4209" s="1" t="str">
        <f t="shared" si="392"/>
        <v>22400-013</v>
      </c>
      <c r="J4209" s="1" t="str">
        <f t="shared" si="393"/>
        <v>Acoustic guitar service item #013</v>
      </c>
      <c r="K4209" s="1" t="str">
        <f>IF(SUM(COUNTIFS(I:I, I4209)) &gt; 1, "DUPLICATE", "UNIQUE")</f>
        <v>UNIQUE</v>
      </c>
      <c r="L4209" s="18">
        <v>6</v>
      </c>
      <c r="M4209" s="28">
        <v>751</v>
      </c>
      <c r="N4209" s="6">
        <v>8</v>
      </c>
      <c r="O4209" s="30">
        <f t="shared" si="394"/>
        <v>4506</v>
      </c>
      <c r="P4209" s="30">
        <f t="shared" si="395"/>
        <v>6008</v>
      </c>
      <c r="Q4209" s="1">
        <f>COUNTIFS($P:$P, "&gt;" &amp; $P4209) + 1</f>
        <v>2262</v>
      </c>
      <c r="R4209" s="63">
        <f>(COUNTIFS($P:$P, "&gt;" &amp; $P4209) + 1) / (COUNTA($I:$I) - 1)</f>
        <v>0.45240000000000002</v>
      </c>
      <c r="S4209" s="23">
        <f>SUMIFS($P:$P, $Q:$Q, "&lt;" &amp; $Q4209)</f>
        <v>181839842</v>
      </c>
    </row>
    <row r="4210" spans="1:19" x14ac:dyDescent="0.25">
      <c r="A4210" s="1">
        <v>4205</v>
      </c>
      <c r="B4210" s="1" t="s">
        <v>3</v>
      </c>
      <c r="C4210" s="1" t="str">
        <f>IF($B4210 = "Production Item", _xlfn.XLOOKUP($A4210, 'Instrument Table'!$J:$J, 'Instrument Table'!$B:$B, $C4209), IF($B4210 = "Service Item", _xlfn.XLOOKUP($A4210, 'Instrument Table'!$I:$I, 'Instrument Table'!$B:$B, $C4209), _xlfn.XLOOKUP($A4210, 'Instrument Table'!$H:$H, 'Instrument Table'!$B:$B, $C4209)))</f>
        <v>Acoustic Guitar</v>
      </c>
      <c r="D4210" s="1" t="str">
        <f>VLOOKUP($C4210, 'Instrument Table'!$B:$C, 2, FALSE)</f>
        <v>Strings</v>
      </c>
      <c r="E4210" s="1">
        <f t="shared" si="390"/>
        <v>2</v>
      </c>
      <c r="F4210" s="1">
        <f>_xlfn.XLOOKUP($C4210, 'Instrument Table'!$B:$B, 'Instrument Table'!$A:$A, "")</f>
        <v>24</v>
      </c>
      <c r="G4210" s="1" t="str">
        <f>TEXT(IF($B4210 = "Retail Item", IF((ROW($A4210) - 4504 - _xlfn.XMATCH($C4210, $C$4506:$C$5005, 0, 1)) &lt;= VLOOKUP($C4210, 'Instrument Table'!$B:$D, 3, FALSE), ROW($A4210) - 4504 - _xlfn.XMATCH($C4210, $C$4506:$C$5005, 0, 1), 0), 0), "00")</f>
        <v>00</v>
      </c>
      <c r="H4210" s="1" t="str">
        <f t="shared" si="391"/>
        <v>014</v>
      </c>
      <c r="I4210" s="1" t="str">
        <f t="shared" si="392"/>
        <v>22400-014</v>
      </c>
      <c r="J4210" s="1" t="str">
        <f t="shared" si="393"/>
        <v>Acoustic guitar service item #014</v>
      </c>
      <c r="K4210" s="1" t="str">
        <f>IF(SUM(COUNTIFS(I:I, I4210)) &gt; 1, "DUPLICATE", "UNIQUE")</f>
        <v>UNIQUE</v>
      </c>
      <c r="L4210" s="18">
        <v>6</v>
      </c>
      <c r="M4210" s="28">
        <v>746</v>
      </c>
      <c r="N4210" s="6">
        <v>125</v>
      </c>
      <c r="O4210" s="30">
        <f t="shared" si="394"/>
        <v>4476</v>
      </c>
      <c r="P4210" s="30">
        <f t="shared" si="395"/>
        <v>93250</v>
      </c>
      <c r="Q4210" s="1">
        <f>COUNTIFS($P:$P, "&gt;" &amp; $P4210) + 1</f>
        <v>421</v>
      </c>
      <c r="R4210" s="63">
        <f>(COUNTIFS($P:$P, "&gt;" &amp; $P4210) + 1) / (COUNTA($I:$I) - 1)</f>
        <v>8.4199999999999997E-2</v>
      </c>
      <c r="S4210" s="23">
        <f>SUMIFS($P:$P, $Q:$Q, "&lt;" &amp; $Q4210)</f>
        <v>145516641</v>
      </c>
    </row>
    <row r="4211" spans="1:19" x14ac:dyDescent="0.25">
      <c r="A4211" s="1">
        <v>4206</v>
      </c>
      <c r="B4211" s="1" t="s">
        <v>3</v>
      </c>
      <c r="C4211" s="1" t="str">
        <f>IF($B4211 = "Production Item", _xlfn.XLOOKUP($A4211, 'Instrument Table'!$J:$J, 'Instrument Table'!$B:$B, $C4210), IF($B4211 = "Service Item", _xlfn.XLOOKUP($A4211, 'Instrument Table'!$I:$I, 'Instrument Table'!$B:$B, $C4210), _xlfn.XLOOKUP($A4211, 'Instrument Table'!$H:$H, 'Instrument Table'!$B:$B, $C4210)))</f>
        <v>Acoustic Guitar</v>
      </c>
      <c r="D4211" s="1" t="str">
        <f>VLOOKUP($C4211, 'Instrument Table'!$B:$C, 2, FALSE)</f>
        <v>Strings</v>
      </c>
      <c r="E4211" s="1">
        <f t="shared" si="390"/>
        <v>2</v>
      </c>
      <c r="F4211" s="1">
        <f>_xlfn.XLOOKUP($C4211, 'Instrument Table'!$B:$B, 'Instrument Table'!$A:$A, "")</f>
        <v>24</v>
      </c>
      <c r="G4211" s="1" t="str">
        <f>TEXT(IF($B4211 = "Retail Item", IF((ROW($A4211) - 4504 - _xlfn.XMATCH($C4211, $C$4506:$C$5005, 0, 1)) &lt;= VLOOKUP($C4211, 'Instrument Table'!$B:$D, 3, FALSE), ROW($A4211) - 4504 - _xlfn.XMATCH($C4211, $C$4506:$C$5005, 0, 1), 0), 0), "00")</f>
        <v>00</v>
      </c>
      <c r="H4211" s="1" t="str">
        <f t="shared" si="391"/>
        <v>015</v>
      </c>
      <c r="I4211" s="1" t="str">
        <f t="shared" si="392"/>
        <v>22400-015</v>
      </c>
      <c r="J4211" s="1" t="str">
        <f t="shared" si="393"/>
        <v>Acoustic guitar service item #015</v>
      </c>
      <c r="K4211" s="1" t="str">
        <f>IF(SUM(COUNTIFS(I:I, I4211)) &gt; 1, "DUPLICATE", "UNIQUE")</f>
        <v>UNIQUE</v>
      </c>
      <c r="L4211" s="18">
        <v>8</v>
      </c>
      <c r="M4211" s="28">
        <v>714</v>
      </c>
      <c r="N4211" s="6">
        <v>8</v>
      </c>
      <c r="O4211" s="30">
        <f t="shared" si="394"/>
        <v>5712</v>
      </c>
      <c r="P4211" s="30">
        <f t="shared" si="395"/>
        <v>5712</v>
      </c>
      <c r="Q4211" s="1">
        <f>COUNTIFS($P:$P, "&gt;" &amp; $P4211) + 1</f>
        <v>2314</v>
      </c>
      <c r="R4211" s="63">
        <f>(COUNTIFS($P:$P, "&gt;" &amp; $P4211) + 1) / (COUNTA($I:$I) - 1)</f>
        <v>0.46279999999999999</v>
      </c>
      <c r="S4211" s="23">
        <f>SUMIFS($P:$P, $Q:$Q, "&lt;" &amp; $Q4211)</f>
        <v>182145061</v>
      </c>
    </row>
    <row r="4212" spans="1:19" x14ac:dyDescent="0.25">
      <c r="A4212" s="1">
        <v>4207</v>
      </c>
      <c r="B4212" s="1" t="s">
        <v>3</v>
      </c>
      <c r="C4212" s="1" t="str">
        <f>IF($B4212 = "Production Item", _xlfn.XLOOKUP($A4212, 'Instrument Table'!$J:$J, 'Instrument Table'!$B:$B, $C4211), IF($B4212 = "Service Item", _xlfn.XLOOKUP($A4212, 'Instrument Table'!$I:$I, 'Instrument Table'!$B:$B, $C4211), _xlfn.XLOOKUP($A4212, 'Instrument Table'!$H:$H, 'Instrument Table'!$B:$B, $C4211)))</f>
        <v>Acoustic Guitar</v>
      </c>
      <c r="D4212" s="1" t="str">
        <f>VLOOKUP($C4212, 'Instrument Table'!$B:$C, 2, FALSE)</f>
        <v>Strings</v>
      </c>
      <c r="E4212" s="1">
        <f t="shared" si="390"/>
        <v>2</v>
      </c>
      <c r="F4212" s="1">
        <f>_xlfn.XLOOKUP($C4212, 'Instrument Table'!$B:$B, 'Instrument Table'!$A:$A, "")</f>
        <v>24</v>
      </c>
      <c r="G4212" s="1" t="str">
        <f>TEXT(IF($B4212 = "Retail Item", IF((ROW($A4212) - 4504 - _xlfn.XMATCH($C4212, $C$4506:$C$5005, 0, 1)) &lt;= VLOOKUP($C4212, 'Instrument Table'!$B:$D, 3, FALSE), ROW($A4212) - 4504 - _xlfn.XMATCH($C4212, $C$4506:$C$5005, 0, 1), 0), 0), "00")</f>
        <v>00</v>
      </c>
      <c r="H4212" s="1" t="str">
        <f t="shared" si="391"/>
        <v>016</v>
      </c>
      <c r="I4212" s="1" t="str">
        <f t="shared" si="392"/>
        <v>22400-016</v>
      </c>
      <c r="J4212" s="1" t="str">
        <f t="shared" si="393"/>
        <v>Acoustic guitar service item #016</v>
      </c>
      <c r="K4212" s="1" t="str">
        <f>IF(SUM(COUNTIFS(I:I, I4212)) &gt; 1, "DUPLICATE", "UNIQUE")</f>
        <v>UNIQUE</v>
      </c>
      <c r="L4212" s="18">
        <v>9</v>
      </c>
      <c r="M4212" s="28">
        <v>740</v>
      </c>
      <c r="N4212" s="6">
        <v>8</v>
      </c>
      <c r="O4212" s="30">
        <f t="shared" si="394"/>
        <v>6660</v>
      </c>
      <c r="P4212" s="30">
        <f t="shared" si="395"/>
        <v>5920</v>
      </c>
      <c r="Q4212" s="1">
        <f>COUNTIFS($P:$P, "&gt;" &amp; $P4212) + 1</f>
        <v>2277</v>
      </c>
      <c r="R4212" s="63">
        <f>(COUNTIFS($P:$P, "&gt;" &amp; $P4212) + 1) / (COUNTA($I:$I) - 1)</f>
        <v>0.45540000000000003</v>
      </c>
      <c r="S4212" s="23">
        <f>SUMIFS($P:$P, $Q:$Q, "&lt;" &amp; $Q4212)</f>
        <v>181929683</v>
      </c>
    </row>
    <row r="4213" spans="1:19" x14ac:dyDescent="0.25">
      <c r="A4213" s="1">
        <v>4208</v>
      </c>
      <c r="B4213" s="1" t="s">
        <v>3</v>
      </c>
      <c r="C4213" s="1" t="str">
        <f>IF($B4213 = "Production Item", _xlfn.XLOOKUP($A4213, 'Instrument Table'!$J:$J, 'Instrument Table'!$B:$B, $C4212), IF($B4213 = "Service Item", _xlfn.XLOOKUP($A4213, 'Instrument Table'!$I:$I, 'Instrument Table'!$B:$B, $C4212), _xlfn.XLOOKUP($A4213, 'Instrument Table'!$H:$H, 'Instrument Table'!$B:$B, $C4212)))</f>
        <v>Acoustic Guitar</v>
      </c>
      <c r="D4213" s="1" t="str">
        <f>VLOOKUP($C4213, 'Instrument Table'!$B:$C, 2, FALSE)</f>
        <v>Strings</v>
      </c>
      <c r="E4213" s="1">
        <f t="shared" si="390"/>
        <v>2</v>
      </c>
      <c r="F4213" s="1">
        <f>_xlfn.XLOOKUP($C4213, 'Instrument Table'!$B:$B, 'Instrument Table'!$A:$A, "")</f>
        <v>24</v>
      </c>
      <c r="G4213" s="1" t="str">
        <f>TEXT(IF($B4213 = "Retail Item", IF((ROW($A4213) - 4504 - _xlfn.XMATCH($C4213, $C$4506:$C$5005, 0, 1)) &lt;= VLOOKUP($C4213, 'Instrument Table'!$B:$D, 3, FALSE), ROW($A4213) - 4504 - _xlfn.XMATCH($C4213, $C$4506:$C$5005, 0, 1), 0), 0), "00")</f>
        <v>00</v>
      </c>
      <c r="H4213" s="1" t="str">
        <f t="shared" si="391"/>
        <v>017</v>
      </c>
      <c r="I4213" s="1" t="str">
        <f t="shared" si="392"/>
        <v>22400-017</v>
      </c>
      <c r="J4213" s="1" t="str">
        <f t="shared" si="393"/>
        <v>Acoustic guitar service item #017</v>
      </c>
      <c r="K4213" s="1" t="str">
        <f>IF(SUM(COUNTIFS(I:I, I4213)) &gt; 1, "DUPLICATE", "UNIQUE")</f>
        <v>UNIQUE</v>
      </c>
      <c r="L4213" s="18">
        <v>2</v>
      </c>
      <c r="M4213" s="28">
        <v>124</v>
      </c>
      <c r="N4213" s="6">
        <v>64</v>
      </c>
      <c r="O4213" s="30">
        <f t="shared" si="394"/>
        <v>248</v>
      </c>
      <c r="P4213" s="30">
        <f t="shared" si="395"/>
        <v>7936</v>
      </c>
      <c r="Q4213" s="1">
        <f>COUNTIFS($P:$P, "&gt;" &amp; $P4213) + 1</f>
        <v>1996</v>
      </c>
      <c r="R4213" s="63">
        <f>(COUNTIFS($P:$P, "&gt;" &amp; $P4213) + 1) / (COUNTA($I:$I) - 1)</f>
        <v>0.3992</v>
      </c>
      <c r="S4213" s="23">
        <f>SUMIFS($P:$P, $Q:$Q, "&lt;" &amp; $Q4213)</f>
        <v>179964727</v>
      </c>
    </row>
    <row r="4214" spans="1:19" x14ac:dyDescent="0.25">
      <c r="A4214" s="1">
        <v>4209</v>
      </c>
      <c r="B4214" s="1" t="s">
        <v>3</v>
      </c>
      <c r="C4214" s="1" t="str">
        <f>IF($B4214 = "Production Item", _xlfn.XLOOKUP($A4214, 'Instrument Table'!$J:$J, 'Instrument Table'!$B:$B, $C4213), IF($B4214 = "Service Item", _xlfn.XLOOKUP($A4214, 'Instrument Table'!$I:$I, 'Instrument Table'!$B:$B, $C4213), _xlfn.XLOOKUP($A4214, 'Instrument Table'!$H:$H, 'Instrument Table'!$B:$B, $C4213)))</f>
        <v>Acoustic Guitar</v>
      </c>
      <c r="D4214" s="1" t="str">
        <f>VLOOKUP($C4214, 'Instrument Table'!$B:$C, 2, FALSE)</f>
        <v>Strings</v>
      </c>
      <c r="E4214" s="1">
        <f t="shared" si="390"/>
        <v>2</v>
      </c>
      <c r="F4214" s="1">
        <f>_xlfn.XLOOKUP($C4214, 'Instrument Table'!$B:$B, 'Instrument Table'!$A:$A, "")</f>
        <v>24</v>
      </c>
      <c r="G4214" s="1" t="str">
        <f>TEXT(IF($B4214 = "Retail Item", IF((ROW($A4214) - 4504 - _xlfn.XMATCH($C4214, $C$4506:$C$5005, 0, 1)) &lt;= VLOOKUP($C4214, 'Instrument Table'!$B:$D, 3, FALSE), ROW($A4214) - 4504 - _xlfn.XMATCH($C4214, $C$4506:$C$5005, 0, 1), 0), 0), "00")</f>
        <v>00</v>
      </c>
      <c r="H4214" s="1" t="str">
        <f t="shared" si="391"/>
        <v>018</v>
      </c>
      <c r="I4214" s="1" t="str">
        <f t="shared" si="392"/>
        <v>22400-018</v>
      </c>
      <c r="J4214" s="1" t="str">
        <f t="shared" si="393"/>
        <v>Acoustic guitar service item #018</v>
      </c>
      <c r="K4214" s="1" t="str">
        <f>IF(SUM(COUNTIFS(I:I, I4214)) &gt; 1, "DUPLICATE", "UNIQUE")</f>
        <v>UNIQUE</v>
      </c>
      <c r="L4214" s="18">
        <v>6</v>
      </c>
      <c r="M4214" s="28">
        <v>663</v>
      </c>
      <c r="N4214" s="6">
        <v>1</v>
      </c>
      <c r="O4214" s="30">
        <f t="shared" si="394"/>
        <v>3978</v>
      </c>
      <c r="P4214" s="30">
        <f t="shared" si="395"/>
        <v>663</v>
      </c>
      <c r="Q4214" s="1">
        <f>COUNTIFS($P:$P, "&gt;" &amp; $P4214) + 1</f>
        <v>3902</v>
      </c>
      <c r="R4214" s="63">
        <f>(COUNTIFS($P:$P, "&gt;" &amp; $P4214) + 1) / (COUNTA($I:$I) - 1)</f>
        <v>0.78039999999999998</v>
      </c>
      <c r="S4214" s="23">
        <f>SUMIFS($P:$P, $Q:$Q, "&lt;" &amp; $Q4214)</f>
        <v>186340195</v>
      </c>
    </row>
    <row r="4215" spans="1:19" x14ac:dyDescent="0.25">
      <c r="A4215" s="1">
        <v>4210</v>
      </c>
      <c r="B4215" s="1" t="s">
        <v>3</v>
      </c>
      <c r="C4215" s="1" t="str">
        <f>IF($B4215 = "Production Item", _xlfn.XLOOKUP($A4215, 'Instrument Table'!$J:$J, 'Instrument Table'!$B:$B, $C4214), IF($B4215 = "Service Item", _xlfn.XLOOKUP($A4215, 'Instrument Table'!$I:$I, 'Instrument Table'!$B:$B, $C4214), _xlfn.XLOOKUP($A4215, 'Instrument Table'!$H:$H, 'Instrument Table'!$B:$B, $C4214)))</f>
        <v>Acoustic Guitar</v>
      </c>
      <c r="D4215" s="1" t="str">
        <f>VLOOKUP($C4215, 'Instrument Table'!$B:$C, 2, FALSE)</f>
        <v>Strings</v>
      </c>
      <c r="E4215" s="1">
        <f t="shared" si="390"/>
        <v>2</v>
      </c>
      <c r="F4215" s="1">
        <f>_xlfn.XLOOKUP($C4215, 'Instrument Table'!$B:$B, 'Instrument Table'!$A:$A, "")</f>
        <v>24</v>
      </c>
      <c r="G4215" s="1" t="str">
        <f>TEXT(IF($B4215 = "Retail Item", IF((ROW($A4215) - 4504 - _xlfn.XMATCH($C4215, $C$4506:$C$5005, 0, 1)) &lt;= VLOOKUP($C4215, 'Instrument Table'!$B:$D, 3, FALSE), ROW($A4215) - 4504 - _xlfn.XMATCH($C4215, $C$4506:$C$5005, 0, 1), 0), 0), "00")</f>
        <v>00</v>
      </c>
      <c r="H4215" s="1" t="str">
        <f t="shared" si="391"/>
        <v>019</v>
      </c>
      <c r="I4215" s="1" t="str">
        <f t="shared" si="392"/>
        <v>22400-019</v>
      </c>
      <c r="J4215" s="1" t="str">
        <f t="shared" si="393"/>
        <v>Acoustic guitar service item #019</v>
      </c>
      <c r="K4215" s="1" t="str">
        <f>IF(SUM(COUNTIFS(I:I, I4215)) &gt; 1, "DUPLICATE", "UNIQUE")</f>
        <v>UNIQUE</v>
      </c>
      <c r="L4215" s="18">
        <v>5</v>
      </c>
      <c r="M4215" s="28">
        <v>504</v>
      </c>
      <c r="N4215" s="6">
        <v>64</v>
      </c>
      <c r="O4215" s="30">
        <f t="shared" si="394"/>
        <v>2520</v>
      </c>
      <c r="P4215" s="30">
        <f t="shared" si="395"/>
        <v>32256</v>
      </c>
      <c r="Q4215" s="1">
        <f>COUNTIFS($P:$P, "&gt;" &amp; $P4215) + 1</f>
        <v>642</v>
      </c>
      <c r="R4215" s="63">
        <f>(COUNTIFS($P:$P, "&gt;" &amp; $P4215) + 1) / (COUNTA($I:$I) - 1)</f>
        <v>0.12839999999999999</v>
      </c>
      <c r="S4215" s="23">
        <f>SUMIFS($P:$P, $Q:$Q, "&lt;" &amp; $Q4215)</f>
        <v>157288592</v>
      </c>
    </row>
    <row r="4216" spans="1:19" x14ac:dyDescent="0.25">
      <c r="A4216" s="1">
        <v>4211</v>
      </c>
      <c r="B4216" s="1" t="s">
        <v>3</v>
      </c>
      <c r="C4216" s="1" t="str">
        <f>IF($B4216 = "Production Item", _xlfn.XLOOKUP($A4216, 'Instrument Table'!$J:$J, 'Instrument Table'!$B:$B, $C4215), IF($B4216 = "Service Item", _xlfn.XLOOKUP($A4216, 'Instrument Table'!$I:$I, 'Instrument Table'!$B:$B, $C4215), _xlfn.XLOOKUP($A4216, 'Instrument Table'!$H:$H, 'Instrument Table'!$B:$B, $C4215)))</f>
        <v>Electric Guitar</v>
      </c>
      <c r="D4216" s="1" t="str">
        <f>VLOOKUP($C4216, 'Instrument Table'!$B:$C, 2, FALSE)</f>
        <v>Strings</v>
      </c>
      <c r="E4216" s="1">
        <f t="shared" si="390"/>
        <v>2</v>
      </c>
      <c r="F4216" s="1">
        <f>_xlfn.XLOOKUP($C4216, 'Instrument Table'!$B:$B, 'Instrument Table'!$A:$A, "")</f>
        <v>25</v>
      </c>
      <c r="G4216" s="1" t="str">
        <f>TEXT(IF($B4216 = "Retail Item", IF((ROW($A4216) - 4504 - _xlfn.XMATCH($C4216, $C$4506:$C$5005, 0, 1)) &lt;= VLOOKUP($C4216, 'Instrument Table'!$B:$D, 3, FALSE), ROW($A4216) - 4504 - _xlfn.XMATCH($C4216, $C$4506:$C$5005, 0, 1), 0), 0), "00")</f>
        <v>00</v>
      </c>
      <c r="H4216" s="1" t="str">
        <f t="shared" si="391"/>
        <v>000</v>
      </c>
      <c r="I4216" s="1" t="str">
        <f t="shared" si="392"/>
        <v>22500-000</v>
      </c>
      <c r="J4216" s="1" t="str">
        <f t="shared" si="393"/>
        <v>Electric guitar service item #000</v>
      </c>
      <c r="K4216" s="1" t="str">
        <f>IF(SUM(COUNTIFS(I:I, I4216)) &gt; 1, "DUPLICATE", "UNIQUE")</f>
        <v>UNIQUE</v>
      </c>
      <c r="L4216" s="18">
        <v>8</v>
      </c>
      <c r="M4216" s="28">
        <v>716</v>
      </c>
      <c r="N4216" s="6">
        <v>1</v>
      </c>
      <c r="O4216" s="30">
        <f t="shared" si="394"/>
        <v>5728</v>
      </c>
      <c r="P4216" s="30">
        <f t="shared" si="395"/>
        <v>716</v>
      </c>
      <c r="Q4216" s="1">
        <f>COUNTIFS($P:$P, "&gt;" &amp; $P4216) + 1</f>
        <v>3868</v>
      </c>
      <c r="R4216" s="63">
        <f>(COUNTIFS($P:$P, "&gt;" &amp; $P4216) + 1) / (COUNTA($I:$I) - 1)</f>
        <v>0.77359999999999995</v>
      </c>
      <c r="S4216" s="23">
        <f>SUMIFS($P:$P, $Q:$Q, "&lt;" &amp; $Q4216)</f>
        <v>186316576</v>
      </c>
    </row>
    <row r="4217" spans="1:19" x14ac:dyDescent="0.25">
      <c r="A4217" s="1">
        <v>4212</v>
      </c>
      <c r="B4217" s="1" t="s">
        <v>3</v>
      </c>
      <c r="C4217" s="1" t="str">
        <f>IF($B4217 = "Production Item", _xlfn.XLOOKUP($A4217, 'Instrument Table'!$J:$J, 'Instrument Table'!$B:$B, $C4216), IF($B4217 = "Service Item", _xlfn.XLOOKUP($A4217, 'Instrument Table'!$I:$I, 'Instrument Table'!$B:$B, $C4216), _xlfn.XLOOKUP($A4217, 'Instrument Table'!$H:$H, 'Instrument Table'!$B:$B, $C4216)))</f>
        <v>Electric Guitar</v>
      </c>
      <c r="D4217" s="1" t="str">
        <f>VLOOKUP($C4217, 'Instrument Table'!$B:$C, 2, FALSE)</f>
        <v>Strings</v>
      </c>
      <c r="E4217" s="1">
        <f t="shared" si="390"/>
        <v>2</v>
      </c>
      <c r="F4217" s="1">
        <f>_xlfn.XLOOKUP($C4217, 'Instrument Table'!$B:$B, 'Instrument Table'!$A:$A, "")</f>
        <v>25</v>
      </c>
      <c r="G4217" s="1" t="str">
        <f>TEXT(IF($B4217 = "Retail Item", IF((ROW($A4217) - 4504 - _xlfn.XMATCH($C4217, $C$4506:$C$5005, 0, 1)) &lt;= VLOOKUP($C4217, 'Instrument Table'!$B:$D, 3, FALSE), ROW($A4217) - 4504 - _xlfn.XMATCH($C4217, $C$4506:$C$5005, 0, 1), 0), 0), "00")</f>
        <v>00</v>
      </c>
      <c r="H4217" s="1" t="str">
        <f t="shared" si="391"/>
        <v>001</v>
      </c>
      <c r="I4217" s="1" t="str">
        <f t="shared" si="392"/>
        <v>22500-001</v>
      </c>
      <c r="J4217" s="1" t="str">
        <f t="shared" si="393"/>
        <v>Electric guitar service item #001</v>
      </c>
      <c r="K4217" s="1" t="str">
        <f>IF(SUM(COUNTIFS(I:I, I4217)) &gt; 1, "DUPLICATE", "UNIQUE")</f>
        <v>UNIQUE</v>
      </c>
      <c r="L4217" s="18">
        <v>5</v>
      </c>
      <c r="M4217" s="28">
        <v>631</v>
      </c>
      <c r="N4217" s="6">
        <v>64</v>
      </c>
      <c r="O4217" s="30">
        <f t="shared" si="394"/>
        <v>3155</v>
      </c>
      <c r="P4217" s="30">
        <f t="shared" si="395"/>
        <v>40384</v>
      </c>
      <c r="Q4217" s="1">
        <f>COUNTIFS($P:$P, "&gt;" &amp; $P4217) + 1</f>
        <v>549</v>
      </c>
      <c r="R4217" s="63">
        <f>(COUNTIFS($P:$P, "&gt;" &amp; $P4217) + 1) / (COUNTA($I:$I) - 1)</f>
        <v>0.10979999999999999</v>
      </c>
      <c r="S4217" s="23">
        <f>SUMIFS($P:$P, $Q:$Q, "&lt;" &amp; $Q4217)</f>
        <v>153937022</v>
      </c>
    </row>
    <row r="4218" spans="1:19" x14ac:dyDescent="0.25">
      <c r="A4218" s="1">
        <v>4213</v>
      </c>
      <c r="B4218" s="1" t="s">
        <v>3</v>
      </c>
      <c r="C4218" s="1" t="str">
        <f>IF($B4218 = "Production Item", _xlfn.XLOOKUP($A4218, 'Instrument Table'!$J:$J, 'Instrument Table'!$B:$B, $C4217), IF($B4218 = "Service Item", _xlfn.XLOOKUP($A4218, 'Instrument Table'!$I:$I, 'Instrument Table'!$B:$B, $C4217), _xlfn.XLOOKUP($A4218, 'Instrument Table'!$H:$H, 'Instrument Table'!$B:$B, $C4217)))</f>
        <v>Electric Guitar</v>
      </c>
      <c r="D4218" s="1" t="str">
        <f>VLOOKUP($C4218, 'Instrument Table'!$B:$C, 2, FALSE)</f>
        <v>Strings</v>
      </c>
      <c r="E4218" s="1">
        <f t="shared" si="390"/>
        <v>2</v>
      </c>
      <c r="F4218" s="1">
        <f>_xlfn.XLOOKUP($C4218, 'Instrument Table'!$B:$B, 'Instrument Table'!$A:$A, "")</f>
        <v>25</v>
      </c>
      <c r="G4218" s="1" t="str">
        <f>TEXT(IF($B4218 = "Retail Item", IF((ROW($A4218) - 4504 - _xlfn.XMATCH($C4218, $C$4506:$C$5005, 0, 1)) &lt;= VLOOKUP($C4218, 'Instrument Table'!$B:$D, 3, FALSE), ROW($A4218) - 4504 - _xlfn.XMATCH($C4218, $C$4506:$C$5005, 0, 1), 0), 0), "00")</f>
        <v>00</v>
      </c>
      <c r="H4218" s="1" t="str">
        <f t="shared" si="391"/>
        <v>002</v>
      </c>
      <c r="I4218" s="1" t="str">
        <f t="shared" si="392"/>
        <v>22500-002</v>
      </c>
      <c r="J4218" s="1" t="str">
        <f t="shared" si="393"/>
        <v>Electric guitar service item #002</v>
      </c>
      <c r="K4218" s="1" t="str">
        <f>IF(SUM(COUNTIFS(I:I, I4218)) &gt; 1, "DUPLICATE", "UNIQUE")</f>
        <v>UNIQUE</v>
      </c>
      <c r="L4218" s="18">
        <v>2</v>
      </c>
      <c r="M4218" s="28">
        <v>234</v>
      </c>
      <c r="N4218" s="6">
        <v>125</v>
      </c>
      <c r="O4218" s="30">
        <f t="shared" si="394"/>
        <v>468</v>
      </c>
      <c r="P4218" s="30">
        <f t="shared" si="395"/>
        <v>29250</v>
      </c>
      <c r="Q4218" s="1">
        <f>COUNTIFS($P:$P, "&gt;" &amp; $P4218) + 1</f>
        <v>707</v>
      </c>
      <c r="R4218" s="63">
        <f>(COUNTIFS($P:$P, "&gt;" &amp; $P4218) + 1) / (COUNTA($I:$I) - 1)</f>
        <v>0.1414</v>
      </c>
      <c r="S4218" s="23">
        <f>SUMIFS($P:$P, $Q:$Q, "&lt;" &amp; $Q4218)</f>
        <v>159293839</v>
      </c>
    </row>
    <row r="4219" spans="1:19" x14ac:dyDescent="0.25">
      <c r="A4219" s="1">
        <v>4214</v>
      </c>
      <c r="B4219" s="1" t="s">
        <v>3</v>
      </c>
      <c r="C4219" s="1" t="str">
        <f>IF($B4219 = "Production Item", _xlfn.XLOOKUP($A4219, 'Instrument Table'!$J:$J, 'Instrument Table'!$B:$B, $C4218), IF($B4219 = "Service Item", _xlfn.XLOOKUP($A4219, 'Instrument Table'!$I:$I, 'Instrument Table'!$B:$B, $C4218), _xlfn.XLOOKUP($A4219, 'Instrument Table'!$H:$H, 'Instrument Table'!$B:$B, $C4218)))</f>
        <v>Electric Guitar</v>
      </c>
      <c r="D4219" s="1" t="str">
        <f>VLOOKUP($C4219, 'Instrument Table'!$B:$C, 2, FALSE)</f>
        <v>Strings</v>
      </c>
      <c r="E4219" s="1">
        <f t="shared" si="390"/>
        <v>2</v>
      </c>
      <c r="F4219" s="1">
        <f>_xlfn.XLOOKUP($C4219, 'Instrument Table'!$B:$B, 'Instrument Table'!$A:$A, "")</f>
        <v>25</v>
      </c>
      <c r="G4219" s="1" t="str">
        <f>TEXT(IF($B4219 = "Retail Item", IF((ROW($A4219) - 4504 - _xlfn.XMATCH($C4219, $C$4506:$C$5005, 0, 1)) &lt;= VLOOKUP($C4219, 'Instrument Table'!$B:$D, 3, FALSE), ROW($A4219) - 4504 - _xlfn.XMATCH($C4219, $C$4506:$C$5005, 0, 1), 0), 0), "00")</f>
        <v>00</v>
      </c>
      <c r="H4219" s="1" t="str">
        <f t="shared" si="391"/>
        <v>003</v>
      </c>
      <c r="I4219" s="1" t="str">
        <f t="shared" si="392"/>
        <v>22500-003</v>
      </c>
      <c r="J4219" s="1" t="str">
        <f t="shared" si="393"/>
        <v>Electric guitar service item #003</v>
      </c>
      <c r="K4219" s="1" t="str">
        <f>IF(SUM(COUNTIFS(I:I, I4219)) &gt; 1, "DUPLICATE", "UNIQUE")</f>
        <v>UNIQUE</v>
      </c>
      <c r="L4219" s="18">
        <v>1</v>
      </c>
      <c r="M4219" s="28">
        <v>598</v>
      </c>
      <c r="N4219" s="6">
        <v>125</v>
      </c>
      <c r="O4219" s="30">
        <f t="shared" si="394"/>
        <v>598</v>
      </c>
      <c r="P4219" s="30">
        <f t="shared" si="395"/>
        <v>74750</v>
      </c>
      <c r="Q4219" s="1">
        <f>COUNTIFS($P:$P, "&gt;" &amp; $P4219) + 1</f>
        <v>459</v>
      </c>
      <c r="R4219" s="63">
        <f>(COUNTIFS($P:$P, "&gt;" &amp; $P4219) + 1) / (COUNTA($I:$I) - 1)</f>
        <v>9.1800000000000007E-2</v>
      </c>
      <c r="S4219" s="23">
        <f>SUMIFS($P:$P, $Q:$Q, "&lt;" &amp; $Q4219)</f>
        <v>148714923</v>
      </c>
    </row>
    <row r="4220" spans="1:19" x14ac:dyDescent="0.25">
      <c r="A4220" s="1">
        <v>4215</v>
      </c>
      <c r="B4220" s="1" t="s">
        <v>3</v>
      </c>
      <c r="C4220" s="1" t="str">
        <f>IF($B4220 = "Production Item", _xlfn.XLOOKUP($A4220, 'Instrument Table'!$J:$J, 'Instrument Table'!$B:$B, $C4219), IF($B4220 = "Service Item", _xlfn.XLOOKUP($A4220, 'Instrument Table'!$I:$I, 'Instrument Table'!$B:$B, $C4219), _xlfn.XLOOKUP($A4220, 'Instrument Table'!$H:$H, 'Instrument Table'!$B:$B, $C4219)))</f>
        <v>Electric Guitar</v>
      </c>
      <c r="D4220" s="1" t="str">
        <f>VLOOKUP($C4220, 'Instrument Table'!$B:$C, 2, FALSE)</f>
        <v>Strings</v>
      </c>
      <c r="E4220" s="1">
        <f t="shared" si="390"/>
        <v>2</v>
      </c>
      <c r="F4220" s="1">
        <f>_xlfn.XLOOKUP($C4220, 'Instrument Table'!$B:$B, 'Instrument Table'!$A:$A, "")</f>
        <v>25</v>
      </c>
      <c r="G4220" s="1" t="str">
        <f>TEXT(IF($B4220 = "Retail Item", IF((ROW($A4220) - 4504 - _xlfn.XMATCH($C4220, $C$4506:$C$5005, 0, 1)) &lt;= VLOOKUP($C4220, 'Instrument Table'!$B:$D, 3, FALSE), ROW($A4220) - 4504 - _xlfn.XMATCH($C4220, $C$4506:$C$5005, 0, 1), 0), 0), "00")</f>
        <v>00</v>
      </c>
      <c r="H4220" s="1" t="str">
        <f t="shared" si="391"/>
        <v>004</v>
      </c>
      <c r="I4220" s="1" t="str">
        <f t="shared" si="392"/>
        <v>22500-004</v>
      </c>
      <c r="J4220" s="1" t="str">
        <f t="shared" si="393"/>
        <v>Electric guitar service item #004</v>
      </c>
      <c r="K4220" s="1" t="str">
        <f>IF(SUM(COUNTIFS(I:I, I4220)) &gt; 1, "DUPLICATE", "UNIQUE")</f>
        <v>UNIQUE</v>
      </c>
      <c r="L4220" s="18">
        <v>6</v>
      </c>
      <c r="M4220" s="28">
        <v>207</v>
      </c>
      <c r="N4220" s="6">
        <v>8</v>
      </c>
      <c r="O4220" s="30">
        <f t="shared" si="394"/>
        <v>1242</v>
      </c>
      <c r="P4220" s="30">
        <f t="shared" si="395"/>
        <v>1656</v>
      </c>
      <c r="Q4220" s="1">
        <f>COUNTIFS($P:$P, "&gt;" &amp; $P4220) + 1</f>
        <v>3384</v>
      </c>
      <c r="R4220" s="63">
        <f>(COUNTIFS($P:$P, "&gt;" &amp; $P4220) + 1) / (COUNTA($I:$I) - 1)</f>
        <v>0.67679999999999996</v>
      </c>
      <c r="S4220" s="23">
        <f>SUMIFS($P:$P, $Q:$Q, "&lt;" &amp; $Q4220)</f>
        <v>185758875</v>
      </c>
    </row>
    <row r="4221" spans="1:19" x14ac:dyDescent="0.25">
      <c r="A4221" s="1">
        <v>4216</v>
      </c>
      <c r="B4221" s="1" t="s">
        <v>3</v>
      </c>
      <c r="C4221" s="1" t="str">
        <f>IF($B4221 = "Production Item", _xlfn.XLOOKUP($A4221, 'Instrument Table'!$J:$J, 'Instrument Table'!$B:$B, $C4220), IF($B4221 = "Service Item", _xlfn.XLOOKUP($A4221, 'Instrument Table'!$I:$I, 'Instrument Table'!$B:$B, $C4220), _xlfn.XLOOKUP($A4221, 'Instrument Table'!$H:$H, 'Instrument Table'!$B:$B, $C4220)))</f>
        <v>Electric Guitar</v>
      </c>
      <c r="D4221" s="1" t="str">
        <f>VLOOKUP($C4221, 'Instrument Table'!$B:$C, 2, FALSE)</f>
        <v>Strings</v>
      </c>
      <c r="E4221" s="1">
        <f t="shared" si="390"/>
        <v>2</v>
      </c>
      <c r="F4221" s="1">
        <f>_xlfn.XLOOKUP($C4221, 'Instrument Table'!$B:$B, 'Instrument Table'!$A:$A, "")</f>
        <v>25</v>
      </c>
      <c r="G4221" s="1" t="str">
        <f>TEXT(IF($B4221 = "Retail Item", IF((ROW($A4221) - 4504 - _xlfn.XMATCH($C4221, $C$4506:$C$5005, 0, 1)) &lt;= VLOOKUP($C4221, 'Instrument Table'!$B:$D, 3, FALSE), ROW($A4221) - 4504 - _xlfn.XMATCH($C4221, $C$4506:$C$5005, 0, 1), 0), 0), "00")</f>
        <v>00</v>
      </c>
      <c r="H4221" s="1" t="str">
        <f t="shared" si="391"/>
        <v>005</v>
      </c>
      <c r="I4221" s="1" t="str">
        <f t="shared" si="392"/>
        <v>22500-005</v>
      </c>
      <c r="J4221" s="1" t="str">
        <f t="shared" si="393"/>
        <v>Electric guitar service item #005</v>
      </c>
      <c r="K4221" s="1" t="str">
        <f>IF(SUM(COUNTIFS(I:I, I4221)) &gt; 1, "DUPLICATE", "UNIQUE")</f>
        <v>UNIQUE</v>
      </c>
      <c r="L4221" s="18">
        <v>6</v>
      </c>
      <c r="M4221" s="28">
        <v>539</v>
      </c>
      <c r="N4221" s="6">
        <v>8</v>
      </c>
      <c r="O4221" s="30">
        <f t="shared" si="394"/>
        <v>3234</v>
      </c>
      <c r="P4221" s="30">
        <f t="shared" si="395"/>
        <v>4312</v>
      </c>
      <c r="Q4221" s="1">
        <f>COUNTIFS($P:$P, "&gt;" &amp; $P4221) + 1</f>
        <v>2585</v>
      </c>
      <c r="R4221" s="63">
        <f>(COUNTIFS($P:$P, "&gt;" &amp; $P4221) + 1) / (COUNTA($I:$I) - 1)</f>
        <v>0.51700000000000002</v>
      </c>
      <c r="S4221" s="23">
        <f>SUMIFS($P:$P, $Q:$Q, "&lt;" &amp; $Q4221)</f>
        <v>183499114</v>
      </c>
    </row>
    <row r="4222" spans="1:19" x14ac:dyDescent="0.25">
      <c r="A4222" s="1">
        <v>4217</v>
      </c>
      <c r="B4222" s="1" t="s">
        <v>3</v>
      </c>
      <c r="C4222" s="1" t="str">
        <f>IF($B4222 = "Production Item", _xlfn.XLOOKUP($A4222, 'Instrument Table'!$J:$J, 'Instrument Table'!$B:$B, $C4221), IF($B4222 = "Service Item", _xlfn.XLOOKUP($A4222, 'Instrument Table'!$I:$I, 'Instrument Table'!$B:$B, $C4221), _xlfn.XLOOKUP($A4222, 'Instrument Table'!$H:$H, 'Instrument Table'!$B:$B, $C4221)))</f>
        <v>Electric Guitar</v>
      </c>
      <c r="D4222" s="1" t="str">
        <f>VLOOKUP($C4222, 'Instrument Table'!$B:$C, 2, FALSE)</f>
        <v>Strings</v>
      </c>
      <c r="E4222" s="1">
        <f t="shared" si="390"/>
        <v>2</v>
      </c>
      <c r="F4222" s="1">
        <f>_xlfn.XLOOKUP($C4222, 'Instrument Table'!$B:$B, 'Instrument Table'!$A:$A, "")</f>
        <v>25</v>
      </c>
      <c r="G4222" s="1" t="str">
        <f>TEXT(IF($B4222 = "Retail Item", IF((ROW($A4222) - 4504 - _xlfn.XMATCH($C4222, $C$4506:$C$5005, 0, 1)) &lt;= VLOOKUP($C4222, 'Instrument Table'!$B:$D, 3, FALSE), ROW($A4222) - 4504 - _xlfn.XMATCH($C4222, $C$4506:$C$5005, 0, 1), 0), 0), "00")</f>
        <v>00</v>
      </c>
      <c r="H4222" s="1" t="str">
        <f t="shared" si="391"/>
        <v>006</v>
      </c>
      <c r="I4222" s="1" t="str">
        <f t="shared" si="392"/>
        <v>22500-006</v>
      </c>
      <c r="J4222" s="1" t="str">
        <f t="shared" si="393"/>
        <v>Electric guitar service item #006</v>
      </c>
      <c r="K4222" s="1" t="str">
        <f>IF(SUM(COUNTIFS(I:I, I4222)) &gt; 1, "DUPLICATE", "UNIQUE")</f>
        <v>UNIQUE</v>
      </c>
      <c r="L4222" s="18">
        <v>7</v>
      </c>
      <c r="M4222" s="28">
        <v>423</v>
      </c>
      <c r="N4222" s="6">
        <v>64</v>
      </c>
      <c r="O4222" s="30">
        <f t="shared" si="394"/>
        <v>2961</v>
      </c>
      <c r="P4222" s="30">
        <f t="shared" si="395"/>
        <v>27072</v>
      </c>
      <c r="Q4222" s="1">
        <f>COUNTIFS($P:$P, "&gt;" &amp; $P4222) + 1</f>
        <v>754</v>
      </c>
      <c r="R4222" s="63">
        <f>(COUNTIFS($P:$P, "&gt;" &amp; $P4222) + 1) / (COUNTA($I:$I) - 1)</f>
        <v>0.15079999999999999</v>
      </c>
      <c r="S4222" s="23">
        <f>SUMIFS($P:$P, $Q:$Q, "&lt;" &amp; $Q4222)</f>
        <v>160614078</v>
      </c>
    </row>
    <row r="4223" spans="1:19" x14ac:dyDescent="0.25">
      <c r="A4223" s="1">
        <v>4218</v>
      </c>
      <c r="B4223" s="1" t="s">
        <v>3</v>
      </c>
      <c r="C4223" s="1" t="str">
        <f>IF($B4223 = "Production Item", _xlfn.XLOOKUP($A4223, 'Instrument Table'!$J:$J, 'Instrument Table'!$B:$B, $C4222), IF($B4223 = "Service Item", _xlfn.XLOOKUP($A4223, 'Instrument Table'!$I:$I, 'Instrument Table'!$B:$B, $C4222), _xlfn.XLOOKUP($A4223, 'Instrument Table'!$H:$H, 'Instrument Table'!$B:$B, $C4222)))</f>
        <v>Electric Guitar</v>
      </c>
      <c r="D4223" s="1" t="str">
        <f>VLOOKUP($C4223, 'Instrument Table'!$B:$C, 2, FALSE)</f>
        <v>Strings</v>
      </c>
      <c r="E4223" s="1">
        <f t="shared" si="390"/>
        <v>2</v>
      </c>
      <c r="F4223" s="1">
        <f>_xlfn.XLOOKUP($C4223, 'Instrument Table'!$B:$B, 'Instrument Table'!$A:$A, "")</f>
        <v>25</v>
      </c>
      <c r="G4223" s="1" t="str">
        <f>TEXT(IF($B4223 = "Retail Item", IF((ROW($A4223) - 4504 - _xlfn.XMATCH($C4223, $C$4506:$C$5005, 0, 1)) &lt;= VLOOKUP($C4223, 'Instrument Table'!$B:$D, 3, FALSE), ROW($A4223) - 4504 - _xlfn.XMATCH($C4223, $C$4506:$C$5005, 0, 1), 0), 0), "00")</f>
        <v>00</v>
      </c>
      <c r="H4223" s="1" t="str">
        <f t="shared" si="391"/>
        <v>007</v>
      </c>
      <c r="I4223" s="1" t="str">
        <f t="shared" si="392"/>
        <v>22500-007</v>
      </c>
      <c r="J4223" s="1" t="str">
        <f t="shared" si="393"/>
        <v>Electric guitar service item #007</v>
      </c>
      <c r="K4223" s="1" t="str">
        <f>IF(SUM(COUNTIFS(I:I, I4223)) &gt; 1, "DUPLICATE", "UNIQUE")</f>
        <v>UNIQUE</v>
      </c>
      <c r="L4223" s="18">
        <v>7</v>
      </c>
      <c r="M4223" s="28">
        <v>574</v>
      </c>
      <c r="N4223" s="6">
        <v>64</v>
      </c>
      <c r="O4223" s="30">
        <f t="shared" si="394"/>
        <v>4018</v>
      </c>
      <c r="P4223" s="30">
        <f t="shared" si="395"/>
        <v>36736</v>
      </c>
      <c r="Q4223" s="1">
        <f>COUNTIFS($P:$P, "&gt;" &amp; $P4223) + 1</f>
        <v>584</v>
      </c>
      <c r="R4223" s="63">
        <f>(COUNTIFS($P:$P, "&gt;" &amp; $P4223) + 1) / (COUNTA($I:$I) - 1)</f>
        <v>0.1168</v>
      </c>
      <c r="S4223" s="23">
        <f>SUMIFS($P:$P, $Q:$Q, "&lt;" &amp; $Q4223)</f>
        <v>155294973</v>
      </c>
    </row>
    <row r="4224" spans="1:19" x14ac:dyDescent="0.25">
      <c r="A4224" s="1">
        <v>4219</v>
      </c>
      <c r="B4224" s="1" t="s">
        <v>3</v>
      </c>
      <c r="C4224" s="1" t="str">
        <f>IF($B4224 = "Production Item", _xlfn.XLOOKUP($A4224, 'Instrument Table'!$J:$J, 'Instrument Table'!$B:$B, $C4223), IF($B4224 = "Service Item", _xlfn.XLOOKUP($A4224, 'Instrument Table'!$I:$I, 'Instrument Table'!$B:$B, $C4223), _xlfn.XLOOKUP($A4224, 'Instrument Table'!$H:$H, 'Instrument Table'!$B:$B, $C4223)))</f>
        <v>Electric Guitar</v>
      </c>
      <c r="D4224" s="1" t="str">
        <f>VLOOKUP($C4224, 'Instrument Table'!$B:$C, 2, FALSE)</f>
        <v>Strings</v>
      </c>
      <c r="E4224" s="1">
        <f t="shared" si="390"/>
        <v>2</v>
      </c>
      <c r="F4224" s="1">
        <f>_xlfn.XLOOKUP($C4224, 'Instrument Table'!$B:$B, 'Instrument Table'!$A:$A, "")</f>
        <v>25</v>
      </c>
      <c r="G4224" s="1" t="str">
        <f>TEXT(IF($B4224 = "Retail Item", IF((ROW($A4224) - 4504 - _xlfn.XMATCH($C4224, $C$4506:$C$5005, 0, 1)) &lt;= VLOOKUP($C4224, 'Instrument Table'!$B:$D, 3, FALSE), ROW($A4224) - 4504 - _xlfn.XMATCH($C4224, $C$4506:$C$5005, 0, 1), 0), 0), "00")</f>
        <v>00</v>
      </c>
      <c r="H4224" s="1" t="str">
        <f t="shared" si="391"/>
        <v>008</v>
      </c>
      <c r="I4224" s="1" t="str">
        <f t="shared" si="392"/>
        <v>22500-008</v>
      </c>
      <c r="J4224" s="1" t="str">
        <f t="shared" si="393"/>
        <v>Electric guitar service item #008</v>
      </c>
      <c r="K4224" s="1" t="str">
        <f>IF(SUM(COUNTIFS(I:I, I4224)) &gt; 1, "DUPLICATE", "UNIQUE")</f>
        <v>UNIQUE</v>
      </c>
      <c r="L4224" s="18">
        <v>1</v>
      </c>
      <c r="M4224" s="28">
        <v>619</v>
      </c>
      <c r="N4224" s="6">
        <v>27</v>
      </c>
      <c r="O4224" s="30">
        <f t="shared" si="394"/>
        <v>619</v>
      </c>
      <c r="P4224" s="30">
        <f t="shared" si="395"/>
        <v>16713</v>
      </c>
      <c r="Q4224" s="1">
        <f>COUNTIFS($P:$P, "&gt;" &amp; $P4224) + 1</f>
        <v>1235</v>
      </c>
      <c r="R4224" s="63">
        <f>(COUNTIFS($P:$P, "&gt;" &amp; $P4224) + 1) / (COUNTA($I:$I) - 1)</f>
        <v>0.247</v>
      </c>
      <c r="S4224" s="23">
        <f>SUMIFS($P:$P, $Q:$Q, "&lt;" &amp; $Q4224)</f>
        <v>170920691</v>
      </c>
    </row>
    <row r="4225" spans="1:19" x14ac:dyDescent="0.25">
      <c r="A4225" s="1">
        <v>4220</v>
      </c>
      <c r="B4225" s="1" t="s">
        <v>3</v>
      </c>
      <c r="C4225" s="1" t="str">
        <f>IF($B4225 = "Production Item", _xlfn.XLOOKUP($A4225, 'Instrument Table'!$J:$J, 'Instrument Table'!$B:$B, $C4224), IF($B4225 = "Service Item", _xlfn.XLOOKUP($A4225, 'Instrument Table'!$I:$I, 'Instrument Table'!$B:$B, $C4224), _xlfn.XLOOKUP($A4225, 'Instrument Table'!$H:$H, 'Instrument Table'!$B:$B, $C4224)))</f>
        <v>Electric Guitar</v>
      </c>
      <c r="D4225" s="1" t="str">
        <f>VLOOKUP($C4225, 'Instrument Table'!$B:$C, 2, FALSE)</f>
        <v>Strings</v>
      </c>
      <c r="E4225" s="1">
        <f t="shared" si="390"/>
        <v>2</v>
      </c>
      <c r="F4225" s="1">
        <f>_xlfn.XLOOKUP($C4225, 'Instrument Table'!$B:$B, 'Instrument Table'!$A:$A, "")</f>
        <v>25</v>
      </c>
      <c r="G4225" s="1" t="str">
        <f>TEXT(IF($B4225 = "Retail Item", IF((ROW($A4225) - 4504 - _xlfn.XMATCH($C4225, $C$4506:$C$5005, 0, 1)) &lt;= VLOOKUP($C4225, 'Instrument Table'!$B:$D, 3, FALSE), ROW($A4225) - 4504 - _xlfn.XMATCH($C4225, $C$4506:$C$5005, 0, 1), 0), 0), "00")</f>
        <v>00</v>
      </c>
      <c r="H4225" s="1" t="str">
        <f t="shared" si="391"/>
        <v>009</v>
      </c>
      <c r="I4225" s="1" t="str">
        <f t="shared" si="392"/>
        <v>22500-009</v>
      </c>
      <c r="J4225" s="1" t="str">
        <f t="shared" si="393"/>
        <v>Electric guitar service item #009</v>
      </c>
      <c r="K4225" s="1" t="str">
        <f>IF(SUM(COUNTIFS(I:I, I4225)) &gt; 1, "DUPLICATE", "UNIQUE")</f>
        <v>UNIQUE</v>
      </c>
      <c r="L4225" s="18">
        <v>8</v>
      </c>
      <c r="M4225" s="28">
        <v>537</v>
      </c>
      <c r="N4225" s="6">
        <v>64</v>
      </c>
      <c r="O4225" s="30">
        <f t="shared" si="394"/>
        <v>4296</v>
      </c>
      <c r="P4225" s="30">
        <f t="shared" si="395"/>
        <v>34368</v>
      </c>
      <c r="Q4225" s="1">
        <f>COUNTIFS($P:$P, "&gt;" &amp; $P4225) + 1</f>
        <v>613</v>
      </c>
      <c r="R4225" s="63">
        <f>(COUNTIFS($P:$P, "&gt;" &amp; $P4225) + 1) / (COUNTA($I:$I) - 1)</f>
        <v>0.1226</v>
      </c>
      <c r="S4225" s="23">
        <f>SUMIFS($P:$P, $Q:$Q, "&lt;" &amp; $Q4225)</f>
        <v>156322976</v>
      </c>
    </row>
    <row r="4226" spans="1:19" x14ac:dyDescent="0.25">
      <c r="A4226" s="1">
        <v>4221</v>
      </c>
      <c r="B4226" s="1" t="s">
        <v>3</v>
      </c>
      <c r="C4226" s="1" t="str">
        <f>IF($B4226 = "Production Item", _xlfn.XLOOKUP($A4226, 'Instrument Table'!$J:$J, 'Instrument Table'!$B:$B, $C4225), IF($B4226 = "Service Item", _xlfn.XLOOKUP($A4226, 'Instrument Table'!$I:$I, 'Instrument Table'!$B:$B, $C4225), _xlfn.XLOOKUP($A4226, 'Instrument Table'!$H:$H, 'Instrument Table'!$B:$B, $C4225)))</f>
        <v>Electric Guitar</v>
      </c>
      <c r="D4226" s="1" t="str">
        <f>VLOOKUP($C4226, 'Instrument Table'!$B:$C, 2, FALSE)</f>
        <v>Strings</v>
      </c>
      <c r="E4226" s="1">
        <f t="shared" si="390"/>
        <v>2</v>
      </c>
      <c r="F4226" s="1">
        <f>_xlfn.XLOOKUP($C4226, 'Instrument Table'!$B:$B, 'Instrument Table'!$A:$A, "")</f>
        <v>25</v>
      </c>
      <c r="G4226" s="1" t="str">
        <f>TEXT(IF($B4226 = "Retail Item", IF((ROW($A4226) - 4504 - _xlfn.XMATCH($C4226, $C$4506:$C$5005, 0, 1)) &lt;= VLOOKUP($C4226, 'Instrument Table'!$B:$D, 3, FALSE), ROW($A4226) - 4504 - _xlfn.XMATCH($C4226, $C$4506:$C$5005, 0, 1), 0), 0), "00")</f>
        <v>00</v>
      </c>
      <c r="H4226" s="1" t="str">
        <f t="shared" si="391"/>
        <v>010</v>
      </c>
      <c r="I4226" s="1" t="str">
        <f t="shared" si="392"/>
        <v>22500-010</v>
      </c>
      <c r="J4226" s="1" t="str">
        <f t="shared" si="393"/>
        <v>Electric guitar service item #010</v>
      </c>
      <c r="K4226" s="1" t="str">
        <f>IF(SUM(COUNTIFS(I:I, I4226)) &gt; 1, "DUPLICATE", "UNIQUE")</f>
        <v>UNIQUE</v>
      </c>
      <c r="L4226" s="18">
        <v>6</v>
      </c>
      <c r="M4226" s="28">
        <v>561</v>
      </c>
      <c r="N4226" s="6">
        <v>64</v>
      </c>
      <c r="O4226" s="30">
        <f t="shared" si="394"/>
        <v>3366</v>
      </c>
      <c r="P4226" s="30">
        <f t="shared" si="395"/>
        <v>35904</v>
      </c>
      <c r="Q4226" s="1">
        <f>COUNTIFS($P:$P, "&gt;" &amp; $P4226) + 1</f>
        <v>594</v>
      </c>
      <c r="R4226" s="63">
        <f>(COUNTIFS($P:$P, "&gt;" &amp; $P4226) + 1) / (COUNTA($I:$I) - 1)</f>
        <v>0.1188</v>
      </c>
      <c r="S4226" s="23">
        <f>SUMIFS($P:$P, $Q:$Q, "&lt;" &amp; $Q4226)</f>
        <v>155656703</v>
      </c>
    </row>
    <row r="4227" spans="1:19" x14ac:dyDescent="0.25">
      <c r="A4227" s="1">
        <v>4222</v>
      </c>
      <c r="B4227" s="1" t="s">
        <v>3</v>
      </c>
      <c r="C4227" s="1" t="str">
        <f>IF($B4227 = "Production Item", _xlfn.XLOOKUP($A4227, 'Instrument Table'!$J:$J, 'Instrument Table'!$B:$B, $C4226), IF($B4227 = "Service Item", _xlfn.XLOOKUP($A4227, 'Instrument Table'!$I:$I, 'Instrument Table'!$B:$B, $C4226), _xlfn.XLOOKUP($A4227, 'Instrument Table'!$H:$H, 'Instrument Table'!$B:$B, $C4226)))</f>
        <v>Electric Guitar</v>
      </c>
      <c r="D4227" s="1" t="str">
        <f>VLOOKUP($C4227, 'Instrument Table'!$B:$C, 2, FALSE)</f>
        <v>Strings</v>
      </c>
      <c r="E4227" s="1">
        <f t="shared" si="390"/>
        <v>2</v>
      </c>
      <c r="F4227" s="1">
        <f>_xlfn.XLOOKUP($C4227, 'Instrument Table'!$B:$B, 'Instrument Table'!$A:$A, "")</f>
        <v>25</v>
      </c>
      <c r="G4227" s="1" t="str">
        <f>TEXT(IF($B4227 = "Retail Item", IF((ROW($A4227) - 4504 - _xlfn.XMATCH($C4227, $C$4506:$C$5005, 0, 1)) &lt;= VLOOKUP($C4227, 'Instrument Table'!$B:$D, 3, FALSE), ROW($A4227) - 4504 - _xlfn.XMATCH($C4227, $C$4506:$C$5005, 0, 1), 0), 0), "00")</f>
        <v>00</v>
      </c>
      <c r="H4227" s="1" t="str">
        <f t="shared" si="391"/>
        <v>011</v>
      </c>
      <c r="I4227" s="1" t="str">
        <f t="shared" si="392"/>
        <v>22500-011</v>
      </c>
      <c r="J4227" s="1" t="str">
        <f t="shared" si="393"/>
        <v>Electric guitar service item #011</v>
      </c>
      <c r="K4227" s="1" t="str">
        <f>IF(SUM(COUNTIFS(I:I, I4227)) &gt; 1, "DUPLICATE", "UNIQUE")</f>
        <v>UNIQUE</v>
      </c>
      <c r="L4227" s="18">
        <v>0</v>
      </c>
      <c r="M4227" s="28">
        <v>686</v>
      </c>
      <c r="N4227" s="6">
        <v>64</v>
      </c>
      <c r="O4227" s="30">
        <f t="shared" si="394"/>
        <v>0</v>
      </c>
      <c r="P4227" s="30">
        <f t="shared" si="395"/>
        <v>43904</v>
      </c>
      <c r="Q4227" s="1">
        <f>COUNTIFS($P:$P, "&gt;" &amp; $P4227) + 1</f>
        <v>538</v>
      </c>
      <c r="R4227" s="63">
        <f>(COUNTIFS($P:$P, "&gt;" &amp; $P4227) + 1) / (COUNTA($I:$I) - 1)</f>
        <v>0.1076</v>
      </c>
      <c r="S4227" s="23">
        <f>SUMIFS($P:$P, $Q:$Q, "&lt;" &amp; $Q4227)</f>
        <v>153470910</v>
      </c>
    </row>
    <row r="4228" spans="1:19" x14ac:dyDescent="0.25">
      <c r="A4228" s="1">
        <v>4223</v>
      </c>
      <c r="B4228" s="1" t="s">
        <v>3</v>
      </c>
      <c r="C4228" s="1" t="str">
        <f>IF($B4228 = "Production Item", _xlfn.XLOOKUP($A4228, 'Instrument Table'!$J:$J, 'Instrument Table'!$B:$B, $C4227), IF($B4228 = "Service Item", _xlfn.XLOOKUP($A4228, 'Instrument Table'!$I:$I, 'Instrument Table'!$B:$B, $C4227), _xlfn.XLOOKUP($A4228, 'Instrument Table'!$H:$H, 'Instrument Table'!$B:$B, $C4227)))</f>
        <v>Electric Guitar</v>
      </c>
      <c r="D4228" s="1" t="str">
        <f>VLOOKUP($C4228, 'Instrument Table'!$B:$C, 2, FALSE)</f>
        <v>Strings</v>
      </c>
      <c r="E4228" s="1">
        <f t="shared" si="390"/>
        <v>2</v>
      </c>
      <c r="F4228" s="1">
        <f>_xlfn.XLOOKUP($C4228, 'Instrument Table'!$B:$B, 'Instrument Table'!$A:$A, "")</f>
        <v>25</v>
      </c>
      <c r="G4228" s="1" t="str">
        <f>TEXT(IF($B4228 = "Retail Item", IF((ROW($A4228) - 4504 - _xlfn.XMATCH($C4228, $C$4506:$C$5005, 0, 1)) &lt;= VLOOKUP($C4228, 'Instrument Table'!$B:$D, 3, FALSE), ROW($A4228) - 4504 - _xlfn.XMATCH($C4228, $C$4506:$C$5005, 0, 1), 0), 0), "00")</f>
        <v>00</v>
      </c>
      <c r="H4228" s="1" t="str">
        <f t="shared" si="391"/>
        <v>012</v>
      </c>
      <c r="I4228" s="1" t="str">
        <f t="shared" si="392"/>
        <v>22500-012</v>
      </c>
      <c r="J4228" s="1" t="str">
        <f t="shared" si="393"/>
        <v>Electric guitar service item #012</v>
      </c>
      <c r="K4228" s="1" t="str">
        <f>IF(SUM(COUNTIFS(I:I, I4228)) &gt; 1, "DUPLICATE", "UNIQUE")</f>
        <v>UNIQUE</v>
      </c>
      <c r="L4228" s="18">
        <v>1</v>
      </c>
      <c r="M4228" s="28">
        <v>237</v>
      </c>
      <c r="N4228" s="6">
        <v>64</v>
      </c>
      <c r="O4228" s="30">
        <f t="shared" si="394"/>
        <v>237</v>
      </c>
      <c r="P4228" s="30">
        <f t="shared" si="395"/>
        <v>15168</v>
      </c>
      <c r="Q4228" s="1">
        <f>COUNTIFS($P:$P, "&gt;" &amp; $P4228) + 1</f>
        <v>1337</v>
      </c>
      <c r="R4228" s="63">
        <f>(COUNTIFS($P:$P, "&gt;" &amp; $P4228) + 1) / (COUNTA($I:$I) - 1)</f>
        <v>0.26740000000000003</v>
      </c>
      <c r="S4228" s="23">
        <f>SUMIFS($P:$P, $Q:$Q, "&lt;" &amp; $Q4228)</f>
        <v>172546528</v>
      </c>
    </row>
    <row r="4229" spans="1:19" x14ac:dyDescent="0.25">
      <c r="A4229" s="1">
        <v>4224</v>
      </c>
      <c r="B4229" s="1" t="s">
        <v>3</v>
      </c>
      <c r="C4229" s="1" t="str">
        <f>IF($B4229 = "Production Item", _xlfn.XLOOKUP($A4229, 'Instrument Table'!$J:$J, 'Instrument Table'!$B:$B, $C4228), IF($B4229 = "Service Item", _xlfn.XLOOKUP($A4229, 'Instrument Table'!$I:$I, 'Instrument Table'!$B:$B, $C4228), _xlfn.XLOOKUP($A4229, 'Instrument Table'!$H:$H, 'Instrument Table'!$B:$B, $C4228)))</f>
        <v>Electric Guitar</v>
      </c>
      <c r="D4229" s="1" t="str">
        <f>VLOOKUP($C4229, 'Instrument Table'!$B:$C, 2, FALSE)</f>
        <v>Strings</v>
      </c>
      <c r="E4229" s="1">
        <f t="shared" si="390"/>
        <v>2</v>
      </c>
      <c r="F4229" s="1">
        <f>_xlfn.XLOOKUP($C4229, 'Instrument Table'!$B:$B, 'Instrument Table'!$A:$A, "")</f>
        <v>25</v>
      </c>
      <c r="G4229" s="1" t="str">
        <f>TEXT(IF($B4229 = "Retail Item", IF((ROW($A4229) - 4504 - _xlfn.XMATCH($C4229, $C$4506:$C$5005, 0, 1)) &lt;= VLOOKUP($C4229, 'Instrument Table'!$B:$D, 3, FALSE), ROW($A4229) - 4504 - _xlfn.XMATCH($C4229, $C$4506:$C$5005, 0, 1), 0), 0), "00")</f>
        <v>00</v>
      </c>
      <c r="H4229" s="1" t="str">
        <f t="shared" si="391"/>
        <v>013</v>
      </c>
      <c r="I4229" s="1" t="str">
        <f t="shared" si="392"/>
        <v>22500-013</v>
      </c>
      <c r="J4229" s="1" t="str">
        <f t="shared" si="393"/>
        <v>Electric guitar service item #013</v>
      </c>
      <c r="K4229" s="1" t="str">
        <f>IF(SUM(COUNTIFS(I:I, I4229)) &gt; 1, "DUPLICATE", "UNIQUE")</f>
        <v>UNIQUE</v>
      </c>
      <c r="L4229" s="18">
        <v>3</v>
      </c>
      <c r="M4229" s="28">
        <v>864</v>
      </c>
      <c r="N4229" s="6">
        <v>125</v>
      </c>
      <c r="O4229" s="30">
        <f t="shared" si="394"/>
        <v>2592</v>
      </c>
      <c r="P4229" s="30">
        <f t="shared" si="395"/>
        <v>108000</v>
      </c>
      <c r="Q4229" s="1">
        <f>COUNTIFS($P:$P, "&gt;" &amp; $P4229) + 1</f>
        <v>396</v>
      </c>
      <c r="R4229" s="63">
        <f>(COUNTIFS($P:$P, "&gt;" &amp; $P4229) + 1) / (COUNTA($I:$I) - 1)</f>
        <v>7.9200000000000007E-2</v>
      </c>
      <c r="S4229" s="23">
        <f>SUMIFS($P:$P, $Q:$Q, "&lt;" &amp; $Q4229)</f>
        <v>143018384</v>
      </c>
    </row>
    <row r="4230" spans="1:19" x14ac:dyDescent="0.25">
      <c r="A4230" s="1">
        <v>4225</v>
      </c>
      <c r="B4230" s="1" t="s">
        <v>3</v>
      </c>
      <c r="C4230" s="1" t="str">
        <f>IF($B4230 = "Production Item", _xlfn.XLOOKUP($A4230, 'Instrument Table'!$J:$J, 'Instrument Table'!$B:$B, $C4229), IF($B4230 = "Service Item", _xlfn.XLOOKUP($A4230, 'Instrument Table'!$I:$I, 'Instrument Table'!$B:$B, $C4229), _xlfn.XLOOKUP($A4230, 'Instrument Table'!$H:$H, 'Instrument Table'!$B:$B, $C4229)))</f>
        <v>Electric Guitar</v>
      </c>
      <c r="D4230" s="1" t="str">
        <f>VLOOKUP($C4230, 'Instrument Table'!$B:$C, 2, FALSE)</f>
        <v>Strings</v>
      </c>
      <c r="E4230" s="1">
        <f t="shared" si="390"/>
        <v>2</v>
      </c>
      <c r="F4230" s="1">
        <f>_xlfn.XLOOKUP($C4230, 'Instrument Table'!$B:$B, 'Instrument Table'!$A:$A, "")</f>
        <v>25</v>
      </c>
      <c r="G4230" s="1" t="str">
        <f>TEXT(IF($B4230 = "Retail Item", IF((ROW($A4230) - 4504 - _xlfn.XMATCH($C4230, $C$4506:$C$5005, 0, 1)) &lt;= VLOOKUP($C4230, 'Instrument Table'!$B:$D, 3, FALSE), ROW($A4230) - 4504 - _xlfn.XMATCH($C4230, $C$4506:$C$5005, 0, 1), 0), 0), "00")</f>
        <v>00</v>
      </c>
      <c r="H4230" s="1" t="str">
        <f t="shared" si="391"/>
        <v>014</v>
      </c>
      <c r="I4230" s="1" t="str">
        <f t="shared" si="392"/>
        <v>22500-014</v>
      </c>
      <c r="J4230" s="1" t="str">
        <f t="shared" si="393"/>
        <v>Electric guitar service item #014</v>
      </c>
      <c r="K4230" s="1" t="str">
        <f>IF(SUM(COUNTIFS(I:I, I4230)) &gt; 1, "DUPLICATE", "UNIQUE")</f>
        <v>UNIQUE</v>
      </c>
      <c r="L4230" s="18">
        <v>1</v>
      </c>
      <c r="M4230" s="28">
        <v>970</v>
      </c>
      <c r="N4230" s="6">
        <v>8</v>
      </c>
      <c r="O4230" s="30">
        <f t="shared" si="394"/>
        <v>970</v>
      </c>
      <c r="P4230" s="30">
        <f t="shared" si="395"/>
        <v>7760</v>
      </c>
      <c r="Q4230" s="1">
        <f>COUNTIFS($P:$P, "&gt;" &amp; $P4230) + 1</f>
        <v>2031</v>
      </c>
      <c r="R4230" s="63">
        <f>(COUNTIFS($P:$P, "&gt;" &amp; $P4230) + 1) / (COUNTA($I:$I) - 1)</f>
        <v>0.40620000000000001</v>
      </c>
      <c r="S4230" s="23">
        <f>SUMIFS($P:$P, $Q:$Q, "&lt;" &amp; $Q4230)</f>
        <v>180238931</v>
      </c>
    </row>
    <row r="4231" spans="1:19" x14ac:dyDescent="0.25">
      <c r="A4231" s="1">
        <v>4226</v>
      </c>
      <c r="B4231" s="1" t="s">
        <v>3</v>
      </c>
      <c r="C4231" s="1" t="str">
        <f>IF($B4231 = "Production Item", _xlfn.XLOOKUP($A4231, 'Instrument Table'!$J:$J, 'Instrument Table'!$B:$B, $C4230), IF($B4231 = "Service Item", _xlfn.XLOOKUP($A4231, 'Instrument Table'!$I:$I, 'Instrument Table'!$B:$B, $C4230), _xlfn.XLOOKUP($A4231, 'Instrument Table'!$H:$H, 'Instrument Table'!$B:$B, $C4230)))</f>
        <v>Electric Guitar</v>
      </c>
      <c r="D4231" s="1" t="str">
        <f>VLOOKUP($C4231, 'Instrument Table'!$B:$C, 2, FALSE)</f>
        <v>Strings</v>
      </c>
      <c r="E4231" s="1">
        <f t="shared" ref="E4231:E4294" si="396">IF($B4231 = "Production Item", 1, IF($B4231 = "Service Item", 2, IF($B4231 = "Retail Item", 3, "")))</f>
        <v>2</v>
      </c>
      <c r="F4231" s="1">
        <f>_xlfn.XLOOKUP($C4231, 'Instrument Table'!$B:$B, 'Instrument Table'!$A:$A, "")</f>
        <v>25</v>
      </c>
      <c r="G4231" s="1" t="str">
        <f>TEXT(IF($B4231 = "Retail Item", IF((ROW($A4231) - 4504 - _xlfn.XMATCH($C4231, $C$4506:$C$5005, 0, 1)) &lt;= VLOOKUP($C4231, 'Instrument Table'!$B:$D, 3, FALSE), ROW($A4231) - 4504 - _xlfn.XMATCH($C4231, $C$4506:$C$5005, 0, 1), 0), 0), "00")</f>
        <v>00</v>
      </c>
      <c r="H4231" s="1" t="str">
        <f t="shared" ref="H4231:H4294" si="397">TEXT(IF($E4231 &amp; $F4231 &amp; $G4231 = $E4230 &amp; $F4230 &amp; $G4230, 1 + H4230, 0), "000")</f>
        <v>015</v>
      </c>
      <c r="I4231" s="1" t="str">
        <f t="shared" ref="I4231:I4294" si="398" xml:space="preserve"> _xlfn.CONCAT($E4231, $F4231, $G4231, "-", H4231)</f>
        <v>22500-015</v>
      </c>
      <c r="J4231" s="1" t="str">
        <f t="shared" ref="J4231:J4294" si="399">LEFT($C4231, 1) &amp; LOWER(RIGHT($C4231, LEN($C4231) - 1)) &amp; IF(AND($G4231 &lt;&gt; "00", $B4231 = "Retail Item"), " model #" &amp; $G4231, " " &amp; LOWER($B4231) &amp; " #" &amp; $H4231)</f>
        <v>Electric guitar service item #015</v>
      </c>
      <c r="K4231" s="1" t="str">
        <f>IF(SUM(COUNTIFS(I:I, I4231)) &gt; 1, "DUPLICATE", "UNIQUE")</f>
        <v>UNIQUE</v>
      </c>
      <c r="L4231" s="18">
        <v>4</v>
      </c>
      <c r="M4231" s="28">
        <v>829</v>
      </c>
      <c r="N4231" s="6">
        <v>64</v>
      </c>
      <c r="O4231" s="30">
        <f t="shared" ref="O4231:O4294" si="400">$L4231 * $M4231</f>
        <v>3316</v>
      </c>
      <c r="P4231" s="30">
        <f t="shared" ref="P4231:P4294" si="401">$N4231 * $M4231</f>
        <v>53056</v>
      </c>
      <c r="Q4231" s="1">
        <f>COUNTIFS($P:$P, "&gt;" &amp; $P4231) + 1</f>
        <v>517</v>
      </c>
      <c r="R4231" s="63">
        <f>(COUNTIFS($P:$P, "&gt;" &amp; $P4231) + 1) / (COUNTA($I:$I) - 1)</f>
        <v>0.10340000000000001</v>
      </c>
      <c r="S4231" s="23">
        <f>SUMIFS($P:$P, $Q:$Q, "&lt;" &amp; $Q4231)</f>
        <v>152429677</v>
      </c>
    </row>
    <row r="4232" spans="1:19" x14ac:dyDescent="0.25">
      <c r="A4232" s="1">
        <v>4227</v>
      </c>
      <c r="B4232" s="1" t="s">
        <v>3</v>
      </c>
      <c r="C4232" s="1" t="str">
        <f>IF($B4232 = "Production Item", _xlfn.XLOOKUP($A4232, 'Instrument Table'!$J:$J, 'Instrument Table'!$B:$B, $C4231), IF($B4232 = "Service Item", _xlfn.XLOOKUP($A4232, 'Instrument Table'!$I:$I, 'Instrument Table'!$B:$B, $C4231), _xlfn.XLOOKUP($A4232, 'Instrument Table'!$H:$H, 'Instrument Table'!$B:$B, $C4231)))</f>
        <v>Electric Guitar</v>
      </c>
      <c r="D4232" s="1" t="str">
        <f>VLOOKUP($C4232, 'Instrument Table'!$B:$C, 2, FALSE)</f>
        <v>Strings</v>
      </c>
      <c r="E4232" s="1">
        <f t="shared" si="396"/>
        <v>2</v>
      </c>
      <c r="F4232" s="1">
        <f>_xlfn.XLOOKUP($C4232, 'Instrument Table'!$B:$B, 'Instrument Table'!$A:$A, "")</f>
        <v>25</v>
      </c>
      <c r="G4232" s="1" t="str">
        <f>TEXT(IF($B4232 = "Retail Item", IF((ROW($A4232) - 4504 - _xlfn.XMATCH($C4232, $C$4506:$C$5005, 0, 1)) &lt;= VLOOKUP($C4232, 'Instrument Table'!$B:$D, 3, FALSE), ROW($A4232) - 4504 - _xlfn.XMATCH($C4232, $C$4506:$C$5005, 0, 1), 0), 0), "00")</f>
        <v>00</v>
      </c>
      <c r="H4232" s="1" t="str">
        <f t="shared" si="397"/>
        <v>016</v>
      </c>
      <c r="I4232" s="1" t="str">
        <f t="shared" si="398"/>
        <v>22500-016</v>
      </c>
      <c r="J4232" s="1" t="str">
        <f t="shared" si="399"/>
        <v>Electric guitar service item #016</v>
      </c>
      <c r="K4232" s="1" t="str">
        <f>IF(SUM(COUNTIFS(I:I, I4232)) &gt; 1, "DUPLICATE", "UNIQUE")</f>
        <v>UNIQUE</v>
      </c>
      <c r="L4232" s="18">
        <v>4</v>
      </c>
      <c r="M4232" s="28">
        <v>41</v>
      </c>
      <c r="N4232" s="6">
        <v>8</v>
      </c>
      <c r="O4232" s="30">
        <f t="shared" si="400"/>
        <v>164</v>
      </c>
      <c r="P4232" s="30">
        <f t="shared" si="401"/>
        <v>328</v>
      </c>
      <c r="Q4232" s="1">
        <f>COUNTIFS($P:$P, "&gt;" &amp; $P4232) + 1</f>
        <v>4176</v>
      </c>
      <c r="R4232" s="63">
        <f>(COUNTIFS($P:$P, "&gt;" &amp; $P4232) + 1) / (COUNTA($I:$I) - 1)</f>
        <v>0.83520000000000005</v>
      </c>
      <c r="S4232" s="23">
        <f>SUMIFS($P:$P, $Q:$Q, "&lt;" &amp; $Q4232)</f>
        <v>186472644</v>
      </c>
    </row>
    <row r="4233" spans="1:19" x14ac:dyDescent="0.25">
      <c r="A4233" s="1">
        <v>4228</v>
      </c>
      <c r="B4233" s="1" t="s">
        <v>3</v>
      </c>
      <c r="C4233" s="1" t="str">
        <f>IF($B4233 = "Production Item", _xlfn.XLOOKUP($A4233, 'Instrument Table'!$J:$J, 'Instrument Table'!$B:$B, $C4232), IF($B4233 = "Service Item", _xlfn.XLOOKUP($A4233, 'Instrument Table'!$I:$I, 'Instrument Table'!$B:$B, $C4232), _xlfn.XLOOKUP($A4233, 'Instrument Table'!$H:$H, 'Instrument Table'!$B:$B, $C4232)))</f>
        <v>Electric Guitar</v>
      </c>
      <c r="D4233" s="1" t="str">
        <f>VLOOKUP($C4233, 'Instrument Table'!$B:$C, 2, FALSE)</f>
        <v>Strings</v>
      </c>
      <c r="E4233" s="1">
        <f t="shared" si="396"/>
        <v>2</v>
      </c>
      <c r="F4233" s="1">
        <f>_xlfn.XLOOKUP($C4233, 'Instrument Table'!$B:$B, 'Instrument Table'!$A:$A, "")</f>
        <v>25</v>
      </c>
      <c r="G4233" s="1" t="str">
        <f>TEXT(IF($B4233 = "Retail Item", IF((ROW($A4233) - 4504 - _xlfn.XMATCH($C4233, $C$4506:$C$5005, 0, 1)) &lt;= VLOOKUP($C4233, 'Instrument Table'!$B:$D, 3, FALSE), ROW($A4233) - 4504 - _xlfn.XMATCH($C4233, $C$4506:$C$5005, 0, 1), 0), 0), "00")</f>
        <v>00</v>
      </c>
      <c r="H4233" s="1" t="str">
        <f t="shared" si="397"/>
        <v>017</v>
      </c>
      <c r="I4233" s="1" t="str">
        <f t="shared" si="398"/>
        <v>22500-017</v>
      </c>
      <c r="J4233" s="1" t="str">
        <f t="shared" si="399"/>
        <v>Electric guitar service item #017</v>
      </c>
      <c r="K4233" s="1" t="str">
        <f>IF(SUM(COUNTIFS(I:I, I4233)) &gt; 1, "DUPLICATE", "UNIQUE")</f>
        <v>UNIQUE</v>
      </c>
      <c r="L4233" s="18">
        <v>4</v>
      </c>
      <c r="M4233" s="28">
        <v>528</v>
      </c>
      <c r="N4233" s="6">
        <v>8</v>
      </c>
      <c r="O4233" s="30">
        <f t="shared" si="400"/>
        <v>2112</v>
      </c>
      <c r="P4233" s="30">
        <f t="shared" si="401"/>
        <v>4224</v>
      </c>
      <c r="Q4233" s="1">
        <f>COUNTIFS($P:$P, "&gt;" &amp; $P4233) + 1</f>
        <v>2605</v>
      </c>
      <c r="R4233" s="63">
        <f>(COUNTIFS($P:$P, "&gt;" &amp; $P4233) + 1) / (COUNTA($I:$I) - 1)</f>
        <v>0.52100000000000002</v>
      </c>
      <c r="S4233" s="23">
        <f>SUMIFS($P:$P, $Q:$Q, "&lt;" &amp; $Q4233)</f>
        <v>183584543</v>
      </c>
    </row>
    <row r="4234" spans="1:19" x14ac:dyDescent="0.25">
      <c r="A4234" s="1">
        <v>4229</v>
      </c>
      <c r="B4234" s="1" t="s">
        <v>3</v>
      </c>
      <c r="C4234" s="1" t="str">
        <f>IF($B4234 = "Production Item", _xlfn.XLOOKUP($A4234, 'Instrument Table'!$J:$J, 'Instrument Table'!$B:$B, $C4233), IF($B4234 = "Service Item", _xlfn.XLOOKUP($A4234, 'Instrument Table'!$I:$I, 'Instrument Table'!$B:$B, $C4233), _xlfn.XLOOKUP($A4234, 'Instrument Table'!$H:$H, 'Instrument Table'!$B:$B, $C4233)))</f>
        <v>Electric Guitar</v>
      </c>
      <c r="D4234" s="1" t="str">
        <f>VLOOKUP($C4234, 'Instrument Table'!$B:$C, 2, FALSE)</f>
        <v>Strings</v>
      </c>
      <c r="E4234" s="1">
        <f t="shared" si="396"/>
        <v>2</v>
      </c>
      <c r="F4234" s="1">
        <f>_xlfn.XLOOKUP($C4234, 'Instrument Table'!$B:$B, 'Instrument Table'!$A:$A, "")</f>
        <v>25</v>
      </c>
      <c r="G4234" s="1" t="str">
        <f>TEXT(IF($B4234 = "Retail Item", IF((ROW($A4234) - 4504 - _xlfn.XMATCH($C4234, $C$4506:$C$5005, 0, 1)) &lt;= VLOOKUP($C4234, 'Instrument Table'!$B:$D, 3, FALSE), ROW($A4234) - 4504 - _xlfn.XMATCH($C4234, $C$4506:$C$5005, 0, 1), 0), 0), "00")</f>
        <v>00</v>
      </c>
      <c r="H4234" s="1" t="str">
        <f t="shared" si="397"/>
        <v>018</v>
      </c>
      <c r="I4234" s="1" t="str">
        <f t="shared" si="398"/>
        <v>22500-018</v>
      </c>
      <c r="J4234" s="1" t="str">
        <f t="shared" si="399"/>
        <v>Electric guitar service item #018</v>
      </c>
      <c r="K4234" s="1" t="str">
        <f>IF(SUM(COUNTIFS(I:I, I4234)) &gt; 1, "DUPLICATE", "UNIQUE")</f>
        <v>UNIQUE</v>
      </c>
      <c r="L4234" s="18">
        <v>0</v>
      </c>
      <c r="M4234" s="28">
        <v>740</v>
      </c>
      <c r="N4234" s="6">
        <v>125</v>
      </c>
      <c r="O4234" s="30">
        <f t="shared" si="400"/>
        <v>0</v>
      </c>
      <c r="P4234" s="30">
        <f t="shared" si="401"/>
        <v>92500</v>
      </c>
      <c r="Q4234" s="1">
        <f>COUNTIFS($P:$P, "&gt;" &amp; $P4234) + 1</f>
        <v>424</v>
      </c>
      <c r="R4234" s="63">
        <f>(COUNTIFS($P:$P, "&gt;" &amp; $P4234) + 1) / (COUNTA($I:$I) - 1)</f>
        <v>8.48E-2</v>
      </c>
      <c r="S4234" s="23">
        <f>SUMIFS($P:$P, $Q:$Q, "&lt;" &amp; $Q4234)</f>
        <v>145795950</v>
      </c>
    </row>
    <row r="4235" spans="1:19" x14ac:dyDescent="0.25">
      <c r="A4235" s="1">
        <v>4230</v>
      </c>
      <c r="B4235" s="1" t="s">
        <v>3</v>
      </c>
      <c r="C4235" s="1" t="str">
        <f>IF($B4235 = "Production Item", _xlfn.XLOOKUP($A4235, 'Instrument Table'!$J:$J, 'Instrument Table'!$B:$B, $C4234), IF($B4235 = "Service Item", _xlfn.XLOOKUP($A4235, 'Instrument Table'!$I:$I, 'Instrument Table'!$B:$B, $C4234), _xlfn.XLOOKUP($A4235, 'Instrument Table'!$H:$H, 'Instrument Table'!$B:$B, $C4234)))</f>
        <v>Electric Guitar</v>
      </c>
      <c r="D4235" s="1" t="str">
        <f>VLOOKUP($C4235, 'Instrument Table'!$B:$C, 2, FALSE)</f>
        <v>Strings</v>
      </c>
      <c r="E4235" s="1">
        <f t="shared" si="396"/>
        <v>2</v>
      </c>
      <c r="F4235" s="1">
        <f>_xlfn.XLOOKUP($C4235, 'Instrument Table'!$B:$B, 'Instrument Table'!$A:$A, "")</f>
        <v>25</v>
      </c>
      <c r="G4235" s="1" t="str">
        <f>TEXT(IF($B4235 = "Retail Item", IF((ROW($A4235) - 4504 - _xlfn.XMATCH($C4235, $C$4506:$C$5005, 0, 1)) &lt;= VLOOKUP($C4235, 'Instrument Table'!$B:$D, 3, FALSE), ROW($A4235) - 4504 - _xlfn.XMATCH($C4235, $C$4506:$C$5005, 0, 1), 0), 0), "00")</f>
        <v>00</v>
      </c>
      <c r="H4235" s="1" t="str">
        <f t="shared" si="397"/>
        <v>019</v>
      </c>
      <c r="I4235" s="1" t="str">
        <f t="shared" si="398"/>
        <v>22500-019</v>
      </c>
      <c r="J4235" s="1" t="str">
        <f t="shared" si="399"/>
        <v>Electric guitar service item #019</v>
      </c>
      <c r="K4235" s="1" t="str">
        <f>IF(SUM(COUNTIFS(I:I, I4235)) &gt; 1, "DUPLICATE", "UNIQUE")</f>
        <v>UNIQUE</v>
      </c>
      <c r="L4235" s="18">
        <v>4</v>
      </c>
      <c r="M4235" s="28">
        <v>226</v>
      </c>
      <c r="N4235" s="6">
        <v>27</v>
      </c>
      <c r="O4235" s="30">
        <f t="shared" si="400"/>
        <v>904</v>
      </c>
      <c r="P4235" s="30">
        <f t="shared" si="401"/>
        <v>6102</v>
      </c>
      <c r="Q4235" s="1">
        <f>COUNTIFS($P:$P, "&gt;" &amp; $P4235) + 1</f>
        <v>2241</v>
      </c>
      <c r="R4235" s="63">
        <f>(COUNTIFS($P:$P, "&gt;" &amp; $P4235) + 1) / (COUNTA($I:$I) - 1)</f>
        <v>0.44819999999999999</v>
      </c>
      <c r="S4235" s="23">
        <f>SUMIFS($P:$P, $Q:$Q, "&lt;" &amp; $Q4235)</f>
        <v>181712320</v>
      </c>
    </row>
    <row r="4236" spans="1:19" x14ac:dyDescent="0.25">
      <c r="A4236" s="1">
        <v>4231</v>
      </c>
      <c r="B4236" s="1" t="s">
        <v>3</v>
      </c>
      <c r="C4236" s="1" t="str">
        <f>IF($B4236 = "Production Item", _xlfn.XLOOKUP($A4236, 'Instrument Table'!$J:$J, 'Instrument Table'!$B:$B, $C4235), IF($B4236 = "Service Item", _xlfn.XLOOKUP($A4236, 'Instrument Table'!$I:$I, 'Instrument Table'!$B:$B, $C4235), _xlfn.XLOOKUP($A4236, 'Instrument Table'!$H:$H, 'Instrument Table'!$B:$B, $C4235)))</f>
        <v>Clarinet</v>
      </c>
      <c r="D4236" s="1" t="str">
        <f>VLOOKUP($C4236, 'Instrument Table'!$B:$C, 2, FALSE)</f>
        <v>Woodwinds</v>
      </c>
      <c r="E4236" s="1">
        <f t="shared" si="396"/>
        <v>2</v>
      </c>
      <c r="F4236" s="1">
        <f>_xlfn.XLOOKUP($C4236, 'Instrument Table'!$B:$B, 'Instrument Table'!$A:$A, "")</f>
        <v>30</v>
      </c>
      <c r="G4236" s="1" t="str">
        <f>TEXT(IF($B4236 = "Retail Item", IF((ROW($A4236) - 4504 - _xlfn.XMATCH($C4236, $C$4506:$C$5005, 0, 1)) &lt;= VLOOKUP($C4236, 'Instrument Table'!$B:$D, 3, FALSE), ROW($A4236) - 4504 - _xlfn.XMATCH($C4236, $C$4506:$C$5005, 0, 1), 0), 0), "00")</f>
        <v>00</v>
      </c>
      <c r="H4236" s="1" t="str">
        <f t="shared" si="397"/>
        <v>000</v>
      </c>
      <c r="I4236" s="1" t="str">
        <f t="shared" si="398"/>
        <v>23000-000</v>
      </c>
      <c r="J4236" s="1" t="str">
        <f t="shared" si="399"/>
        <v>Clarinet service item #000</v>
      </c>
      <c r="K4236" s="1" t="str">
        <f>IF(SUM(COUNTIFS(I:I, I4236)) &gt; 1, "DUPLICATE", "UNIQUE")</f>
        <v>UNIQUE</v>
      </c>
      <c r="L4236" s="18">
        <v>3</v>
      </c>
      <c r="M4236" s="28">
        <v>388</v>
      </c>
      <c r="N4236" s="6">
        <v>0</v>
      </c>
      <c r="O4236" s="30">
        <f t="shared" si="400"/>
        <v>1164</v>
      </c>
      <c r="P4236" s="30">
        <f t="shared" si="401"/>
        <v>0</v>
      </c>
      <c r="Q4236" s="1">
        <f>COUNTIFS($P:$P, "&gt;" &amp; $P4236) + 1</f>
        <v>4746</v>
      </c>
      <c r="R4236" s="63">
        <f>(COUNTIFS($P:$P, "&gt;" &amp; $P4236) + 1) / (COUNTA($I:$I) - 1)</f>
        <v>0.94920000000000004</v>
      </c>
      <c r="S4236" s="23">
        <f>SUMIFS($P:$P, $Q:$Q, "&lt;" &amp; $Q4236)</f>
        <v>186547861</v>
      </c>
    </row>
    <row r="4237" spans="1:19" x14ac:dyDescent="0.25">
      <c r="A4237" s="1">
        <v>4232</v>
      </c>
      <c r="B4237" s="1" t="s">
        <v>3</v>
      </c>
      <c r="C4237" s="1" t="str">
        <f>IF($B4237 = "Production Item", _xlfn.XLOOKUP($A4237, 'Instrument Table'!$J:$J, 'Instrument Table'!$B:$B, $C4236), IF($B4237 = "Service Item", _xlfn.XLOOKUP($A4237, 'Instrument Table'!$I:$I, 'Instrument Table'!$B:$B, $C4236), _xlfn.XLOOKUP($A4237, 'Instrument Table'!$H:$H, 'Instrument Table'!$B:$B, $C4236)))</f>
        <v>Clarinet</v>
      </c>
      <c r="D4237" s="1" t="str">
        <f>VLOOKUP($C4237, 'Instrument Table'!$B:$C, 2, FALSE)</f>
        <v>Woodwinds</v>
      </c>
      <c r="E4237" s="1">
        <f t="shared" si="396"/>
        <v>2</v>
      </c>
      <c r="F4237" s="1">
        <f>_xlfn.XLOOKUP($C4237, 'Instrument Table'!$B:$B, 'Instrument Table'!$A:$A, "")</f>
        <v>30</v>
      </c>
      <c r="G4237" s="1" t="str">
        <f>TEXT(IF($B4237 = "Retail Item", IF((ROW($A4237) - 4504 - _xlfn.XMATCH($C4237, $C$4506:$C$5005, 0, 1)) &lt;= VLOOKUP($C4237, 'Instrument Table'!$B:$D, 3, FALSE), ROW($A4237) - 4504 - _xlfn.XMATCH($C4237, $C$4506:$C$5005, 0, 1), 0), 0), "00")</f>
        <v>00</v>
      </c>
      <c r="H4237" s="1" t="str">
        <f t="shared" si="397"/>
        <v>001</v>
      </c>
      <c r="I4237" s="1" t="str">
        <f t="shared" si="398"/>
        <v>23000-001</v>
      </c>
      <c r="J4237" s="1" t="str">
        <f t="shared" si="399"/>
        <v>Clarinet service item #001</v>
      </c>
      <c r="K4237" s="1" t="str">
        <f>IF(SUM(COUNTIFS(I:I, I4237)) &gt; 1, "DUPLICATE", "UNIQUE")</f>
        <v>UNIQUE</v>
      </c>
      <c r="L4237" s="18">
        <v>3</v>
      </c>
      <c r="M4237" s="28">
        <v>711</v>
      </c>
      <c r="N4237" s="6">
        <v>1</v>
      </c>
      <c r="O4237" s="30">
        <f t="shared" si="400"/>
        <v>2133</v>
      </c>
      <c r="P4237" s="30">
        <f t="shared" si="401"/>
        <v>711</v>
      </c>
      <c r="Q4237" s="1">
        <f>COUNTIFS($P:$P, "&gt;" &amp; $P4237) + 1</f>
        <v>3870</v>
      </c>
      <c r="R4237" s="63">
        <f>(COUNTIFS($P:$P, "&gt;" &amp; $P4237) + 1) / (COUNTA($I:$I) - 1)</f>
        <v>0.77400000000000002</v>
      </c>
      <c r="S4237" s="23">
        <f>SUMIFS($P:$P, $Q:$Q, "&lt;" &amp; $Q4237)</f>
        <v>186318007</v>
      </c>
    </row>
    <row r="4238" spans="1:19" x14ac:dyDescent="0.25">
      <c r="A4238" s="1">
        <v>4233</v>
      </c>
      <c r="B4238" s="1" t="s">
        <v>3</v>
      </c>
      <c r="C4238" s="1" t="str">
        <f>IF($B4238 = "Production Item", _xlfn.XLOOKUP($A4238, 'Instrument Table'!$J:$J, 'Instrument Table'!$B:$B, $C4237), IF($B4238 = "Service Item", _xlfn.XLOOKUP($A4238, 'Instrument Table'!$I:$I, 'Instrument Table'!$B:$B, $C4237), _xlfn.XLOOKUP($A4238, 'Instrument Table'!$H:$H, 'Instrument Table'!$B:$B, $C4237)))</f>
        <v>Clarinet</v>
      </c>
      <c r="D4238" s="1" t="str">
        <f>VLOOKUP($C4238, 'Instrument Table'!$B:$C, 2, FALSE)</f>
        <v>Woodwinds</v>
      </c>
      <c r="E4238" s="1">
        <f t="shared" si="396"/>
        <v>2</v>
      </c>
      <c r="F4238" s="1">
        <f>_xlfn.XLOOKUP($C4238, 'Instrument Table'!$B:$B, 'Instrument Table'!$A:$A, "")</f>
        <v>30</v>
      </c>
      <c r="G4238" s="1" t="str">
        <f>TEXT(IF($B4238 = "Retail Item", IF((ROW($A4238) - 4504 - _xlfn.XMATCH($C4238, $C$4506:$C$5005, 0, 1)) &lt;= VLOOKUP($C4238, 'Instrument Table'!$B:$D, 3, FALSE), ROW($A4238) - 4504 - _xlfn.XMATCH($C4238, $C$4506:$C$5005, 0, 1), 0), 0), "00")</f>
        <v>00</v>
      </c>
      <c r="H4238" s="1" t="str">
        <f t="shared" si="397"/>
        <v>002</v>
      </c>
      <c r="I4238" s="1" t="str">
        <f t="shared" si="398"/>
        <v>23000-002</v>
      </c>
      <c r="J4238" s="1" t="str">
        <f t="shared" si="399"/>
        <v>Clarinet service item #002</v>
      </c>
      <c r="K4238" s="1" t="str">
        <f>IF(SUM(COUNTIFS(I:I, I4238)) &gt; 1, "DUPLICATE", "UNIQUE")</f>
        <v>UNIQUE</v>
      </c>
      <c r="L4238" s="18">
        <v>7</v>
      </c>
      <c r="M4238" s="28">
        <v>378</v>
      </c>
      <c r="N4238" s="6">
        <v>8</v>
      </c>
      <c r="O4238" s="30">
        <f t="shared" si="400"/>
        <v>2646</v>
      </c>
      <c r="P4238" s="30">
        <f t="shared" si="401"/>
        <v>3024</v>
      </c>
      <c r="Q4238" s="1">
        <f>COUNTIFS($P:$P, "&gt;" &amp; $P4238) + 1</f>
        <v>2903</v>
      </c>
      <c r="R4238" s="63">
        <f>(COUNTIFS($P:$P, "&gt;" &amp; $P4238) + 1) / (COUNTA($I:$I) - 1)</f>
        <v>0.5806</v>
      </c>
      <c r="S4238" s="23">
        <f>SUMIFS($P:$P, $Q:$Q, "&lt;" &amp; $Q4238)</f>
        <v>184657338</v>
      </c>
    </row>
    <row r="4239" spans="1:19" x14ac:dyDescent="0.25">
      <c r="A4239" s="1">
        <v>4234</v>
      </c>
      <c r="B4239" s="1" t="s">
        <v>3</v>
      </c>
      <c r="C4239" s="1" t="str">
        <f>IF($B4239 = "Production Item", _xlfn.XLOOKUP($A4239, 'Instrument Table'!$J:$J, 'Instrument Table'!$B:$B, $C4238), IF($B4239 = "Service Item", _xlfn.XLOOKUP($A4239, 'Instrument Table'!$I:$I, 'Instrument Table'!$B:$B, $C4238), _xlfn.XLOOKUP($A4239, 'Instrument Table'!$H:$H, 'Instrument Table'!$B:$B, $C4238)))</f>
        <v>Clarinet</v>
      </c>
      <c r="D4239" s="1" t="str">
        <f>VLOOKUP($C4239, 'Instrument Table'!$B:$C, 2, FALSE)</f>
        <v>Woodwinds</v>
      </c>
      <c r="E4239" s="1">
        <f t="shared" si="396"/>
        <v>2</v>
      </c>
      <c r="F4239" s="1">
        <f>_xlfn.XLOOKUP($C4239, 'Instrument Table'!$B:$B, 'Instrument Table'!$A:$A, "")</f>
        <v>30</v>
      </c>
      <c r="G4239" s="1" t="str">
        <f>TEXT(IF($B4239 = "Retail Item", IF((ROW($A4239) - 4504 - _xlfn.XMATCH($C4239, $C$4506:$C$5005, 0, 1)) &lt;= VLOOKUP($C4239, 'Instrument Table'!$B:$D, 3, FALSE), ROW($A4239) - 4504 - _xlfn.XMATCH($C4239, $C$4506:$C$5005, 0, 1), 0), 0), "00")</f>
        <v>00</v>
      </c>
      <c r="H4239" s="1" t="str">
        <f t="shared" si="397"/>
        <v>003</v>
      </c>
      <c r="I4239" s="1" t="str">
        <f t="shared" si="398"/>
        <v>23000-003</v>
      </c>
      <c r="J4239" s="1" t="str">
        <f t="shared" si="399"/>
        <v>Clarinet service item #003</v>
      </c>
      <c r="K4239" s="1" t="str">
        <f>IF(SUM(COUNTIFS(I:I, I4239)) &gt; 1, "DUPLICATE", "UNIQUE")</f>
        <v>UNIQUE</v>
      </c>
      <c r="L4239" s="18">
        <v>8</v>
      </c>
      <c r="M4239" s="28">
        <v>396</v>
      </c>
      <c r="N4239" s="6">
        <v>125</v>
      </c>
      <c r="O4239" s="30">
        <f t="shared" si="400"/>
        <v>3168</v>
      </c>
      <c r="P4239" s="30">
        <f t="shared" si="401"/>
        <v>49500</v>
      </c>
      <c r="Q4239" s="1">
        <f>COUNTIFS($P:$P, "&gt;" &amp; $P4239) + 1</f>
        <v>527</v>
      </c>
      <c r="R4239" s="63">
        <f>(COUNTIFS($P:$P, "&gt;" &amp; $P4239) + 1) / (COUNTA($I:$I) - 1)</f>
        <v>0.10539999999999999</v>
      </c>
      <c r="S4239" s="23">
        <f>SUMIFS($P:$P, $Q:$Q, "&lt;" &amp; $Q4239)</f>
        <v>152953081</v>
      </c>
    </row>
    <row r="4240" spans="1:19" x14ac:dyDescent="0.25">
      <c r="A4240" s="1">
        <v>4235</v>
      </c>
      <c r="B4240" s="1" t="s">
        <v>3</v>
      </c>
      <c r="C4240" s="1" t="str">
        <f>IF($B4240 = "Production Item", _xlfn.XLOOKUP($A4240, 'Instrument Table'!$J:$J, 'Instrument Table'!$B:$B, $C4239), IF($B4240 = "Service Item", _xlfn.XLOOKUP($A4240, 'Instrument Table'!$I:$I, 'Instrument Table'!$B:$B, $C4239), _xlfn.XLOOKUP($A4240, 'Instrument Table'!$H:$H, 'Instrument Table'!$B:$B, $C4239)))</f>
        <v>Clarinet</v>
      </c>
      <c r="D4240" s="1" t="str">
        <f>VLOOKUP($C4240, 'Instrument Table'!$B:$C, 2, FALSE)</f>
        <v>Woodwinds</v>
      </c>
      <c r="E4240" s="1">
        <f t="shared" si="396"/>
        <v>2</v>
      </c>
      <c r="F4240" s="1">
        <f>_xlfn.XLOOKUP($C4240, 'Instrument Table'!$B:$B, 'Instrument Table'!$A:$A, "")</f>
        <v>30</v>
      </c>
      <c r="G4240" s="1" t="str">
        <f>TEXT(IF($B4240 = "Retail Item", IF((ROW($A4240) - 4504 - _xlfn.XMATCH($C4240, $C$4506:$C$5005, 0, 1)) &lt;= VLOOKUP($C4240, 'Instrument Table'!$B:$D, 3, FALSE), ROW($A4240) - 4504 - _xlfn.XMATCH($C4240, $C$4506:$C$5005, 0, 1), 0), 0), "00")</f>
        <v>00</v>
      </c>
      <c r="H4240" s="1" t="str">
        <f t="shared" si="397"/>
        <v>004</v>
      </c>
      <c r="I4240" s="1" t="str">
        <f t="shared" si="398"/>
        <v>23000-004</v>
      </c>
      <c r="J4240" s="1" t="str">
        <f t="shared" si="399"/>
        <v>Clarinet service item #004</v>
      </c>
      <c r="K4240" s="1" t="str">
        <f>IF(SUM(COUNTIFS(I:I, I4240)) &gt; 1, "DUPLICATE", "UNIQUE")</f>
        <v>UNIQUE</v>
      </c>
      <c r="L4240" s="18">
        <v>9</v>
      </c>
      <c r="M4240" s="28">
        <v>192</v>
      </c>
      <c r="N4240" s="6">
        <v>27</v>
      </c>
      <c r="O4240" s="30">
        <f t="shared" si="400"/>
        <v>1728</v>
      </c>
      <c r="P4240" s="30">
        <f t="shared" si="401"/>
        <v>5184</v>
      </c>
      <c r="Q4240" s="1">
        <f>COUNTIFS($P:$P, "&gt;" &amp; $P4240) + 1</f>
        <v>2412</v>
      </c>
      <c r="R4240" s="63">
        <f>(COUNTIFS($P:$P, "&gt;" &amp; $P4240) + 1) / (COUNTA($I:$I) - 1)</f>
        <v>0.4824</v>
      </c>
      <c r="S4240" s="23">
        <f>SUMIFS($P:$P, $Q:$Q, "&lt;" &amp; $Q4240)</f>
        <v>182678928</v>
      </c>
    </row>
    <row r="4241" spans="1:19" x14ac:dyDescent="0.25">
      <c r="A4241" s="1">
        <v>4236</v>
      </c>
      <c r="B4241" s="1" t="s">
        <v>3</v>
      </c>
      <c r="C4241" s="1" t="str">
        <f>IF($B4241 = "Production Item", _xlfn.XLOOKUP($A4241, 'Instrument Table'!$J:$J, 'Instrument Table'!$B:$B, $C4240), IF($B4241 = "Service Item", _xlfn.XLOOKUP($A4241, 'Instrument Table'!$I:$I, 'Instrument Table'!$B:$B, $C4240), _xlfn.XLOOKUP($A4241, 'Instrument Table'!$H:$H, 'Instrument Table'!$B:$B, $C4240)))</f>
        <v>Clarinet</v>
      </c>
      <c r="D4241" s="1" t="str">
        <f>VLOOKUP($C4241, 'Instrument Table'!$B:$C, 2, FALSE)</f>
        <v>Woodwinds</v>
      </c>
      <c r="E4241" s="1">
        <f t="shared" si="396"/>
        <v>2</v>
      </c>
      <c r="F4241" s="1">
        <f>_xlfn.XLOOKUP($C4241, 'Instrument Table'!$B:$B, 'Instrument Table'!$A:$A, "")</f>
        <v>30</v>
      </c>
      <c r="G4241" s="1" t="str">
        <f>TEXT(IF($B4241 = "Retail Item", IF((ROW($A4241) - 4504 - _xlfn.XMATCH($C4241, $C$4506:$C$5005, 0, 1)) &lt;= VLOOKUP($C4241, 'Instrument Table'!$B:$D, 3, FALSE), ROW($A4241) - 4504 - _xlfn.XMATCH($C4241, $C$4506:$C$5005, 0, 1), 0), 0), "00")</f>
        <v>00</v>
      </c>
      <c r="H4241" s="1" t="str">
        <f t="shared" si="397"/>
        <v>005</v>
      </c>
      <c r="I4241" s="1" t="str">
        <f t="shared" si="398"/>
        <v>23000-005</v>
      </c>
      <c r="J4241" s="1" t="str">
        <f t="shared" si="399"/>
        <v>Clarinet service item #005</v>
      </c>
      <c r="K4241" s="1" t="str">
        <f>IF(SUM(COUNTIFS(I:I, I4241)) &gt; 1, "DUPLICATE", "UNIQUE")</f>
        <v>UNIQUE</v>
      </c>
      <c r="L4241" s="18">
        <v>6</v>
      </c>
      <c r="M4241" s="28">
        <v>897</v>
      </c>
      <c r="N4241" s="6">
        <v>0</v>
      </c>
      <c r="O4241" s="30">
        <f t="shared" si="400"/>
        <v>5382</v>
      </c>
      <c r="P4241" s="30">
        <f t="shared" si="401"/>
        <v>0</v>
      </c>
      <c r="Q4241" s="1">
        <f>COUNTIFS($P:$P, "&gt;" &amp; $P4241) + 1</f>
        <v>4746</v>
      </c>
      <c r="R4241" s="63">
        <f>(COUNTIFS($P:$P, "&gt;" &amp; $P4241) + 1) / (COUNTA($I:$I) - 1)</f>
        <v>0.94920000000000004</v>
      </c>
      <c r="S4241" s="23">
        <f>SUMIFS($P:$P, $Q:$Q, "&lt;" &amp; $Q4241)</f>
        <v>186547861</v>
      </c>
    </row>
    <row r="4242" spans="1:19" x14ac:dyDescent="0.25">
      <c r="A4242" s="1">
        <v>4237</v>
      </c>
      <c r="B4242" s="1" t="s">
        <v>3</v>
      </c>
      <c r="C4242" s="1" t="str">
        <f>IF($B4242 = "Production Item", _xlfn.XLOOKUP($A4242, 'Instrument Table'!$J:$J, 'Instrument Table'!$B:$B, $C4241), IF($B4242 = "Service Item", _xlfn.XLOOKUP($A4242, 'Instrument Table'!$I:$I, 'Instrument Table'!$B:$B, $C4241), _xlfn.XLOOKUP($A4242, 'Instrument Table'!$H:$H, 'Instrument Table'!$B:$B, $C4241)))</f>
        <v>Clarinet</v>
      </c>
      <c r="D4242" s="1" t="str">
        <f>VLOOKUP($C4242, 'Instrument Table'!$B:$C, 2, FALSE)</f>
        <v>Woodwinds</v>
      </c>
      <c r="E4242" s="1">
        <f t="shared" si="396"/>
        <v>2</v>
      </c>
      <c r="F4242" s="1">
        <f>_xlfn.XLOOKUP($C4242, 'Instrument Table'!$B:$B, 'Instrument Table'!$A:$A, "")</f>
        <v>30</v>
      </c>
      <c r="G4242" s="1" t="str">
        <f>TEXT(IF($B4242 = "Retail Item", IF((ROW($A4242) - 4504 - _xlfn.XMATCH($C4242, $C$4506:$C$5005, 0, 1)) &lt;= VLOOKUP($C4242, 'Instrument Table'!$B:$D, 3, FALSE), ROW($A4242) - 4504 - _xlfn.XMATCH($C4242, $C$4506:$C$5005, 0, 1), 0), 0), "00")</f>
        <v>00</v>
      </c>
      <c r="H4242" s="1" t="str">
        <f t="shared" si="397"/>
        <v>006</v>
      </c>
      <c r="I4242" s="1" t="str">
        <f t="shared" si="398"/>
        <v>23000-006</v>
      </c>
      <c r="J4242" s="1" t="str">
        <f t="shared" si="399"/>
        <v>Clarinet service item #006</v>
      </c>
      <c r="K4242" s="1" t="str">
        <f>IF(SUM(COUNTIFS(I:I, I4242)) &gt; 1, "DUPLICATE", "UNIQUE")</f>
        <v>UNIQUE</v>
      </c>
      <c r="L4242" s="18">
        <v>4</v>
      </c>
      <c r="M4242" s="28">
        <v>917</v>
      </c>
      <c r="N4242" s="6">
        <v>64</v>
      </c>
      <c r="O4242" s="30">
        <f t="shared" si="400"/>
        <v>3668</v>
      </c>
      <c r="P4242" s="30">
        <f t="shared" si="401"/>
        <v>58688</v>
      </c>
      <c r="Q4242" s="1">
        <f>COUNTIFS($P:$P, "&gt;" &amp; $P4242) + 1</f>
        <v>502</v>
      </c>
      <c r="R4242" s="63">
        <f>(COUNTIFS($P:$P, "&gt;" &amp; $P4242) + 1) / (COUNTA($I:$I) - 1)</f>
        <v>0.1004</v>
      </c>
      <c r="S4242" s="23">
        <f>SUMIFS($P:$P, $Q:$Q, "&lt;" &amp; $Q4242)</f>
        <v>151584213</v>
      </c>
    </row>
    <row r="4243" spans="1:19" x14ac:dyDescent="0.25">
      <c r="A4243" s="1">
        <v>4238</v>
      </c>
      <c r="B4243" s="1" t="s">
        <v>3</v>
      </c>
      <c r="C4243" s="1" t="str">
        <f>IF($B4243 = "Production Item", _xlfn.XLOOKUP($A4243, 'Instrument Table'!$J:$J, 'Instrument Table'!$B:$B, $C4242), IF($B4243 = "Service Item", _xlfn.XLOOKUP($A4243, 'Instrument Table'!$I:$I, 'Instrument Table'!$B:$B, $C4242), _xlfn.XLOOKUP($A4243, 'Instrument Table'!$H:$H, 'Instrument Table'!$B:$B, $C4242)))</f>
        <v>Clarinet</v>
      </c>
      <c r="D4243" s="1" t="str">
        <f>VLOOKUP($C4243, 'Instrument Table'!$B:$C, 2, FALSE)</f>
        <v>Woodwinds</v>
      </c>
      <c r="E4243" s="1">
        <f t="shared" si="396"/>
        <v>2</v>
      </c>
      <c r="F4243" s="1">
        <f>_xlfn.XLOOKUP($C4243, 'Instrument Table'!$B:$B, 'Instrument Table'!$A:$A, "")</f>
        <v>30</v>
      </c>
      <c r="G4243" s="1" t="str">
        <f>TEXT(IF($B4243 = "Retail Item", IF((ROW($A4243) - 4504 - _xlfn.XMATCH($C4243, $C$4506:$C$5005, 0, 1)) &lt;= VLOOKUP($C4243, 'Instrument Table'!$B:$D, 3, FALSE), ROW($A4243) - 4504 - _xlfn.XMATCH($C4243, $C$4506:$C$5005, 0, 1), 0), 0), "00")</f>
        <v>00</v>
      </c>
      <c r="H4243" s="1" t="str">
        <f t="shared" si="397"/>
        <v>007</v>
      </c>
      <c r="I4243" s="1" t="str">
        <f t="shared" si="398"/>
        <v>23000-007</v>
      </c>
      <c r="J4243" s="1" t="str">
        <f t="shared" si="399"/>
        <v>Clarinet service item #007</v>
      </c>
      <c r="K4243" s="1" t="str">
        <f>IF(SUM(COUNTIFS(I:I, I4243)) &gt; 1, "DUPLICATE", "UNIQUE")</f>
        <v>UNIQUE</v>
      </c>
      <c r="L4243" s="18">
        <v>3</v>
      </c>
      <c r="M4243" s="28">
        <v>262</v>
      </c>
      <c r="N4243" s="6">
        <v>64</v>
      </c>
      <c r="O4243" s="30">
        <f t="shared" si="400"/>
        <v>786</v>
      </c>
      <c r="P4243" s="30">
        <f t="shared" si="401"/>
        <v>16768</v>
      </c>
      <c r="Q4243" s="1">
        <f>COUNTIFS($P:$P, "&gt;" &amp; $P4243) + 1</f>
        <v>1231</v>
      </c>
      <c r="R4243" s="63">
        <f>(COUNTIFS($P:$P, "&gt;" &amp; $P4243) + 1) / (COUNTA($I:$I) - 1)</f>
        <v>0.2462</v>
      </c>
      <c r="S4243" s="23">
        <f>SUMIFS($P:$P, $Q:$Q, "&lt;" &amp; $Q4243)</f>
        <v>170853699</v>
      </c>
    </row>
    <row r="4244" spans="1:19" x14ac:dyDescent="0.25">
      <c r="A4244" s="1">
        <v>4239</v>
      </c>
      <c r="B4244" s="1" t="s">
        <v>3</v>
      </c>
      <c r="C4244" s="1" t="str">
        <f>IF($B4244 = "Production Item", _xlfn.XLOOKUP($A4244, 'Instrument Table'!$J:$J, 'Instrument Table'!$B:$B, $C4243), IF($B4244 = "Service Item", _xlfn.XLOOKUP($A4244, 'Instrument Table'!$I:$I, 'Instrument Table'!$B:$B, $C4243), _xlfn.XLOOKUP($A4244, 'Instrument Table'!$H:$H, 'Instrument Table'!$B:$B, $C4243)))</f>
        <v>Clarinet</v>
      </c>
      <c r="D4244" s="1" t="str">
        <f>VLOOKUP($C4244, 'Instrument Table'!$B:$C, 2, FALSE)</f>
        <v>Woodwinds</v>
      </c>
      <c r="E4244" s="1">
        <f t="shared" si="396"/>
        <v>2</v>
      </c>
      <c r="F4244" s="1">
        <f>_xlfn.XLOOKUP($C4244, 'Instrument Table'!$B:$B, 'Instrument Table'!$A:$A, "")</f>
        <v>30</v>
      </c>
      <c r="G4244" s="1" t="str">
        <f>TEXT(IF($B4244 = "Retail Item", IF((ROW($A4244) - 4504 - _xlfn.XMATCH($C4244, $C$4506:$C$5005, 0, 1)) &lt;= VLOOKUP($C4244, 'Instrument Table'!$B:$D, 3, FALSE), ROW($A4244) - 4504 - _xlfn.XMATCH($C4244, $C$4506:$C$5005, 0, 1), 0), 0), "00")</f>
        <v>00</v>
      </c>
      <c r="H4244" s="1" t="str">
        <f t="shared" si="397"/>
        <v>008</v>
      </c>
      <c r="I4244" s="1" t="str">
        <f t="shared" si="398"/>
        <v>23000-008</v>
      </c>
      <c r="J4244" s="1" t="str">
        <f t="shared" si="399"/>
        <v>Clarinet service item #008</v>
      </c>
      <c r="K4244" s="1" t="str">
        <f>IF(SUM(COUNTIFS(I:I, I4244)) &gt; 1, "DUPLICATE", "UNIQUE")</f>
        <v>UNIQUE</v>
      </c>
      <c r="L4244" s="18">
        <v>0</v>
      </c>
      <c r="M4244" s="28">
        <v>381</v>
      </c>
      <c r="N4244" s="6">
        <v>64</v>
      </c>
      <c r="O4244" s="30">
        <f t="shared" si="400"/>
        <v>0</v>
      </c>
      <c r="P4244" s="30">
        <f t="shared" si="401"/>
        <v>24384</v>
      </c>
      <c r="Q4244" s="1">
        <f>COUNTIFS($P:$P, "&gt;" &amp; $P4244) + 1</f>
        <v>859</v>
      </c>
      <c r="R4244" s="63">
        <f>(COUNTIFS($P:$P, "&gt;" &amp; $P4244) + 1) / (COUNTA($I:$I) - 1)</f>
        <v>0.17180000000000001</v>
      </c>
      <c r="S4244" s="23">
        <f>SUMIFS($P:$P, $Q:$Q, "&lt;" &amp; $Q4244)</f>
        <v>163304292</v>
      </c>
    </row>
    <row r="4245" spans="1:19" x14ac:dyDescent="0.25">
      <c r="A4245" s="1">
        <v>4240</v>
      </c>
      <c r="B4245" s="1" t="s">
        <v>3</v>
      </c>
      <c r="C4245" s="1" t="str">
        <f>IF($B4245 = "Production Item", _xlfn.XLOOKUP($A4245, 'Instrument Table'!$J:$J, 'Instrument Table'!$B:$B, $C4244), IF($B4245 = "Service Item", _xlfn.XLOOKUP($A4245, 'Instrument Table'!$I:$I, 'Instrument Table'!$B:$B, $C4244), _xlfn.XLOOKUP($A4245, 'Instrument Table'!$H:$H, 'Instrument Table'!$B:$B, $C4244)))</f>
        <v>Clarinet</v>
      </c>
      <c r="D4245" s="1" t="str">
        <f>VLOOKUP($C4245, 'Instrument Table'!$B:$C, 2, FALSE)</f>
        <v>Woodwinds</v>
      </c>
      <c r="E4245" s="1">
        <f t="shared" si="396"/>
        <v>2</v>
      </c>
      <c r="F4245" s="1">
        <f>_xlfn.XLOOKUP($C4245, 'Instrument Table'!$B:$B, 'Instrument Table'!$A:$A, "")</f>
        <v>30</v>
      </c>
      <c r="G4245" s="1" t="str">
        <f>TEXT(IF($B4245 = "Retail Item", IF((ROW($A4245) - 4504 - _xlfn.XMATCH($C4245, $C$4506:$C$5005, 0, 1)) &lt;= VLOOKUP($C4245, 'Instrument Table'!$B:$D, 3, FALSE), ROW($A4245) - 4504 - _xlfn.XMATCH($C4245, $C$4506:$C$5005, 0, 1), 0), 0), "00")</f>
        <v>00</v>
      </c>
      <c r="H4245" s="1" t="str">
        <f t="shared" si="397"/>
        <v>009</v>
      </c>
      <c r="I4245" s="1" t="str">
        <f t="shared" si="398"/>
        <v>23000-009</v>
      </c>
      <c r="J4245" s="1" t="str">
        <f t="shared" si="399"/>
        <v>Clarinet service item #009</v>
      </c>
      <c r="K4245" s="1" t="str">
        <f>IF(SUM(COUNTIFS(I:I, I4245)) &gt; 1, "DUPLICATE", "UNIQUE")</f>
        <v>UNIQUE</v>
      </c>
      <c r="L4245" s="18">
        <v>9</v>
      </c>
      <c r="M4245" s="28">
        <v>733</v>
      </c>
      <c r="N4245" s="6">
        <v>0</v>
      </c>
      <c r="O4245" s="30">
        <f t="shared" si="400"/>
        <v>6597</v>
      </c>
      <c r="P4245" s="30">
        <f t="shared" si="401"/>
        <v>0</v>
      </c>
      <c r="Q4245" s="1">
        <f>COUNTIFS($P:$P, "&gt;" &amp; $P4245) + 1</f>
        <v>4746</v>
      </c>
      <c r="R4245" s="63">
        <f>(COUNTIFS($P:$P, "&gt;" &amp; $P4245) + 1) / (COUNTA($I:$I) - 1)</f>
        <v>0.94920000000000004</v>
      </c>
      <c r="S4245" s="23">
        <f>SUMIFS($P:$P, $Q:$Q, "&lt;" &amp; $Q4245)</f>
        <v>186547861</v>
      </c>
    </row>
    <row r="4246" spans="1:19" x14ac:dyDescent="0.25">
      <c r="A4246" s="1">
        <v>4241</v>
      </c>
      <c r="B4246" s="1" t="s">
        <v>3</v>
      </c>
      <c r="C4246" s="1" t="str">
        <f>IF($B4246 = "Production Item", _xlfn.XLOOKUP($A4246, 'Instrument Table'!$J:$J, 'Instrument Table'!$B:$B, $C4245), IF($B4246 = "Service Item", _xlfn.XLOOKUP($A4246, 'Instrument Table'!$I:$I, 'Instrument Table'!$B:$B, $C4245), _xlfn.XLOOKUP($A4246, 'Instrument Table'!$H:$H, 'Instrument Table'!$B:$B, $C4245)))</f>
        <v>Clarinet</v>
      </c>
      <c r="D4246" s="1" t="str">
        <f>VLOOKUP($C4246, 'Instrument Table'!$B:$C, 2, FALSE)</f>
        <v>Woodwinds</v>
      </c>
      <c r="E4246" s="1">
        <f t="shared" si="396"/>
        <v>2</v>
      </c>
      <c r="F4246" s="1">
        <f>_xlfn.XLOOKUP($C4246, 'Instrument Table'!$B:$B, 'Instrument Table'!$A:$A, "")</f>
        <v>30</v>
      </c>
      <c r="G4246" s="1" t="str">
        <f>TEXT(IF($B4246 = "Retail Item", IF((ROW($A4246) - 4504 - _xlfn.XMATCH($C4246, $C$4506:$C$5005, 0, 1)) &lt;= VLOOKUP($C4246, 'Instrument Table'!$B:$D, 3, FALSE), ROW($A4246) - 4504 - _xlfn.XMATCH($C4246, $C$4506:$C$5005, 0, 1), 0), 0), "00")</f>
        <v>00</v>
      </c>
      <c r="H4246" s="1" t="str">
        <f t="shared" si="397"/>
        <v>010</v>
      </c>
      <c r="I4246" s="1" t="str">
        <f t="shared" si="398"/>
        <v>23000-010</v>
      </c>
      <c r="J4246" s="1" t="str">
        <f t="shared" si="399"/>
        <v>Clarinet service item #010</v>
      </c>
      <c r="K4246" s="1" t="str">
        <f>IF(SUM(COUNTIFS(I:I, I4246)) &gt; 1, "DUPLICATE", "UNIQUE")</f>
        <v>UNIQUE</v>
      </c>
      <c r="L4246" s="18">
        <v>9</v>
      </c>
      <c r="M4246" s="28">
        <v>670</v>
      </c>
      <c r="N4246" s="6">
        <v>125</v>
      </c>
      <c r="O4246" s="30">
        <f t="shared" si="400"/>
        <v>6030</v>
      </c>
      <c r="P4246" s="30">
        <f t="shared" si="401"/>
        <v>83750</v>
      </c>
      <c r="Q4246" s="1">
        <f>COUNTIFS($P:$P, "&gt;" &amp; $P4246) + 1</f>
        <v>439</v>
      </c>
      <c r="R4246" s="63">
        <f>(COUNTIFS($P:$P, "&gt;" &amp; $P4246) + 1) / (COUNTA($I:$I) - 1)</f>
        <v>8.7800000000000003E-2</v>
      </c>
      <c r="S4246" s="23">
        <f>SUMIFS($P:$P, $Q:$Q, "&lt;" &amp; $Q4246)</f>
        <v>147118598</v>
      </c>
    </row>
    <row r="4247" spans="1:19" x14ac:dyDescent="0.25">
      <c r="A4247" s="1">
        <v>4242</v>
      </c>
      <c r="B4247" s="1" t="s">
        <v>3</v>
      </c>
      <c r="C4247" s="1" t="str">
        <f>IF($B4247 = "Production Item", _xlfn.XLOOKUP($A4247, 'Instrument Table'!$J:$J, 'Instrument Table'!$B:$B, $C4246), IF($B4247 = "Service Item", _xlfn.XLOOKUP($A4247, 'Instrument Table'!$I:$I, 'Instrument Table'!$B:$B, $C4246), _xlfn.XLOOKUP($A4247, 'Instrument Table'!$H:$H, 'Instrument Table'!$B:$B, $C4246)))</f>
        <v>Clarinet</v>
      </c>
      <c r="D4247" s="1" t="str">
        <f>VLOOKUP($C4247, 'Instrument Table'!$B:$C, 2, FALSE)</f>
        <v>Woodwinds</v>
      </c>
      <c r="E4247" s="1">
        <f t="shared" si="396"/>
        <v>2</v>
      </c>
      <c r="F4247" s="1">
        <f>_xlfn.XLOOKUP($C4247, 'Instrument Table'!$B:$B, 'Instrument Table'!$A:$A, "")</f>
        <v>30</v>
      </c>
      <c r="G4247" s="1" t="str">
        <f>TEXT(IF($B4247 = "Retail Item", IF((ROW($A4247) - 4504 - _xlfn.XMATCH($C4247, $C$4506:$C$5005, 0, 1)) &lt;= VLOOKUP($C4247, 'Instrument Table'!$B:$D, 3, FALSE), ROW($A4247) - 4504 - _xlfn.XMATCH($C4247, $C$4506:$C$5005, 0, 1), 0), 0), "00")</f>
        <v>00</v>
      </c>
      <c r="H4247" s="1" t="str">
        <f t="shared" si="397"/>
        <v>011</v>
      </c>
      <c r="I4247" s="1" t="str">
        <f t="shared" si="398"/>
        <v>23000-011</v>
      </c>
      <c r="J4247" s="1" t="str">
        <f t="shared" si="399"/>
        <v>Clarinet service item #011</v>
      </c>
      <c r="K4247" s="1" t="str">
        <f>IF(SUM(COUNTIFS(I:I, I4247)) &gt; 1, "DUPLICATE", "UNIQUE")</f>
        <v>UNIQUE</v>
      </c>
      <c r="L4247" s="18">
        <v>3</v>
      </c>
      <c r="M4247" s="28">
        <v>881</v>
      </c>
      <c r="N4247" s="6">
        <v>1</v>
      </c>
      <c r="O4247" s="30">
        <f t="shared" si="400"/>
        <v>2643</v>
      </c>
      <c r="P4247" s="30">
        <f t="shared" si="401"/>
        <v>881</v>
      </c>
      <c r="Q4247" s="1">
        <f>COUNTIFS($P:$P, "&gt;" &amp; $P4247) + 1</f>
        <v>3737</v>
      </c>
      <c r="R4247" s="63">
        <f>(COUNTIFS($P:$P, "&gt;" &amp; $P4247) + 1) / (COUNTA($I:$I) - 1)</f>
        <v>0.74739999999999995</v>
      </c>
      <c r="S4247" s="23">
        <f>SUMIFS($P:$P, $Q:$Q, "&lt;" &amp; $Q4247)</f>
        <v>186212797</v>
      </c>
    </row>
    <row r="4248" spans="1:19" x14ac:dyDescent="0.25">
      <c r="A4248" s="1">
        <v>4243</v>
      </c>
      <c r="B4248" s="1" t="s">
        <v>3</v>
      </c>
      <c r="C4248" s="1" t="str">
        <f>IF($B4248 = "Production Item", _xlfn.XLOOKUP($A4248, 'Instrument Table'!$J:$J, 'Instrument Table'!$B:$B, $C4247), IF($B4248 = "Service Item", _xlfn.XLOOKUP($A4248, 'Instrument Table'!$I:$I, 'Instrument Table'!$B:$B, $C4247), _xlfn.XLOOKUP($A4248, 'Instrument Table'!$H:$H, 'Instrument Table'!$B:$B, $C4247)))</f>
        <v>Clarinet</v>
      </c>
      <c r="D4248" s="1" t="str">
        <f>VLOOKUP($C4248, 'Instrument Table'!$B:$C, 2, FALSE)</f>
        <v>Woodwinds</v>
      </c>
      <c r="E4248" s="1">
        <f t="shared" si="396"/>
        <v>2</v>
      </c>
      <c r="F4248" s="1">
        <f>_xlfn.XLOOKUP($C4248, 'Instrument Table'!$B:$B, 'Instrument Table'!$A:$A, "")</f>
        <v>30</v>
      </c>
      <c r="G4248" s="1" t="str">
        <f>TEXT(IF($B4248 = "Retail Item", IF((ROW($A4248) - 4504 - _xlfn.XMATCH($C4248, $C$4506:$C$5005, 0, 1)) &lt;= VLOOKUP($C4248, 'Instrument Table'!$B:$D, 3, FALSE), ROW($A4248) - 4504 - _xlfn.XMATCH($C4248, $C$4506:$C$5005, 0, 1), 0), 0), "00")</f>
        <v>00</v>
      </c>
      <c r="H4248" s="1" t="str">
        <f t="shared" si="397"/>
        <v>012</v>
      </c>
      <c r="I4248" s="1" t="str">
        <f t="shared" si="398"/>
        <v>23000-012</v>
      </c>
      <c r="J4248" s="1" t="str">
        <f t="shared" si="399"/>
        <v>Clarinet service item #012</v>
      </c>
      <c r="K4248" s="1" t="str">
        <f>IF(SUM(COUNTIFS(I:I, I4248)) &gt; 1, "DUPLICATE", "UNIQUE")</f>
        <v>UNIQUE</v>
      </c>
      <c r="L4248" s="18">
        <v>0</v>
      </c>
      <c r="M4248" s="28">
        <v>76</v>
      </c>
      <c r="N4248" s="6">
        <v>0</v>
      </c>
      <c r="O4248" s="30">
        <f t="shared" si="400"/>
        <v>0</v>
      </c>
      <c r="P4248" s="30">
        <f t="shared" si="401"/>
        <v>0</v>
      </c>
      <c r="Q4248" s="1">
        <f>COUNTIFS($P:$P, "&gt;" &amp; $P4248) + 1</f>
        <v>4746</v>
      </c>
      <c r="R4248" s="63">
        <f>(COUNTIFS($P:$P, "&gt;" &amp; $P4248) + 1) / (COUNTA($I:$I) - 1)</f>
        <v>0.94920000000000004</v>
      </c>
      <c r="S4248" s="23">
        <f>SUMIFS($P:$P, $Q:$Q, "&lt;" &amp; $Q4248)</f>
        <v>186547861</v>
      </c>
    </row>
    <row r="4249" spans="1:19" x14ac:dyDescent="0.25">
      <c r="A4249" s="1">
        <v>4244</v>
      </c>
      <c r="B4249" s="1" t="s">
        <v>3</v>
      </c>
      <c r="C4249" s="1" t="str">
        <f>IF($B4249 = "Production Item", _xlfn.XLOOKUP($A4249, 'Instrument Table'!$J:$J, 'Instrument Table'!$B:$B, $C4248), IF($B4249 = "Service Item", _xlfn.XLOOKUP($A4249, 'Instrument Table'!$I:$I, 'Instrument Table'!$B:$B, $C4248), _xlfn.XLOOKUP($A4249, 'Instrument Table'!$H:$H, 'Instrument Table'!$B:$B, $C4248)))</f>
        <v>Clarinet</v>
      </c>
      <c r="D4249" s="1" t="str">
        <f>VLOOKUP($C4249, 'Instrument Table'!$B:$C, 2, FALSE)</f>
        <v>Woodwinds</v>
      </c>
      <c r="E4249" s="1">
        <f t="shared" si="396"/>
        <v>2</v>
      </c>
      <c r="F4249" s="1">
        <f>_xlfn.XLOOKUP($C4249, 'Instrument Table'!$B:$B, 'Instrument Table'!$A:$A, "")</f>
        <v>30</v>
      </c>
      <c r="G4249" s="1" t="str">
        <f>TEXT(IF($B4249 = "Retail Item", IF((ROW($A4249) - 4504 - _xlfn.XMATCH($C4249, $C$4506:$C$5005, 0, 1)) &lt;= VLOOKUP($C4249, 'Instrument Table'!$B:$D, 3, FALSE), ROW($A4249) - 4504 - _xlfn.XMATCH($C4249, $C$4506:$C$5005, 0, 1), 0), 0), "00")</f>
        <v>00</v>
      </c>
      <c r="H4249" s="1" t="str">
        <f t="shared" si="397"/>
        <v>013</v>
      </c>
      <c r="I4249" s="1" t="str">
        <f t="shared" si="398"/>
        <v>23000-013</v>
      </c>
      <c r="J4249" s="1" t="str">
        <f t="shared" si="399"/>
        <v>Clarinet service item #013</v>
      </c>
      <c r="K4249" s="1" t="str">
        <f>IF(SUM(COUNTIFS(I:I, I4249)) &gt; 1, "DUPLICATE", "UNIQUE")</f>
        <v>UNIQUE</v>
      </c>
      <c r="L4249" s="18">
        <v>9</v>
      </c>
      <c r="M4249" s="28">
        <v>751</v>
      </c>
      <c r="N4249" s="6">
        <v>8</v>
      </c>
      <c r="O4249" s="30">
        <f t="shared" si="400"/>
        <v>6759</v>
      </c>
      <c r="P4249" s="30">
        <f t="shared" si="401"/>
        <v>6008</v>
      </c>
      <c r="Q4249" s="1">
        <f>COUNTIFS($P:$P, "&gt;" &amp; $P4249) + 1</f>
        <v>2262</v>
      </c>
      <c r="R4249" s="63">
        <f>(COUNTIFS($P:$P, "&gt;" &amp; $P4249) + 1) / (COUNTA($I:$I) - 1)</f>
        <v>0.45240000000000002</v>
      </c>
      <c r="S4249" s="23">
        <f>SUMIFS($P:$P, $Q:$Q, "&lt;" &amp; $Q4249)</f>
        <v>181839842</v>
      </c>
    </row>
    <row r="4250" spans="1:19" x14ac:dyDescent="0.25">
      <c r="A4250" s="1">
        <v>4245</v>
      </c>
      <c r="B4250" s="1" t="s">
        <v>3</v>
      </c>
      <c r="C4250" s="1" t="str">
        <f>IF($B4250 = "Production Item", _xlfn.XLOOKUP($A4250, 'Instrument Table'!$J:$J, 'Instrument Table'!$B:$B, $C4249), IF($B4250 = "Service Item", _xlfn.XLOOKUP($A4250, 'Instrument Table'!$I:$I, 'Instrument Table'!$B:$B, $C4249), _xlfn.XLOOKUP($A4250, 'Instrument Table'!$H:$H, 'Instrument Table'!$B:$B, $C4249)))</f>
        <v>Clarinet</v>
      </c>
      <c r="D4250" s="1" t="str">
        <f>VLOOKUP($C4250, 'Instrument Table'!$B:$C, 2, FALSE)</f>
        <v>Woodwinds</v>
      </c>
      <c r="E4250" s="1">
        <f t="shared" si="396"/>
        <v>2</v>
      </c>
      <c r="F4250" s="1">
        <f>_xlfn.XLOOKUP($C4250, 'Instrument Table'!$B:$B, 'Instrument Table'!$A:$A, "")</f>
        <v>30</v>
      </c>
      <c r="G4250" s="1" t="str">
        <f>TEXT(IF($B4250 = "Retail Item", IF((ROW($A4250) - 4504 - _xlfn.XMATCH($C4250, $C$4506:$C$5005, 0, 1)) &lt;= VLOOKUP($C4250, 'Instrument Table'!$B:$D, 3, FALSE), ROW($A4250) - 4504 - _xlfn.XMATCH($C4250, $C$4506:$C$5005, 0, 1), 0), 0), "00")</f>
        <v>00</v>
      </c>
      <c r="H4250" s="1" t="str">
        <f t="shared" si="397"/>
        <v>014</v>
      </c>
      <c r="I4250" s="1" t="str">
        <f t="shared" si="398"/>
        <v>23000-014</v>
      </c>
      <c r="J4250" s="1" t="str">
        <f t="shared" si="399"/>
        <v>Clarinet service item #014</v>
      </c>
      <c r="K4250" s="1" t="str">
        <f>IF(SUM(COUNTIFS(I:I, I4250)) &gt; 1, "DUPLICATE", "UNIQUE")</f>
        <v>UNIQUE</v>
      </c>
      <c r="L4250" s="18">
        <v>10</v>
      </c>
      <c r="M4250" s="28">
        <v>697</v>
      </c>
      <c r="N4250" s="6">
        <v>8</v>
      </c>
      <c r="O4250" s="30">
        <f t="shared" si="400"/>
        <v>6970</v>
      </c>
      <c r="P4250" s="30">
        <f t="shared" si="401"/>
        <v>5576</v>
      </c>
      <c r="Q4250" s="1">
        <f>COUNTIFS($P:$P, "&gt;" &amp; $P4250) + 1</f>
        <v>2342</v>
      </c>
      <c r="R4250" s="63">
        <f>(COUNTIFS($P:$P, "&gt;" &amp; $P4250) + 1) / (COUNTA($I:$I) - 1)</f>
        <v>0.46839999999999998</v>
      </c>
      <c r="S4250" s="23">
        <f>SUMIFS($P:$P, $Q:$Q, "&lt;" &amp; $Q4250)</f>
        <v>182303241</v>
      </c>
    </row>
    <row r="4251" spans="1:19" x14ac:dyDescent="0.25">
      <c r="A4251" s="1">
        <v>4246</v>
      </c>
      <c r="B4251" s="1" t="s">
        <v>3</v>
      </c>
      <c r="C4251" s="1" t="str">
        <f>IF($B4251 = "Production Item", _xlfn.XLOOKUP($A4251, 'Instrument Table'!$J:$J, 'Instrument Table'!$B:$B, $C4250), IF($B4251 = "Service Item", _xlfn.XLOOKUP($A4251, 'Instrument Table'!$I:$I, 'Instrument Table'!$B:$B, $C4250), _xlfn.XLOOKUP($A4251, 'Instrument Table'!$H:$H, 'Instrument Table'!$B:$B, $C4250)))</f>
        <v>Clarinet</v>
      </c>
      <c r="D4251" s="1" t="str">
        <f>VLOOKUP($C4251, 'Instrument Table'!$B:$C, 2, FALSE)</f>
        <v>Woodwinds</v>
      </c>
      <c r="E4251" s="1">
        <f t="shared" si="396"/>
        <v>2</v>
      </c>
      <c r="F4251" s="1">
        <f>_xlfn.XLOOKUP($C4251, 'Instrument Table'!$B:$B, 'Instrument Table'!$A:$A, "")</f>
        <v>30</v>
      </c>
      <c r="G4251" s="1" t="str">
        <f>TEXT(IF($B4251 = "Retail Item", IF((ROW($A4251) - 4504 - _xlfn.XMATCH($C4251, $C$4506:$C$5005, 0, 1)) &lt;= VLOOKUP($C4251, 'Instrument Table'!$B:$D, 3, FALSE), ROW($A4251) - 4504 - _xlfn.XMATCH($C4251, $C$4506:$C$5005, 0, 1), 0), 0), "00")</f>
        <v>00</v>
      </c>
      <c r="H4251" s="1" t="str">
        <f t="shared" si="397"/>
        <v>015</v>
      </c>
      <c r="I4251" s="1" t="str">
        <f t="shared" si="398"/>
        <v>23000-015</v>
      </c>
      <c r="J4251" s="1" t="str">
        <f t="shared" si="399"/>
        <v>Clarinet service item #015</v>
      </c>
      <c r="K4251" s="1" t="str">
        <f>IF(SUM(COUNTIFS(I:I, I4251)) &gt; 1, "DUPLICATE", "UNIQUE")</f>
        <v>UNIQUE</v>
      </c>
      <c r="L4251" s="18">
        <v>8</v>
      </c>
      <c r="M4251" s="28">
        <v>503</v>
      </c>
      <c r="N4251" s="6">
        <v>64</v>
      </c>
      <c r="O4251" s="30">
        <f t="shared" si="400"/>
        <v>4024</v>
      </c>
      <c r="P4251" s="30">
        <f t="shared" si="401"/>
        <v>32192</v>
      </c>
      <c r="Q4251" s="1">
        <f>COUNTIFS($P:$P, "&gt;" &amp; $P4251) + 1</f>
        <v>643</v>
      </c>
      <c r="R4251" s="63">
        <f>(COUNTIFS($P:$P, "&gt;" &amp; $P4251) + 1) / (COUNTA($I:$I) - 1)</f>
        <v>0.12859999999999999</v>
      </c>
      <c r="S4251" s="23">
        <f>SUMIFS($P:$P, $Q:$Q, "&lt;" &amp; $Q4251)</f>
        <v>157320848</v>
      </c>
    </row>
    <row r="4252" spans="1:19" x14ac:dyDescent="0.25">
      <c r="A4252" s="1">
        <v>4247</v>
      </c>
      <c r="B4252" s="1" t="s">
        <v>3</v>
      </c>
      <c r="C4252" s="1" t="str">
        <f>IF($B4252 = "Production Item", _xlfn.XLOOKUP($A4252, 'Instrument Table'!$J:$J, 'Instrument Table'!$B:$B, $C4251), IF($B4252 = "Service Item", _xlfn.XLOOKUP($A4252, 'Instrument Table'!$I:$I, 'Instrument Table'!$B:$B, $C4251), _xlfn.XLOOKUP($A4252, 'Instrument Table'!$H:$H, 'Instrument Table'!$B:$B, $C4251)))</f>
        <v>Clarinet</v>
      </c>
      <c r="D4252" s="1" t="str">
        <f>VLOOKUP($C4252, 'Instrument Table'!$B:$C, 2, FALSE)</f>
        <v>Woodwinds</v>
      </c>
      <c r="E4252" s="1">
        <f t="shared" si="396"/>
        <v>2</v>
      </c>
      <c r="F4252" s="1">
        <f>_xlfn.XLOOKUP($C4252, 'Instrument Table'!$B:$B, 'Instrument Table'!$A:$A, "")</f>
        <v>30</v>
      </c>
      <c r="G4252" s="1" t="str">
        <f>TEXT(IF($B4252 = "Retail Item", IF((ROW($A4252) - 4504 - _xlfn.XMATCH($C4252, $C$4506:$C$5005, 0, 1)) &lt;= VLOOKUP($C4252, 'Instrument Table'!$B:$D, 3, FALSE), ROW($A4252) - 4504 - _xlfn.XMATCH($C4252, $C$4506:$C$5005, 0, 1), 0), 0), "00")</f>
        <v>00</v>
      </c>
      <c r="H4252" s="1" t="str">
        <f t="shared" si="397"/>
        <v>016</v>
      </c>
      <c r="I4252" s="1" t="str">
        <f t="shared" si="398"/>
        <v>23000-016</v>
      </c>
      <c r="J4252" s="1" t="str">
        <f t="shared" si="399"/>
        <v>Clarinet service item #016</v>
      </c>
      <c r="K4252" s="1" t="str">
        <f>IF(SUM(COUNTIFS(I:I, I4252)) &gt; 1, "DUPLICATE", "UNIQUE")</f>
        <v>UNIQUE</v>
      </c>
      <c r="L4252" s="18">
        <v>6</v>
      </c>
      <c r="M4252" s="28">
        <v>228</v>
      </c>
      <c r="N4252" s="6">
        <v>0</v>
      </c>
      <c r="O4252" s="30">
        <f t="shared" si="400"/>
        <v>1368</v>
      </c>
      <c r="P4252" s="30">
        <f t="shared" si="401"/>
        <v>0</v>
      </c>
      <c r="Q4252" s="1">
        <f>COUNTIFS($P:$P, "&gt;" &amp; $P4252) + 1</f>
        <v>4746</v>
      </c>
      <c r="R4252" s="63">
        <f>(COUNTIFS($P:$P, "&gt;" &amp; $P4252) + 1) / (COUNTA($I:$I) - 1)</f>
        <v>0.94920000000000004</v>
      </c>
      <c r="S4252" s="23">
        <f>SUMIFS($P:$P, $Q:$Q, "&lt;" &amp; $Q4252)</f>
        <v>186547861</v>
      </c>
    </row>
    <row r="4253" spans="1:19" x14ac:dyDescent="0.25">
      <c r="A4253" s="1">
        <v>4248</v>
      </c>
      <c r="B4253" s="1" t="s">
        <v>3</v>
      </c>
      <c r="C4253" s="1" t="str">
        <f>IF($B4253 = "Production Item", _xlfn.XLOOKUP($A4253, 'Instrument Table'!$J:$J, 'Instrument Table'!$B:$B, $C4252), IF($B4253 = "Service Item", _xlfn.XLOOKUP($A4253, 'Instrument Table'!$I:$I, 'Instrument Table'!$B:$B, $C4252), _xlfn.XLOOKUP($A4253, 'Instrument Table'!$H:$H, 'Instrument Table'!$B:$B, $C4252)))</f>
        <v>Clarinet</v>
      </c>
      <c r="D4253" s="1" t="str">
        <f>VLOOKUP($C4253, 'Instrument Table'!$B:$C, 2, FALSE)</f>
        <v>Woodwinds</v>
      </c>
      <c r="E4253" s="1">
        <f t="shared" si="396"/>
        <v>2</v>
      </c>
      <c r="F4253" s="1">
        <f>_xlfn.XLOOKUP($C4253, 'Instrument Table'!$B:$B, 'Instrument Table'!$A:$A, "")</f>
        <v>30</v>
      </c>
      <c r="G4253" s="1" t="str">
        <f>TEXT(IF($B4253 = "Retail Item", IF((ROW($A4253) - 4504 - _xlfn.XMATCH($C4253, $C$4506:$C$5005, 0, 1)) &lt;= VLOOKUP($C4253, 'Instrument Table'!$B:$D, 3, FALSE), ROW($A4253) - 4504 - _xlfn.XMATCH($C4253, $C$4506:$C$5005, 0, 1), 0), 0), "00")</f>
        <v>00</v>
      </c>
      <c r="H4253" s="1" t="str">
        <f t="shared" si="397"/>
        <v>017</v>
      </c>
      <c r="I4253" s="1" t="str">
        <f t="shared" si="398"/>
        <v>23000-017</v>
      </c>
      <c r="J4253" s="1" t="str">
        <f t="shared" si="399"/>
        <v>Clarinet service item #017</v>
      </c>
      <c r="K4253" s="1" t="str">
        <f>IF(SUM(COUNTIFS(I:I, I4253)) &gt; 1, "DUPLICATE", "UNIQUE")</f>
        <v>UNIQUE</v>
      </c>
      <c r="L4253" s="18">
        <v>3</v>
      </c>
      <c r="M4253" s="28">
        <v>800</v>
      </c>
      <c r="N4253" s="6">
        <v>125</v>
      </c>
      <c r="O4253" s="30">
        <f t="shared" si="400"/>
        <v>2400</v>
      </c>
      <c r="P4253" s="30">
        <f t="shared" si="401"/>
        <v>100000</v>
      </c>
      <c r="Q4253" s="1">
        <f>COUNTIFS($P:$P, "&gt;" &amp; $P4253) + 1</f>
        <v>410</v>
      </c>
      <c r="R4253" s="63">
        <f>(COUNTIFS($P:$P, "&gt;" &amp; $P4253) + 1) / (COUNTA($I:$I) - 1)</f>
        <v>8.2000000000000003E-2</v>
      </c>
      <c r="S4253" s="23">
        <f>SUMIFS($P:$P, $Q:$Q, "&lt;" &amp; $Q4253)</f>
        <v>144460364</v>
      </c>
    </row>
    <row r="4254" spans="1:19" x14ac:dyDescent="0.25">
      <c r="A4254" s="1">
        <v>4249</v>
      </c>
      <c r="B4254" s="1" t="s">
        <v>3</v>
      </c>
      <c r="C4254" s="1" t="str">
        <f>IF($B4254 = "Production Item", _xlfn.XLOOKUP($A4254, 'Instrument Table'!$J:$J, 'Instrument Table'!$B:$B, $C4253), IF($B4254 = "Service Item", _xlfn.XLOOKUP($A4254, 'Instrument Table'!$I:$I, 'Instrument Table'!$B:$B, $C4253), _xlfn.XLOOKUP($A4254, 'Instrument Table'!$H:$H, 'Instrument Table'!$B:$B, $C4253)))</f>
        <v>Clarinet</v>
      </c>
      <c r="D4254" s="1" t="str">
        <f>VLOOKUP($C4254, 'Instrument Table'!$B:$C, 2, FALSE)</f>
        <v>Woodwinds</v>
      </c>
      <c r="E4254" s="1">
        <f t="shared" si="396"/>
        <v>2</v>
      </c>
      <c r="F4254" s="1">
        <f>_xlfn.XLOOKUP($C4254, 'Instrument Table'!$B:$B, 'Instrument Table'!$A:$A, "")</f>
        <v>30</v>
      </c>
      <c r="G4254" s="1" t="str">
        <f>TEXT(IF($B4254 = "Retail Item", IF((ROW($A4254) - 4504 - _xlfn.XMATCH($C4254, $C$4506:$C$5005, 0, 1)) &lt;= VLOOKUP($C4254, 'Instrument Table'!$B:$D, 3, FALSE), ROW($A4254) - 4504 - _xlfn.XMATCH($C4254, $C$4506:$C$5005, 0, 1), 0), 0), "00")</f>
        <v>00</v>
      </c>
      <c r="H4254" s="1" t="str">
        <f t="shared" si="397"/>
        <v>018</v>
      </c>
      <c r="I4254" s="1" t="str">
        <f t="shared" si="398"/>
        <v>23000-018</v>
      </c>
      <c r="J4254" s="1" t="str">
        <f t="shared" si="399"/>
        <v>Clarinet service item #018</v>
      </c>
      <c r="K4254" s="1" t="str">
        <f>IF(SUM(COUNTIFS(I:I, I4254)) &gt; 1, "DUPLICATE", "UNIQUE")</f>
        <v>UNIQUE</v>
      </c>
      <c r="L4254" s="18">
        <v>1</v>
      </c>
      <c r="M4254" s="28">
        <v>159</v>
      </c>
      <c r="N4254" s="6">
        <v>27</v>
      </c>
      <c r="O4254" s="30">
        <f t="shared" si="400"/>
        <v>159</v>
      </c>
      <c r="P4254" s="30">
        <f t="shared" si="401"/>
        <v>4293</v>
      </c>
      <c r="Q4254" s="1">
        <f>COUNTIFS($P:$P, "&gt;" &amp; $P4254) + 1</f>
        <v>2589</v>
      </c>
      <c r="R4254" s="63">
        <f>(COUNTIFS($P:$P, "&gt;" &amp; $P4254) + 1) / (COUNTA($I:$I) - 1)</f>
        <v>0.51780000000000004</v>
      </c>
      <c r="S4254" s="23">
        <f>SUMIFS($P:$P, $Q:$Q, "&lt;" &amp; $Q4254)</f>
        <v>183516338</v>
      </c>
    </row>
    <row r="4255" spans="1:19" x14ac:dyDescent="0.25">
      <c r="A4255" s="1">
        <v>4250</v>
      </c>
      <c r="B4255" s="1" t="s">
        <v>3</v>
      </c>
      <c r="C4255" s="1" t="str">
        <f>IF($B4255 = "Production Item", _xlfn.XLOOKUP($A4255, 'Instrument Table'!$J:$J, 'Instrument Table'!$B:$B, $C4254), IF($B4255 = "Service Item", _xlfn.XLOOKUP($A4255, 'Instrument Table'!$I:$I, 'Instrument Table'!$B:$B, $C4254), _xlfn.XLOOKUP($A4255, 'Instrument Table'!$H:$H, 'Instrument Table'!$B:$B, $C4254)))</f>
        <v>Clarinet</v>
      </c>
      <c r="D4255" s="1" t="str">
        <f>VLOOKUP($C4255, 'Instrument Table'!$B:$C, 2, FALSE)</f>
        <v>Woodwinds</v>
      </c>
      <c r="E4255" s="1">
        <f t="shared" si="396"/>
        <v>2</v>
      </c>
      <c r="F4255" s="1">
        <f>_xlfn.XLOOKUP($C4255, 'Instrument Table'!$B:$B, 'Instrument Table'!$A:$A, "")</f>
        <v>30</v>
      </c>
      <c r="G4255" s="1" t="str">
        <f>TEXT(IF($B4255 = "Retail Item", IF((ROW($A4255) - 4504 - _xlfn.XMATCH($C4255, $C$4506:$C$5005, 0, 1)) &lt;= VLOOKUP($C4255, 'Instrument Table'!$B:$D, 3, FALSE), ROW($A4255) - 4504 - _xlfn.XMATCH($C4255, $C$4506:$C$5005, 0, 1), 0), 0), "00")</f>
        <v>00</v>
      </c>
      <c r="H4255" s="1" t="str">
        <f t="shared" si="397"/>
        <v>019</v>
      </c>
      <c r="I4255" s="1" t="str">
        <f t="shared" si="398"/>
        <v>23000-019</v>
      </c>
      <c r="J4255" s="1" t="str">
        <f t="shared" si="399"/>
        <v>Clarinet service item #019</v>
      </c>
      <c r="K4255" s="1" t="str">
        <f>IF(SUM(COUNTIFS(I:I, I4255)) &gt; 1, "DUPLICATE", "UNIQUE")</f>
        <v>UNIQUE</v>
      </c>
      <c r="L4255" s="18">
        <v>9</v>
      </c>
      <c r="M4255" s="28">
        <v>64</v>
      </c>
      <c r="N4255" s="6">
        <v>8</v>
      </c>
      <c r="O4255" s="30">
        <f t="shared" si="400"/>
        <v>576</v>
      </c>
      <c r="P4255" s="30">
        <f t="shared" si="401"/>
        <v>512</v>
      </c>
      <c r="Q4255" s="1">
        <f>COUNTIFS($P:$P, "&gt;" &amp; $P4255) + 1</f>
        <v>4012</v>
      </c>
      <c r="R4255" s="63">
        <f>(COUNTIFS($P:$P, "&gt;" &amp; $P4255) + 1) / (COUNTA($I:$I) - 1)</f>
        <v>0.8024</v>
      </c>
      <c r="S4255" s="23">
        <f>SUMIFS($P:$P, $Q:$Q, "&lt;" &amp; $Q4255)</f>
        <v>186404530</v>
      </c>
    </row>
    <row r="4256" spans="1:19" x14ac:dyDescent="0.25">
      <c r="A4256" s="1">
        <v>4251</v>
      </c>
      <c r="B4256" s="1" t="s">
        <v>3</v>
      </c>
      <c r="C4256" s="1" t="str">
        <f>IF($B4256 = "Production Item", _xlfn.XLOOKUP($A4256, 'Instrument Table'!$J:$J, 'Instrument Table'!$B:$B, $C4255), IF($B4256 = "Service Item", _xlfn.XLOOKUP($A4256, 'Instrument Table'!$I:$I, 'Instrument Table'!$B:$B, $C4255), _xlfn.XLOOKUP($A4256, 'Instrument Table'!$H:$H, 'Instrument Table'!$B:$B, $C4255)))</f>
        <v>Clarinet</v>
      </c>
      <c r="D4256" s="1" t="str">
        <f>VLOOKUP($C4256, 'Instrument Table'!$B:$C, 2, FALSE)</f>
        <v>Woodwinds</v>
      </c>
      <c r="E4256" s="1">
        <f t="shared" si="396"/>
        <v>2</v>
      </c>
      <c r="F4256" s="1">
        <f>_xlfn.XLOOKUP($C4256, 'Instrument Table'!$B:$B, 'Instrument Table'!$A:$A, "")</f>
        <v>30</v>
      </c>
      <c r="G4256" s="1" t="str">
        <f>TEXT(IF($B4256 = "Retail Item", IF((ROW($A4256) - 4504 - _xlfn.XMATCH($C4256, $C$4506:$C$5005, 0, 1)) &lt;= VLOOKUP($C4256, 'Instrument Table'!$B:$D, 3, FALSE), ROW($A4256) - 4504 - _xlfn.XMATCH($C4256, $C$4506:$C$5005, 0, 1), 0), 0), "00")</f>
        <v>00</v>
      </c>
      <c r="H4256" s="1" t="str">
        <f t="shared" si="397"/>
        <v>020</v>
      </c>
      <c r="I4256" s="1" t="str">
        <f t="shared" si="398"/>
        <v>23000-020</v>
      </c>
      <c r="J4256" s="1" t="str">
        <f t="shared" si="399"/>
        <v>Clarinet service item #020</v>
      </c>
      <c r="K4256" s="1" t="str">
        <f>IF(SUM(COUNTIFS(I:I, I4256)) &gt; 1, "DUPLICATE", "UNIQUE")</f>
        <v>UNIQUE</v>
      </c>
      <c r="L4256" s="18">
        <v>7</v>
      </c>
      <c r="M4256" s="28">
        <v>18</v>
      </c>
      <c r="N4256" s="6">
        <v>8</v>
      </c>
      <c r="O4256" s="30">
        <f t="shared" si="400"/>
        <v>126</v>
      </c>
      <c r="P4256" s="30">
        <f t="shared" si="401"/>
        <v>144</v>
      </c>
      <c r="Q4256" s="1">
        <f>COUNTIFS($P:$P, "&gt;" &amp; $P4256) + 1</f>
        <v>4399</v>
      </c>
      <c r="R4256" s="63">
        <f>(COUNTIFS($P:$P, "&gt;" &amp; $P4256) + 1) / (COUNTA($I:$I) - 1)</f>
        <v>0.87980000000000003</v>
      </c>
      <c r="S4256" s="23">
        <f>SUMIFS($P:$P, $Q:$Q, "&lt;" &amp; $Q4256)</f>
        <v>186525866</v>
      </c>
    </row>
    <row r="4257" spans="1:19" x14ac:dyDescent="0.25">
      <c r="A4257" s="1">
        <v>4252</v>
      </c>
      <c r="B4257" s="1" t="s">
        <v>3</v>
      </c>
      <c r="C4257" s="1" t="str">
        <f>IF($B4257 = "Production Item", _xlfn.XLOOKUP($A4257, 'Instrument Table'!$J:$J, 'Instrument Table'!$B:$B, $C4256), IF($B4257 = "Service Item", _xlfn.XLOOKUP($A4257, 'Instrument Table'!$I:$I, 'Instrument Table'!$B:$B, $C4256), _xlfn.XLOOKUP($A4257, 'Instrument Table'!$H:$H, 'Instrument Table'!$B:$B, $C4256)))</f>
        <v>Clarinet</v>
      </c>
      <c r="D4257" s="1" t="str">
        <f>VLOOKUP($C4257, 'Instrument Table'!$B:$C, 2, FALSE)</f>
        <v>Woodwinds</v>
      </c>
      <c r="E4257" s="1">
        <f t="shared" si="396"/>
        <v>2</v>
      </c>
      <c r="F4257" s="1">
        <f>_xlfn.XLOOKUP($C4257, 'Instrument Table'!$B:$B, 'Instrument Table'!$A:$A, "")</f>
        <v>30</v>
      </c>
      <c r="G4257" s="1" t="str">
        <f>TEXT(IF($B4257 = "Retail Item", IF((ROW($A4257) - 4504 - _xlfn.XMATCH($C4257, $C$4506:$C$5005, 0, 1)) &lt;= VLOOKUP($C4257, 'Instrument Table'!$B:$D, 3, FALSE), ROW($A4257) - 4504 - _xlfn.XMATCH($C4257, $C$4506:$C$5005, 0, 1), 0), 0), "00")</f>
        <v>00</v>
      </c>
      <c r="H4257" s="1" t="str">
        <f t="shared" si="397"/>
        <v>021</v>
      </c>
      <c r="I4257" s="1" t="str">
        <f t="shared" si="398"/>
        <v>23000-021</v>
      </c>
      <c r="J4257" s="1" t="str">
        <f t="shared" si="399"/>
        <v>Clarinet service item #021</v>
      </c>
      <c r="K4257" s="1" t="str">
        <f>IF(SUM(COUNTIFS(I:I, I4257)) &gt; 1, "DUPLICATE", "UNIQUE")</f>
        <v>UNIQUE</v>
      </c>
      <c r="L4257" s="18">
        <v>5</v>
      </c>
      <c r="M4257" s="28">
        <v>974</v>
      </c>
      <c r="N4257" s="6">
        <v>8</v>
      </c>
      <c r="O4257" s="30">
        <f t="shared" si="400"/>
        <v>4870</v>
      </c>
      <c r="P4257" s="30">
        <f t="shared" si="401"/>
        <v>7792</v>
      </c>
      <c r="Q4257" s="1">
        <f>COUNTIFS($P:$P, "&gt;" &amp; $P4257) + 1</f>
        <v>2018</v>
      </c>
      <c r="R4257" s="63">
        <f>(COUNTIFS($P:$P, "&gt;" &amp; $P4257) + 1) / (COUNTA($I:$I) - 1)</f>
        <v>0.40360000000000001</v>
      </c>
      <c r="S4257" s="23">
        <f>SUMIFS($P:$P, $Q:$Q, "&lt;" &amp; $Q4257)</f>
        <v>180137829</v>
      </c>
    </row>
    <row r="4258" spans="1:19" x14ac:dyDescent="0.25">
      <c r="A4258" s="1">
        <v>4253</v>
      </c>
      <c r="B4258" s="1" t="s">
        <v>3</v>
      </c>
      <c r="C4258" s="1" t="str">
        <f>IF($B4258 = "Production Item", _xlfn.XLOOKUP($A4258, 'Instrument Table'!$J:$J, 'Instrument Table'!$B:$B, $C4257), IF($B4258 = "Service Item", _xlfn.XLOOKUP($A4258, 'Instrument Table'!$I:$I, 'Instrument Table'!$B:$B, $C4257), _xlfn.XLOOKUP($A4258, 'Instrument Table'!$H:$H, 'Instrument Table'!$B:$B, $C4257)))</f>
        <v>Clarinet</v>
      </c>
      <c r="D4258" s="1" t="str">
        <f>VLOOKUP($C4258, 'Instrument Table'!$B:$C, 2, FALSE)</f>
        <v>Woodwinds</v>
      </c>
      <c r="E4258" s="1">
        <f t="shared" si="396"/>
        <v>2</v>
      </c>
      <c r="F4258" s="1">
        <f>_xlfn.XLOOKUP($C4258, 'Instrument Table'!$B:$B, 'Instrument Table'!$A:$A, "")</f>
        <v>30</v>
      </c>
      <c r="G4258" s="1" t="str">
        <f>TEXT(IF($B4258 = "Retail Item", IF((ROW($A4258) - 4504 - _xlfn.XMATCH($C4258, $C$4506:$C$5005, 0, 1)) &lt;= VLOOKUP($C4258, 'Instrument Table'!$B:$D, 3, FALSE), ROW($A4258) - 4504 - _xlfn.XMATCH($C4258, $C$4506:$C$5005, 0, 1), 0), 0), "00")</f>
        <v>00</v>
      </c>
      <c r="H4258" s="1" t="str">
        <f t="shared" si="397"/>
        <v>022</v>
      </c>
      <c r="I4258" s="1" t="str">
        <f t="shared" si="398"/>
        <v>23000-022</v>
      </c>
      <c r="J4258" s="1" t="str">
        <f t="shared" si="399"/>
        <v>Clarinet service item #022</v>
      </c>
      <c r="K4258" s="1" t="str">
        <f>IF(SUM(COUNTIFS(I:I, I4258)) &gt; 1, "DUPLICATE", "UNIQUE")</f>
        <v>UNIQUE</v>
      </c>
      <c r="L4258" s="18">
        <v>0</v>
      </c>
      <c r="M4258" s="28">
        <v>565</v>
      </c>
      <c r="N4258" s="6">
        <v>64</v>
      </c>
      <c r="O4258" s="30">
        <f t="shared" si="400"/>
        <v>0</v>
      </c>
      <c r="P4258" s="30">
        <f t="shared" si="401"/>
        <v>36160</v>
      </c>
      <c r="Q4258" s="1">
        <f>COUNTIFS($P:$P, "&gt;" &amp; $P4258) + 1</f>
        <v>586</v>
      </c>
      <c r="R4258" s="63">
        <f>(COUNTIFS($P:$P, "&gt;" &amp; $P4258) + 1) / (COUNTA($I:$I) - 1)</f>
        <v>0.1172</v>
      </c>
      <c r="S4258" s="23">
        <f>SUMIFS($P:$P, $Q:$Q, "&lt;" &amp; $Q4258)</f>
        <v>155368109</v>
      </c>
    </row>
    <row r="4259" spans="1:19" x14ac:dyDescent="0.25">
      <c r="A4259" s="1">
        <v>4254</v>
      </c>
      <c r="B4259" s="1" t="s">
        <v>3</v>
      </c>
      <c r="C4259" s="1" t="str">
        <f>IF($B4259 = "Production Item", _xlfn.XLOOKUP($A4259, 'Instrument Table'!$J:$J, 'Instrument Table'!$B:$B, $C4258), IF($B4259 = "Service Item", _xlfn.XLOOKUP($A4259, 'Instrument Table'!$I:$I, 'Instrument Table'!$B:$B, $C4258), _xlfn.XLOOKUP($A4259, 'Instrument Table'!$H:$H, 'Instrument Table'!$B:$B, $C4258)))</f>
        <v>Clarinet</v>
      </c>
      <c r="D4259" s="1" t="str">
        <f>VLOOKUP($C4259, 'Instrument Table'!$B:$C, 2, FALSE)</f>
        <v>Woodwinds</v>
      </c>
      <c r="E4259" s="1">
        <f t="shared" si="396"/>
        <v>2</v>
      </c>
      <c r="F4259" s="1">
        <f>_xlfn.XLOOKUP($C4259, 'Instrument Table'!$B:$B, 'Instrument Table'!$A:$A, "")</f>
        <v>30</v>
      </c>
      <c r="G4259" s="1" t="str">
        <f>TEXT(IF($B4259 = "Retail Item", IF((ROW($A4259) - 4504 - _xlfn.XMATCH($C4259, $C$4506:$C$5005, 0, 1)) &lt;= VLOOKUP($C4259, 'Instrument Table'!$B:$D, 3, FALSE), ROW($A4259) - 4504 - _xlfn.XMATCH($C4259, $C$4506:$C$5005, 0, 1), 0), 0), "00")</f>
        <v>00</v>
      </c>
      <c r="H4259" s="1" t="str">
        <f t="shared" si="397"/>
        <v>023</v>
      </c>
      <c r="I4259" s="1" t="str">
        <f t="shared" si="398"/>
        <v>23000-023</v>
      </c>
      <c r="J4259" s="1" t="str">
        <f t="shared" si="399"/>
        <v>Clarinet service item #023</v>
      </c>
      <c r="K4259" s="1" t="str">
        <f>IF(SUM(COUNTIFS(I:I, I4259)) &gt; 1, "DUPLICATE", "UNIQUE")</f>
        <v>UNIQUE</v>
      </c>
      <c r="L4259" s="18">
        <v>4</v>
      </c>
      <c r="M4259" s="28">
        <v>217</v>
      </c>
      <c r="N4259" s="6">
        <v>0</v>
      </c>
      <c r="O4259" s="30">
        <f t="shared" si="400"/>
        <v>868</v>
      </c>
      <c r="P4259" s="30">
        <f t="shared" si="401"/>
        <v>0</v>
      </c>
      <c r="Q4259" s="1">
        <f>COUNTIFS($P:$P, "&gt;" &amp; $P4259) + 1</f>
        <v>4746</v>
      </c>
      <c r="R4259" s="63">
        <f>(COUNTIFS($P:$P, "&gt;" &amp; $P4259) + 1) / (COUNTA($I:$I) - 1)</f>
        <v>0.94920000000000004</v>
      </c>
      <c r="S4259" s="23">
        <f>SUMIFS($P:$P, $Q:$Q, "&lt;" &amp; $Q4259)</f>
        <v>186547861</v>
      </c>
    </row>
    <row r="4260" spans="1:19" x14ac:dyDescent="0.25">
      <c r="A4260" s="1">
        <v>4255</v>
      </c>
      <c r="B4260" s="1" t="s">
        <v>3</v>
      </c>
      <c r="C4260" s="1" t="str">
        <f>IF($B4260 = "Production Item", _xlfn.XLOOKUP($A4260, 'Instrument Table'!$J:$J, 'Instrument Table'!$B:$B, $C4259), IF($B4260 = "Service Item", _xlfn.XLOOKUP($A4260, 'Instrument Table'!$I:$I, 'Instrument Table'!$B:$B, $C4259), _xlfn.XLOOKUP($A4260, 'Instrument Table'!$H:$H, 'Instrument Table'!$B:$B, $C4259)))</f>
        <v>Clarinet</v>
      </c>
      <c r="D4260" s="1" t="str">
        <f>VLOOKUP($C4260, 'Instrument Table'!$B:$C, 2, FALSE)</f>
        <v>Woodwinds</v>
      </c>
      <c r="E4260" s="1">
        <f t="shared" si="396"/>
        <v>2</v>
      </c>
      <c r="F4260" s="1">
        <f>_xlfn.XLOOKUP($C4260, 'Instrument Table'!$B:$B, 'Instrument Table'!$A:$A, "")</f>
        <v>30</v>
      </c>
      <c r="G4260" s="1" t="str">
        <f>TEXT(IF($B4260 = "Retail Item", IF((ROW($A4260) - 4504 - _xlfn.XMATCH($C4260, $C$4506:$C$5005, 0, 1)) &lt;= VLOOKUP($C4260, 'Instrument Table'!$B:$D, 3, FALSE), ROW($A4260) - 4504 - _xlfn.XMATCH($C4260, $C$4506:$C$5005, 0, 1), 0), 0), "00")</f>
        <v>00</v>
      </c>
      <c r="H4260" s="1" t="str">
        <f t="shared" si="397"/>
        <v>024</v>
      </c>
      <c r="I4260" s="1" t="str">
        <f t="shared" si="398"/>
        <v>23000-024</v>
      </c>
      <c r="J4260" s="1" t="str">
        <f t="shared" si="399"/>
        <v>Clarinet service item #024</v>
      </c>
      <c r="K4260" s="1" t="str">
        <f>IF(SUM(COUNTIFS(I:I, I4260)) &gt; 1, "DUPLICATE", "UNIQUE")</f>
        <v>UNIQUE</v>
      </c>
      <c r="L4260" s="18">
        <v>4</v>
      </c>
      <c r="M4260" s="28">
        <v>970</v>
      </c>
      <c r="N4260" s="6">
        <v>0</v>
      </c>
      <c r="O4260" s="30">
        <f t="shared" si="400"/>
        <v>3880</v>
      </c>
      <c r="P4260" s="30">
        <f t="shared" si="401"/>
        <v>0</v>
      </c>
      <c r="Q4260" s="1">
        <f>COUNTIFS($P:$P, "&gt;" &amp; $P4260) + 1</f>
        <v>4746</v>
      </c>
      <c r="R4260" s="63">
        <f>(COUNTIFS($P:$P, "&gt;" &amp; $P4260) + 1) / (COUNTA($I:$I) - 1)</f>
        <v>0.94920000000000004</v>
      </c>
      <c r="S4260" s="23">
        <f>SUMIFS($P:$P, $Q:$Q, "&lt;" &amp; $Q4260)</f>
        <v>186547861</v>
      </c>
    </row>
    <row r="4261" spans="1:19" x14ac:dyDescent="0.25">
      <c r="A4261" s="1">
        <v>4256</v>
      </c>
      <c r="B4261" s="1" t="s">
        <v>3</v>
      </c>
      <c r="C4261" s="1" t="str">
        <f>IF($B4261 = "Production Item", _xlfn.XLOOKUP($A4261, 'Instrument Table'!$J:$J, 'Instrument Table'!$B:$B, $C4260), IF($B4261 = "Service Item", _xlfn.XLOOKUP($A4261, 'Instrument Table'!$I:$I, 'Instrument Table'!$B:$B, $C4260), _xlfn.XLOOKUP($A4261, 'Instrument Table'!$H:$H, 'Instrument Table'!$B:$B, $C4260)))</f>
        <v>Clarinet</v>
      </c>
      <c r="D4261" s="1" t="str">
        <f>VLOOKUP($C4261, 'Instrument Table'!$B:$C, 2, FALSE)</f>
        <v>Woodwinds</v>
      </c>
      <c r="E4261" s="1">
        <f t="shared" si="396"/>
        <v>2</v>
      </c>
      <c r="F4261" s="1">
        <f>_xlfn.XLOOKUP($C4261, 'Instrument Table'!$B:$B, 'Instrument Table'!$A:$A, "")</f>
        <v>30</v>
      </c>
      <c r="G4261" s="1" t="str">
        <f>TEXT(IF($B4261 = "Retail Item", IF((ROW($A4261) - 4504 - _xlfn.XMATCH($C4261, $C$4506:$C$5005, 0, 1)) &lt;= VLOOKUP($C4261, 'Instrument Table'!$B:$D, 3, FALSE), ROW($A4261) - 4504 - _xlfn.XMATCH($C4261, $C$4506:$C$5005, 0, 1), 0), 0), "00")</f>
        <v>00</v>
      </c>
      <c r="H4261" s="1" t="str">
        <f t="shared" si="397"/>
        <v>025</v>
      </c>
      <c r="I4261" s="1" t="str">
        <f t="shared" si="398"/>
        <v>23000-025</v>
      </c>
      <c r="J4261" s="1" t="str">
        <f t="shared" si="399"/>
        <v>Clarinet service item #025</v>
      </c>
      <c r="K4261" s="1" t="str">
        <f>IF(SUM(COUNTIFS(I:I, I4261)) &gt; 1, "DUPLICATE", "UNIQUE")</f>
        <v>UNIQUE</v>
      </c>
      <c r="L4261" s="18">
        <v>5</v>
      </c>
      <c r="M4261" s="28">
        <v>116</v>
      </c>
      <c r="N4261" s="6">
        <v>64</v>
      </c>
      <c r="O4261" s="30">
        <f t="shared" si="400"/>
        <v>580</v>
      </c>
      <c r="P4261" s="30">
        <f t="shared" si="401"/>
        <v>7424</v>
      </c>
      <c r="Q4261" s="1">
        <f>COUNTIFS($P:$P, "&gt;" &amp; $P4261) + 1</f>
        <v>2079</v>
      </c>
      <c r="R4261" s="63">
        <f>(COUNTIFS($P:$P, "&gt;" &amp; $P4261) + 1) / (COUNTA($I:$I) - 1)</f>
        <v>0.4158</v>
      </c>
      <c r="S4261" s="23">
        <f>SUMIFS($P:$P, $Q:$Q, "&lt;" &amp; $Q4261)</f>
        <v>180603977</v>
      </c>
    </row>
    <row r="4262" spans="1:19" x14ac:dyDescent="0.25">
      <c r="A4262" s="1">
        <v>4257</v>
      </c>
      <c r="B4262" s="1" t="s">
        <v>3</v>
      </c>
      <c r="C4262" s="1" t="str">
        <f>IF($B4262 = "Production Item", _xlfn.XLOOKUP($A4262, 'Instrument Table'!$J:$J, 'Instrument Table'!$B:$B, $C4261), IF($B4262 = "Service Item", _xlfn.XLOOKUP($A4262, 'Instrument Table'!$I:$I, 'Instrument Table'!$B:$B, $C4261), _xlfn.XLOOKUP($A4262, 'Instrument Table'!$H:$H, 'Instrument Table'!$B:$B, $C4261)))</f>
        <v>Clarinet</v>
      </c>
      <c r="D4262" s="1" t="str">
        <f>VLOOKUP($C4262, 'Instrument Table'!$B:$C, 2, FALSE)</f>
        <v>Woodwinds</v>
      </c>
      <c r="E4262" s="1">
        <f t="shared" si="396"/>
        <v>2</v>
      </c>
      <c r="F4262" s="1">
        <f>_xlfn.XLOOKUP($C4262, 'Instrument Table'!$B:$B, 'Instrument Table'!$A:$A, "")</f>
        <v>30</v>
      </c>
      <c r="G4262" s="1" t="str">
        <f>TEXT(IF($B4262 = "Retail Item", IF((ROW($A4262) - 4504 - _xlfn.XMATCH($C4262, $C$4506:$C$5005, 0, 1)) &lt;= VLOOKUP($C4262, 'Instrument Table'!$B:$D, 3, FALSE), ROW($A4262) - 4504 - _xlfn.XMATCH($C4262, $C$4506:$C$5005, 0, 1), 0), 0), "00")</f>
        <v>00</v>
      </c>
      <c r="H4262" s="1" t="str">
        <f t="shared" si="397"/>
        <v>026</v>
      </c>
      <c r="I4262" s="1" t="str">
        <f t="shared" si="398"/>
        <v>23000-026</v>
      </c>
      <c r="J4262" s="1" t="str">
        <f t="shared" si="399"/>
        <v>Clarinet service item #026</v>
      </c>
      <c r="K4262" s="1" t="str">
        <f>IF(SUM(COUNTIFS(I:I, I4262)) &gt; 1, "DUPLICATE", "UNIQUE")</f>
        <v>UNIQUE</v>
      </c>
      <c r="L4262" s="18">
        <v>2</v>
      </c>
      <c r="M4262" s="28">
        <v>731</v>
      </c>
      <c r="N4262" s="6">
        <v>8</v>
      </c>
      <c r="O4262" s="30">
        <f t="shared" si="400"/>
        <v>1462</v>
      </c>
      <c r="P4262" s="30">
        <f t="shared" si="401"/>
        <v>5848</v>
      </c>
      <c r="Q4262" s="1">
        <f>COUNTIFS($P:$P, "&gt;" &amp; $P4262) + 1</f>
        <v>2287</v>
      </c>
      <c r="R4262" s="63">
        <f>(COUNTIFS($P:$P, "&gt;" &amp; $P4262) + 1) / (COUNTA($I:$I) - 1)</f>
        <v>0.45739999999999997</v>
      </c>
      <c r="S4262" s="23">
        <f>SUMIFS($P:$P, $Q:$Q, "&lt;" &amp; $Q4262)</f>
        <v>181988506</v>
      </c>
    </row>
    <row r="4263" spans="1:19" x14ac:dyDescent="0.25">
      <c r="A4263" s="1">
        <v>4258</v>
      </c>
      <c r="B4263" s="1" t="s">
        <v>3</v>
      </c>
      <c r="C4263" s="1" t="str">
        <f>IF($B4263 = "Production Item", _xlfn.XLOOKUP($A4263, 'Instrument Table'!$J:$J, 'Instrument Table'!$B:$B, $C4262), IF($B4263 = "Service Item", _xlfn.XLOOKUP($A4263, 'Instrument Table'!$I:$I, 'Instrument Table'!$B:$B, $C4262), _xlfn.XLOOKUP($A4263, 'Instrument Table'!$H:$H, 'Instrument Table'!$B:$B, $C4262)))</f>
        <v>Clarinet</v>
      </c>
      <c r="D4263" s="1" t="str">
        <f>VLOOKUP($C4263, 'Instrument Table'!$B:$C, 2, FALSE)</f>
        <v>Woodwinds</v>
      </c>
      <c r="E4263" s="1">
        <f t="shared" si="396"/>
        <v>2</v>
      </c>
      <c r="F4263" s="1">
        <f>_xlfn.XLOOKUP($C4263, 'Instrument Table'!$B:$B, 'Instrument Table'!$A:$A, "")</f>
        <v>30</v>
      </c>
      <c r="G4263" s="1" t="str">
        <f>TEXT(IF($B4263 = "Retail Item", IF((ROW($A4263) - 4504 - _xlfn.XMATCH($C4263, $C$4506:$C$5005, 0, 1)) &lt;= VLOOKUP($C4263, 'Instrument Table'!$B:$D, 3, FALSE), ROW($A4263) - 4504 - _xlfn.XMATCH($C4263, $C$4506:$C$5005, 0, 1), 0), 0), "00")</f>
        <v>00</v>
      </c>
      <c r="H4263" s="1" t="str">
        <f t="shared" si="397"/>
        <v>027</v>
      </c>
      <c r="I4263" s="1" t="str">
        <f t="shared" si="398"/>
        <v>23000-027</v>
      </c>
      <c r="J4263" s="1" t="str">
        <f t="shared" si="399"/>
        <v>Clarinet service item #027</v>
      </c>
      <c r="K4263" s="1" t="str">
        <f>IF(SUM(COUNTIFS(I:I, I4263)) &gt; 1, "DUPLICATE", "UNIQUE")</f>
        <v>UNIQUE</v>
      </c>
      <c r="L4263" s="18">
        <v>5</v>
      </c>
      <c r="M4263" s="28">
        <v>804</v>
      </c>
      <c r="N4263" s="6">
        <v>64</v>
      </c>
      <c r="O4263" s="30">
        <f t="shared" si="400"/>
        <v>4020</v>
      </c>
      <c r="P4263" s="30">
        <f t="shared" si="401"/>
        <v>51456</v>
      </c>
      <c r="Q4263" s="1">
        <f>COUNTIFS($P:$P, "&gt;" &amp; $P4263) + 1</f>
        <v>525</v>
      </c>
      <c r="R4263" s="63">
        <f>(COUNTIFS($P:$P, "&gt;" &amp; $P4263) + 1) / (COUNTA($I:$I) - 1)</f>
        <v>0.105</v>
      </c>
      <c r="S4263" s="23">
        <f>SUMIFS($P:$P, $Q:$Q, "&lt;" &amp; $Q4263)</f>
        <v>152850445</v>
      </c>
    </row>
    <row r="4264" spans="1:19" x14ac:dyDescent="0.25">
      <c r="A4264" s="1">
        <v>4259</v>
      </c>
      <c r="B4264" s="1" t="s">
        <v>3</v>
      </c>
      <c r="C4264" s="1" t="str">
        <f>IF($B4264 = "Production Item", _xlfn.XLOOKUP($A4264, 'Instrument Table'!$J:$J, 'Instrument Table'!$B:$B, $C4263), IF($B4264 = "Service Item", _xlfn.XLOOKUP($A4264, 'Instrument Table'!$I:$I, 'Instrument Table'!$B:$B, $C4263), _xlfn.XLOOKUP($A4264, 'Instrument Table'!$H:$H, 'Instrument Table'!$B:$B, $C4263)))</f>
        <v>Clarinet</v>
      </c>
      <c r="D4264" s="1" t="str">
        <f>VLOOKUP($C4264, 'Instrument Table'!$B:$C, 2, FALSE)</f>
        <v>Woodwinds</v>
      </c>
      <c r="E4264" s="1">
        <f t="shared" si="396"/>
        <v>2</v>
      </c>
      <c r="F4264" s="1">
        <f>_xlfn.XLOOKUP($C4264, 'Instrument Table'!$B:$B, 'Instrument Table'!$A:$A, "")</f>
        <v>30</v>
      </c>
      <c r="G4264" s="1" t="str">
        <f>TEXT(IF($B4264 = "Retail Item", IF((ROW($A4264) - 4504 - _xlfn.XMATCH($C4264, $C$4506:$C$5005, 0, 1)) &lt;= VLOOKUP($C4264, 'Instrument Table'!$B:$D, 3, FALSE), ROW($A4264) - 4504 - _xlfn.XMATCH($C4264, $C$4506:$C$5005, 0, 1), 0), 0), "00")</f>
        <v>00</v>
      </c>
      <c r="H4264" s="1" t="str">
        <f t="shared" si="397"/>
        <v>028</v>
      </c>
      <c r="I4264" s="1" t="str">
        <f t="shared" si="398"/>
        <v>23000-028</v>
      </c>
      <c r="J4264" s="1" t="str">
        <f t="shared" si="399"/>
        <v>Clarinet service item #028</v>
      </c>
      <c r="K4264" s="1" t="str">
        <f>IF(SUM(COUNTIFS(I:I, I4264)) &gt; 1, "DUPLICATE", "UNIQUE")</f>
        <v>UNIQUE</v>
      </c>
      <c r="L4264" s="18">
        <v>2</v>
      </c>
      <c r="M4264" s="28">
        <v>308</v>
      </c>
      <c r="N4264" s="6">
        <v>125</v>
      </c>
      <c r="O4264" s="30">
        <f t="shared" si="400"/>
        <v>616</v>
      </c>
      <c r="P4264" s="30">
        <f t="shared" si="401"/>
        <v>38500</v>
      </c>
      <c r="Q4264" s="1">
        <f>COUNTIFS($P:$P, "&gt;" &amp; $P4264) + 1</f>
        <v>568</v>
      </c>
      <c r="R4264" s="63">
        <f>(COUNTIFS($P:$P, "&gt;" &amp; $P4264) + 1) / (COUNTA($I:$I) - 1)</f>
        <v>0.11360000000000001</v>
      </c>
      <c r="S4264" s="23">
        <f>SUMIFS($P:$P, $Q:$Q, "&lt;" &amp; $Q4264)</f>
        <v>154690933</v>
      </c>
    </row>
    <row r="4265" spans="1:19" x14ac:dyDescent="0.25">
      <c r="A4265" s="1">
        <v>4260</v>
      </c>
      <c r="B4265" s="1" t="s">
        <v>3</v>
      </c>
      <c r="C4265" s="1" t="str">
        <f>IF($B4265 = "Production Item", _xlfn.XLOOKUP($A4265, 'Instrument Table'!$J:$J, 'Instrument Table'!$B:$B, $C4264), IF($B4265 = "Service Item", _xlfn.XLOOKUP($A4265, 'Instrument Table'!$I:$I, 'Instrument Table'!$B:$B, $C4264), _xlfn.XLOOKUP($A4265, 'Instrument Table'!$H:$H, 'Instrument Table'!$B:$B, $C4264)))</f>
        <v>Clarinet</v>
      </c>
      <c r="D4265" s="1" t="str">
        <f>VLOOKUP($C4265, 'Instrument Table'!$B:$C, 2, FALSE)</f>
        <v>Woodwinds</v>
      </c>
      <c r="E4265" s="1">
        <f t="shared" si="396"/>
        <v>2</v>
      </c>
      <c r="F4265" s="1">
        <f>_xlfn.XLOOKUP($C4265, 'Instrument Table'!$B:$B, 'Instrument Table'!$A:$A, "")</f>
        <v>30</v>
      </c>
      <c r="G4265" s="1" t="str">
        <f>TEXT(IF($B4265 = "Retail Item", IF((ROW($A4265) - 4504 - _xlfn.XMATCH($C4265, $C$4506:$C$5005, 0, 1)) &lt;= VLOOKUP($C4265, 'Instrument Table'!$B:$D, 3, FALSE), ROW($A4265) - 4504 - _xlfn.XMATCH($C4265, $C$4506:$C$5005, 0, 1), 0), 0), "00")</f>
        <v>00</v>
      </c>
      <c r="H4265" s="1" t="str">
        <f t="shared" si="397"/>
        <v>029</v>
      </c>
      <c r="I4265" s="1" t="str">
        <f t="shared" si="398"/>
        <v>23000-029</v>
      </c>
      <c r="J4265" s="1" t="str">
        <f t="shared" si="399"/>
        <v>Clarinet service item #029</v>
      </c>
      <c r="K4265" s="1" t="str">
        <f>IF(SUM(COUNTIFS(I:I, I4265)) &gt; 1, "DUPLICATE", "UNIQUE")</f>
        <v>UNIQUE</v>
      </c>
      <c r="L4265" s="18">
        <v>3</v>
      </c>
      <c r="M4265" s="28">
        <v>745</v>
      </c>
      <c r="N4265" s="6">
        <v>1</v>
      </c>
      <c r="O4265" s="30">
        <f t="shared" si="400"/>
        <v>2235</v>
      </c>
      <c r="P4265" s="30">
        <f t="shared" si="401"/>
        <v>745</v>
      </c>
      <c r="Q4265" s="1">
        <f>COUNTIFS($P:$P, "&gt;" &amp; $P4265) + 1</f>
        <v>3837</v>
      </c>
      <c r="R4265" s="63">
        <f>(COUNTIFS($P:$P, "&gt;" &amp; $P4265) + 1) / (COUNTA($I:$I) - 1)</f>
        <v>0.76739999999999997</v>
      </c>
      <c r="S4265" s="23">
        <f>SUMIFS($P:$P, $Q:$Q, "&lt;" &amp; $Q4265)</f>
        <v>186293993</v>
      </c>
    </row>
    <row r="4266" spans="1:19" x14ac:dyDescent="0.25">
      <c r="A4266" s="1">
        <v>4261</v>
      </c>
      <c r="B4266" s="1" t="s">
        <v>3</v>
      </c>
      <c r="C4266" s="1" t="str">
        <f>IF($B4266 = "Production Item", _xlfn.XLOOKUP($A4266, 'Instrument Table'!$J:$J, 'Instrument Table'!$B:$B, $C4265), IF($B4266 = "Service Item", _xlfn.XLOOKUP($A4266, 'Instrument Table'!$I:$I, 'Instrument Table'!$B:$B, $C4265), _xlfn.XLOOKUP($A4266, 'Instrument Table'!$H:$H, 'Instrument Table'!$B:$B, $C4265)))</f>
        <v>Saxophone</v>
      </c>
      <c r="D4266" s="1" t="str">
        <f>VLOOKUP($C4266, 'Instrument Table'!$B:$C, 2, FALSE)</f>
        <v>Woodwinds</v>
      </c>
      <c r="E4266" s="1">
        <f t="shared" si="396"/>
        <v>2</v>
      </c>
      <c r="F4266" s="1">
        <f>_xlfn.XLOOKUP($C4266, 'Instrument Table'!$B:$B, 'Instrument Table'!$A:$A, "")</f>
        <v>31</v>
      </c>
      <c r="G4266" s="1" t="str">
        <f>TEXT(IF($B4266 = "Retail Item", IF((ROW($A4266) - 4504 - _xlfn.XMATCH($C4266, $C$4506:$C$5005, 0, 1)) &lt;= VLOOKUP($C4266, 'Instrument Table'!$B:$D, 3, FALSE), ROW($A4266) - 4504 - _xlfn.XMATCH($C4266, $C$4506:$C$5005, 0, 1), 0), 0), "00")</f>
        <v>00</v>
      </c>
      <c r="H4266" s="1" t="str">
        <f t="shared" si="397"/>
        <v>000</v>
      </c>
      <c r="I4266" s="1" t="str">
        <f t="shared" si="398"/>
        <v>23100-000</v>
      </c>
      <c r="J4266" s="1" t="str">
        <f t="shared" si="399"/>
        <v>Saxophone service item #000</v>
      </c>
      <c r="K4266" s="1" t="str">
        <f>IF(SUM(COUNTIFS(I:I, I4266)) &gt; 1, "DUPLICATE", "UNIQUE")</f>
        <v>UNIQUE</v>
      </c>
      <c r="L4266" s="18">
        <v>10</v>
      </c>
      <c r="M4266" s="28">
        <v>961</v>
      </c>
      <c r="N4266" s="6">
        <v>27</v>
      </c>
      <c r="O4266" s="30">
        <f t="shared" si="400"/>
        <v>9610</v>
      </c>
      <c r="P4266" s="30">
        <f t="shared" si="401"/>
        <v>25947</v>
      </c>
      <c r="Q4266" s="1">
        <f>COUNTIFS($P:$P, "&gt;" &amp; $P4266) + 1</f>
        <v>792</v>
      </c>
      <c r="R4266" s="63">
        <f>(COUNTIFS($P:$P, "&gt;" &amp; $P4266) + 1) / (COUNTA($I:$I) - 1)</f>
        <v>0.15840000000000001</v>
      </c>
      <c r="S4266" s="23">
        <f>SUMIFS($P:$P, $Q:$Q, "&lt;" &amp; $Q4266)</f>
        <v>161620997</v>
      </c>
    </row>
    <row r="4267" spans="1:19" x14ac:dyDescent="0.25">
      <c r="A4267" s="1">
        <v>4262</v>
      </c>
      <c r="B4267" s="1" t="s">
        <v>3</v>
      </c>
      <c r="C4267" s="1" t="str">
        <f>IF($B4267 = "Production Item", _xlfn.XLOOKUP($A4267, 'Instrument Table'!$J:$J, 'Instrument Table'!$B:$B, $C4266), IF($B4267 = "Service Item", _xlfn.XLOOKUP($A4267, 'Instrument Table'!$I:$I, 'Instrument Table'!$B:$B, $C4266), _xlfn.XLOOKUP($A4267, 'Instrument Table'!$H:$H, 'Instrument Table'!$B:$B, $C4266)))</f>
        <v>Saxophone</v>
      </c>
      <c r="D4267" s="1" t="str">
        <f>VLOOKUP($C4267, 'Instrument Table'!$B:$C, 2, FALSE)</f>
        <v>Woodwinds</v>
      </c>
      <c r="E4267" s="1">
        <f t="shared" si="396"/>
        <v>2</v>
      </c>
      <c r="F4267" s="1">
        <f>_xlfn.XLOOKUP($C4267, 'Instrument Table'!$B:$B, 'Instrument Table'!$A:$A, "")</f>
        <v>31</v>
      </c>
      <c r="G4267" s="1" t="str">
        <f>TEXT(IF($B4267 = "Retail Item", IF((ROW($A4267) - 4504 - _xlfn.XMATCH($C4267, $C$4506:$C$5005, 0, 1)) &lt;= VLOOKUP($C4267, 'Instrument Table'!$B:$D, 3, FALSE), ROW($A4267) - 4504 - _xlfn.XMATCH($C4267, $C$4506:$C$5005, 0, 1), 0), 0), "00")</f>
        <v>00</v>
      </c>
      <c r="H4267" s="1" t="str">
        <f t="shared" si="397"/>
        <v>001</v>
      </c>
      <c r="I4267" s="1" t="str">
        <f t="shared" si="398"/>
        <v>23100-001</v>
      </c>
      <c r="J4267" s="1" t="str">
        <f t="shared" si="399"/>
        <v>Saxophone service item #001</v>
      </c>
      <c r="K4267" s="1" t="str">
        <f>IF(SUM(COUNTIFS(I:I, I4267)) &gt; 1, "DUPLICATE", "UNIQUE")</f>
        <v>UNIQUE</v>
      </c>
      <c r="L4267" s="18">
        <v>1</v>
      </c>
      <c r="M4267" s="28">
        <v>344</v>
      </c>
      <c r="N4267" s="6">
        <v>64</v>
      </c>
      <c r="O4267" s="30">
        <f t="shared" si="400"/>
        <v>344</v>
      </c>
      <c r="P4267" s="30">
        <f t="shared" si="401"/>
        <v>22016</v>
      </c>
      <c r="Q4267" s="1">
        <f>COUNTIFS($P:$P, "&gt;" &amp; $P4267) + 1</f>
        <v>956</v>
      </c>
      <c r="R4267" s="63">
        <f>(COUNTIFS($P:$P, "&gt;" &amp; $P4267) + 1) / (COUNTA($I:$I) - 1)</f>
        <v>0.19120000000000001</v>
      </c>
      <c r="S4267" s="23">
        <f>SUMIFS($P:$P, $Q:$Q, "&lt;" &amp; $Q4267)</f>
        <v>165541660</v>
      </c>
    </row>
    <row r="4268" spans="1:19" x14ac:dyDescent="0.25">
      <c r="A4268" s="1">
        <v>4263</v>
      </c>
      <c r="B4268" s="1" t="s">
        <v>3</v>
      </c>
      <c r="C4268" s="1" t="str">
        <f>IF($B4268 = "Production Item", _xlfn.XLOOKUP($A4268, 'Instrument Table'!$J:$J, 'Instrument Table'!$B:$B, $C4267), IF($B4268 = "Service Item", _xlfn.XLOOKUP($A4268, 'Instrument Table'!$I:$I, 'Instrument Table'!$B:$B, $C4267), _xlfn.XLOOKUP($A4268, 'Instrument Table'!$H:$H, 'Instrument Table'!$B:$B, $C4267)))</f>
        <v>Saxophone</v>
      </c>
      <c r="D4268" s="1" t="str">
        <f>VLOOKUP($C4268, 'Instrument Table'!$B:$C, 2, FALSE)</f>
        <v>Woodwinds</v>
      </c>
      <c r="E4268" s="1">
        <f t="shared" si="396"/>
        <v>2</v>
      </c>
      <c r="F4268" s="1">
        <f>_xlfn.XLOOKUP($C4268, 'Instrument Table'!$B:$B, 'Instrument Table'!$A:$A, "")</f>
        <v>31</v>
      </c>
      <c r="G4268" s="1" t="str">
        <f>TEXT(IF($B4268 = "Retail Item", IF((ROW($A4268) - 4504 - _xlfn.XMATCH($C4268, $C$4506:$C$5005, 0, 1)) &lt;= VLOOKUP($C4268, 'Instrument Table'!$B:$D, 3, FALSE), ROW($A4268) - 4504 - _xlfn.XMATCH($C4268, $C$4506:$C$5005, 0, 1), 0), 0), "00")</f>
        <v>00</v>
      </c>
      <c r="H4268" s="1" t="str">
        <f t="shared" si="397"/>
        <v>002</v>
      </c>
      <c r="I4268" s="1" t="str">
        <f t="shared" si="398"/>
        <v>23100-002</v>
      </c>
      <c r="J4268" s="1" t="str">
        <f t="shared" si="399"/>
        <v>Saxophone service item #002</v>
      </c>
      <c r="K4268" s="1" t="str">
        <f>IF(SUM(COUNTIFS(I:I, I4268)) &gt; 1, "DUPLICATE", "UNIQUE")</f>
        <v>UNIQUE</v>
      </c>
      <c r="L4268" s="18">
        <v>3</v>
      </c>
      <c r="M4268" s="28">
        <v>872</v>
      </c>
      <c r="N4268" s="6">
        <v>125</v>
      </c>
      <c r="O4268" s="30">
        <f t="shared" si="400"/>
        <v>2616</v>
      </c>
      <c r="P4268" s="30">
        <f t="shared" si="401"/>
        <v>109000</v>
      </c>
      <c r="Q4268" s="1">
        <f>COUNTIFS($P:$P, "&gt;" &amp; $P4268) + 1</f>
        <v>394</v>
      </c>
      <c r="R4268" s="63">
        <f>(COUNTIFS($P:$P, "&gt;" &amp; $P4268) + 1) / (COUNTA($I:$I) - 1)</f>
        <v>7.8799999999999995E-2</v>
      </c>
      <c r="S4268" s="23">
        <f>SUMIFS($P:$P, $Q:$Q, "&lt;" &amp; $Q4268)</f>
        <v>142800634</v>
      </c>
    </row>
    <row r="4269" spans="1:19" x14ac:dyDescent="0.25">
      <c r="A4269" s="1">
        <v>4264</v>
      </c>
      <c r="B4269" s="1" t="s">
        <v>3</v>
      </c>
      <c r="C4269" s="1" t="str">
        <f>IF($B4269 = "Production Item", _xlfn.XLOOKUP($A4269, 'Instrument Table'!$J:$J, 'Instrument Table'!$B:$B, $C4268), IF($B4269 = "Service Item", _xlfn.XLOOKUP($A4269, 'Instrument Table'!$I:$I, 'Instrument Table'!$B:$B, $C4268), _xlfn.XLOOKUP($A4269, 'Instrument Table'!$H:$H, 'Instrument Table'!$B:$B, $C4268)))</f>
        <v>Saxophone</v>
      </c>
      <c r="D4269" s="1" t="str">
        <f>VLOOKUP($C4269, 'Instrument Table'!$B:$C, 2, FALSE)</f>
        <v>Woodwinds</v>
      </c>
      <c r="E4269" s="1">
        <f t="shared" si="396"/>
        <v>2</v>
      </c>
      <c r="F4269" s="1">
        <f>_xlfn.XLOOKUP($C4269, 'Instrument Table'!$B:$B, 'Instrument Table'!$A:$A, "")</f>
        <v>31</v>
      </c>
      <c r="G4269" s="1" t="str">
        <f>TEXT(IF($B4269 = "Retail Item", IF((ROW($A4269) - 4504 - _xlfn.XMATCH($C4269, $C$4506:$C$5005, 0, 1)) &lt;= VLOOKUP($C4269, 'Instrument Table'!$B:$D, 3, FALSE), ROW($A4269) - 4504 - _xlfn.XMATCH($C4269, $C$4506:$C$5005, 0, 1), 0), 0), "00")</f>
        <v>00</v>
      </c>
      <c r="H4269" s="1" t="str">
        <f t="shared" si="397"/>
        <v>003</v>
      </c>
      <c r="I4269" s="1" t="str">
        <f t="shared" si="398"/>
        <v>23100-003</v>
      </c>
      <c r="J4269" s="1" t="str">
        <f t="shared" si="399"/>
        <v>Saxophone service item #003</v>
      </c>
      <c r="K4269" s="1" t="str">
        <f>IF(SUM(COUNTIFS(I:I, I4269)) &gt; 1, "DUPLICATE", "UNIQUE")</f>
        <v>UNIQUE</v>
      </c>
      <c r="L4269" s="18">
        <v>10</v>
      </c>
      <c r="M4269" s="28">
        <v>47</v>
      </c>
      <c r="N4269" s="6">
        <v>8</v>
      </c>
      <c r="O4269" s="30">
        <f t="shared" si="400"/>
        <v>470</v>
      </c>
      <c r="P4269" s="30">
        <f t="shared" si="401"/>
        <v>376</v>
      </c>
      <c r="Q4269" s="1">
        <f>COUNTIFS($P:$P, "&gt;" &amp; $P4269) + 1</f>
        <v>4125</v>
      </c>
      <c r="R4269" s="63">
        <f>(COUNTIFS($P:$P, "&gt;" &amp; $P4269) + 1) / (COUNTA($I:$I) - 1)</f>
        <v>0.82499999999999996</v>
      </c>
      <c r="S4269" s="23">
        <f>SUMIFS($P:$P, $Q:$Q, "&lt;" &amp; $Q4269)</f>
        <v>186454629</v>
      </c>
    </row>
    <row r="4270" spans="1:19" x14ac:dyDescent="0.25">
      <c r="A4270" s="1">
        <v>4265</v>
      </c>
      <c r="B4270" s="1" t="s">
        <v>3</v>
      </c>
      <c r="C4270" s="1" t="str">
        <f>IF($B4270 = "Production Item", _xlfn.XLOOKUP($A4270, 'Instrument Table'!$J:$J, 'Instrument Table'!$B:$B, $C4269), IF($B4270 = "Service Item", _xlfn.XLOOKUP($A4270, 'Instrument Table'!$I:$I, 'Instrument Table'!$B:$B, $C4269), _xlfn.XLOOKUP($A4270, 'Instrument Table'!$H:$H, 'Instrument Table'!$B:$B, $C4269)))</f>
        <v>Saxophone</v>
      </c>
      <c r="D4270" s="1" t="str">
        <f>VLOOKUP($C4270, 'Instrument Table'!$B:$C, 2, FALSE)</f>
        <v>Woodwinds</v>
      </c>
      <c r="E4270" s="1">
        <f t="shared" si="396"/>
        <v>2</v>
      </c>
      <c r="F4270" s="1">
        <f>_xlfn.XLOOKUP($C4270, 'Instrument Table'!$B:$B, 'Instrument Table'!$A:$A, "")</f>
        <v>31</v>
      </c>
      <c r="G4270" s="1" t="str">
        <f>TEXT(IF($B4270 = "Retail Item", IF((ROW($A4270) - 4504 - _xlfn.XMATCH($C4270, $C$4506:$C$5005, 0, 1)) &lt;= VLOOKUP($C4270, 'Instrument Table'!$B:$D, 3, FALSE), ROW($A4270) - 4504 - _xlfn.XMATCH($C4270, $C$4506:$C$5005, 0, 1), 0), 0), "00")</f>
        <v>00</v>
      </c>
      <c r="H4270" s="1" t="str">
        <f t="shared" si="397"/>
        <v>004</v>
      </c>
      <c r="I4270" s="1" t="str">
        <f t="shared" si="398"/>
        <v>23100-004</v>
      </c>
      <c r="J4270" s="1" t="str">
        <f t="shared" si="399"/>
        <v>Saxophone service item #004</v>
      </c>
      <c r="K4270" s="1" t="str">
        <f>IF(SUM(COUNTIFS(I:I, I4270)) &gt; 1, "DUPLICATE", "UNIQUE")</f>
        <v>UNIQUE</v>
      </c>
      <c r="L4270" s="18">
        <v>3</v>
      </c>
      <c r="M4270" s="28">
        <v>80</v>
      </c>
      <c r="N4270" s="6">
        <v>1</v>
      </c>
      <c r="O4270" s="30">
        <f t="shared" si="400"/>
        <v>240</v>
      </c>
      <c r="P4270" s="30">
        <f t="shared" si="401"/>
        <v>80</v>
      </c>
      <c r="Q4270" s="1">
        <f>COUNTIFS($P:$P, "&gt;" &amp; $P4270) + 1</f>
        <v>4514</v>
      </c>
      <c r="R4270" s="63">
        <f>(COUNTIFS($P:$P, "&gt;" &amp; $P4270) + 1) / (COUNTA($I:$I) - 1)</f>
        <v>0.90280000000000005</v>
      </c>
      <c r="S4270" s="23">
        <f>SUMIFS($P:$P, $Q:$Q, "&lt;" &amp; $Q4270)</f>
        <v>186538002</v>
      </c>
    </row>
    <row r="4271" spans="1:19" x14ac:dyDescent="0.25">
      <c r="A4271" s="1">
        <v>4266</v>
      </c>
      <c r="B4271" s="1" t="s">
        <v>3</v>
      </c>
      <c r="C4271" s="1" t="str">
        <f>IF($B4271 = "Production Item", _xlfn.XLOOKUP($A4271, 'Instrument Table'!$J:$J, 'Instrument Table'!$B:$B, $C4270), IF($B4271 = "Service Item", _xlfn.XLOOKUP($A4271, 'Instrument Table'!$I:$I, 'Instrument Table'!$B:$B, $C4270), _xlfn.XLOOKUP($A4271, 'Instrument Table'!$H:$H, 'Instrument Table'!$B:$B, $C4270)))</f>
        <v>Saxophone</v>
      </c>
      <c r="D4271" s="1" t="str">
        <f>VLOOKUP($C4271, 'Instrument Table'!$B:$C, 2, FALSE)</f>
        <v>Woodwinds</v>
      </c>
      <c r="E4271" s="1">
        <f t="shared" si="396"/>
        <v>2</v>
      </c>
      <c r="F4271" s="1">
        <f>_xlfn.XLOOKUP($C4271, 'Instrument Table'!$B:$B, 'Instrument Table'!$A:$A, "")</f>
        <v>31</v>
      </c>
      <c r="G4271" s="1" t="str">
        <f>TEXT(IF($B4271 = "Retail Item", IF((ROW($A4271) - 4504 - _xlfn.XMATCH($C4271, $C$4506:$C$5005, 0, 1)) &lt;= VLOOKUP($C4271, 'Instrument Table'!$B:$D, 3, FALSE), ROW($A4271) - 4504 - _xlfn.XMATCH($C4271, $C$4506:$C$5005, 0, 1), 0), 0), "00")</f>
        <v>00</v>
      </c>
      <c r="H4271" s="1" t="str">
        <f t="shared" si="397"/>
        <v>005</v>
      </c>
      <c r="I4271" s="1" t="str">
        <f t="shared" si="398"/>
        <v>23100-005</v>
      </c>
      <c r="J4271" s="1" t="str">
        <f t="shared" si="399"/>
        <v>Saxophone service item #005</v>
      </c>
      <c r="K4271" s="1" t="str">
        <f>IF(SUM(COUNTIFS(I:I, I4271)) &gt; 1, "DUPLICATE", "UNIQUE")</f>
        <v>UNIQUE</v>
      </c>
      <c r="L4271" s="18">
        <v>6</v>
      </c>
      <c r="M4271" s="28">
        <v>136</v>
      </c>
      <c r="N4271" s="6">
        <v>27</v>
      </c>
      <c r="O4271" s="30">
        <f t="shared" si="400"/>
        <v>816</v>
      </c>
      <c r="P4271" s="30">
        <f t="shared" si="401"/>
        <v>3672</v>
      </c>
      <c r="Q4271" s="1">
        <f>COUNTIFS($P:$P, "&gt;" &amp; $P4271) + 1</f>
        <v>2727</v>
      </c>
      <c r="R4271" s="63">
        <f>(COUNTIFS($P:$P, "&gt;" &amp; $P4271) + 1) / (COUNTA($I:$I) - 1)</f>
        <v>0.5454</v>
      </c>
      <c r="S4271" s="23">
        <f>SUMIFS($P:$P, $Q:$Q, "&lt;" &amp; $Q4271)</f>
        <v>184067626</v>
      </c>
    </row>
    <row r="4272" spans="1:19" x14ac:dyDescent="0.25">
      <c r="A4272" s="1">
        <v>4267</v>
      </c>
      <c r="B4272" s="1" t="s">
        <v>3</v>
      </c>
      <c r="C4272" s="1" t="str">
        <f>IF($B4272 = "Production Item", _xlfn.XLOOKUP($A4272, 'Instrument Table'!$J:$J, 'Instrument Table'!$B:$B, $C4271), IF($B4272 = "Service Item", _xlfn.XLOOKUP($A4272, 'Instrument Table'!$I:$I, 'Instrument Table'!$B:$B, $C4271), _xlfn.XLOOKUP($A4272, 'Instrument Table'!$H:$H, 'Instrument Table'!$B:$B, $C4271)))</f>
        <v>Saxophone</v>
      </c>
      <c r="D4272" s="1" t="str">
        <f>VLOOKUP($C4272, 'Instrument Table'!$B:$C, 2, FALSE)</f>
        <v>Woodwinds</v>
      </c>
      <c r="E4272" s="1">
        <f t="shared" si="396"/>
        <v>2</v>
      </c>
      <c r="F4272" s="1">
        <f>_xlfn.XLOOKUP($C4272, 'Instrument Table'!$B:$B, 'Instrument Table'!$A:$A, "")</f>
        <v>31</v>
      </c>
      <c r="G4272" s="1" t="str">
        <f>TEXT(IF($B4272 = "Retail Item", IF((ROW($A4272) - 4504 - _xlfn.XMATCH($C4272, $C$4506:$C$5005, 0, 1)) &lt;= VLOOKUP($C4272, 'Instrument Table'!$B:$D, 3, FALSE), ROW($A4272) - 4504 - _xlfn.XMATCH($C4272, $C$4506:$C$5005, 0, 1), 0), 0), "00")</f>
        <v>00</v>
      </c>
      <c r="H4272" s="1" t="str">
        <f t="shared" si="397"/>
        <v>006</v>
      </c>
      <c r="I4272" s="1" t="str">
        <f t="shared" si="398"/>
        <v>23100-006</v>
      </c>
      <c r="J4272" s="1" t="str">
        <f t="shared" si="399"/>
        <v>Saxophone service item #006</v>
      </c>
      <c r="K4272" s="1" t="str">
        <f>IF(SUM(COUNTIFS(I:I, I4272)) &gt; 1, "DUPLICATE", "UNIQUE")</f>
        <v>UNIQUE</v>
      </c>
      <c r="L4272" s="18">
        <v>10</v>
      </c>
      <c r="M4272" s="28">
        <v>580</v>
      </c>
      <c r="N4272" s="6">
        <v>0</v>
      </c>
      <c r="O4272" s="30">
        <f t="shared" si="400"/>
        <v>5800</v>
      </c>
      <c r="P4272" s="30">
        <f t="shared" si="401"/>
        <v>0</v>
      </c>
      <c r="Q4272" s="1">
        <f>COUNTIFS($P:$P, "&gt;" &amp; $P4272) + 1</f>
        <v>4746</v>
      </c>
      <c r="R4272" s="63">
        <f>(COUNTIFS($P:$P, "&gt;" &amp; $P4272) + 1) / (COUNTA($I:$I) - 1)</f>
        <v>0.94920000000000004</v>
      </c>
      <c r="S4272" s="23">
        <f>SUMIFS($P:$P, $Q:$Q, "&lt;" &amp; $Q4272)</f>
        <v>186547861</v>
      </c>
    </row>
    <row r="4273" spans="1:19" x14ac:dyDescent="0.25">
      <c r="A4273" s="1">
        <v>4268</v>
      </c>
      <c r="B4273" s="1" t="s">
        <v>3</v>
      </c>
      <c r="C4273" s="1" t="str">
        <f>IF($B4273 = "Production Item", _xlfn.XLOOKUP($A4273, 'Instrument Table'!$J:$J, 'Instrument Table'!$B:$B, $C4272), IF($B4273 = "Service Item", _xlfn.XLOOKUP($A4273, 'Instrument Table'!$I:$I, 'Instrument Table'!$B:$B, $C4272), _xlfn.XLOOKUP($A4273, 'Instrument Table'!$H:$H, 'Instrument Table'!$B:$B, $C4272)))</f>
        <v>Saxophone</v>
      </c>
      <c r="D4273" s="1" t="str">
        <f>VLOOKUP($C4273, 'Instrument Table'!$B:$C, 2, FALSE)</f>
        <v>Woodwinds</v>
      </c>
      <c r="E4273" s="1">
        <f t="shared" si="396"/>
        <v>2</v>
      </c>
      <c r="F4273" s="1">
        <f>_xlfn.XLOOKUP($C4273, 'Instrument Table'!$B:$B, 'Instrument Table'!$A:$A, "")</f>
        <v>31</v>
      </c>
      <c r="G4273" s="1" t="str">
        <f>TEXT(IF($B4273 = "Retail Item", IF((ROW($A4273) - 4504 - _xlfn.XMATCH($C4273, $C$4506:$C$5005, 0, 1)) &lt;= VLOOKUP($C4273, 'Instrument Table'!$B:$D, 3, FALSE), ROW($A4273) - 4504 - _xlfn.XMATCH($C4273, $C$4506:$C$5005, 0, 1), 0), 0), "00")</f>
        <v>00</v>
      </c>
      <c r="H4273" s="1" t="str">
        <f t="shared" si="397"/>
        <v>007</v>
      </c>
      <c r="I4273" s="1" t="str">
        <f t="shared" si="398"/>
        <v>23100-007</v>
      </c>
      <c r="J4273" s="1" t="str">
        <f t="shared" si="399"/>
        <v>Saxophone service item #007</v>
      </c>
      <c r="K4273" s="1" t="str">
        <f>IF(SUM(COUNTIFS(I:I, I4273)) &gt; 1, "DUPLICATE", "UNIQUE")</f>
        <v>UNIQUE</v>
      </c>
      <c r="L4273" s="18">
        <v>0</v>
      </c>
      <c r="M4273" s="28">
        <v>156</v>
      </c>
      <c r="N4273" s="6">
        <v>8</v>
      </c>
      <c r="O4273" s="30">
        <f t="shared" si="400"/>
        <v>0</v>
      </c>
      <c r="P4273" s="30">
        <f t="shared" si="401"/>
        <v>1248</v>
      </c>
      <c r="Q4273" s="1">
        <f>COUNTIFS($P:$P, "&gt;" &amp; $P4273) + 1</f>
        <v>3585</v>
      </c>
      <c r="R4273" s="63">
        <f>(COUNTIFS($P:$P, "&gt;" &amp; $P4273) + 1) / (COUNTA($I:$I) - 1)</f>
        <v>0.71699999999999997</v>
      </c>
      <c r="S4273" s="23">
        <f>SUMIFS($P:$P, $Q:$Q, "&lt;" &amp; $Q4273)</f>
        <v>186051380</v>
      </c>
    </row>
    <row r="4274" spans="1:19" x14ac:dyDescent="0.25">
      <c r="A4274" s="1">
        <v>4269</v>
      </c>
      <c r="B4274" s="1" t="s">
        <v>3</v>
      </c>
      <c r="C4274" s="1" t="str">
        <f>IF($B4274 = "Production Item", _xlfn.XLOOKUP($A4274, 'Instrument Table'!$J:$J, 'Instrument Table'!$B:$B, $C4273), IF($B4274 = "Service Item", _xlfn.XLOOKUP($A4274, 'Instrument Table'!$I:$I, 'Instrument Table'!$B:$B, $C4273), _xlfn.XLOOKUP($A4274, 'Instrument Table'!$H:$H, 'Instrument Table'!$B:$B, $C4273)))</f>
        <v>Saxophone</v>
      </c>
      <c r="D4274" s="1" t="str">
        <f>VLOOKUP($C4274, 'Instrument Table'!$B:$C, 2, FALSE)</f>
        <v>Woodwinds</v>
      </c>
      <c r="E4274" s="1">
        <f t="shared" si="396"/>
        <v>2</v>
      </c>
      <c r="F4274" s="1">
        <f>_xlfn.XLOOKUP($C4274, 'Instrument Table'!$B:$B, 'Instrument Table'!$A:$A, "")</f>
        <v>31</v>
      </c>
      <c r="G4274" s="1" t="str">
        <f>TEXT(IF($B4274 = "Retail Item", IF((ROW($A4274) - 4504 - _xlfn.XMATCH($C4274, $C$4506:$C$5005, 0, 1)) &lt;= VLOOKUP($C4274, 'Instrument Table'!$B:$D, 3, FALSE), ROW($A4274) - 4504 - _xlfn.XMATCH($C4274, $C$4506:$C$5005, 0, 1), 0), 0), "00")</f>
        <v>00</v>
      </c>
      <c r="H4274" s="1" t="str">
        <f t="shared" si="397"/>
        <v>008</v>
      </c>
      <c r="I4274" s="1" t="str">
        <f t="shared" si="398"/>
        <v>23100-008</v>
      </c>
      <c r="J4274" s="1" t="str">
        <f t="shared" si="399"/>
        <v>Saxophone service item #008</v>
      </c>
      <c r="K4274" s="1" t="str">
        <f>IF(SUM(COUNTIFS(I:I, I4274)) &gt; 1, "DUPLICATE", "UNIQUE")</f>
        <v>UNIQUE</v>
      </c>
      <c r="L4274" s="18">
        <v>4</v>
      </c>
      <c r="M4274" s="28">
        <v>743</v>
      </c>
      <c r="N4274" s="6">
        <v>125</v>
      </c>
      <c r="O4274" s="30">
        <f t="shared" si="400"/>
        <v>2972</v>
      </c>
      <c r="P4274" s="30">
        <f t="shared" si="401"/>
        <v>92875</v>
      </c>
      <c r="Q4274" s="1">
        <f>COUNTIFS($P:$P, "&gt;" &amp; $P4274) + 1</f>
        <v>423</v>
      </c>
      <c r="R4274" s="63">
        <f>(COUNTIFS($P:$P, "&gt;" &amp; $P4274) + 1) / (COUNTA($I:$I) - 1)</f>
        <v>8.4599999999999995E-2</v>
      </c>
      <c r="S4274" s="23">
        <f>SUMIFS($P:$P, $Q:$Q, "&lt;" &amp; $Q4274)</f>
        <v>145703075</v>
      </c>
    </row>
    <row r="4275" spans="1:19" x14ac:dyDescent="0.25">
      <c r="A4275" s="1">
        <v>4270</v>
      </c>
      <c r="B4275" s="1" t="s">
        <v>3</v>
      </c>
      <c r="C4275" s="1" t="str">
        <f>IF($B4275 = "Production Item", _xlfn.XLOOKUP($A4275, 'Instrument Table'!$J:$J, 'Instrument Table'!$B:$B, $C4274), IF($B4275 = "Service Item", _xlfn.XLOOKUP($A4275, 'Instrument Table'!$I:$I, 'Instrument Table'!$B:$B, $C4274), _xlfn.XLOOKUP($A4275, 'Instrument Table'!$H:$H, 'Instrument Table'!$B:$B, $C4274)))</f>
        <v>Saxophone</v>
      </c>
      <c r="D4275" s="1" t="str">
        <f>VLOOKUP($C4275, 'Instrument Table'!$B:$C, 2, FALSE)</f>
        <v>Woodwinds</v>
      </c>
      <c r="E4275" s="1">
        <f t="shared" si="396"/>
        <v>2</v>
      </c>
      <c r="F4275" s="1">
        <f>_xlfn.XLOOKUP($C4275, 'Instrument Table'!$B:$B, 'Instrument Table'!$A:$A, "")</f>
        <v>31</v>
      </c>
      <c r="G4275" s="1" t="str">
        <f>TEXT(IF($B4275 = "Retail Item", IF((ROW($A4275) - 4504 - _xlfn.XMATCH($C4275, $C$4506:$C$5005, 0, 1)) &lt;= VLOOKUP($C4275, 'Instrument Table'!$B:$D, 3, FALSE), ROW($A4275) - 4504 - _xlfn.XMATCH($C4275, $C$4506:$C$5005, 0, 1), 0), 0), "00")</f>
        <v>00</v>
      </c>
      <c r="H4275" s="1" t="str">
        <f t="shared" si="397"/>
        <v>009</v>
      </c>
      <c r="I4275" s="1" t="str">
        <f t="shared" si="398"/>
        <v>23100-009</v>
      </c>
      <c r="J4275" s="1" t="str">
        <f t="shared" si="399"/>
        <v>Saxophone service item #009</v>
      </c>
      <c r="K4275" s="1" t="str">
        <f>IF(SUM(COUNTIFS(I:I, I4275)) &gt; 1, "DUPLICATE", "UNIQUE")</f>
        <v>UNIQUE</v>
      </c>
      <c r="L4275" s="18">
        <v>8</v>
      </c>
      <c r="M4275" s="28">
        <v>414</v>
      </c>
      <c r="N4275" s="6">
        <v>125</v>
      </c>
      <c r="O4275" s="30">
        <f t="shared" si="400"/>
        <v>3312</v>
      </c>
      <c r="P4275" s="30">
        <f t="shared" si="401"/>
        <v>51750</v>
      </c>
      <c r="Q4275" s="1">
        <f>COUNTIFS($P:$P, "&gt;" &amp; $P4275) + 1</f>
        <v>524</v>
      </c>
      <c r="R4275" s="63">
        <f>(COUNTIFS($P:$P, "&gt;" &amp; $P4275) + 1) / (COUNTA($I:$I) - 1)</f>
        <v>0.1048</v>
      </c>
      <c r="S4275" s="23">
        <f>SUMIFS($P:$P, $Q:$Q, "&lt;" &amp; $Q4275)</f>
        <v>152798695</v>
      </c>
    </row>
    <row r="4276" spans="1:19" x14ac:dyDescent="0.25">
      <c r="A4276" s="1">
        <v>4271</v>
      </c>
      <c r="B4276" s="1" t="s">
        <v>3</v>
      </c>
      <c r="C4276" s="1" t="str">
        <f>IF($B4276 = "Production Item", _xlfn.XLOOKUP($A4276, 'Instrument Table'!$J:$J, 'Instrument Table'!$B:$B, $C4275), IF($B4276 = "Service Item", _xlfn.XLOOKUP($A4276, 'Instrument Table'!$I:$I, 'Instrument Table'!$B:$B, $C4275), _xlfn.XLOOKUP($A4276, 'Instrument Table'!$H:$H, 'Instrument Table'!$B:$B, $C4275)))</f>
        <v>Saxophone</v>
      </c>
      <c r="D4276" s="1" t="str">
        <f>VLOOKUP($C4276, 'Instrument Table'!$B:$C, 2, FALSE)</f>
        <v>Woodwinds</v>
      </c>
      <c r="E4276" s="1">
        <f t="shared" si="396"/>
        <v>2</v>
      </c>
      <c r="F4276" s="1">
        <f>_xlfn.XLOOKUP($C4276, 'Instrument Table'!$B:$B, 'Instrument Table'!$A:$A, "")</f>
        <v>31</v>
      </c>
      <c r="G4276" s="1" t="str">
        <f>TEXT(IF($B4276 = "Retail Item", IF((ROW($A4276) - 4504 - _xlfn.XMATCH($C4276, $C$4506:$C$5005, 0, 1)) &lt;= VLOOKUP($C4276, 'Instrument Table'!$B:$D, 3, FALSE), ROW($A4276) - 4504 - _xlfn.XMATCH($C4276, $C$4506:$C$5005, 0, 1), 0), 0), "00")</f>
        <v>00</v>
      </c>
      <c r="H4276" s="1" t="str">
        <f t="shared" si="397"/>
        <v>010</v>
      </c>
      <c r="I4276" s="1" t="str">
        <f t="shared" si="398"/>
        <v>23100-010</v>
      </c>
      <c r="J4276" s="1" t="str">
        <f t="shared" si="399"/>
        <v>Saxophone service item #010</v>
      </c>
      <c r="K4276" s="1" t="str">
        <f>IF(SUM(COUNTIFS(I:I, I4276)) &gt; 1, "DUPLICATE", "UNIQUE")</f>
        <v>UNIQUE</v>
      </c>
      <c r="L4276" s="18">
        <v>0</v>
      </c>
      <c r="M4276" s="28">
        <v>773</v>
      </c>
      <c r="N4276" s="6">
        <v>8</v>
      </c>
      <c r="O4276" s="30">
        <f t="shared" si="400"/>
        <v>0</v>
      </c>
      <c r="P4276" s="30">
        <f t="shared" si="401"/>
        <v>6184</v>
      </c>
      <c r="Q4276" s="1">
        <f>COUNTIFS($P:$P, "&gt;" &amp; $P4276) + 1</f>
        <v>2236</v>
      </c>
      <c r="R4276" s="63">
        <f>(COUNTIFS($P:$P, "&gt;" &amp; $P4276) + 1) / (COUNTA($I:$I) - 1)</f>
        <v>0.44719999999999999</v>
      </c>
      <c r="S4276" s="23">
        <f>SUMIFS($P:$P, $Q:$Q, "&lt;" &amp; $Q4276)</f>
        <v>181681516</v>
      </c>
    </row>
    <row r="4277" spans="1:19" x14ac:dyDescent="0.25">
      <c r="A4277" s="1">
        <v>4272</v>
      </c>
      <c r="B4277" s="1" t="s">
        <v>3</v>
      </c>
      <c r="C4277" s="1" t="str">
        <f>IF($B4277 = "Production Item", _xlfn.XLOOKUP($A4277, 'Instrument Table'!$J:$J, 'Instrument Table'!$B:$B, $C4276), IF($B4277 = "Service Item", _xlfn.XLOOKUP($A4277, 'Instrument Table'!$I:$I, 'Instrument Table'!$B:$B, $C4276), _xlfn.XLOOKUP($A4277, 'Instrument Table'!$H:$H, 'Instrument Table'!$B:$B, $C4276)))</f>
        <v>Saxophone</v>
      </c>
      <c r="D4277" s="1" t="str">
        <f>VLOOKUP($C4277, 'Instrument Table'!$B:$C, 2, FALSE)</f>
        <v>Woodwinds</v>
      </c>
      <c r="E4277" s="1">
        <f t="shared" si="396"/>
        <v>2</v>
      </c>
      <c r="F4277" s="1">
        <f>_xlfn.XLOOKUP($C4277, 'Instrument Table'!$B:$B, 'Instrument Table'!$A:$A, "")</f>
        <v>31</v>
      </c>
      <c r="G4277" s="1" t="str">
        <f>TEXT(IF($B4277 = "Retail Item", IF((ROW($A4277) - 4504 - _xlfn.XMATCH($C4277, $C$4506:$C$5005, 0, 1)) &lt;= VLOOKUP($C4277, 'Instrument Table'!$B:$D, 3, FALSE), ROW($A4277) - 4504 - _xlfn.XMATCH($C4277, $C$4506:$C$5005, 0, 1), 0), 0), "00")</f>
        <v>00</v>
      </c>
      <c r="H4277" s="1" t="str">
        <f t="shared" si="397"/>
        <v>011</v>
      </c>
      <c r="I4277" s="1" t="str">
        <f t="shared" si="398"/>
        <v>23100-011</v>
      </c>
      <c r="J4277" s="1" t="str">
        <f t="shared" si="399"/>
        <v>Saxophone service item #011</v>
      </c>
      <c r="K4277" s="1" t="str">
        <f>IF(SUM(COUNTIFS(I:I, I4277)) &gt; 1, "DUPLICATE", "UNIQUE")</f>
        <v>UNIQUE</v>
      </c>
      <c r="L4277" s="18">
        <v>4</v>
      </c>
      <c r="M4277" s="28">
        <v>222</v>
      </c>
      <c r="N4277" s="6">
        <v>8</v>
      </c>
      <c r="O4277" s="30">
        <f t="shared" si="400"/>
        <v>888</v>
      </c>
      <c r="P4277" s="30">
        <f t="shared" si="401"/>
        <v>1776</v>
      </c>
      <c r="Q4277" s="1">
        <f>COUNTIFS($P:$P, "&gt;" &amp; $P4277) + 1</f>
        <v>3348</v>
      </c>
      <c r="R4277" s="63">
        <f>(COUNTIFS($P:$P, "&gt;" &amp; $P4277) + 1) / (COUNTA($I:$I) - 1)</f>
        <v>0.66959999999999997</v>
      </c>
      <c r="S4277" s="23">
        <f>SUMIFS($P:$P, $Q:$Q, "&lt;" &amp; $Q4277)</f>
        <v>185696889</v>
      </c>
    </row>
    <row r="4278" spans="1:19" x14ac:dyDescent="0.25">
      <c r="A4278" s="1">
        <v>4273</v>
      </c>
      <c r="B4278" s="1" t="s">
        <v>3</v>
      </c>
      <c r="C4278" s="1" t="str">
        <f>IF($B4278 = "Production Item", _xlfn.XLOOKUP($A4278, 'Instrument Table'!$J:$J, 'Instrument Table'!$B:$B, $C4277), IF($B4278 = "Service Item", _xlfn.XLOOKUP($A4278, 'Instrument Table'!$I:$I, 'Instrument Table'!$B:$B, $C4277), _xlfn.XLOOKUP($A4278, 'Instrument Table'!$H:$H, 'Instrument Table'!$B:$B, $C4277)))</f>
        <v>Saxophone</v>
      </c>
      <c r="D4278" s="1" t="str">
        <f>VLOOKUP($C4278, 'Instrument Table'!$B:$C, 2, FALSE)</f>
        <v>Woodwinds</v>
      </c>
      <c r="E4278" s="1">
        <f t="shared" si="396"/>
        <v>2</v>
      </c>
      <c r="F4278" s="1">
        <f>_xlfn.XLOOKUP($C4278, 'Instrument Table'!$B:$B, 'Instrument Table'!$A:$A, "")</f>
        <v>31</v>
      </c>
      <c r="G4278" s="1" t="str">
        <f>TEXT(IF($B4278 = "Retail Item", IF((ROW($A4278) - 4504 - _xlfn.XMATCH($C4278, $C$4506:$C$5005, 0, 1)) &lt;= VLOOKUP($C4278, 'Instrument Table'!$B:$D, 3, FALSE), ROW($A4278) - 4504 - _xlfn.XMATCH($C4278, $C$4506:$C$5005, 0, 1), 0), 0), "00")</f>
        <v>00</v>
      </c>
      <c r="H4278" s="1" t="str">
        <f t="shared" si="397"/>
        <v>012</v>
      </c>
      <c r="I4278" s="1" t="str">
        <f t="shared" si="398"/>
        <v>23100-012</v>
      </c>
      <c r="J4278" s="1" t="str">
        <f t="shared" si="399"/>
        <v>Saxophone service item #012</v>
      </c>
      <c r="K4278" s="1" t="str">
        <f>IF(SUM(COUNTIFS(I:I, I4278)) &gt; 1, "DUPLICATE", "UNIQUE")</f>
        <v>UNIQUE</v>
      </c>
      <c r="L4278" s="18">
        <v>0</v>
      </c>
      <c r="M4278" s="28">
        <v>144</v>
      </c>
      <c r="N4278" s="6">
        <v>64</v>
      </c>
      <c r="O4278" s="30">
        <f t="shared" si="400"/>
        <v>0</v>
      </c>
      <c r="P4278" s="30">
        <f t="shared" si="401"/>
        <v>9216</v>
      </c>
      <c r="Q4278" s="1">
        <f>COUNTIFS($P:$P, "&gt;" &amp; $P4278) + 1</f>
        <v>1850</v>
      </c>
      <c r="R4278" s="63">
        <f>(COUNTIFS($P:$P, "&gt;" &amp; $P4278) + 1) / (COUNTA($I:$I) - 1)</f>
        <v>0.37</v>
      </c>
      <c r="S4278" s="23">
        <f>SUMIFS($P:$P, $Q:$Q, "&lt;" &amp; $Q4278)</f>
        <v>178713824</v>
      </c>
    </row>
    <row r="4279" spans="1:19" x14ac:dyDescent="0.25">
      <c r="A4279" s="1">
        <v>4274</v>
      </c>
      <c r="B4279" s="1" t="s">
        <v>3</v>
      </c>
      <c r="C4279" s="1" t="str">
        <f>IF($B4279 = "Production Item", _xlfn.XLOOKUP($A4279, 'Instrument Table'!$J:$J, 'Instrument Table'!$B:$B, $C4278), IF($B4279 = "Service Item", _xlfn.XLOOKUP($A4279, 'Instrument Table'!$I:$I, 'Instrument Table'!$B:$B, $C4278), _xlfn.XLOOKUP($A4279, 'Instrument Table'!$H:$H, 'Instrument Table'!$B:$B, $C4278)))</f>
        <v>Saxophone</v>
      </c>
      <c r="D4279" s="1" t="str">
        <f>VLOOKUP($C4279, 'Instrument Table'!$B:$C, 2, FALSE)</f>
        <v>Woodwinds</v>
      </c>
      <c r="E4279" s="1">
        <f t="shared" si="396"/>
        <v>2</v>
      </c>
      <c r="F4279" s="1">
        <f>_xlfn.XLOOKUP($C4279, 'Instrument Table'!$B:$B, 'Instrument Table'!$A:$A, "")</f>
        <v>31</v>
      </c>
      <c r="G4279" s="1" t="str">
        <f>TEXT(IF($B4279 = "Retail Item", IF((ROW($A4279) - 4504 - _xlfn.XMATCH($C4279, $C$4506:$C$5005, 0, 1)) &lt;= VLOOKUP($C4279, 'Instrument Table'!$B:$D, 3, FALSE), ROW($A4279) - 4504 - _xlfn.XMATCH($C4279, $C$4506:$C$5005, 0, 1), 0), 0), "00")</f>
        <v>00</v>
      </c>
      <c r="H4279" s="1" t="str">
        <f t="shared" si="397"/>
        <v>013</v>
      </c>
      <c r="I4279" s="1" t="str">
        <f t="shared" si="398"/>
        <v>23100-013</v>
      </c>
      <c r="J4279" s="1" t="str">
        <f t="shared" si="399"/>
        <v>Saxophone service item #013</v>
      </c>
      <c r="K4279" s="1" t="str">
        <f>IF(SUM(COUNTIFS(I:I, I4279)) &gt; 1, "DUPLICATE", "UNIQUE")</f>
        <v>UNIQUE</v>
      </c>
      <c r="L4279" s="18">
        <v>1</v>
      </c>
      <c r="M4279" s="28">
        <v>125</v>
      </c>
      <c r="N4279" s="6">
        <v>8</v>
      </c>
      <c r="O4279" s="30">
        <f t="shared" si="400"/>
        <v>125</v>
      </c>
      <c r="P4279" s="30">
        <f t="shared" si="401"/>
        <v>1000</v>
      </c>
      <c r="Q4279" s="1">
        <f>COUNTIFS($P:$P, "&gt;" &amp; $P4279) + 1</f>
        <v>3679</v>
      </c>
      <c r="R4279" s="63">
        <f>(COUNTIFS($P:$P, "&gt;" &amp; $P4279) + 1) / (COUNTA($I:$I) - 1)</f>
        <v>0.73580000000000001</v>
      </c>
      <c r="S4279" s="23">
        <f>SUMIFS($P:$P, $Q:$Q, "&lt;" &amp; $Q4279)</f>
        <v>186158143</v>
      </c>
    </row>
    <row r="4280" spans="1:19" x14ac:dyDescent="0.25">
      <c r="A4280" s="1">
        <v>4275</v>
      </c>
      <c r="B4280" s="1" t="s">
        <v>3</v>
      </c>
      <c r="C4280" s="1" t="str">
        <f>IF($B4280 = "Production Item", _xlfn.XLOOKUP($A4280, 'Instrument Table'!$J:$J, 'Instrument Table'!$B:$B, $C4279), IF($B4280 = "Service Item", _xlfn.XLOOKUP($A4280, 'Instrument Table'!$I:$I, 'Instrument Table'!$B:$B, $C4279), _xlfn.XLOOKUP($A4280, 'Instrument Table'!$H:$H, 'Instrument Table'!$B:$B, $C4279)))</f>
        <v>Saxophone</v>
      </c>
      <c r="D4280" s="1" t="str">
        <f>VLOOKUP($C4280, 'Instrument Table'!$B:$C, 2, FALSE)</f>
        <v>Woodwinds</v>
      </c>
      <c r="E4280" s="1">
        <f t="shared" si="396"/>
        <v>2</v>
      </c>
      <c r="F4280" s="1">
        <f>_xlfn.XLOOKUP($C4280, 'Instrument Table'!$B:$B, 'Instrument Table'!$A:$A, "")</f>
        <v>31</v>
      </c>
      <c r="G4280" s="1" t="str">
        <f>TEXT(IF($B4280 = "Retail Item", IF((ROW($A4280) - 4504 - _xlfn.XMATCH($C4280, $C$4506:$C$5005, 0, 1)) &lt;= VLOOKUP($C4280, 'Instrument Table'!$B:$D, 3, FALSE), ROW($A4280) - 4504 - _xlfn.XMATCH($C4280, $C$4506:$C$5005, 0, 1), 0), 0), "00")</f>
        <v>00</v>
      </c>
      <c r="H4280" s="1" t="str">
        <f t="shared" si="397"/>
        <v>014</v>
      </c>
      <c r="I4280" s="1" t="str">
        <f t="shared" si="398"/>
        <v>23100-014</v>
      </c>
      <c r="J4280" s="1" t="str">
        <f t="shared" si="399"/>
        <v>Saxophone service item #014</v>
      </c>
      <c r="K4280" s="1" t="str">
        <f>IF(SUM(COUNTIFS(I:I, I4280)) &gt; 1, "DUPLICATE", "UNIQUE")</f>
        <v>UNIQUE</v>
      </c>
      <c r="L4280" s="18">
        <v>7</v>
      </c>
      <c r="M4280" s="28">
        <v>134</v>
      </c>
      <c r="N4280" s="6">
        <v>1</v>
      </c>
      <c r="O4280" s="30">
        <f t="shared" si="400"/>
        <v>938</v>
      </c>
      <c r="P4280" s="30">
        <f t="shared" si="401"/>
        <v>134</v>
      </c>
      <c r="Q4280" s="1">
        <f>COUNTIFS($P:$P, "&gt;" &amp; $P4280) + 1</f>
        <v>4414</v>
      </c>
      <c r="R4280" s="63">
        <f>(COUNTIFS($P:$P, "&gt;" &amp; $P4280) + 1) / (COUNTA($I:$I) - 1)</f>
        <v>0.88280000000000003</v>
      </c>
      <c r="S4280" s="23">
        <f>SUMIFS($P:$P, $Q:$Q, "&lt;" &amp; $Q4280)</f>
        <v>186527987</v>
      </c>
    </row>
    <row r="4281" spans="1:19" x14ac:dyDescent="0.25">
      <c r="A4281" s="1">
        <v>4276</v>
      </c>
      <c r="B4281" s="1" t="s">
        <v>3</v>
      </c>
      <c r="C4281" s="1" t="str">
        <f>IF($B4281 = "Production Item", _xlfn.XLOOKUP($A4281, 'Instrument Table'!$J:$J, 'Instrument Table'!$B:$B, $C4280), IF($B4281 = "Service Item", _xlfn.XLOOKUP($A4281, 'Instrument Table'!$I:$I, 'Instrument Table'!$B:$B, $C4280), _xlfn.XLOOKUP($A4281, 'Instrument Table'!$H:$H, 'Instrument Table'!$B:$B, $C4280)))</f>
        <v>Saxophone</v>
      </c>
      <c r="D4281" s="1" t="str">
        <f>VLOOKUP($C4281, 'Instrument Table'!$B:$C, 2, FALSE)</f>
        <v>Woodwinds</v>
      </c>
      <c r="E4281" s="1">
        <f t="shared" si="396"/>
        <v>2</v>
      </c>
      <c r="F4281" s="1">
        <f>_xlfn.XLOOKUP($C4281, 'Instrument Table'!$B:$B, 'Instrument Table'!$A:$A, "")</f>
        <v>31</v>
      </c>
      <c r="G4281" s="1" t="str">
        <f>TEXT(IF($B4281 = "Retail Item", IF((ROW($A4281) - 4504 - _xlfn.XMATCH($C4281, $C$4506:$C$5005, 0, 1)) &lt;= VLOOKUP($C4281, 'Instrument Table'!$B:$D, 3, FALSE), ROW($A4281) - 4504 - _xlfn.XMATCH($C4281, $C$4506:$C$5005, 0, 1), 0), 0), "00")</f>
        <v>00</v>
      </c>
      <c r="H4281" s="1" t="str">
        <f t="shared" si="397"/>
        <v>015</v>
      </c>
      <c r="I4281" s="1" t="str">
        <f t="shared" si="398"/>
        <v>23100-015</v>
      </c>
      <c r="J4281" s="1" t="str">
        <f t="shared" si="399"/>
        <v>Saxophone service item #015</v>
      </c>
      <c r="K4281" s="1" t="str">
        <f>IF(SUM(COUNTIFS(I:I, I4281)) &gt; 1, "DUPLICATE", "UNIQUE")</f>
        <v>UNIQUE</v>
      </c>
      <c r="L4281" s="18">
        <v>0</v>
      </c>
      <c r="M4281" s="28">
        <v>9</v>
      </c>
      <c r="N4281" s="6">
        <v>1</v>
      </c>
      <c r="O4281" s="30">
        <f t="shared" si="400"/>
        <v>0</v>
      </c>
      <c r="P4281" s="30">
        <f t="shared" si="401"/>
        <v>9</v>
      </c>
      <c r="Q4281" s="1">
        <f>COUNTIFS($P:$P, "&gt;" &amp; $P4281) + 1</f>
        <v>4723</v>
      </c>
      <c r="R4281" s="63">
        <f>(COUNTIFS($P:$P, "&gt;" &amp; $P4281) + 1) / (COUNTA($I:$I) - 1)</f>
        <v>0.9446</v>
      </c>
      <c r="S4281" s="23">
        <f>SUMIFS($P:$P, $Q:$Q, "&lt;" &amp; $Q4281)</f>
        <v>186547723</v>
      </c>
    </row>
    <row r="4282" spans="1:19" x14ac:dyDescent="0.25">
      <c r="A4282" s="1">
        <v>4277</v>
      </c>
      <c r="B4282" s="1" t="s">
        <v>3</v>
      </c>
      <c r="C4282" s="1" t="str">
        <f>IF($B4282 = "Production Item", _xlfn.XLOOKUP($A4282, 'Instrument Table'!$J:$J, 'Instrument Table'!$B:$B, $C4281), IF($B4282 = "Service Item", _xlfn.XLOOKUP($A4282, 'Instrument Table'!$I:$I, 'Instrument Table'!$B:$B, $C4281), _xlfn.XLOOKUP($A4282, 'Instrument Table'!$H:$H, 'Instrument Table'!$B:$B, $C4281)))</f>
        <v>Saxophone</v>
      </c>
      <c r="D4282" s="1" t="str">
        <f>VLOOKUP($C4282, 'Instrument Table'!$B:$C, 2, FALSE)</f>
        <v>Woodwinds</v>
      </c>
      <c r="E4282" s="1">
        <f t="shared" si="396"/>
        <v>2</v>
      </c>
      <c r="F4282" s="1">
        <f>_xlfn.XLOOKUP($C4282, 'Instrument Table'!$B:$B, 'Instrument Table'!$A:$A, "")</f>
        <v>31</v>
      </c>
      <c r="G4282" s="1" t="str">
        <f>TEXT(IF($B4282 = "Retail Item", IF((ROW($A4282) - 4504 - _xlfn.XMATCH($C4282, $C$4506:$C$5005, 0, 1)) &lt;= VLOOKUP($C4282, 'Instrument Table'!$B:$D, 3, FALSE), ROW($A4282) - 4504 - _xlfn.XMATCH($C4282, $C$4506:$C$5005, 0, 1), 0), 0), "00")</f>
        <v>00</v>
      </c>
      <c r="H4282" s="1" t="str">
        <f t="shared" si="397"/>
        <v>016</v>
      </c>
      <c r="I4282" s="1" t="str">
        <f t="shared" si="398"/>
        <v>23100-016</v>
      </c>
      <c r="J4282" s="1" t="str">
        <f t="shared" si="399"/>
        <v>Saxophone service item #016</v>
      </c>
      <c r="K4282" s="1" t="str">
        <f>IF(SUM(COUNTIFS(I:I, I4282)) &gt; 1, "DUPLICATE", "UNIQUE")</f>
        <v>UNIQUE</v>
      </c>
      <c r="L4282" s="18">
        <v>3</v>
      </c>
      <c r="M4282" s="28">
        <v>869</v>
      </c>
      <c r="N4282" s="6">
        <v>8</v>
      </c>
      <c r="O4282" s="30">
        <f t="shared" si="400"/>
        <v>2607</v>
      </c>
      <c r="P4282" s="30">
        <f t="shared" si="401"/>
        <v>6952</v>
      </c>
      <c r="Q4282" s="1">
        <f>COUNTIFS($P:$P, "&gt;" &amp; $P4282) + 1</f>
        <v>2142</v>
      </c>
      <c r="R4282" s="63">
        <f>(COUNTIFS($P:$P, "&gt;" &amp; $P4282) + 1) / (COUNTA($I:$I) - 1)</f>
        <v>0.4284</v>
      </c>
      <c r="S4282" s="23">
        <f>SUMIFS($P:$P, $Q:$Q, "&lt;" &amp; $Q4282)</f>
        <v>181058292</v>
      </c>
    </row>
    <row r="4283" spans="1:19" x14ac:dyDescent="0.25">
      <c r="A4283" s="1">
        <v>4278</v>
      </c>
      <c r="B4283" s="1" t="s">
        <v>3</v>
      </c>
      <c r="C4283" s="1" t="str">
        <f>IF($B4283 = "Production Item", _xlfn.XLOOKUP($A4283, 'Instrument Table'!$J:$J, 'Instrument Table'!$B:$B, $C4282), IF($B4283 = "Service Item", _xlfn.XLOOKUP($A4283, 'Instrument Table'!$I:$I, 'Instrument Table'!$B:$B, $C4282), _xlfn.XLOOKUP($A4283, 'Instrument Table'!$H:$H, 'Instrument Table'!$B:$B, $C4282)))</f>
        <v>Saxophone</v>
      </c>
      <c r="D4283" s="1" t="str">
        <f>VLOOKUP($C4283, 'Instrument Table'!$B:$C, 2, FALSE)</f>
        <v>Woodwinds</v>
      </c>
      <c r="E4283" s="1">
        <f t="shared" si="396"/>
        <v>2</v>
      </c>
      <c r="F4283" s="1">
        <f>_xlfn.XLOOKUP($C4283, 'Instrument Table'!$B:$B, 'Instrument Table'!$A:$A, "")</f>
        <v>31</v>
      </c>
      <c r="G4283" s="1" t="str">
        <f>TEXT(IF($B4283 = "Retail Item", IF((ROW($A4283) - 4504 - _xlfn.XMATCH($C4283, $C$4506:$C$5005, 0, 1)) &lt;= VLOOKUP($C4283, 'Instrument Table'!$B:$D, 3, FALSE), ROW($A4283) - 4504 - _xlfn.XMATCH($C4283, $C$4506:$C$5005, 0, 1), 0), 0), "00")</f>
        <v>00</v>
      </c>
      <c r="H4283" s="1" t="str">
        <f t="shared" si="397"/>
        <v>017</v>
      </c>
      <c r="I4283" s="1" t="str">
        <f t="shared" si="398"/>
        <v>23100-017</v>
      </c>
      <c r="J4283" s="1" t="str">
        <f t="shared" si="399"/>
        <v>Saxophone service item #017</v>
      </c>
      <c r="K4283" s="1" t="str">
        <f>IF(SUM(COUNTIFS(I:I, I4283)) &gt; 1, "DUPLICATE", "UNIQUE")</f>
        <v>UNIQUE</v>
      </c>
      <c r="L4283" s="18">
        <v>8</v>
      </c>
      <c r="M4283" s="28">
        <v>498</v>
      </c>
      <c r="N4283" s="6">
        <v>125</v>
      </c>
      <c r="O4283" s="30">
        <f t="shared" si="400"/>
        <v>3984</v>
      </c>
      <c r="P4283" s="30">
        <f t="shared" si="401"/>
        <v>62250</v>
      </c>
      <c r="Q4283" s="1">
        <f>COUNTIFS($P:$P, "&gt;" &amp; $P4283) + 1</f>
        <v>494</v>
      </c>
      <c r="R4283" s="63">
        <f>(COUNTIFS($P:$P, "&gt;" &amp; $P4283) + 1) / (COUNTA($I:$I) - 1)</f>
        <v>9.8799999999999999E-2</v>
      </c>
      <c r="S4283" s="23">
        <f>SUMIFS($P:$P, $Q:$Q, "&lt;" &amp; $Q4283)</f>
        <v>151097739</v>
      </c>
    </row>
    <row r="4284" spans="1:19" x14ac:dyDescent="0.25">
      <c r="A4284" s="1">
        <v>4279</v>
      </c>
      <c r="B4284" s="1" t="s">
        <v>3</v>
      </c>
      <c r="C4284" s="1" t="str">
        <f>IF($B4284 = "Production Item", _xlfn.XLOOKUP($A4284, 'Instrument Table'!$J:$J, 'Instrument Table'!$B:$B, $C4283), IF($B4284 = "Service Item", _xlfn.XLOOKUP($A4284, 'Instrument Table'!$I:$I, 'Instrument Table'!$B:$B, $C4283), _xlfn.XLOOKUP($A4284, 'Instrument Table'!$H:$H, 'Instrument Table'!$B:$B, $C4283)))</f>
        <v>Saxophone</v>
      </c>
      <c r="D4284" s="1" t="str">
        <f>VLOOKUP($C4284, 'Instrument Table'!$B:$C, 2, FALSE)</f>
        <v>Woodwinds</v>
      </c>
      <c r="E4284" s="1">
        <f t="shared" si="396"/>
        <v>2</v>
      </c>
      <c r="F4284" s="1">
        <f>_xlfn.XLOOKUP($C4284, 'Instrument Table'!$B:$B, 'Instrument Table'!$A:$A, "")</f>
        <v>31</v>
      </c>
      <c r="G4284" s="1" t="str">
        <f>TEXT(IF($B4284 = "Retail Item", IF((ROW($A4284) - 4504 - _xlfn.XMATCH($C4284, $C$4506:$C$5005, 0, 1)) &lt;= VLOOKUP($C4284, 'Instrument Table'!$B:$D, 3, FALSE), ROW($A4284) - 4504 - _xlfn.XMATCH($C4284, $C$4506:$C$5005, 0, 1), 0), 0), "00")</f>
        <v>00</v>
      </c>
      <c r="H4284" s="1" t="str">
        <f t="shared" si="397"/>
        <v>018</v>
      </c>
      <c r="I4284" s="1" t="str">
        <f t="shared" si="398"/>
        <v>23100-018</v>
      </c>
      <c r="J4284" s="1" t="str">
        <f t="shared" si="399"/>
        <v>Saxophone service item #018</v>
      </c>
      <c r="K4284" s="1" t="str">
        <f>IF(SUM(COUNTIFS(I:I, I4284)) &gt; 1, "DUPLICATE", "UNIQUE")</f>
        <v>UNIQUE</v>
      </c>
      <c r="L4284" s="18">
        <v>0</v>
      </c>
      <c r="M4284" s="28">
        <v>163</v>
      </c>
      <c r="N4284" s="6">
        <v>64</v>
      </c>
      <c r="O4284" s="30">
        <f t="shared" si="400"/>
        <v>0</v>
      </c>
      <c r="P4284" s="30">
        <f t="shared" si="401"/>
        <v>10432</v>
      </c>
      <c r="Q4284" s="1">
        <f>COUNTIFS($P:$P, "&gt;" &amp; $P4284) + 1</f>
        <v>1736</v>
      </c>
      <c r="R4284" s="63">
        <f>(COUNTIFS($P:$P, "&gt;" &amp; $P4284) + 1) / (COUNTA($I:$I) - 1)</f>
        <v>0.34720000000000001</v>
      </c>
      <c r="S4284" s="23">
        <f>SUMIFS($P:$P, $Q:$Q, "&lt;" &amp; $Q4284)</f>
        <v>177596956</v>
      </c>
    </row>
    <row r="4285" spans="1:19" x14ac:dyDescent="0.25">
      <c r="A4285" s="1">
        <v>4280</v>
      </c>
      <c r="B4285" s="1" t="s">
        <v>3</v>
      </c>
      <c r="C4285" s="1" t="str">
        <f>IF($B4285 = "Production Item", _xlfn.XLOOKUP($A4285, 'Instrument Table'!$J:$J, 'Instrument Table'!$B:$B, $C4284), IF($B4285 = "Service Item", _xlfn.XLOOKUP($A4285, 'Instrument Table'!$I:$I, 'Instrument Table'!$B:$B, $C4284), _xlfn.XLOOKUP($A4285, 'Instrument Table'!$H:$H, 'Instrument Table'!$B:$B, $C4284)))</f>
        <v>Saxophone</v>
      </c>
      <c r="D4285" s="1" t="str">
        <f>VLOOKUP($C4285, 'Instrument Table'!$B:$C, 2, FALSE)</f>
        <v>Woodwinds</v>
      </c>
      <c r="E4285" s="1">
        <f t="shared" si="396"/>
        <v>2</v>
      </c>
      <c r="F4285" s="1">
        <f>_xlfn.XLOOKUP($C4285, 'Instrument Table'!$B:$B, 'Instrument Table'!$A:$A, "")</f>
        <v>31</v>
      </c>
      <c r="G4285" s="1" t="str">
        <f>TEXT(IF($B4285 = "Retail Item", IF((ROW($A4285) - 4504 - _xlfn.XMATCH($C4285, $C$4506:$C$5005, 0, 1)) &lt;= VLOOKUP($C4285, 'Instrument Table'!$B:$D, 3, FALSE), ROW($A4285) - 4504 - _xlfn.XMATCH($C4285, $C$4506:$C$5005, 0, 1), 0), 0), "00")</f>
        <v>00</v>
      </c>
      <c r="H4285" s="1" t="str">
        <f t="shared" si="397"/>
        <v>019</v>
      </c>
      <c r="I4285" s="1" t="str">
        <f t="shared" si="398"/>
        <v>23100-019</v>
      </c>
      <c r="J4285" s="1" t="str">
        <f t="shared" si="399"/>
        <v>Saxophone service item #019</v>
      </c>
      <c r="K4285" s="1" t="str">
        <f>IF(SUM(COUNTIFS(I:I, I4285)) &gt; 1, "DUPLICATE", "UNIQUE")</f>
        <v>UNIQUE</v>
      </c>
      <c r="L4285" s="18">
        <v>3</v>
      </c>
      <c r="M4285" s="28">
        <v>448</v>
      </c>
      <c r="N4285" s="6">
        <v>27</v>
      </c>
      <c r="O4285" s="30">
        <f t="shared" si="400"/>
        <v>1344</v>
      </c>
      <c r="P4285" s="30">
        <f t="shared" si="401"/>
        <v>12096</v>
      </c>
      <c r="Q4285" s="1">
        <f>COUNTIFS($P:$P, "&gt;" &amp; $P4285) + 1</f>
        <v>1572</v>
      </c>
      <c r="R4285" s="63">
        <f>(COUNTIFS($P:$P, "&gt;" &amp; $P4285) + 1) / (COUNTA($I:$I) - 1)</f>
        <v>0.31440000000000001</v>
      </c>
      <c r="S4285" s="23">
        <f>SUMIFS($P:$P, $Q:$Q, "&lt;" &amp; $Q4285)</f>
        <v>175743737</v>
      </c>
    </row>
    <row r="4286" spans="1:19" x14ac:dyDescent="0.25">
      <c r="A4286" s="1">
        <v>4281</v>
      </c>
      <c r="B4286" s="1" t="s">
        <v>3</v>
      </c>
      <c r="C4286" s="1" t="str">
        <f>IF($B4286 = "Production Item", _xlfn.XLOOKUP($A4286, 'Instrument Table'!$J:$J, 'Instrument Table'!$B:$B, $C4285), IF($B4286 = "Service Item", _xlfn.XLOOKUP($A4286, 'Instrument Table'!$I:$I, 'Instrument Table'!$B:$B, $C4285), _xlfn.XLOOKUP($A4286, 'Instrument Table'!$H:$H, 'Instrument Table'!$B:$B, $C4285)))</f>
        <v>Flute</v>
      </c>
      <c r="D4286" s="1" t="str">
        <f>VLOOKUP($C4286, 'Instrument Table'!$B:$C, 2, FALSE)</f>
        <v>Woodwinds</v>
      </c>
      <c r="E4286" s="1">
        <f t="shared" si="396"/>
        <v>2</v>
      </c>
      <c r="F4286" s="1">
        <f>_xlfn.XLOOKUP($C4286, 'Instrument Table'!$B:$B, 'Instrument Table'!$A:$A, "")</f>
        <v>32</v>
      </c>
      <c r="G4286" s="1" t="str">
        <f>TEXT(IF($B4286 = "Retail Item", IF((ROW($A4286) - 4504 - _xlfn.XMATCH($C4286, $C$4506:$C$5005, 0, 1)) &lt;= VLOOKUP($C4286, 'Instrument Table'!$B:$D, 3, FALSE), ROW($A4286) - 4504 - _xlfn.XMATCH($C4286, $C$4506:$C$5005, 0, 1), 0), 0), "00")</f>
        <v>00</v>
      </c>
      <c r="H4286" s="1" t="str">
        <f t="shared" si="397"/>
        <v>000</v>
      </c>
      <c r="I4286" s="1" t="str">
        <f t="shared" si="398"/>
        <v>23200-000</v>
      </c>
      <c r="J4286" s="1" t="str">
        <f t="shared" si="399"/>
        <v>Flute service item #000</v>
      </c>
      <c r="K4286" s="1" t="str">
        <f>IF(SUM(COUNTIFS(I:I, I4286)) &gt; 1, "DUPLICATE", "UNIQUE")</f>
        <v>UNIQUE</v>
      </c>
      <c r="L4286" s="18">
        <v>2</v>
      </c>
      <c r="M4286" s="28">
        <v>919</v>
      </c>
      <c r="N4286" s="6">
        <v>27</v>
      </c>
      <c r="O4286" s="30">
        <f t="shared" si="400"/>
        <v>1838</v>
      </c>
      <c r="P4286" s="30">
        <f t="shared" si="401"/>
        <v>24813</v>
      </c>
      <c r="Q4286" s="1">
        <f>COUNTIFS($P:$P, "&gt;" &amp; $P4286) + 1</f>
        <v>837</v>
      </c>
      <c r="R4286" s="63">
        <f>(COUNTIFS($P:$P, "&gt;" &amp; $P4286) + 1) / (COUNTA($I:$I) - 1)</f>
        <v>0.16739999999999999</v>
      </c>
      <c r="S4286" s="23">
        <f>SUMIFS($P:$P, $Q:$Q, "&lt;" &amp; $Q4286)</f>
        <v>162763527</v>
      </c>
    </row>
    <row r="4287" spans="1:19" x14ac:dyDescent="0.25">
      <c r="A4287" s="1">
        <v>4282</v>
      </c>
      <c r="B4287" s="1" t="s">
        <v>3</v>
      </c>
      <c r="C4287" s="1" t="str">
        <f>IF($B4287 = "Production Item", _xlfn.XLOOKUP($A4287, 'Instrument Table'!$J:$J, 'Instrument Table'!$B:$B, $C4286), IF($B4287 = "Service Item", _xlfn.XLOOKUP($A4287, 'Instrument Table'!$I:$I, 'Instrument Table'!$B:$B, $C4286), _xlfn.XLOOKUP($A4287, 'Instrument Table'!$H:$H, 'Instrument Table'!$B:$B, $C4286)))</f>
        <v>Flute</v>
      </c>
      <c r="D4287" s="1" t="str">
        <f>VLOOKUP($C4287, 'Instrument Table'!$B:$C, 2, FALSE)</f>
        <v>Woodwinds</v>
      </c>
      <c r="E4287" s="1">
        <f t="shared" si="396"/>
        <v>2</v>
      </c>
      <c r="F4287" s="1">
        <f>_xlfn.XLOOKUP($C4287, 'Instrument Table'!$B:$B, 'Instrument Table'!$A:$A, "")</f>
        <v>32</v>
      </c>
      <c r="G4287" s="1" t="str">
        <f>TEXT(IF($B4287 = "Retail Item", IF((ROW($A4287) - 4504 - _xlfn.XMATCH($C4287, $C$4506:$C$5005, 0, 1)) &lt;= VLOOKUP($C4287, 'Instrument Table'!$B:$D, 3, FALSE), ROW($A4287) - 4504 - _xlfn.XMATCH($C4287, $C$4506:$C$5005, 0, 1), 0), 0), "00")</f>
        <v>00</v>
      </c>
      <c r="H4287" s="1" t="str">
        <f t="shared" si="397"/>
        <v>001</v>
      </c>
      <c r="I4287" s="1" t="str">
        <f t="shared" si="398"/>
        <v>23200-001</v>
      </c>
      <c r="J4287" s="1" t="str">
        <f t="shared" si="399"/>
        <v>Flute service item #001</v>
      </c>
      <c r="K4287" s="1" t="str">
        <f>IF(SUM(COUNTIFS(I:I, I4287)) &gt; 1, "DUPLICATE", "UNIQUE")</f>
        <v>UNIQUE</v>
      </c>
      <c r="L4287" s="18">
        <v>10</v>
      </c>
      <c r="M4287" s="28">
        <v>34</v>
      </c>
      <c r="N4287" s="6">
        <v>0</v>
      </c>
      <c r="O4287" s="30">
        <f t="shared" si="400"/>
        <v>340</v>
      </c>
      <c r="P4287" s="30">
        <f t="shared" si="401"/>
        <v>0</v>
      </c>
      <c r="Q4287" s="1">
        <f>COUNTIFS($P:$P, "&gt;" &amp; $P4287) + 1</f>
        <v>4746</v>
      </c>
      <c r="R4287" s="63">
        <f>(COUNTIFS($P:$P, "&gt;" &amp; $P4287) + 1) / (COUNTA($I:$I) - 1)</f>
        <v>0.94920000000000004</v>
      </c>
      <c r="S4287" s="23">
        <f>SUMIFS($P:$P, $Q:$Q, "&lt;" &amp; $Q4287)</f>
        <v>186547861</v>
      </c>
    </row>
    <row r="4288" spans="1:19" x14ac:dyDescent="0.25">
      <c r="A4288" s="1">
        <v>4283</v>
      </c>
      <c r="B4288" s="1" t="s">
        <v>3</v>
      </c>
      <c r="C4288" s="1" t="str">
        <f>IF($B4288 = "Production Item", _xlfn.XLOOKUP($A4288, 'Instrument Table'!$J:$J, 'Instrument Table'!$B:$B, $C4287), IF($B4288 = "Service Item", _xlfn.XLOOKUP($A4288, 'Instrument Table'!$I:$I, 'Instrument Table'!$B:$B, $C4287), _xlfn.XLOOKUP($A4288, 'Instrument Table'!$H:$H, 'Instrument Table'!$B:$B, $C4287)))</f>
        <v>Flute</v>
      </c>
      <c r="D4288" s="1" t="str">
        <f>VLOOKUP($C4288, 'Instrument Table'!$B:$C, 2, FALSE)</f>
        <v>Woodwinds</v>
      </c>
      <c r="E4288" s="1">
        <f t="shared" si="396"/>
        <v>2</v>
      </c>
      <c r="F4288" s="1">
        <f>_xlfn.XLOOKUP($C4288, 'Instrument Table'!$B:$B, 'Instrument Table'!$A:$A, "")</f>
        <v>32</v>
      </c>
      <c r="G4288" s="1" t="str">
        <f>TEXT(IF($B4288 = "Retail Item", IF((ROW($A4288) - 4504 - _xlfn.XMATCH($C4288, $C$4506:$C$5005, 0, 1)) &lt;= VLOOKUP($C4288, 'Instrument Table'!$B:$D, 3, FALSE), ROW($A4288) - 4504 - _xlfn.XMATCH($C4288, $C$4506:$C$5005, 0, 1), 0), 0), "00")</f>
        <v>00</v>
      </c>
      <c r="H4288" s="1" t="str">
        <f t="shared" si="397"/>
        <v>002</v>
      </c>
      <c r="I4288" s="1" t="str">
        <f t="shared" si="398"/>
        <v>23200-002</v>
      </c>
      <c r="J4288" s="1" t="str">
        <f t="shared" si="399"/>
        <v>Flute service item #002</v>
      </c>
      <c r="K4288" s="1" t="str">
        <f>IF(SUM(COUNTIFS(I:I, I4288)) &gt; 1, "DUPLICATE", "UNIQUE")</f>
        <v>UNIQUE</v>
      </c>
      <c r="L4288" s="18">
        <v>2</v>
      </c>
      <c r="M4288" s="28">
        <v>906</v>
      </c>
      <c r="N4288" s="6">
        <v>0</v>
      </c>
      <c r="O4288" s="30">
        <f t="shared" si="400"/>
        <v>1812</v>
      </c>
      <c r="P4288" s="30">
        <f t="shared" si="401"/>
        <v>0</v>
      </c>
      <c r="Q4288" s="1">
        <f>COUNTIFS($P:$P, "&gt;" &amp; $P4288) + 1</f>
        <v>4746</v>
      </c>
      <c r="R4288" s="63">
        <f>(COUNTIFS($P:$P, "&gt;" &amp; $P4288) + 1) / (COUNTA($I:$I) - 1)</f>
        <v>0.94920000000000004</v>
      </c>
      <c r="S4288" s="23">
        <f>SUMIFS($P:$P, $Q:$Q, "&lt;" &amp; $Q4288)</f>
        <v>186547861</v>
      </c>
    </row>
    <row r="4289" spans="1:19" x14ac:dyDescent="0.25">
      <c r="A4289" s="1">
        <v>4284</v>
      </c>
      <c r="B4289" s="1" t="s">
        <v>3</v>
      </c>
      <c r="C4289" s="1" t="str">
        <f>IF($B4289 = "Production Item", _xlfn.XLOOKUP($A4289, 'Instrument Table'!$J:$J, 'Instrument Table'!$B:$B, $C4288), IF($B4289 = "Service Item", _xlfn.XLOOKUP($A4289, 'Instrument Table'!$I:$I, 'Instrument Table'!$B:$B, $C4288), _xlfn.XLOOKUP($A4289, 'Instrument Table'!$H:$H, 'Instrument Table'!$B:$B, $C4288)))</f>
        <v>Flute</v>
      </c>
      <c r="D4289" s="1" t="str">
        <f>VLOOKUP($C4289, 'Instrument Table'!$B:$C, 2, FALSE)</f>
        <v>Woodwinds</v>
      </c>
      <c r="E4289" s="1">
        <f t="shared" si="396"/>
        <v>2</v>
      </c>
      <c r="F4289" s="1">
        <f>_xlfn.XLOOKUP($C4289, 'Instrument Table'!$B:$B, 'Instrument Table'!$A:$A, "")</f>
        <v>32</v>
      </c>
      <c r="G4289" s="1" t="str">
        <f>TEXT(IF($B4289 = "Retail Item", IF((ROW($A4289) - 4504 - _xlfn.XMATCH($C4289, $C$4506:$C$5005, 0, 1)) &lt;= VLOOKUP($C4289, 'Instrument Table'!$B:$D, 3, FALSE), ROW($A4289) - 4504 - _xlfn.XMATCH($C4289, $C$4506:$C$5005, 0, 1), 0), 0), "00")</f>
        <v>00</v>
      </c>
      <c r="H4289" s="1" t="str">
        <f t="shared" si="397"/>
        <v>003</v>
      </c>
      <c r="I4289" s="1" t="str">
        <f t="shared" si="398"/>
        <v>23200-003</v>
      </c>
      <c r="J4289" s="1" t="str">
        <f t="shared" si="399"/>
        <v>Flute service item #003</v>
      </c>
      <c r="K4289" s="1" t="str">
        <f>IF(SUM(COUNTIFS(I:I, I4289)) &gt; 1, "DUPLICATE", "UNIQUE")</f>
        <v>UNIQUE</v>
      </c>
      <c r="L4289" s="18">
        <v>6</v>
      </c>
      <c r="M4289" s="28">
        <v>25</v>
      </c>
      <c r="N4289" s="6">
        <v>64</v>
      </c>
      <c r="O4289" s="30">
        <f t="shared" si="400"/>
        <v>150</v>
      </c>
      <c r="P4289" s="30">
        <f t="shared" si="401"/>
        <v>1600</v>
      </c>
      <c r="Q4289" s="1">
        <f>COUNTIFS($P:$P, "&gt;" &amp; $P4289) + 1</f>
        <v>3401</v>
      </c>
      <c r="R4289" s="63">
        <f>(COUNTIFS($P:$P, "&gt;" &amp; $P4289) + 1) / (COUNTA($I:$I) - 1)</f>
        <v>0.68020000000000003</v>
      </c>
      <c r="S4289" s="23">
        <f>SUMIFS($P:$P, $Q:$Q, "&lt;" &amp; $Q4289)</f>
        <v>185786623</v>
      </c>
    </row>
    <row r="4290" spans="1:19" x14ac:dyDescent="0.25">
      <c r="A4290" s="1">
        <v>4285</v>
      </c>
      <c r="B4290" s="1" t="s">
        <v>3</v>
      </c>
      <c r="C4290" s="1" t="str">
        <f>IF($B4290 = "Production Item", _xlfn.XLOOKUP($A4290, 'Instrument Table'!$J:$J, 'Instrument Table'!$B:$B, $C4289), IF($B4290 = "Service Item", _xlfn.XLOOKUP($A4290, 'Instrument Table'!$I:$I, 'Instrument Table'!$B:$B, $C4289), _xlfn.XLOOKUP($A4290, 'Instrument Table'!$H:$H, 'Instrument Table'!$B:$B, $C4289)))</f>
        <v>Flute</v>
      </c>
      <c r="D4290" s="1" t="str">
        <f>VLOOKUP($C4290, 'Instrument Table'!$B:$C, 2, FALSE)</f>
        <v>Woodwinds</v>
      </c>
      <c r="E4290" s="1">
        <f t="shared" si="396"/>
        <v>2</v>
      </c>
      <c r="F4290" s="1">
        <f>_xlfn.XLOOKUP($C4290, 'Instrument Table'!$B:$B, 'Instrument Table'!$A:$A, "")</f>
        <v>32</v>
      </c>
      <c r="G4290" s="1" t="str">
        <f>TEXT(IF($B4290 = "Retail Item", IF((ROW($A4290) - 4504 - _xlfn.XMATCH($C4290, $C$4506:$C$5005, 0, 1)) &lt;= VLOOKUP($C4290, 'Instrument Table'!$B:$D, 3, FALSE), ROW($A4290) - 4504 - _xlfn.XMATCH($C4290, $C$4506:$C$5005, 0, 1), 0), 0), "00")</f>
        <v>00</v>
      </c>
      <c r="H4290" s="1" t="str">
        <f t="shared" si="397"/>
        <v>004</v>
      </c>
      <c r="I4290" s="1" t="str">
        <f t="shared" si="398"/>
        <v>23200-004</v>
      </c>
      <c r="J4290" s="1" t="str">
        <f t="shared" si="399"/>
        <v>Flute service item #004</v>
      </c>
      <c r="K4290" s="1" t="str">
        <f>IF(SUM(COUNTIFS(I:I, I4290)) &gt; 1, "DUPLICATE", "UNIQUE")</f>
        <v>UNIQUE</v>
      </c>
      <c r="L4290" s="18">
        <v>4</v>
      </c>
      <c r="M4290" s="28">
        <v>938</v>
      </c>
      <c r="N4290" s="6">
        <v>125</v>
      </c>
      <c r="O4290" s="30">
        <f t="shared" si="400"/>
        <v>3752</v>
      </c>
      <c r="P4290" s="30">
        <f t="shared" si="401"/>
        <v>117250</v>
      </c>
      <c r="Q4290" s="1">
        <f>COUNTIFS($P:$P, "&gt;" &amp; $P4290) + 1</f>
        <v>377</v>
      </c>
      <c r="R4290" s="63">
        <f>(COUNTIFS($P:$P, "&gt;" &amp; $P4290) + 1) / (COUNTA($I:$I) - 1)</f>
        <v>7.5399999999999995E-2</v>
      </c>
      <c r="S4290" s="23">
        <f>SUMIFS($P:$P, $Q:$Q, "&lt;" &amp; $Q4290)</f>
        <v>140856991</v>
      </c>
    </row>
    <row r="4291" spans="1:19" x14ac:dyDescent="0.25">
      <c r="A4291" s="1">
        <v>4286</v>
      </c>
      <c r="B4291" s="1" t="s">
        <v>3</v>
      </c>
      <c r="C4291" s="1" t="str">
        <f>IF($B4291 = "Production Item", _xlfn.XLOOKUP($A4291, 'Instrument Table'!$J:$J, 'Instrument Table'!$B:$B, $C4290), IF($B4291 = "Service Item", _xlfn.XLOOKUP($A4291, 'Instrument Table'!$I:$I, 'Instrument Table'!$B:$B, $C4290), _xlfn.XLOOKUP($A4291, 'Instrument Table'!$H:$H, 'Instrument Table'!$B:$B, $C4290)))</f>
        <v>Piccolo</v>
      </c>
      <c r="D4291" s="1" t="str">
        <f>VLOOKUP($C4291, 'Instrument Table'!$B:$C, 2, FALSE)</f>
        <v>Woodwinds</v>
      </c>
      <c r="E4291" s="1">
        <f t="shared" si="396"/>
        <v>2</v>
      </c>
      <c r="F4291" s="1">
        <f>_xlfn.XLOOKUP($C4291, 'Instrument Table'!$B:$B, 'Instrument Table'!$A:$A, "")</f>
        <v>33</v>
      </c>
      <c r="G4291" s="1" t="str">
        <f>TEXT(IF($B4291 = "Retail Item", IF((ROW($A4291) - 4504 - _xlfn.XMATCH($C4291, $C$4506:$C$5005, 0, 1)) &lt;= VLOOKUP($C4291, 'Instrument Table'!$B:$D, 3, FALSE), ROW($A4291) - 4504 - _xlfn.XMATCH($C4291, $C$4506:$C$5005, 0, 1), 0), 0), "00")</f>
        <v>00</v>
      </c>
      <c r="H4291" s="1" t="str">
        <f t="shared" si="397"/>
        <v>000</v>
      </c>
      <c r="I4291" s="1" t="str">
        <f t="shared" si="398"/>
        <v>23300-000</v>
      </c>
      <c r="J4291" s="1" t="str">
        <f t="shared" si="399"/>
        <v>Piccolo service item #000</v>
      </c>
      <c r="K4291" s="1" t="str">
        <f>IF(SUM(COUNTIFS(I:I, I4291)) &gt; 1, "DUPLICATE", "UNIQUE")</f>
        <v>UNIQUE</v>
      </c>
      <c r="L4291" s="18">
        <v>6</v>
      </c>
      <c r="M4291" s="28">
        <v>418</v>
      </c>
      <c r="N4291" s="6">
        <v>64</v>
      </c>
      <c r="O4291" s="30">
        <f t="shared" si="400"/>
        <v>2508</v>
      </c>
      <c r="P4291" s="30">
        <f t="shared" si="401"/>
        <v>26752</v>
      </c>
      <c r="Q4291" s="1">
        <f>COUNTIFS($P:$P, "&gt;" &amp; $P4291) + 1</f>
        <v>764</v>
      </c>
      <c r="R4291" s="63">
        <f>(COUNTIFS($P:$P, "&gt;" &amp; $P4291) + 1) / (COUNTA($I:$I) - 1)</f>
        <v>0.15279999999999999</v>
      </c>
      <c r="S4291" s="23">
        <f>SUMIFS($P:$P, $Q:$Q, "&lt;" &amp; $Q4291)</f>
        <v>160882950</v>
      </c>
    </row>
    <row r="4292" spans="1:19" x14ac:dyDescent="0.25">
      <c r="A4292" s="1">
        <v>4287</v>
      </c>
      <c r="B4292" s="1" t="s">
        <v>3</v>
      </c>
      <c r="C4292" s="1" t="str">
        <f>IF($B4292 = "Production Item", _xlfn.XLOOKUP($A4292, 'Instrument Table'!$J:$J, 'Instrument Table'!$B:$B, $C4291), IF($B4292 = "Service Item", _xlfn.XLOOKUP($A4292, 'Instrument Table'!$I:$I, 'Instrument Table'!$B:$B, $C4291), _xlfn.XLOOKUP($A4292, 'Instrument Table'!$H:$H, 'Instrument Table'!$B:$B, $C4291)))</f>
        <v>Piccolo</v>
      </c>
      <c r="D4292" s="1" t="str">
        <f>VLOOKUP($C4292, 'Instrument Table'!$B:$C, 2, FALSE)</f>
        <v>Woodwinds</v>
      </c>
      <c r="E4292" s="1">
        <f t="shared" si="396"/>
        <v>2</v>
      </c>
      <c r="F4292" s="1">
        <f>_xlfn.XLOOKUP($C4292, 'Instrument Table'!$B:$B, 'Instrument Table'!$A:$A, "")</f>
        <v>33</v>
      </c>
      <c r="G4292" s="1" t="str">
        <f>TEXT(IF($B4292 = "Retail Item", IF((ROW($A4292) - 4504 - _xlfn.XMATCH($C4292, $C$4506:$C$5005, 0, 1)) &lt;= VLOOKUP($C4292, 'Instrument Table'!$B:$D, 3, FALSE), ROW($A4292) - 4504 - _xlfn.XMATCH($C4292, $C$4506:$C$5005, 0, 1), 0), 0), "00")</f>
        <v>00</v>
      </c>
      <c r="H4292" s="1" t="str">
        <f t="shared" si="397"/>
        <v>001</v>
      </c>
      <c r="I4292" s="1" t="str">
        <f t="shared" si="398"/>
        <v>23300-001</v>
      </c>
      <c r="J4292" s="1" t="str">
        <f t="shared" si="399"/>
        <v>Piccolo service item #001</v>
      </c>
      <c r="K4292" s="1" t="str">
        <f>IF(SUM(COUNTIFS(I:I, I4292)) &gt; 1, "DUPLICATE", "UNIQUE")</f>
        <v>UNIQUE</v>
      </c>
      <c r="L4292" s="18">
        <v>2</v>
      </c>
      <c r="M4292" s="28">
        <v>36</v>
      </c>
      <c r="N4292" s="6">
        <v>1</v>
      </c>
      <c r="O4292" s="30">
        <f t="shared" si="400"/>
        <v>72</v>
      </c>
      <c r="P4292" s="30">
        <f t="shared" si="401"/>
        <v>36</v>
      </c>
      <c r="Q4292" s="1">
        <f>COUNTIFS($P:$P, "&gt;" &amp; $P4292) + 1</f>
        <v>4650</v>
      </c>
      <c r="R4292" s="63">
        <f>(COUNTIFS($P:$P, "&gt;" &amp; $P4292) + 1) / (COUNTA($I:$I) - 1)</f>
        <v>0.93</v>
      </c>
      <c r="S4292" s="23">
        <f>SUMIFS($P:$P, $Q:$Q, "&lt;" &amp; $Q4292)</f>
        <v>186546024</v>
      </c>
    </row>
    <row r="4293" spans="1:19" x14ac:dyDescent="0.25">
      <c r="A4293" s="1">
        <v>4288</v>
      </c>
      <c r="B4293" s="1" t="s">
        <v>3</v>
      </c>
      <c r="C4293" s="1" t="str">
        <f>IF($B4293 = "Production Item", _xlfn.XLOOKUP($A4293, 'Instrument Table'!$J:$J, 'Instrument Table'!$B:$B, $C4292), IF($B4293 = "Service Item", _xlfn.XLOOKUP($A4293, 'Instrument Table'!$I:$I, 'Instrument Table'!$B:$B, $C4292), _xlfn.XLOOKUP($A4293, 'Instrument Table'!$H:$H, 'Instrument Table'!$B:$B, $C4292)))</f>
        <v>Piccolo</v>
      </c>
      <c r="D4293" s="1" t="str">
        <f>VLOOKUP($C4293, 'Instrument Table'!$B:$C, 2, FALSE)</f>
        <v>Woodwinds</v>
      </c>
      <c r="E4293" s="1">
        <f t="shared" si="396"/>
        <v>2</v>
      </c>
      <c r="F4293" s="1">
        <f>_xlfn.XLOOKUP($C4293, 'Instrument Table'!$B:$B, 'Instrument Table'!$A:$A, "")</f>
        <v>33</v>
      </c>
      <c r="G4293" s="1" t="str">
        <f>TEXT(IF($B4293 = "Retail Item", IF((ROW($A4293) - 4504 - _xlfn.XMATCH($C4293, $C$4506:$C$5005, 0, 1)) &lt;= VLOOKUP($C4293, 'Instrument Table'!$B:$D, 3, FALSE), ROW($A4293) - 4504 - _xlfn.XMATCH($C4293, $C$4506:$C$5005, 0, 1), 0), 0), "00")</f>
        <v>00</v>
      </c>
      <c r="H4293" s="1" t="str">
        <f t="shared" si="397"/>
        <v>002</v>
      </c>
      <c r="I4293" s="1" t="str">
        <f t="shared" si="398"/>
        <v>23300-002</v>
      </c>
      <c r="J4293" s="1" t="str">
        <f t="shared" si="399"/>
        <v>Piccolo service item #002</v>
      </c>
      <c r="K4293" s="1" t="str">
        <f>IF(SUM(COUNTIFS(I:I, I4293)) &gt; 1, "DUPLICATE", "UNIQUE")</f>
        <v>UNIQUE</v>
      </c>
      <c r="L4293" s="18">
        <v>8</v>
      </c>
      <c r="M4293" s="28">
        <v>869</v>
      </c>
      <c r="N4293" s="6">
        <v>64</v>
      </c>
      <c r="O4293" s="30">
        <f t="shared" si="400"/>
        <v>6952</v>
      </c>
      <c r="P4293" s="30">
        <f t="shared" si="401"/>
        <v>55616</v>
      </c>
      <c r="Q4293" s="1">
        <f>COUNTIFS($P:$P, "&gt;" &amp; $P4293) + 1</f>
        <v>510</v>
      </c>
      <c r="R4293" s="63">
        <f>(COUNTIFS($P:$P, "&gt;" &amp; $P4293) + 1) / (COUNTA($I:$I) - 1)</f>
        <v>0.10199999999999999</v>
      </c>
      <c r="S4293" s="23">
        <f>SUMIFS($P:$P, $Q:$Q, "&lt;" &amp; $Q4293)</f>
        <v>152045438</v>
      </c>
    </row>
    <row r="4294" spans="1:19" x14ac:dyDescent="0.25">
      <c r="A4294" s="1">
        <v>4289</v>
      </c>
      <c r="B4294" s="1" t="s">
        <v>3</v>
      </c>
      <c r="C4294" s="1" t="str">
        <f>IF($B4294 = "Production Item", _xlfn.XLOOKUP($A4294, 'Instrument Table'!$J:$J, 'Instrument Table'!$B:$B, $C4293), IF($B4294 = "Service Item", _xlfn.XLOOKUP($A4294, 'Instrument Table'!$I:$I, 'Instrument Table'!$B:$B, $C4293), _xlfn.XLOOKUP($A4294, 'Instrument Table'!$H:$H, 'Instrument Table'!$B:$B, $C4293)))</f>
        <v>Piccolo</v>
      </c>
      <c r="D4294" s="1" t="str">
        <f>VLOOKUP($C4294, 'Instrument Table'!$B:$C, 2, FALSE)</f>
        <v>Woodwinds</v>
      </c>
      <c r="E4294" s="1">
        <f t="shared" si="396"/>
        <v>2</v>
      </c>
      <c r="F4294" s="1">
        <f>_xlfn.XLOOKUP($C4294, 'Instrument Table'!$B:$B, 'Instrument Table'!$A:$A, "")</f>
        <v>33</v>
      </c>
      <c r="G4294" s="1" t="str">
        <f>TEXT(IF($B4294 = "Retail Item", IF((ROW($A4294) - 4504 - _xlfn.XMATCH($C4294, $C$4506:$C$5005, 0, 1)) &lt;= VLOOKUP($C4294, 'Instrument Table'!$B:$D, 3, FALSE), ROW($A4294) - 4504 - _xlfn.XMATCH($C4294, $C$4506:$C$5005, 0, 1), 0), 0), "00")</f>
        <v>00</v>
      </c>
      <c r="H4294" s="1" t="str">
        <f t="shared" si="397"/>
        <v>003</v>
      </c>
      <c r="I4294" s="1" t="str">
        <f t="shared" si="398"/>
        <v>23300-003</v>
      </c>
      <c r="J4294" s="1" t="str">
        <f t="shared" si="399"/>
        <v>Piccolo service item #003</v>
      </c>
      <c r="K4294" s="1" t="str">
        <f>IF(SUM(COUNTIFS(I:I, I4294)) &gt; 1, "DUPLICATE", "UNIQUE")</f>
        <v>UNIQUE</v>
      </c>
      <c r="L4294" s="18">
        <v>2</v>
      </c>
      <c r="M4294" s="28">
        <v>488</v>
      </c>
      <c r="N4294" s="6">
        <v>8</v>
      </c>
      <c r="O4294" s="30">
        <f t="shared" si="400"/>
        <v>976</v>
      </c>
      <c r="P4294" s="30">
        <f t="shared" si="401"/>
        <v>3904</v>
      </c>
      <c r="Q4294" s="1">
        <f>COUNTIFS($P:$P, "&gt;" &amp; $P4294) + 1</f>
        <v>2675</v>
      </c>
      <c r="R4294" s="63">
        <f>(COUNTIFS($P:$P, "&gt;" &amp; $P4294) + 1) / (COUNTA($I:$I) - 1)</f>
        <v>0.53500000000000003</v>
      </c>
      <c r="S4294" s="23">
        <f>SUMIFS($P:$P, $Q:$Q, "&lt;" &amp; $Q4294)</f>
        <v>183870184</v>
      </c>
    </row>
    <row r="4295" spans="1:19" x14ac:dyDescent="0.25">
      <c r="A4295" s="1">
        <v>4290</v>
      </c>
      <c r="B4295" s="1" t="s">
        <v>3</v>
      </c>
      <c r="C4295" s="1" t="str">
        <f>IF($B4295 = "Production Item", _xlfn.XLOOKUP($A4295, 'Instrument Table'!$J:$J, 'Instrument Table'!$B:$B, $C4294), IF($B4295 = "Service Item", _xlfn.XLOOKUP($A4295, 'Instrument Table'!$I:$I, 'Instrument Table'!$B:$B, $C4294), _xlfn.XLOOKUP($A4295, 'Instrument Table'!$H:$H, 'Instrument Table'!$B:$B, $C4294)))</f>
        <v>Piccolo</v>
      </c>
      <c r="D4295" s="1" t="str">
        <f>VLOOKUP($C4295, 'Instrument Table'!$B:$C, 2, FALSE)</f>
        <v>Woodwinds</v>
      </c>
      <c r="E4295" s="1">
        <f t="shared" ref="E4295:E4358" si="402">IF($B4295 = "Production Item", 1, IF($B4295 = "Service Item", 2, IF($B4295 = "Retail Item", 3, "")))</f>
        <v>2</v>
      </c>
      <c r="F4295" s="1">
        <f>_xlfn.XLOOKUP($C4295, 'Instrument Table'!$B:$B, 'Instrument Table'!$A:$A, "")</f>
        <v>33</v>
      </c>
      <c r="G4295" s="1" t="str">
        <f>TEXT(IF($B4295 = "Retail Item", IF((ROW($A4295) - 4504 - _xlfn.XMATCH($C4295, $C$4506:$C$5005, 0, 1)) &lt;= VLOOKUP($C4295, 'Instrument Table'!$B:$D, 3, FALSE), ROW($A4295) - 4504 - _xlfn.XMATCH($C4295, $C$4506:$C$5005, 0, 1), 0), 0), "00")</f>
        <v>00</v>
      </c>
      <c r="H4295" s="1" t="str">
        <f t="shared" ref="H4295:H4358" si="403">TEXT(IF($E4295 &amp; $F4295 &amp; $G4295 = $E4294 &amp; $F4294 &amp; $G4294, 1 + H4294, 0), "000")</f>
        <v>004</v>
      </c>
      <c r="I4295" s="1" t="str">
        <f t="shared" ref="I4295:I4358" si="404" xml:space="preserve"> _xlfn.CONCAT($E4295, $F4295, $G4295, "-", H4295)</f>
        <v>23300-004</v>
      </c>
      <c r="J4295" s="1" t="str">
        <f t="shared" ref="J4295:J4358" si="405">LEFT($C4295, 1) &amp; LOWER(RIGHT($C4295, LEN($C4295) - 1)) &amp; IF(AND($G4295 &lt;&gt; "00", $B4295 = "Retail Item"), " model #" &amp; $G4295, " " &amp; LOWER($B4295) &amp; " #" &amp; $H4295)</f>
        <v>Piccolo service item #004</v>
      </c>
      <c r="K4295" s="1" t="str">
        <f>IF(SUM(COUNTIFS(I:I, I4295)) &gt; 1, "DUPLICATE", "UNIQUE")</f>
        <v>UNIQUE</v>
      </c>
      <c r="L4295" s="18">
        <v>4</v>
      </c>
      <c r="M4295" s="28">
        <v>65</v>
      </c>
      <c r="N4295" s="6">
        <v>27</v>
      </c>
      <c r="O4295" s="30">
        <f t="shared" ref="O4295:O4358" si="406">$L4295 * $M4295</f>
        <v>260</v>
      </c>
      <c r="P4295" s="30">
        <f t="shared" ref="P4295:P4358" si="407">$N4295 * $M4295</f>
        <v>1755</v>
      </c>
      <c r="Q4295" s="1">
        <f>COUNTIFS($P:$P, "&gt;" &amp; $P4295) + 1</f>
        <v>3355</v>
      </c>
      <c r="R4295" s="63">
        <f>(COUNTIFS($P:$P, "&gt;" &amp; $P4295) + 1) / (COUNTA($I:$I) - 1)</f>
        <v>0.67100000000000004</v>
      </c>
      <c r="S4295" s="23">
        <f>SUMIFS($P:$P, $Q:$Q, "&lt;" &amp; $Q4295)</f>
        <v>185709282</v>
      </c>
    </row>
    <row r="4296" spans="1:19" x14ac:dyDescent="0.25">
      <c r="A4296" s="1">
        <v>4291</v>
      </c>
      <c r="B4296" s="1" t="s">
        <v>3</v>
      </c>
      <c r="C4296" s="1" t="str">
        <f>IF($B4296 = "Production Item", _xlfn.XLOOKUP($A4296, 'Instrument Table'!$J:$J, 'Instrument Table'!$B:$B, $C4295), IF($B4296 = "Service Item", _xlfn.XLOOKUP($A4296, 'Instrument Table'!$I:$I, 'Instrument Table'!$B:$B, $C4295), _xlfn.XLOOKUP($A4296, 'Instrument Table'!$H:$H, 'Instrument Table'!$B:$B, $C4295)))</f>
        <v>Oboe</v>
      </c>
      <c r="D4296" s="1" t="str">
        <f>VLOOKUP($C4296, 'Instrument Table'!$B:$C, 2, FALSE)</f>
        <v>Woodwinds</v>
      </c>
      <c r="E4296" s="1">
        <f t="shared" si="402"/>
        <v>2</v>
      </c>
      <c r="F4296" s="1">
        <f>_xlfn.XLOOKUP($C4296, 'Instrument Table'!$B:$B, 'Instrument Table'!$A:$A, "")</f>
        <v>34</v>
      </c>
      <c r="G4296" s="1" t="str">
        <f>TEXT(IF($B4296 = "Retail Item", IF((ROW($A4296) - 4504 - _xlfn.XMATCH($C4296, $C$4506:$C$5005, 0, 1)) &lt;= VLOOKUP($C4296, 'Instrument Table'!$B:$D, 3, FALSE), ROW($A4296) - 4504 - _xlfn.XMATCH($C4296, $C$4506:$C$5005, 0, 1), 0), 0), "00")</f>
        <v>00</v>
      </c>
      <c r="H4296" s="1" t="str">
        <f t="shared" si="403"/>
        <v>000</v>
      </c>
      <c r="I4296" s="1" t="str">
        <f t="shared" si="404"/>
        <v>23400-000</v>
      </c>
      <c r="J4296" s="1" t="str">
        <f t="shared" si="405"/>
        <v>Oboe service item #000</v>
      </c>
      <c r="K4296" s="1" t="str">
        <f>IF(SUM(COUNTIFS(I:I, I4296)) &gt; 1, "DUPLICATE", "UNIQUE")</f>
        <v>UNIQUE</v>
      </c>
      <c r="L4296" s="18">
        <v>9</v>
      </c>
      <c r="M4296" s="28">
        <v>961</v>
      </c>
      <c r="N4296" s="6">
        <v>0</v>
      </c>
      <c r="O4296" s="30">
        <f t="shared" si="406"/>
        <v>8649</v>
      </c>
      <c r="P4296" s="30">
        <f t="shared" si="407"/>
        <v>0</v>
      </c>
      <c r="Q4296" s="1">
        <f>COUNTIFS($P:$P, "&gt;" &amp; $P4296) + 1</f>
        <v>4746</v>
      </c>
      <c r="R4296" s="63">
        <f>(COUNTIFS($P:$P, "&gt;" &amp; $P4296) + 1) / (COUNTA($I:$I) - 1)</f>
        <v>0.94920000000000004</v>
      </c>
      <c r="S4296" s="23">
        <f>SUMIFS($P:$P, $Q:$Q, "&lt;" &amp; $Q4296)</f>
        <v>186547861</v>
      </c>
    </row>
    <row r="4297" spans="1:19" x14ac:dyDescent="0.25">
      <c r="A4297" s="1">
        <v>4292</v>
      </c>
      <c r="B4297" s="1" t="s">
        <v>3</v>
      </c>
      <c r="C4297" s="1" t="str">
        <f>IF($B4297 = "Production Item", _xlfn.XLOOKUP($A4297, 'Instrument Table'!$J:$J, 'Instrument Table'!$B:$B, $C4296), IF($B4297 = "Service Item", _xlfn.XLOOKUP($A4297, 'Instrument Table'!$I:$I, 'Instrument Table'!$B:$B, $C4296), _xlfn.XLOOKUP($A4297, 'Instrument Table'!$H:$H, 'Instrument Table'!$B:$B, $C4296)))</f>
        <v>Oboe</v>
      </c>
      <c r="D4297" s="1" t="str">
        <f>VLOOKUP($C4297, 'Instrument Table'!$B:$C, 2, FALSE)</f>
        <v>Woodwinds</v>
      </c>
      <c r="E4297" s="1">
        <f t="shared" si="402"/>
        <v>2</v>
      </c>
      <c r="F4297" s="1">
        <f>_xlfn.XLOOKUP($C4297, 'Instrument Table'!$B:$B, 'Instrument Table'!$A:$A, "")</f>
        <v>34</v>
      </c>
      <c r="G4297" s="1" t="str">
        <f>TEXT(IF($B4297 = "Retail Item", IF((ROW($A4297) - 4504 - _xlfn.XMATCH($C4297, $C$4506:$C$5005, 0, 1)) &lt;= VLOOKUP($C4297, 'Instrument Table'!$B:$D, 3, FALSE), ROW($A4297) - 4504 - _xlfn.XMATCH($C4297, $C$4506:$C$5005, 0, 1), 0), 0), "00")</f>
        <v>00</v>
      </c>
      <c r="H4297" s="1" t="str">
        <f t="shared" si="403"/>
        <v>001</v>
      </c>
      <c r="I4297" s="1" t="str">
        <f t="shared" si="404"/>
        <v>23400-001</v>
      </c>
      <c r="J4297" s="1" t="str">
        <f t="shared" si="405"/>
        <v>Oboe service item #001</v>
      </c>
      <c r="K4297" s="1" t="str">
        <f>IF(SUM(COUNTIFS(I:I, I4297)) &gt; 1, "DUPLICATE", "UNIQUE")</f>
        <v>UNIQUE</v>
      </c>
      <c r="L4297" s="18">
        <v>3</v>
      </c>
      <c r="M4297" s="28">
        <v>206</v>
      </c>
      <c r="N4297" s="6">
        <v>27</v>
      </c>
      <c r="O4297" s="30">
        <f t="shared" si="406"/>
        <v>618</v>
      </c>
      <c r="P4297" s="30">
        <f t="shared" si="407"/>
        <v>5562</v>
      </c>
      <c r="Q4297" s="1">
        <f>COUNTIFS($P:$P, "&gt;" &amp; $P4297) + 1</f>
        <v>2345</v>
      </c>
      <c r="R4297" s="63">
        <f>(COUNTIFS($P:$P, "&gt;" &amp; $P4297) + 1) / (COUNTA($I:$I) - 1)</f>
        <v>0.46899999999999997</v>
      </c>
      <c r="S4297" s="23">
        <f>SUMIFS($P:$P, $Q:$Q, "&lt;" &amp; $Q4297)</f>
        <v>182319951</v>
      </c>
    </row>
    <row r="4298" spans="1:19" x14ac:dyDescent="0.25">
      <c r="A4298" s="1">
        <v>4293</v>
      </c>
      <c r="B4298" s="1" t="s">
        <v>3</v>
      </c>
      <c r="C4298" s="1" t="str">
        <f>IF($B4298 = "Production Item", _xlfn.XLOOKUP($A4298, 'Instrument Table'!$J:$J, 'Instrument Table'!$B:$B, $C4297), IF($B4298 = "Service Item", _xlfn.XLOOKUP($A4298, 'Instrument Table'!$I:$I, 'Instrument Table'!$B:$B, $C4297), _xlfn.XLOOKUP($A4298, 'Instrument Table'!$H:$H, 'Instrument Table'!$B:$B, $C4297)))</f>
        <v>Oboe</v>
      </c>
      <c r="D4298" s="1" t="str">
        <f>VLOOKUP($C4298, 'Instrument Table'!$B:$C, 2, FALSE)</f>
        <v>Woodwinds</v>
      </c>
      <c r="E4298" s="1">
        <f t="shared" si="402"/>
        <v>2</v>
      </c>
      <c r="F4298" s="1">
        <f>_xlfn.XLOOKUP($C4298, 'Instrument Table'!$B:$B, 'Instrument Table'!$A:$A, "")</f>
        <v>34</v>
      </c>
      <c r="G4298" s="1" t="str">
        <f>TEXT(IF($B4298 = "Retail Item", IF((ROW($A4298) - 4504 - _xlfn.XMATCH($C4298, $C$4506:$C$5005, 0, 1)) &lt;= VLOOKUP($C4298, 'Instrument Table'!$B:$D, 3, FALSE), ROW($A4298) - 4504 - _xlfn.XMATCH($C4298, $C$4506:$C$5005, 0, 1), 0), 0), "00")</f>
        <v>00</v>
      </c>
      <c r="H4298" s="1" t="str">
        <f t="shared" si="403"/>
        <v>002</v>
      </c>
      <c r="I4298" s="1" t="str">
        <f t="shared" si="404"/>
        <v>23400-002</v>
      </c>
      <c r="J4298" s="1" t="str">
        <f t="shared" si="405"/>
        <v>Oboe service item #002</v>
      </c>
      <c r="K4298" s="1" t="str">
        <f>IF(SUM(COUNTIFS(I:I, I4298)) &gt; 1, "DUPLICATE", "UNIQUE")</f>
        <v>UNIQUE</v>
      </c>
      <c r="L4298" s="18">
        <v>0</v>
      </c>
      <c r="M4298" s="28">
        <v>975</v>
      </c>
      <c r="N4298" s="6">
        <v>0</v>
      </c>
      <c r="O4298" s="30">
        <f t="shared" si="406"/>
        <v>0</v>
      </c>
      <c r="P4298" s="30">
        <f t="shared" si="407"/>
        <v>0</v>
      </c>
      <c r="Q4298" s="1">
        <f>COUNTIFS($P:$P, "&gt;" &amp; $P4298) + 1</f>
        <v>4746</v>
      </c>
      <c r="R4298" s="63">
        <f>(COUNTIFS($P:$P, "&gt;" &amp; $P4298) + 1) / (COUNTA($I:$I) - 1)</f>
        <v>0.94920000000000004</v>
      </c>
      <c r="S4298" s="23">
        <f>SUMIFS($P:$P, $Q:$Q, "&lt;" &amp; $Q4298)</f>
        <v>186547861</v>
      </c>
    </row>
    <row r="4299" spans="1:19" x14ac:dyDescent="0.25">
      <c r="A4299" s="1">
        <v>4294</v>
      </c>
      <c r="B4299" s="1" t="s">
        <v>3</v>
      </c>
      <c r="C4299" s="1" t="str">
        <f>IF($B4299 = "Production Item", _xlfn.XLOOKUP($A4299, 'Instrument Table'!$J:$J, 'Instrument Table'!$B:$B, $C4298), IF($B4299 = "Service Item", _xlfn.XLOOKUP($A4299, 'Instrument Table'!$I:$I, 'Instrument Table'!$B:$B, $C4298), _xlfn.XLOOKUP($A4299, 'Instrument Table'!$H:$H, 'Instrument Table'!$B:$B, $C4298)))</f>
        <v>Oboe</v>
      </c>
      <c r="D4299" s="1" t="str">
        <f>VLOOKUP($C4299, 'Instrument Table'!$B:$C, 2, FALSE)</f>
        <v>Woodwinds</v>
      </c>
      <c r="E4299" s="1">
        <f t="shared" si="402"/>
        <v>2</v>
      </c>
      <c r="F4299" s="1">
        <f>_xlfn.XLOOKUP($C4299, 'Instrument Table'!$B:$B, 'Instrument Table'!$A:$A, "")</f>
        <v>34</v>
      </c>
      <c r="G4299" s="1" t="str">
        <f>TEXT(IF($B4299 = "Retail Item", IF((ROW($A4299) - 4504 - _xlfn.XMATCH($C4299, $C$4506:$C$5005, 0, 1)) &lt;= VLOOKUP($C4299, 'Instrument Table'!$B:$D, 3, FALSE), ROW($A4299) - 4504 - _xlfn.XMATCH($C4299, $C$4506:$C$5005, 0, 1), 0), 0), "00")</f>
        <v>00</v>
      </c>
      <c r="H4299" s="1" t="str">
        <f t="shared" si="403"/>
        <v>003</v>
      </c>
      <c r="I4299" s="1" t="str">
        <f t="shared" si="404"/>
        <v>23400-003</v>
      </c>
      <c r="J4299" s="1" t="str">
        <f t="shared" si="405"/>
        <v>Oboe service item #003</v>
      </c>
      <c r="K4299" s="1" t="str">
        <f>IF(SUM(COUNTIFS(I:I, I4299)) &gt; 1, "DUPLICATE", "UNIQUE")</f>
        <v>UNIQUE</v>
      </c>
      <c r="L4299" s="18">
        <v>6</v>
      </c>
      <c r="M4299" s="28">
        <v>462</v>
      </c>
      <c r="N4299" s="6">
        <v>64</v>
      </c>
      <c r="O4299" s="30">
        <f t="shared" si="406"/>
        <v>2772</v>
      </c>
      <c r="P4299" s="30">
        <f t="shared" si="407"/>
        <v>29568</v>
      </c>
      <c r="Q4299" s="1">
        <f>COUNTIFS($P:$P, "&gt;" &amp; $P4299) + 1</f>
        <v>704</v>
      </c>
      <c r="R4299" s="63">
        <f>(COUNTIFS($P:$P, "&gt;" &amp; $P4299) + 1) / (COUNTA($I:$I) - 1)</f>
        <v>0.14080000000000001</v>
      </c>
      <c r="S4299" s="23">
        <f>SUMIFS($P:$P, $Q:$Q, "&lt;" &amp; $Q4299)</f>
        <v>159205302</v>
      </c>
    </row>
    <row r="4300" spans="1:19" x14ac:dyDescent="0.25">
      <c r="A4300" s="1">
        <v>4295</v>
      </c>
      <c r="B4300" s="1" t="s">
        <v>3</v>
      </c>
      <c r="C4300" s="1" t="str">
        <f>IF($B4300 = "Production Item", _xlfn.XLOOKUP($A4300, 'Instrument Table'!$J:$J, 'Instrument Table'!$B:$B, $C4299), IF($B4300 = "Service Item", _xlfn.XLOOKUP($A4300, 'Instrument Table'!$I:$I, 'Instrument Table'!$B:$B, $C4299), _xlfn.XLOOKUP($A4300, 'Instrument Table'!$H:$H, 'Instrument Table'!$B:$B, $C4299)))</f>
        <v>Oboe</v>
      </c>
      <c r="D4300" s="1" t="str">
        <f>VLOOKUP($C4300, 'Instrument Table'!$B:$C, 2, FALSE)</f>
        <v>Woodwinds</v>
      </c>
      <c r="E4300" s="1">
        <f t="shared" si="402"/>
        <v>2</v>
      </c>
      <c r="F4300" s="1">
        <f>_xlfn.XLOOKUP($C4300, 'Instrument Table'!$B:$B, 'Instrument Table'!$A:$A, "")</f>
        <v>34</v>
      </c>
      <c r="G4300" s="1" t="str">
        <f>TEXT(IF($B4300 = "Retail Item", IF((ROW($A4300) - 4504 - _xlfn.XMATCH($C4300, $C$4506:$C$5005, 0, 1)) &lt;= VLOOKUP($C4300, 'Instrument Table'!$B:$D, 3, FALSE), ROW($A4300) - 4504 - _xlfn.XMATCH($C4300, $C$4506:$C$5005, 0, 1), 0), 0), "00")</f>
        <v>00</v>
      </c>
      <c r="H4300" s="1" t="str">
        <f t="shared" si="403"/>
        <v>004</v>
      </c>
      <c r="I4300" s="1" t="str">
        <f t="shared" si="404"/>
        <v>23400-004</v>
      </c>
      <c r="J4300" s="1" t="str">
        <f t="shared" si="405"/>
        <v>Oboe service item #004</v>
      </c>
      <c r="K4300" s="1" t="str">
        <f>IF(SUM(COUNTIFS(I:I, I4300)) &gt; 1, "DUPLICATE", "UNIQUE")</f>
        <v>UNIQUE</v>
      </c>
      <c r="L4300" s="18">
        <v>1</v>
      </c>
      <c r="M4300" s="28">
        <v>252</v>
      </c>
      <c r="N4300" s="6">
        <v>0</v>
      </c>
      <c r="O4300" s="30">
        <f t="shared" si="406"/>
        <v>252</v>
      </c>
      <c r="P4300" s="30">
        <f t="shared" si="407"/>
        <v>0</v>
      </c>
      <c r="Q4300" s="1">
        <f>COUNTIFS($P:$P, "&gt;" &amp; $P4300) + 1</f>
        <v>4746</v>
      </c>
      <c r="R4300" s="63">
        <f>(COUNTIFS($P:$P, "&gt;" &amp; $P4300) + 1) / (COUNTA($I:$I) - 1)</f>
        <v>0.94920000000000004</v>
      </c>
      <c r="S4300" s="23">
        <f>SUMIFS($P:$P, $Q:$Q, "&lt;" &amp; $Q4300)</f>
        <v>186547861</v>
      </c>
    </row>
    <row r="4301" spans="1:19" x14ac:dyDescent="0.25">
      <c r="A4301" s="1">
        <v>4296</v>
      </c>
      <c r="B4301" s="1" t="s">
        <v>3</v>
      </c>
      <c r="C4301" s="1" t="str">
        <f>IF($B4301 = "Production Item", _xlfn.XLOOKUP($A4301, 'Instrument Table'!$J:$J, 'Instrument Table'!$B:$B, $C4300), IF($B4301 = "Service Item", _xlfn.XLOOKUP($A4301, 'Instrument Table'!$I:$I, 'Instrument Table'!$B:$B, $C4300), _xlfn.XLOOKUP($A4301, 'Instrument Table'!$H:$H, 'Instrument Table'!$B:$B, $C4300)))</f>
        <v>Oboe</v>
      </c>
      <c r="D4301" s="1" t="str">
        <f>VLOOKUP($C4301, 'Instrument Table'!$B:$C, 2, FALSE)</f>
        <v>Woodwinds</v>
      </c>
      <c r="E4301" s="1">
        <f t="shared" si="402"/>
        <v>2</v>
      </c>
      <c r="F4301" s="1">
        <f>_xlfn.XLOOKUP($C4301, 'Instrument Table'!$B:$B, 'Instrument Table'!$A:$A, "")</f>
        <v>34</v>
      </c>
      <c r="G4301" s="1" t="str">
        <f>TEXT(IF($B4301 = "Retail Item", IF((ROW($A4301) - 4504 - _xlfn.XMATCH($C4301, $C$4506:$C$5005, 0, 1)) &lt;= VLOOKUP($C4301, 'Instrument Table'!$B:$D, 3, FALSE), ROW($A4301) - 4504 - _xlfn.XMATCH($C4301, $C$4506:$C$5005, 0, 1), 0), 0), "00")</f>
        <v>00</v>
      </c>
      <c r="H4301" s="1" t="str">
        <f t="shared" si="403"/>
        <v>005</v>
      </c>
      <c r="I4301" s="1" t="str">
        <f t="shared" si="404"/>
        <v>23400-005</v>
      </c>
      <c r="J4301" s="1" t="str">
        <f t="shared" si="405"/>
        <v>Oboe service item #005</v>
      </c>
      <c r="K4301" s="1" t="str">
        <f>IF(SUM(COUNTIFS(I:I, I4301)) &gt; 1, "DUPLICATE", "UNIQUE")</f>
        <v>UNIQUE</v>
      </c>
      <c r="L4301" s="18">
        <v>5</v>
      </c>
      <c r="M4301" s="28">
        <v>771</v>
      </c>
      <c r="N4301" s="6">
        <v>125</v>
      </c>
      <c r="O4301" s="30">
        <f t="shared" si="406"/>
        <v>3855</v>
      </c>
      <c r="P4301" s="30">
        <f t="shared" si="407"/>
        <v>96375</v>
      </c>
      <c r="Q4301" s="1">
        <f>COUNTIFS($P:$P, "&gt;" &amp; $P4301) + 1</f>
        <v>413</v>
      </c>
      <c r="R4301" s="63">
        <f>(COUNTIFS($P:$P, "&gt;" &amp; $P4301) + 1) / (COUNTA($I:$I) - 1)</f>
        <v>8.2600000000000007E-2</v>
      </c>
      <c r="S4301" s="23">
        <f>SUMIFS($P:$P, $Q:$Q, "&lt;" &amp; $Q4301)</f>
        <v>144758156</v>
      </c>
    </row>
    <row r="4302" spans="1:19" x14ac:dyDescent="0.25">
      <c r="A4302" s="1">
        <v>4297</v>
      </c>
      <c r="B4302" s="1" t="s">
        <v>3</v>
      </c>
      <c r="C4302" s="1" t="str">
        <f>IF($B4302 = "Production Item", _xlfn.XLOOKUP($A4302, 'Instrument Table'!$J:$J, 'Instrument Table'!$B:$B, $C4301), IF($B4302 = "Service Item", _xlfn.XLOOKUP($A4302, 'Instrument Table'!$I:$I, 'Instrument Table'!$B:$B, $C4301), _xlfn.XLOOKUP($A4302, 'Instrument Table'!$H:$H, 'Instrument Table'!$B:$B, $C4301)))</f>
        <v>Oboe</v>
      </c>
      <c r="D4302" s="1" t="str">
        <f>VLOOKUP($C4302, 'Instrument Table'!$B:$C, 2, FALSE)</f>
        <v>Woodwinds</v>
      </c>
      <c r="E4302" s="1">
        <f t="shared" si="402"/>
        <v>2</v>
      </c>
      <c r="F4302" s="1">
        <f>_xlfn.XLOOKUP($C4302, 'Instrument Table'!$B:$B, 'Instrument Table'!$A:$A, "")</f>
        <v>34</v>
      </c>
      <c r="G4302" s="1" t="str">
        <f>TEXT(IF($B4302 = "Retail Item", IF((ROW($A4302) - 4504 - _xlfn.XMATCH($C4302, $C$4506:$C$5005, 0, 1)) &lt;= VLOOKUP($C4302, 'Instrument Table'!$B:$D, 3, FALSE), ROW($A4302) - 4504 - _xlfn.XMATCH($C4302, $C$4506:$C$5005, 0, 1), 0), 0), "00")</f>
        <v>00</v>
      </c>
      <c r="H4302" s="1" t="str">
        <f t="shared" si="403"/>
        <v>006</v>
      </c>
      <c r="I4302" s="1" t="str">
        <f t="shared" si="404"/>
        <v>23400-006</v>
      </c>
      <c r="J4302" s="1" t="str">
        <f t="shared" si="405"/>
        <v>Oboe service item #006</v>
      </c>
      <c r="K4302" s="1" t="str">
        <f>IF(SUM(COUNTIFS(I:I, I4302)) &gt; 1, "DUPLICATE", "UNIQUE")</f>
        <v>UNIQUE</v>
      </c>
      <c r="L4302" s="18">
        <v>2</v>
      </c>
      <c r="M4302" s="28">
        <v>81</v>
      </c>
      <c r="N4302" s="6">
        <v>1</v>
      </c>
      <c r="O4302" s="30">
        <f t="shared" si="406"/>
        <v>162</v>
      </c>
      <c r="P4302" s="30">
        <f t="shared" si="407"/>
        <v>81</v>
      </c>
      <c r="Q4302" s="1">
        <f>COUNTIFS($P:$P, "&gt;" &amp; $P4302) + 1</f>
        <v>4505</v>
      </c>
      <c r="R4302" s="63">
        <f>(COUNTIFS($P:$P, "&gt;" &amp; $P4302) + 1) / (COUNTA($I:$I) - 1)</f>
        <v>0.90100000000000002</v>
      </c>
      <c r="S4302" s="23">
        <f>SUMIFS($P:$P, $Q:$Q, "&lt;" &amp; $Q4302)</f>
        <v>186537273</v>
      </c>
    </row>
    <row r="4303" spans="1:19" x14ac:dyDescent="0.25">
      <c r="A4303" s="1">
        <v>4298</v>
      </c>
      <c r="B4303" s="1" t="s">
        <v>3</v>
      </c>
      <c r="C4303" s="1" t="str">
        <f>IF($B4303 = "Production Item", _xlfn.XLOOKUP($A4303, 'Instrument Table'!$J:$J, 'Instrument Table'!$B:$B, $C4302), IF($B4303 = "Service Item", _xlfn.XLOOKUP($A4303, 'Instrument Table'!$I:$I, 'Instrument Table'!$B:$B, $C4302), _xlfn.XLOOKUP($A4303, 'Instrument Table'!$H:$H, 'Instrument Table'!$B:$B, $C4302)))</f>
        <v>Oboe</v>
      </c>
      <c r="D4303" s="1" t="str">
        <f>VLOOKUP($C4303, 'Instrument Table'!$B:$C, 2, FALSE)</f>
        <v>Woodwinds</v>
      </c>
      <c r="E4303" s="1">
        <f t="shared" si="402"/>
        <v>2</v>
      </c>
      <c r="F4303" s="1">
        <f>_xlfn.XLOOKUP($C4303, 'Instrument Table'!$B:$B, 'Instrument Table'!$A:$A, "")</f>
        <v>34</v>
      </c>
      <c r="G4303" s="1" t="str">
        <f>TEXT(IF($B4303 = "Retail Item", IF((ROW($A4303) - 4504 - _xlfn.XMATCH($C4303, $C$4506:$C$5005, 0, 1)) &lt;= VLOOKUP($C4303, 'Instrument Table'!$B:$D, 3, FALSE), ROW($A4303) - 4504 - _xlfn.XMATCH($C4303, $C$4506:$C$5005, 0, 1), 0), 0), "00")</f>
        <v>00</v>
      </c>
      <c r="H4303" s="1" t="str">
        <f t="shared" si="403"/>
        <v>007</v>
      </c>
      <c r="I4303" s="1" t="str">
        <f t="shared" si="404"/>
        <v>23400-007</v>
      </c>
      <c r="J4303" s="1" t="str">
        <f t="shared" si="405"/>
        <v>Oboe service item #007</v>
      </c>
      <c r="K4303" s="1" t="str">
        <f>IF(SUM(COUNTIFS(I:I, I4303)) &gt; 1, "DUPLICATE", "UNIQUE")</f>
        <v>UNIQUE</v>
      </c>
      <c r="L4303" s="18">
        <v>7</v>
      </c>
      <c r="M4303" s="28">
        <v>484</v>
      </c>
      <c r="N4303" s="6">
        <v>0</v>
      </c>
      <c r="O4303" s="30">
        <f t="shared" si="406"/>
        <v>3388</v>
      </c>
      <c r="P4303" s="30">
        <f t="shared" si="407"/>
        <v>0</v>
      </c>
      <c r="Q4303" s="1">
        <f>COUNTIFS($P:$P, "&gt;" &amp; $P4303) + 1</f>
        <v>4746</v>
      </c>
      <c r="R4303" s="63">
        <f>(COUNTIFS($P:$P, "&gt;" &amp; $P4303) + 1) / (COUNTA($I:$I) - 1)</f>
        <v>0.94920000000000004</v>
      </c>
      <c r="S4303" s="23">
        <f>SUMIFS($P:$P, $Q:$Q, "&lt;" &amp; $Q4303)</f>
        <v>186547861</v>
      </c>
    </row>
    <row r="4304" spans="1:19" x14ac:dyDescent="0.25">
      <c r="A4304" s="1">
        <v>4299</v>
      </c>
      <c r="B4304" s="1" t="s">
        <v>3</v>
      </c>
      <c r="C4304" s="1" t="str">
        <f>IF($B4304 = "Production Item", _xlfn.XLOOKUP($A4304, 'Instrument Table'!$J:$J, 'Instrument Table'!$B:$B, $C4303), IF($B4304 = "Service Item", _xlfn.XLOOKUP($A4304, 'Instrument Table'!$I:$I, 'Instrument Table'!$B:$B, $C4303), _xlfn.XLOOKUP($A4304, 'Instrument Table'!$H:$H, 'Instrument Table'!$B:$B, $C4303)))</f>
        <v>Oboe</v>
      </c>
      <c r="D4304" s="1" t="str">
        <f>VLOOKUP($C4304, 'Instrument Table'!$B:$C, 2, FALSE)</f>
        <v>Woodwinds</v>
      </c>
      <c r="E4304" s="1">
        <f t="shared" si="402"/>
        <v>2</v>
      </c>
      <c r="F4304" s="1">
        <f>_xlfn.XLOOKUP($C4304, 'Instrument Table'!$B:$B, 'Instrument Table'!$A:$A, "")</f>
        <v>34</v>
      </c>
      <c r="G4304" s="1" t="str">
        <f>TEXT(IF($B4304 = "Retail Item", IF((ROW($A4304) - 4504 - _xlfn.XMATCH($C4304, $C$4506:$C$5005, 0, 1)) &lt;= VLOOKUP($C4304, 'Instrument Table'!$B:$D, 3, FALSE), ROW($A4304) - 4504 - _xlfn.XMATCH($C4304, $C$4506:$C$5005, 0, 1), 0), 0), "00")</f>
        <v>00</v>
      </c>
      <c r="H4304" s="1" t="str">
        <f t="shared" si="403"/>
        <v>008</v>
      </c>
      <c r="I4304" s="1" t="str">
        <f t="shared" si="404"/>
        <v>23400-008</v>
      </c>
      <c r="J4304" s="1" t="str">
        <f t="shared" si="405"/>
        <v>Oboe service item #008</v>
      </c>
      <c r="K4304" s="1" t="str">
        <f>IF(SUM(COUNTIFS(I:I, I4304)) &gt; 1, "DUPLICATE", "UNIQUE")</f>
        <v>UNIQUE</v>
      </c>
      <c r="L4304" s="18">
        <v>8</v>
      </c>
      <c r="M4304" s="28">
        <v>423</v>
      </c>
      <c r="N4304" s="6">
        <v>27</v>
      </c>
      <c r="O4304" s="30">
        <f t="shared" si="406"/>
        <v>3384</v>
      </c>
      <c r="P4304" s="30">
        <f t="shared" si="407"/>
        <v>11421</v>
      </c>
      <c r="Q4304" s="1">
        <f>COUNTIFS($P:$P, "&gt;" &amp; $P4304) + 1</f>
        <v>1647</v>
      </c>
      <c r="R4304" s="63">
        <f>(COUNTIFS($P:$P, "&gt;" &amp; $P4304) + 1) / (COUNTA($I:$I) - 1)</f>
        <v>0.32940000000000003</v>
      </c>
      <c r="S4304" s="23">
        <f>SUMIFS($P:$P, $Q:$Q, "&lt;" &amp; $Q4304)</f>
        <v>176623982</v>
      </c>
    </row>
    <row r="4305" spans="1:19" x14ac:dyDescent="0.25">
      <c r="A4305" s="1">
        <v>4300</v>
      </c>
      <c r="B4305" s="1" t="s">
        <v>3</v>
      </c>
      <c r="C4305" s="1" t="str">
        <f>IF($B4305 = "Production Item", _xlfn.XLOOKUP($A4305, 'Instrument Table'!$J:$J, 'Instrument Table'!$B:$B, $C4304), IF($B4305 = "Service Item", _xlfn.XLOOKUP($A4305, 'Instrument Table'!$I:$I, 'Instrument Table'!$B:$B, $C4304), _xlfn.XLOOKUP($A4305, 'Instrument Table'!$H:$H, 'Instrument Table'!$B:$B, $C4304)))</f>
        <v>Oboe</v>
      </c>
      <c r="D4305" s="1" t="str">
        <f>VLOOKUP($C4305, 'Instrument Table'!$B:$C, 2, FALSE)</f>
        <v>Woodwinds</v>
      </c>
      <c r="E4305" s="1">
        <f t="shared" si="402"/>
        <v>2</v>
      </c>
      <c r="F4305" s="1">
        <f>_xlfn.XLOOKUP($C4305, 'Instrument Table'!$B:$B, 'Instrument Table'!$A:$A, "")</f>
        <v>34</v>
      </c>
      <c r="G4305" s="1" t="str">
        <f>TEXT(IF($B4305 = "Retail Item", IF((ROW($A4305) - 4504 - _xlfn.XMATCH($C4305, $C$4506:$C$5005, 0, 1)) &lt;= VLOOKUP($C4305, 'Instrument Table'!$B:$D, 3, FALSE), ROW($A4305) - 4504 - _xlfn.XMATCH($C4305, $C$4506:$C$5005, 0, 1), 0), 0), "00")</f>
        <v>00</v>
      </c>
      <c r="H4305" s="1" t="str">
        <f t="shared" si="403"/>
        <v>009</v>
      </c>
      <c r="I4305" s="1" t="str">
        <f t="shared" si="404"/>
        <v>23400-009</v>
      </c>
      <c r="J4305" s="1" t="str">
        <f t="shared" si="405"/>
        <v>Oboe service item #009</v>
      </c>
      <c r="K4305" s="1" t="str">
        <f>IF(SUM(COUNTIFS(I:I, I4305)) &gt; 1, "DUPLICATE", "UNIQUE")</f>
        <v>UNIQUE</v>
      </c>
      <c r="L4305" s="18">
        <v>0</v>
      </c>
      <c r="M4305" s="28">
        <v>477</v>
      </c>
      <c r="N4305" s="6">
        <v>8</v>
      </c>
      <c r="O4305" s="30">
        <f t="shared" si="406"/>
        <v>0</v>
      </c>
      <c r="P4305" s="30">
        <f t="shared" si="407"/>
        <v>3816</v>
      </c>
      <c r="Q4305" s="1">
        <f>COUNTIFS($P:$P, "&gt;" &amp; $P4305) + 1</f>
        <v>2698</v>
      </c>
      <c r="R4305" s="63">
        <f>(COUNTIFS($P:$P, "&gt;" &amp; $P4305) + 1) / (COUNTA($I:$I) - 1)</f>
        <v>0.53959999999999997</v>
      </c>
      <c r="S4305" s="23">
        <f>SUMIFS($P:$P, $Q:$Q, "&lt;" &amp; $Q4305)</f>
        <v>183959117</v>
      </c>
    </row>
    <row r="4306" spans="1:19" x14ac:dyDescent="0.25">
      <c r="A4306" s="1">
        <v>4301</v>
      </c>
      <c r="B4306" s="1" t="s">
        <v>3</v>
      </c>
      <c r="C4306" s="1" t="str">
        <f>IF($B4306 = "Production Item", _xlfn.XLOOKUP($A4306, 'Instrument Table'!$J:$J, 'Instrument Table'!$B:$B, $C4305), IF($B4306 = "Service Item", _xlfn.XLOOKUP($A4306, 'Instrument Table'!$I:$I, 'Instrument Table'!$B:$B, $C4305), _xlfn.XLOOKUP($A4306, 'Instrument Table'!$H:$H, 'Instrument Table'!$B:$B, $C4305)))</f>
        <v>Bassoon</v>
      </c>
      <c r="D4306" s="1" t="str">
        <f>VLOOKUP($C4306, 'Instrument Table'!$B:$C, 2, FALSE)</f>
        <v>Woodwinds</v>
      </c>
      <c r="E4306" s="1">
        <f t="shared" si="402"/>
        <v>2</v>
      </c>
      <c r="F4306" s="1">
        <f>_xlfn.XLOOKUP($C4306, 'Instrument Table'!$B:$B, 'Instrument Table'!$A:$A, "")</f>
        <v>35</v>
      </c>
      <c r="G4306" s="1" t="str">
        <f>TEXT(IF($B4306 = "Retail Item", IF((ROW($A4306) - 4504 - _xlfn.XMATCH($C4306, $C$4506:$C$5005, 0, 1)) &lt;= VLOOKUP($C4306, 'Instrument Table'!$B:$D, 3, FALSE), ROW($A4306) - 4504 - _xlfn.XMATCH($C4306, $C$4506:$C$5005, 0, 1), 0), 0), "00")</f>
        <v>00</v>
      </c>
      <c r="H4306" s="1" t="str">
        <f t="shared" si="403"/>
        <v>000</v>
      </c>
      <c r="I4306" s="1" t="str">
        <f t="shared" si="404"/>
        <v>23500-000</v>
      </c>
      <c r="J4306" s="1" t="str">
        <f t="shared" si="405"/>
        <v>Bassoon service item #000</v>
      </c>
      <c r="K4306" s="1" t="str">
        <f>IF(SUM(COUNTIFS(I:I, I4306)) &gt; 1, "DUPLICATE", "UNIQUE")</f>
        <v>UNIQUE</v>
      </c>
      <c r="L4306" s="18">
        <v>4</v>
      </c>
      <c r="M4306" s="28">
        <v>627</v>
      </c>
      <c r="N4306" s="6">
        <v>1</v>
      </c>
      <c r="O4306" s="30">
        <f t="shared" si="406"/>
        <v>2508</v>
      </c>
      <c r="P4306" s="30">
        <f t="shared" si="407"/>
        <v>627</v>
      </c>
      <c r="Q4306" s="1">
        <f>COUNTIFS($P:$P, "&gt;" &amp; $P4306) + 1</f>
        <v>3926</v>
      </c>
      <c r="R4306" s="63">
        <f>(COUNTIFS($P:$P, "&gt;" &amp; $P4306) + 1) / (COUNTA($I:$I) - 1)</f>
        <v>0.78520000000000001</v>
      </c>
      <c r="S4306" s="23">
        <f>SUMIFS($P:$P, $Q:$Q, "&lt;" &amp; $Q4306)</f>
        <v>186355756</v>
      </c>
    </row>
    <row r="4307" spans="1:19" x14ac:dyDescent="0.25">
      <c r="A4307" s="1">
        <v>4302</v>
      </c>
      <c r="B4307" s="1" t="s">
        <v>3</v>
      </c>
      <c r="C4307" s="1" t="str">
        <f>IF($B4307 = "Production Item", _xlfn.XLOOKUP($A4307, 'Instrument Table'!$J:$J, 'Instrument Table'!$B:$B, $C4306), IF($B4307 = "Service Item", _xlfn.XLOOKUP($A4307, 'Instrument Table'!$I:$I, 'Instrument Table'!$B:$B, $C4306), _xlfn.XLOOKUP($A4307, 'Instrument Table'!$H:$H, 'Instrument Table'!$B:$B, $C4306)))</f>
        <v>Bassoon</v>
      </c>
      <c r="D4307" s="1" t="str">
        <f>VLOOKUP($C4307, 'Instrument Table'!$B:$C, 2, FALSE)</f>
        <v>Woodwinds</v>
      </c>
      <c r="E4307" s="1">
        <f t="shared" si="402"/>
        <v>2</v>
      </c>
      <c r="F4307" s="1">
        <f>_xlfn.XLOOKUP($C4307, 'Instrument Table'!$B:$B, 'Instrument Table'!$A:$A, "")</f>
        <v>35</v>
      </c>
      <c r="G4307" s="1" t="str">
        <f>TEXT(IF($B4307 = "Retail Item", IF((ROW($A4307) - 4504 - _xlfn.XMATCH($C4307, $C$4506:$C$5005, 0, 1)) &lt;= VLOOKUP($C4307, 'Instrument Table'!$B:$D, 3, FALSE), ROW($A4307) - 4504 - _xlfn.XMATCH($C4307, $C$4506:$C$5005, 0, 1), 0), 0), "00")</f>
        <v>00</v>
      </c>
      <c r="H4307" s="1" t="str">
        <f t="shared" si="403"/>
        <v>001</v>
      </c>
      <c r="I4307" s="1" t="str">
        <f t="shared" si="404"/>
        <v>23500-001</v>
      </c>
      <c r="J4307" s="1" t="str">
        <f t="shared" si="405"/>
        <v>Bassoon service item #001</v>
      </c>
      <c r="K4307" s="1" t="str">
        <f>IF(SUM(COUNTIFS(I:I, I4307)) &gt; 1, "DUPLICATE", "UNIQUE")</f>
        <v>UNIQUE</v>
      </c>
      <c r="L4307" s="18">
        <v>6</v>
      </c>
      <c r="M4307" s="28">
        <v>185</v>
      </c>
      <c r="N4307" s="6">
        <v>8</v>
      </c>
      <c r="O4307" s="30">
        <f t="shared" si="406"/>
        <v>1110</v>
      </c>
      <c r="P4307" s="30">
        <f t="shared" si="407"/>
        <v>1480</v>
      </c>
      <c r="Q4307" s="1">
        <f>COUNTIFS($P:$P, "&gt;" &amp; $P4307) + 1</f>
        <v>3467</v>
      </c>
      <c r="R4307" s="63">
        <f>(COUNTIFS($P:$P, "&gt;" &amp; $P4307) + 1) / (COUNTA($I:$I) - 1)</f>
        <v>0.69340000000000002</v>
      </c>
      <c r="S4307" s="23">
        <f>SUMIFS($P:$P, $Q:$Q, "&lt;" &amp; $Q4307)</f>
        <v>185889423</v>
      </c>
    </row>
    <row r="4308" spans="1:19" x14ac:dyDescent="0.25">
      <c r="A4308" s="1">
        <v>4303</v>
      </c>
      <c r="B4308" s="1" t="s">
        <v>3</v>
      </c>
      <c r="C4308" s="1" t="str">
        <f>IF($B4308 = "Production Item", _xlfn.XLOOKUP($A4308, 'Instrument Table'!$J:$J, 'Instrument Table'!$B:$B, $C4307), IF($B4308 = "Service Item", _xlfn.XLOOKUP($A4308, 'Instrument Table'!$I:$I, 'Instrument Table'!$B:$B, $C4307), _xlfn.XLOOKUP($A4308, 'Instrument Table'!$H:$H, 'Instrument Table'!$B:$B, $C4307)))</f>
        <v>Bassoon</v>
      </c>
      <c r="D4308" s="1" t="str">
        <f>VLOOKUP($C4308, 'Instrument Table'!$B:$C, 2, FALSE)</f>
        <v>Woodwinds</v>
      </c>
      <c r="E4308" s="1">
        <f t="shared" si="402"/>
        <v>2</v>
      </c>
      <c r="F4308" s="1">
        <f>_xlfn.XLOOKUP($C4308, 'Instrument Table'!$B:$B, 'Instrument Table'!$A:$A, "")</f>
        <v>35</v>
      </c>
      <c r="G4308" s="1" t="str">
        <f>TEXT(IF($B4308 = "Retail Item", IF((ROW($A4308) - 4504 - _xlfn.XMATCH($C4308, $C$4506:$C$5005, 0, 1)) &lt;= VLOOKUP($C4308, 'Instrument Table'!$B:$D, 3, FALSE), ROW($A4308) - 4504 - _xlfn.XMATCH($C4308, $C$4506:$C$5005, 0, 1), 0), 0), "00")</f>
        <v>00</v>
      </c>
      <c r="H4308" s="1" t="str">
        <f t="shared" si="403"/>
        <v>002</v>
      </c>
      <c r="I4308" s="1" t="str">
        <f t="shared" si="404"/>
        <v>23500-002</v>
      </c>
      <c r="J4308" s="1" t="str">
        <f t="shared" si="405"/>
        <v>Bassoon service item #002</v>
      </c>
      <c r="K4308" s="1" t="str">
        <f>IF(SUM(COUNTIFS(I:I, I4308)) &gt; 1, "DUPLICATE", "UNIQUE")</f>
        <v>UNIQUE</v>
      </c>
      <c r="L4308" s="18">
        <v>7</v>
      </c>
      <c r="M4308" s="28">
        <v>124</v>
      </c>
      <c r="N4308" s="6">
        <v>125</v>
      </c>
      <c r="O4308" s="30">
        <f t="shared" si="406"/>
        <v>868</v>
      </c>
      <c r="P4308" s="30">
        <f t="shared" si="407"/>
        <v>15500</v>
      </c>
      <c r="Q4308" s="1">
        <f>COUNTIFS($P:$P, "&gt;" &amp; $P4308) + 1</f>
        <v>1321</v>
      </c>
      <c r="R4308" s="63">
        <f>(COUNTIFS($P:$P, "&gt;" &amp; $P4308) + 1) / (COUNTA($I:$I) - 1)</f>
        <v>0.26419999999999999</v>
      </c>
      <c r="S4308" s="23">
        <f>SUMIFS($P:$P, $Q:$Q, "&lt;" &amp; $Q4308)</f>
        <v>172301082</v>
      </c>
    </row>
    <row r="4309" spans="1:19" x14ac:dyDescent="0.25">
      <c r="A4309" s="1">
        <v>4304</v>
      </c>
      <c r="B4309" s="1" t="s">
        <v>3</v>
      </c>
      <c r="C4309" s="1" t="str">
        <f>IF($B4309 = "Production Item", _xlfn.XLOOKUP($A4309, 'Instrument Table'!$J:$J, 'Instrument Table'!$B:$B, $C4308), IF($B4309 = "Service Item", _xlfn.XLOOKUP($A4309, 'Instrument Table'!$I:$I, 'Instrument Table'!$B:$B, $C4308), _xlfn.XLOOKUP($A4309, 'Instrument Table'!$H:$H, 'Instrument Table'!$B:$B, $C4308)))</f>
        <v>Bassoon</v>
      </c>
      <c r="D4309" s="1" t="str">
        <f>VLOOKUP($C4309, 'Instrument Table'!$B:$C, 2, FALSE)</f>
        <v>Woodwinds</v>
      </c>
      <c r="E4309" s="1">
        <f t="shared" si="402"/>
        <v>2</v>
      </c>
      <c r="F4309" s="1">
        <f>_xlfn.XLOOKUP($C4309, 'Instrument Table'!$B:$B, 'Instrument Table'!$A:$A, "")</f>
        <v>35</v>
      </c>
      <c r="G4309" s="1" t="str">
        <f>TEXT(IF($B4309 = "Retail Item", IF((ROW($A4309) - 4504 - _xlfn.XMATCH($C4309, $C$4506:$C$5005, 0, 1)) &lt;= VLOOKUP($C4309, 'Instrument Table'!$B:$D, 3, FALSE), ROW($A4309) - 4504 - _xlfn.XMATCH($C4309, $C$4506:$C$5005, 0, 1), 0), 0), "00")</f>
        <v>00</v>
      </c>
      <c r="H4309" s="1" t="str">
        <f t="shared" si="403"/>
        <v>003</v>
      </c>
      <c r="I4309" s="1" t="str">
        <f t="shared" si="404"/>
        <v>23500-003</v>
      </c>
      <c r="J4309" s="1" t="str">
        <f t="shared" si="405"/>
        <v>Bassoon service item #003</v>
      </c>
      <c r="K4309" s="1" t="str">
        <f>IF(SUM(COUNTIFS(I:I, I4309)) &gt; 1, "DUPLICATE", "UNIQUE")</f>
        <v>UNIQUE</v>
      </c>
      <c r="L4309" s="18">
        <v>3</v>
      </c>
      <c r="M4309" s="28">
        <v>803</v>
      </c>
      <c r="N4309" s="6">
        <v>8</v>
      </c>
      <c r="O4309" s="30">
        <f t="shared" si="406"/>
        <v>2409</v>
      </c>
      <c r="P4309" s="30">
        <f t="shared" si="407"/>
        <v>6424</v>
      </c>
      <c r="Q4309" s="1">
        <f>COUNTIFS($P:$P, "&gt;" &amp; $P4309) + 1</f>
        <v>2213</v>
      </c>
      <c r="R4309" s="63">
        <f>(COUNTIFS($P:$P, "&gt;" &amp; $P4309) + 1) / (COUNTA($I:$I) - 1)</f>
        <v>0.44259999999999999</v>
      </c>
      <c r="S4309" s="23">
        <f>SUMIFS($P:$P, $Q:$Q, "&lt;" &amp; $Q4309)</f>
        <v>181536012</v>
      </c>
    </row>
    <row r="4310" spans="1:19" x14ac:dyDescent="0.25">
      <c r="A4310" s="1">
        <v>4305</v>
      </c>
      <c r="B4310" s="1" t="s">
        <v>3</v>
      </c>
      <c r="C4310" s="1" t="str">
        <f>IF($B4310 = "Production Item", _xlfn.XLOOKUP($A4310, 'Instrument Table'!$J:$J, 'Instrument Table'!$B:$B, $C4309), IF($B4310 = "Service Item", _xlfn.XLOOKUP($A4310, 'Instrument Table'!$I:$I, 'Instrument Table'!$B:$B, $C4309), _xlfn.XLOOKUP($A4310, 'Instrument Table'!$H:$H, 'Instrument Table'!$B:$B, $C4309)))</f>
        <v>Bassoon</v>
      </c>
      <c r="D4310" s="1" t="str">
        <f>VLOOKUP($C4310, 'Instrument Table'!$B:$C, 2, FALSE)</f>
        <v>Woodwinds</v>
      </c>
      <c r="E4310" s="1">
        <f t="shared" si="402"/>
        <v>2</v>
      </c>
      <c r="F4310" s="1">
        <f>_xlfn.XLOOKUP($C4310, 'Instrument Table'!$B:$B, 'Instrument Table'!$A:$A, "")</f>
        <v>35</v>
      </c>
      <c r="G4310" s="1" t="str">
        <f>TEXT(IF($B4310 = "Retail Item", IF((ROW($A4310) - 4504 - _xlfn.XMATCH($C4310, $C$4506:$C$5005, 0, 1)) &lt;= VLOOKUP($C4310, 'Instrument Table'!$B:$D, 3, FALSE), ROW($A4310) - 4504 - _xlfn.XMATCH($C4310, $C$4506:$C$5005, 0, 1), 0), 0), "00")</f>
        <v>00</v>
      </c>
      <c r="H4310" s="1" t="str">
        <f t="shared" si="403"/>
        <v>004</v>
      </c>
      <c r="I4310" s="1" t="str">
        <f t="shared" si="404"/>
        <v>23500-004</v>
      </c>
      <c r="J4310" s="1" t="str">
        <f t="shared" si="405"/>
        <v>Bassoon service item #004</v>
      </c>
      <c r="K4310" s="1" t="str">
        <f>IF(SUM(COUNTIFS(I:I, I4310)) &gt; 1, "DUPLICATE", "UNIQUE")</f>
        <v>UNIQUE</v>
      </c>
      <c r="L4310" s="18">
        <v>8</v>
      </c>
      <c r="M4310" s="28">
        <v>503</v>
      </c>
      <c r="N4310" s="6">
        <v>8</v>
      </c>
      <c r="O4310" s="30">
        <f t="shared" si="406"/>
        <v>4024</v>
      </c>
      <c r="P4310" s="30">
        <f t="shared" si="407"/>
        <v>4024</v>
      </c>
      <c r="Q4310" s="1">
        <f>COUNTIFS($P:$P, "&gt;" &amp; $P4310) + 1</f>
        <v>2650</v>
      </c>
      <c r="R4310" s="63">
        <f>(COUNTIFS($P:$P, "&gt;" &amp; $P4310) + 1) / (COUNTA($I:$I) - 1)</f>
        <v>0.53</v>
      </c>
      <c r="S4310" s="23">
        <f>SUMIFS($P:$P, $Q:$Q, "&lt;" &amp; $Q4310)</f>
        <v>183770998</v>
      </c>
    </row>
    <row r="4311" spans="1:19" x14ac:dyDescent="0.25">
      <c r="A4311" s="1">
        <v>4306</v>
      </c>
      <c r="B4311" s="1" t="s">
        <v>3</v>
      </c>
      <c r="C4311" s="1" t="str">
        <f>IF($B4311 = "Production Item", _xlfn.XLOOKUP($A4311, 'Instrument Table'!$J:$J, 'Instrument Table'!$B:$B, $C4310), IF($B4311 = "Service Item", _xlfn.XLOOKUP($A4311, 'Instrument Table'!$I:$I, 'Instrument Table'!$B:$B, $C4310), _xlfn.XLOOKUP($A4311, 'Instrument Table'!$H:$H, 'Instrument Table'!$B:$B, $C4310)))</f>
        <v>Bassoon</v>
      </c>
      <c r="D4311" s="1" t="str">
        <f>VLOOKUP($C4311, 'Instrument Table'!$B:$C, 2, FALSE)</f>
        <v>Woodwinds</v>
      </c>
      <c r="E4311" s="1">
        <f t="shared" si="402"/>
        <v>2</v>
      </c>
      <c r="F4311" s="1">
        <f>_xlfn.XLOOKUP($C4311, 'Instrument Table'!$B:$B, 'Instrument Table'!$A:$A, "")</f>
        <v>35</v>
      </c>
      <c r="G4311" s="1" t="str">
        <f>TEXT(IF($B4311 = "Retail Item", IF((ROW($A4311) - 4504 - _xlfn.XMATCH($C4311, $C$4506:$C$5005, 0, 1)) &lt;= VLOOKUP($C4311, 'Instrument Table'!$B:$D, 3, FALSE), ROW($A4311) - 4504 - _xlfn.XMATCH($C4311, $C$4506:$C$5005, 0, 1), 0), 0), "00")</f>
        <v>00</v>
      </c>
      <c r="H4311" s="1" t="str">
        <f t="shared" si="403"/>
        <v>005</v>
      </c>
      <c r="I4311" s="1" t="str">
        <f t="shared" si="404"/>
        <v>23500-005</v>
      </c>
      <c r="J4311" s="1" t="str">
        <f t="shared" si="405"/>
        <v>Bassoon service item #005</v>
      </c>
      <c r="K4311" s="1" t="str">
        <f>IF(SUM(COUNTIFS(I:I, I4311)) &gt; 1, "DUPLICATE", "UNIQUE")</f>
        <v>UNIQUE</v>
      </c>
      <c r="L4311" s="18">
        <v>6</v>
      </c>
      <c r="M4311" s="28">
        <v>762</v>
      </c>
      <c r="N4311" s="6">
        <v>1</v>
      </c>
      <c r="O4311" s="30">
        <f t="shared" si="406"/>
        <v>4572</v>
      </c>
      <c r="P4311" s="30">
        <f t="shared" si="407"/>
        <v>762</v>
      </c>
      <c r="Q4311" s="1">
        <f>COUNTIFS($P:$P, "&gt;" &amp; $P4311) + 1</f>
        <v>3825</v>
      </c>
      <c r="R4311" s="63">
        <f>(COUNTIFS($P:$P, "&gt;" &amp; $P4311) + 1) / (COUNTA($I:$I) - 1)</f>
        <v>0.76500000000000001</v>
      </c>
      <c r="S4311" s="23">
        <f>SUMIFS($P:$P, $Q:$Q, "&lt;" &amp; $Q4311)</f>
        <v>186284964</v>
      </c>
    </row>
    <row r="4312" spans="1:19" x14ac:dyDescent="0.25">
      <c r="A4312" s="1">
        <v>4307</v>
      </c>
      <c r="B4312" s="1" t="s">
        <v>3</v>
      </c>
      <c r="C4312" s="1" t="str">
        <f>IF($B4312 = "Production Item", _xlfn.XLOOKUP($A4312, 'Instrument Table'!$J:$J, 'Instrument Table'!$B:$B, $C4311), IF($B4312 = "Service Item", _xlfn.XLOOKUP($A4312, 'Instrument Table'!$I:$I, 'Instrument Table'!$B:$B, $C4311), _xlfn.XLOOKUP($A4312, 'Instrument Table'!$H:$H, 'Instrument Table'!$B:$B, $C4311)))</f>
        <v>Bassoon</v>
      </c>
      <c r="D4312" s="1" t="str">
        <f>VLOOKUP($C4312, 'Instrument Table'!$B:$C, 2, FALSE)</f>
        <v>Woodwinds</v>
      </c>
      <c r="E4312" s="1">
        <f t="shared" si="402"/>
        <v>2</v>
      </c>
      <c r="F4312" s="1">
        <f>_xlfn.XLOOKUP($C4312, 'Instrument Table'!$B:$B, 'Instrument Table'!$A:$A, "")</f>
        <v>35</v>
      </c>
      <c r="G4312" s="1" t="str">
        <f>TEXT(IF($B4312 = "Retail Item", IF((ROW($A4312) - 4504 - _xlfn.XMATCH($C4312, $C$4506:$C$5005, 0, 1)) &lt;= VLOOKUP($C4312, 'Instrument Table'!$B:$D, 3, FALSE), ROW($A4312) - 4504 - _xlfn.XMATCH($C4312, $C$4506:$C$5005, 0, 1), 0), 0), "00")</f>
        <v>00</v>
      </c>
      <c r="H4312" s="1" t="str">
        <f t="shared" si="403"/>
        <v>006</v>
      </c>
      <c r="I4312" s="1" t="str">
        <f t="shared" si="404"/>
        <v>23500-006</v>
      </c>
      <c r="J4312" s="1" t="str">
        <f t="shared" si="405"/>
        <v>Bassoon service item #006</v>
      </c>
      <c r="K4312" s="1" t="str">
        <f>IF(SUM(COUNTIFS(I:I, I4312)) &gt; 1, "DUPLICATE", "UNIQUE")</f>
        <v>UNIQUE</v>
      </c>
      <c r="L4312" s="18">
        <v>0</v>
      </c>
      <c r="M4312" s="28">
        <v>629</v>
      </c>
      <c r="N4312" s="6">
        <v>8</v>
      </c>
      <c r="O4312" s="30">
        <f t="shared" si="406"/>
        <v>0</v>
      </c>
      <c r="P4312" s="30">
        <f t="shared" si="407"/>
        <v>5032</v>
      </c>
      <c r="Q4312" s="1">
        <f>COUNTIFS($P:$P, "&gt;" &amp; $P4312) + 1</f>
        <v>2445</v>
      </c>
      <c r="R4312" s="63">
        <f>(COUNTIFS($P:$P, "&gt;" &amp; $P4312) + 1) / (COUNTA($I:$I) - 1)</f>
        <v>0.48899999999999999</v>
      </c>
      <c r="S4312" s="23">
        <f>SUMIFS($P:$P, $Q:$Q, "&lt;" &amp; $Q4312)</f>
        <v>182847481</v>
      </c>
    </row>
    <row r="4313" spans="1:19" x14ac:dyDescent="0.25">
      <c r="A4313" s="1">
        <v>4308</v>
      </c>
      <c r="B4313" s="1" t="s">
        <v>3</v>
      </c>
      <c r="C4313" s="1" t="str">
        <f>IF($B4313 = "Production Item", _xlfn.XLOOKUP($A4313, 'Instrument Table'!$J:$J, 'Instrument Table'!$B:$B, $C4312), IF($B4313 = "Service Item", _xlfn.XLOOKUP($A4313, 'Instrument Table'!$I:$I, 'Instrument Table'!$B:$B, $C4312), _xlfn.XLOOKUP($A4313, 'Instrument Table'!$H:$H, 'Instrument Table'!$B:$B, $C4312)))</f>
        <v>Bassoon</v>
      </c>
      <c r="D4313" s="1" t="str">
        <f>VLOOKUP($C4313, 'Instrument Table'!$B:$C, 2, FALSE)</f>
        <v>Woodwinds</v>
      </c>
      <c r="E4313" s="1">
        <f t="shared" si="402"/>
        <v>2</v>
      </c>
      <c r="F4313" s="1">
        <f>_xlfn.XLOOKUP($C4313, 'Instrument Table'!$B:$B, 'Instrument Table'!$A:$A, "")</f>
        <v>35</v>
      </c>
      <c r="G4313" s="1" t="str">
        <f>TEXT(IF($B4313 = "Retail Item", IF((ROW($A4313) - 4504 - _xlfn.XMATCH($C4313, $C$4506:$C$5005, 0, 1)) &lt;= VLOOKUP($C4313, 'Instrument Table'!$B:$D, 3, FALSE), ROW($A4313) - 4504 - _xlfn.XMATCH($C4313, $C$4506:$C$5005, 0, 1), 0), 0), "00")</f>
        <v>00</v>
      </c>
      <c r="H4313" s="1" t="str">
        <f t="shared" si="403"/>
        <v>007</v>
      </c>
      <c r="I4313" s="1" t="str">
        <f t="shared" si="404"/>
        <v>23500-007</v>
      </c>
      <c r="J4313" s="1" t="str">
        <f t="shared" si="405"/>
        <v>Bassoon service item #007</v>
      </c>
      <c r="K4313" s="1" t="str">
        <f>IF(SUM(COUNTIFS(I:I, I4313)) &gt; 1, "DUPLICATE", "UNIQUE")</f>
        <v>UNIQUE</v>
      </c>
      <c r="L4313" s="18">
        <v>3</v>
      </c>
      <c r="M4313" s="28">
        <v>129</v>
      </c>
      <c r="N4313" s="6">
        <v>0</v>
      </c>
      <c r="O4313" s="30">
        <f t="shared" si="406"/>
        <v>387</v>
      </c>
      <c r="P4313" s="30">
        <f t="shared" si="407"/>
        <v>0</v>
      </c>
      <c r="Q4313" s="1">
        <f>COUNTIFS($P:$P, "&gt;" &amp; $P4313) + 1</f>
        <v>4746</v>
      </c>
      <c r="R4313" s="63">
        <f>(COUNTIFS($P:$P, "&gt;" &amp; $P4313) + 1) / (COUNTA($I:$I) - 1)</f>
        <v>0.94920000000000004</v>
      </c>
      <c r="S4313" s="23">
        <f>SUMIFS($P:$P, $Q:$Q, "&lt;" &amp; $Q4313)</f>
        <v>186547861</v>
      </c>
    </row>
    <row r="4314" spans="1:19" x14ac:dyDescent="0.25">
      <c r="A4314" s="1">
        <v>4309</v>
      </c>
      <c r="B4314" s="1" t="s">
        <v>3</v>
      </c>
      <c r="C4314" s="1" t="str">
        <f>IF($B4314 = "Production Item", _xlfn.XLOOKUP($A4314, 'Instrument Table'!$J:$J, 'Instrument Table'!$B:$B, $C4313), IF($B4314 = "Service Item", _xlfn.XLOOKUP($A4314, 'Instrument Table'!$I:$I, 'Instrument Table'!$B:$B, $C4313), _xlfn.XLOOKUP($A4314, 'Instrument Table'!$H:$H, 'Instrument Table'!$B:$B, $C4313)))</f>
        <v>Bassoon</v>
      </c>
      <c r="D4314" s="1" t="str">
        <f>VLOOKUP($C4314, 'Instrument Table'!$B:$C, 2, FALSE)</f>
        <v>Woodwinds</v>
      </c>
      <c r="E4314" s="1">
        <f t="shared" si="402"/>
        <v>2</v>
      </c>
      <c r="F4314" s="1">
        <f>_xlfn.XLOOKUP($C4314, 'Instrument Table'!$B:$B, 'Instrument Table'!$A:$A, "")</f>
        <v>35</v>
      </c>
      <c r="G4314" s="1" t="str">
        <f>TEXT(IF($B4314 = "Retail Item", IF((ROW($A4314) - 4504 - _xlfn.XMATCH($C4314, $C$4506:$C$5005, 0, 1)) &lt;= VLOOKUP($C4314, 'Instrument Table'!$B:$D, 3, FALSE), ROW($A4314) - 4504 - _xlfn.XMATCH($C4314, $C$4506:$C$5005, 0, 1), 0), 0), "00")</f>
        <v>00</v>
      </c>
      <c r="H4314" s="1" t="str">
        <f t="shared" si="403"/>
        <v>008</v>
      </c>
      <c r="I4314" s="1" t="str">
        <f t="shared" si="404"/>
        <v>23500-008</v>
      </c>
      <c r="J4314" s="1" t="str">
        <f t="shared" si="405"/>
        <v>Bassoon service item #008</v>
      </c>
      <c r="K4314" s="1" t="str">
        <f>IF(SUM(COUNTIFS(I:I, I4314)) &gt; 1, "DUPLICATE", "UNIQUE")</f>
        <v>UNIQUE</v>
      </c>
      <c r="L4314" s="18">
        <v>8</v>
      </c>
      <c r="M4314" s="28">
        <v>455</v>
      </c>
      <c r="N4314" s="6">
        <v>8</v>
      </c>
      <c r="O4314" s="30">
        <f t="shared" si="406"/>
        <v>3640</v>
      </c>
      <c r="P4314" s="30">
        <f t="shared" si="407"/>
        <v>3640</v>
      </c>
      <c r="Q4314" s="1">
        <f>COUNTIFS($P:$P, "&gt;" &amp; $P4314) + 1</f>
        <v>2733</v>
      </c>
      <c r="R4314" s="63">
        <f>(COUNTIFS($P:$P, "&gt;" &amp; $P4314) + 1) / (COUNTA($I:$I) - 1)</f>
        <v>0.54659999999999997</v>
      </c>
      <c r="S4314" s="23">
        <f>SUMIFS($P:$P, $Q:$Q, "&lt;" &amp; $Q4314)</f>
        <v>184089551</v>
      </c>
    </row>
    <row r="4315" spans="1:19" x14ac:dyDescent="0.25">
      <c r="A4315" s="1">
        <v>4310</v>
      </c>
      <c r="B4315" s="1" t="s">
        <v>3</v>
      </c>
      <c r="C4315" s="1" t="str">
        <f>IF($B4315 = "Production Item", _xlfn.XLOOKUP($A4315, 'Instrument Table'!$J:$J, 'Instrument Table'!$B:$B, $C4314), IF($B4315 = "Service Item", _xlfn.XLOOKUP($A4315, 'Instrument Table'!$I:$I, 'Instrument Table'!$B:$B, $C4314), _xlfn.XLOOKUP($A4315, 'Instrument Table'!$H:$H, 'Instrument Table'!$B:$B, $C4314)))</f>
        <v>Bassoon</v>
      </c>
      <c r="D4315" s="1" t="str">
        <f>VLOOKUP($C4315, 'Instrument Table'!$B:$C, 2, FALSE)</f>
        <v>Woodwinds</v>
      </c>
      <c r="E4315" s="1">
        <f t="shared" si="402"/>
        <v>2</v>
      </c>
      <c r="F4315" s="1">
        <f>_xlfn.XLOOKUP($C4315, 'Instrument Table'!$B:$B, 'Instrument Table'!$A:$A, "")</f>
        <v>35</v>
      </c>
      <c r="G4315" s="1" t="str">
        <f>TEXT(IF($B4315 = "Retail Item", IF((ROW($A4315) - 4504 - _xlfn.XMATCH($C4315, $C$4506:$C$5005, 0, 1)) &lt;= VLOOKUP($C4315, 'Instrument Table'!$B:$D, 3, FALSE), ROW($A4315) - 4504 - _xlfn.XMATCH($C4315, $C$4506:$C$5005, 0, 1), 0), 0), "00")</f>
        <v>00</v>
      </c>
      <c r="H4315" s="1" t="str">
        <f t="shared" si="403"/>
        <v>009</v>
      </c>
      <c r="I4315" s="1" t="str">
        <f t="shared" si="404"/>
        <v>23500-009</v>
      </c>
      <c r="J4315" s="1" t="str">
        <f t="shared" si="405"/>
        <v>Bassoon service item #009</v>
      </c>
      <c r="K4315" s="1" t="str">
        <f>IF(SUM(COUNTIFS(I:I, I4315)) &gt; 1, "DUPLICATE", "UNIQUE")</f>
        <v>UNIQUE</v>
      </c>
      <c r="L4315" s="18">
        <v>5</v>
      </c>
      <c r="M4315" s="28">
        <v>823</v>
      </c>
      <c r="N4315" s="6">
        <v>64</v>
      </c>
      <c r="O4315" s="30">
        <f t="shared" si="406"/>
        <v>4115</v>
      </c>
      <c r="P4315" s="30">
        <f t="shared" si="407"/>
        <v>52672</v>
      </c>
      <c r="Q4315" s="1">
        <f>COUNTIFS($P:$P, "&gt;" &amp; $P4315) + 1</f>
        <v>522</v>
      </c>
      <c r="R4315" s="63">
        <f>(COUNTIFS($P:$P, "&gt;" &amp; $P4315) + 1) / (COUNTA($I:$I) - 1)</f>
        <v>0.10440000000000001</v>
      </c>
      <c r="S4315" s="23">
        <f>SUMIFS($P:$P, $Q:$Q, "&lt;" &amp; $Q4315)</f>
        <v>152693927</v>
      </c>
    </row>
    <row r="4316" spans="1:19" x14ac:dyDescent="0.25">
      <c r="A4316" s="1">
        <v>4311</v>
      </c>
      <c r="B4316" s="1" t="s">
        <v>3</v>
      </c>
      <c r="C4316" s="1" t="str">
        <f>IF($B4316 = "Production Item", _xlfn.XLOOKUP($A4316, 'Instrument Table'!$J:$J, 'Instrument Table'!$B:$B, $C4315), IF($B4316 = "Service Item", _xlfn.XLOOKUP($A4316, 'Instrument Table'!$I:$I, 'Instrument Table'!$B:$B, $C4315), _xlfn.XLOOKUP($A4316, 'Instrument Table'!$H:$H, 'Instrument Table'!$B:$B, $C4315)))</f>
        <v>French Horn</v>
      </c>
      <c r="D4316" s="1" t="str">
        <f>VLOOKUP($C4316, 'Instrument Table'!$B:$C, 2, FALSE)</f>
        <v>Brass</v>
      </c>
      <c r="E4316" s="1">
        <f t="shared" si="402"/>
        <v>2</v>
      </c>
      <c r="F4316" s="1">
        <f>_xlfn.XLOOKUP($C4316, 'Instrument Table'!$B:$B, 'Instrument Table'!$A:$A, "")</f>
        <v>40</v>
      </c>
      <c r="G4316" s="1" t="str">
        <f>TEXT(IF($B4316 = "Retail Item", IF((ROW($A4316) - 4504 - _xlfn.XMATCH($C4316, $C$4506:$C$5005, 0, 1)) &lt;= VLOOKUP($C4316, 'Instrument Table'!$B:$D, 3, FALSE), ROW($A4316) - 4504 - _xlfn.XMATCH($C4316, $C$4506:$C$5005, 0, 1), 0), 0), "00")</f>
        <v>00</v>
      </c>
      <c r="H4316" s="1" t="str">
        <f t="shared" si="403"/>
        <v>000</v>
      </c>
      <c r="I4316" s="1" t="str">
        <f t="shared" si="404"/>
        <v>24000-000</v>
      </c>
      <c r="J4316" s="1" t="str">
        <f t="shared" si="405"/>
        <v>French horn service item #000</v>
      </c>
      <c r="K4316" s="1" t="str">
        <f>IF(SUM(COUNTIFS(I:I, I4316)) &gt; 1, "DUPLICATE", "UNIQUE")</f>
        <v>UNIQUE</v>
      </c>
      <c r="L4316" s="18">
        <v>9</v>
      </c>
      <c r="M4316" s="28">
        <v>430</v>
      </c>
      <c r="N4316" s="6">
        <v>1</v>
      </c>
      <c r="O4316" s="30">
        <f t="shared" si="406"/>
        <v>3870</v>
      </c>
      <c r="P4316" s="30">
        <f t="shared" si="407"/>
        <v>430</v>
      </c>
      <c r="Q4316" s="1">
        <f>COUNTIFS($P:$P, "&gt;" &amp; $P4316) + 1</f>
        <v>4081</v>
      </c>
      <c r="R4316" s="63">
        <f>(COUNTIFS($P:$P, "&gt;" &amp; $P4316) + 1) / (COUNTA($I:$I) - 1)</f>
        <v>0.81620000000000004</v>
      </c>
      <c r="S4316" s="23">
        <f>SUMIFS($P:$P, $Q:$Q, "&lt;" &amp; $Q4316)</f>
        <v>186437165</v>
      </c>
    </row>
    <row r="4317" spans="1:19" x14ac:dyDescent="0.25">
      <c r="A4317" s="1">
        <v>4312</v>
      </c>
      <c r="B4317" s="1" t="s">
        <v>3</v>
      </c>
      <c r="C4317" s="1" t="str">
        <f>IF($B4317 = "Production Item", _xlfn.XLOOKUP($A4317, 'Instrument Table'!$J:$J, 'Instrument Table'!$B:$B, $C4316), IF($B4317 = "Service Item", _xlfn.XLOOKUP($A4317, 'Instrument Table'!$I:$I, 'Instrument Table'!$B:$B, $C4316), _xlfn.XLOOKUP($A4317, 'Instrument Table'!$H:$H, 'Instrument Table'!$B:$B, $C4316)))</f>
        <v>French Horn</v>
      </c>
      <c r="D4317" s="1" t="str">
        <f>VLOOKUP($C4317, 'Instrument Table'!$B:$C, 2, FALSE)</f>
        <v>Brass</v>
      </c>
      <c r="E4317" s="1">
        <f t="shared" si="402"/>
        <v>2</v>
      </c>
      <c r="F4317" s="1">
        <f>_xlfn.XLOOKUP($C4317, 'Instrument Table'!$B:$B, 'Instrument Table'!$A:$A, "")</f>
        <v>40</v>
      </c>
      <c r="G4317" s="1" t="str">
        <f>TEXT(IF($B4317 = "Retail Item", IF((ROW($A4317) - 4504 - _xlfn.XMATCH($C4317, $C$4506:$C$5005, 0, 1)) &lt;= VLOOKUP($C4317, 'Instrument Table'!$B:$D, 3, FALSE), ROW($A4317) - 4504 - _xlfn.XMATCH($C4317, $C$4506:$C$5005, 0, 1), 0), 0), "00")</f>
        <v>00</v>
      </c>
      <c r="H4317" s="1" t="str">
        <f t="shared" si="403"/>
        <v>001</v>
      </c>
      <c r="I4317" s="1" t="str">
        <f t="shared" si="404"/>
        <v>24000-001</v>
      </c>
      <c r="J4317" s="1" t="str">
        <f t="shared" si="405"/>
        <v>French horn service item #001</v>
      </c>
      <c r="K4317" s="1" t="str">
        <f>IF(SUM(COUNTIFS(I:I, I4317)) &gt; 1, "DUPLICATE", "UNIQUE")</f>
        <v>UNIQUE</v>
      </c>
      <c r="L4317" s="18">
        <v>7</v>
      </c>
      <c r="M4317" s="28">
        <v>987</v>
      </c>
      <c r="N4317" s="6">
        <v>0</v>
      </c>
      <c r="O4317" s="30">
        <f t="shared" si="406"/>
        <v>6909</v>
      </c>
      <c r="P4317" s="30">
        <f t="shared" si="407"/>
        <v>0</v>
      </c>
      <c r="Q4317" s="1">
        <f>COUNTIFS($P:$P, "&gt;" &amp; $P4317) + 1</f>
        <v>4746</v>
      </c>
      <c r="R4317" s="63">
        <f>(COUNTIFS($P:$P, "&gt;" &amp; $P4317) + 1) / (COUNTA($I:$I) - 1)</f>
        <v>0.94920000000000004</v>
      </c>
      <c r="S4317" s="23">
        <f>SUMIFS($P:$P, $Q:$Q, "&lt;" &amp; $Q4317)</f>
        <v>186547861</v>
      </c>
    </row>
    <row r="4318" spans="1:19" x14ac:dyDescent="0.25">
      <c r="A4318" s="1">
        <v>4313</v>
      </c>
      <c r="B4318" s="1" t="s">
        <v>3</v>
      </c>
      <c r="C4318" s="1" t="str">
        <f>IF($B4318 = "Production Item", _xlfn.XLOOKUP($A4318, 'Instrument Table'!$J:$J, 'Instrument Table'!$B:$B, $C4317), IF($B4318 = "Service Item", _xlfn.XLOOKUP($A4318, 'Instrument Table'!$I:$I, 'Instrument Table'!$B:$B, $C4317), _xlfn.XLOOKUP($A4318, 'Instrument Table'!$H:$H, 'Instrument Table'!$B:$B, $C4317)))</f>
        <v>French Horn</v>
      </c>
      <c r="D4318" s="1" t="str">
        <f>VLOOKUP($C4318, 'Instrument Table'!$B:$C, 2, FALSE)</f>
        <v>Brass</v>
      </c>
      <c r="E4318" s="1">
        <f t="shared" si="402"/>
        <v>2</v>
      </c>
      <c r="F4318" s="1">
        <f>_xlfn.XLOOKUP($C4318, 'Instrument Table'!$B:$B, 'Instrument Table'!$A:$A, "")</f>
        <v>40</v>
      </c>
      <c r="G4318" s="1" t="str">
        <f>TEXT(IF($B4318 = "Retail Item", IF((ROW($A4318) - 4504 - _xlfn.XMATCH($C4318, $C$4506:$C$5005, 0, 1)) &lt;= VLOOKUP($C4318, 'Instrument Table'!$B:$D, 3, FALSE), ROW($A4318) - 4504 - _xlfn.XMATCH($C4318, $C$4506:$C$5005, 0, 1), 0), 0), "00")</f>
        <v>00</v>
      </c>
      <c r="H4318" s="1" t="str">
        <f t="shared" si="403"/>
        <v>002</v>
      </c>
      <c r="I4318" s="1" t="str">
        <f t="shared" si="404"/>
        <v>24000-002</v>
      </c>
      <c r="J4318" s="1" t="str">
        <f t="shared" si="405"/>
        <v>French horn service item #002</v>
      </c>
      <c r="K4318" s="1" t="str">
        <f>IF(SUM(COUNTIFS(I:I, I4318)) &gt; 1, "DUPLICATE", "UNIQUE")</f>
        <v>UNIQUE</v>
      </c>
      <c r="L4318" s="18">
        <v>4</v>
      </c>
      <c r="M4318" s="28">
        <v>548</v>
      </c>
      <c r="N4318" s="6">
        <v>125</v>
      </c>
      <c r="O4318" s="30">
        <f t="shared" si="406"/>
        <v>2192</v>
      </c>
      <c r="P4318" s="30">
        <f t="shared" si="407"/>
        <v>68500</v>
      </c>
      <c r="Q4318" s="1">
        <f>COUNTIFS($P:$P, "&gt;" &amp; $P4318) + 1</f>
        <v>474</v>
      </c>
      <c r="R4318" s="63">
        <f>(COUNTIFS($P:$P, "&gt;" &amp; $P4318) + 1) / (COUNTA($I:$I) - 1)</f>
        <v>9.4799999999999995E-2</v>
      </c>
      <c r="S4318" s="23">
        <f>SUMIFS($P:$P, $Q:$Q, "&lt;" &amp; $Q4318)</f>
        <v>149783473</v>
      </c>
    </row>
    <row r="4319" spans="1:19" x14ac:dyDescent="0.25">
      <c r="A4319" s="1">
        <v>4314</v>
      </c>
      <c r="B4319" s="1" t="s">
        <v>3</v>
      </c>
      <c r="C4319" s="1" t="str">
        <f>IF($B4319 = "Production Item", _xlfn.XLOOKUP($A4319, 'Instrument Table'!$J:$J, 'Instrument Table'!$B:$B, $C4318), IF($B4319 = "Service Item", _xlfn.XLOOKUP($A4319, 'Instrument Table'!$I:$I, 'Instrument Table'!$B:$B, $C4318), _xlfn.XLOOKUP($A4319, 'Instrument Table'!$H:$H, 'Instrument Table'!$B:$B, $C4318)))</f>
        <v>French Horn</v>
      </c>
      <c r="D4319" s="1" t="str">
        <f>VLOOKUP($C4319, 'Instrument Table'!$B:$C, 2, FALSE)</f>
        <v>Brass</v>
      </c>
      <c r="E4319" s="1">
        <f t="shared" si="402"/>
        <v>2</v>
      </c>
      <c r="F4319" s="1">
        <f>_xlfn.XLOOKUP($C4319, 'Instrument Table'!$B:$B, 'Instrument Table'!$A:$A, "")</f>
        <v>40</v>
      </c>
      <c r="G4319" s="1" t="str">
        <f>TEXT(IF($B4319 = "Retail Item", IF((ROW($A4319) - 4504 - _xlfn.XMATCH($C4319, $C$4506:$C$5005, 0, 1)) &lt;= VLOOKUP($C4319, 'Instrument Table'!$B:$D, 3, FALSE), ROW($A4319) - 4504 - _xlfn.XMATCH($C4319, $C$4506:$C$5005, 0, 1), 0), 0), "00")</f>
        <v>00</v>
      </c>
      <c r="H4319" s="1" t="str">
        <f t="shared" si="403"/>
        <v>003</v>
      </c>
      <c r="I4319" s="1" t="str">
        <f t="shared" si="404"/>
        <v>24000-003</v>
      </c>
      <c r="J4319" s="1" t="str">
        <f t="shared" si="405"/>
        <v>French horn service item #003</v>
      </c>
      <c r="K4319" s="1" t="str">
        <f>IF(SUM(COUNTIFS(I:I, I4319)) &gt; 1, "DUPLICATE", "UNIQUE")</f>
        <v>UNIQUE</v>
      </c>
      <c r="L4319" s="18">
        <v>2</v>
      </c>
      <c r="M4319" s="28">
        <v>935</v>
      </c>
      <c r="N4319" s="6">
        <v>64</v>
      </c>
      <c r="O4319" s="30">
        <f t="shared" si="406"/>
        <v>1870</v>
      </c>
      <c r="P4319" s="30">
        <f t="shared" si="407"/>
        <v>59840</v>
      </c>
      <c r="Q4319" s="1">
        <f>COUNTIFS($P:$P, "&gt;" &amp; $P4319) + 1</f>
        <v>500</v>
      </c>
      <c r="R4319" s="63">
        <f>(COUNTIFS($P:$P, "&gt;" &amp; $P4319) + 1) / (COUNTA($I:$I) - 1)</f>
        <v>0.1</v>
      </c>
      <c r="S4319" s="23">
        <f>SUMIFS($P:$P, $Q:$Q, "&lt;" &amp; $Q4319)</f>
        <v>151464917</v>
      </c>
    </row>
    <row r="4320" spans="1:19" x14ac:dyDescent="0.25">
      <c r="A4320" s="1">
        <v>4315</v>
      </c>
      <c r="B4320" s="1" t="s">
        <v>3</v>
      </c>
      <c r="C4320" s="1" t="str">
        <f>IF($B4320 = "Production Item", _xlfn.XLOOKUP($A4320, 'Instrument Table'!$J:$J, 'Instrument Table'!$B:$B, $C4319), IF($B4320 = "Service Item", _xlfn.XLOOKUP($A4320, 'Instrument Table'!$I:$I, 'Instrument Table'!$B:$B, $C4319), _xlfn.XLOOKUP($A4320, 'Instrument Table'!$H:$H, 'Instrument Table'!$B:$B, $C4319)))</f>
        <v>French Horn</v>
      </c>
      <c r="D4320" s="1" t="str">
        <f>VLOOKUP($C4320, 'Instrument Table'!$B:$C, 2, FALSE)</f>
        <v>Brass</v>
      </c>
      <c r="E4320" s="1">
        <f t="shared" si="402"/>
        <v>2</v>
      </c>
      <c r="F4320" s="1">
        <f>_xlfn.XLOOKUP($C4320, 'Instrument Table'!$B:$B, 'Instrument Table'!$A:$A, "")</f>
        <v>40</v>
      </c>
      <c r="G4320" s="1" t="str">
        <f>TEXT(IF($B4320 = "Retail Item", IF((ROW($A4320) - 4504 - _xlfn.XMATCH($C4320, $C$4506:$C$5005, 0, 1)) &lt;= VLOOKUP($C4320, 'Instrument Table'!$B:$D, 3, FALSE), ROW($A4320) - 4504 - _xlfn.XMATCH($C4320, $C$4506:$C$5005, 0, 1), 0), 0), "00")</f>
        <v>00</v>
      </c>
      <c r="H4320" s="1" t="str">
        <f t="shared" si="403"/>
        <v>004</v>
      </c>
      <c r="I4320" s="1" t="str">
        <f t="shared" si="404"/>
        <v>24000-004</v>
      </c>
      <c r="J4320" s="1" t="str">
        <f t="shared" si="405"/>
        <v>French horn service item #004</v>
      </c>
      <c r="K4320" s="1" t="str">
        <f>IF(SUM(COUNTIFS(I:I, I4320)) &gt; 1, "DUPLICATE", "UNIQUE")</f>
        <v>UNIQUE</v>
      </c>
      <c r="L4320" s="18">
        <v>0</v>
      </c>
      <c r="M4320" s="28">
        <v>172</v>
      </c>
      <c r="N4320" s="6">
        <v>1</v>
      </c>
      <c r="O4320" s="30">
        <f t="shared" si="406"/>
        <v>0</v>
      </c>
      <c r="P4320" s="30">
        <f t="shared" si="407"/>
        <v>172</v>
      </c>
      <c r="Q4320" s="1">
        <f>COUNTIFS($P:$P, "&gt;" &amp; $P4320) + 1</f>
        <v>4369</v>
      </c>
      <c r="R4320" s="63">
        <f>(COUNTIFS($P:$P, "&gt;" &amp; $P4320) + 1) / (COUNTA($I:$I) - 1)</f>
        <v>0.87380000000000002</v>
      </c>
      <c r="S4320" s="23">
        <f>SUMIFS($P:$P, $Q:$Q, "&lt;" &amp; $Q4320)</f>
        <v>186520996</v>
      </c>
    </row>
    <row r="4321" spans="1:19" x14ac:dyDescent="0.25">
      <c r="A4321" s="1">
        <v>4316</v>
      </c>
      <c r="B4321" s="1" t="s">
        <v>3</v>
      </c>
      <c r="C4321" s="1" t="str">
        <f>IF($B4321 = "Production Item", _xlfn.XLOOKUP($A4321, 'Instrument Table'!$J:$J, 'Instrument Table'!$B:$B, $C4320), IF($B4321 = "Service Item", _xlfn.XLOOKUP($A4321, 'Instrument Table'!$I:$I, 'Instrument Table'!$B:$B, $C4320), _xlfn.XLOOKUP($A4321, 'Instrument Table'!$H:$H, 'Instrument Table'!$B:$B, $C4320)))</f>
        <v>French Horn</v>
      </c>
      <c r="D4321" s="1" t="str">
        <f>VLOOKUP($C4321, 'Instrument Table'!$B:$C, 2, FALSE)</f>
        <v>Brass</v>
      </c>
      <c r="E4321" s="1">
        <f t="shared" si="402"/>
        <v>2</v>
      </c>
      <c r="F4321" s="1">
        <f>_xlfn.XLOOKUP($C4321, 'Instrument Table'!$B:$B, 'Instrument Table'!$A:$A, "")</f>
        <v>40</v>
      </c>
      <c r="G4321" s="1" t="str">
        <f>TEXT(IF($B4321 = "Retail Item", IF((ROW($A4321) - 4504 - _xlfn.XMATCH($C4321, $C$4506:$C$5005, 0, 1)) &lt;= VLOOKUP($C4321, 'Instrument Table'!$B:$D, 3, FALSE), ROW($A4321) - 4504 - _xlfn.XMATCH($C4321, $C$4506:$C$5005, 0, 1), 0), 0), "00")</f>
        <v>00</v>
      </c>
      <c r="H4321" s="1" t="str">
        <f t="shared" si="403"/>
        <v>005</v>
      </c>
      <c r="I4321" s="1" t="str">
        <f t="shared" si="404"/>
        <v>24000-005</v>
      </c>
      <c r="J4321" s="1" t="str">
        <f t="shared" si="405"/>
        <v>French horn service item #005</v>
      </c>
      <c r="K4321" s="1" t="str">
        <f>IF(SUM(COUNTIFS(I:I, I4321)) &gt; 1, "DUPLICATE", "UNIQUE")</f>
        <v>UNIQUE</v>
      </c>
      <c r="L4321" s="18">
        <v>1</v>
      </c>
      <c r="M4321" s="28">
        <v>170</v>
      </c>
      <c r="N4321" s="6">
        <v>64</v>
      </c>
      <c r="O4321" s="30">
        <f t="shared" si="406"/>
        <v>170</v>
      </c>
      <c r="P4321" s="30">
        <f t="shared" si="407"/>
        <v>10880</v>
      </c>
      <c r="Q4321" s="1">
        <f>COUNTIFS($P:$P, "&gt;" &amp; $P4321) + 1</f>
        <v>1695</v>
      </c>
      <c r="R4321" s="63">
        <f>(COUNTIFS($P:$P, "&gt;" &amp; $P4321) + 1) / (COUNTA($I:$I) - 1)</f>
        <v>0.33900000000000002</v>
      </c>
      <c r="S4321" s="23">
        <f>SUMIFS($P:$P, $Q:$Q, "&lt;" &amp; $Q4321)</f>
        <v>177159162</v>
      </c>
    </row>
    <row r="4322" spans="1:19" x14ac:dyDescent="0.25">
      <c r="A4322" s="1">
        <v>4317</v>
      </c>
      <c r="B4322" s="1" t="s">
        <v>3</v>
      </c>
      <c r="C4322" s="1" t="str">
        <f>IF($B4322 = "Production Item", _xlfn.XLOOKUP($A4322, 'Instrument Table'!$J:$J, 'Instrument Table'!$B:$B, $C4321), IF($B4322 = "Service Item", _xlfn.XLOOKUP($A4322, 'Instrument Table'!$I:$I, 'Instrument Table'!$B:$B, $C4321), _xlfn.XLOOKUP($A4322, 'Instrument Table'!$H:$H, 'Instrument Table'!$B:$B, $C4321)))</f>
        <v>French Horn</v>
      </c>
      <c r="D4322" s="1" t="str">
        <f>VLOOKUP($C4322, 'Instrument Table'!$B:$C, 2, FALSE)</f>
        <v>Brass</v>
      </c>
      <c r="E4322" s="1">
        <f t="shared" si="402"/>
        <v>2</v>
      </c>
      <c r="F4322" s="1">
        <f>_xlfn.XLOOKUP($C4322, 'Instrument Table'!$B:$B, 'Instrument Table'!$A:$A, "")</f>
        <v>40</v>
      </c>
      <c r="G4322" s="1" t="str">
        <f>TEXT(IF($B4322 = "Retail Item", IF((ROW($A4322) - 4504 - _xlfn.XMATCH($C4322, $C$4506:$C$5005, 0, 1)) &lt;= VLOOKUP($C4322, 'Instrument Table'!$B:$D, 3, FALSE), ROW($A4322) - 4504 - _xlfn.XMATCH($C4322, $C$4506:$C$5005, 0, 1), 0), 0), "00")</f>
        <v>00</v>
      </c>
      <c r="H4322" s="1" t="str">
        <f t="shared" si="403"/>
        <v>006</v>
      </c>
      <c r="I4322" s="1" t="str">
        <f t="shared" si="404"/>
        <v>24000-006</v>
      </c>
      <c r="J4322" s="1" t="str">
        <f t="shared" si="405"/>
        <v>French horn service item #006</v>
      </c>
      <c r="K4322" s="1" t="str">
        <f>IF(SUM(COUNTIFS(I:I, I4322)) &gt; 1, "DUPLICATE", "UNIQUE")</f>
        <v>UNIQUE</v>
      </c>
      <c r="L4322" s="18">
        <v>3</v>
      </c>
      <c r="M4322" s="28">
        <v>530</v>
      </c>
      <c r="N4322" s="6">
        <v>125</v>
      </c>
      <c r="O4322" s="30">
        <f t="shared" si="406"/>
        <v>1590</v>
      </c>
      <c r="P4322" s="30">
        <f t="shared" si="407"/>
        <v>66250</v>
      </c>
      <c r="Q4322" s="1">
        <f>COUNTIFS($P:$P, "&gt;" &amp; $P4322) + 1</f>
        <v>483</v>
      </c>
      <c r="R4322" s="63">
        <f>(COUNTIFS($P:$P, "&gt;" &amp; $P4322) + 1) / (COUNTA($I:$I) - 1)</f>
        <v>9.6600000000000005E-2</v>
      </c>
      <c r="S4322" s="23">
        <f>SUMIFS($P:$P, $Q:$Q, "&lt;" &amp; $Q4322)</f>
        <v>150388544</v>
      </c>
    </row>
    <row r="4323" spans="1:19" x14ac:dyDescent="0.25">
      <c r="A4323" s="1">
        <v>4318</v>
      </c>
      <c r="B4323" s="1" t="s">
        <v>3</v>
      </c>
      <c r="C4323" s="1" t="str">
        <f>IF($B4323 = "Production Item", _xlfn.XLOOKUP($A4323, 'Instrument Table'!$J:$J, 'Instrument Table'!$B:$B, $C4322), IF($B4323 = "Service Item", _xlfn.XLOOKUP($A4323, 'Instrument Table'!$I:$I, 'Instrument Table'!$B:$B, $C4322), _xlfn.XLOOKUP($A4323, 'Instrument Table'!$H:$H, 'Instrument Table'!$B:$B, $C4322)))</f>
        <v>French Horn</v>
      </c>
      <c r="D4323" s="1" t="str">
        <f>VLOOKUP($C4323, 'Instrument Table'!$B:$C, 2, FALSE)</f>
        <v>Brass</v>
      </c>
      <c r="E4323" s="1">
        <f t="shared" si="402"/>
        <v>2</v>
      </c>
      <c r="F4323" s="1">
        <f>_xlfn.XLOOKUP($C4323, 'Instrument Table'!$B:$B, 'Instrument Table'!$A:$A, "")</f>
        <v>40</v>
      </c>
      <c r="G4323" s="1" t="str">
        <f>TEXT(IF($B4323 = "Retail Item", IF((ROW($A4323) - 4504 - _xlfn.XMATCH($C4323, $C$4506:$C$5005, 0, 1)) &lt;= VLOOKUP($C4323, 'Instrument Table'!$B:$D, 3, FALSE), ROW($A4323) - 4504 - _xlfn.XMATCH($C4323, $C$4506:$C$5005, 0, 1), 0), 0), "00")</f>
        <v>00</v>
      </c>
      <c r="H4323" s="1" t="str">
        <f t="shared" si="403"/>
        <v>007</v>
      </c>
      <c r="I4323" s="1" t="str">
        <f t="shared" si="404"/>
        <v>24000-007</v>
      </c>
      <c r="J4323" s="1" t="str">
        <f t="shared" si="405"/>
        <v>French horn service item #007</v>
      </c>
      <c r="K4323" s="1" t="str">
        <f>IF(SUM(COUNTIFS(I:I, I4323)) &gt; 1, "DUPLICATE", "UNIQUE")</f>
        <v>UNIQUE</v>
      </c>
      <c r="L4323" s="18">
        <v>8</v>
      </c>
      <c r="M4323" s="28">
        <v>117</v>
      </c>
      <c r="N4323" s="6">
        <v>125</v>
      </c>
      <c r="O4323" s="30">
        <f t="shared" si="406"/>
        <v>936</v>
      </c>
      <c r="P4323" s="30">
        <f t="shared" si="407"/>
        <v>14625</v>
      </c>
      <c r="Q4323" s="1">
        <f>COUNTIFS($P:$P, "&gt;" &amp; $P4323) + 1</f>
        <v>1375</v>
      </c>
      <c r="R4323" s="63">
        <f>(COUNTIFS($P:$P, "&gt;" &amp; $P4323) + 1) / (COUNTA($I:$I) - 1)</f>
        <v>0.27500000000000002</v>
      </c>
      <c r="S4323" s="23">
        <f>SUMIFS($P:$P, $Q:$Q, "&lt;" &amp; $Q4323)</f>
        <v>173113756</v>
      </c>
    </row>
    <row r="4324" spans="1:19" x14ac:dyDescent="0.25">
      <c r="A4324" s="1">
        <v>4319</v>
      </c>
      <c r="B4324" s="1" t="s">
        <v>3</v>
      </c>
      <c r="C4324" s="1" t="str">
        <f>IF($B4324 = "Production Item", _xlfn.XLOOKUP($A4324, 'Instrument Table'!$J:$J, 'Instrument Table'!$B:$B, $C4323), IF($B4324 = "Service Item", _xlfn.XLOOKUP($A4324, 'Instrument Table'!$I:$I, 'Instrument Table'!$B:$B, $C4323), _xlfn.XLOOKUP($A4324, 'Instrument Table'!$H:$H, 'Instrument Table'!$B:$B, $C4323)))</f>
        <v>French Horn</v>
      </c>
      <c r="D4324" s="1" t="str">
        <f>VLOOKUP($C4324, 'Instrument Table'!$B:$C, 2, FALSE)</f>
        <v>Brass</v>
      </c>
      <c r="E4324" s="1">
        <f t="shared" si="402"/>
        <v>2</v>
      </c>
      <c r="F4324" s="1">
        <f>_xlfn.XLOOKUP($C4324, 'Instrument Table'!$B:$B, 'Instrument Table'!$A:$A, "")</f>
        <v>40</v>
      </c>
      <c r="G4324" s="1" t="str">
        <f>TEXT(IF($B4324 = "Retail Item", IF((ROW($A4324) - 4504 - _xlfn.XMATCH($C4324, $C$4506:$C$5005, 0, 1)) &lt;= VLOOKUP($C4324, 'Instrument Table'!$B:$D, 3, FALSE), ROW($A4324) - 4504 - _xlfn.XMATCH($C4324, $C$4506:$C$5005, 0, 1), 0), 0), "00")</f>
        <v>00</v>
      </c>
      <c r="H4324" s="1" t="str">
        <f t="shared" si="403"/>
        <v>008</v>
      </c>
      <c r="I4324" s="1" t="str">
        <f t="shared" si="404"/>
        <v>24000-008</v>
      </c>
      <c r="J4324" s="1" t="str">
        <f t="shared" si="405"/>
        <v>French horn service item #008</v>
      </c>
      <c r="K4324" s="1" t="str">
        <f>IF(SUM(COUNTIFS(I:I, I4324)) &gt; 1, "DUPLICATE", "UNIQUE")</f>
        <v>UNIQUE</v>
      </c>
      <c r="L4324" s="18">
        <v>2</v>
      </c>
      <c r="M4324" s="28">
        <v>945</v>
      </c>
      <c r="N4324" s="6">
        <v>8</v>
      </c>
      <c r="O4324" s="30">
        <f t="shared" si="406"/>
        <v>1890</v>
      </c>
      <c r="P4324" s="30">
        <f t="shared" si="407"/>
        <v>7560</v>
      </c>
      <c r="Q4324" s="1">
        <f>COUNTIFS($P:$P, "&gt;" &amp; $P4324) + 1</f>
        <v>2065</v>
      </c>
      <c r="R4324" s="63">
        <f>(COUNTIFS($P:$P, "&gt;" &amp; $P4324) + 1) / (COUNTA($I:$I) - 1)</f>
        <v>0.41299999999999998</v>
      </c>
      <c r="S4324" s="23">
        <f>SUMIFS($P:$P, $Q:$Q, "&lt;" &amp; $Q4324)</f>
        <v>180499287</v>
      </c>
    </row>
    <row r="4325" spans="1:19" x14ac:dyDescent="0.25">
      <c r="A4325" s="1">
        <v>4320</v>
      </c>
      <c r="B4325" s="1" t="s">
        <v>3</v>
      </c>
      <c r="C4325" s="1" t="str">
        <f>IF($B4325 = "Production Item", _xlfn.XLOOKUP($A4325, 'Instrument Table'!$J:$J, 'Instrument Table'!$B:$B, $C4324), IF($B4325 = "Service Item", _xlfn.XLOOKUP($A4325, 'Instrument Table'!$I:$I, 'Instrument Table'!$B:$B, $C4324), _xlfn.XLOOKUP($A4325, 'Instrument Table'!$H:$H, 'Instrument Table'!$B:$B, $C4324)))</f>
        <v>French Horn</v>
      </c>
      <c r="D4325" s="1" t="str">
        <f>VLOOKUP($C4325, 'Instrument Table'!$B:$C, 2, FALSE)</f>
        <v>Brass</v>
      </c>
      <c r="E4325" s="1">
        <f t="shared" si="402"/>
        <v>2</v>
      </c>
      <c r="F4325" s="1">
        <f>_xlfn.XLOOKUP($C4325, 'Instrument Table'!$B:$B, 'Instrument Table'!$A:$A, "")</f>
        <v>40</v>
      </c>
      <c r="G4325" s="1" t="str">
        <f>TEXT(IF($B4325 = "Retail Item", IF((ROW($A4325) - 4504 - _xlfn.XMATCH($C4325, $C$4506:$C$5005, 0, 1)) &lt;= VLOOKUP($C4325, 'Instrument Table'!$B:$D, 3, FALSE), ROW($A4325) - 4504 - _xlfn.XMATCH($C4325, $C$4506:$C$5005, 0, 1), 0), 0), "00")</f>
        <v>00</v>
      </c>
      <c r="H4325" s="1" t="str">
        <f t="shared" si="403"/>
        <v>009</v>
      </c>
      <c r="I4325" s="1" t="str">
        <f t="shared" si="404"/>
        <v>24000-009</v>
      </c>
      <c r="J4325" s="1" t="str">
        <f t="shared" si="405"/>
        <v>French horn service item #009</v>
      </c>
      <c r="K4325" s="1" t="str">
        <f>IF(SUM(COUNTIFS(I:I, I4325)) &gt; 1, "DUPLICATE", "UNIQUE")</f>
        <v>UNIQUE</v>
      </c>
      <c r="L4325" s="18">
        <v>4</v>
      </c>
      <c r="M4325" s="28">
        <v>208</v>
      </c>
      <c r="N4325" s="6">
        <v>0</v>
      </c>
      <c r="O4325" s="30">
        <f t="shared" si="406"/>
        <v>832</v>
      </c>
      <c r="P4325" s="30">
        <f t="shared" si="407"/>
        <v>0</v>
      </c>
      <c r="Q4325" s="1">
        <f>COUNTIFS($P:$P, "&gt;" &amp; $P4325) + 1</f>
        <v>4746</v>
      </c>
      <c r="R4325" s="63">
        <f>(COUNTIFS($P:$P, "&gt;" &amp; $P4325) + 1) / (COUNTA($I:$I) - 1)</f>
        <v>0.94920000000000004</v>
      </c>
      <c r="S4325" s="23">
        <f>SUMIFS($P:$P, $Q:$Q, "&lt;" &amp; $Q4325)</f>
        <v>186547861</v>
      </c>
    </row>
    <row r="4326" spans="1:19" x14ac:dyDescent="0.25">
      <c r="A4326" s="1">
        <v>4321</v>
      </c>
      <c r="B4326" s="1" t="s">
        <v>3</v>
      </c>
      <c r="C4326" s="1" t="str">
        <f>IF($B4326 = "Production Item", _xlfn.XLOOKUP($A4326, 'Instrument Table'!$J:$J, 'Instrument Table'!$B:$B, $C4325), IF($B4326 = "Service Item", _xlfn.XLOOKUP($A4326, 'Instrument Table'!$I:$I, 'Instrument Table'!$B:$B, $C4325), _xlfn.XLOOKUP($A4326, 'Instrument Table'!$H:$H, 'Instrument Table'!$B:$B, $C4325)))</f>
        <v>French Horn</v>
      </c>
      <c r="D4326" s="1" t="str">
        <f>VLOOKUP($C4326, 'Instrument Table'!$B:$C, 2, FALSE)</f>
        <v>Brass</v>
      </c>
      <c r="E4326" s="1">
        <f t="shared" si="402"/>
        <v>2</v>
      </c>
      <c r="F4326" s="1">
        <f>_xlfn.XLOOKUP($C4326, 'Instrument Table'!$B:$B, 'Instrument Table'!$A:$A, "")</f>
        <v>40</v>
      </c>
      <c r="G4326" s="1" t="str">
        <f>TEXT(IF($B4326 = "Retail Item", IF((ROW($A4326) - 4504 - _xlfn.XMATCH($C4326, $C$4506:$C$5005, 0, 1)) &lt;= VLOOKUP($C4326, 'Instrument Table'!$B:$D, 3, FALSE), ROW($A4326) - 4504 - _xlfn.XMATCH($C4326, $C$4506:$C$5005, 0, 1), 0), 0), "00")</f>
        <v>00</v>
      </c>
      <c r="H4326" s="1" t="str">
        <f t="shared" si="403"/>
        <v>010</v>
      </c>
      <c r="I4326" s="1" t="str">
        <f t="shared" si="404"/>
        <v>24000-010</v>
      </c>
      <c r="J4326" s="1" t="str">
        <f t="shared" si="405"/>
        <v>French horn service item #010</v>
      </c>
      <c r="K4326" s="1" t="str">
        <f>IF(SUM(COUNTIFS(I:I, I4326)) &gt; 1, "DUPLICATE", "UNIQUE")</f>
        <v>UNIQUE</v>
      </c>
      <c r="L4326" s="18">
        <v>4</v>
      </c>
      <c r="M4326" s="28">
        <v>49</v>
      </c>
      <c r="N4326" s="6">
        <v>27</v>
      </c>
      <c r="O4326" s="30">
        <f t="shared" si="406"/>
        <v>196</v>
      </c>
      <c r="P4326" s="30">
        <f t="shared" si="407"/>
        <v>1323</v>
      </c>
      <c r="Q4326" s="1">
        <f>COUNTIFS($P:$P, "&gt;" &amp; $P4326) + 1</f>
        <v>3557</v>
      </c>
      <c r="R4326" s="63">
        <f>(COUNTIFS($P:$P, "&gt;" &amp; $P4326) + 1) / (COUNTA($I:$I) - 1)</f>
        <v>0.71140000000000003</v>
      </c>
      <c r="S4326" s="23">
        <f>SUMIFS($P:$P, $Q:$Q, "&lt;" &amp; $Q4326)</f>
        <v>186015381</v>
      </c>
    </row>
    <row r="4327" spans="1:19" x14ac:dyDescent="0.25">
      <c r="A4327" s="1">
        <v>4322</v>
      </c>
      <c r="B4327" s="1" t="s">
        <v>3</v>
      </c>
      <c r="C4327" s="1" t="str">
        <f>IF($B4327 = "Production Item", _xlfn.XLOOKUP($A4327, 'Instrument Table'!$J:$J, 'Instrument Table'!$B:$B, $C4326), IF($B4327 = "Service Item", _xlfn.XLOOKUP($A4327, 'Instrument Table'!$I:$I, 'Instrument Table'!$B:$B, $C4326), _xlfn.XLOOKUP($A4327, 'Instrument Table'!$H:$H, 'Instrument Table'!$B:$B, $C4326)))</f>
        <v>French Horn</v>
      </c>
      <c r="D4327" s="1" t="str">
        <f>VLOOKUP($C4327, 'Instrument Table'!$B:$C, 2, FALSE)</f>
        <v>Brass</v>
      </c>
      <c r="E4327" s="1">
        <f t="shared" si="402"/>
        <v>2</v>
      </c>
      <c r="F4327" s="1">
        <f>_xlfn.XLOOKUP($C4327, 'Instrument Table'!$B:$B, 'Instrument Table'!$A:$A, "")</f>
        <v>40</v>
      </c>
      <c r="G4327" s="1" t="str">
        <f>TEXT(IF($B4327 = "Retail Item", IF((ROW($A4327) - 4504 - _xlfn.XMATCH($C4327, $C$4506:$C$5005, 0, 1)) &lt;= VLOOKUP($C4327, 'Instrument Table'!$B:$D, 3, FALSE), ROW($A4327) - 4504 - _xlfn.XMATCH($C4327, $C$4506:$C$5005, 0, 1), 0), 0), "00")</f>
        <v>00</v>
      </c>
      <c r="H4327" s="1" t="str">
        <f t="shared" si="403"/>
        <v>011</v>
      </c>
      <c r="I4327" s="1" t="str">
        <f t="shared" si="404"/>
        <v>24000-011</v>
      </c>
      <c r="J4327" s="1" t="str">
        <f t="shared" si="405"/>
        <v>French horn service item #011</v>
      </c>
      <c r="K4327" s="1" t="str">
        <f>IF(SUM(COUNTIFS(I:I, I4327)) &gt; 1, "DUPLICATE", "UNIQUE")</f>
        <v>UNIQUE</v>
      </c>
      <c r="L4327" s="18">
        <v>0</v>
      </c>
      <c r="M4327" s="28">
        <v>259</v>
      </c>
      <c r="N4327" s="6">
        <v>8</v>
      </c>
      <c r="O4327" s="30">
        <f t="shared" si="406"/>
        <v>0</v>
      </c>
      <c r="P4327" s="30">
        <f t="shared" si="407"/>
        <v>2072</v>
      </c>
      <c r="Q4327" s="1">
        <f>COUNTIFS($P:$P, "&gt;" &amp; $P4327) + 1</f>
        <v>3227</v>
      </c>
      <c r="R4327" s="63">
        <f>(COUNTIFS($P:$P, "&gt;" &amp; $P4327) + 1) / (COUNTA($I:$I) - 1)</f>
        <v>0.64539999999999997</v>
      </c>
      <c r="S4327" s="23">
        <f>SUMIFS($P:$P, $Q:$Q, "&lt;" &amp; $Q4327)</f>
        <v>185464152</v>
      </c>
    </row>
    <row r="4328" spans="1:19" x14ac:dyDescent="0.25">
      <c r="A4328" s="1">
        <v>4323</v>
      </c>
      <c r="B4328" s="1" t="s">
        <v>3</v>
      </c>
      <c r="C4328" s="1" t="str">
        <f>IF($B4328 = "Production Item", _xlfn.XLOOKUP($A4328, 'Instrument Table'!$J:$J, 'Instrument Table'!$B:$B, $C4327), IF($B4328 = "Service Item", _xlfn.XLOOKUP($A4328, 'Instrument Table'!$I:$I, 'Instrument Table'!$B:$B, $C4327), _xlfn.XLOOKUP($A4328, 'Instrument Table'!$H:$H, 'Instrument Table'!$B:$B, $C4327)))</f>
        <v>French Horn</v>
      </c>
      <c r="D4328" s="1" t="str">
        <f>VLOOKUP($C4328, 'Instrument Table'!$B:$C, 2, FALSE)</f>
        <v>Brass</v>
      </c>
      <c r="E4328" s="1">
        <f t="shared" si="402"/>
        <v>2</v>
      </c>
      <c r="F4328" s="1">
        <f>_xlfn.XLOOKUP($C4328, 'Instrument Table'!$B:$B, 'Instrument Table'!$A:$A, "")</f>
        <v>40</v>
      </c>
      <c r="G4328" s="1" t="str">
        <f>TEXT(IF($B4328 = "Retail Item", IF((ROW($A4328) - 4504 - _xlfn.XMATCH($C4328, $C$4506:$C$5005, 0, 1)) &lt;= VLOOKUP($C4328, 'Instrument Table'!$B:$D, 3, FALSE), ROW($A4328) - 4504 - _xlfn.XMATCH($C4328, $C$4506:$C$5005, 0, 1), 0), 0), "00")</f>
        <v>00</v>
      </c>
      <c r="H4328" s="1" t="str">
        <f t="shared" si="403"/>
        <v>012</v>
      </c>
      <c r="I4328" s="1" t="str">
        <f t="shared" si="404"/>
        <v>24000-012</v>
      </c>
      <c r="J4328" s="1" t="str">
        <f t="shared" si="405"/>
        <v>French horn service item #012</v>
      </c>
      <c r="K4328" s="1" t="str">
        <f>IF(SUM(COUNTIFS(I:I, I4328)) &gt; 1, "DUPLICATE", "UNIQUE")</f>
        <v>UNIQUE</v>
      </c>
      <c r="L4328" s="18">
        <v>6</v>
      </c>
      <c r="M4328" s="28">
        <v>78</v>
      </c>
      <c r="N4328" s="6">
        <v>0</v>
      </c>
      <c r="O4328" s="30">
        <f t="shared" si="406"/>
        <v>468</v>
      </c>
      <c r="P4328" s="30">
        <f t="shared" si="407"/>
        <v>0</v>
      </c>
      <c r="Q4328" s="1">
        <f>COUNTIFS($P:$P, "&gt;" &amp; $P4328) + 1</f>
        <v>4746</v>
      </c>
      <c r="R4328" s="63">
        <f>(COUNTIFS($P:$P, "&gt;" &amp; $P4328) + 1) / (COUNTA($I:$I) - 1)</f>
        <v>0.94920000000000004</v>
      </c>
      <c r="S4328" s="23">
        <f>SUMIFS($P:$P, $Q:$Q, "&lt;" &amp; $Q4328)</f>
        <v>186547861</v>
      </c>
    </row>
    <row r="4329" spans="1:19" x14ac:dyDescent="0.25">
      <c r="A4329" s="1">
        <v>4324</v>
      </c>
      <c r="B4329" s="1" t="s">
        <v>3</v>
      </c>
      <c r="C4329" s="1" t="str">
        <f>IF($B4329 = "Production Item", _xlfn.XLOOKUP($A4329, 'Instrument Table'!$J:$J, 'Instrument Table'!$B:$B, $C4328), IF($B4329 = "Service Item", _xlfn.XLOOKUP($A4329, 'Instrument Table'!$I:$I, 'Instrument Table'!$B:$B, $C4328), _xlfn.XLOOKUP($A4329, 'Instrument Table'!$H:$H, 'Instrument Table'!$B:$B, $C4328)))</f>
        <v>French Horn</v>
      </c>
      <c r="D4329" s="1" t="str">
        <f>VLOOKUP($C4329, 'Instrument Table'!$B:$C, 2, FALSE)</f>
        <v>Brass</v>
      </c>
      <c r="E4329" s="1">
        <f t="shared" si="402"/>
        <v>2</v>
      </c>
      <c r="F4329" s="1">
        <f>_xlfn.XLOOKUP($C4329, 'Instrument Table'!$B:$B, 'Instrument Table'!$A:$A, "")</f>
        <v>40</v>
      </c>
      <c r="G4329" s="1" t="str">
        <f>TEXT(IF($B4329 = "Retail Item", IF((ROW($A4329) - 4504 - _xlfn.XMATCH($C4329, $C$4506:$C$5005, 0, 1)) &lt;= VLOOKUP($C4329, 'Instrument Table'!$B:$D, 3, FALSE), ROW($A4329) - 4504 - _xlfn.XMATCH($C4329, $C$4506:$C$5005, 0, 1), 0), 0), "00")</f>
        <v>00</v>
      </c>
      <c r="H4329" s="1" t="str">
        <f t="shared" si="403"/>
        <v>013</v>
      </c>
      <c r="I4329" s="1" t="str">
        <f t="shared" si="404"/>
        <v>24000-013</v>
      </c>
      <c r="J4329" s="1" t="str">
        <f t="shared" si="405"/>
        <v>French horn service item #013</v>
      </c>
      <c r="K4329" s="1" t="str">
        <f>IF(SUM(COUNTIFS(I:I, I4329)) &gt; 1, "DUPLICATE", "UNIQUE")</f>
        <v>UNIQUE</v>
      </c>
      <c r="L4329" s="18">
        <v>1</v>
      </c>
      <c r="M4329" s="28">
        <v>448</v>
      </c>
      <c r="N4329" s="6">
        <v>27</v>
      </c>
      <c r="O4329" s="30">
        <f t="shared" si="406"/>
        <v>448</v>
      </c>
      <c r="P4329" s="30">
        <f t="shared" si="407"/>
        <v>12096</v>
      </c>
      <c r="Q4329" s="1">
        <f>COUNTIFS($P:$P, "&gt;" &amp; $P4329) + 1</f>
        <v>1572</v>
      </c>
      <c r="R4329" s="63">
        <f>(COUNTIFS($P:$P, "&gt;" &amp; $P4329) + 1) / (COUNTA($I:$I) - 1)</f>
        <v>0.31440000000000001</v>
      </c>
      <c r="S4329" s="23">
        <f>SUMIFS($P:$P, $Q:$Q, "&lt;" &amp; $Q4329)</f>
        <v>175743737</v>
      </c>
    </row>
    <row r="4330" spans="1:19" x14ac:dyDescent="0.25">
      <c r="A4330" s="1">
        <v>4325</v>
      </c>
      <c r="B4330" s="1" t="s">
        <v>3</v>
      </c>
      <c r="C4330" s="1" t="str">
        <f>IF($B4330 = "Production Item", _xlfn.XLOOKUP($A4330, 'Instrument Table'!$J:$J, 'Instrument Table'!$B:$B, $C4329), IF($B4330 = "Service Item", _xlfn.XLOOKUP($A4330, 'Instrument Table'!$I:$I, 'Instrument Table'!$B:$B, $C4329), _xlfn.XLOOKUP($A4330, 'Instrument Table'!$H:$H, 'Instrument Table'!$B:$B, $C4329)))</f>
        <v>French Horn</v>
      </c>
      <c r="D4330" s="1" t="str">
        <f>VLOOKUP($C4330, 'Instrument Table'!$B:$C, 2, FALSE)</f>
        <v>Brass</v>
      </c>
      <c r="E4330" s="1">
        <f t="shared" si="402"/>
        <v>2</v>
      </c>
      <c r="F4330" s="1">
        <f>_xlfn.XLOOKUP($C4330, 'Instrument Table'!$B:$B, 'Instrument Table'!$A:$A, "")</f>
        <v>40</v>
      </c>
      <c r="G4330" s="1" t="str">
        <f>TEXT(IF($B4330 = "Retail Item", IF((ROW($A4330) - 4504 - _xlfn.XMATCH($C4330, $C$4506:$C$5005, 0, 1)) &lt;= VLOOKUP($C4330, 'Instrument Table'!$B:$D, 3, FALSE), ROW($A4330) - 4504 - _xlfn.XMATCH($C4330, $C$4506:$C$5005, 0, 1), 0), 0), "00")</f>
        <v>00</v>
      </c>
      <c r="H4330" s="1" t="str">
        <f t="shared" si="403"/>
        <v>014</v>
      </c>
      <c r="I4330" s="1" t="str">
        <f t="shared" si="404"/>
        <v>24000-014</v>
      </c>
      <c r="J4330" s="1" t="str">
        <f t="shared" si="405"/>
        <v>French horn service item #014</v>
      </c>
      <c r="K4330" s="1" t="str">
        <f>IF(SUM(COUNTIFS(I:I, I4330)) &gt; 1, "DUPLICATE", "UNIQUE")</f>
        <v>UNIQUE</v>
      </c>
      <c r="L4330" s="18">
        <v>7</v>
      </c>
      <c r="M4330" s="28">
        <v>114</v>
      </c>
      <c r="N4330" s="6">
        <v>64</v>
      </c>
      <c r="O4330" s="30">
        <f t="shared" si="406"/>
        <v>798</v>
      </c>
      <c r="P4330" s="30">
        <f t="shared" si="407"/>
        <v>7296</v>
      </c>
      <c r="Q4330" s="1">
        <f>COUNTIFS($P:$P, "&gt;" &amp; $P4330) + 1</f>
        <v>2097</v>
      </c>
      <c r="R4330" s="63">
        <f>(COUNTIFS($P:$P, "&gt;" &amp; $P4330) + 1) / (COUNTA($I:$I) - 1)</f>
        <v>0.4194</v>
      </c>
      <c r="S4330" s="23">
        <f>SUMIFS($P:$P, $Q:$Q, "&lt;" &amp; $Q4330)</f>
        <v>180736817</v>
      </c>
    </row>
    <row r="4331" spans="1:19" x14ac:dyDescent="0.25">
      <c r="A4331" s="1">
        <v>4326</v>
      </c>
      <c r="B4331" s="1" t="s">
        <v>3</v>
      </c>
      <c r="C4331" s="1" t="str">
        <f>IF($B4331 = "Production Item", _xlfn.XLOOKUP($A4331, 'Instrument Table'!$J:$J, 'Instrument Table'!$B:$B, $C4330), IF($B4331 = "Service Item", _xlfn.XLOOKUP($A4331, 'Instrument Table'!$I:$I, 'Instrument Table'!$B:$B, $C4330), _xlfn.XLOOKUP($A4331, 'Instrument Table'!$H:$H, 'Instrument Table'!$B:$B, $C4330)))</f>
        <v>French Horn</v>
      </c>
      <c r="D4331" s="1" t="str">
        <f>VLOOKUP($C4331, 'Instrument Table'!$B:$C, 2, FALSE)</f>
        <v>Brass</v>
      </c>
      <c r="E4331" s="1">
        <f t="shared" si="402"/>
        <v>2</v>
      </c>
      <c r="F4331" s="1">
        <f>_xlfn.XLOOKUP($C4331, 'Instrument Table'!$B:$B, 'Instrument Table'!$A:$A, "")</f>
        <v>40</v>
      </c>
      <c r="G4331" s="1" t="str">
        <f>TEXT(IF($B4331 = "Retail Item", IF((ROW($A4331) - 4504 - _xlfn.XMATCH($C4331, $C$4506:$C$5005, 0, 1)) &lt;= VLOOKUP($C4331, 'Instrument Table'!$B:$D, 3, FALSE), ROW($A4331) - 4504 - _xlfn.XMATCH($C4331, $C$4506:$C$5005, 0, 1), 0), 0), "00")</f>
        <v>00</v>
      </c>
      <c r="H4331" s="1" t="str">
        <f t="shared" si="403"/>
        <v>015</v>
      </c>
      <c r="I4331" s="1" t="str">
        <f t="shared" si="404"/>
        <v>24000-015</v>
      </c>
      <c r="J4331" s="1" t="str">
        <f t="shared" si="405"/>
        <v>French horn service item #015</v>
      </c>
      <c r="K4331" s="1" t="str">
        <f>IF(SUM(COUNTIFS(I:I, I4331)) &gt; 1, "DUPLICATE", "UNIQUE")</f>
        <v>UNIQUE</v>
      </c>
      <c r="L4331" s="18">
        <v>10</v>
      </c>
      <c r="M4331" s="28">
        <v>20</v>
      </c>
      <c r="N4331" s="6">
        <v>27</v>
      </c>
      <c r="O4331" s="30">
        <f t="shared" si="406"/>
        <v>200</v>
      </c>
      <c r="P4331" s="30">
        <f t="shared" si="407"/>
        <v>540</v>
      </c>
      <c r="Q4331" s="1">
        <f>COUNTIFS($P:$P, "&gt;" &amp; $P4331) + 1</f>
        <v>3988</v>
      </c>
      <c r="R4331" s="63">
        <f>(COUNTIFS($P:$P, "&gt;" &amp; $P4331) + 1) / (COUNTA($I:$I) - 1)</f>
        <v>0.79759999999999998</v>
      </c>
      <c r="S4331" s="23">
        <f>SUMIFS($P:$P, $Q:$Q, "&lt;" &amp; $Q4331)</f>
        <v>186391860</v>
      </c>
    </row>
    <row r="4332" spans="1:19" x14ac:dyDescent="0.25">
      <c r="A4332" s="1">
        <v>4327</v>
      </c>
      <c r="B4332" s="1" t="s">
        <v>3</v>
      </c>
      <c r="C4332" s="1" t="str">
        <f>IF($B4332 = "Production Item", _xlfn.XLOOKUP($A4332, 'Instrument Table'!$J:$J, 'Instrument Table'!$B:$B, $C4331), IF($B4332 = "Service Item", _xlfn.XLOOKUP($A4332, 'Instrument Table'!$I:$I, 'Instrument Table'!$B:$B, $C4331), _xlfn.XLOOKUP($A4332, 'Instrument Table'!$H:$H, 'Instrument Table'!$B:$B, $C4331)))</f>
        <v>French Horn</v>
      </c>
      <c r="D4332" s="1" t="str">
        <f>VLOOKUP($C4332, 'Instrument Table'!$B:$C, 2, FALSE)</f>
        <v>Brass</v>
      </c>
      <c r="E4332" s="1">
        <f t="shared" si="402"/>
        <v>2</v>
      </c>
      <c r="F4332" s="1">
        <f>_xlfn.XLOOKUP($C4332, 'Instrument Table'!$B:$B, 'Instrument Table'!$A:$A, "")</f>
        <v>40</v>
      </c>
      <c r="G4332" s="1" t="str">
        <f>TEXT(IF($B4332 = "Retail Item", IF((ROW($A4332) - 4504 - _xlfn.XMATCH($C4332, $C$4506:$C$5005, 0, 1)) &lt;= VLOOKUP($C4332, 'Instrument Table'!$B:$D, 3, FALSE), ROW($A4332) - 4504 - _xlfn.XMATCH($C4332, $C$4506:$C$5005, 0, 1), 0), 0), "00")</f>
        <v>00</v>
      </c>
      <c r="H4332" s="1" t="str">
        <f t="shared" si="403"/>
        <v>016</v>
      </c>
      <c r="I4332" s="1" t="str">
        <f t="shared" si="404"/>
        <v>24000-016</v>
      </c>
      <c r="J4332" s="1" t="str">
        <f t="shared" si="405"/>
        <v>French horn service item #016</v>
      </c>
      <c r="K4332" s="1" t="str">
        <f>IF(SUM(COUNTIFS(I:I, I4332)) &gt; 1, "DUPLICATE", "UNIQUE")</f>
        <v>UNIQUE</v>
      </c>
      <c r="L4332" s="18">
        <v>8</v>
      </c>
      <c r="M4332" s="28">
        <v>723</v>
      </c>
      <c r="N4332" s="6">
        <v>8</v>
      </c>
      <c r="O4332" s="30">
        <f t="shared" si="406"/>
        <v>5784</v>
      </c>
      <c r="P4332" s="30">
        <f t="shared" si="407"/>
        <v>5784</v>
      </c>
      <c r="Q4332" s="1">
        <f>COUNTIFS($P:$P, "&gt;" &amp; $P4332) + 1</f>
        <v>2304</v>
      </c>
      <c r="R4332" s="63">
        <f>(COUNTIFS($P:$P, "&gt;" &amp; $P4332) + 1) / (COUNTA($I:$I) - 1)</f>
        <v>0.46079999999999999</v>
      </c>
      <c r="S4332" s="23">
        <f>SUMIFS($P:$P, $Q:$Q, "&lt;" &amp; $Q4332)</f>
        <v>182087415</v>
      </c>
    </row>
    <row r="4333" spans="1:19" x14ac:dyDescent="0.25">
      <c r="A4333" s="1">
        <v>4328</v>
      </c>
      <c r="B4333" s="1" t="s">
        <v>3</v>
      </c>
      <c r="C4333" s="1" t="str">
        <f>IF($B4333 = "Production Item", _xlfn.XLOOKUP($A4333, 'Instrument Table'!$J:$J, 'Instrument Table'!$B:$B, $C4332), IF($B4333 = "Service Item", _xlfn.XLOOKUP($A4333, 'Instrument Table'!$I:$I, 'Instrument Table'!$B:$B, $C4332), _xlfn.XLOOKUP($A4333, 'Instrument Table'!$H:$H, 'Instrument Table'!$B:$B, $C4332)))</f>
        <v>French Horn</v>
      </c>
      <c r="D4333" s="1" t="str">
        <f>VLOOKUP($C4333, 'Instrument Table'!$B:$C, 2, FALSE)</f>
        <v>Brass</v>
      </c>
      <c r="E4333" s="1">
        <f t="shared" si="402"/>
        <v>2</v>
      </c>
      <c r="F4333" s="1">
        <f>_xlfn.XLOOKUP($C4333, 'Instrument Table'!$B:$B, 'Instrument Table'!$A:$A, "")</f>
        <v>40</v>
      </c>
      <c r="G4333" s="1" t="str">
        <f>TEXT(IF($B4333 = "Retail Item", IF((ROW($A4333) - 4504 - _xlfn.XMATCH($C4333, $C$4506:$C$5005, 0, 1)) &lt;= VLOOKUP($C4333, 'Instrument Table'!$B:$D, 3, FALSE), ROW($A4333) - 4504 - _xlfn.XMATCH($C4333, $C$4506:$C$5005, 0, 1), 0), 0), "00")</f>
        <v>00</v>
      </c>
      <c r="H4333" s="1" t="str">
        <f t="shared" si="403"/>
        <v>017</v>
      </c>
      <c r="I4333" s="1" t="str">
        <f t="shared" si="404"/>
        <v>24000-017</v>
      </c>
      <c r="J4333" s="1" t="str">
        <f t="shared" si="405"/>
        <v>French horn service item #017</v>
      </c>
      <c r="K4333" s="1" t="str">
        <f>IF(SUM(COUNTIFS(I:I, I4333)) &gt; 1, "DUPLICATE", "UNIQUE")</f>
        <v>UNIQUE</v>
      </c>
      <c r="L4333" s="18">
        <v>6</v>
      </c>
      <c r="M4333" s="28">
        <v>942</v>
      </c>
      <c r="N4333" s="6">
        <v>0</v>
      </c>
      <c r="O4333" s="30">
        <f t="shared" si="406"/>
        <v>5652</v>
      </c>
      <c r="P4333" s="30">
        <f t="shared" si="407"/>
        <v>0</v>
      </c>
      <c r="Q4333" s="1">
        <f>COUNTIFS($P:$P, "&gt;" &amp; $P4333) + 1</f>
        <v>4746</v>
      </c>
      <c r="R4333" s="63">
        <f>(COUNTIFS($P:$P, "&gt;" &amp; $P4333) + 1) / (COUNTA($I:$I) - 1)</f>
        <v>0.94920000000000004</v>
      </c>
      <c r="S4333" s="23">
        <f>SUMIFS($P:$P, $Q:$Q, "&lt;" &amp; $Q4333)</f>
        <v>186547861</v>
      </c>
    </row>
    <row r="4334" spans="1:19" x14ac:dyDescent="0.25">
      <c r="A4334" s="1">
        <v>4329</v>
      </c>
      <c r="B4334" s="1" t="s">
        <v>3</v>
      </c>
      <c r="C4334" s="1" t="str">
        <f>IF($B4334 = "Production Item", _xlfn.XLOOKUP($A4334, 'Instrument Table'!$J:$J, 'Instrument Table'!$B:$B, $C4333), IF($B4334 = "Service Item", _xlfn.XLOOKUP($A4334, 'Instrument Table'!$I:$I, 'Instrument Table'!$B:$B, $C4333), _xlfn.XLOOKUP($A4334, 'Instrument Table'!$H:$H, 'Instrument Table'!$B:$B, $C4333)))</f>
        <v>French Horn</v>
      </c>
      <c r="D4334" s="1" t="str">
        <f>VLOOKUP($C4334, 'Instrument Table'!$B:$C, 2, FALSE)</f>
        <v>Brass</v>
      </c>
      <c r="E4334" s="1">
        <f t="shared" si="402"/>
        <v>2</v>
      </c>
      <c r="F4334" s="1">
        <f>_xlfn.XLOOKUP($C4334, 'Instrument Table'!$B:$B, 'Instrument Table'!$A:$A, "")</f>
        <v>40</v>
      </c>
      <c r="G4334" s="1" t="str">
        <f>TEXT(IF($B4334 = "Retail Item", IF((ROW($A4334) - 4504 - _xlfn.XMATCH($C4334, $C$4506:$C$5005, 0, 1)) &lt;= VLOOKUP($C4334, 'Instrument Table'!$B:$D, 3, FALSE), ROW($A4334) - 4504 - _xlfn.XMATCH($C4334, $C$4506:$C$5005, 0, 1), 0), 0), "00")</f>
        <v>00</v>
      </c>
      <c r="H4334" s="1" t="str">
        <f t="shared" si="403"/>
        <v>018</v>
      </c>
      <c r="I4334" s="1" t="str">
        <f t="shared" si="404"/>
        <v>24000-018</v>
      </c>
      <c r="J4334" s="1" t="str">
        <f t="shared" si="405"/>
        <v>French horn service item #018</v>
      </c>
      <c r="K4334" s="1" t="str">
        <f>IF(SUM(COUNTIFS(I:I, I4334)) &gt; 1, "DUPLICATE", "UNIQUE")</f>
        <v>UNIQUE</v>
      </c>
      <c r="L4334" s="18">
        <v>0</v>
      </c>
      <c r="M4334" s="28">
        <v>903</v>
      </c>
      <c r="N4334" s="6">
        <v>27</v>
      </c>
      <c r="O4334" s="30">
        <f t="shared" si="406"/>
        <v>0</v>
      </c>
      <c r="P4334" s="30">
        <f t="shared" si="407"/>
        <v>24381</v>
      </c>
      <c r="Q4334" s="1">
        <f>COUNTIFS($P:$P, "&gt;" &amp; $P4334) + 1</f>
        <v>860</v>
      </c>
      <c r="R4334" s="63">
        <f>(COUNTIFS($P:$P, "&gt;" &amp; $P4334) + 1) / (COUNTA($I:$I) - 1)</f>
        <v>0.17199999999999999</v>
      </c>
      <c r="S4334" s="23">
        <f>SUMIFS($P:$P, $Q:$Q, "&lt;" &amp; $Q4334)</f>
        <v>163328676</v>
      </c>
    </row>
    <row r="4335" spans="1:19" x14ac:dyDescent="0.25">
      <c r="A4335" s="1">
        <v>4330</v>
      </c>
      <c r="B4335" s="1" t="s">
        <v>3</v>
      </c>
      <c r="C4335" s="1" t="str">
        <f>IF($B4335 = "Production Item", _xlfn.XLOOKUP($A4335, 'Instrument Table'!$J:$J, 'Instrument Table'!$B:$B, $C4334), IF($B4335 = "Service Item", _xlfn.XLOOKUP($A4335, 'Instrument Table'!$I:$I, 'Instrument Table'!$B:$B, $C4334), _xlfn.XLOOKUP($A4335, 'Instrument Table'!$H:$H, 'Instrument Table'!$B:$B, $C4334)))</f>
        <v>French Horn</v>
      </c>
      <c r="D4335" s="1" t="str">
        <f>VLOOKUP($C4335, 'Instrument Table'!$B:$C, 2, FALSE)</f>
        <v>Brass</v>
      </c>
      <c r="E4335" s="1">
        <f t="shared" si="402"/>
        <v>2</v>
      </c>
      <c r="F4335" s="1">
        <f>_xlfn.XLOOKUP($C4335, 'Instrument Table'!$B:$B, 'Instrument Table'!$A:$A, "")</f>
        <v>40</v>
      </c>
      <c r="G4335" s="1" t="str">
        <f>TEXT(IF($B4335 = "Retail Item", IF((ROW($A4335) - 4504 - _xlfn.XMATCH($C4335, $C$4506:$C$5005, 0, 1)) &lt;= VLOOKUP($C4335, 'Instrument Table'!$B:$D, 3, FALSE), ROW($A4335) - 4504 - _xlfn.XMATCH($C4335, $C$4506:$C$5005, 0, 1), 0), 0), "00")</f>
        <v>00</v>
      </c>
      <c r="H4335" s="1" t="str">
        <f t="shared" si="403"/>
        <v>019</v>
      </c>
      <c r="I4335" s="1" t="str">
        <f t="shared" si="404"/>
        <v>24000-019</v>
      </c>
      <c r="J4335" s="1" t="str">
        <f t="shared" si="405"/>
        <v>French horn service item #019</v>
      </c>
      <c r="K4335" s="1" t="str">
        <f>IF(SUM(COUNTIFS(I:I, I4335)) &gt; 1, "DUPLICATE", "UNIQUE")</f>
        <v>UNIQUE</v>
      </c>
      <c r="L4335" s="18">
        <v>3</v>
      </c>
      <c r="M4335" s="28">
        <v>230</v>
      </c>
      <c r="N4335" s="6">
        <v>27</v>
      </c>
      <c r="O4335" s="30">
        <f t="shared" si="406"/>
        <v>690</v>
      </c>
      <c r="P4335" s="30">
        <f t="shared" si="407"/>
        <v>6210</v>
      </c>
      <c r="Q4335" s="1">
        <f>COUNTIFS($P:$P, "&gt;" &amp; $P4335) + 1</f>
        <v>2232</v>
      </c>
      <c r="R4335" s="63">
        <f>(COUNTIFS($P:$P, "&gt;" &amp; $P4335) + 1) / (COUNTA($I:$I) - 1)</f>
        <v>0.44640000000000002</v>
      </c>
      <c r="S4335" s="23">
        <f>SUMIFS($P:$P, $Q:$Q, "&lt;" &amp; $Q4335)</f>
        <v>181656693</v>
      </c>
    </row>
    <row r="4336" spans="1:19" x14ac:dyDescent="0.25">
      <c r="A4336" s="1">
        <v>4331</v>
      </c>
      <c r="B4336" s="1" t="s">
        <v>3</v>
      </c>
      <c r="C4336" s="1" t="str">
        <f>IF($B4336 = "Production Item", _xlfn.XLOOKUP($A4336, 'Instrument Table'!$J:$J, 'Instrument Table'!$B:$B, $C4335), IF($B4336 = "Service Item", _xlfn.XLOOKUP($A4336, 'Instrument Table'!$I:$I, 'Instrument Table'!$B:$B, $C4335), _xlfn.XLOOKUP($A4336, 'Instrument Table'!$H:$H, 'Instrument Table'!$B:$B, $C4335)))</f>
        <v>Trumpet</v>
      </c>
      <c r="D4336" s="1" t="str">
        <f>VLOOKUP($C4336, 'Instrument Table'!$B:$C, 2, FALSE)</f>
        <v>Brass</v>
      </c>
      <c r="E4336" s="1">
        <f t="shared" si="402"/>
        <v>2</v>
      </c>
      <c r="F4336" s="1">
        <f>_xlfn.XLOOKUP($C4336, 'Instrument Table'!$B:$B, 'Instrument Table'!$A:$A, "")</f>
        <v>41</v>
      </c>
      <c r="G4336" s="1" t="str">
        <f>TEXT(IF($B4336 = "Retail Item", IF((ROW($A4336) - 4504 - _xlfn.XMATCH($C4336, $C$4506:$C$5005, 0, 1)) &lt;= VLOOKUP($C4336, 'Instrument Table'!$B:$D, 3, FALSE), ROW($A4336) - 4504 - _xlfn.XMATCH($C4336, $C$4506:$C$5005, 0, 1), 0), 0), "00")</f>
        <v>00</v>
      </c>
      <c r="H4336" s="1" t="str">
        <f t="shared" si="403"/>
        <v>000</v>
      </c>
      <c r="I4336" s="1" t="str">
        <f t="shared" si="404"/>
        <v>24100-000</v>
      </c>
      <c r="J4336" s="1" t="str">
        <f t="shared" si="405"/>
        <v>Trumpet service item #000</v>
      </c>
      <c r="K4336" s="1" t="str">
        <f>IF(SUM(COUNTIFS(I:I, I4336)) &gt; 1, "DUPLICATE", "UNIQUE")</f>
        <v>UNIQUE</v>
      </c>
      <c r="L4336" s="18">
        <v>9</v>
      </c>
      <c r="M4336" s="28">
        <v>795</v>
      </c>
      <c r="N4336" s="6">
        <v>125</v>
      </c>
      <c r="O4336" s="30">
        <f t="shared" si="406"/>
        <v>7155</v>
      </c>
      <c r="P4336" s="30">
        <f t="shared" si="407"/>
        <v>99375</v>
      </c>
      <c r="Q4336" s="1">
        <f>COUNTIFS($P:$P, "&gt;" &amp; $P4336) + 1</f>
        <v>411</v>
      </c>
      <c r="R4336" s="63">
        <f>(COUNTIFS($P:$P, "&gt;" &amp; $P4336) + 1) / (COUNTA($I:$I) - 1)</f>
        <v>8.2199999999999995E-2</v>
      </c>
      <c r="S4336" s="23">
        <f>SUMIFS($P:$P, $Q:$Q, "&lt;" &amp; $Q4336)</f>
        <v>144560364</v>
      </c>
    </row>
    <row r="4337" spans="1:19" x14ac:dyDescent="0.25">
      <c r="A4337" s="1">
        <v>4332</v>
      </c>
      <c r="B4337" s="1" t="s">
        <v>3</v>
      </c>
      <c r="C4337" s="1" t="str">
        <f>IF($B4337 = "Production Item", _xlfn.XLOOKUP($A4337, 'Instrument Table'!$J:$J, 'Instrument Table'!$B:$B, $C4336), IF($B4337 = "Service Item", _xlfn.XLOOKUP($A4337, 'Instrument Table'!$I:$I, 'Instrument Table'!$B:$B, $C4336), _xlfn.XLOOKUP($A4337, 'Instrument Table'!$H:$H, 'Instrument Table'!$B:$B, $C4336)))</f>
        <v>Trumpet</v>
      </c>
      <c r="D4337" s="1" t="str">
        <f>VLOOKUP($C4337, 'Instrument Table'!$B:$C, 2, FALSE)</f>
        <v>Brass</v>
      </c>
      <c r="E4337" s="1">
        <f t="shared" si="402"/>
        <v>2</v>
      </c>
      <c r="F4337" s="1">
        <f>_xlfn.XLOOKUP($C4337, 'Instrument Table'!$B:$B, 'Instrument Table'!$A:$A, "")</f>
        <v>41</v>
      </c>
      <c r="G4337" s="1" t="str">
        <f>TEXT(IF($B4337 = "Retail Item", IF((ROW($A4337) - 4504 - _xlfn.XMATCH($C4337, $C$4506:$C$5005, 0, 1)) &lt;= VLOOKUP($C4337, 'Instrument Table'!$B:$D, 3, FALSE), ROW($A4337) - 4504 - _xlfn.XMATCH($C4337, $C$4506:$C$5005, 0, 1), 0), 0), "00")</f>
        <v>00</v>
      </c>
      <c r="H4337" s="1" t="str">
        <f t="shared" si="403"/>
        <v>001</v>
      </c>
      <c r="I4337" s="1" t="str">
        <f t="shared" si="404"/>
        <v>24100-001</v>
      </c>
      <c r="J4337" s="1" t="str">
        <f t="shared" si="405"/>
        <v>Trumpet service item #001</v>
      </c>
      <c r="K4337" s="1" t="str">
        <f>IF(SUM(COUNTIFS(I:I, I4337)) &gt; 1, "DUPLICATE", "UNIQUE")</f>
        <v>UNIQUE</v>
      </c>
      <c r="L4337" s="18">
        <v>8</v>
      </c>
      <c r="M4337" s="28">
        <v>130</v>
      </c>
      <c r="N4337" s="6">
        <v>1</v>
      </c>
      <c r="O4337" s="30">
        <f t="shared" si="406"/>
        <v>1040</v>
      </c>
      <c r="P4337" s="30">
        <f t="shared" si="407"/>
        <v>130</v>
      </c>
      <c r="Q4337" s="1">
        <f>COUNTIFS($P:$P, "&gt;" &amp; $P4337) + 1</f>
        <v>4417</v>
      </c>
      <c r="R4337" s="63">
        <f>(COUNTIFS($P:$P, "&gt;" &amp; $P4337) + 1) / (COUNTA($I:$I) - 1)</f>
        <v>0.88339999999999996</v>
      </c>
      <c r="S4337" s="23">
        <f>SUMIFS($P:$P, $Q:$Q, "&lt;" &amp; $Q4337)</f>
        <v>186528385</v>
      </c>
    </row>
    <row r="4338" spans="1:19" x14ac:dyDescent="0.25">
      <c r="A4338" s="1">
        <v>4333</v>
      </c>
      <c r="B4338" s="1" t="s">
        <v>3</v>
      </c>
      <c r="C4338" s="1" t="str">
        <f>IF($B4338 = "Production Item", _xlfn.XLOOKUP($A4338, 'Instrument Table'!$J:$J, 'Instrument Table'!$B:$B, $C4337), IF($B4338 = "Service Item", _xlfn.XLOOKUP($A4338, 'Instrument Table'!$I:$I, 'Instrument Table'!$B:$B, $C4337), _xlfn.XLOOKUP($A4338, 'Instrument Table'!$H:$H, 'Instrument Table'!$B:$B, $C4337)))</f>
        <v>Trumpet</v>
      </c>
      <c r="D4338" s="1" t="str">
        <f>VLOOKUP($C4338, 'Instrument Table'!$B:$C, 2, FALSE)</f>
        <v>Brass</v>
      </c>
      <c r="E4338" s="1">
        <f t="shared" si="402"/>
        <v>2</v>
      </c>
      <c r="F4338" s="1">
        <f>_xlfn.XLOOKUP($C4338, 'Instrument Table'!$B:$B, 'Instrument Table'!$A:$A, "")</f>
        <v>41</v>
      </c>
      <c r="G4338" s="1" t="str">
        <f>TEXT(IF($B4338 = "Retail Item", IF((ROW($A4338) - 4504 - _xlfn.XMATCH($C4338, $C$4506:$C$5005, 0, 1)) &lt;= VLOOKUP($C4338, 'Instrument Table'!$B:$D, 3, FALSE), ROW($A4338) - 4504 - _xlfn.XMATCH($C4338, $C$4506:$C$5005, 0, 1), 0), 0), "00")</f>
        <v>00</v>
      </c>
      <c r="H4338" s="1" t="str">
        <f t="shared" si="403"/>
        <v>002</v>
      </c>
      <c r="I4338" s="1" t="str">
        <f t="shared" si="404"/>
        <v>24100-002</v>
      </c>
      <c r="J4338" s="1" t="str">
        <f t="shared" si="405"/>
        <v>Trumpet service item #002</v>
      </c>
      <c r="K4338" s="1" t="str">
        <f>IF(SUM(COUNTIFS(I:I, I4338)) &gt; 1, "DUPLICATE", "UNIQUE")</f>
        <v>UNIQUE</v>
      </c>
      <c r="L4338" s="18">
        <v>2</v>
      </c>
      <c r="M4338" s="28">
        <v>91</v>
      </c>
      <c r="N4338" s="6">
        <v>27</v>
      </c>
      <c r="O4338" s="30">
        <f t="shared" si="406"/>
        <v>182</v>
      </c>
      <c r="P4338" s="30">
        <f t="shared" si="407"/>
        <v>2457</v>
      </c>
      <c r="Q4338" s="1">
        <f>COUNTIFS($P:$P, "&gt;" &amp; $P4338) + 1</f>
        <v>3066</v>
      </c>
      <c r="R4338" s="63">
        <f>(COUNTIFS($P:$P, "&gt;" &amp; $P4338) + 1) / (COUNTA($I:$I) - 1)</f>
        <v>0.61319999999999997</v>
      </c>
      <c r="S4338" s="23">
        <f>SUMIFS($P:$P, $Q:$Q, "&lt;" &amp; $Q4338)</f>
        <v>185100416</v>
      </c>
    </row>
    <row r="4339" spans="1:19" x14ac:dyDescent="0.25">
      <c r="A4339" s="1">
        <v>4334</v>
      </c>
      <c r="B4339" s="1" t="s">
        <v>3</v>
      </c>
      <c r="C4339" s="1" t="str">
        <f>IF($B4339 = "Production Item", _xlfn.XLOOKUP($A4339, 'Instrument Table'!$J:$J, 'Instrument Table'!$B:$B, $C4338), IF($B4339 = "Service Item", _xlfn.XLOOKUP($A4339, 'Instrument Table'!$I:$I, 'Instrument Table'!$B:$B, $C4338), _xlfn.XLOOKUP($A4339, 'Instrument Table'!$H:$H, 'Instrument Table'!$B:$B, $C4338)))</f>
        <v>Trumpet</v>
      </c>
      <c r="D4339" s="1" t="str">
        <f>VLOOKUP($C4339, 'Instrument Table'!$B:$C, 2, FALSE)</f>
        <v>Brass</v>
      </c>
      <c r="E4339" s="1">
        <f t="shared" si="402"/>
        <v>2</v>
      </c>
      <c r="F4339" s="1">
        <f>_xlfn.XLOOKUP($C4339, 'Instrument Table'!$B:$B, 'Instrument Table'!$A:$A, "")</f>
        <v>41</v>
      </c>
      <c r="G4339" s="1" t="str">
        <f>TEXT(IF($B4339 = "Retail Item", IF((ROW($A4339) - 4504 - _xlfn.XMATCH($C4339, $C$4506:$C$5005, 0, 1)) &lt;= VLOOKUP($C4339, 'Instrument Table'!$B:$D, 3, FALSE), ROW($A4339) - 4504 - _xlfn.XMATCH($C4339, $C$4506:$C$5005, 0, 1), 0), 0), "00")</f>
        <v>00</v>
      </c>
      <c r="H4339" s="1" t="str">
        <f t="shared" si="403"/>
        <v>003</v>
      </c>
      <c r="I4339" s="1" t="str">
        <f t="shared" si="404"/>
        <v>24100-003</v>
      </c>
      <c r="J4339" s="1" t="str">
        <f t="shared" si="405"/>
        <v>Trumpet service item #003</v>
      </c>
      <c r="K4339" s="1" t="str">
        <f>IF(SUM(COUNTIFS(I:I, I4339)) &gt; 1, "DUPLICATE", "UNIQUE")</f>
        <v>UNIQUE</v>
      </c>
      <c r="L4339" s="18">
        <v>1</v>
      </c>
      <c r="M4339" s="28">
        <v>55</v>
      </c>
      <c r="N4339" s="6">
        <v>125</v>
      </c>
      <c r="O4339" s="30">
        <f t="shared" si="406"/>
        <v>55</v>
      </c>
      <c r="P4339" s="30">
        <f t="shared" si="407"/>
        <v>6875</v>
      </c>
      <c r="Q4339" s="1">
        <f>COUNTIFS($P:$P, "&gt;" &amp; $P4339) + 1</f>
        <v>2154</v>
      </c>
      <c r="R4339" s="63">
        <f>(COUNTIFS($P:$P, "&gt;" &amp; $P4339) + 1) / (COUNTA($I:$I) - 1)</f>
        <v>0.43080000000000002</v>
      </c>
      <c r="S4339" s="23">
        <f>SUMIFS($P:$P, $Q:$Q, "&lt;" &amp; $Q4339)</f>
        <v>181141254</v>
      </c>
    </row>
    <row r="4340" spans="1:19" x14ac:dyDescent="0.25">
      <c r="A4340" s="1">
        <v>4335</v>
      </c>
      <c r="B4340" s="1" t="s">
        <v>3</v>
      </c>
      <c r="C4340" s="1" t="str">
        <f>IF($B4340 = "Production Item", _xlfn.XLOOKUP($A4340, 'Instrument Table'!$J:$J, 'Instrument Table'!$B:$B, $C4339), IF($B4340 = "Service Item", _xlfn.XLOOKUP($A4340, 'Instrument Table'!$I:$I, 'Instrument Table'!$B:$B, $C4339), _xlfn.XLOOKUP($A4340, 'Instrument Table'!$H:$H, 'Instrument Table'!$B:$B, $C4339)))</f>
        <v>Trumpet</v>
      </c>
      <c r="D4340" s="1" t="str">
        <f>VLOOKUP($C4340, 'Instrument Table'!$B:$C, 2, FALSE)</f>
        <v>Brass</v>
      </c>
      <c r="E4340" s="1">
        <f t="shared" si="402"/>
        <v>2</v>
      </c>
      <c r="F4340" s="1">
        <f>_xlfn.XLOOKUP($C4340, 'Instrument Table'!$B:$B, 'Instrument Table'!$A:$A, "")</f>
        <v>41</v>
      </c>
      <c r="G4340" s="1" t="str">
        <f>TEXT(IF($B4340 = "Retail Item", IF((ROW($A4340) - 4504 - _xlfn.XMATCH($C4340, $C$4506:$C$5005, 0, 1)) &lt;= VLOOKUP($C4340, 'Instrument Table'!$B:$D, 3, FALSE), ROW($A4340) - 4504 - _xlfn.XMATCH($C4340, $C$4506:$C$5005, 0, 1), 0), 0), "00")</f>
        <v>00</v>
      </c>
      <c r="H4340" s="1" t="str">
        <f t="shared" si="403"/>
        <v>004</v>
      </c>
      <c r="I4340" s="1" t="str">
        <f t="shared" si="404"/>
        <v>24100-004</v>
      </c>
      <c r="J4340" s="1" t="str">
        <f t="shared" si="405"/>
        <v>Trumpet service item #004</v>
      </c>
      <c r="K4340" s="1" t="str">
        <f>IF(SUM(COUNTIFS(I:I, I4340)) &gt; 1, "DUPLICATE", "UNIQUE")</f>
        <v>UNIQUE</v>
      </c>
      <c r="L4340" s="18">
        <v>8</v>
      </c>
      <c r="M4340" s="28">
        <v>726</v>
      </c>
      <c r="N4340" s="6">
        <v>1</v>
      </c>
      <c r="O4340" s="30">
        <f t="shared" si="406"/>
        <v>5808</v>
      </c>
      <c r="P4340" s="30">
        <f t="shared" si="407"/>
        <v>726</v>
      </c>
      <c r="Q4340" s="1">
        <f>COUNTIFS($P:$P, "&gt;" &amp; $P4340) + 1</f>
        <v>3852</v>
      </c>
      <c r="R4340" s="63">
        <f>(COUNTIFS($P:$P, "&gt;" &amp; $P4340) + 1) / (COUNTA($I:$I) - 1)</f>
        <v>0.77039999999999997</v>
      </c>
      <c r="S4340" s="23">
        <f>SUMIFS($P:$P, $Q:$Q, "&lt;" &amp; $Q4340)</f>
        <v>186305001</v>
      </c>
    </row>
    <row r="4341" spans="1:19" x14ac:dyDescent="0.25">
      <c r="A4341" s="1">
        <v>4336</v>
      </c>
      <c r="B4341" s="1" t="s">
        <v>3</v>
      </c>
      <c r="C4341" s="1" t="str">
        <f>IF($B4341 = "Production Item", _xlfn.XLOOKUP($A4341, 'Instrument Table'!$J:$J, 'Instrument Table'!$B:$B, $C4340), IF($B4341 = "Service Item", _xlfn.XLOOKUP($A4341, 'Instrument Table'!$I:$I, 'Instrument Table'!$B:$B, $C4340), _xlfn.XLOOKUP($A4341, 'Instrument Table'!$H:$H, 'Instrument Table'!$B:$B, $C4340)))</f>
        <v>Trumpet</v>
      </c>
      <c r="D4341" s="1" t="str">
        <f>VLOOKUP($C4341, 'Instrument Table'!$B:$C, 2, FALSE)</f>
        <v>Brass</v>
      </c>
      <c r="E4341" s="1">
        <f t="shared" si="402"/>
        <v>2</v>
      </c>
      <c r="F4341" s="1">
        <f>_xlfn.XLOOKUP($C4341, 'Instrument Table'!$B:$B, 'Instrument Table'!$A:$A, "")</f>
        <v>41</v>
      </c>
      <c r="G4341" s="1" t="str">
        <f>TEXT(IF($B4341 = "Retail Item", IF((ROW($A4341) - 4504 - _xlfn.XMATCH($C4341, $C$4506:$C$5005, 0, 1)) &lt;= VLOOKUP($C4341, 'Instrument Table'!$B:$D, 3, FALSE), ROW($A4341) - 4504 - _xlfn.XMATCH($C4341, $C$4506:$C$5005, 0, 1), 0), 0), "00")</f>
        <v>00</v>
      </c>
      <c r="H4341" s="1" t="str">
        <f t="shared" si="403"/>
        <v>005</v>
      </c>
      <c r="I4341" s="1" t="str">
        <f t="shared" si="404"/>
        <v>24100-005</v>
      </c>
      <c r="J4341" s="1" t="str">
        <f t="shared" si="405"/>
        <v>Trumpet service item #005</v>
      </c>
      <c r="K4341" s="1" t="str">
        <f>IF(SUM(COUNTIFS(I:I, I4341)) &gt; 1, "DUPLICATE", "UNIQUE")</f>
        <v>UNIQUE</v>
      </c>
      <c r="L4341" s="18">
        <v>5</v>
      </c>
      <c r="M4341" s="28">
        <v>424</v>
      </c>
      <c r="N4341" s="6">
        <v>125</v>
      </c>
      <c r="O4341" s="30">
        <f t="shared" si="406"/>
        <v>2120</v>
      </c>
      <c r="P4341" s="30">
        <f t="shared" si="407"/>
        <v>53000</v>
      </c>
      <c r="Q4341" s="1">
        <f>COUNTIFS($P:$P, "&gt;" &amp; $P4341) + 1</f>
        <v>518</v>
      </c>
      <c r="R4341" s="63">
        <f>(COUNTIFS($P:$P, "&gt;" &amp; $P4341) + 1) / (COUNTA($I:$I) - 1)</f>
        <v>0.1036</v>
      </c>
      <c r="S4341" s="23">
        <f>SUMIFS($P:$P, $Q:$Q, "&lt;" &amp; $Q4341)</f>
        <v>152482733</v>
      </c>
    </row>
    <row r="4342" spans="1:19" x14ac:dyDescent="0.25">
      <c r="A4342" s="1">
        <v>4337</v>
      </c>
      <c r="B4342" s="1" t="s">
        <v>3</v>
      </c>
      <c r="C4342" s="1" t="str">
        <f>IF($B4342 = "Production Item", _xlfn.XLOOKUP($A4342, 'Instrument Table'!$J:$J, 'Instrument Table'!$B:$B, $C4341), IF($B4342 = "Service Item", _xlfn.XLOOKUP($A4342, 'Instrument Table'!$I:$I, 'Instrument Table'!$B:$B, $C4341), _xlfn.XLOOKUP($A4342, 'Instrument Table'!$H:$H, 'Instrument Table'!$B:$B, $C4341)))</f>
        <v>Trumpet</v>
      </c>
      <c r="D4342" s="1" t="str">
        <f>VLOOKUP($C4342, 'Instrument Table'!$B:$C, 2, FALSE)</f>
        <v>Brass</v>
      </c>
      <c r="E4342" s="1">
        <f t="shared" si="402"/>
        <v>2</v>
      </c>
      <c r="F4342" s="1">
        <f>_xlfn.XLOOKUP($C4342, 'Instrument Table'!$B:$B, 'Instrument Table'!$A:$A, "")</f>
        <v>41</v>
      </c>
      <c r="G4342" s="1" t="str">
        <f>TEXT(IF($B4342 = "Retail Item", IF((ROW($A4342) - 4504 - _xlfn.XMATCH($C4342, $C$4506:$C$5005, 0, 1)) &lt;= VLOOKUP($C4342, 'Instrument Table'!$B:$D, 3, FALSE), ROW($A4342) - 4504 - _xlfn.XMATCH($C4342, $C$4506:$C$5005, 0, 1), 0), 0), "00")</f>
        <v>00</v>
      </c>
      <c r="H4342" s="1" t="str">
        <f t="shared" si="403"/>
        <v>006</v>
      </c>
      <c r="I4342" s="1" t="str">
        <f t="shared" si="404"/>
        <v>24100-006</v>
      </c>
      <c r="J4342" s="1" t="str">
        <f t="shared" si="405"/>
        <v>Trumpet service item #006</v>
      </c>
      <c r="K4342" s="1" t="str">
        <f>IF(SUM(COUNTIFS(I:I, I4342)) &gt; 1, "DUPLICATE", "UNIQUE")</f>
        <v>UNIQUE</v>
      </c>
      <c r="L4342" s="18">
        <v>10</v>
      </c>
      <c r="M4342" s="28">
        <v>647</v>
      </c>
      <c r="N4342" s="6">
        <v>125</v>
      </c>
      <c r="O4342" s="30">
        <f t="shared" si="406"/>
        <v>6470</v>
      </c>
      <c r="P4342" s="30">
        <f t="shared" si="407"/>
        <v>80875</v>
      </c>
      <c r="Q4342" s="1">
        <f>COUNTIFS($P:$P, "&gt;" &amp; $P4342) + 1</f>
        <v>448</v>
      </c>
      <c r="R4342" s="63">
        <f>(COUNTIFS($P:$P, "&gt;" &amp; $P4342) + 1) / (COUNTA($I:$I) - 1)</f>
        <v>8.9599999999999999E-2</v>
      </c>
      <c r="S4342" s="23">
        <f>SUMIFS($P:$P, $Q:$Q, "&lt;" &amp; $Q4342)</f>
        <v>147860178</v>
      </c>
    </row>
    <row r="4343" spans="1:19" x14ac:dyDescent="0.25">
      <c r="A4343" s="1">
        <v>4338</v>
      </c>
      <c r="B4343" s="1" t="s">
        <v>3</v>
      </c>
      <c r="C4343" s="1" t="str">
        <f>IF($B4343 = "Production Item", _xlfn.XLOOKUP($A4343, 'Instrument Table'!$J:$J, 'Instrument Table'!$B:$B, $C4342), IF($B4343 = "Service Item", _xlfn.XLOOKUP($A4343, 'Instrument Table'!$I:$I, 'Instrument Table'!$B:$B, $C4342), _xlfn.XLOOKUP($A4343, 'Instrument Table'!$H:$H, 'Instrument Table'!$B:$B, $C4342)))</f>
        <v>Trumpet</v>
      </c>
      <c r="D4343" s="1" t="str">
        <f>VLOOKUP($C4343, 'Instrument Table'!$B:$C, 2, FALSE)</f>
        <v>Brass</v>
      </c>
      <c r="E4343" s="1">
        <f t="shared" si="402"/>
        <v>2</v>
      </c>
      <c r="F4343" s="1">
        <f>_xlfn.XLOOKUP($C4343, 'Instrument Table'!$B:$B, 'Instrument Table'!$A:$A, "")</f>
        <v>41</v>
      </c>
      <c r="G4343" s="1" t="str">
        <f>TEXT(IF($B4343 = "Retail Item", IF((ROW($A4343) - 4504 - _xlfn.XMATCH($C4343, $C$4506:$C$5005, 0, 1)) &lt;= VLOOKUP($C4343, 'Instrument Table'!$B:$D, 3, FALSE), ROW($A4343) - 4504 - _xlfn.XMATCH($C4343, $C$4506:$C$5005, 0, 1), 0), 0), "00")</f>
        <v>00</v>
      </c>
      <c r="H4343" s="1" t="str">
        <f t="shared" si="403"/>
        <v>007</v>
      </c>
      <c r="I4343" s="1" t="str">
        <f t="shared" si="404"/>
        <v>24100-007</v>
      </c>
      <c r="J4343" s="1" t="str">
        <f t="shared" si="405"/>
        <v>Trumpet service item #007</v>
      </c>
      <c r="K4343" s="1" t="str">
        <f>IF(SUM(COUNTIFS(I:I, I4343)) &gt; 1, "DUPLICATE", "UNIQUE")</f>
        <v>UNIQUE</v>
      </c>
      <c r="L4343" s="18">
        <v>8</v>
      </c>
      <c r="M4343" s="28">
        <v>704</v>
      </c>
      <c r="N4343" s="6">
        <v>125</v>
      </c>
      <c r="O4343" s="30">
        <f t="shared" si="406"/>
        <v>5632</v>
      </c>
      <c r="P4343" s="30">
        <f t="shared" si="407"/>
        <v>88000</v>
      </c>
      <c r="Q4343" s="1">
        <f>COUNTIFS($P:$P, "&gt;" &amp; $P4343) + 1</f>
        <v>432</v>
      </c>
      <c r="R4343" s="63">
        <f>(COUNTIFS($P:$P, "&gt;" &amp; $P4343) + 1) / (COUNTA($I:$I) - 1)</f>
        <v>8.6400000000000005E-2</v>
      </c>
      <c r="S4343" s="23">
        <f>SUMIFS($P:$P, $Q:$Q, "&lt;" &amp; $Q4343)</f>
        <v>146517488</v>
      </c>
    </row>
    <row r="4344" spans="1:19" x14ac:dyDescent="0.25">
      <c r="A4344" s="1">
        <v>4339</v>
      </c>
      <c r="B4344" s="1" t="s">
        <v>3</v>
      </c>
      <c r="C4344" s="1" t="str">
        <f>IF($B4344 = "Production Item", _xlfn.XLOOKUP($A4344, 'Instrument Table'!$J:$J, 'Instrument Table'!$B:$B, $C4343), IF($B4344 = "Service Item", _xlfn.XLOOKUP($A4344, 'Instrument Table'!$I:$I, 'Instrument Table'!$B:$B, $C4343), _xlfn.XLOOKUP($A4344, 'Instrument Table'!$H:$H, 'Instrument Table'!$B:$B, $C4343)))</f>
        <v>Trumpet</v>
      </c>
      <c r="D4344" s="1" t="str">
        <f>VLOOKUP($C4344, 'Instrument Table'!$B:$C, 2, FALSE)</f>
        <v>Brass</v>
      </c>
      <c r="E4344" s="1">
        <f t="shared" si="402"/>
        <v>2</v>
      </c>
      <c r="F4344" s="1">
        <f>_xlfn.XLOOKUP($C4344, 'Instrument Table'!$B:$B, 'Instrument Table'!$A:$A, "")</f>
        <v>41</v>
      </c>
      <c r="G4344" s="1" t="str">
        <f>TEXT(IF($B4344 = "Retail Item", IF((ROW($A4344) - 4504 - _xlfn.XMATCH($C4344, $C$4506:$C$5005, 0, 1)) &lt;= VLOOKUP($C4344, 'Instrument Table'!$B:$D, 3, FALSE), ROW($A4344) - 4504 - _xlfn.XMATCH($C4344, $C$4506:$C$5005, 0, 1), 0), 0), "00")</f>
        <v>00</v>
      </c>
      <c r="H4344" s="1" t="str">
        <f t="shared" si="403"/>
        <v>008</v>
      </c>
      <c r="I4344" s="1" t="str">
        <f t="shared" si="404"/>
        <v>24100-008</v>
      </c>
      <c r="J4344" s="1" t="str">
        <f t="shared" si="405"/>
        <v>Trumpet service item #008</v>
      </c>
      <c r="K4344" s="1" t="str">
        <f>IF(SUM(COUNTIFS(I:I, I4344)) &gt; 1, "DUPLICATE", "UNIQUE")</f>
        <v>UNIQUE</v>
      </c>
      <c r="L4344" s="18">
        <v>0</v>
      </c>
      <c r="M4344" s="28">
        <v>296</v>
      </c>
      <c r="N4344" s="6">
        <v>125</v>
      </c>
      <c r="O4344" s="30">
        <f t="shared" si="406"/>
        <v>0</v>
      </c>
      <c r="P4344" s="30">
        <f t="shared" si="407"/>
        <v>37000</v>
      </c>
      <c r="Q4344" s="1">
        <f>COUNTIFS($P:$P, "&gt;" &amp; $P4344) + 1</f>
        <v>582</v>
      </c>
      <c r="R4344" s="63">
        <f>(COUNTIFS($P:$P, "&gt;" &amp; $P4344) + 1) / (COUNTA($I:$I) - 1)</f>
        <v>0.1164</v>
      </c>
      <c r="S4344" s="23">
        <f>SUMIFS($P:$P, $Q:$Q, "&lt;" &amp; $Q4344)</f>
        <v>155221173</v>
      </c>
    </row>
    <row r="4345" spans="1:19" x14ac:dyDescent="0.25">
      <c r="A4345" s="1">
        <v>4340</v>
      </c>
      <c r="B4345" s="1" t="s">
        <v>3</v>
      </c>
      <c r="C4345" s="1" t="str">
        <f>IF($B4345 = "Production Item", _xlfn.XLOOKUP($A4345, 'Instrument Table'!$J:$J, 'Instrument Table'!$B:$B, $C4344), IF($B4345 = "Service Item", _xlfn.XLOOKUP($A4345, 'Instrument Table'!$I:$I, 'Instrument Table'!$B:$B, $C4344), _xlfn.XLOOKUP($A4345, 'Instrument Table'!$H:$H, 'Instrument Table'!$B:$B, $C4344)))</f>
        <v>Trumpet</v>
      </c>
      <c r="D4345" s="1" t="str">
        <f>VLOOKUP($C4345, 'Instrument Table'!$B:$C, 2, FALSE)</f>
        <v>Brass</v>
      </c>
      <c r="E4345" s="1">
        <f t="shared" si="402"/>
        <v>2</v>
      </c>
      <c r="F4345" s="1">
        <f>_xlfn.XLOOKUP($C4345, 'Instrument Table'!$B:$B, 'Instrument Table'!$A:$A, "")</f>
        <v>41</v>
      </c>
      <c r="G4345" s="1" t="str">
        <f>TEXT(IF($B4345 = "Retail Item", IF((ROW($A4345) - 4504 - _xlfn.XMATCH($C4345, $C$4506:$C$5005, 0, 1)) &lt;= VLOOKUP($C4345, 'Instrument Table'!$B:$D, 3, FALSE), ROW($A4345) - 4504 - _xlfn.XMATCH($C4345, $C$4506:$C$5005, 0, 1), 0), 0), "00")</f>
        <v>00</v>
      </c>
      <c r="H4345" s="1" t="str">
        <f t="shared" si="403"/>
        <v>009</v>
      </c>
      <c r="I4345" s="1" t="str">
        <f t="shared" si="404"/>
        <v>24100-009</v>
      </c>
      <c r="J4345" s="1" t="str">
        <f t="shared" si="405"/>
        <v>Trumpet service item #009</v>
      </c>
      <c r="K4345" s="1" t="str">
        <f>IF(SUM(COUNTIFS(I:I, I4345)) &gt; 1, "DUPLICATE", "UNIQUE")</f>
        <v>UNIQUE</v>
      </c>
      <c r="L4345" s="18">
        <v>0</v>
      </c>
      <c r="M4345" s="28">
        <v>363</v>
      </c>
      <c r="N4345" s="6">
        <v>64</v>
      </c>
      <c r="O4345" s="30">
        <f t="shared" si="406"/>
        <v>0</v>
      </c>
      <c r="P4345" s="30">
        <f t="shared" si="407"/>
        <v>23232</v>
      </c>
      <c r="Q4345" s="1">
        <f>COUNTIFS($P:$P, "&gt;" &amp; $P4345) + 1</f>
        <v>895</v>
      </c>
      <c r="R4345" s="63">
        <f>(COUNTIFS($P:$P, "&gt;" &amp; $P4345) + 1) / (COUNTA($I:$I) - 1)</f>
        <v>0.17899999999999999</v>
      </c>
      <c r="S4345" s="23">
        <f>SUMIFS($P:$P, $Q:$Q, "&lt;" &amp; $Q4345)</f>
        <v>164164755</v>
      </c>
    </row>
    <row r="4346" spans="1:19" x14ac:dyDescent="0.25">
      <c r="A4346" s="1">
        <v>4341</v>
      </c>
      <c r="B4346" s="1" t="s">
        <v>3</v>
      </c>
      <c r="C4346" s="1" t="str">
        <f>IF($B4346 = "Production Item", _xlfn.XLOOKUP($A4346, 'Instrument Table'!$J:$J, 'Instrument Table'!$B:$B, $C4345), IF($B4346 = "Service Item", _xlfn.XLOOKUP($A4346, 'Instrument Table'!$I:$I, 'Instrument Table'!$B:$B, $C4345), _xlfn.XLOOKUP($A4346, 'Instrument Table'!$H:$H, 'Instrument Table'!$B:$B, $C4345)))</f>
        <v>Trombone</v>
      </c>
      <c r="D4346" s="1" t="str">
        <f>VLOOKUP($C4346, 'Instrument Table'!$B:$C, 2, FALSE)</f>
        <v>Brass</v>
      </c>
      <c r="E4346" s="1">
        <f t="shared" si="402"/>
        <v>2</v>
      </c>
      <c r="F4346" s="1">
        <f>_xlfn.XLOOKUP($C4346, 'Instrument Table'!$B:$B, 'Instrument Table'!$A:$A, "")</f>
        <v>42</v>
      </c>
      <c r="G4346" s="1" t="str">
        <f>TEXT(IF($B4346 = "Retail Item", IF((ROW($A4346) - 4504 - _xlfn.XMATCH($C4346, $C$4506:$C$5005, 0, 1)) &lt;= VLOOKUP($C4346, 'Instrument Table'!$B:$D, 3, FALSE), ROW($A4346) - 4504 - _xlfn.XMATCH($C4346, $C$4506:$C$5005, 0, 1), 0), 0), "00")</f>
        <v>00</v>
      </c>
      <c r="H4346" s="1" t="str">
        <f t="shared" si="403"/>
        <v>000</v>
      </c>
      <c r="I4346" s="1" t="str">
        <f t="shared" si="404"/>
        <v>24200-000</v>
      </c>
      <c r="J4346" s="1" t="str">
        <f t="shared" si="405"/>
        <v>Trombone service item #000</v>
      </c>
      <c r="K4346" s="1" t="str">
        <f>IF(SUM(COUNTIFS(I:I, I4346)) &gt; 1, "DUPLICATE", "UNIQUE")</f>
        <v>UNIQUE</v>
      </c>
      <c r="L4346" s="18">
        <v>9</v>
      </c>
      <c r="M4346" s="28">
        <v>53</v>
      </c>
      <c r="N4346" s="6">
        <v>1</v>
      </c>
      <c r="O4346" s="30">
        <f t="shared" si="406"/>
        <v>477</v>
      </c>
      <c r="P4346" s="30">
        <f t="shared" si="407"/>
        <v>53</v>
      </c>
      <c r="Q4346" s="1">
        <f>COUNTIFS($P:$P, "&gt;" &amp; $P4346) + 1</f>
        <v>4606</v>
      </c>
      <c r="R4346" s="63">
        <f>(COUNTIFS($P:$P, "&gt;" &amp; $P4346) + 1) / (COUNTA($I:$I) - 1)</f>
        <v>0.92120000000000002</v>
      </c>
      <c r="S4346" s="23">
        <f>SUMIFS($P:$P, $Q:$Q, "&lt;" &amp; $Q4346)</f>
        <v>186544018</v>
      </c>
    </row>
    <row r="4347" spans="1:19" x14ac:dyDescent="0.25">
      <c r="A4347" s="1">
        <v>4342</v>
      </c>
      <c r="B4347" s="1" t="s">
        <v>3</v>
      </c>
      <c r="C4347" s="1" t="str">
        <f>IF($B4347 = "Production Item", _xlfn.XLOOKUP($A4347, 'Instrument Table'!$J:$J, 'Instrument Table'!$B:$B, $C4346), IF($B4347 = "Service Item", _xlfn.XLOOKUP($A4347, 'Instrument Table'!$I:$I, 'Instrument Table'!$B:$B, $C4346), _xlfn.XLOOKUP($A4347, 'Instrument Table'!$H:$H, 'Instrument Table'!$B:$B, $C4346)))</f>
        <v>Trombone</v>
      </c>
      <c r="D4347" s="1" t="str">
        <f>VLOOKUP($C4347, 'Instrument Table'!$B:$C, 2, FALSE)</f>
        <v>Brass</v>
      </c>
      <c r="E4347" s="1">
        <f t="shared" si="402"/>
        <v>2</v>
      </c>
      <c r="F4347" s="1">
        <f>_xlfn.XLOOKUP($C4347, 'Instrument Table'!$B:$B, 'Instrument Table'!$A:$A, "")</f>
        <v>42</v>
      </c>
      <c r="G4347" s="1" t="str">
        <f>TEXT(IF($B4347 = "Retail Item", IF((ROW($A4347) - 4504 - _xlfn.XMATCH($C4347, $C$4506:$C$5005, 0, 1)) &lt;= VLOOKUP($C4347, 'Instrument Table'!$B:$D, 3, FALSE), ROW($A4347) - 4504 - _xlfn.XMATCH($C4347, $C$4506:$C$5005, 0, 1), 0), 0), "00")</f>
        <v>00</v>
      </c>
      <c r="H4347" s="1" t="str">
        <f t="shared" si="403"/>
        <v>001</v>
      </c>
      <c r="I4347" s="1" t="str">
        <f t="shared" si="404"/>
        <v>24200-001</v>
      </c>
      <c r="J4347" s="1" t="str">
        <f t="shared" si="405"/>
        <v>Trombone service item #001</v>
      </c>
      <c r="K4347" s="1" t="str">
        <f>IF(SUM(COUNTIFS(I:I, I4347)) &gt; 1, "DUPLICATE", "UNIQUE")</f>
        <v>UNIQUE</v>
      </c>
      <c r="L4347" s="18">
        <v>5</v>
      </c>
      <c r="M4347" s="28">
        <v>952</v>
      </c>
      <c r="N4347" s="6">
        <v>27</v>
      </c>
      <c r="O4347" s="30">
        <f t="shared" si="406"/>
        <v>4760</v>
      </c>
      <c r="P4347" s="30">
        <f t="shared" si="407"/>
        <v>25704</v>
      </c>
      <c r="Q4347" s="1">
        <f>COUNTIFS($P:$P, "&gt;" &amp; $P4347) + 1</f>
        <v>803</v>
      </c>
      <c r="R4347" s="63">
        <f>(COUNTIFS($P:$P, "&gt;" &amp; $P4347) + 1) / (COUNTA($I:$I) - 1)</f>
        <v>0.16059999999999999</v>
      </c>
      <c r="S4347" s="23">
        <f>SUMIFS($P:$P, $Q:$Q, "&lt;" &amp; $Q4347)</f>
        <v>161904925</v>
      </c>
    </row>
    <row r="4348" spans="1:19" x14ac:dyDescent="0.25">
      <c r="A4348" s="1">
        <v>4343</v>
      </c>
      <c r="B4348" s="1" t="s">
        <v>3</v>
      </c>
      <c r="C4348" s="1" t="str">
        <f>IF($B4348 = "Production Item", _xlfn.XLOOKUP($A4348, 'Instrument Table'!$J:$J, 'Instrument Table'!$B:$B, $C4347), IF($B4348 = "Service Item", _xlfn.XLOOKUP($A4348, 'Instrument Table'!$I:$I, 'Instrument Table'!$B:$B, $C4347), _xlfn.XLOOKUP($A4348, 'Instrument Table'!$H:$H, 'Instrument Table'!$B:$B, $C4347)))</f>
        <v>Trombone</v>
      </c>
      <c r="D4348" s="1" t="str">
        <f>VLOOKUP($C4348, 'Instrument Table'!$B:$C, 2, FALSE)</f>
        <v>Brass</v>
      </c>
      <c r="E4348" s="1">
        <f t="shared" si="402"/>
        <v>2</v>
      </c>
      <c r="F4348" s="1">
        <f>_xlfn.XLOOKUP($C4348, 'Instrument Table'!$B:$B, 'Instrument Table'!$A:$A, "")</f>
        <v>42</v>
      </c>
      <c r="G4348" s="1" t="str">
        <f>TEXT(IF($B4348 = "Retail Item", IF((ROW($A4348) - 4504 - _xlfn.XMATCH($C4348, $C$4506:$C$5005, 0, 1)) &lt;= VLOOKUP($C4348, 'Instrument Table'!$B:$D, 3, FALSE), ROW($A4348) - 4504 - _xlfn.XMATCH($C4348, $C$4506:$C$5005, 0, 1), 0), 0), "00")</f>
        <v>00</v>
      </c>
      <c r="H4348" s="1" t="str">
        <f t="shared" si="403"/>
        <v>002</v>
      </c>
      <c r="I4348" s="1" t="str">
        <f t="shared" si="404"/>
        <v>24200-002</v>
      </c>
      <c r="J4348" s="1" t="str">
        <f t="shared" si="405"/>
        <v>Trombone service item #002</v>
      </c>
      <c r="K4348" s="1" t="str">
        <f>IF(SUM(COUNTIFS(I:I, I4348)) &gt; 1, "DUPLICATE", "UNIQUE")</f>
        <v>UNIQUE</v>
      </c>
      <c r="L4348" s="18">
        <v>0</v>
      </c>
      <c r="M4348" s="28">
        <v>191</v>
      </c>
      <c r="N4348" s="6">
        <v>0</v>
      </c>
      <c r="O4348" s="30">
        <f t="shared" si="406"/>
        <v>0</v>
      </c>
      <c r="P4348" s="30">
        <f t="shared" si="407"/>
        <v>0</v>
      </c>
      <c r="Q4348" s="1">
        <f>COUNTIFS($P:$P, "&gt;" &amp; $P4348) + 1</f>
        <v>4746</v>
      </c>
      <c r="R4348" s="63">
        <f>(COUNTIFS($P:$P, "&gt;" &amp; $P4348) + 1) / (COUNTA($I:$I) - 1)</f>
        <v>0.94920000000000004</v>
      </c>
      <c r="S4348" s="23">
        <f>SUMIFS($P:$P, $Q:$Q, "&lt;" &amp; $Q4348)</f>
        <v>186547861</v>
      </c>
    </row>
    <row r="4349" spans="1:19" x14ac:dyDescent="0.25">
      <c r="A4349" s="1">
        <v>4344</v>
      </c>
      <c r="B4349" s="1" t="s">
        <v>3</v>
      </c>
      <c r="C4349" s="1" t="str">
        <f>IF($B4349 = "Production Item", _xlfn.XLOOKUP($A4349, 'Instrument Table'!$J:$J, 'Instrument Table'!$B:$B, $C4348), IF($B4349 = "Service Item", _xlfn.XLOOKUP($A4349, 'Instrument Table'!$I:$I, 'Instrument Table'!$B:$B, $C4348), _xlfn.XLOOKUP($A4349, 'Instrument Table'!$H:$H, 'Instrument Table'!$B:$B, $C4348)))</f>
        <v>Trombone</v>
      </c>
      <c r="D4349" s="1" t="str">
        <f>VLOOKUP($C4349, 'Instrument Table'!$B:$C, 2, FALSE)</f>
        <v>Brass</v>
      </c>
      <c r="E4349" s="1">
        <f t="shared" si="402"/>
        <v>2</v>
      </c>
      <c r="F4349" s="1">
        <f>_xlfn.XLOOKUP($C4349, 'Instrument Table'!$B:$B, 'Instrument Table'!$A:$A, "")</f>
        <v>42</v>
      </c>
      <c r="G4349" s="1" t="str">
        <f>TEXT(IF($B4349 = "Retail Item", IF((ROW($A4349) - 4504 - _xlfn.XMATCH($C4349, $C$4506:$C$5005, 0, 1)) &lt;= VLOOKUP($C4349, 'Instrument Table'!$B:$D, 3, FALSE), ROW($A4349) - 4504 - _xlfn.XMATCH($C4349, $C$4506:$C$5005, 0, 1), 0), 0), "00")</f>
        <v>00</v>
      </c>
      <c r="H4349" s="1" t="str">
        <f t="shared" si="403"/>
        <v>003</v>
      </c>
      <c r="I4349" s="1" t="str">
        <f t="shared" si="404"/>
        <v>24200-003</v>
      </c>
      <c r="J4349" s="1" t="str">
        <f t="shared" si="405"/>
        <v>Trombone service item #003</v>
      </c>
      <c r="K4349" s="1" t="str">
        <f>IF(SUM(COUNTIFS(I:I, I4349)) &gt; 1, "DUPLICATE", "UNIQUE")</f>
        <v>UNIQUE</v>
      </c>
      <c r="L4349" s="18">
        <v>2</v>
      </c>
      <c r="M4349" s="28">
        <v>604</v>
      </c>
      <c r="N4349" s="6">
        <v>27</v>
      </c>
      <c r="O4349" s="30">
        <f t="shared" si="406"/>
        <v>1208</v>
      </c>
      <c r="P4349" s="30">
        <f t="shared" si="407"/>
        <v>16308</v>
      </c>
      <c r="Q4349" s="1">
        <f>COUNTIFS($P:$P, "&gt;" &amp; $P4349) + 1</f>
        <v>1256</v>
      </c>
      <c r="R4349" s="63">
        <f>(COUNTIFS($P:$P, "&gt;" &amp; $P4349) + 1) / (COUNTA($I:$I) - 1)</f>
        <v>0.25119999999999998</v>
      </c>
      <c r="S4349" s="23">
        <f>SUMIFS($P:$P, $Q:$Q, "&lt;" &amp; $Q4349)</f>
        <v>171268000</v>
      </c>
    </row>
    <row r="4350" spans="1:19" x14ac:dyDescent="0.25">
      <c r="A4350" s="1">
        <v>4345</v>
      </c>
      <c r="B4350" s="1" t="s">
        <v>3</v>
      </c>
      <c r="C4350" s="1" t="str">
        <f>IF($B4350 = "Production Item", _xlfn.XLOOKUP($A4350, 'Instrument Table'!$J:$J, 'Instrument Table'!$B:$B, $C4349), IF($B4350 = "Service Item", _xlfn.XLOOKUP($A4350, 'Instrument Table'!$I:$I, 'Instrument Table'!$B:$B, $C4349), _xlfn.XLOOKUP($A4350, 'Instrument Table'!$H:$H, 'Instrument Table'!$B:$B, $C4349)))</f>
        <v>Trombone</v>
      </c>
      <c r="D4350" s="1" t="str">
        <f>VLOOKUP($C4350, 'Instrument Table'!$B:$C, 2, FALSE)</f>
        <v>Brass</v>
      </c>
      <c r="E4350" s="1">
        <f t="shared" si="402"/>
        <v>2</v>
      </c>
      <c r="F4350" s="1">
        <f>_xlfn.XLOOKUP($C4350, 'Instrument Table'!$B:$B, 'Instrument Table'!$A:$A, "")</f>
        <v>42</v>
      </c>
      <c r="G4350" s="1" t="str">
        <f>TEXT(IF($B4350 = "Retail Item", IF((ROW($A4350) - 4504 - _xlfn.XMATCH($C4350, $C$4506:$C$5005, 0, 1)) &lt;= VLOOKUP($C4350, 'Instrument Table'!$B:$D, 3, FALSE), ROW($A4350) - 4504 - _xlfn.XMATCH($C4350, $C$4506:$C$5005, 0, 1), 0), 0), "00")</f>
        <v>00</v>
      </c>
      <c r="H4350" s="1" t="str">
        <f t="shared" si="403"/>
        <v>004</v>
      </c>
      <c r="I4350" s="1" t="str">
        <f t="shared" si="404"/>
        <v>24200-004</v>
      </c>
      <c r="J4350" s="1" t="str">
        <f t="shared" si="405"/>
        <v>Trombone service item #004</v>
      </c>
      <c r="K4350" s="1" t="str">
        <f>IF(SUM(COUNTIFS(I:I, I4350)) &gt; 1, "DUPLICATE", "UNIQUE")</f>
        <v>UNIQUE</v>
      </c>
      <c r="L4350" s="18">
        <v>9</v>
      </c>
      <c r="M4350" s="28">
        <v>761</v>
      </c>
      <c r="N4350" s="6">
        <v>27</v>
      </c>
      <c r="O4350" s="30">
        <f t="shared" si="406"/>
        <v>6849</v>
      </c>
      <c r="P4350" s="30">
        <f t="shared" si="407"/>
        <v>20547</v>
      </c>
      <c r="Q4350" s="1">
        <f>COUNTIFS($P:$P, "&gt;" &amp; $P4350) + 1</f>
        <v>1025</v>
      </c>
      <c r="R4350" s="63">
        <f>(COUNTIFS($P:$P, "&gt;" &amp; $P4350) + 1) / (COUNTA($I:$I) - 1)</f>
        <v>0.20499999999999999</v>
      </c>
      <c r="S4350" s="23">
        <f>SUMIFS($P:$P, $Q:$Q, "&lt;" &amp; $Q4350)</f>
        <v>167012428</v>
      </c>
    </row>
    <row r="4351" spans="1:19" x14ac:dyDescent="0.25">
      <c r="A4351" s="1">
        <v>4346</v>
      </c>
      <c r="B4351" s="1" t="s">
        <v>3</v>
      </c>
      <c r="C4351" s="1" t="str">
        <f>IF($B4351 = "Production Item", _xlfn.XLOOKUP($A4351, 'Instrument Table'!$J:$J, 'Instrument Table'!$B:$B, $C4350), IF($B4351 = "Service Item", _xlfn.XLOOKUP($A4351, 'Instrument Table'!$I:$I, 'Instrument Table'!$B:$B, $C4350), _xlfn.XLOOKUP($A4351, 'Instrument Table'!$H:$H, 'Instrument Table'!$B:$B, $C4350)))</f>
        <v>Trombone</v>
      </c>
      <c r="D4351" s="1" t="str">
        <f>VLOOKUP($C4351, 'Instrument Table'!$B:$C, 2, FALSE)</f>
        <v>Brass</v>
      </c>
      <c r="E4351" s="1">
        <f t="shared" si="402"/>
        <v>2</v>
      </c>
      <c r="F4351" s="1">
        <f>_xlfn.XLOOKUP($C4351, 'Instrument Table'!$B:$B, 'Instrument Table'!$A:$A, "")</f>
        <v>42</v>
      </c>
      <c r="G4351" s="1" t="str">
        <f>TEXT(IF($B4351 = "Retail Item", IF((ROW($A4351) - 4504 - _xlfn.XMATCH($C4351, $C$4506:$C$5005, 0, 1)) &lt;= VLOOKUP($C4351, 'Instrument Table'!$B:$D, 3, FALSE), ROW($A4351) - 4504 - _xlfn.XMATCH($C4351, $C$4506:$C$5005, 0, 1), 0), 0), "00")</f>
        <v>00</v>
      </c>
      <c r="H4351" s="1" t="str">
        <f t="shared" si="403"/>
        <v>005</v>
      </c>
      <c r="I4351" s="1" t="str">
        <f t="shared" si="404"/>
        <v>24200-005</v>
      </c>
      <c r="J4351" s="1" t="str">
        <f t="shared" si="405"/>
        <v>Trombone service item #005</v>
      </c>
      <c r="K4351" s="1" t="str">
        <f>IF(SUM(COUNTIFS(I:I, I4351)) &gt; 1, "DUPLICATE", "UNIQUE")</f>
        <v>UNIQUE</v>
      </c>
      <c r="L4351" s="18">
        <v>0</v>
      </c>
      <c r="M4351" s="28">
        <v>107</v>
      </c>
      <c r="N4351" s="6">
        <v>1</v>
      </c>
      <c r="O4351" s="30">
        <f t="shared" si="406"/>
        <v>0</v>
      </c>
      <c r="P4351" s="30">
        <f t="shared" si="407"/>
        <v>107</v>
      </c>
      <c r="Q4351" s="1">
        <f>COUNTIFS($P:$P, "&gt;" &amp; $P4351) + 1</f>
        <v>4448</v>
      </c>
      <c r="R4351" s="63">
        <f>(COUNTIFS($P:$P, "&gt;" &amp; $P4351) + 1) / (COUNTA($I:$I) - 1)</f>
        <v>0.88959999999999995</v>
      </c>
      <c r="S4351" s="23">
        <f>SUMIFS($P:$P, $Q:$Q, "&lt;" &amp; $Q4351)</f>
        <v>186532000</v>
      </c>
    </row>
    <row r="4352" spans="1:19" x14ac:dyDescent="0.25">
      <c r="A4352" s="1">
        <v>4347</v>
      </c>
      <c r="B4352" s="1" t="s">
        <v>3</v>
      </c>
      <c r="C4352" s="1" t="str">
        <f>IF($B4352 = "Production Item", _xlfn.XLOOKUP($A4352, 'Instrument Table'!$J:$J, 'Instrument Table'!$B:$B, $C4351), IF($B4352 = "Service Item", _xlfn.XLOOKUP($A4352, 'Instrument Table'!$I:$I, 'Instrument Table'!$B:$B, $C4351), _xlfn.XLOOKUP($A4352, 'Instrument Table'!$H:$H, 'Instrument Table'!$B:$B, $C4351)))</f>
        <v>Trombone</v>
      </c>
      <c r="D4352" s="1" t="str">
        <f>VLOOKUP($C4352, 'Instrument Table'!$B:$C, 2, FALSE)</f>
        <v>Brass</v>
      </c>
      <c r="E4352" s="1">
        <f t="shared" si="402"/>
        <v>2</v>
      </c>
      <c r="F4352" s="1">
        <f>_xlfn.XLOOKUP($C4352, 'Instrument Table'!$B:$B, 'Instrument Table'!$A:$A, "")</f>
        <v>42</v>
      </c>
      <c r="G4352" s="1" t="str">
        <f>TEXT(IF($B4352 = "Retail Item", IF((ROW($A4352) - 4504 - _xlfn.XMATCH($C4352, $C$4506:$C$5005, 0, 1)) &lt;= VLOOKUP($C4352, 'Instrument Table'!$B:$D, 3, FALSE), ROW($A4352) - 4504 - _xlfn.XMATCH($C4352, $C$4506:$C$5005, 0, 1), 0), 0), "00")</f>
        <v>00</v>
      </c>
      <c r="H4352" s="1" t="str">
        <f t="shared" si="403"/>
        <v>006</v>
      </c>
      <c r="I4352" s="1" t="str">
        <f t="shared" si="404"/>
        <v>24200-006</v>
      </c>
      <c r="J4352" s="1" t="str">
        <f t="shared" si="405"/>
        <v>Trombone service item #006</v>
      </c>
      <c r="K4352" s="1" t="str">
        <f>IF(SUM(COUNTIFS(I:I, I4352)) &gt; 1, "DUPLICATE", "UNIQUE")</f>
        <v>UNIQUE</v>
      </c>
      <c r="L4352" s="18">
        <v>8</v>
      </c>
      <c r="M4352" s="28">
        <v>483</v>
      </c>
      <c r="N4352" s="6">
        <v>64</v>
      </c>
      <c r="O4352" s="30">
        <f t="shared" si="406"/>
        <v>3864</v>
      </c>
      <c r="P4352" s="30">
        <f t="shared" si="407"/>
        <v>30912</v>
      </c>
      <c r="Q4352" s="1">
        <f>COUNTIFS($P:$P, "&gt;" &amp; $P4352) + 1</f>
        <v>674</v>
      </c>
      <c r="R4352" s="63">
        <f>(COUNTIFS($P:$P, "&gt;" &amp; $P4352) + 1) / (COUNTA($I:$I) - 1)</f>
        <v>0.1348</v>
      </c>
      <c r="S4352" s="23">
        <f>SUMIFS($P:$P, $Q:$Q, "&lt;" &amp; $Q4352)</f>
        <v>158300473</v>
      </c>
    </row>
    <row r="4353" spans="1:19" x14ac:dyDescent="0.25">
      <c r="A4353" s="1">
        <v>4348</v>
      </c>
      <c r="B4353" s="1" t="s">
        <v>3</v>
      </c>
      <c r="C4353" s="1" t="str">
        <f>IF($B4353 = "Production Item", _xlfn.XLOOKUP($A4353, 'Instrument Table'!$J:$J, 'Instrument Table'!$B:$B, $C4352), IF($B4353 = "Service Item", _xlfn.XLOOKUP($A4353, 'Instrument Table'!$I:$I, 'Instrument Table'!$B:$B, $C4352), _xlfn.XLOOKUP($A4353, 'Instrument Table'!$H:$H, 'Instrument Table'!$B:$B, $C4352)))</f>
        <v>Trombone</v>
      </c>
      <c r="D4353" s="1" t="str">
        <f>VLOOKUP($C4353, 'Instrument Table'!$B:$C, 2, FALSE)</f>
        <v>Brass</v>
      </c>
      <c r="E4353" s="1">
        <f t="shared" si="402"/>
        <v>2</v>
      </c>
      <c r="F4353" s="1">
        <f>_xlfn.XLOOKUP($C4353, 'Instrument Table'!$B:$B, 'Instrument Table'!$A:$A, "")</f>
        <v>42</v>
      </c>
      <c r="G4353" s="1" t="str">
        <f>TEXT(IF($B4353 = "Retail Item", IF((ROW($A4353) - 4504 - _xlfn.XMATCH($C4353, $C$4506:$C$5005, 0, 1)) &lt;= VLOOKUP($C4353, 'Instrument Table'!$B:$D, 3, FALSE), ROW($A4353) - 4504 - _xlfn.XMATCH($C4353, $C$4506:$C$5005, 0, 1), 0), 0), "00")</f>
        <v>00</v>
      </c>
      <c r="H4353" s="1" t="str">
        <f t="shared" si="403"/>
        <v>007</v>
      </c>
      <c r="I4353" s="1" t="str">
        <f t="shared" si="404"/>
        <v>24200-007</v>
      </c>
      <c r="J4353" s="1" t="str">
        <f t="shared" si="405"/>
        <v>Trombone service item #007</v>
      </c>
      <c r="K4353" s="1" t="str">
        <f>IF(SUM(COUNTIFS(I:I, I4353)) &gt; 1, "DUPLICATE", "UNIQUE")</f>
        <v>UNIQUE</v>
      </c>
      <c r="L4353" s="18">
        <v>1</v>
      </c>
      <c r="M4353" s="28">
        <v>858</v>
      </c>
      <c r="N4353" s="6">
        <v>8</v>
      </c>
      <c r="O4353" s="30">
        <f t="shared" si="406"/>
        <v>858</v>
      </c>
      <c r="P4353" s="30">
        <f t="shared" si="407"/>
        <v>6864</v>
      </c>
      <c r="Q4353" s="1">
        <f>COUNTIFS($P:$P, "&gt;" &amp; $P4353) + 1</f>
        <v>2156</v>
      </c>
      <c r="R4353" s="63">
        <f>(COUNTIFS($P:$P, "&gt;" &amp; $P4353) + 1) / (COUNTA($I:$I) - 1)</f>
        <v>0.43120000000000003</v>
      </c>
      <c r="S4353" s="23">
        <f>SUMIFS($P:$P, $Q:$Q, "&lt;" &amp; $Q4353)</f>
        <v>181155004</v>
      </c>
    </row>
    <row r="4354" spans="1:19" x14ac:dyDescent="0.25">
      <c r="A4354" s="1">
        <v>4349</v>
      </c>
      <c r="B4354" s="1" t="s">
        <v>3</v>
      </c>
      <c r="C4354" s="1" t="str">
        <f>IF($B4354 = "Production Item", _xlfn.XLOOKUP($A4354, 'Instrument Table'!$J:$J, 'Instrument Table'!$B:$B, $C4353), IF($B4354 = "Service Item", _xlfn.XLOOKUP($A4354, 'Instrument Table'!$I:$I, 'Instrument Table'!$B:$B, $C4353), _xlfn.XLOOKUP($A4354, 'Instrument Table'!$H:$H, 'Instrument Table'!$B:$B, $C4353)))</f>
        <v>Trombone</v>
      </c>
      <c r="D4354" s="1" t="str">
        <f>VLOOKUP($C4354, 'Instrument Table'!$B:$C, 2, FALSE)</f>
        <v>Brass</v>
      </c>
      <c r="E4354" s="1">
        <f t="shared" si="402"/>
        <v>2</v>
      </c>
      <c r="F4354" s="1">
        <f>_xlfn.XLOOKUP($C4354, 'Instrument Table'!$B:$B, 'Instrument Table'!$A:$A, "")</f>
        <v>42</v>
      </c>
      <c r="G4354" s="1" t="str">
        <f>TEXT(IF($B4354 = "Retail Item", IF((ROW($A4354) - 4504 - _xlfn.XMATCH($C4354, $C$4506:$C$5005, 0, 1)) &lt;= VLOOKUP($C4354, 'Instrument Table'!$B:$D, 3, FALSE), ROW($A4354) - 4504 - _xlfn.XMATCH($C4354, $C$4506:$C$5005, 0, 1), 0), 0), "00")</f>
        <v>00</v>
      </c>
      <c r="H4354" s="1" t="str">
        <f t="shared" si="403"/>
        <v>008</v>
      </c>
      <c r="I4354" s="1" t="str">
        <f t="shared" si="404"/>
        <v>24200-008</v>
      </c>
      <c r="J4354" s="1" t="str">
        <f t="shared" si="405"/>
        <v>Trombone service item #008</v>
      </c>
      <c r="K4354" s="1" t="str">
        <f>IF(SUM(COUNTIFS(I:I, I4354)) &gt; 1, "DUPLICATE", "UNIQUE")</f>
        <v>UNIQUE</v>
      </c>
      <c r="L4354" s="18">
        <v>0</v>
      </c>
      <c r="M4354" s="28">
        <v>289</v>
      </c>
      <c r="N4354" s="6">
        <v>64</v>
      </c>
      <c r="O4354" s="30">
        <f t="shared" si="406"/>
        <v>0</v>
      </c>
      <c r="P4354" s="30">
        <f t="shared" si="407"/>
        <v>18496</v>
      </c>
      <c r="Q4354" s="1">
        <f>COUNTIFS($P:$P, "&gt;" &amp; $P4354) + 1</f>
        <v>1129</v>
      </c>
      <c r="R4354" s="63">
        <f>(COUNTIFS($P:$P, "&gt;" &amp; $P4354) + 1) / (COUNTA($I:$I) - 1)</f>
        <v>0.2258</v>
      </c>
      <c r="S4354" s="23">
        <f>SUMIFS($P:$P, $Q:$Q, "&lt;" &amp; $Q4354)</f>
        <v>169049615</v>
      </c>
    </row>
    <row r="4355" spans="1:19" x14ac:dyDescent="0.25">
      <c r="A4355" s="1">
        <v>4350</v>
      </c>
      <c r="B4355" s="1" t="s">
        <v>3</v>
      </c>
      <c r="C4355" s="1" t="str">
        <f>IF($B4355 = "Production Item", _xlfn.XLOOKUP($A4355, 'Instrument Table'!$J:$J, 'Instrument Table'!$B:$B, $C4354), IF($B4355 = "Service Item", _xlfn.XLOOKUP($A4355, 'Instrument Table'!$I:$I, 'Instrument Table'!$B:$B, $C4354), _xlfn.XLOOKUP($A4355, 'Instrument Table'!$H:$H, 'Instrument Table'!$B:$B, $C4354)))</f>
        <v>Trombone</v>
      </c>
      <c r="D4355" s="1" t="str">
        <f>VLOOKUP($C4355, 'Instrument Table'!$B:$C, 2, FALSE)</f>
        <v>Brass</v>
      </c>
      <c r="E4355" s="1">
        <f t="shared" si="402"/>
        <v>2</v>
      </c>
      <c r="F4355" s="1">
        <f>_xlfn.XLOOKUP($C4355, 'Instrument Table'!$B:$B, 'Instrument Table'!$A:$A, "")</f>
        <v>42</v>
      </c>
      <c r="G4355" s="1" t="str">
        <f>TEXT(IF($B4355 = "Retail Item", IF((ROW($A4355) - 4504 - _xlfn.XMATCH($C4355, $C$4506:$C$5005, 0, 1)) &lt;= VLOOKUP($C4355, 'Instrument Table'!$B:$D, 3, FALSE), ROW($A4355) - 4504 - _xlfn.XMATCH($C4355, $C$4506:$C$5005, 0, 1), 0), 0), "00")</f>
        <v>00</v>
      </c>
      <c r="H4355" s="1" t="str">
        <f t="shared" si="403"/>
        <v>009</v>
      </c>
      <c r="I4355" s="1" t="str">
        <f t="shared" si="404"/>
        <v>24200-009</v>
      </c>
      <c r="J4355" s="1" t="str">
        <f t="shared" si="405"/>
        <v>Trombone service item #009</v>
      </c>
      <c r="K4355" s="1" t="str">
        <f>IF(SUM(COUNTIFS(I:I, I4355)) &gt; 1, "DUPLICATE", "UNIQUE")</f>
        <v>UNIQUE</v>
      </c>
      <c r="L4355" s="18">
        <v>6</v>
      </c>
      <c r="M4355" s="28">
        <v>678</v>
      </c>
      <c r="N4355" s="6">
        <v>27</v>
      </c>
      <c r="O4355" s="30">
        <f t="shared" si="406"/>
        <v>4068</v>
      </c>
      <c r="P4355" s="30">
        <f t="shared" si="407"/>
        <v>18306</v>
      </c>
      <c r="Q4355" s="1">
        <f>COUNTIFS($P:$P, "&gt;" &amp; $P4355) + 1</f>
        <v>1148</v>
      </c>
      <c r="R4355" s="63">
        <f>(COUNTIFS($P:$P, "&gt;" &amp; $P4355) + 1) / (COUNTA($I:$I) - 1)</f>
        <v>0.2296</v>
      </c>
      <c r="S4355" s="23">
        <f>SUMIFS($P:$P, $Q:$Q, "&lt;" &amp; $Q4355)</f>
        <v>169400013</v>
      </c>
    </row>
    <row r="4356" spans="1:19" x14ac:dyDescent="0.25">
      <c r="A4356" s="1">
        <v>4351</v>
      </c>
      <c r="B4356" s="1" t="s">
        <v>3</v>
      </c>
      <c r="C4356" s="1" t="str">
        <f>IF($B4356 = "Production Item", _xlfn.XLOOKUP($A4356, 'Instrument Table'!$J:$J, 'Instrument Table'!$B:$B, $C4355), IF($B4356 = "Service Item", _xlfn.XLOOKUP($A4356, 'Instrument Table'!$I:$I, 'Instrument Table'!$B:$B, $C4355), _xlfn.XLOOKUP($A4356, 'Instrument Table'!$H:$H, 'Instrument Table'!$B:$B, $C4355)))</f>
        <v>Tuba</v>
      </c>
      <c r="D4356" s="1" t="str">
        <f>VLOOKUP($C4356, 'Instrument Table'!$B:$C, 2, FALSE)</f>
        <v>Brass</v>
      </c>
      <c r="E4356" s="1">
        <f t="shared" si="402"/>
        <v>2</v>
      </c>
      <c r="F4356" s="1">
        <f>_xlfn.XLOOKUP($C4356, 'Instrument Table'!$B:$B, 'Instrument Table'!$A:$A, "")</f>
        <v>43</v>
      </c>
      <c r="G4356" s="1" t="str">
        <f>TEXT(IF($B4356 = "Retail Item", IF((ROW($A4356) - 4504 - _xlfn.XMATCH($C4356, $C$4506:$C$5005, 0, 1)) &lt;= VLOOKUP($C4356, 'Instrument Table'!$B:$D, 3, FALSE), ROW($A4356) - 4504 - _xlfn.XMATCH($C4356, $C$4506:$C$5005, 0, 1), 0), 0), "00")</f>
        <v>00</v>
      </c>
      <c r="H4356" s="1" t="str">
        <f t="shared" si="403"/>
        <v>000</v>
      </c>
      <c r="I4356" s="1" t="str">
        <f t="shared" si="404"/>
        <v>24300-000</v>
      </c>
      <c r="J4356" s="1" t="str">
        <f t="shared" si="405"/>
        <v>Tuba service item #000</v>
      </c>
      <c r="K4356" s="1" t="str">
        <f>IF(SUM(COUNTIFS(I:I, I4356)) &gt; 1, "DUPLICATE", "UNIQUE")</f>
        <v>UNIQUE</v>
      </c>
      <c r="L4356" s="18">
        <v>10</v>
      </c>
      <c r="M4356" s="28">
        <v>551</v>
      </c>
      <c r="N4356" s="6">
        <v>125</v>
      </c>
      <c r="O4356" s="30">
        <f t="shared" si="406"/>
        <v>5510</v>
      </c>
      <c r="P4356" s="30">
        <f t="shared" si="407"/>
        <v>68875</v>
      </c>
      <c r="Q4356" s="1">
        <f>COUNTIFS($P:$P, "&gt;" &amp; $P4356) + 1</f>
        <v>472</v>
      </c>
      <c r="R4356" s="63">
        <f>(COUNTIFS($P:$P, "&gt;" &amp; $P4356) + 1) / (COUNTA($I:$I) - 1)</f>
        <v>9.4399999999999998E-2</v>
      </c>
      <c r="S4356" s="23">
        <f>SUMIFS($P:$P, $Q:$Q, "&lt;" &amp; $Q4356)</f>
        <v>149645723</v>
      </c>
    </row>
    <row r="4357" spans="1:19" x14ac:dyDescent="0.25">
      <c r="A4357" s="1">
        <v>4352</v>
      </c>
      <c r="B4357" s="1" t="s">
        <v>3</v>
      </c>
      <c r="C4357" s="1" t="str">
        <f>IF($B4357 = "Production Item", _xlfn.XLOOKUP($A4357, 'Instrument Table'!$J:$J, 'Instrument Table'!$B:$B, $C4356), IF($B4357 = "Service Item", _xlfn.XLOOKUP($A4357, 'Instrument Table'!$I:$I, 'Instrument Table'!$B:$B, $C4356), _xlfn.XLOOKUP($A4357, 'Instrument Table'!$H:$H, 'Instrument Table'!$B:$B, $C4356)))</f>
        <v>Tuba</v>
      </c>
      <c r="D4357" s="1" t="str">
        <f>VLOOKUP($C4357, 'Instrument Table'!$B:$C, 2, FALSE)</f>
        <v>Brass</v>
      </c>
      <c r="E4357" s="1">
        <f t="shared" si="402"/>
        <v>2</v>
      </c>
      <c r="F4357" s="1">
        <f>_xlfn.XLOOKUP($C4357, 'Instrument Table'!$B:$B, 'Instrument Table'!$A:$A, "")</f>
        <v>43</v>
      </c>
      <c r="G4357" s="1" t="str">
        <f>TEXT(IF($B4357 = "Retail Item", IF((ROW($A4357) - 4504 - _xlfn.XMATCH($C4357, $C$4506:$C$5005, 0, 1)) &lt;= VLOOKUP($C4357, 'Instrument Table'!$B:$D, 3, FALSE), ROW($A4357) - 4504 - _xlfn.XMATCH($C4357, $C$4506:$C$5005, 0, 1), 0), 0), "00")</f>
        <v>00</v>
      </c>
      <c r="H4357" s="1" t="str">
        <f t="shared" si="403"/>
        <v>001</v>
      </c>
      <c r="I4357" s="1" t="str">
        <f t="shared" si="404"/>
        <v>24300-001</v>
      </c>
      <c r="J4357" s="1" t="str">
        <f t="shared" si="405"/>
        <v>Tuba service item #001</v>
      </c>
      <c r="K4357" s="1" t="str">
        <f>IF(SUM(COUNTIFS(I:I, I4357)) &gt; 1, "DUPLICATE", "UNIQUE")</f>
        <v>UNIQUE</v>
      </c>
      <c r="L4357" s="18">
        <v>2</v>
      </c>
      <c r="M4357" s="28">
        <v>870</v>
      </c>
      <c r="N4357" s="6">
        <v>125</v>
      </c>
      <c r="O4357" s="30">
        <f t="shared" si="406"/>
        <v>1740</v>
      </c>
      <c r="P4357" s="30">
        <f t="shared" si="407"/>
        <v>108750</v>
      </c>
      <c r="Q4357" s="1">
        <f>COUNTIFS($P:$P, "&gt;" &amp; $P4357) + 1</f>
        <v>395</v>
      </c>
      <c r="R4357" s="63">
        <f>(COUNTIFS($P:$P, "&gt;" &amp; $P4357) + 1) / (COUNTA($I:$I) - 1)</f>
        <v>7.9000000000000001E-2</v>
      </c>
      <c r="S4357" s="23">
        <f>SUMIFS($P:$P, $Q:$Q, "&lt;" &amp; $Q4357)</f>
        <v>142909634</v>
      </c>
    </row>
    <row r="4358" spans="1:19" x14ac:dyDescent="0.25">
      <c r="A4358" s="1">
        <v>4353</v>
      </c>
      <c r="B4358" s="1" t="s">
        <v>3</v>
      </c>
      <c r="C4358" s="1" t="str">
        <f>IF($B4358 = "Production Item", _xlfn.XLOOKUP($A4358, 'Instrument Table'!$J:$J, 'Instrument Table'!$B:$B, $C4357), IF($B4358 = "Service Item", _xlfn.XLOOKUP($A4358, 'Instrument Table'!$I:$I, 'Instrument Table'!$B:$B, $C4357), _xlfn.XLOOKUP($A4358, 'Instrument Table'!$H:$H, 'Instrument Table'!$B:$B, $C4357)))</f>
        <v>Tuba</v>
      </c>
      <c r="D4358" s="1" t="str">
        <f>VLOOKUP($C4358, 'Instrument Table'!$B:$C, 2, FALSE)</f>
        <v>Brass</v>
      </c>
      <c r="E4358" s="1">
        <f t="shared" si="402"/>
        <v>2</v>
      </c>
      <c r="F4358" s="1">
        <f>_xlfn.XLOOKUP($C4358, 'Instrument Table'!$B:$B, 'Instrument Table'!$A:$A, "")</f>
        <v>43</v>
      </c>
      <c r="G4358" s="1" t="str">
        <f>TEXT(IF($B4358 = "Retail Item", IF((ROW($A4358) - 4504 - _xlfn.XMATCH($C4358, $C$4506:$C$5005, 0, 1)) &lt;= VLOOKUP($C4358, 'Instrument Table'!$B:$D, 3, FALSE), ROW($A4358) - 4504 - _xlfn.XMATCH($C4358, $C$4506:$C$5005, 0, 1), 0), 0), "00")</f>
        <v>00</v>
      </c>
      <c r="H4358" s="1" t="str">
        <f t="shared" si="403"/>
        <v>002</v>
      </c>
      <c r="I4358" s="1" t="str">
        <f t="shared" si="404"/>
        <v>24300-002</v>
      </c>
      <c r="J4358" s="1" t="str">
        <f t="shared" si="405"/>
        <v>Tuba service item #002</v>
      </c>
      <c r="K4358" s="1" t="str">
        <f>IF(SUM(COUNTIFS(I:I, I4358)) &gt; 1, "DUPLICATE", "UNIQUE")</f>
        <v>UNIQUE</v>
      </c>
      <c r="L4358" s="18">
        <v>5</v>
      </c>
      <c r="M4358" s="28">
        <v>238</v>
      </c>
      <c r="N4358" s="6">
        <v>0</v>
      </c>
      <c r="O4358" s="30">
        <f t="shared" si="406"/>
        <v>1190</v>
      </c>
      <c r="P4358" s="30">
        <f t="shared" si="407"/>
        <v>0</v>
      </c>
      <c r="Q4358" s="1">
        <f>COUNTIFS($P:$P, "&gt;" &amp; $P4358) + 1</f>
        <v>4746</v>
      </c>
      <c r="R4358" s="63">
        <f>(COUNTIFS($P:$P, "&gt;" &amp; $P4358) + 1) / (COUNTA($I:$I) - 1)</f>
        <v>0.94920000000000004</v>
      </c>
      <c r="S4358" s="23">
        <f>SUMIFS($P:$P, $Q:$Q, "&lt;" &amp; $Q4358)</f>
        <v>186547861</v>
      </c>
    </row>
    <row r="4359" spans="1:19" x14ac:dyDescent="0.25">
      <c r="A4359" s="1">
        <v>4354</v>
      </c>
      <c r="B4359" s="1" t="s">
        <v>3</v>
      </c>
      <c r="C4359" s="1" t="str">
        <f>IF($B4359 = "Production Item", _xlfn.XLOOKUP($A4359, 'Instrument Table'!$J:$J, 'Instrument Table'!$B:$B, $C4358), IF($B4359 = "Service Item", _xlfn.XLOOKUP($A4359, 'Instrument Table'!$I:$I, 'Instrument Table'!$B:$B, $C4358), _xlfn.XLOOKUP($A4359, 'Instrument Table'!$H:$H, 'Instrument Table'!$B:$B, $C4358)))</f>
        <v>Tuba</v>
      </c>
      <c r="D4359" s="1" t="str">
        <f>VLOOKUP($C4359, 'Instrument Table'!$B:$C, 2, FALSE)</f>
        <v>Brass</v>
      </c>
      <c r="E4359" s="1">
        <f t="shared" ref="E4359:E4422" si="408">IF($B4359 = "Production Item", 1, IF($B4359 = "Service Item", 2, IF($B4359 = "Retail Item", 3, "")))</f>
        <v>2</v>
      </c>
      <c r="F4359" s="1">
        <f>_xlfn.XLOOKUP($C4359, 'Instrument Table'!$B:$B, 'Instrument Table'!$A:$A, "")</f>
        <v>43</v>
      </c>
      <c r="G4359" s="1" t="str">
        <f>TEXT(IF($B4359 = "Retail Item", IF((ROW($A4359) - 4504 - _xlfn.XMATCH($C4359, $C$4506:$C$5005, 0, 1)) &lt;= VLOOKUP($C4359, 'Instrument Table'!$B:$D, 3, FALSE), ROW($A4359) - 4504 - _xlfn.XMATCH($C4359, $C$4506:$C$5005, 0, 1), 0), 0), "00")</f>
        <v>00</v>
      </c>
      <c r="H4359" s="1" t="str">
        <f t="shared" ref="H4359:H4422" si="409">TEXT(IF($E4359 &amp; $F4359 &amp; $G4359 = $E4358 &amp; $F4358 &amp; $G4358, 1 + H4358, 0), "000")</f>
        <v>003</v>
      </c>
      <c r="I4359" s="1" t="str">
        <f t="shared" ref="I4359:I4422" si="410" xml:space="preserve"> _xlfn.CONCAT($E4359, $F4359, $G4359, "-", H4359)</f>
        <v>24300-003</v>
      </c>
      <c r="J4359" s="1" t="str">
        <f t="shared" ref="J4359:J4422" si="411">LEFT($C4359, 1) &amp; LOWER(RIGHT($C4359, LEN($C4359) - 1)) &amp; IF(AND($G4359 &lt;&gt; "00", $B4359 = "Retail Item"), " model #" &amp; $G4359, " " &amp; LOWER($B4359) &amp; " #" &amp; $H4359)</f>
        <v>Tuba service item #003</v>
      </c>
      <c r="K4359" s="1" t="str">
        <f>IF(SUM(COUNTIFS(I:I, I4359)) &gt; 1, "DUPLICATE", "UNIQUE")</f>
        <v>UNIQUE</v>
      </c>
      <c r="L4359" s="18">
        <v>1</v>
      </c>
      <c r="M4359" s="28">
        <v>53</v>
      </c>
      <c r="N4359" s="6">
        <v>125</v>
      </c>
      <c r="O4359" s="30">
        <f t="shared" ref="O4359:O4422" si="412">$L4359 * $M4359</f>
        <v>53</v>
      </c>
      <c r="P4359" s="30">
        <f t="shared" ref="P4359:P4422" si="413">$N4359 * $M4359</f>
        <v>6625</v>
      </c>
      <c r="Q4359" s="1">
        <f>COUNTIFS($P:$P, "&gt;" &amp; $P4359) + 1</f>
        <v>2193</v>
      </c>
      <c r="R4359" s="63">
        <f>(COUNTIFS($P:$P, "&gt;" &amp; $P4359) + 1) / (COUNTA($I:$I) - 1)</f>
        <v>0.43859999999999999</v>
      </c>
      <c r="S4359" s="23">
        <f>SUMIFS($P:$P, $Q:$Q, "&lt;" &amp; $Q4359)</f>
        <v>181405206</v>
      </c>
    </row>
    <row r="4360" spans="1:19" x14ac:dyDescent="0.25">
      <c r="A4360" s="1">
        <v>4355</v>
      </c>
      <c r="B4360" s="1" t="s">
        <v>3</v>
      </c>
      <c r="C4360" s="1" t="str">
        <f>IF($B4360 = "Production Item", _xlfn.XLOOKUP($A4360, 'Instrument Table'!$J:$J, 'Instrument Table'!$B:$B, $C4359), IF($B4360 = "Service Item", _xlfn.XLOOKUP($A4360, 'Instrument Table'!$I:$I, 'Instrument Table'!$B:$B, $C4359), _xlfn.XLOOKUP($A4360, 'Instrument Table'!$H:$H, 'Instrument Table'!$B:$B, $C4359)))</f>
        <v>Tuba</v>
      </c>
      <c r="D4360" s="1" t="str">
        <f>VLOOKUP($C4360, 'Instrument Table'!$B:$C, 2, FALSE)</f>
        <v>Brass</v>
      </c>
      <c r="E4360" s="1">
        <f t="shared" si="408"/>
        <v>2</v>
      </c>
      <c r="F4360" s="1">
        <f>_xlfn.XLOOKUP($C4360, 'Instrument Table'!$B:$B, 'Instrument Table'!$A:$A, "")</f>
        <v>43</v>
      </c>
      <c r="G4360" s="1" t="str">
        <f>TEXT(IF($B4360 = "Retail Item", IF((ROW($A4360) - 4504 - _xlfn.XMATCH($C4360, $C$4506:$C$5005, 0, 1)) &lt;= VLOOKUP($C4360, 'Instrument Table'!$B:$D, 3, FALSE), ROW($A4360) - 4504 - _xlfn.XMATCH($C4360, $C$4506:$C$5005, 0, 1), 0), 0), "00")</f>
        <v>00</v>
      </c>
      <c r="H4360" s="1" t="str">
        <f t="shared" si="409"/>
        <v>004</v>
      </c>
      <c r="I4360" s="1" t="str">
        <f t="shared" si="410"/>
        <v>24300-004</v>
      </c>
      <c r="J4360" s="1" t="str">
        <f t="shared" si="411"/>
        <v>Tuba service item #004</v>
      </c>
      <c r="K4360" s="1" t="str">
        <f>IF(SUM(COUNTIFS(I:I, I4360)) &gt; 1, "DUPLICATE", "UNIQUE")</f>
        <v>UNIQUE</v>
      </c>
      <c r="L4360" s="18">
        <v>1</v>
      </c>
      <c r="M4360" s="28">
        <v>213</v>
      </c>
      <c r="N4360" s="6">
        <v>64</v>
      </c>
      <c r="O4360" s="30">
        <f t="shared" si="412"/>
        <v>213</v>
      </c>
      <c r="P4360" s="30">
        <f t="shared" si="413"/>
        <v>13632</v>
      </c>
      <c r="Q4360" s="1">
        <f>COUNTIFS($P:$P, "&gt;" &amp; $P4360) + 1</f>
        <v>1448</v>
      </c>
      <c r="R4360" s="63">
        <f>(COUNTIFS($P:$P, "&gt;" &amp; $P4360) + 1) / (COUNTA($I:$I) - 1)</f>
        <v>0.28960000000000002</v>
      </c>
      <c r="S4360" s="23">
        <f>SUMIFS($P:$P, $Q:$Q, "&lt;" &amp; $Q4360)</f>
        <v>174145865</v>
      </c>
    </row>
    <row r="4361" spans="1:19" x14ac:dyDescent="0.25">
      <c r="A4361" s="1">
        <v>4356</v>
      </c>
      <c r="B4361" s="1" t="s">
        <v>3</v>
      </c>
      <c r="C4361" s="1" t="str">
        <f>IF($B4361 = "Production Item", _xlfn.XLOOKUP($A4361, 'Instrument Table'!$J:$J, 'Instrument Table'!$B:$B, $C4360), IF($B4361 = "Service Item", _xlfn.XLOOKUP($A4361, 'Instrument Table'!$I:$I, 'Instrument Table'!$B:$B, $C4360), _xlfn.XLOOKUP($A4361, 'Instrument Table'!$H:$H, 'Instrument Table'!$B:$B, $C4360)))</f>
        <v>Tuba</v>
      </c>
      <c r="D4361" s="1" t="str">
        <f>VLOOKUP($C4361, 'Instrument Table'!$B:$C, 2, FALSE)</f>
        <v>Brass</v>
      </c>
      <c r="E4361" s="1">
        <f t="shared" si="408"/>
        <v>2</v>
      </c>
      <c r="F4361" s="1">
        <f>_xlfn.XLOOKUP($C4361, 'Instrument Table'!$B:$B, 'Instrument Table'!$A:$A, "")</f>
        <v>43</v>
      </c>
      <c r="G4361" s="1" t="str">
        <f>TEXT(IF($B4361 = "Retail Item", IF((ROW($A4361) - 4504 - _xlfn.XMATCH($C4361, $C$4506:$C$5005, 0, 1)) &lt;= VLOOKUP($C4361, 'Instrument Table'!$B:$D, 3, FALSE), ROW($A4361) - 4504 - _xlfn.XMATCH($C4361, $C$4506:$C$5005, 0, 1), 0), 0), "00")</f>
        <v>00</v>
      </c>
      <c r="H4361" s="1" t="str">
        <f t="shared" si="409"/>
        <v>005</v>
      </c>
      <c r="I4361" s="1" t="str">
        <f t="shared" si="410"/>
        <v>24300-005</v>
      </c>
      <c r="J4361" s="1" t="str">
        <f t="shared" si="411"/>
        <v>Tuba service item #005</v>
      </c>
      <c r="K4361" s="1" t="str">
        <f>IF(SUM(COUNTIFS(I:I, I4361)) &gt; 1, "DUPLICATE", "UNIQUE")</f>
        <v>UNIQUE</v>
      </c>
      <c r="L4361" s="18">
        <v>4</v>
      </c>
      <c r="M4361" s="28">
        <v>287</v>
      </c>
      <c r="N4361" s="6">
        <v>1</v>
      </c>
      <c r="O4361" s="30">
        <f t="shared" si="412"/>
        <v>1148</v>
      </c>
      <c r="P4361" s="30">
        <f t="shared" si="413"/>
        <v>287</v>
      </c>
      <c r="Q4361" s="1">
        <f>COUNTIFS($P:$P, "&gt;" &amp; $P4361) + 1</f>
        <v>4233</v>
      </c>
      <c r="R4361" s="63">
        <f>(COUNTIFS($P:$P, "&gt;" &amp; $P4361) + 1) / (COUNTA($I:$I) - 1)</f>
        <v>0.84660000000000002</v>
      </c>
      <c r="S4361" s="23">
        <f>SUMIFS($P:$P, $Q:$Q, "&lt;" &amp; $Q4361)</f>
        <v>186490350</v>
      </c>
    </row>
    <row r="4362" spans="1:19" x14ac:dyDescent="0.25">
      <c r="A4362" s="1">
        <v>4357</v>
      </c>
      <c r="B4362" s="1" t="s">
        <v>3</v>
      </c>
      <c r="C4362" s="1" t="str">
        <f>IF($B4362 = "Production Item", _xlfn.XLOOKUP($A4362, 'Instrument Table'!$J:$J, 'Instrument Table'!$B:$B, $C4361), IF($B4362 = "Service Item", _xlfn.XLOOKUP($A4362, 'Instrument Table'!$I:$I, 'Instrument Table'!$B:$B, $C4361), _xlfn.XLOOKUP($A4362, 'Instrument Table'!$H:$H, 'Instrument Table'!$B:$B, $C4361)))</f>
        <v>Tuba</v>
      </c>
      <c r="D4362" s="1" t="str">
        <f>VLOOKUP($C4362, 'Instrument Table'!$B:$C, 2, FALSE)</f>
        <v>Brass</v>
      </c>
      <c r="E4362" s="1">
        <f t="shared" si="408"/>
        <v>2</v>
      </c>
      <c r="F4362" s="1">
        <f>_xlfn.XLOOKUP($C4362, 'Instrument Table'!$B:$B, 'Instrument Table'!$A:$A, "")</f>
        <v>43</v>
      </c>
      <c r="G4362" s="1" t="str">
        <f>TEXT(IF($B4362 = "Retail Item", IF((ROW($A4362) - 4504 - _xlfn.XMATCH($C4362, $C$4506:$C$5005, 0, 1)) &lt;= VLOOKUP($C4362, 'Instrument Table'!$B:$D, 3, FALSE), ROW($A4362) - 4504 - _xlfn.XMATCH($C4362, $C$4506:$C$5005, 0, 1), 0), 0), "00")</f>
        <v>00</v>
      </c>
      <c r="H4362" s="1" t="str">
        <f t="shared" si="409"/>
        <v>006</v>
      </c>
      <c r="I4362" s="1" t="str">
        <f t="shared" si="410"/>
        <v>24300-006</v>
      </c>
      <c r="J4362" s="1" t="str">
        <f t="shared" si="411"/>
        <v>Tuba service item #006</v>
      </c>
      <c r="K4362" s="1" t="str">
        <f>IF(SUM(COUNTIFS(I:I, I4362)) &gt; 1, "DUPLICATE", "UNIQUE")</f>
        <v>UNIQUE</v>
      </c>
      <c r="L4362" s="18">
        <v>0</v>
      </c>
      <c r="M4362" s="28">
        <v>439</v>
      </c>
      <c r="N4362" s="6">
        <v>1</v>
      </c>
      <c r="O4362" s="30">
        <f t="shared" si="412"/>
        <v>0</v>
      </c>
      <c r="P4362" s="30">
        <f t="shared" si="413"/>
        <v>439</v>
      </c>
      <c r="Q4362" s="1">
        <f>COUNTIFS($P:$P, "&gt;" &amp; $P4362) + 1</f>
        <v>4070</v>
      </c>
      <c r="R4362" s="63">
        <f>(COUNTIFS($P:$P, "&gt;" &amp; $P4362) + 1) / (COUNTA($I:$I) - 1)</f>
        <v>0.81399999999999995</v>
      </c>
      <c r="S4362" s="23">
        <f>SUMIFS($P:$P, $Q:$Q, "&lt;" &amp; $Q4362)</f>
        <v>186432406</v>
      </c>
    </row>
    <row r="4363" spans="1:19" x14ac:dyDescent="0.25">
      <c r="A4363" s="1">
        <v>4358</v>
      </c>
      <c r="B4363" s="1" t="s">
        <v>3</v>
      </c>
      <c r="C4363" s="1" t="str">
        <f>IF($B4363 = "Production Item", _xlfn.XLOOKUP($A4363, 'Instrument Table'!$J:$J, 'Instrument Table'!$B:$B, $C4362), IF($B4363 = "Service Item", _xlfn.XLOOKUP($A4363, 'Instrument Table'!$I:$I, 'Instrument Table'!$B:$B, $C4362), _xlfn.XLOOKUP($A4363, 'Instrument Table'!$H:$H, 'Instrument Table'!$B:$B, $C4362)))</f>
        <v>Tuba</v>
      </c>
      <c r="D4363" s="1" t="str">
        <f>VLOOKUP($C4363, 'Instrument Table'!$B:$C, 2, FALSE)</f>
        <v>Brass</v>
      </c>
      <c r="E4363" s="1">
        <f t="shared" si="408"/>
        <v>2</v>
      </c>
      <c r="F4363" s="1">
        <f>_xlfn.XLOOKUP($C4363, 'Instrument Table'!$B:$B, 'Instrument Table'!$A:$A, "")</f>
        <v>43</v>
      </c>
      <c r="G4363" s="1" t="str">
        <f>TEXT(IF($B4363 = "Retail Item", IF((ROW($A4363) - 4504 - _xlfn.XMATCH($C4363, $C$4506:$C$5005, 0, 1)) &lt;= VLOOKUP($C4363, 'Instrument Table'!$B:$D, 3, FALSE), ROW($A4363) - 4504 - _xlfn.XMATCH($C4363, $C$4506:$C$5005, 0, 1), 0), 0), "00")</f>
        <v>00</v>
      </c>
      <c r="H4363" s="1" t="str">
        <f t="shared" si="409"/>
        <v>007</v>
      </c>
      <c r="I4363" s="1" t="str">
        <f t="shared" si="410"/>
        <v>24300-007</v>
      </c>
      <c r="J4363" s="1" t="str">
        <f t="shared" si="411"/>
        <v>Tuba service item #007</v>
      </c>
      <c r="K4363" s="1" t="str">
        <f>IF(SUM(COUNTIFS(I:I, I4363)) &gt; 1, "DUPLICATE", "UNIQUE")</f>
        <v>UNIQUE</v>
      </c>
      <c r="L4363" s="18">
        <v>2</v>
      </c>
      <c r="M4363" s="28">
        <v>553</v>
      </c>
      <c r="N4363" s="6">
        <v>27</v>
      </c>
      <c r="O4363" s="30">
        <f t="shared" si="412"/>
        <v>1106</v>
      </c>
      <c r="P4363" s="30">
        <f t="shared" si="413"/>
        <v>14931</v>
      </c>
      <c r="Q4363" s="1">
        <f>COUNTIFS($P:$P, "&gt;" &amp; $P4363) + 1</f>
        <v>1353</v>
      </c>
      <c r="R4363" s="63">
        <f>(COUNTIFS($P:$P, "&gt;" &amp; $P4363) + 1) / (COUNTA($I:$I) - 1)</f>
        <v>0.27060000000000001</v>
      </c>
      <c r="S4363" s="23">
        <f>SUMIFS($P:$P, $Q:$Q, "&lt;" &amp; $Q4363)</f>
        <v>172788000</v>
      </c>
    </row>
    <row r="4364" spans="1:19" x14ac:dyDescent="0.25">
      <c r="A4364" s="1">
        <v>4359</v>
      </c>
      <c r="B4364" s="1" t="s">
        <v>3</v>
      </c>
      <c r="C4364" s="1" t="str">
        <f>IF($B4364 = "Production Item", _xlfn.XLOOKUP($A4364, 'Instrument Table'!$J:$J, 'Instrument Table'!$B:$B, $C4363), IF($B4364 = "Service Item", _xlfn.XLOOKUP($A4364, 'Instrument Table'!$I:$I, 'Instrument Table'!$B:$B, $C4363), _xlfn.XLOOKUP($A4364, 'Instrument Table'!$H:$H, 'Instrument Table'!$B:$B, $C4363)))</f>
        <v>Tuba</v>
      </c>
      <c r="D4364" s="1" t="str">
        <f>VLOOKUP($C4364, 'Instrument Table'!$B:$C, 2, FALSE)</f>
        <v>Brass</v>
      </c>
      <c r="E4364" s="1">
        <f t="shared" si="408"/>
        <v>2</v>
      </c>
      <c r="F4364" s="1">
        <f>_xlfn.XLOOKUP($C4364, 'Instrument Table'!$B:$B, 'Instrument Table'!$A:$A, "")</f>
        <v>43</v>
      </c>
      <c r="G4364" s="1" t="str">
        <f>TEXT(IF($B4364 = "Retail Item", IF((ROW($A4364) - 4504 - _xlfn.XMATCH($C4364, $C$4506:$C$5005, 0, 1)) &lt;= VLOOKUP($C4364, 'Instrument Table'!$B:$D, 3, FALSE), ROW($A4364) - 4504 - _xlfn.XMATCH($C4364, $C$4506:$C$5005, 0, 1), 0), 0), "00")</f>
        <v>00</v>
      </c>
      <c r="H4364" s="1" t="str">
        <f t="shared" si="409"/>
        <v>008</v>
      </c>
      <c r="I4364" s="1" t="str">
        <f t="shared" si="410"/>
        <v>24300-008</v>
      </c>
      <c r="J4364" s="1" t="str">
        <f t="shared" si="411"/>
        <v>Tuba service item #008</v>
      </c>
      <c r="K4364" s="1" t="str">
        <f>IF(SUM(COUNTIFS(I:I, I4364)) &gt; 1, "DUPLICATE", "UNIQUE")</f>
        <v>UNIQUE</v>
      </c>
      <c r="L4364" s="18">
        <v>3</v>
      </c>
      <c r="M4364" s="28">
        <v>373</v>
      </c>
      <c r="N4364" s="6">
        <v>64</v>
      </c>
      <c r="O4364" s="30">
        <f t="shared" si="412"/>
        <v>1119</v>
      </c>
      <c r="P4364" s="30">
        <f t="shared" si="413"/>
        <v>23872</v>
      </c>
      <c r="Q4364" s="1">
        <f>COUNTIFS($P:$P, "&gt;" &amp; $P4364) + 1</f>
        <v>881</v>
      </c>
      <c r="R4364" s="63">
        <f>(COUNTIFS($P:$P, "&gt;" &amp; $P4364) + 1) / (COUNTA($I:$I) - 1)</f>
        <v>0.1762</v>
      </c>
      <c r="S4364" s="23">
        <f>SUMIFS($P:$P, $Q:$Q, "&lt;" &amp; $Q4364)</f>
        <v>163834972</v>
      </c>
    </row>
    <row r="4365" spans="1:19" x14ac:dyDescent="0.25">
      <c r="A4365" s="1">
        <v>4360</v>
      </c>
      <c r="B4365" s="1" t="s">
        <v>3</v>
      </c>
      <c r="C4365" s="1" t="str">
        <f>IF($B4365 = "Production Item", _xlfn.XLOOKUP($A4365, 'Instrument Table'!$J:$J, 'Instrument Table'!$B:$B, $C4364), IF($B4365 = "Service Item", _xlfn.XLOOKUP($A4365, 'Instrument Table'!$I:$I, 'Instrument Table'!$B:$B, $C4364), _xlfn.XLOOKUP($A4365, 'Instrument Table'!$H:$H, 'Instrument Table'!$B:$B, $C4364)))</f>
        <v>Tuba</v>
      </c>
      <c r="D4365" s="1" t="str">
        <f>VLOOKUP($C4365, 'Instrument Table'!$B:$C, 2, FALSE)</f>
        <v>Brass</v>
      </c>
      <c r="E4365" s="1">
        <f t="shared" si="408"/>
        <v>2</v>
      </c>
      <c r="F4365" s="1">
        <f>_xlfn.XLOOKUP($C4365, 'Instrument Table'!$B:$B, 'Instrument Table'!$A:$A, "")</f>
        <v>43</v>
      </c>
      <c r="G4365" s="1" t="str">
        <f>TEXT(IF($B4365 = "Retail Item", IF((ROW($A4365) - 4504 - _xlfn.XMATCH($C4365, $C$4506:$C$5005, 0, 1)) &lt;= VLOOKUP($C4365, 'Instrument Table'!$B:$D, 3, FALSE), ROW($A4365) - 4504 - _xlfn.XMATCH($C4365, $C$4506:$C$5005, 0, 1), 0), 0), "00")</f>
        <v>00</v>
      </c>
      <c r="H4365" s="1" t="str">
        <f t="shared" si="409"/>
        <v>009</v>
      </c>
      <c r="I4365" s="1" t="str">
        <f t="shared" si="410"/>
        <v>24300-009</v>
      </c>
      <c r="J4365" s="1" t="str">
        <f t="shared" si="411"/>
        <v>Tuba service item #009</v>
      </c>
      <c r="K4365" s="1" t="str">
        <f>IF(SUM(COUNTIFS(I:I, I4365)) &gt; 1, "DUPLICATE", "UNIQUE")</f>
        <v>UNIQUE</v>
      </c>
      <c r="L4365" s="18">
        <v>9</v>
      </c>
      <c r="M4365" s="28">
        <v>467</v>
      </c>
      <c r="N4365" s="6">
        <v>8</v>
      </c>
      <c r="O4365" s="30">
        <f t="shared" si="412"/>
        <v>4203</v>
      </c>
      <c r="P4365" s="30">
        <f t="shared" si="413"/>
        <v>3736</v>
      </c>
      <c r="Q4365" s="1">
        <f>COUNTIFS($P:$P, "&gt;" &amp; $P4365) + 1</f>
        <v>2713</v>
      </c>
      <c r="R4365" s="63">
        <f>(COUNTIFS($P:$P, "&gt;" &amp; $P4365) + 1) / (COUNTA($I:$I) - 1)</f>
        <v>0.54259999999999997</v>
      </c>
      <c r="S4365" s="23">
        <f>SUMIFS($P:$P, $Q:$Q, "&lt;" &amp; $Q4365)</f>
        <v>184015614</v>
      </c>
    </row>
    <row r="4366" spans="1:19" x14ac:dyDescent="0.25">
      <c r="A4366" s="1">
        <v>4361</v>
      </c>
      <c r="B4366" s="1" t="s">
        <v>3</v>
      </c>
      <c r="C4366" s="1" t="str">
        <f>IF($B4366 = "Production Item", _xlfn.XLOOKUP($A4366, 'Instrument Table'!$J:$J, 'Instrument Table'!$B:$B, $C4365), IF($B4366 = "Service Item", _xlfn.XLOOKUP($A4366, 'Instrument Table'!$I:$I, 'Instrument Table'!$B:$B, $C4365), _xlfn.XLOOKUP($A4366, 'Instrument Table'!$H:$H, 'Instrument Table'!$B:$B, $C4365)))</f>
        <v>Snare Drum</v>
      </c>
      <c r="D4366" s="1" t="str">
        <f>VLOOKUP($C4366, 'Instrument Table'!$B:$C, 2, FALSE)</f>
        <v>Percussion</v>
      </c>
      <c r="E4366" s="1">
        <f t="shared" si="408"/>
        <v>2</v>
      </c>
      <c r="F4366" s="1">
        <f>_xlfn.XLOOKUP($C4366, 'Instrument Table'!$B:$B, 'Instrument Table'!$A:$A, "")</f>
        <v>50</v>
      </c>
      <c r="G4366" s="1" t="str">
        <f>TEXT(IF($B4366 = "Retail Item", IF((ROW($A4366) - 4504 - _xlfn.XMATCH($C4366, $C$4506:$C$5005, 0, 1)) &lt;= VLOOKUP($C4366, 'Instrument Table'!$B:$D, 3, FALSE), ROW($A4366) - 4504 - _xlfn.XMATCH($C4366, $C$4506:$C$5005, 0, 1), 0), 0), "00")</f>
        <v>00</v>
      </c>
      <c r="H4366" s="1" t="str">
        <f t="shared" si="409"/>
        <v>000</v>
      </c>
      <c r="I4366" s="1" t="str">
        <f t="shared" si="410"/>
        <v>25000-000</v>
      </c>
      <c r="J4366" s="1" t="str">
        <f t="shared" si="411"/>
        <v>Snare drum service item #000</v>
      </c>
      <c r="K4366" s="1" t="str">
        <f>IF(SUM(COUNTIFS(I:I, I4366)) &gt; 1, "DUPLICATE", "UNIQUE")</f>
        <v>UNIQUE</v>
      </c>
      <c r="L4366" s="18">
        <v>10</v>
      </c>
      <c r="M4366" s="28">
        <v>640</v>
      </c>
      <c r="N4366" s="6">
        <v>1</v>
      </c>
      <c r="O4366" s="30">
        <f t="shared" si="412"/>
        <v>6400</v>
      </c>
      <c r="P4366" s="30">
        <f t="shared" si="413"/>
        <v>640</v>
      </c>
      <c r="Q4366" s="1">
        <f>COUNTIFS($P:$P, "&gt;" &amp; $P4366) + 1</f>
        <v>3919</v>
      </c>
      <c r="R4366" s="63">
        <f>(COUNTIFS($P:$P, "&gt;" &amp; $P4366) + 1) / (COUNTA($I:$I) - 1)</f>
        <v>0.78380000000000005</v>
      </c>
      <c r="S4366" s="23">
        <f>SUMIFS($P:$P, $Q:$Q, "&lt;" &amp; $Q4366)</f>
        <v>186351283</v>
      </c>
    </row>
    <row r="4367" spans="1:19" x14ac:dyDescent="0.25">
      <c r="A4367" s="1">
        <v>4362</v>
      </c>
      <c r="B4367" s="1" t="s">
        <v>3</v>
      </c>
      <c r="C4367" s="1" t="str">
        <f>IF($B4367 = "Production Item", _xlfn.XLOOKUP($A4367, 'Instrument Table'!$J:$J, 'Instrument Table'!$B:$B, $C4366), IF($B4367 = "Service Item", _xlfn.XLOOKUP($A4367, 'Instrument Table'!$I:$I, 'Instrument Table'!$B:$B, $C4366), _xlfn.XLOOKUP($A4367, 'Instrument Table'!$H:$H, 'Instrument Table'!$B:$B, $C4366)))</f>
        <v>Snare Drum</v>
      </c>
      <c r="D4367" s="1" t="str">
        <f>VLOOKUP($C4367, 'Instrument Table'!$B:$C, 2, FALSE)</f>
        <v>Percussion</v>
      </c>
      <c r="E4367" s="1">
        <f t="shared" si="408"/>
        <v>2</v>
      </c>
      <c r="F4367" s="1">
        <f>_xlfn.XLOOKUP($C4367, 'Instrument Table'!$B:$B, 'Instrument Table'!$A:$A, "")</f>
        <v>50</v>
      </c>
      <c r="G4367" s="1" t="str">
        <f>TEXT(IF($B4367 = "Retail Item", IF((ROW($A4367) - 4504 - _xlfn.XMATCH($C4367, $C$4506:$C$5005, 0, 1)) &lt;= VLOOKUP($C4367, 'Instrument Table'!$B:$D, 3, FALSE), ROW($A4367) - 4504 - _xlfn.XMATCH($C4367, $C$4506:$C$5005, 0, 1), 0), 0), "00")</f>
        <v>00</v>
      </c>
      <c r="H4367" s="1" t="str">
        <f t="shared" si="409"/>
        <v>001</v>
      </c>
      <c r="I4367" s="1" t="str">
        <f t="shared" si="410"/>
        <v>25000-001</v>
      </c>
      <c r="J4367" s="1" t="str">
        <f t="shared" si="411"/>
        <v>Snare drum service item #001</v>
      </c>
      <c r="K4367" s="1" t="str">
        <f>IF(SUM(COUNTIFS(I:I, I4367)) &gt; 1, "DUPLICATE", "UNIQUE")</f>
        <v>UNIQUE</v>
      </c>
      <c r="L4367" s="18">
        <v>10</v>
      </c>
      <c r="M4367" s="28">
        <v>741</v>
      </c>
      <c r="N4367" s="6">
        <v>1</v>
      </c>
      <c r="O4367" s="30">
        <f t="shared" si="412"/>
        <v>7410</v>
      </c>
      <c r="P4367" s="30">
        <f t="shared" si="413"/>
        <v>741</v>
      </c>
      <c r="Q4367" s="1">
        <f>COUNTIFS($P:$P, "&gt;" &amp; $P4367) + 1</f>
        <v>3838</v>
      </c>
      <c r="R4367" s="63">
        <f>(COUNTIFS($P:$P, "&gt;" &amp; $P4367) + 1) / (COUNTA($I:$I) - 1)</f>
        <v>0.76759999999999995</v>
      </c>
      <c r="S4367" s="23">
        <f>SUMIFS($P:$P, $Q:$Q, "&lt;" &amp; $Q4367)</f>
        <v>186294738</v>
      </c>
    </row>
    <row r="4368" spans="1:19" x14ac:dyDescent="0.25">
      <c r="A4368" s="1">
        <v>4363</v>
      </c>
      <c r="B4368" s="1" t="s">
        <v>3</v>
      </c>
      <c r="C4368" s="1" t="str">
        <f>IF($B4368 = "Production Item", _xlfn.XLOOKUP($A4368, 'Instrument Table'!$J:$J, 'Instrument Table'!$B:$B, $C4367), IF($B4368 = "Service Item", _xlfn.XLOOKUP($A4368, 'Instrument Table'!$I:$I, 'Instrument Table'!$B:$B, $C4367), _xlfn.XLOOKUP($A4368, 'Instrument Table'!$H:$H, 'Instrument Table'!$B:$B, $C4367)))</f>
        <v>Snare Drum</v>
      </c>
      <c r="D4368" s="1" t="str">
        <f>VLOOKUP($C4368, 'Instrument Table'!$B:$C, 2, FALSE)</f>
        <v>Percussion</v>
      </c>
      <c r="E4368" s="1">
        <f t="shared" si="408"/>
        <v>2</v>
      </c>
      <c r="F4368" s="1">
        <f>_xlfn.XLOOKUP($C4368, 'Instrument Table'!$B:$B, 'Instrument Table'!$A:$A, "")</f>
        <v>50</v>
      </c>
      <c r="G4368" s="1" t="str">
        <f>TEXT(IF($B4368 = "Retail Item", IF((ROW($A4368) - 4504 - _xlfn.XMATCH($C4368, $C$4506:$C$5005, 0, 1)) &lt;= VLOOKUP($C4368, 'Instrument Table'!$B:$D, 3, FALSE), ROW($A4368) - 4504 - _xlfn.XMATCH($C4368, $C$4506:$C$5005, 0, 1), 0), 0), "00")</f>
        <v>00</v>
      </c>
      <c r="H4368" s="1" t="str">
        <f t="shared" si="409"/>
        <v>002</v>
      </c>
      <c r="I4368" s="1" t="str">
        <f t="shared" si="410"/>
        <v>25000-002</v>
      </c>
      <c r="J4368" s="1" t="str">
        <f t="shared" si="411"/>
        <v>Snare drum service item #002</v>
      </c>
      <c r="K4368" s="1" t="str">
        <f>IF(SUM(COUNTIFS(I:I, I4368)) &gt; 1, "DUPLICATE", "UNIQUE")</f>
        <v>UNIQUE</v>
      </c>
      <c r="L4368" s="18">
        <v>2</v>
      </c>
      <c r="M4368" s="28">
        <v>650</v>
      </c>
      <c r="N4368" s="6">
        <v>64</v>
      </c>
      <c r="O4368" s="30">
        <f t="shared" si="412"/>
        <v>1300</v>
      </c>
      <c r="P4368" s="30">
        <f t="shared" si="413"/>
        <v>41600</v>
      </c>
      <c r="Q4368" s="1">
        <f>COUNTIFS($P:$P, "&gt;" &amp; $P4368) + 1</f>
        <v>545</v>
      </c>
      <c r="R4368" s="63">
        <f>(COUNTIFS($P:$P, "&gt;" &amp; $P4368) + 1) / (COUNTA($I:$I) - 1)</f>
        <v>0.109</v>
      </c>
      <c r="S4368" s="23">
        <f>SUMIFS($P:$P, $Q:$Q, "&lt;" &amp; $Q4368)</f>
        <v>153771715</v>
      </c>
    </row>
    <row r="4369" spans="1:19" x14ac:dyDescent="0.25">
      <c r="A4369" s="1">
        <v>4364</v>
      </c>
      <c r="B4369" s="1" t="s">
        <v>3</v>
      </c>
      <c r="C4369" s="1" t="str">
        <f>IF($B4369 = "Production Item", _xlfn.XLOOKUP($A4369, 'Instrument Table'!$J:$J, 'Instrument Table'!$B:$B, $C4368), IF($B4369 = "Service Item", _xlfn.XLOOKUP($A4369, 'Instrument Table'!$I:$I, 'Instrument Table'!$B:$B, $C4368), _xlfn.XLOOKUP($A4369, 'Instrument Table'!$H:$H, 'Instrument Table'!$B:$B, $C4368)))</f>
        <v>Snare Drum</v>
      </c>
      <c r="D4369" s="1" t="str">
        <f>VLOOKUP($C4369, 'Instrument Table'!$B:$C, 2, FALSE)</f>
        <v>Percussion</v>
      </c>
      <c r="E4369" s="1">
        <f t="shared" si="408"/>
        <v>2</v>
      </c>
      <c r="F4369" s="1">
        <f>_xlfn.XLOOKUP($C4369, 'Instrument Table'!$B:$B, 'Instrument Table'!$A:$A, "")</f>
        <v>50</v>
      </c>
      <c r="G4369" s="1" t="str">
        <f>TEXT(IF($B4369 = "Retail Item", IF((ROW($A4369) - 4504 - _xlfn.XMATCH($C4369, $C$4506:$C$5005, 0, 1)) &lt;= VLOOKUP($C4369, 'Instrument Table'!$B:$D, 3, FALSE), ROW($A4369) - 4504 - _xlfn.XMATCH($C4369, $C$4506:$C$5005, 0, 1), 0), 0), "00")</f>
        <v>00</v>
      </c>
      <c r="H4369" s="1" t="str">
        <f t="shared" si="409"/>
        <v>003</v>
      </c>
      <c r="I4369" s="1" t="str">
        <f t="shared" si="410"/>
        <v>25000-003</v>
      </c>
      <c r="J4369" s="1" t="str">
        <f t="shared" si="411"/>
        <v>Snare drum service item #003</v>
      </c>
      <c r="K4369" s="1" t="str">
        <f>IF(SUM(COUNTIFS(I:I, I4369)) &gt; 1, "DUPLICATE", "UNIQUE")</f>
        <v>UNIQUE</v>
      </c>
      <c r="L4369" s="18">
        <v>10</v>
      </c>
      <c r="M4369" s="28">
        <v>551</v>
      </c>
      <c r="N4369" s="6">
        <v>125</v>
      </c>
      <c r="O4369" s="30">
        <f t="shared" si="412"/>
        <v>5510</v>
      </c>
      <c r="P4369" s="30">
        <f t="shared" si="413"/>
        <v>68875</v>
      </c>
      <c r="Q4369" s="1">
        <f>COUNTIFS($P:$P, "&gt;" &amp; $P4369) + 1</f>
        <v>472</v>
      </c>
      <c r="R4369" s="63">
        <f>(COUNTIFS($P:$P, "&gt;" &amp; $P4369) + 1) / (COUNTA($I:$I) - 1)</f>
        <v>9.4399999999999998E-2</v>
      </c>
      <c r="S4369" s="23">
        <f>SUMIFS($P:$P, $Q:$Q, "&lt;" &amp; $Q4369)</f>
        <v>149645723</v>
      </c>
    </row>
    <row r="4370" spans="1:19" x14ac:dyDescent="0.25">
      <c r="A4370" s="1">
        <v>4365</v>
      </c>
      <c r="B4370" s="1" t="s">
        <v>3</v>
      </c>
      <c r="C4370" s="1" t="str">
        <f>IF($B4370 = "Production Item", _xlfn.XLOOKUP($A4370, 'Instrument Table'!$J:$J, 'Instrument Table'!$B:$B, $C4369), IF($B4370 = "Service Item", _xlfn.XLOOKUP($A4370, 'Instrument Table'!$I:$I, 'Instrument Table'!$B:$B, $C4369), _xlfn.XLOOKUP($A4370, 'Instrument Table'!$H:$H, 'Instrument Table'!$B:$B, $C4369)))</f>
        <v>Snare Drum</v>
      </c>
      <c r="D4370" s="1" t="str">
        <f>VLOOKUP($C4370, 'Instrument Table'!$B:$C, 2, FALSE)</f>
        <v>Percussion</v>
      </c>
      <c r="E4370" s="1">
        <f t="shared" si="408"/>
        <v>2</v>
      </c>
      <c r="F4370" s="1">
        <f>_xlfn.XLOOKUP($C4370, 'Instrument Table'!$B:$B, 'Instrument Table'!$A:$A, "")</f>
        <v>50</v>
      </c>
      <c r="G4370" s="1" t="str">
        <f>TEXT(IF($B4370 = "Retail Item", IF((ROW($A4370) - 4504 - _xlfn.XMATCH($C4370, $C$4506:$C$5005, 0, 1)) &lt;= VLOOKUP($C4370, 'Instrument Table'!$B:$D, 3, FALSE), ROW($A4370) - 4504 - _xlfn.XMATCH($C4370, $C$4506:$C$5005, 0, 1), 0), 0), "00")</f>
        <v>00</v>
      </c>
      <c r="H4370" s="1" t="str">
        <f t="shared" si="409"/>
        <v>004</v>
      </c>
      <c r="I4370" s="1" t="str">
        <f t="shared" si="410"/>
        <v>25000-004</v>
      </c>
      <c r="J4370" s="1" t="str">
        <f t="shared" si="411"/>
        <v>Snare drum service item #004</v>
      </c>
      <c r="K4370" s="1" t="str">
        <f>IF(SUM(COUNTIFS(I:I, I4370)) &gt; 1, "DUPLICATE", "UNIQUE")</f>
        <v>UNIQUE</v>
      </c>
      <c r="L4370" s="18">
        <v>4</v>
      </c>
      <c r="M4370" s="28">
        <v>943</v>
      </c>
      <c r="N4370" s="6">
        <v>8</v>
      </c>
      <c r="O4370" s="30">
        <f t="shared" si="412"/>
        <v>3772</v>
      </c>
      <c r="P4370" s="30">
        <f t="shared" si="413"/>
        <v>7544</v>
      </c>
      <c r="Q4370" s="1">
        <f>COUNTIFS($P:$P, "&gt;" &amp; $P4370) + 1</f>
        <v>2066</v>
      </c>
      <c r="R4370" s="63">
        <f>(COUNTIFS($P:$P, "&gt;" &amp; $P4370) + 1) / (COUNTA($I:$I) - 1)</f>
        <v>0.41320000000000001</v>
      </c>
      <c r="S4370" s="23">
        <f>SUMIFS($P:$P, $Q:$Q, "&lt;" &amp; $Q4370)</f>
        <v>180506847</v>
      </c>
    </row>
    <row r="4371" spans="1:19" x14ac:dyDescent="0.25">
      <c r="A4371" s="1">
        <v>4366</v>
      </c>
      <c r="B4371" s="1" t="s">
        <v>3</v>
      </c>
      <c r="C4371" s="1" t="str">
        <f>IF($B4371 = "Production Item", _xlfn.XLOOKUP($A4371, 'Instrument Table'!$J:$J, 'Instrument Table'!$B:$B, $C4370), IF($B4371 = "Service Item", _xlfn.XLOOKUP($A4371, 'Instrument Table'!$I:$I, 'Instrument Table'!$B:$B, $C4370), _xlfn.XLOOKUP($A4371, 'Instrument Table'!$H:$H, 'Instrument Table'!$B:$B, $C4370)))</f>
        <v>Snare Drum</v>
      </c>
      <c r="D4371" s="1" t="str">
        <f>VLOOKUP($C4371, 'Instrument Table'!$B:$C, 2, FALSE)</f>
        <v>Percussion</v>
      </c>
      <c r="E4371" s="1">
        <f t="shared" si="408"/>
        <v>2</v>
      </c>
      <c r="F4371" s="1">
        <f>_xlfn.XLOOKUP($C4371, 'Instrument Table'!$B:$B, 'Instrument Table'!$A:$A, "")</f>
        <v>50</v>
      </c>
      <c r="G4371" s="1" t="str">
        <f>TEXT(IF($B4371 = "Retail Item", IF((ROW($A4371) - 4504 - _xlfn.XMATCH($C4371, $C$4506:$C$5005, 0, 1)) &lt;= VLOOKUP($C4371, 'Instrument Table'!$B:$D, 3, FALSE), ROW($A4371) - 4504 - _xlfn.XMATCH($C4371, $C$4506:$C$5005, 0, 1), 0), 0), "00")</f>
        <v>00</v>
      </c>
      <c r="H4371" s="1" t="str">
        <f t="shared" si="409"/>
        <v>005</v>
      </c>
      <c r="I4371" s="1" t="str">
        <f t="shared" si="410"/>
        <v>25000-005</v>
      </c>
      <c r="J4371" s="1" t="str">
        <f t="shared" si="411"/>
        <v>Snare drum service item #005</v>
      </c>
      <c r="K4371" s="1" t="str">
        <f>IF(SUM(COUNTIFS(I:I, I4371)) &gt; 1, "DUPLICATE", "UNIQUE")</f>
        <v>UNIQUE</v>
      </c>
      <c r="L4371" s="18">
        <v>1</v>
      </c>
      <c r="M4371" s="28">
        <v>782</v>
      </c>
      <c r="N4371" s="6">
        <v>0</v>
      </c>
      <c r="O4371" s="30">
        <f t="shared" si="412"/>
        <v>782</v>
      </c>
      <c r="P4371" s="30">
        <f t="shared" si="413"/>
        <v>0</v>
      </c>
      <c r="Q4371" s="1">
        <f>COUNTIFS($P:$P, "&gt;" &amp; $P4371) + 1</f>
        <v>4746</v>
      </c>
      <c r="R4371" s="63">
        <f>(COUNTIFS($P:$P, "&gt;" &amp; $P4371) + 1) / (COUNTA($I:$I) - 1)</f>
        <v>0.94920000000000004</v>
      </c>
      <c r="S4371" s="23">
        <f>SUMIFS($P:$P, $Q:$Q, "&lt;" &amp; $Q4371)</f>
        <v>186547861</v>
      </c>
    </row>
    <row r="4372" spans="1:19" x14ac:dyDescent="0.25">
      <c r="A4372" s="1">
        <v>4367</v>
      </c>
      <c r="B4372" s="1" t="s">
        <v>3</v>
      </c>
      <c r="C4372" s="1" t="str">
        <f>IF($B4372 = "Production Item", _xlfn.XLOOKUP($A4372, 'Instrument Table'!$J:$J, 'Instrument Table'!$B:$B, $C4371), IF($B4372 = "Service Item", _xlfn.XLOOKUP($A4372, 'Instrument Table'!$I:$I, 'Instrument Table'!$B:$B, $C4371), _xlfn.XLOOKUP($A4372, 'Instrument Table'!$H:$H, 'Instrument Table'!$B:$B, $C4371)))</f>
        <v>Snare Drum</v>
      </c>
      <c r="D4372" s="1" t="str">
        <f>VLOOKUP($C4372, 'Instrument Table'!$B:$C, 2, FALSE)</f>
        <v>Percussion</v>
      </c>
      <c r="E4372" s="1">
        <f t="shared" si="408"/>
        <v>2</v>
      </c>
      <c r="F4372" s="1">
        <f>_xlfn.XLOOKUP($C4372, 'Instrument Table'!$B:$B, 'Instrument Table'!$A:$A, "")</f>
        <v>50</v>
      </c>
      <c r="G4372" s="1" t="str">
        <f>TEXT(IF($B4372 = "Retail Item", IF((ROW($A4372) - 4504 - _xlfn.XMATCH($C4372, $C$4506:$C$5005, 0, 1)) &lt;= VLOOKUP($C4372, 'Instrument Table'!$B:$D, 3, FALSE), ROW($A4372) - 4504 - _xlfn.XMATCH($C4372, $C$4506:$C$5005, 0, 1), 0), 0), "00")</f>
        <v>00</v>
      </c>
      <c r="H4372" s="1" t="str">
        <f t="shared" si="409"/>
        <v>006</v>
      </c>
      <c r="I4372" s="1" t="str">
        <f t="shared" si="410"/>
        <v>25000-006</v>
      </c>
      <c r="J4372" s="1" t="str">
        <f t="shared" si="411"/>
        <v>Snare drum service item #006</v>
      </c>
      <c r="K4372" s="1" t="str">
        <f>IF(SUM(COUNTIFS(I:I, I4372)) &gt; 1, "DUPLICATE", "UNIQUE")</f>
        <v>UNIQUE</v>
      </c>
      <c r="L4372" s="18">
        <v>7</v>
      </c>
      <c r="M4372" s="28">
        <v>62</v>
      </c>
      <c r="N4372" s="6">
        <v>64</v>
      </c>
      <c r="O4372" s="30">
        <f t="shared" si="412"/>
        <v>434</v>
      </c>
      <c r="P4372" s="30">
        <f t="shared" si="413"/>
        <v>3968</v>
      </c>
      <c r="Q4372" s="1">
        <f>COUNTIFS($P:$P, "&gt;" &amp; $P4372) + 1</f>
        <v>2663</v>
      </c>
      <c r="R4372" s="63">
        <f>(COUNTIFS($P:$P, "&gt;" &amp; $P4372) + 1) / (COUNTA($I:$I) - 1)</f>
        <v>0.53259999999999996</v>
      </c>
      <c r="S4372" s="23">
        <f>SUMIFS($P:$P, $Q:$Q, "&lt;" &amp; $Q4372)</f>
        <v>183822978</v>
      </c>
    </row>
    <row r="4373" spans="1:19" x14ac:dyDescent="0.25">
      <c r="A4373" s="1">
        <v>4368</v>
      </c>
      <c r="B4373" s="1" t="s">
        <v>3</v>
      </c>
      <c r="C4373" s="1" t="str">
        <f>IF($B4373 = "Production Item", _xlfn.XLOOKUP($A4373, 'Instrument Table'!$J:$J, 'Instrument Table'!$B:$B, $C4372), IF($B4373 = "Service Item", _xlfn.XLOOKUP($A4373, 'Instrument Table'!$I:$I, 'Instrument Table'!$B:$B, $C4372), _xlfn.XLOOKUP($A4373, 'Instrument Table'!$H:$H, 'Instrument Table'!$B:$B, $C4372)))</f>
        <v>Snare Drum</v>
      </c>
      <c r="D4373" s="1" t="str">
        <f>VLOOKUP($C4373, 'Instrument Table'!$B:$C, 2, FALSE)</f>
        <v>Percussion</v>
      </c>
      <c r="E4373" s="1">
        <f t="shared" si="408"/>
        <v>2</v>
      </c>
      <c r="F4373" s="1">
        <f>_xlfn.XLOOKUP($C4373, 'Instrument Table'!$B:$B, 'Instrument Table'!$A:$A, "")</f>
        <v>50</v>
      </c>
      <c r="G4373" s="1" t="str">
        <f>TEXT(IF($B4373 = "Retail Item", IF((ROW($A4373) - 4504 - _xlfn.XMATCH($C4373, $C$4506:$C$5005, 0, 1)) &lt;= VLOOKUP($C4373, 'Instrument Table'!$B:$D, 3, FALSE), ROW($A4373) - 4504 - _xlfn.XMATCH($C4373, $C$4506:$C$5005, 0, 1), 0), 0), "00")</f>
        <v>00</v>
      </c>
      <c r="H4373" s="1" t="str">
        <f t="shared" si="409"/>
        <v>007</v>
      </c>
      <c r="I4373" s="1" t="str">
        <f t="shared" si="410"/>
        <v>25000-007</v>
      </c>
      <c r="J4373" s="1" t="str">
        <f t="shared" si="411"/>
        <v>Snare drum service item #007</v>
      </c>
      <c r="K4373" s="1" t="str">
        <f>IF(SUM(COUNTIFS(I:I, I4373)) &gt; 1, "DUPLICATE", "UNIQUE")</f>
        <v>UNIQUE</v>
      </c>
      <c r="L4373" s="18">
        <v>10</v>
      </c>
      <c r="M4373" s="28">
        <v>290</v>
      </c>
      <c r="N4373" s="6">
        <v>64</v>
      </c>
      <c r="O4373" s="30">
        <f t="shared" si="412"/>
        <v>2900</v>
      </c>
      <c r="P4373" s="30">
        <f t="shared" si="413"/>
        <v>18560</v>
      </c>
      <c r="Q4373" s="1">
        <f>COUNTIFS($P:$P, "&gt;" &amp; $P4373) + 1</f>
        <v>1128</v>
      </c>
      <c r="R4373" s="63">
        <f>(COUNTIFS($P:$P, "&gt;" &amp; $P4373) + 1) / (COUNTA($I:$I) - 1)</f>
        <v>0.22559999999999999</v>
      </c>
      <c r="S4373" s="23">
        <f>SUMIFS($P:$P, $Q:$Q, "&lt;" &amp; $Q4373)</f>
        <v>169031055</v>
      </c>
    </row>
    <row r="4374" spans="1:19" x14ac:dyDescent="0.25">
      <c r="A4374" s="1">
        <v>4369</v>
      </c>
      <c r="B4374" s="1" t="s">
        <v>3</v>
      </c>
      <c r="C4374" s="1" t="str">
        <f>IF($B4374 = "Production Item", _xlfn.XLOOKUP($A4374, 'Instrument Table'!$J:$J, 'Instrument Table'!$B:$B, $C4373), IF($B4374 = "Service Item", _xlfn.XLOOKUP($A4374, 'Instrument Table'!$I:$I, 'Instrument Table'!$B:$B, $C4373), _xlfn.XLOOKUP($A4374, 'Instrument Table'!$H:$H, 'Instrument Table'!$B:$B, $C4373)))</f>
        <v>Snare Drum</v>
      </c>
      <c r="D4374" s="1" t="str">
        <f>VLOOKUP($C4374, 'Instrument Table'!$B:$C, 2, FALSE)</f>
        <v>Percussion</v>
      </c>
      <c r="E4374" s="1">
        <f t="shared" si="408"/>
        <v>2</v>
      </c>
      <c r="F4374" s="1">
        <f>_xlfn.XLOOKUP($C4374, 'Instrument Table'!$B:$B, 'Instrument Table'!$A:$A, "")</f>
        <v>50</v>
      </c>
      <c r="G4374" s="1" t="str">
        <f>TEXT(IF($B4374 = "Retail Item", IF((ROW($A4374) - 4504 - _xlfn.XMATCH($C4374, $C$4506:$C$5005, 0, 1)) &lt;= VLOOKUP($C4374, 'Instrument Table'!$B:$D, 3, FALSE), ROW($A4374) - 4504 - _xlfn.XMATCH($C4374, $C$4506:$C$5005, 0, 1), 0), 0), "00")</f>
        <v>00</v>
      </c>
      <c r="H4374" s="1" t="str">
        <f t="shared" si="409"/>
        <v>008</v>
      </c>
      <c r="I4374" s="1" t="str">
        <f t="shared" si="410"/>
        <v>25000-008</v>
      </c>
      <c r="J4374" s="1" t="str">
        <f t="shared" si="411"/>
        <v>Snare drum service item #008</v>
      </c>
      <c r="K4374" s="1" t="str">
        <f>IF(SUM(COUNTIFS(I:I, I4374)) &gt; 1, "DUPLICATE", "UNIQUE")</f>
        <v>UNIQUE</v>
      </c>
      <c r="L4374" s="18">
        <v>8</v>
      </c>
      <c r="M4374" s="28">
        <v>979</v>
      </c>
      <c r="N4374" s="6">
        <v>64</v>
      </c>
      <c r="O4374" s="30">
        <f t="shared" si="412"/>
        <v>7832</v>
      </c>
      <c r="P4374" s="30">
        <f t="shared" si="413"/>
        <v>62656</v>
      </c>
      <c r="Q4374" s="1">
        <f>COUNTIFS($P:$P, "&gt;" &amp; $P4374) + 1</f>
        <v>492</v>
      </c>
      <c r="R4374" s="63">
        <f>(COUNTIFS($P:$P, "&gt;" &amp; $P4374) + 1) / (COUNTA($I:$I) - 1)</f>
        <v>9.8400000000000001E-2</v>
      </c>
      <c r="S4374" s="23">
        <f>SUMIFS($P:$P, $Q:$Q, "&lt;" &amp; $Q4374)</f>
        <v>150972596</v>
      </c>
    </row>
    <row r="4375" spans="1:19" x14ac:dyDescent="0.25">
      <c r="A4375" s="1">
        <v>4370</v>
      </c>
      <c r="B4375" s="1" t="s">
        <v>3</v>
      </c>
      <c r="C4375" s="1" t="str">
        <f>IF($B4375 = "Production Item", _xlfn.XLOOKUP($A4375, 'Instrument Table'!$J:$J, 'Instrument Table'!$B:$B, $C4374), IF($B4375 = "Service Item", _xlfn.XLOOKUP($A4375, 'Instrument Table'!$I:$I, 'Instrument Table'!$B:$B, $C4374), _xlfn.XLOOKUP($A4375, 'Instrument Table'!$H:$H, 'Instrument Table'!$B:$B, $C4374)))</f>
        <v>Snare Drum</v>
      </c>
      <c r="D4375" s="1" t="str">
        <f>VLOOKUP($C4375, 'Instrument Table'!$B:$C, 2, FALSE)</f>
        <v>Percussion</v>
      </c>
      <c r="E4375" s="1">
        <f t="shared" si="408"/>
        <v>2</v>
      </c>
      <c r="F4375" s="1">
        <f>_xlfn.XLOOKUP($C4375, 'Instrument Table'!$B:$B, 'Instrument Table'!$A:$A, "")</f>
        <v>50</v>
      </c>
      <c r="G4375" s="1" t="str">
        <f>TEXT(IF($B4375 = "Retail Item", IF((ROW($A4375) - 4504 - _xlfn.XMATCH($C4375, $C$4506:$C$5005, 0, 1)) &lt;= VLOOKUP($C4375, 'Instrument Table'!$B:$D, 3, FALSE), ROW($A4375) - 4504 - _xlfn.XMATCH($C4375, $C$4506:$C$5005, 0, 1), 0), 0), "00")</f>
        <v>00</v>
      </c>
      <c r="H4375" s="1" t="str">
        <f t="shared" si="409"/>
        <v>009</v>
      </c>
      <c r="I4375" s="1" t="str">
        <f t="shared" si="410"/>
        <v>25000-009</v>
      </c>
      <c r="J4375" s="1" t="str">
        <f t="shared" si="411"/>
        <v>Snare drum service item #009</v>
      </c>
      <c r="K4375" s="1" t="str">
        <f>IF(SUM(COUNTIFS(I:I, I4375)) &gt; 1, "DUPLICATE", "UNIQUE")</f>
        <v>UNIQUE</v>
      </c>
      <c r="L4375" s="18">
        <v>3</v>
      </c>
      <c r="M4375" s="28">
        <v>585</v>
      </c>
      <c r="N4375" s="6">
        <v>27</v>
      </c>
      <c r="O4375" s="30">
        <f t="shared" si="412"/>
        <v>1755</v>
      </c>
      <c r="P4375" s="30">
        <f t="shared" si="413"/>
        <v>15795</v>
      </c>
      <c r="Q4375" s="1">
        <f>COUNTIFS($P:$P, "&gt;" &amp; $P4375) + 1</f>
        <v>1294</v>
      </c>
      <c r="R4375" s="63">
        <f>(COUNTIFS($P:$P, "&gt;" &amp; $P4375) + 1) / (COUNTA($I:$I) - 1)</f>
        <v>0.25879999999999997</v>
      </c>
      <c r="S4375" s="23">
        <f>SUMIFS($P:$P, $Q:$Q, "&lt;" &amp; $Q4375)</f>
        <v>171879409</v>
      </c>
    </row>
    <row r="4376" spans="1:19" x14ac:dyDescent="0.25">
      <c r="A4376" s="1">
        <v>4371</v>
      </c>
      <c r="B4376" s="1" t="s">
        <v>3</v>
      </c>
      <c r="C4376" s="1" t="str">
        <f>IF($B4376 = "Production Item", _xlfn.XLOOKUP($A4376, 'Instrument Table'!$J:$J, 'Instrument Table'!$B:$B, $C4375), IF($B4376 = "Service Item", _xlfn.XLOOKUP($A4376, 'Instrument Table'!$I:$I, 'Instrument Table'!$B:$B, $C4375), _xlfn.XLOOKUP($A4376, 'Instrument Table'!$H:$H, 'Instrument Table'!$B:$B, $C4375)))</f>
        <v>Snare Drum</v>
      </c>
      <c r="D4376" s="1" t="str">
        <f>VLOOKUP($C4376, 'Instrument Table'!$B:$C, 2, FALSE)</f>
        <v>Percussion</v>
      </c>
      <c r="E4376" s="1">
        <f t="shared" si="408"/>
        <v>2</v>
      </c>
      <c r="F4376" s="1">
        <f>_xlfn.XLOOKUP($C4376, 'Instrument Table'!$B:$B, 'Instrument Table'!$A:$A, "")</f>
        <v>50</v>
      </c>
      <c r="G4376" s="1" t="str">
        <f>TEXT(IF($B4376 = "Retail Item", IF((ROW($A4376) - 4504 - _xlfn.XMATCH($C4376, $C$4506:$C$5005, 0, 1)) &lt;= VLOOKUP($C4376, 'Instrument Table'!$B:$D, 3, FALSE), ROW($A4376) - 4504 - _xlfn.XMATCH($C4376, $C$4506:$C$5005, 0, 1), 0), 0), "00")</f>
        <v>00</v>
      </c>
      <c r="H4376" s="1" t="str">
        <f t="shared" si="409"/>
        <v>010</v>
      </c>
      <c r="I4376" s="1" t="str">
        <f t="shared" si="410"/>
        <v>25000-010</v>
      </c>
      <c r="J4376" s="1" t="str">
        <f t="shared" si="411"/>
        <v>Snare drum service item #010</v>
      </c>
      <c r="K4376" s="1" t="str">
        <f>IF(SUM(COUNTIFS(I:I, I4376)) &gt; 1, "DUPLICATE", "UNIQUE")</f>
        <v>UNIQUE</v>
      </c>
      <c r="L4376" s="18">
        <v>6</v>
      </c>
      <c r="M4376" s="28">
        <v>495</v>
      </c>
      <c r="N4376" s="6">
        <v>1</v>
      </c>
      <c r="O4376" s="30">
        <f t="shared" si="412"/>
        <v>2970</v>
      </c>
      <c r="P4376" s="30">
        <f t="shared" si="413"/>
        <v>495</v>
      </c>
      <c r="Q4376" s="1">
        <f>COUNTIFS($P:$P, "&gt;" &amp; $P4376) + 1</f>
        <v>4032</v>
      </c>
      <c r="R4376" s="63">
        <f>(COUNTIFS($P:$P, "&gt;" &amp; $P4376) + 1) / (COUNTA($I:$I) - 1)</f>
        <v>0.80640000000000001</v>
      </c>
      <c r="S4376" s="23">
        <f>SUMIFS($P:$P, $Q:$Q, "&lt;" &amp; $Q4376)</f>
        <v>186414647</v>
      </c>
    </row>
    <row r="4377" spans="1:19" x14ac:dyDescent="0.25">
      <c r="A4377" s="1">
        <v>4372</v>
      </c>
      <c r="B4377" s="1" t="s">
        <v>3</v>
      </c>
      <c r="C4377" s="1" t="str">
        <f>IF($B4377 = "Production Item", _xlfn.XLOOKUP($A4377, 'Instrument Table'!$J:$J, 'Instrument Table'!$B:$B, $C4376), IF($B4377 = "Service Item", _xlfn.XLOOKUP($A4377, 'Instrument Table'!$I:$I, 'Instrument Table'!$B:$B, $C4376), _xlfn.XLOOKUP($A4377, 'Instrument Table'!$H:$H, 'Instrument Table'!$B:$B, $C4376)))</f>
        <v>Snare Drum</v>
      </c>
      <c r="D4377" s="1" t="str">
        <f>VLOOKUP($C4377, 'Instrument Table'!$B:$C, 2, FALSE)</f>
        <v>Percussion</v>
      </c>
      <c r="E4377" s="1">
        <f t="shared" si="408"/>
        <v>2</v>
      </c>
      <c r="F4377" s="1">
        <f>_xlfn.XLOOKUP($C4377, 'Instrument Table'!$B:$B, 'Instrument Table'!$A:$A, "")</f>
        <v>50</v>
      </c>
      <c r="G4377" s="1" t="str">
        <f>TEXT(IF($B4377 = "Retail Item", IF((ROW($A4377) - 4504 - _xlfn.XMATCH($C4377, $C$4506:$C$5005, 0, 1)) &lt;= VLOOKUP($C4377, 'Instrument Table'!$B:$D, 3, FALSE), ROW($A4377) - 4504 - _xlfn.XMATCH($C4377, $C$4506:$C$5005, 0, 1), 0), 0), "00")</f>
        <v>00</v>
      </c>
      <c r="H4377" s="1" t="str">
        <f t="shared" si="409"/>
        <v>011</v>
      </c>
      <c r="I4377" s="1" t="str">
        <f t="shared" si="410"/>
        <v>25000-011</v>
      </c>
      <c r="J4377" s="1" t="str">
        <f t="shared" si="411"/>
        <v>Snare drum service item #011</v>
      </c>
      <c r="K4377" s="1" t="str">
        <f>IF(SUM(COUNTIFS(I:I, I4377)) &gt; 1, "DUPLICATE", "UNIQUE")</f>
        <v>UNIQUE</v>
      </c>
      <c r="L4377" s="18">
        <v>4</v>
      </c>
      <c r="M4377" s="28">
        <v>725</v>
      </c>
      <c r="N4377" s="6">
        <v>8</v>
      </c>
      <c r="O4377" s="30">
        <f t="shared" si="412"/>
        <v>2900</v>
      </c>
      <c r="P4377" s="30">
        <f t="shared" si="413"/>
        <v>5800</v>
      </c>
      <c r="Q4377" s="1">
        <f>COUNTIFS($P:$P, "&gt;" &amp; $P4377) + 1</f>
        <v>2299</v>
      </c>
      <c r="R4377" s="63">
        <f>(COUNTIFS($P:$P, "&gt;" &amp; $P4377) + 1) / (COUNTA($I:$I) - 1)</f>
        <v>0.45979999999999999</v>
      </c>
      <c r="S4377" s="23">
        <f>SUMIFS($P:$P, $Q:$Q, "&lt;" &amp; $Q4377)</f>
        <v>182058415</v>
      </c>
    </row>
    <row r="4378" spans="1:19" x14ac:dyDescent="0.25">
      <c r="A4378" s="1">
        <v>4373</v>
      </c>
      <c r="B4378" s="1" t="s">
        <v>3</v>
      </c>
      <c r="C4378" s="1" t="str">
        <f>IF($B4378 = "Production Item", _xlfn.XLOOKUP($A4378, 'Instrument Table'!$J:$J, 'Instrument Table'!$B:$B, $C4377), IF($B4378 = "Service Item", _xlfn.XLOOKUP($A4378, 'Instrument Table'!$I:$I, 'Instrument Table'!$B:$B, $C4377), _xlfn.XLOOKUP($A4378, 'Instrument Table'!$H:$H, 'Instrument Table'!$B:$B, $C4377)))</f>
        <v>Snare Drum</v>
      </c>
      <c r="D4378" s="1" t="str">
        <f>VLOOKUP($C4378, 'Instrument Table'!$B:$C, 2, FALSE)</f>
        <v>Percussion</v>
      </c>
      <c r="E4378" s="1">
        <f t="shared" si="408"/>
        <v>2</v>
      </c>
      <c r="F4378" s="1">
        <f>_xlfn.XLOOKUP($C4378, 'Instrument Table'!$B:$B, 'Instrument Table'!$A:$A, "")</f>
        <v>50</v>
      </c>
      <c r="G4378" s="1" t="str">
        <f>TEXT(IF($B4378 = "Retail Item", IF((ROW($A4378) - 4504 - _xlfn.XMATCH($C4378, $C$4506:$C$5005, 0, 1)) &lt;= VLOOKUP($C4378, 'Instrument Table'!$B:$D, 3, FALSE), ROW($A4378) - 4504 - _xlfn.XMATCH($C4378, $C$4506:$C$5005, 0, 1), 0), 0), "00")</f>
        <v>00</v>
      </c>
      <c r="H4378" s="1" t="str">
        <f t="shared" si="409"/>
        <v>012</v>
      </c>
      <c r="I4378" s="1" t="str">
        <f t="shared" si="410"/>
        <v>25000-012</v>
      </c>
      <c r="J4378" s="1" t="str">
        <f t="shared" si="411"/>
        <v>Snare drum service item #012</v>
      </c>
      <c r="K4378" s="1" t="str">
        <f>IF(SUM(COUNTIFS(I:I, I4378)) &gt; 1, "DUPLICATE", "UNIQUE")</f>
        <v>UNIQUE</v>
      </c>
      <c r="L4378" s="18">
        <v>9</v>
      </c>
      <c r="M4378" s="28">
        <v>971</v>
      </c>
      <c r="N4378" s="6">
        <v>27</v>
      </c>
      <c r="O4378" s="30">
        <f t="shared" si="412"/>
        <v>8739</v>
      </c>
      <c r="P4378" s="30">
        <f t="shared" si="413"/>
        <v>26217</v>
      </c>
      <c r="Q4378" s="1">
        <f>COUNTIFS($P:$P, "&gt;" &amp; $P4378) + 1</f>
        <v>783</v>
      </c>
      <c r="R4378" s="63">
        <f>(COUNTIFS($P:$P, "&gt;" &amp; $P4378) + 1) / (COUNTA($I:$I) - 1)</f>
        <v>0.15659999999999999</v>
      </c>
      <c r="S4378" s="23">
        <f>SUMIFS($P:$P, $Q:$Q, "&lt;" &amp; $Q4378)</f>
        <v>161386619</v>
      </c>
    </row>
    <row r="4379" spans="1:19" x14ac:dyDescent="0.25">
      <c r="A4379" s="1">
        <v>4374</v>
      </c>
      <c r="B4379" s="1" t="s">
        <v>3</v>
      </c>
      <c r="C4379" s="1" t="str">
        <f>IF($B4379 = "Production Item", _xlfn.XLOOKUP($A4379, 'Instrument Table'!$J:$J, 'Instrument Table'!$B:$B, $C4378), IF($B4379 = "Service Item", _xlfn.XLOOKUP($A4379, 'Instrument Table'!$I:$I, 'Instrument Table'!$B:$B, $C4378), _xlfn.XLOOKUP($A4379, 'Instrument Table'!$H:$H, 'Instrument Table'!$B:$B, $C4378)))</f>
        <v>Snare Drum</v>
      </c>
      <c r="D4379" s="1" t="str">
        <f>VLOOKUP($C4379, 'Instrument Table'!$B:$C, 2, FALSE)</f>
        <v>Percussion</v>
      </c>
      <c r="E4379" s="1">
        <f t="shared" si="408"/>
        <v>2</v>
      </c>
      <c r="F4379" s="1">
        <f>_xlfn.XLOOKUP($C4379, 'Instrument Table'!$B:$B, 'Instrument Table'!$A:$A, "")</f>
        <v>50</v>
      </c>
      <c r="G4379" s="1" t="str">
        <f>TEXT(IF($B4379 = "Retail Item", IF((ROW($A4379) - 4504 - _xlfn.XMATCH($C4379, $C$4506:$C$5005, 0, 1)) &lt;= VLOOKUP($C4379, 'Instrument Table'!$B:$D, 3, FALSE), ROW($A4379) - 4504 - _xlfn.XMATCH($C4379, $C$4506:$C$5005, 0, 1), 0), 0), "00")</f>
        <v>00</v>
      </c>
      <c r="H4379" s="1" t="str">
        <f t="shared" si="409"/>
        <v>013</v>
      </c>
      <c r="I4379" s="1" t="str">
        <f t="shared" si="410"/>
        <v>25000-013</v>
      </c>
      <c r="J4379" s="1" t="str">
        <f t="shared" si="411"/>
        <v>Snare drum service item #013</v>
      </c>
      <c r="K4379" s="1" t="str">
        <f>IF(SUM(COUNTIFS(I:I, I4379)) &gt; 1, "DUPLICATE", "UNIQUE")</f>
        <v>UNIQUE</v>
      </c>
      <c r="L4379" s="18">
        <v>1</v>
      </c>
      <c r="M4379" s="28">
        <v>817</v>
      </c>
      <c r="N4379" s="6">
        <v>27</v>
      </c>
      <c r="O4379" s="30">
        <f t="shared" si="412"/>
        <v>817</v>
      </c>
      <c r="P4379" s="30">
        <f t="shared" si="413"/>
        <v>22059</v>
      </c>
      <c r="Q4379" s="1">
        <f>COUNTIFS($P:$P, "&gt;" &amp; $P4379) + 1</f>
        <v>946</v>
      </c>
      <c r="R4379" s="63">
        <f>(COUNTIFS($P:$P, "&gt;" &amp; $P4379) + 1) / (COUNTA($I:$I) - 1)</f>
        <v>0.18920000000000001</v>
      </c>
      <c r="S4379" s="23">
        <f>SUMIFS($P:$P, $Q:$Q, "&lt;" &amp; $Q4379)</f>
        <v>165321223</v>
      </c>
    </row>
    <row r="4380" spans="1:19" x14ac:dyDescent="0.25">
      <c r="A4380" s="1">
        <v>4375</v>
      </c>
      <c r="B4380" s="1" t="s">
        <v>3</v>
      </c>
      <c r="C4380" s="1" t="str">
        <f>IF($B4380 = "Production Item", _xlfn.XLOOKUP($A4380, 'Instrument Table'!$J:$J, 'Instrument Table'!$B:$B, $C4379), IF($B4380 = "Service Item", _xlfn.XLOOKUP($A4380, 'Instrument Table'!$I:$I, 'Instrument Table'!$B:$B, $C4379), _xlfn.XLOOKUP($A4380, 'Instrument Table'!$H:$H, 'Instrument Table'!$B:$B, $C4379)))</f>
        <v>Snare Drum</v>
      </c>
      <c r="D4380" s="1" t="str">
        <f>VLOOKUP($C4380, 'Instrument Table'!$B:$C, 2, FALSE)</f>
        <v>Percussion</v>
      </c>
      <c r="E4380" s="1">
        <f t="shared" si="408"/>
        <v>2</v>
      </c>
      <c r="F4380" s="1">
        <f>_xlfn.XLOOKUP($C4380, 'Instrument Table'!$B:$B, 'Instrument Table'!$A:$A, "")</f>
        <v>50</v>
      </c>
      <c r="G4380" s="1" t="str">
        <f>TEXT(IF($B4380 = "Retail Item", IF((ROW($A4380) - 4504 - _xlfn.XMATCH($C4380, $C$4506:$C$5005, 0, 1)) &lt;= VLOOKUP($C4380, 'Instrument Table'!$B:$D, 3, FALSE), ROW($A4380) - 4504 - _xlfn.XMATCH($C4380, $C$4506:$C$5005, 0, 1), 0), 0), "00")</f>
        <v>00</v>
      </c>
      <c r="H4380" s="1" t="str">
        <f t="shared" si="409"/>
        <v>014</v>
      </c>
      <c r="I4380" s="1" t="str">
        <f t="shared" si="410"/>
        <v>25000-014</v>
      </c>
      <c r="J4380" s="1" t="str">
        <f t="shared" si="411"/>
        <v>Snare drum service item #014</v>
      </c>
      <c r="K4380" s="1" t="str">
        <f>IF(SUM(COUNTIFS(I:I, I4380)) &gt; 1, "DUPLICATE", "UNIQUE")</f>
        <v>UNIQUE</v>
      </c>
      <c r="L4380" s="18">
        <v>1</v>
      </c>
      <c r="M4380" s="28">
        <v>957</v>
      </c>
      <c r="N4380" s="6">
        <v>8</v>
      </c>
      <c r="O4380" s="30">
        <f t="shared" si="412"/>
        <v>957</v>
      </c>
      <c r="P4380" s="30">
        <f t="shared" si="413"/>
        <v>7656</v>
      </c>
      <c r="Q4380" s="1">
        <f>COUNTIFS($P:$P, "&gt;" &amp; $P4380) + 1</f>
        <v>2045</v>
      </c>
      <c r="R4380" s="63">
        <f>(COUNTIFS($P:$P, "&gt;" &amp; $P4380) + 1) / (COUNTA($I:$I) - 1)</f>
        <v>0.40899999999999997</v>
      </c>
      <c r="S4380" s="23">
        <f>SUMIFS($P:$P, $Q:$Q, "&lt;" &amp; $Q4380)</f>
        <v>180346794</v>
      </c>
    </row>
    <row r="4381" spans="1:19" x14ac:dyDescent="0.25">
      <c r="A4381" s="1">
        <v>4376</v>
      </c>
      <c r="B4381" s="1" t="s">
        <v>3</v>
      </c>
      <c r="C4381" s="1" t="str">
        <f>IF($B4381 = "Production Item", _xlfn.XLOOKUP($A4381, 'Instrument Table'!$J:$J, 'Instrument Table'!$B:$B, $C4380), IF($B4381 = "Service Item", _xlfn.XLOOKUP($A4381, 'Instrument Table'!$I:$I, 'Instrument Table'!$B:$B, $C4380), _xlfn.XLOOKUP($A4381, 'Instrument Table'!$H:$H, 'Instrument Table'!$B:$B, $C4380)))</f>
        <v>Snare Drum</v>
      </c>
      <c r="D4381" s="1" t="str">
        <f>VLOOKUP($C4381, 'Instrument Table'!$B:$C, 2, FALSE)</f>
        <v>Percussion</v>
      </c>
      <c r="E4381" s="1">
        <f t="shared" si="408"/>
        <v>2</v>
      </c>
      <c r="F4381" s="1">
        <f>_xlfn.XLOOKUP($C4381, 'Instrument Table'!$B:$B, 'Instrument Table'!$A:$A, "")</f>
        <v>50</v>
      </c>
      <c r="G4381" s="1" t="str">
        <f>TEXT(IF($B4381 = "Retail Item", IF((ROW($A4381) - 4504 - _xlfn.XMATCH($C4381, $C$4506:$C$5005, 0, 1)) &lt;= VLOOKUP($C4381, 'Instrument Table'!$B:$D, 3, FALSE), ROW($A4381) - 4504 - _xlfn.XMATCH($C4381, $C$4506:$C$5005, 0, 1), 0), 0), "00")</f>
        <v>00</v>
      </c>
      <c r="H4381" s="1" t="str">
        <f t="shared" si="409"/>
        <v>015</v>
      </c>
      <c r="I4381" s="1" t="str">
        <f t="shared" si="410"/>
        <v>25000-015</v>
      </c>
      <c r="J4381" s="1" t="str">
        <f t="shared" si="411"/>
        <v>Snare drum service item #015</v>
      </c>
      <c r="K4381" s="1" t="str">
        <f>IF(SUM(COUNTIFS(I:I, I4381)) &gt; 1, "DUPLICATE", "UNIQUE")</f>
        <v>UNIQUE</v>
      </c>
      <c r="L4381" s="18">
        <v>9</v>
      </c>
      <c r="M4381" s="28">
        <v>449</v>
      </c>
      <c r="N4381" s="6">
        <v>64</v>
      </c>
      <c r="O4381" s="30">
        <f t="shared" si="412"/>
        <v>4041</v>
      </c>
      <c r="P4381" s="30">
        <f t="shared" si="413"/>
        <v>28736</v>
      </c>
      <c r="Q4381" s="1">
        <f>COUNTIFS($P:$P, "&gt;" &amp; $P4381) + 1</f>
        <v>719</v>
      </c>
      <c r="R4381" s="63">
        <f>(COUNTIFS($P:$P, "&gt;" &amp; $P4381) + 1) / (COUNTA($I:$I) - 1)</f>
        <v>0.14380000000000001</v>
      </c>
      <c r="S4381" s="23">
        <f>SUMIFS($P:$P, $Q:$Q, "&lt;" &amp; $Q4381)</f>
        <v>159642631</v>
      </c>
    </row>
    <row r="4382" spans="1:19" x14ac:dyDescent="0.25">
      <c r="A4382" s="1">
        <v>4377</v>
      </c>
      <c r="B4382" s="1" t="s">
        <v>3</v>
      </c>
      <c r="C4382" s="1" t="str">
        <f>IF($B4382 = "Production Item", _xlfn.XLOOKUP($A4382, 'Instrument Table'!$J:$J, 'Instrument Table'!$B:$B, $C4381), IF($B4382 = "Service Item", _xlfn.XLOOKUP($A4382, 'Instrument Table'!$I:$I, 'Instrument Table'!$B:$B, $C4381), _xlfn.XLOOKUP($A4382, 'Instrument Table'!$H:$H, 'Instrument Table'!$B:$B, $C4381)))</f>
        <v>Snare Drum</v>
      </c>
      <c r="D4382" s="1" t="str">
        <f>VLOOKUP($C4382, 'Instrument Table'!$B:$C, 2, FALSE)</f>
        <v>Percussion</v>
      </c>
      <c r="E4382" s="1">
        <f t="shared" si="408"/>
        <v>2</v>
      </c>
      <c r="F4382" s="1">
        <f>_xlfn.XLOOKUP($C4382, 'Instrument Table'!$B:$B, 'Instrument Table'!$A:$A, "")</f>
        <v>50</v>
      </c>
      <c r="G4382" s="1" t="str">
        <f>TEXT(IF($B4382 = "Retail Item", IF((ROW($A4382) - 4504 - _xlfn.XMATCH($C4382, $C$4506:$C$5005, 0, 1)) &lt;= VLOOKUP($C4382, 'Instrument Table'!$B:$D, 3, FALSE), ROW($A4382) - 4504 - _xlfn.XMATCH($C4382, $C$4506:$C$5005, 0, 1), 0), 0), "00")</f>
        <v>00</v>
      </c>
      <c r="H4382" s="1" t="str">
        <f t="shared" si="409"/>
        <v>016</v>
      </c>
      <c r="I4382" s="1" t="str">
        <f t="shared" si="410"/>
        <v>25000-016</v>
      </c>
      <c r="J4382" s="1" t="str">
        <f t="shared" si="411"/>
        <v>Snare drum service item #016</v>
      </c>
      <c r="K4382" s="1" t="str">
        <f>IF(SUM(COUNTIFS(I:I, I4382)) &gt; 1, "DUPLICATE", "UNIQUE")</f>
        <v>UNIQUE</v>
      </c>
      <c r="L4382" s="18">
        <v>9</v>
      </c>
      <c r="M4382" s="28">
        <v>591</v>
      </c>
      <c r="N4382" s="6">
        <v>0</v>
      </c>
      <c r="O4382" s="30">
        <f t="shared" si="412"/>
        <v>5319</v>
      </c>
      <c r="P4382" s="30">
        <f t="shared" si="413"/>
        <v>0</v>
      </c>
      <c r="Q4382" s="1">
        <f>COUNTIFS($P:$P, "&gt;" &amp; $P4382) + 1</f>
        <v>4746</v>
      </c>
      <c r="R4382" s="63">
        <f>(COUNTIFS($P:$P, "&gt;" &amp; $P4382) + 1) / (COUNTA($I:$I) - 1)</f>
        <v>0.94920000000000004</v>
      </c>
      <c r="S4382" s="23">
        <f>SUMIFS($P:$P, $Q:$Q, "&lt;" &amp; $Q4382)</f>
        <v>186547861</v>
      </c>
    </row>
    <row r="4383" spans="1:19" x14ac:dyDescent="0.25">
      <c r="A4383" s="1">
        <v>4378</v>
      </c>
      <c r="B4383" s="1" t="s">
        <v>3</v>
      </c>
      <c r="C4383" s="1" t="str">
        <f>IF($B4383 = "Production Item", _xlfn.XLOOKUP($A4383, 'Instrument Table'!$J:$J, 'Instrument Table'!$B:$B, $C4382), IF($B4383 = "Service Item", _xlfn.XLOOKUP($A4383, 'Instrument Table'!$I:$I, 'Instrument Table'!$B:$B, $C4382), _xlfn.XLOOKUP($A4383, 'Instrument Table'!$H:$H, 'Instrument Table'!$B:$B, $C4382)))</f>
        <v>Snare Drum</v>
      </c>
      <c r="D4383" s="1" t="str">
        <f>VLOOKUP($C4383, 'Instrument Table'!$B:$C, 2, FALSE)</f>
        <v>Percussion</v>
      </c>
      <c r="E4383" s="1">
        <f t="shared" si="408"/>
        <v>2</v>
      </c>
      <c r="F4383" s="1">
        <f>_xlfn.XLOOKUP($C4383, 'Instrument Table'!$B:$B, 'Instrument Table'!$A:$A, "")</f>
        <v>50</v>
      </c>
      <c r="G4383" s="1" t="str">
        <f>TEXT(IF($B4383 = "Retail Item", IF((ROW($A4383) - 4504 - _xlfn.XMATCH($C4383, $C$4506:$C$5005, 0, 1)) &lt;= VLOOKUP($C4383, 'Instrument Table'!$B:$D, 3, FALSE), ROW($A4383) - 4504 - _xlfn.XMATCH($C4383, $C$4506:$C$5005, 0, 1), 0), 0), "00")</f>
        <v>00</v>
      </c>
      <c r="H4383" s="1" t="str">
        <f t="shared" si="409"/>
        <v>017</v>
      </c>
      <c r="I4383" s="1" t="str">
        <f t="shared" si="410"/>
        <v>25000-017</v>
      </c>
      <c r="J4383" s="1" t="str">
        <f t="shared" si="411"/>
        <v>Snare drum service item #017</v>
      </c>
      <c r="K4383" s="1" t="str">
        <f>IF(SUM(COUNTIFS(I:I, I4383)) &gt; 1, "DUPLICATE", "UNIQUE")</f>
        <v>UNIQUE</v>
      </c>
      <c r="L4383" s="18">
        <v>5</v>
      </c>
      <c r="M4383" s="28">
        <v>67</v>
      </c>
      <c r="N4383" s="6">
        <v>125</v>
      </c>
      <c r="O4383" s="30">
        <f t="shared" si="412"/>
        <v>335</v>
      </c>
      <c r="P4383" s="30">
        <f t="shared" si="413"/>
        <v>8375</v>
      </c>
      <c r="Q4383" s="1">
        <f>COUNTIFS($P:$P, "&gt;" &amp; $P4383) + 1</f>
        <v>1946</v>
      </c>
      <c r="R4383" s="63">
        <f>(COUNTIFS($P:$P, "&gt;" &amp; $P4383) + 1) / (COUNTA($I:$I) - 1)</f>
        <v>0.38919999999999999</v>
      </c>
      <c r="S4383" s="23">
        <f>SUMIFS($P:$P, $Q:$Q, "&lt;" &amp; $Q4383)</f>
        <v>179557889</v>
      </c>
    </row>
    <row r="4384" spans="1:19" x14ac:dyDescent="0.25">
      <c r="A4384" s="1">
        <v>4379</v>
      </c>
      <c r="B4384" s="1" t="s">
        <v>3</v>
      </c>
      <c r="C4384" s="1" t="str">
        <f>IF($B4384 = "Production Item", _xlfn.XLOOKUP($A4384, 'Instrument Table'!$J:$J, 'Instrument Table'!$B:$B, $C4383), IF($B4384 = "Service Item", _xlfn.XLOOKUP($A4384, 'Instrument Table'!$I:$I, 'Instrument Table'!$B:$B, $C4383), _xlfn.XLOOKUP($A4384, 'Instrument Table'!$H:$H, 'Instrument Table'!$B:$B, $C4383)))</f>
        <v>Snare Drum</v>
      </c>
      <c r="D4384" s="1" t="str">
        <f>VLOOKUP($C4384, 'Instrument Table'!$B:$C, 2, FALSE)</f>
        <v>Percussion</v>
      </c>
      <c r="E4384" s="1">
        <f t="shared" si="408"/>
        <v>2</v>
      </c>
      <c r="F4384" s="1">
        <f>_xlfn.XLOOKUP($C4384, 'Instrument Table'!$B:$B, 'Instrument Table'!$A:$A, "")</f>
        <v>50</v>
      </c>
      <c r="G4384" s="1" t="str">
        <f>TEXT(IF($B4384 = "Retail Item", IF((ROW($A4384) - 4504 - _xlfn.XMATCH($C4384, $C$4506:$C$5005, 0, 1)) &lt;= VLOOKUP($C4384, 'Instrument Table'!$B:$D, 3, FALSE), ROW($A4384) - 4504 - _xlfn.XMATCH($C4384, $C$4506:$C$5005, 0, 1), 0), 0), "00")</f>
        <v>00</v>
      </c>
      <c r="H4384" s="1" t="str">
        <f t="shared" si="409"/>
        <v>018</v>
      </c>
      <c r="I4384" s="1" t="str">
        <f t="shared" si="410"/>
        <v>25000-018</v>
      </c>
      <c r="J4384" s="1" t="str">
        <f t="shared" si="411"/>
        <v>Snare drum service item #018</v>
      </c>
      <c r="K4384" s="1" t="str">
        <f>IF(SUM(COUNTIFS(I:I, I4384)) &gt; 1, "DUPLICATE", "UNIQUE")</f>
        <v>UNIQUE</v>
      </c>
      <c r="L4384" s="18">
        <v>9</v>
      </c>
      <c r="M4384" s="28">
        <v>669</v>
      </c>
      <c r="N4384" s="6">
        <v>0</v>
      </c>
      <c r="O4384" s="30">
        <f t="shared" si="412"/>
        <v>6021</v>
      </c>
      <c r="P4384" s="30">
        <f t="shared" si="413"/>
        <v>0</v>
      </c>
      <c r="Q4384" s="1">
        <f>COUNTIFS($P:$P, "&gt;" &amp; $P4384) + 1</f>
        <v>4746</v>
      </c>
      <c r="R4384" s="63">
        <f>(COUNTIFS($P:$P, "&gt;" &amp; $P4384) + 1) / (COUNTA($I:$I) - 1)</f>
        <v>0.94920000000000004</v>
      </c>
      <c r="S4384" s="23">
        <f>SUMIFS($P:$P, $Q:$Q, "&lt;" &amp; $Q4384)</f>
        <v>186547861</v>
      </c>
    </row>
    <row r="4385" spans="1:19" x14ac:dyDescent="0.25">
      <c r="A4385" s="1">
        <v>4380</v>
      </c>
      <c r="B4385" s="1" t="s">
        <v>3</v>
      </c>
      <c r="C4385" s="1" t="str">
        <f>IF($B4385 = "Production Item", _xlfn.XLOOKUP($A4385, 'Instrument Table'!$J:$J, 'Instrument Table'!$B:$B, $C4384), IF($B4385 = "Service Item", _xlfn.XLOOKUP($A4385, 'Instrument Table'!$I:$I, 'Instrument Table'!$B:$B, $C4384), _xlfn.XLOOKUP($A4385, 'Instrument Table'!$H:$H, 'Instrument Table'!$B:$B, $C4384)))</f>
        <v>Snare Drum</v>
      </c>
      <c r="D4385" s="1" t="str">
        <f>VLOOKUP($C4385, 'Instrument Table'!$B:$C, 2, FALSE)</f>
        <v>Percussion</v>
      </c>
      <c r="E4385" s="1">
        <f t="shared" si="408"/>
        <v>2</v>
      </c>
      <c r="F4385" s="1">
        <f>_xlfn.XLOOKUP($C4385, 'Instrument Table'!$B:$B, 'Instrument Table'!$A:$A, "")</f>
        <v>50</v>
      </c>
      <c r="G4385" s="1" t="str">
        <f>TEXT(IF($B4385 = "Retail Item", IF((ROW($A4385) - 4504 - _xlfn.XMATCH($C4385, $C$4506:$C$5005, 0, 1)) &lt;= VLOOKUP($C4385, 'Instrument Table'!$B:$D, 3, FALSE), ROW($A4385) - 4504 - _xlfn.XMATCH($C4385, $C$4506:$C$5005, 0, 1), 0), 0), "00")</f>
        <v>00</v>
      </c>
      <c r="H4385" s="1" t="str">
        <f t="shared" si="409"/>
        <v>019</v>
      </c>
      <c r="I4385" s="1" t="str">
        <f t="shared" si="410"/>
        <v>25000-019</v>
      </c>
      <c r="J4385" s="1" t="str">
        <f t="shared" si="411"/>
        <v>Snare drum service item #019</v>
      </c>
      <c r="K4385" s="1" t="str">
        <f>IF(SUM(COUNTIFS(I:I, I4385)) &gt; 1, "DUPLICATE", "UNIQUE")</f>
        <v>UNIQUE</v>
      </c>
      <c r="L4385" s="18">
        <v>7</v>
      </c>
      <c r="M4385" s="28">
        <v>945</v>
      </c>
      <c r="N4385" s="6">
        <v>1</v>
      </c>
      <c r="O4385" s="30">
        <f t="shared" si="412"/>
        <v>6615</v>
      </c>
      <c r="P4385" s="30">
        <f t="shared" si="413"/>
        <v>945</v>
      </c>
      <c r="Q4385" s="1">
        <f>COUNTIFS($P:$P, "&gt;" &amp; $P4385) + 1</f>
        <v>3706</v>
      </c>
      <c r="R4385" s="63">
        <f>(COUNTIFS($P:$P, "&gt;" &amp; $P4385) + 1) / (COUNTA($I:$I) - 1)</f>
        <v>0.74119999999999997</v>
      </c>
      <c r="S4385" s="23">
        <f>SUMIFS($P:$P, $Q:$Q, "&lt;" &amp; $Q4385)</f>
        <v>186184568</v>
      </c>
    </row>
    <row r="4386" spans="1:19" x14ac:dyDescent="0.25">
      <c r="A4386" s="1">
        <v>4381</v>
      </c>
      <c r="B4386" s="1" t="s">
        <v>3</v>
      </c>
      <c r="C4386" s="1" t="str">
        <f>IF($B4386 = "Production Item", _xlfn.XLOOKUP($A4386, 'Instrument Table'!$J:$J, 'Instrument Table'!$B:$B, $C4385), IF($B4386 = "Service Item", _xlfn.XLOOKUP($A4386, 'Instrument Table'!$I:$I, 'Instrument Table'!$B:$B, $C4385), _xlfn.XLOOKUP($A4386, 'Instrument Table'!$H:$H, 'Instrument Table'!$B:$B, $C4385)))</f>
        <v>Timpani</v>
      </c>
      <c r="D4386" s="1" t="str">
        <f>VLOOKUP($C4386, 'Instrument Table'!$B:$C, 2, FALSE)</f>
        <v>Percussion</v>
      </c>
      <c r="E4386" s="1">
        <f t="shared" si="408"/>
        <v>2</v>
      </c>
      <c r="F4386" s="1">
        <f>_xlfn.XLOOKUP($C4386, 'Instrument Table'!$B:$B, 'Instrument Table'!$A:$A, "")</f>
        <v>51</v>
      </c>
      <c r="G4386" s="1" t="str">
        <f>TEXT(IF($B4386 = "Retail Item", IF((ROW($A4386) - 4504 - _xlfn.XMATCH($C4386, $C$4506:$C$5005, 0, 1)) &lt;= VLOOKUP($C4386, 'Instrument Table'!$B:$D, 3, FALSE), ROW($A4386) - 4504 - _xlfn.XMATCH($C4386, $C$4506:$C$5005, 0, 1), 0), 0), "00")</f>
        <v>00</v>
      </c>
      <c r="H4386" s="1" t="str">
        <f t="shared" si="409"/>
        <v>000</v>
      </c>
      <c r="I4386" s="1" t="str">
        <f t="shared" si="410"/>
        <v>25100-000</v>
      </c>
      <c r="J4386" s="1" t="str">
        <f t="shared" si="411"/>
        <v>Timpani service item #000</v>
      </c>
      <c r="K4386" s="1" t="str">
        <f>IF(SUM(COUNTIFS(I:I, I4386)) &gt; 1, "DUPLICATE", "UNIQUE")</f>
        <v>UNIQUE</v>
      </c>
      <c r="L4386" s="18">
        <v>7</v>
      </c>
      <c r="M4386" s="28">
        <v>898</v>
      </c>
      <c r="N4386" s="6">
        <v>1</v>
      </c>
      <c r="O4386" s="30">
        <f t="shared" si="412"/>
        <v>6286</v>
      </c>
      <c r="P4386" s="30">
        <f t="shared" si="413"/>
        <v>898</v>
      </c>
      <c r="Q4386" s="1">
        <f>COUNTIFS($P:$P, "&gt;" &amp; $P4386) + 1</f>
        <v>3727</v>
      </c>
      <c r="R4386" s="63">
        <f>(COUNTIFS($P:$P, "&gt;" &amp; $P4386) + 1) / (COUNTA($I:$I) - 1)</f>
        <v>0.74539999999999995</v>
      </c>
      <c r="S4386" s="23">
        <f>SUMIFS($P:$P, $Q:$Q, "&lt;" &amp; $Q4386)</f>
        <v>186203889</v>
      </c>
    </row>
    <row r="4387" spans="1:19" x14ac:dyDescent="0.25">
      <c r="A4387" s="1">
        <v>4382</v>
      </c>
      <c r="B4387" s="1" t="s">
        <v>3</v>
      </c>
      <c r="C4387" s="1" t="str">
        <f>IF($B4387 = "Production Item", _xlfn.XLOOKUP($A4387, 'Instrument Table'!$J:$J, 'Instrument Table'!$B:$B, $C4386), IF($B4387 = "Service Item", _xlfn.XLOOKUP($A4387, 'Instrument Table'!$I:$I, 'Instrument Table'!$B:$B, $C4386), _xlfn.XLOOKUP($A4387, 'Instrument Table'!$H:$H, 'Instrument Table'!$B:$B, $C4386)))</f>
        <v>Timpani</v>
      </c>
      <c r="D4387" s="1" t="str">
        <f>VLOOKUP($C4387, 'Instrument Table'!$B:$C, 2, FALSE)</f>
        <v>Percussion</v>
      </c>
      <c r="E4387" s="1">
        <f t="shared" si="408"/>
        <v>2</v>
      </c>
      <c r="F4387" s="1">
        <f>_xlfn.XLOOKUP($C4387, 'Instrument Table'!$B:$B, 'Instrument Table'!$A:$A, "")</f>
        <v>51</v>
      </c>
      <c r="G4387" s="1" t="str">
        <f>TEXT(IF($B4387 = "Retail Item", IF((ROW($A4387) - 4504 - _xlfn.XMATCH($C4387, $C$4506:$C$5005, 0, 1)) &lt;= VLOOKUP($C4387, 'Instrument Table'!$B:$D, 3, FALSE), ROW($A4387) - 4504 - _xlfn.XMATCH($C4387, $C$4506:$C$5005, 0, 1), 0), 0), "00")</f>
        <v>00</v>
      </c>
      <c r="H4387" s="1" t="str">
        <f t="shared" si="409"/>
        <v>001</v>
      </c>
      <c r="I4387" s="1" t="str">
        <f t="shared" si="410"/>
        <v>25100-001</v>
      </c>
      <c r="J4387" s="1" t="str">
        <f t="shared" si="411"/>
        <v>Timpani service item #001</v>
      </c>
      <c r="K4387" s="1" t="str">
        <f>IF(SUM(COUNTIFS(I:I, I4387)) &gt; 1, "DUPLICATE", "UNIQUE")</f>
        <v>UNIQUE</v>
      </c>
      <c r="L4387" s="18">
        <v>8</v>
      </c>
      <c r="M4387" s="28">
        <v>801</v>
      </c>
      <c r="N4387" s="6">
        <v>27</v>
      </c>
      <c r="O4387" s="30">
        <f t="shared" si="412"/>
        <v>6408</v>
      </c>
      <c r="P4387" s="30">
        <f t="shared" si="413"/>
        <v>21627</v>
      </c>
      <c r="Q4387" s="1">
        <f>COUNTIFS($P:$P, "&gt;" &amp; $P4387) + 1</f>
        <v>976</v>
      </c>
      <c r="R4387" s="63">
        <f>(COUNTIFS($P:$P, "&gt;" &amp; $P4387) + 1) / (COUNTA($I:$I) - 1)</f>
        <v>0.19520000000000001</v>
      </c>
      <c r="S4387" s="23">
        <f>SUMIFS($P:$P, $Q:$Q, "&lt;" &amp; $Q4387)</f>
        <v>165977855</v>
      </c>
    </row>
    <row r="4388" spans="1:19" x14ac:dyDescent="0.25">
      <c r="A4388" s="1">
        <v>4383</v>
      </c>
      <c r="B4388" s="1" t="s">
        <v>3</v>
      </c>
      <c r="C4388" s="1" t="str">
        <f>IF($B4388 = "Production Item", _xlfn.XLOOKUP($A4388, 'Instrument Table'!$J:$J, 'Instrument Table'!$B:$B, $C4387), IF($B4388 = "Service Item", _xlfn.XLOOKUP($A4388, 'Instrument Table'!$I:$I, 'Instrument Table'!$B:$B, $C4387), _xlfn.XLOOKUP($A4388, 'Instrument Table'!$H:$H, 'Instrument Table'!$B:$B, $C4387)))</f>
        <v>Timpani</v>
      </c>
      <c r="D4388" s="1" t="str">
        <f>VLOOKUP($C4388, 'Instrument Table'!$B:$C, 2, FALSE)</f>
        <v>Percussion</v>
      </c>
      <c r="E4388" s="1">
        <f t="shared" si="408"/>
        <v>2</v>
      </c>
      <c r="F4388" s="1">
        <f>_xlfn.XLOOKUP($C4388, 'Instrument Table'!$B:$B, 'Instrument Table'!$A:$A, "")</f>
        <v>51</v>
      </c>
      <c r="G4388" s="1" t="str">
        <f>TEXT(IF($B4388 = "Retail Item", IF((ROW($A4388) - 4504 - _xlfn.XMATCH($C4388, $C$4506:$C$5005, 0, 1)) &lt;= VLOOKUP($C4388, 'Instrument Table'!$B:$D, 3, FALSE), ROW($A4388) - 4504 - _xlfn.XMATCH($C4388, $C$4506:$C$5005, 0, 1), 0), 0), "00")</f>
        <v>00</v>
      </c>
      <c r="H4388" s="1" t="str">
        <f t="shared" si="409"/>
        <v>002</v>
      </c>
      <c r="I4388" s="1" t="str">
        <f t="shared" si="410"/>
        <v>25100-002</v>
      </c>
      <c r="J4388" s="1" t="str">
        <f t="shared" si="411"/>
        <v>Timpani service item #002</v>
      </c>
      <c r="K4388" s="1" t="str">
        <f>IF(SUM(COUNTIFS(I:I, I4388)) &gt; 1, "DUPLICATE", "UNIQUE")</f>
        <v>UNIQUE</v>
      </c>
      <c r="L4388" s="18">
        <v>3</v>
      </c>
      <c r="M4388" s="28">
        <v>12</v>
      </c>
      <c r="N4388" s="6">
        <v>0</v>
      </c>
      <c r="O4388" s="30">
        <f t="shared" si="412"/>
        <v>36</v>
      </c>
      <c r="P4388" s="30">
        <f t="shared" si="413"/>
        <v>0</v>
      </c>
      <c r="Q4388" s="1">
        <f>COUNTIFS($P:$P, "&gt;" &amp; $P4388) + 1</f>
        <v>4746</v>
      </c>
      <c r="R4388" s="63">
        <f>(COUNTIFS($P:$P, "&gt;" &amp; $P4388) + 1) / (COUNTA($I:$I) - 1)</f>
        <v>0.94920000000000004</v>
      </c>
      <c r="S4388" s="23">
        <f>SUMIFS($P:$P, $Q:$Q, "&lt;" &amp; $Q4388)</f>
        <v>186547861</v>
      </c>
    </row>
    <row r="4389" spans="1:19" x14ac:dyDescent="0.25">
      <c r="A4389" s="1">
        <v>4384</v>
      </c>
      <c r="B4389" s="1" t="s">
        <v>3</v>
      </c>
      <c r="C4389" s="1" t="str">
        <f>IF($B4389 = "Production Item", _xlfn.XLOOKUP($A4389, 'Instrument Table'!$J:$J, 'Instrument Table'!$B:$B, $C4388), IF($B4389 = "Service Item", _xlfn.XLOOKUP($A4389, 'Instrument Table'!$I:$I, 'Instrument Table'!$B:$B, $C4388), _xlfn.XLOOKUP($A4389, 'Instrument Table'!$H:$H, 'Instrument Table'!$B:$B, $C4388)))</f>
        <v>Timpani</v>
      </c>
      <c r="D4389" s="1" t="str">
        <f>VLOOKUP($C4389, 'Instrument Table'!$B:$C, 2, FALSE)</f>
        <v>Percussion</v>
      </c>
      <c r="E4389" s="1">
        <f t="shared" si="408"/>
        <v>2</v>
      </c>
      <c r="F4389" s="1">
        <f>_xlfn.XLOOKUP($C4389, 'Instrument Table'!$B:$B, 'Instrument Table'!$A:$A, "")</f>
        <v>51</v>
      </c>
      <c r="G4389" s="1" t="str">
        <f>TEXT(IF($B4389 = "Retail Item", IF((ROW($A4389) - 4504 - _xlfn.XMATCH($C4389, $C$4506:$C$5005, 0, 1)) &lt;= VLOOKUP($C4389, 'Instrument Table'!$B:$D, 3, FALSE), ROW($A4389) - 4504 - _xlfn.XMATCH($C4389, $C$4506:$C$5005, 0, 1), 0), 0), "00")</f>
        <v>00</v>
      </c>
      <c r="H4389" s="1" t="str">
        <f t="shared" si="409"/>
        <v>003</v>
      </c>
      <c r="I4389" s="1" t="str">
        <f t="shared" si="410"/>
        <v>25100-003</v>
      </c>
      <c r="J4389" s="1" t="str">
        <f t="shared" si="411"/>
        <v>Timpani service item #003</v>
      </c>
      <c r="K4389" s="1" t="str">
        <f>IF(SUM(COUNTIFS(I:I, I4389)) &gt; 1, "DUPLICATE", "UNIQUE")</f>
        <v>UNIQUE</v>
      </c>
      <c r="L4389" s="18">
        <v>10</v>
      </c>
      <c r="M4389" s="28">
        <v>414</v>
      </c>
      <c r="N4389" s="6">
        <v>8</v>
      </c>
      <c r="O4389" s="30">
        <f t="shared" si="412"/>
        <v>4140</v>
      </c>
      <c r="P4389" s="30">
        <f t="shared" si="413"/>
        <v>3312</v>
      </c>
      <c r="Q4389" s="1">
        <f>COUNTIFS($P:$P, "&gt;" &amp; $P4389) + 1</f>
        <v>2826</v>
      </c>
      <c r="R4389" s="63">
        <f>(COUNTIFS($P:$P, "&gt;" &amp; $P4389) + 1) / (COUNTA($I:$I) - 1)</f>
        <v>0.56520000000000004</v>
      </c>
      <c r="S4389" s="23">
        <f>SUMIFS($P:$P, $Q:$Q, "&lt;" &amp; $Q4389)</f>
        <v>184413337</v>
      </c>
    </row>
    <row r="4390" spans="1:19" x14ac:dyDescent="0.25">
      <c r="A4390" s="1">
        <v>4385</v>
      </c>
      <c r="B4390" s="1" t="s">
        <v>3</v>
      </c>
      <c r="C4390" s="1" t="str">
        <f>IF($B4390 = "Production Item", _xlfn.XLOOKUP($A4390, 'Instrument Table'!$J:$J, 'Instrument Table'!$B:$B, $C4389), IF($B4390 = "Service Item", _xlfn.XLOOKUP($A4390, 'Instrument Table'!$I:$I, 'Instrument Table'!$B:$B, $C4389), _xlfn.XLOOKUP($A4390, 'Instrument Table'!$H:$H, 'Instrument Table'!$B:$B, $C4389)))</f>
        <v>Timpani</v>
      </c>
      <c r="D4390" s="1" t="str">
        <f>VLOOKUP($C4390, 'Instrument Table'!$B:$C, 2, FALSE)</f>
        <v>Percussion</v>
      </c>
      <c r="E4390" s="1">
        <f t="shared" si="408"/>
        <v>2</v>
      </c>
      <c r="F4390" s="1">
        <f>_xlfn.XLOOKUP($C4390, 'Instrument Table'!$B:$B, 'Instrument Table'!$A:$A, "")</f>
        <v>51</v>
      </c>
      <c r="G4390" s="1" t="str">
        <f>TEXT(IF($B4390 = "Retail Item", IF((ROW($A4390) - 4504 - _xlfn.XMATCH($C4390, $C$4506:$C$5005, 0, 1)) &lt;= VLOOKUP($C4390, 'Instrument Table'!$B:$D, 3, FALSE), ROW($A4390) - 4504 - _xlfn.XMATCH($C4390, $C$4506:$C$5005, 0, 1), 0), 0), "00")</f>
        <v>00</v>
      </c>
      <c r="H4390" s="1" t="str">
        <f t="shared" si="409"/>
        <v>004</v>
      </c>
      <c r="I4390" s="1" t="str">
        <f t="shared" si="410"/>
        <v>25100-004</v>
      </c>
      <c r="J4390" s="1" t="str">
        <f t="shared" si="411"/>
        <v>Timpani service item #004</v>
      </c>
      <c r="K4390" s="1" t="str">
        <f>IF(SUM(COUNTIFS(I:I, I4390)) &gt; 1, "DUPLICATE", "UNIQUE")</f>
        <v>UNIQUE</v>
      </c>
      <c r="L4390" s="18">
        <v>0</v>
      </c>
      <c r="M4390" s="28">
        <v>867</v>
      </c>
      <c r="N4390" s="6">
        <v>8</v>
      </c>
      <c r="O4390" s="30">
        <f t="shared" si="412"/>
        <v>0</v>
      </c>
      <c r="P4390" s="30">
        <f t="shared" si="413"/>
        <v>6936</v>
      </c>
      <c r="Q4390" s="1">
        <f>COUNTIFS($P:$P, "&gt;" &amp; $P4390) + 1</f>
        <v>2143</v>
      </c>
      <c r="R4390" s="63">
        <f>(COUNTIFS($P:$P, "&gt;" &amp; $P4390) + 1) / (COUNTA($I:$I) - 1)</f>
        <v>0.42859999999999998</v>
      </c>
      <c r="S4390" s="23">
        <f>SUMIFS($P:$P, $Q:$Q, "&lt;" &amp; $Q4390)</f>
        <v>181065244</v>
      </c>
    </row>
    <row r="4391" spans="1:19" x14ac:dyDescent="0.25">
      <c r="A4391" s="1">
        <v>4386</v>
      </c>
      <c r="B4391" s="1" t="s">
        <v>3</v>
      </c>
      <c r="C4391" s="1" t="str">
        <f>IF($B4391 = "Production Item", _xlfn.XLOOKUP($A4391, 'Instrument Table'!$J:$J, 'Instrument Table'!$B:$B, $C4390), IF($B4391 = "Service Item", _xlfn.XLOOKUP($A4391, 'Instrument Table'!$I:$I, 'Instrument Table'!$B:$B, $C4390), _xlfn.XLOOKUP($A4391, 'Instrument Table'!$H:$H, 'Instrument Table'!$B:$B, $C4390)))</f>
        <v>Timpani</v>
      </c>
      <c r="D4391" s="1" t="str">
        <f>VLOOKUP($C4391, 'Instrument Table'!$B:$C, 2, FALSE)</f>
        <v>Percussion</v>
      </c>
      <c r="E4391" s="1">
        <f t="shared" si="408"/>
        <v>2</v>
      </c>
      <c r="F4391" s="1">
        <f>_xlfn.XLOOKUP($C4391, 'Instrument Table'!$B:$B, 'Instrument Table'!$A:$A, "")</f>
        <v>51</v>
      </c>
      <c r="G4391" s="1" t="str">
        <f>TEXT(IF($B4391 = "Retail Item", IF((ROW($A4391) - 4504 - _xlfn.XMATCH($C4391, $C$4506:$C$5005, 0, 1)) &lt;= VLOOKUP($C4391, 'Instrument Table'!$B:$D, 3, FALSE), ROW($A4391) - 4504 - _xlfn.XMATCH($C4391, $C$4506:$C$5005, 0, 1), 0), 0), "00")</f>
        <v>00</v>
      </c>
      <c r="H4391" s="1" t="str">
        <f t="shared" si="409"/>
        <v>005</v>
      </c>
      <c r="I4391" s="1" t="str">
        <f t="shared" si="410"/>
        <v>25100-005</v>
      </c>
      <c r="J4391" s="1" t="str">
        <f t="shared" si="411"/>
        <v>Timpani service item #005</v>
      </c>
      <c r="K4391" s="1" t="str">
        <f>IF(SUM(COUNTIFS(I:I, I4391)) &gt; 1, "DUPLICATE", "UNIQUE")</f>
        <v>UNIQUE</v>
      </c>
      <c r="L4391" s="18">
        <v>2</v>
      </c>
      <c r="M4391" s="28">
        <v>184</v>
      </c>
      <c r="N4391" s="6">
        <v>0</v>
      </c>
      <c r="O4391" s="30">
        <f t="shared" si="412"/>
        <v>368</v>
      </c>
      <c r="P4391" s="30">
        <f t="shared" si="413"/>
        <v>0</v>
      </c>
      <c r="Q4391" s="1">
        <f>COUNTIFS($P:$P, "&gt;" &amp; $P4391) + 1</f>
        <v>4746</v>
      </c>
      <c r="R4391" s="63">
        <f>(COUNTIFS($P:$P, "&gt;" &amp; $P4391) + 1) / (COUNTA($I:$I) - 1)</f>
        <v>0.94920000000000004</v>
      </c>
      <c r="S4391" s="23">
        <f>SUMIFS($P:$P, $Q:$Q, "&lt;" &amp; $Q4391)</f>
        <v>186547861</v>
      </c>
    </row>
    <row r="4392" spans="1:19" x14ac:dyDescent="0.25">
      <c r="A4392" s="1">
        <v>4387</v>
      </c>
      <c r="B4392" s="1" t="s">
        <v>3</v>
      </c>
      <c r="C4392" s="1" t="str">
        <f>IF($B4392 = "Production Item", _xlfn.XLOOKUP($A4392, 'Instrument Table'!$J:$J, 'Instrument Table'!$B:$B, $C4391), IF($B4392 = "Service Item", _xlfn.XLOOKUP($A4392, 'Instrument Table'!$I:$I, 'Instrument Table'!$B:$B, $C4391), _xlfn.XLOOKUP($A4392, 'Instrument Table'!$H:$H, 'Instrument Table'!$B:$B, $C4391)))</f>
        <v>Timpani</v>
      </c>
      <c r="D4392" s="1" t="str">
        <f>VLOOKUP($C4392, 'Instrument Table'!$B:$C, 2, FALSE)</f>
        <v>Percussion</v>
      </c>
      <c r="E4392" s="1">
        <f t="shared" si="408"/>
        <v>2</v>
      </c>
      <c r="F4392" s="1">
        <f>_xlfn.XLOOKUP($C4392, 'Instrument Table'!$B:$B, 'Instrument Table'!$A:$A, "")</f>
        <v>51</v>
      </c>
      <c r="G4392" s="1" t="str">
        <f>TEXT(IF($B4392 = "Retail Item", IF((ROW($A4392) - 4504 - _xlfn.XMATCH($C4392, $C$4506:$C$5005, 0, 1)) &lt;= VLOOKUP($C4392, 'Instrument Table'!$B:$D, 3, FALSE), ROW($A4392) - 4504 - _xlfn.XMATCH($C4392, $C$4506:$C$5005, 0, 1), 0), 0), "00")</f>
        <v>00</v>
      </c>
      <c r="H4392" s="1" t="str">
        <f t="shared" si="409"/>
        <v>006</v>
      </c>
      <c r="I4392" s="1" t="str">
        <f t="shared" si="410"/>
        <v>25100-006</v>
      </c>
      <c r="J4392" s="1" t="str">
        <f t="shared" si="411"/>
        <v>Timpani service item #006</v>
      </c>
      <c r="K4392" s="1" t="str">
        <f>IF(SUM(COUNTIFS(I:I, I4392)) &gt; 1, "DUPLICATE", "UNIQUE")</f>
        <v>UNIQUE</v>
      </c>
      <c r="L4392" s="18">
        <v>1</v>
      </c>
      <c r="M4392" s="28">
        <v>750</v>
      </c>
      <c r="N4392" s="6">
        <v>0</v>
      </c>
      <c r="O4392" s="30">
        <f t="shared" si="412"/>
        <v>750</v>
      </c>
      <c r="P4392" s="30">
        <f t="shared" si="413"/>
        <v>0</v>
      </c>
      <c r="Q4392" s="1">
        <f>COUNTIFS($P:$P, "&gt;" &amp; $P4392) + 1</f>
        <v>4746</v>
      </c>
      <c r="R4392" s="63">
        <f>(COUNTIFS($P:$P, "&gt;" &amp; $P4392) + 1) / (COUNTA($I:$I) - 1)</f>
        <v>0.94920000000000004</v>
      </c>
      <c r="S4392" s="23">
        <f>SUMIFS($P:$P, $Q:$Q, "&lt;" &amp; $Q4392)</f>
        <v>186547861</v>
      </c>
    </row>
    <row r="4393" spans="1:19" x14ac:dyDescent="0.25">
      <c r="A4393" s="1">
        <v>4388</v>
      </c>
      <c r="B4393" s="1" t="s">
        <v>3</v>
      </c>
      <c r="C4393" s="1" t="str">
        <f>IF($B4393 = "Production Item", _xlfn.XLOOKUP($A4393, 'Instrument Table'!$J:$J, 'Instrument Table'!$B:$B, $C4392), IF($B4393 = "Service Item", _xlfn.XLOOKUP($A4393, 'Instrument Table'!$I:$I, 'Instrument Table'!$B:$B, $C4392), _xlfn.XLOOKUP($A4393, 'Instrument Table'!$H:$H, 'Instrument Table'!$B:$B, $C4392)))</f>
        <v>Timpani</v>
      </c>
      <c r="D4393" s="1" t="str">
        <f>VLOOKUP($C4393, 'Instrument Table'!$B:$C, 2, FALSE)</f>
        <v>Percussion</v>
      </c>
      <c r="E4393" s="1">
        <f t="shared" si="408"/>
        <v>2</v>
      </c>
      <c r="F4393" s="1">
        <f>_xlfn.XLOOKUP($C4393, 'Instrument Table'!$B:$B, 'Instrument Table'!$A:$A, "")</f>
        <v>51</v>
      </c>
      <c r="G4393" s="1" t="str">
        <f>TEXT(IF($B4393 = "Retail Item", IF((ROW($A4393) - 4504 - _xlfn.XMATCH($C4393, $C$4506:$C$5005, 0, 1)) &lt;= VLOOKUP($C4393, 'Instrument Table'!$B:$D, 3, FALSE), ROW($A4393) - 4504 - _xlfn.XMATCH($C4393, $C$4506:$C$5005, 0, 1), 0), 0), "00")</f>
        <v>00</v>
      </c>
      <c r="H4393" s="1" t="str">
        <f t="shared" si="409"/>
        <v>007</v>
      </c>
      <c r="I4393" s="1" t="str">
        <f t="shared" si="410"/>
        <v>25100-007</v>
      </c>
      <c r="J4393" s="1" t="str">
        <f t="shared" si="411"/>
        <v>Timpani service item #007</v>
      </c>
      <c r="K4393" s="1" t="str">
        <f>IF(SUM(COUNTIFS(I:I, I4393)) &gt; 1, "DUPLICATE", "UNIQUE")</f>
        <v>UNIQUE</v>
      </c>
      <c r="L4393" s="18">
        <v>2</v>
      </c>
      <c r="M4393" s="28">
        <v>411</v>
      </c>
      <c r="N4393" s="6">
        <v>64</v>
      </c>
      <c r="O4393" s="30">
        <f t="shared" si="412"/>
        <v>822</v>
      </c>
      <c r="P4393" s="30">
        <f t="shared" si="413"/>
        <v>26304</v>
      </c>
      <c r="Q4393" s="1">
        <f>COUNTIFS($P:$P, "&gt;" &amp; $P4393) + 1</f>
        <v>779</v>
      </c>
      <c r="R4393" s="63">
        <f>(COUNTIFS($P:$P, "&gt;" &amp; $P4393) + 1) / (COUNTA($I:$I) - 1)</f>
        <v>0.15579999999999999</v>
      </c>
      <c r="S4393" s="23">
        <f>SUMIFS($P:$P, $Q:$Q, "&lt;" &amp; $Q4393)</f>
        <v>161281419</v>
      </c>
    </row>
    <row r="4394" spans="1:19" x14ac:dyDescent="0.25">
      <c r="A4394" s="1">
        <v>4389</v>
      </c>
      <c r="B4394" s="1" t="s">
        <v>3</v>
      </c>
      <c r="C4394" s="1" t="str">
        <f>IF($B4394 = "Production Item", _xlfn.XLOOKUP($A4394, 'Instrument Table'!$J:$J, 'Instrument Table'!$B:$B, $C4393), IF($B4394 = "Service Item", _xlfn.XLOOKUP($A4394, 'Instrument Table'!$I:$I, 'Instrument Table'!$B:$B, $C4393), _xlfn.XLOOKUP($A4394, 'Instrument Table'!$H:$H, 'Instrument Table'!$B:$B, $C4393)))</f>
        <v>Timpani</v>
      </c>
      <c r="D4394" s="1" t="str">
        <f>VLOOKUP($C4394, 'Instrument Table'!$B:$C, 2, FALSE)</f>
        <v>Percussion</v>
      </c>
      <c r="E4394" s="1">
        <f t="shared" si="408"/>
        <v>2</v>
      </c>
      <c r="F4394" s="1">
        <f>_xlfn.XLOOKUP($C4394, 'Instrument Table'!$B:$B, 'Instrument Table'!$A:$A, "")</f>
        <v>51</v>
      </c>
      <c r="G4394" s="1" t="str">
        <f>TEXT(IF($B4394 = "Retail Item", IF((ROW($A4394) - 4504 - _xlfn.XMATCH($C4394, $C$4506:$C$5005, 0, 1)) &lt;= VLOOKUP($C4394, 'Instrument Table'!$B:$D, 3, FALSE), ROW($A4394) - 4504 - _xlfn.XMATCH($C4394, $C$4506:$C$5005, 0, 1), 0), 0), "00")</f>
        <v>00</v>
      </c>
      <c r="H4394" s="1" t="str">
        <f t="shared" si="409"/>
        <v>008</v>
      </c>
      <c r="I4394" s="1" t="str">
        <f t="shared" si="410"/>
        <v>25100-008</v>
      </c>
      <c r="J4394" s="1" t="str">
        <f t="shared" si="411"/>
        <v>Timpani service item #008</v>
      </c>
      <c r="K4394" s="1" t="str">
        <f>IF(SUM(COUNTIFS(I:I, I4394)) &gt; 1, "DUPLICATE", "UNIQUE")</f>
        <v>UNIQUE</v>
      </c>
      <c r="L4394" s="18">
        <v>3</v>
      </c>
      <c r="M4394" s="28">
        <v>53</v>
      </c>
      <c r="N4394" s="6">
        <v>64</v>
      </c>
      <c r="O4394" s="30">
        <f t="shared" si="412"/>
        <v>159</v>
      </c>
      <c r="P4394" s="30">
        <f t="shared" si="413"/>
        <v>3392</v>
      </c>
      <c r="Q4394" s="1">
        <f>COUNTIFS($P:$P, "&gt;" &amp; $P4394) + 1</f>
        <v>2804</v>
      </c>
      <c r="R4394" s="63">
        <f>(COUNTIFS($P:$P, "&gt;" &amp; $P4394) + 1) / (COUNTA($I:$I) - 1)</f>
        <v>0.56079999999999997</v>
      </c>
      <c r="S4394" s="23">
        <f>SUMIFS($P:$P, $Q:$Q, "&lt;" &amp; $Q4394)</f>
        <v>184339515</v>
      </c>
    </row>
    <row r="4395" spans="1:19" x14ac:dyDescent="0.25">
      <c r="A4395" s="1">
        <v>4390</v>
      </c>
      <c r="B4395" s="1" t="s">
        <v>3</v>
      </c>
      <c r="C4395" s="1" t="str">
        <f>IF($B4395 = "Production Item", _xlfn.XLOOKUP($A4395, 'Instrument Table'!$J:$J, 'Instrument Table'!$B:$B, $C4394), IF($B4395 = "Service Item", _xlfn.XLOOKUP($A4395, 'Instrument Table'!$I:$I, 'Instrument Table'!$B:$B, $C4394), _xlfn.XLOOKUP($A4395, 'Instrument Table'!$H:$H, 'Instrument Table'!$B:$B, $C4394)))</f>
        <v>Timpani</v>
      </c>
      <c r="D4395" s="1" t="str">
        <f>VLOOKUP($C4395, 'Instrument Table'!$B:$C, 2, FALSE)</f>
        <v>Percussion</v>
      </c>
      <c r="E4395" s="1">
        <f t="shared" si="408"/>
        <v>2</v>
      </c>
      <c r="F4395" s="1">
        <f>_xlfn.XLOOKUP($C4395, 'Instrument Table'!$B:$B, 'Instrument Table'!$A:$A, "")</f>
        <v>51</v>
      </c>
      <c r="G4395" s="1" t="str">
        <f>TEXT(IF($B4395 = "Retail Item", IF((ROW($A4395) - 4504 - _xlfn.XMATCH($C4395, $C$4506:$C$5005, 0, 1)) &lt;= VLOOKUP($C4395, 'Instrument Table'!$B:$D, 3, FALSE), ROW($A4395) - 4504 - _xlfn.XMATCH($C4395, $C$4506:$C$5005, 0, 1), 0), 0), "00")</f>
        <v>00</v>
      </c>
      <c r="H4395" s="1" t="str">
        <f t="shared" si="409"/>
        <v>009</v>
      </c>
      <c r="I4395" s="1" t="str">
        <f t="shared" si="410"/>
        <v>25100-009</v>
      </c>
      <c r="J4395" s="1" t="str">
        <f t="shared" si="411"/>
        <v>Timpani service item #009</v>
      </c>
      <c r="K4395" s="1" t="str">
        <f>IF(SUM(COUNTIFS(I:I, I4395)) &gt; 1, "DUPLICATE", "UNIQUE")</f>
        <v>UNIQUE</v>
      </c>
      <c r="L4395" s="18">
        <v>6</v>
      </c>
      <c r="M4395" s="28">
        <v>950</v>
      </c>
      <c r="N4395" s="6">
        <v>27</v>
      </c>
      <c r="O4395" s="30">
        <f t="shared" si="412"/>
        <v>5700</v>
      </c>
      <c r="P4395" s="30">
        <f t="shared" si="413"/>
        <v>25650</v>
      </c>
      <c r="Q4395" s="1">
        <f>COUNTIFS($P:$P, "&gt;" &amp; $P4395) + 1</f>
        <v>804</v>
      </c>
      <c r="R4395" s="63">
        <f>(COUNTIFS($P:$P, "&gt;" &amp; $P4395) + 1) / (COUNTA($I:$I) - 1)</f>
        <v>0.1608</v>
      </c>
      <c r="S4395" s="23">
        <f>SUMIFS($P:$P, $Q:$Q, "&lt;" &amp; $Q4395)</f>
        <v>161930629</v>
      </c>
    </row>
    <row r="4396" spans="1:19" x14ac:dyDescent="0.25">
      <c r="A4396" s="1">
        <v>4391</v>
      </c>
      <c r="B4396" s="1" t="s">
        <v>3</v>
      </c>
      <c r="C4396" s="1" t="str">
        <f>IF($B4396 = "Production Item", _xlfn.XLOOKUP($A4396, 'Instrument Table'!$J:$J, 'Instrument Table'!$B:$B, $C4395), IF($B4396 = "Service Item", _xlfn.XLOOKUP($A4396, 'Instrument Table'!$I:$I, 'Instrument Table'!$B:$B, $C4395), _xlfn.XLOOKUP($A4396, 'Instrument Table'!$H:$H, 'Instrument Table'!$B:$B, $C4395)))</f>
        <v>Bass Drum</v>
      </c>
      <c r="D4396" s="1" t="str">
        <f>VLOOKUP($C4396, 'Instrument Table'!$B:$C, 2, FALSE)</f>
        <v>Percussion</v>
      </c>
      <c r="E4396" s="1">
        <f t="shared" si="408"/>
        <v>2</v>
      </c>
      <c r="F4396" s="1">
        <f>_xlfn.XLOOKUP($C4396, 'Instrument Table'!$B:$B, 'Instrument Table'!$A:$A, "")</f>
        <v>52</v>
      </c>
      <c r="G4396" s="1" t="str">
        <f>TEXT(IF($B4396 = "Retail Item", IF((ROW($A4396) - 4504 - _xlfn.XMATCH($C4396, $C$4506:$C$5005, 0, 1)) &lt;= VLOOKUP($C4396, 'Instrument Table'!$B:$D, 3, FALSE), ROW($A4396) - 4504 - _xlfn.XMATCH($C4396, $C$4506:$C$5005, 0, 1), 0), 0), "00")</f>
        <v>00</v>
      </c>
      <c r="H4396" s="1" t="str">
        <f t="shared" si="409"/>
        <v>000</v>
      </c>
      <c r="I4396" s="1" t="str">
        <f t="shared" si="410"/>
        <v>25200-000</v>
      </c>
      <c r="J4396" s="1" t="str">
        <f t="shared" si="411"/>
        <v>Bass drum service item #000</v>
      </c>
      <c r="K4396" s="1" t="str">
        <f>IF(SUM(COUNTIFS(I:I, I4396)) &gt; 1, "DUPLICATE", "UNIQUE")</f>
        <v>UNIQUE</v>
      </c>
      <c r="L4396" s="18">
        <v>4</v>
      </c>
      <c r="M4396" s="28">
        <v>940</v>
      </c>
      <c r="N4396" s="6">
        <v>8</v>
      </c>
      <c r="O4396" s="30">
        <f t="shared" si="412"/>
        <v>3760</v>
      </c>
      <c r="P4396" s="30">
        <f t="shared" si="413"/>
        <v>7520</v>
      </c>
      <c r="Q4396" s="1">
        <f>COUNTIFS($P:$P, "&gt;" &amp; $P4396) + 1</f>
        <v>2067</v>
      </c>
      <c r="R4396" s="63">
        <f>(COUNTIFS($P:$P, "&gt;" &amp; $P4396) + 1) / (COUNTA($I:$I) - 1)</f>
        <v>0.41339999999999999</v>
      </c>
      <c r="S4396" s="23">
        <f>SUMIFS($P:$P, $Q:$Q, "&lt;" &amp; $Q4396)</f>
        <v>180514391</v>
      </c>
    </row>
    <row r="4397" spans="1:19" x14ac:dyDescent="0.25">
      <c r="A4397" s="1">
        <v>4392</v>
      </c>
      <c r="B4397" s="1" t="s">
        <v>3</v>
      </c>
      <c r="C4397" s="1" t="str">
        <f>IF($B4397 = "Production Item", _xlfn.XLOOKUP($A4397, 'Instrument Table'!$J:$J, 'Instrument Table'!$B:$B, $C4396), IF($B4397 = "Service Item", _xlfn.XLOOKUP($A4397, 'Instrument Table'!$I:$I, 'Instrument Table'!$B:$B, $C4396), _xlfn.XLOOKUP($A4397, 'Instrument Table'!$H:$H, 'Instrument Table'!$B:$B, $C4396)))</f>
        <v>Bass Drum</v>
      </c>
      <c r="D4397" s="1" t="str">
        <f>VLOOKUP($C4397, 'Instrument Table'!$B:$C, 2, FALSE)</f>
        <v>Percussion</v>
      </c>
      <c r="E4397" s="1">
        <f t="shared" si="408"/>
        <v>2</v>
      </c>
      <c r="F4397" s="1">
        <f>_xlfn.XLOOKUP($C4397, 'Instrument Table'!$B:$B, 'Instrument Table'!$A:$A, "")</f>
        <v>52</v>
      </c>
      <c r="G4397" s="1" t="str">
        <f>TEXT(IF($B4397 = "Retail Item", IF((ROW($A4397) - 4504 - _xlfn.XMATCH($C4397, $C$4506:$C$5005, 0, 1)) &lt;= VLOOKUP($C4397, 'Instrument Table'!$B:$D, 3, FALSE), ROW($A4397) - 4504 - _xlfn.XMATCH($C4397, $C$4506:$C$5005, 0, 1), 0), 0), "00")</f>
        <v>00</v>
      </c>
      <c r="H4397" s="1" t="str">
        <f t="shared" si="409"/>
        <v>001</v>
      </c>
      <c r="I4397" s="1" t="str">
        <f t="shared" si="410"/>
        <v>25200-001</v>
      </c>
      <c r="J4397" s="1" t="str">
        <f t="shared" si="411"/>
        <v>Bass drum service item #001</v>
      </c>
      <c r="K4397" s="1" t="str">
        <f>IF(SUM(COUNTIFS(I:I, I4397)) &gt; 1, "DUPLICATE", "UNIQUE")</f>
        <v>UNIQUE</v>
      </c>
      <c r="L4397" s="18">
        <v>9</v>
      </c>
      <c r="M4397" s="28">
        <v>536</v>
      </c>
      <c r="N4397" s="6">
        <v>0</v>
      </c>
      <c r="O4397" s="30">
        <f t="shared" si="412"/>
        <v>4824</v>
      </c>
      <c r="P4397" s="30">
        <f t="shared" si="413"/>
        <v>0</v>
      </c>
      <c r="Q4397" s="1">
        <f>COUNTIFS($P:$P, "&gt;" &amp; $P4397) + 1</f>
        <v>4746</v>
      </c>
      <c r="R4397" s="63">
        <f>(COUNTIFS($P:$P, "&gt;" &amp; $P4397) + 1) / (COUNTA($I:$I) - 1)</f>
        <v>0.94920000000000004</v>
      </c>
      <c r="S4397" s="23">
        <f>SUMIFS($P:$P, $Q:$Q, "&lt;" &amp; $Q4397)</f>
        <v>186547861</v>
      </c>
    </row>
    <row r="4398" spans="1:19" x14ac:dyDescent="0.25">
      <c r="A4398" s="1">
        <v>4393</v>
      </c>
      <c r="B4398" s="1" t="s">
        <v>3</v>
      </c>
      <c r="C4398" s="1" t="str">
        <f>IF($B4398 = "Production Item", _xlfn.XLOOKUP($A4398, 'Instrument Table'!$J:$J, 'Instrument Table'!$B:$B, $C4397), IF($B4398 = "Service Item", _xlfn.XLOOKUP($A4398, 'Instrument Table'!$I:$I, 'Instrument Table'!$B:$B, $C4397), _xlfn.XLOOKUP($A4398, 'Instrument Table'!$H:$H, 'Instrument Table'!$B:$B, $C4397)))</f>
        <v>Bass Drum</v>
      </c>
      <c r="D4398" s="1" t="str">
        <f>VLOOKUP($C4398, 'Instrument Table'!$B:$C, 2, FALSE)</f>
        <v>Percussion</v>
      </c>
      <c r="E4398" s="1">
        <f t="shared" si="408"/>
        <v>2</v>
      </c>
      <c r="F4398" s="1">
        <f>_xlfn.XLOOKUP($C4398, 'Instrument Table'!$B:$B, 'Instrument Table'!$A:$A, "")</f>
        <v>52</v>
      </c>
      <c r="G4398" s="1" t="str">
        <f>TEXT(IF($B4398 = "Retail Item", IF((ROW($A4398) - 4504 - _xlfn.XMATCH($C4398, $C$4506:$C$5005, 0, 1)) &lt;= VLOOKUP($C4398, 'Instrument Table'!$B:$D, 3, FALSE), ROW($A4398) - 4504 - _xlfn.XMATCH($C4398, $C$4506:$C$5005, 0, 1), 0), 0), "00")</f>
        <v>00</v>
      </c>
      <c r="H4398" s="1" t="str">
        <f t="shared" si="409"/>
        <v>002</v>
      </c>
      <c r="I4398" s="1" t="str">
        <f t="shared" si="410"/>
        <v>25200-002</v>
      </c>
      <c r="J4398" s="1" t="str">
        <f t="shared" si="411"/>
        <v>Bass drum service item #002</v>
      </c>
      <c r="K4398" s="1" t="str">
        <f>IF(SUM(COUNTIFS(I:I, I4398)) &gt; 1, "DUPLICATE", "UNIQUE")</f>
        <v>UNIQUE</v>
      </c>
      <c r="L4398" s="18">
        <v>7</v>
      </c>
      <c r="M4398" s="28">
        <v>446</v>
      </c>
      <c r="N4398" s="6">
        <v>0</v>
      </c>
      <c r="O4398" s="30">
        <f t="shared" si="412"/>
        <v>3122</v>
      </c>
      <c r="P4398" s="30">
        <f t="shared" si="413"/>
        <v>0</v>
      </c>
      <c r="Q4398" s="1">
        <f>COUNTIFS($P:$P, "&gt;" &amp; $P4398) + 1</f>
        <v>4746</v>
      </c>
      <c r="R4398" s="63">
        <f>(COUNTIFS($P:$P, "&gt;" &amp; $P4398) + 1) / (COUNTA($I:$I) - 1)</f>
        <v>0.94920000000000004</v>
      </c>
      <c r="S4398" s="23">
        <f>SUMIFS($P:$P, $Q:$Q, "&lt;" &amp; $Q4398)</f>
        <v>186547861</v>
      </c>
    </row>
    <row r="4399" spans="1:19" x14ac:dyDescent="0.25">
      <c r="A4399" s="1">
        <v>4394</v>
      </c>
      <c r="B4399" s="1" t="s">
        <v>3</v>
      </c>
      <c r="C4399" s="1" t="str">
        <f>IF($B4399 = "Production Item", _xlfn.XLOOKUP($A4399, 'Instrument Table'!$J:$J, 'Instrument Table'!$B:$B, $C4398), IF($B4399 = "Service Item", _xlfn.XLOOKUP($A4399, 'Instrument Table'!$I:$I, 'Instrument Table'!$B:$B, $C4398), _xlfn.XLOOKUP($A4399, 'Instrument Table'!$H:$H, 'Instrument Table'!$B:$B, $C4398)))</f>
        <v>Bass Drum</v>
      </c>
      <c r="D4399" s="1" t="str">
        <f>VLOOKUP($C4399, 'Instrument Table'!$B:$C, 2, FALSE)</f>
        <v>Percussion</v>
      </c>
      <c r="E4399" s="1">
        <f t="shared" si="408"/>
        <v>2</v>
      </c>
      <c r="F4399" s="1">
        <f>_xlfn.XLOOKUP($C4399, 'Instrument Table'!$B:$B, 'Instrument Table'!$A:$A, "")</f>
        <v>52</v>
      </c>
      <c r="G4399" s="1" t="str">
        <f>TEXT(IF($B4399 = "Retail Item", IF((ROW($A4399) - 4504 - _xlfn.XMATCH($C4399, $C$4506:$C$5005, 0, 1)) &lt;= VLOOKUP($C4399, 'Instrument Table'!$B:$D, 3, FALSE), ROW($A4399) - 4504 - _xlfn.XMATCH($C4399, $C$4506:$C$5005, 0, 1), 0), 0), "00")</f>
        <v>00</v>
      </c>
      <c r="H4399" s="1" t="str">
        <f t="shared" si="409"/>
        <v>003</v>
      </c>
      <c r="I4399" s="1" t="str">
        <f t="shared" si="410"/>
        <v>25200-003</v>
      </c>
      <c r="J4399" s="1" t="str">
        <f t="shared" si="411"/>
        <v>Bass drum service item #003</v>
      </c>
      <c r="K4399" s="1" t="str">
        <f>IF(SUM(COUNTIFS(I:I, I4399)) &gt; 1, "DUPLICATE", "UNIQUE")</f>
        <v>UNIQUE</v>
      </c>
      <c r="L4399" s="18">
        <v>6</v>
      </c>
      <c r="M4399" s="28">
        <v>729</v>
      </c>
      <c r="N4399" s="6">
        <v>1</v>
      </c>
      <c r="O4399" s="30">
        <f t="shared" si="412"/>
        <v>4374</v>
      </c>
      <c r="P4399" s="30">
        <f t="shared" si="413"/>
        <v>729</v>
      </c>
      <c r="Q4399" s="1">
        <f>COUNTIFS($P:$P, "&gt;" &amp; $P4399) + 1</f>
        <v>3847</v>
      </c>
      <c r="R4399" s="63">
        <f>(COUNTIFS($P:$P, "&gt;" &amp; $P4399) + 1) / (COUNTA($I:$I) - 1)</f>
        <v>0.76939999999999997</v>
      </c>
      <c r="S4399" s="23">
        <f>SUMIFS($P:$P, $Q:$Q, "&lt;" &amp; $Q4399)</f>
        <v>186301356</v>
      </c>
    </row>
    <row r="4400" spans="1:19" x14ac:dyDescent="0.25">
      <c r="A4400" s="1">
        <v>4395</v>
      </c>
      <c r="B4400" s="1" t="s">
        <v>3</v>
      </c>
      <c r="C4400" s="1" t="str">
        <f>IF($B4400 = "Production Item", _xlfn.XLOOKUP($A4400, 'Instrument Table'!$J:$J, 'Instrument Table'!$B:$B, $C4399), IF($B4400 = "Service Item", _xlfn.XLOOKUP($A4400, 'Instrument Table'!$I:$I, 'Instrument Table'!$B:$B, $C4399), _xlfn.XLOOKUP($A4400, 'Instrument Table'!$H:$H, 'Instrument Table'!$B:$B, $C4399)))</f>
        <v>Bass Drum</v>
      </c>
      <c r="D4400" s="1" t="str">
        <f>VLOOKUP($C4400, 'Instrument Table'!$B:$C, 2, FALSE)</f>
        <v>Percussion</v>
      </c>
      <c r="E4400" s="1">
        <f t="shared" si="408"/>
        <v>2</v>
      </c>
      <c r="F4400" s="1">
        <f>_xlfn.XLOOKUP($C4400, 'Instrument Table'!$B:$B, 'Instrument Table'!$A:$A, "")</f>
        <v>52</v>
      </c>
      <c r="G4400" s="1" t="str">
        <f>TEXT(IF($B4400 = "Retail Item", IF((ROW($A4400) - 4504 - _xlfn.XMATCH($C4400, $C$4506:$C$5005, 0, 1)) &lt;= VLOOKUP($C4400, 'Instrument Table'!$B:$D, 3, FALSE), ROW($A4400) - 4504 - _xlfn.XMATCH($C4400, $C$4506:$C$5005, 0, 1), 0), 0), "00")</f>
        <v>00</v>
      </c>
      <c r="H4400" s="1" t="str">
        <f t="shared" si="409"/>
        <v>004</v>
      </c>
      <c r="I4400" s="1" t="str">
        <f t="shared" si="410"/>
        <v>25200-004</v>
      </c>
      <c r="J4400" s="1" t="str">
        <f t="shared" si="411"/>
        <v>Bass drum service item #004</v>
      </c>
      <c r="K4400" s="1" t="str">
        <f>IF(SUM(COUNTIFS(I:I, I4400)) &gt; 1, "DUPLICATE", "UNIQUE")</f>
        <v>UNIQUE</v>
      </c>
      <c r="L4400" s="18">
        <v>8</v>
      </c>
      <c r="M4400" s="28">
        <v>318</v>
      </c>
      <c r="N4400" s="6">
        <v>125</v>
      </c>
      <c r="O4400" s="30">
        <f t="shared" si="412"/>
        <v>2544</v>
      </c>
      <c r="P4400" s="30">
        <f t="shared" si="413"/>
        <v>39750</v>
      </c>
      <c r="Q4400" s="1">
        <f>COUNTIFS($P:$P, "&gt;" &amp; $P4400) + 1</f>
        <v>558</v>
      </c>
      <c r="R4400" s="63">
        <f>(COUNTIFS($P:$P, "&gt;" &amp; $P4400) + 1) / (COUNTA($I:$I) - 1)</f>
        <v>0.1116</v>
      </c>
      <c r="S4400" s="23">
        <f>SUMIFS($P:$P, $Q:$Q, "&lt;" &amp; $Q4400)</f>
        <v>154297534</v>
      </c>
    </row>
    <row r="4401" spans="1:19" x14ac:dyDescent="0.25">
      <c r="A4401" s="1">
        <v>4396</v>
      </c>
      <c r="B4401" s="1" t="s">
        <v>3</v>
      </c>
      <c r="C4401" s="1" t="str">
        <f>IF($B4401 = "Production Item", _xlfn.XLOOKUP($A4401, 'Instrument Table'!$J:$J, 'Instrument Table'!$B:$B, $C4400), IF($B4401 = "Service Item", _xlfn.XLOOKUP($A4401, 'Instrument Table'!$I:$I, 'Instrument Table'!$B:$B, $C4400), _xlfn.XLOOKUP($A4401, 'Instrument Table'!$H:$H, 'Instrument Table'!$B:$B, $C4400)))</f>
        <v>Bass Drum</v>
      </c>
      <c r="D4401" s="1" t="str">
        <f>VLOOKUP($C4401, 'Instrument Table'!$B:$C, 2, FALSE)</f>
        <v>Percussion</v>
      </c>
      <c r="E4401" s="1">
        <f t="shared" si="408"/>
        <v>2</v>
      </c>
      <c r="F4401" s="1">
        <f>_xlfn.XLOOKUP($C4401, 'Instrument Table'!$B:$B, 'Instrument Table'!$A:$A, "")</f>
        <v>52</v>
      </c>
      <c r="G4401" s="1" t="str">
        <f>TEXT(IF($B4401 = "Retail Item", IF((ROW($A4401) - 4504 - _xlfn.XMATCH($C4401, $C$4506:$C$5005, 0, 1)) &lt;= VLOOKUP($C4401, 'Instrument Table'!$B:$D, 3, FALSE), ROW($A4401) - 4504 - _xlfn.XMATCH($C4401, $C$4506:$C$5005, 0, 1), 0), 0), "00")</f>
        <v>00</v>
      </c>
      <c r="H4401" s="1" t="str">
        <f t="shared" si="409"/>
        <v>005</v>
      </c>
      <c r="I4401" s="1" t="str">
        <f t="shared" si="410"/>
        <v>25200-005</v>
      </c>
      <c r="J4401" s="1" t="str">
        <f t="shared" si="411"/>
        <v>Bass drum service item #005</v>
      </c>
      <c r="K4401" s="1" t="str">
        <f>IF(SUM(COUNTIFS(I:I, I4401)) &gt; 1, "DUPLICATE", "UNIQUE")</f>
        <v>UNIQUE</v>
      </c>
      <c r="L4401" s="18">
        <v>1</v>
      </c>
      <c r="M4401" s="28">
        <v>88</v>
      </c>
      <c r="N4401" s="6">
        <v>125</v>
      </c>
      <c r="O4401" s="30">
        <f t="shared" si="412"/>
        <v>88</v>
      </c>
      <c r="P4401" s="30">
        <f t="shared" si="413"/>
        <v>11000</v>
      </c>
      <c r="Q4401" s="1">
        <f>COUNTIFS($P:$P, "&gt;" &amp; $P4401) + 1</f>
        <v>1685</v>
      </c>
      <c r="R4401" s="63">
        <f>(COUNTIFS($P:$P, "&gt;" &amp; $P4401) + 1) / (COUNTA($I:$I) - 1)</f>
        <v>0.33700000000000002</v>
      </c>
      <c r="S4401" s="23">
        <f>SUMIFS($P:$P, $Q:$Q, "&lt;" &amp; $Q4401)</f>
        <v>177049628</v>
      </c>
    </row>
    <row r="4402" spans="1:19" x14ac:dyDescent="0.25">
      <c r="A4402" s="1">
        <v>4397</v>
      </c>
      <c r="B4402" s="1" t="s">
        <v>3</v>
      </c>
      <c r="C4402" s="1" t="str">
        <f>IF($B4402 = "Production Item", _xlfn.XLOOKUP($A4402, 'Instrument Table'!$J:$J, 'Instrument Table'!$B:$B, $C4401), IF($B4402 = "Service Item", _xlfn.XLOOKUP($A4402, 'Instrument Table'!$I:$I, 'Instrument Table'!$B:$B, $C4401), _xlfn.XLOOKUP($A4402, 'Instrument Table'!$H:$H, 'Instrument Table'!$B:$B, $C4401)))</f>
        <v>Bass Drum</v>
      </c>
      <c r="D4402" s="1" t="str">
        <f>VLOOKUP($C4402, 'Instrument Table'!$B:$C, 2, FALSE)</f>
        <v>Percussion</v>
      </c>
      <c r="E4402" s="1">
        <f t="shared" si="408"/>
        <v>2</v>
      </c>
      <c r="F4402" s="1">
        <f>_xlfn.XLOOKUP($C4402, 'Instrument Table'!$B:$B, 'Instrument Table'!$A:$A, "")</f>
        <v>52</v>
      </c>
      <c r="G4402" s="1" t="str">
        <f>TEXT(IF($B4402 = "Retail Item", IF((ROW($A4402) - 4504 - _xlfn.XMATCH($C4402, $C$4506:$C$5005, 0, 1)) &lt;= VLOOKUP($C4402, 'Instrument Table'!$B:$D, 3, FALSE), ROW($A4402) - 4504 - _xlfn.XMATCH($C4402, $C$4506:$C$5005, 0, 1), 0), 0), "00")</f>
        <v>00</v>
      </c>
      <c r="H4402" s="1" t="str">
        <f t="shared" si="409"/>
        <v>006</v>
      </c>
      <c r="I4402" s="1" t="str">
        <f t="shared" si="410"/>
        <v>25200-006</v>
      </c>
      <c r="J4402" s="1" t="str">
        <f t="shared" si="411"/>
        <v>Bass drum service item #006</v>
      </c>
      <c r="K4402" s="1" t="str">
        <f>IF(SUM(COUNTIFS(I:I, I4402)) &gt; 1, "DUPLICATE", "UNIQUE")</f>
        <v>UNIQUE</v>
      </c>
      <c r="L4402" s="18">
        <v>1</v>
      </c>
      <c r="M4402" s="28">
        <v>124</v>
      </c>
      <c r="N4402" s="6">
        <v>125</v>
      </c>
      <c r="O4402" s="30">
        <f t="shared" si="412"/>
        <v>124</v>
      </c>
      <c r="P4402" s="30">
        <f t="shared" si="413"/>
        <v>15500</v>
      </c>
      <c r="Q4402" s="1">
        <f>COUNTIFS($P:$P, "&gt;" &amp; $P4402) + 1</f>
        <v>1321</v>
      </c>
      <c r="R4402" s="63">
        <f>(COUNTIFS($P:$P, "&gt;" &amp; $P4402) + 1) / (COUNTA($I:$I) - 1)</f>
        <v>0.26419999999999999</v>
      </c>
      <c r="S4402" s="23">
        <f>SUMIFS($P:$P, $Q:$Q, "&lt;" &amp; $Q4402)</f>
        <v>172301082</v>
      </c>
    </row>
    <row r="4403" spans="1:19" x14ac:dyDescent="0.25">
      <c r="A4403" s="1">
        <v>4398</v>
      </c>
      <c r="B4403" s="1" t="s">
        <v>3</v>
      </c>
      <c r="C4403" s="1" t="str">
        <f>IF($B4403 = "Production Item", _xlfn.XLOOKUP($A4403, 'Instrument Table'!$J:$J, 'Instrument Table'!$B:$B, $C4402), IF($B4403 = "Service Item", _xlfn.XLOOKUP($A4403, 'Instrument Table'!$I:$I, 'Instrument Table'!$B:$B, $C4402), _xlfn.XLOOKUP($A4403, 'Instrument Table'!$H:$H, 'Instrument Table'!$B:$B, $C4402)))</f>
        <v>Bass Drum</v>
      </c>
      <c r="D4403" s="1" t="str">
        <f>VLOOKUP($C4403, 'Instrument Table'!$B:$C, 2, FALSE)</f>
        <v>Percussion</v>
      </c>
      <c r="E4403" s="1">
        <f t="shared" si="408"/>
        <v>2</v>
      </c>
      <c r="F4403" s="1">
        <f>_xlfn.XLOOKUP($C4403, 'Instrument Table'!$B:$B, 'Instrument Table'!$A:$A, "")</f>
        <v>52</v>
      </c>
      <c r="G4403" s="1" t="str">
        <f>TEXT(IF($B4403 = "Retail Item", IF((ROW($A4403) - 4504 - _xlfn.XMATCH($C4403, $C$4506:$C$5005, 0, 1)) &lt;= VLOOKUP($C4403, 'Instrument Table'!$B:$D, 3, FALSE), ROW($A4403) - 4504 - _xlfn.XMATCH($C4403, $C$4506:$C$5005, 0, 1), 0), 0), "00")</f>
        <v>00</v>
      </c>
      <c r="H4403" s="1" t="str">
        <f t="shared" si="409"/>
        <v>007</v>
      </c>
      <c r="I4403" s="1" t="str">
        <f t="shared" si="410"/>
        <v>25200-007</v>
      </c>
      <c r="J4403" s="1" t="str">
        <f t="shared" si="411"/>
        <v>Bass drum service item #007</v>
      </c>
      <c r="K4403" s="1" t="str">
        <f>IF(SUM(COUNTIFS(I:I, I4403)) &gt; 1, "DUPLICATE", "UNIQUE")</f>
        <v>UNIQUE</v>
      </c>
      <c r="L4403" s="18">
        <v>2</v>
      </c>
      <c r="M4403" s="28">
        <v>957</v>
      </c>
      <c r="N4403" s="6">
        <v>27</v>
      </c>
      <c r="O4403" s="30">
        <f t="shared" si="412"/>
        <v>1914</v>
      </c>
      <c r="P4403" s="30">
        <f t="shared" si="413"/>
        <v>25839</v>
      </c>
      <c r="Q4403" s="1">
        <f>COUNTIFS($P:$P, "&gt;" &amp; $P4403) + 1</f>
        <v>796</v>
      </c>
      <c r="R4403" s="63">
        <f>(COUNTIFS($P:$P, "&gt;" &amp; $P4403) + 1) / (COUNTA($I:$I) - 1)</f>
        <v>0.15920000000000001</v>
      </c>
      <c r="S4403" s="23">
        <f>SUMIFS($P:$P, $Q:$Q, "&lt;" &amp; $Q4403)</f>
        <v>161724731</v>
      </c>
    </row>
    <row r="4404" spans="1:19" x14ac:dyDescent="0.25">
      <c r="A4404" s="1">
        <v>4399</v>
      </c>
      <c r="B4404" s="1" t="s">
        <v>3</v>
      </c>
      <c r="C4404" s="1" t="str">
        <f>IF($B4404 = "Production Item", _xlfn.XLOOKUP($A4404, 'Instrument Table'!$J:$J, 'Instrument Table'!$B:$B, $C4403), IF($B4404 = "Service Item", _xlfn.XLOOKUP($A4404, 'Instrument Table'!$I:$I, 'Instrument Table'!$B:$B, $C4403), _xlfn.XLOOKUP($A4404, 'Instrument Table'!$H:$H, 'Instrument Table'!$B:$B, $C4403)))</f>
        <v>Bass Drum</v>
      </c>
      <c r="D4404" s="1" t="str">
        <f>VLOOKUP($C4404, 'Instrument Table'!$B:$C, 2, FALSE)</f>
        <v>Percussion</v>
      </c>
      <c r="E4404" s="1">
        <f t="shared" si="408"/>
        <v>2</v>
      </c>
      <c r="F4404" s="1">
        <f>_xlfn.XLOOKUP($C4404, 'Instrument Table'!$B:$B, 'Instrument Table'!$A:$A, "")</f>
        <v>52</v>
      </c>
      <c r="G4404" s="1" t="str">
        <f>TEXT(IF($B4404 = "Retail Item", IF((ROW($A4404) - 4504 - _xlfn.XMATCH($C4404, $C$4506:$C$5005, 0, 1)) &lt;= VLOOKUP($C4404, 'Instrument Table'!$B:$D, 3, FALSE), ROW($A4404) - 4504 - _xlfn.XMATCH($C4404, $C$4506:$C$5005, 0, 1), 0), 0), "00")</f>
        <v>00</v>
      </c>
      <c r="H4404" s="1" t="str">
        <f t="shared" si="409"/>
        <v>008</v>
      </c>
      <c r="I4404" s="1" t="str">
        <f t="shared" si="410"/>
        <v>25200-008</v>
      </c>
      <c r="J4404" s="1" t="str">
        <f t="shared" si="411"/>
        <v>Bass drum service item #008</v>
      </c>
      <c r="K4404" s="1" t="str">
        <f>IF(SUM(COUNTIFS(I:I, I4404)) &gt; 1, "DUPLICATE", "UNIQUE")</f>
        <v>UNIQUE</v>
      </c>
      <c r="L4404" s="18">
        <v>6</v>
      </c>
      <c r="M4404" s="28">
        <v>164</v>
      </c>
      <c r="N4404" s="6">
        <v>1</v>
      </c>
      <c r="O4404" s="30">
        <f t="shared" si="412"/>
        <v>984</v>
      </c>
      <c r="P4404" s="30">
        <f t="shared" si="413"/>
        <v>164</v>
      </c>
      <c r="Q4404" s="1">
        <f>COUNTIFS($P:$P, "&gt;" &amp; $P4404) + 1</f>
        <v>4380</v>
      </c>
      <c r="R4404" s="63">
        <f>(COUNTIFS($P:$P, "&gt;" &amp; $P4404) + 1) / (COUNTA($I:$I) - 1)</f>
        <v>0.876</v>
      </c>
      <c r="S4404" s="23">
        <f>SUMIFS($P:$P, $Q:$Q, "&lt;" &amp; $Q4404)</f>
        <v>186522862</v>
      </c>
    </row>
    <row r="4405" spans="1:19" x14ac:dyDescent="0.25">
      <c r="A4405" s="1">
        <v>4400</v>
      </c>
      <c r="B4405" s="1" t="s">
        <v>3</v>
      </c>
      <c r="C4405" s="1" t="str">
        <f>IF($B4405 = "Production Item", _xlfn.XLOOKUP($A4405, 'Instrument Table'!$J:$J, 'Instrument Table'!$B:$B, $C4404), IF($B4405 = "Service Item", _xlfn.XLOOKUP($A4405, 'Instrument Table'!$I:$I, 'Instrument Table'!$B:$B, $C4404), _xlfn.XLOOKUP($A4405, 'Instrument Table'!$H:$H, 'Instrument Table'!$B:$B, $C4404)))</f>
        <v>Bass Drum</v>
      </c>
      <c r="D4405" s="1" t="str">
        <f>VLOOKUP($C4405, 'Instrument Table'!$B:$C, 2, FALSE)</f>
        <v>Percussion</v>
      </c>
      <c r="E4405" s="1">
        <f t="shared" si="408"/>
        <v>2</v>
      </c>
      <c r="F4405" s="1">
        <f>_xlfn.XLOOKUP($C4405, 'Instrument Table'!$B:$B, 'Instrument Table'!$A:$A, "")</f>
        <v>52</v>
      </c>
      <c r="G4405" s="1" t="str">
        <f>TEXT(IF($B4405 = "Retail Item", IF((ROW($A4405) - 4504 - _xlfn.XMATCH($C4405, $C$4506:$C$5005, 0, 1)) &lt;= VLOOKUP($C4405, 'Instrument Table'!$B:$D, 3, FALSE), ROW($A4405) - 4504 - _xlfn.XMATCH($C4405, $C$4506:$C$5005, 0, 1), 0), 0), "00")</f>
        <v>00</v>
      </c>
      <c r="H4405" s="1" t="str">
        <f t="shared" si="409"/>
        <v>009</v>
      </c>
      <c r="I4405" s="1" t="str">
        <f t="shared" si="410"/>
        <v>25200-009</v>
      </c>
      <c r="J4405" s="1" t="str">
        <f t="shared" si="411"/>
        <v>Bass drum service item #009</v>
      </c>
      <c r="K4405" s="1" t="str">
        <f>IF(SUM(COUNTIFS(I:I, I4405)) &gt; 1, "DUPLICATE", "UNIQUE")</f>
        <v>UNIQUE</v>
      </c>
      <c r="L4405" s="18">
        <v>1</v>
      </c>
      <c r="M4405" s="28">
        <v>122</v>
      </c>
      <c r="N4405" s="6">
        <v>125</v>
      </c>
      <c r="O4405" s="30">
        <f t="shared" si="412"/>
        <v>122</v>
      </c>
      <c r="P4405" s="30">
        <f t="shared" si="413"/>
        <v>15250</v>
      </c>
      <c r="Q4405" s="1">
        <f>COUNTIFS($P:$P, "&gt;" &amp; $P4405) + 1</f>
        <v>1332</v>
      </c>
      <c r="R4405" s="63">
        <f>(COUNTIFS($P:$P, "&gt;" &amp; $P4405) + 1) / (COUNTA($I:$I) - 1)</f>
        <v>0.26640000000000003</v>
      </c>
      <c r="S4405" s="23">
        <f>SUMIFS($P:$P, $Q:$Q, "&lt;" &amp; $Q4405)</f>
        <v>172470402</v>
      </c>
    </row>
    <row r="4406" spans="1:19" x14ac:dyDescent="0.25">
      <c r="A4406" s="1">
        <v>4401</v>
      </c>
      <c r="B4406" s="1" t="s">
        <v>3</v>
      </c>
      <c r="C4406" s="1" t="str">
        <f>IF($B4406 = "Production Item", _xlfn.XLOOKUP($A4406, 'Instrument Table'!$J:$J, 'Instrument Table'!$B:$B, $C4405), IF($B4406 = "Service Item", _xlfn.XLOOKUP($A4406, 'Instrument Table'!$I:$I, 'Instrument Table'!$B:$B, $C4405), _xlfn.XLOOKUP($A4406, 'Instrument Table'!$H:$H, 'Instrument Table'!$B:$B, $C4405)))</f>
        <v>Cymbal</v>
      </c>
      <c r="D4406" s="1" t="str">
        <f>VLOOKUP($C4406, 'Instrument Table'!$B:$C, 2, FALSE)</f>
        <v>Percussion</v>
      </c>
      <c r="E4406" s="1">
        <f t="shared" si="408"/>
        <v>2</v>
      </c>
      <c r="F4406" s="1">
        <f>_xlfn.XLOOKUP($C4406, 'Instrument Table'!$B:$B, 'Instrument Table'!$A:$A, "")</f>
        <v>53</v>
      </c>
      <c r="G4406" s="1" t="str">
        <f>TEXT(IF($B4406 = "Retail Item", IF((ROW($A4406) - 4504 - _xlfn.XMATCH($C4406, $C$4506:$C$5005, 0, 1)) &lt;= VLOOKUP($C4406, 'Instrument Table'!$B:$D, 3, FALSE), ROW($A4406) - 4504 - _xlfn.XMATCH($C4406, $C$4506:$C$5005, 0, 1), 0), 0), "00")</f>
        <v>00</v>
      </c>
      <c r="H4406" s="1" t="str">
        <f t="shared" si="409"/>
        <v>000</v>
      </c>
      <c r="I4406" s="1" t="str">
        <f t="shared" si="410"/>
        <v>25300-000</v>
      </c>
      <c r="J4406" s="1" t="str">
        <f t="shared" si="411"/>
        <v>Cymbal service item #000</v>
      </c>
      <c r="K4406" s="1" t="str">
        <f>IF(SUM(COUNTIFS(I:I, I4406)) &gt; 1, "DUPLICATE", "UNIQUE")</f>
        <v>UNIQUE</v>
      </c>
      <c r="L4406" s="18">
        <v>4</v>
      </c>
      <c r="M4406" s="28">
        <v>534</v>
      </c>
      <c r="N4406" s="6">
        <v>1</v>
      </c>
      <c r="O4406" s="30">
        <f t="shared" si="412"/>
        <v>2136</v>
      </c>
      <c r="P4406" s="30">
        <f t="shared" si="413"/>
        <v>534</v>
      </c>
      <c r="Q4406" s="1">
        <f>COUNTIFS($P:$P, "&gt;" &amp; $P4406) + 1</f>
        <v>3996</v>
      </c>
      <c r="R4406" s="63">
        <f>(COUNTIFS($P:$P, "&gt;" &amp; $P4406) + 1) / (COUNTA($I:$I) - 1)</f>
        <v>0.79920000000000002</v>
      </c>
      <c r="S4406" s="23">
        <f>SUMIFS($P:$P, $Q:$Q, "&lt;" &amp; $Q4406)</f>
        <v>186396178</v>
      </c>
    </row>
    <row r="4407" spans="1:19" x14ac:dyDescent="0.25">
      <c r="A4407" s="1">
        <v>4402</v>
      </c>
      <c r="B4407" s="1" t="s">
        <v>3</v>
      </c>
      <c r="C4407" s="1" t="str">
        <f>IF($B4407 = "Production Item", _xlfn.XLOOKUP($A4407, 'Instrument Table'!$J:$J, 'Instrument Table'!$B:$B, $C4406), IF($B4407 = "Service Item", _xlfn.XLOOKUP($A4407, 'Instrument Table'!$I:$I, 'Instrument Table'!$B:$B, $C4406), _xlfn.XLOOKUP($A4407, 'Instrument Table'!$H:$H, 'Instrument Table'!$B:$B, $C4406)))</f>
        <v>Cymbal</v>
      </c>
      <c r="D4407" s="1" t="str">
        <f>VLOOKUP($C4407, 'Instrument Table'!$B:$C, 2, FALSE)</f>
        <v>Percussion</v>
      </c>
      <c r="E4407" s="1">
        <f t="shared" si="408"/>
        <v>2</v>
      </c>
      <c r="F4407" s="1">
        <f>_xlfn.XLOOKUP($C4407, 'Instrument Table'!$B:$B, 'Instrument Table'!$A:$A, "")</f>
        <v>53</v>
      </c>
      <c r="G4407" s="1" t="str">
        <f>TEXT(IF($B4407 = "Retail Item", IF((ROW($A4407) - 4504 - _xlfn.XMATCH($C4407, $C$4506:$C$5005, 0, 1)) &lt;= VLOOKUP($C4407, 'Instrument Table'!$B:$D, 3, FALSE), ROW($A4407) - 4504 - _xlfn.XMATCH($C4407, $C$4506:$C$5005, 0, 1), 0), 0), "00")</f>
        <v>00</v>
      </c>
      <c r="H4407" s="1" t="str">
        <f t="shared" si="409"/>
        <v>001</v>
      </c>
      <c r="I4407" s="1" t="str">
        <f t="shared" si="410"/>
        <v>25300-001</v>
      </c>
      <c r="J4407" s="1" t="str">
        <f t="shared" si="411"/>
        <v>Cymbal service item #001</v>
      </c>
      <c r="K4407" s="1" t="str">
        <f>IF(SUM(COUNTIFS(I:I, I4407)) &gt; 1, "DUPLICATE", "UNIQUE")</f>
        <v>UNIQUE</v>
      </c>
      <c r="L4407" s="18">
        <v>4</v>
      </c>
      <c r="M4407" s="28">
        <v>301</v>
      </c>
      <c r="N4407" s="6">
        <v>8</v>
      </c>
      <c r="O4407" s="30">
        <f t="shared" si="412"/>
        <v>1204</v>
      </c>
      <c r="P4407" s="30">
        <f t="shared" si="413"/>
        <v>2408</v>
      </c>
      <c r="Q4407" s="1">
        <f>COUNTIFS($P:$P, "&gt;" &amp; $P4407) + 1</f>
        <v>3087</v>
      </c>
      <c r="R4407" s="63">
        <f>(COUNTIFS($P:$P, "&gt;" &amp; $P4407) + 1) / (COUNTA($I:$I) - 1)</f>
        <v>0.61739999999999995</v>
      </c>
      <c r="S4407" s="23">
        <f>SUMIFS($P:$P, $Q:$Q, "&lt;" &amp; $Q4407)</f>
        <v>185151412</v>
      </c>
    </row>
    <row r="4408" spans="1:19" x14ac:dyDescent="0.25">
      <c r="A4408" s="1">
        <v>4403</v>
      </c>
      <c r="B4408" s="1" t="s">
        <v>3</v>
      </c>
      <c r="C4408" s="1" t="str">
        <f>IF($B4408 = "Production Item", _xlfn.XLOOKUP($A4408, 'Instrument Table'!$J:$J, 'Instrument Table'!$B:$B, $C4407), IF($B4408 = "Service Item", _xlfn.XLOOKUP($A4408, 'Instrument Table'!$I:$I, 'Instrument Table'!$B:$B, $C4407), _xlfn.XLOOKUP($A4408, 'Instrument Table'!$H:$H, 'Instrument Table'!$B:$B, $C4407)))</f>
        <v>Cymbal</v>
      </c>
      <c r="D4408" s="1" t="str">
        <f>VLOOKUP($C4408, 'Instrument Table'!$B:$C, 2, FALSE)</f>
        <v>Percussion</v>
      </c>
      <c r="E4408" s="1">
        <f t="shared" si="408"/>
        <v>2</v>
      </c>
      <c r="F4408" s="1">
        <f>_xlfn.XLOOKUP($C4408, 'Instrument Table'!$B:$B, 'Instrument Table'!$A:$A, "")</f>
        <v>53</v>
      </c>
      <c r="G4408" s="1" t="str">
        <f>TEXT(IF($B4408 = "Retail Item", IF((ROW($A4408) - 4504 - _xlfn.XMATCH($C4408, $C$4506:$C$5005, 0, 1)) &lt;= VLOOKUP($C4408, 'Instrument Table'!$B:$D, 3, FALSE), ROW($A4408) - 4504 - _xlfn.XMATCH($C4408, $C$4506:$C$5005, 0, 1), 0), 0), "00")</f>
        <v>00</v>
      </c>
      <c r="H4408" s="1" t="str">
        <f t="shared" si="409"/>
        <v>002</v>
      </c>
      <c r="I4408" s="1" t="str">
        <f t="shared" si="410"/>
        <v>25300-002</v>
      </c>
      <c r="J4408" s="1" t="str">
        <f t="shared" si="411"/>
        <v>Cymbal service item #002</v>
      </c>
      <c r="K4408" s="1" t="str">
        <f>IF(SUM(COUNTIFS(I:I, I4408)) &gt; 1, "DUPLICATE", "UNIQUE")</f>
        <v>UNIQUE</v>
      </c>
      <c r="L4408" s="18">
        <v>2</v>
      </c>
      <c r="M4408" s="28">
        <v>635</v>
      </c>
      <c r="N4408" s="6">
        <v>64</v>
      </c>
      <c r="O4408" s="30">
        <f t="shared" si="412"/>
        <v>1270</v>
      </c>
      <c r="P4408" s="30">
        <f t="shared" si="413"/>
        <v>40640</v>
      </c>
      <c r="Q4408" s="1">
        <f>COUNTIFS($P:$P, "&gt;" &amp; $P4408) + 1</f>
        <v>548</v>
      </c>
      <c r="R4408" s="63">
        <f>(COUNTIFS($P:$P, "&gt;" &amp; $P4408) + 1) / (COUNTA($I:$I) - 1)</f>
        <v>0.1096</v>
      </c>
      <c r="S4408" s="23">
        <f>SUMIFS($P:$P, $Q:$Q, "&lt;" &amp; $Q4408)</f>
        <v>153896382</v>
      </c>
    </row>
    <row r="4409" spans="1:19" x14ac:dyDescent="0.25">
      <c r="A4409" s="1">
        <v>4404</v>
      </c>
      <c r="B4409" s="1" t="s">
        <v>3</v>
      </c>
      <c r="C4409" s="1" t="str">
        <f>IF($B4409 = "Production Item", _xlfn.XLOOKUP($A4409, 'Instrument Table'!$J:$J, 'Instrument Table'!$B:$B, $C4408), IF($B4409 = "Service Item", _xlfn.XLOOKUP($A4409, 'Instrument Table'!$I:$I, 'Instrument Table'!$B:$B, $C4408), _xlfn.XLOOKUP($A4409, 'Instrument Table'!$H:$H, 'Instrument Table'!$B:$B, $C4408)))</f>
        <v>Cymbal</v>
      </c>
      <c r="D4409" s="1" t="str">
        <f>VLOOKUP($C4409, 'Instrument Table'!$B:$C, 2, FALSE)</f>
        <v>Percussion</v>
      </c>
      <c r="E4409" s="1">
        <f t="shared" si="408"/>
        <v>2</v>
      </c>
      <c r="F4409" s="1">
        <f>_xlfn.XLOOKUP($C4409, 'Instrument Table'!$B:$B, 'Instrument Table'!$A:$A, "")</f>
        <v>53</v>
      </c>
      <c r="G4409" s="1" t="str">
        <f>TEXT(IF($B4409 = "Retail Item", IF((ROW($A4409) - 4504 - _xlfn.XMATCH($C4409, $C$4506:$C$5005, 0, 1)) &lt;= VLOOKUP($C4409, 'Instrument Table'!$B:$D, 3, FALSE), ROW($A4409) - 4504 - _xlfn.XMATCH($C4409, $C$4506:$C$5005, 0, 1), 0), 0), "00")</f>
        <v>00</v>
      </c>
      <c r="H4409" s="1" t="str">
        <f t="shared" si="409"/>
        <v>003</v>
      </c>
      <c r="I4409" s="1" t="str">
        <f t="shared" si="410"/>
        <v>25300-003</v>
      </c>
      <c r="J4409" s="1" t="str">
        <f t="shared" si="411"/>
        <v>Cymbal service item #003</v>
      </c>
      <c r="K4409" s="1" t="str">
        <f>IF(SUM(COUNTIFS(I:I, I4409)) &gt; 1, "DUPLICATE", "UNIQUE")</f>
        <v>UNIQUE</v>
      </c>
      <c r="L4409" s="18">
        <v>8</v>
      </c>
      <c r="M4409" s="28">
        <v>73</v>
      </c>
      <c r="N4409" s="6">
        <v>125</v>
      </c>
      <c r="O4409" s="30">
        <f t="shared" si="412"/>
        <v>584</v>
      </c>
      <c r="P4409" s="30">
        <f t="shared" si="413"/>
        <v>9125</v>
      </c>
      <c r="Q4409" s="1">
        <f>COUNTIFS($P:$P, "&gt;" &amp; $P4409) + 1</f>
        <v>1862</v>
      </c>
      <c r="R4409" s="63">
        <f>(COUNTIFS($P:$P, "&gt;" &amp; $P4409) + 1) / (COUNTA($I:$I) - 1)</f>
        <v>0.37240000000000001</v>
      </c>
      <c r="S4409" s="23">
        <f>SUMIFS($P:$P, $Q:$Q, "&lt;" &amp; $Q4409)</f>
        <v>178824000</v>
      </c>
    </row>
    <row r="4410" spans="1:19" x14ac:dyDescent="0.25">
      <c r="A4410" s="1">
        <v>4405</v>
      </c>
      <c r="B4410" s="1" t="s">
        <v>3</v>
      </c>
      <c r="C4410" s="1" t="str">
        <f>IF($B4410 = "Production Item", _xlfn.XLOOKUP($A4410, 'Instrument Table'!$J:$J, 'Instrument Table'!$B:$B, $C4409), IF($B4410 = "Service Item", _xlfn.XLOOKUP($A4410, 'Instrument Table'!$I:$I, 'Instrument Table'!$B:$B, $C4409), _xlfn.XLOOKUP($A4410, 'Instrument Table'!$H:$H, 'Instrument Table'!$B:$B, $C4409)))</f>
        <v>Cymbal</v>
      </c>
      <c r="D4410" s="1" t="str">
        <f>VLOOKUP($C4410, 'Instrument Table'!$B:$C, 2, FALSE)</f>
        <v>Percussion</v>
      </c>
      <c r="E4410" s="1">
        <f t="shared" si="408"/>
        <v>2</v>
      </c>
      <c r="F4410" s="1">
        <f>_xlfn.XLOOKUP($C4410, 'Instrument Table'!$B:$B, 'Instrument Table'!$A:$A, "")</f>
        <v>53</v>
      </c>
      <c r="G4410" s="1" t="str">
        <f>TEXT(IF($B4410 = "Retail Item", IF((ROW($A4410) - 4504 - _xlfn.XMATCH($C4410, $C$4506:$C$5005, 0, 1)) &lt;= VLOOKUP($C4410, 'Instrument Table'!$B:$D, 3, FALSE), ROW($A4410) - 4504 - _xlfn.XMATCH($C4410, $C$4506:$C$5005, 0, 1), 0), 0), "00")</f>
        <v>00</v>
      </c>
      <c r="H4410" s="1" t="str">
        <f t="shared" si="409"/>
        <v>004</v>
      </c>
      <c r="I4410" s="1" t="str">
        <f t="shared" si="410"/>
        <v>25300-004</v>
      </c>
      <c r="J4410" s="1" t="str">
        <f t="shared" si="411"/>
        <v>Cymbal service item #004</v>
      </c>
      <c r="K4410" s="1" t="str">
        <f>IF(SUM(COUNTIFS(I:I, I4410)) &gt; 1, "DUPLICATE", "UNIQUE")</f>
        <v>UNIQUE</v>
      </c>
      <c r="L4410" s="18">
        <v>0</v>
      </c>
      <c r="M4410" s="28">
        <v>834</v>
      </c>
      <c r="N4410" s="6">
        <v>0</v>
      </c>
      <c r="O4410" s="30">
        <f t="shared" si="412"/>
        <v>0</v>
      </c>
      <c r="P4410" s="30">
        <f t="shared" si="413"/>
        <v>0</v>
      </c>
      <c r="Q4410" s="1">
        <f>COUNTIFS($P:$P, "&gt;" &amp; $P4410) + 1</f>
        <v>4746</v>
      </c>
      <c r="R4410" s="63">
        <f>(COUNTIFS($P:$P, "&gt;" &amp; $P4410) + 1) / (COUNTA($I:$I) - 1)</f>
        <v>0.94920000000000004</v>
      </c>
      <c r="S4410" s="23">
        <f>SUMIFS($P:$P, $Q:$Q, "&lt;" &amp; $Q4410)</f>
        <v>186547861</v>
      </c>
    </row>
    <row r="4411" spans="1:19" x14ac:dyDescent="0.25">
      <c r="A4411" s="1">
        <v>4406</v>
      </c>
      <c r="B4411" s="1" t="s">
        <v>3</v>
      </c>
      <c r="C4411" s="1" t="str">
        <f>IF($B4411 = "Production Item", _xlfn.XLOOKUP($A4411, 'Instrument Table'!$J:$J, 'Instrument Table'!$B:$B, $C4410), IF($B4411 = "Service Item", _xlfn.XLOOKUP($A4411, 'Instrument Table'!$I:$I, 'Instrument Table'!$B:$B, $C4410), _xlfn.XLOOKUP($A4411, 'Instrument Table'!$H:$H, 'Instrument Table'!$B:$B, $C4410)))</f>
        <v>Cymbal</v>
      </c>
      <c r="D4411" s="1" t="str">
        <f>VLOOKUP($C4411, 'Instrument Table'!$B:$C, 2, FALSE)</f>
        <v>Percussion</v>
      </c>
      <c r="E4411" s="1">
        <f t="shared" si="408"/>
        <v>2</v>
      </c>
      <c r="F4411" s="1">
        <f>_xlfn.XLOOKUP($C4411, 'Instrument Table'!$B:$B, 'Instrument Table'!$A:$A, "")</f>
        <v>53</v>
      </c>
      <c r="G4411" s="1" t="str">
        <f>TEXT(IF($B4411 = "Retail Item", IF((ROW($A4411) - 4504 - _xlfn.XMATCH($C4411, $C$4506:$C$5005, 0, 1)) &lt;= VLOOKUP($C4411, 'Instrument Table'!$B:$D, 3, FALSE), ROW($A4411) - 4504 - _xlfn.XMATCH($C4411, $C$4506:$C$5005, 0, 1), 0), 0), "00")</f>
        <v>00</v>
      </c>
      <c r="H4411" s="1" t="str">
        <f t="shared" si="409"/>
        <v>005</v>
      </c>
      <c r="I4411" s="1" t="str">
        <f t="shared" si="410"/>
        <v>25300-005</v>
      </c>
      <c r="J4411" s="1" t="str">
        <f t="shared" si="411"/>
        <v>Cymbal service item #005</v>
      </c>
      <c r="K4411" s="1" t="str">
        <f>IF(SUM(COUNTIFS(I:I, I4411)) &gt; 1, "DUPLICATE", "UNIQUE")</f>
        <v>UNIQUE</v>
      </c>
      <c r="L4411" s="18">
        <v>2</v>
      </c>
      <c r="M4411" s="28">
        <v>664</v>
      </c>
      <c r="N4411" s="6">
        <v>27</v>
      </c>
      <c r="O4411" s="30">
        <f t="shared" si="412"/>
        <v>1328</v>
      </c>
      <c r="P4411" s="30">
        <f t="shared" si="413"/>
        <v>17928</v>
      </c>
      <c r="Q4411" s="1">
        <f>COUNTIFS($P:$P, "&gt;" &amp; $P4411) + 1</f>
        <v>1166</v>
      </c>
      <c r="R4411" s="63">
        <f>(COUNTIFS($P:$P, "&gt;" &amp; $P4411) + 1) / (COUNTA($I:$I) - 1)</f>
        <v>0.23319999999999999</v>
      </c>
      <c r="S4411" s="23">
        <f>SUMIFS($P:$P, $Q:$Q, "&lt;" &amp; $Q4411)</f>
        <v>169726762</v>
      </c>
    </row>
    <row r="4412" spans="1:19" x14ac:dyDescent="0.25">
      <c r="A4412" s="1">
        <v>4407</v>
      </c>
      <c r="B4412" s="1" t="s">
        <v>3</v>
      </c>
      <c r="C4412" s="1" t="str">
        <f>IF($B4412 = "Production Item", _xlfn.XLOOKUP($A4412, 'Instrument Table'!$J:$J, 'Instrument Table'!$B:$B, $C4411), IF($B4412 = "Service Item", _xlfn.XLOOKUP($A4412, 'Instrument Table'!$I:$I, 'Instrument Table'!$B:$B, $C4411), _xlfn.XLOOKUP($A4412, 'Instrument Table'!$H:$H, 'Instrument Table'!$B:$B, $C4411)))</f>
        <v>Cymbal</v>
      </c>
      <c r="D4412" s="1" t="str">
        <f>VLOOKUP($C4412, 'Instrument Table'!$B:$C, 2, FALSE)</f>
        <v>Percussion</v>
      </c>
      <c r="E4412" s="1">
        <f t="shared" si="408"/>
        <v>2</v>
      </c>
      <c r="F4412" s="1">
        <f>_xlfn.XLOOKUP($C4412, 'Instrument Table'!$B:$B, 'Instrument Table'!$A:$A, "")</f>
        <v>53</v>
      </c>
      <c r="G4412" s="1" t="str">
        <f>TEXT(IF($B4412 = "Retail Item", IF((ROW($A4412) - 4504 - _xlfn.XMATCH($C4412, $C$4506:$C$5005, 0, 1)) &lt;= VLOOKUP($C4412, 'Instrument Table'!$B:$D, 3, FALSE), ROW($A4412) - 4504 - _xlfn.XMATCH($C4412, $C$4506:$C$5005, 0, 1), 0), 0), "00")</f>
        <v>00</v>
      </c>
      <c r="H4412" s="1" t="str">
        <f t="shared" si="409"/>
        <v>006</v>
      </c>
      <c r="I4412" s="1" t="str">
        <f t="shared" si="410"/>
        <v>25300-006</v>
      </c>
      <c r="J4412" s="1" t="str">
        <f t="shared" si="411"/>
        <v>Cymbal service item #006</v>
      </c>
      <c r="K4412" s="1" t="str">
        <f>IF(SUM(COUNTIFS(I:I, I4412)) &gt; 1, "DUPLICATE", "UNIQUE")</f>
        <v>UNIQUE</v>
      </c>
      <c r="L4412" s="18">
        <v>1</v>
      </c>
      <c r="M4412" s="28">
        <v>680</v>
      </c>
      <c r="N4412" s="6">
        <v>64</v>
      </c>
      <c r="O4412" s="30">
        <f t="shared" si="412"/>
        <v>680</v>
      </c>
      <c r="P4412" s="30">
        <f t="shared" si="413"/>
        <v>43520</v>
      </c>
      <c r="Q4412" s="1">
        <f>COUNTIFS($P:$P, "&gt;" &amp; $P4412) + 1</f>
        <v>540</v>
      </c>
      <c r="R4412" s="63">
        <f>(COUNTIFS($P:$P, "&gt;" &amp; $P4412) + 1) / (COUNTA($I:$I) - 1)</f>
        <v>0.108</v>
      </c>
      <c r="S4412" s="23">
        <f>SUMIFS($P:$P, $Q:$Q, "&lt;" &amp; $Q4412)</f>
        <v>153558439</v>
      </c>
    </row>
    <row r="4413" spans="1:19" x14ac:dyDescent="0.25">
      <c r="A4413" s="1">
        <v>4408</v>
      </c>
      <c r="B4413" s="1" t="s">
        <v>3</v>
      </c>
      <c r="C4413" s="1" t="str">
        <f>IF($B4413 = "Production Item", _xlfn.XLOOKUP($A4413, 'Instrument Table'!$J:$J, 'Instrument Table'!$B:$B, $C4412), IF($B4413 = "Service Item", _xlfn.XLOOKUP($A4413, 'Instrument Table'!$I:$I, 'Instrument Table'!$B:$B, $C4412), _xlfn.XLOOKUP($A4413, 'Instrument Table'!$H:$H, 'Instrument Table'!$B:$B, $C4412)))</f>
        <v>Cymbal</v>
      </c>
      <c r="D4413" s="1" t="str">
        <f>VLOOKUP($C4413, 'Instrument Table'!$B:$C, 2, FALSE)</f>
        <v>Percussion</v>
      </c>
      <c r="E4413" s="1">
        <f t="shared" si="408"/>
        <v>2</v>
      </c>
      <c r="F4413" s="1">
        <f>_xlfn.XLOOKUP($C4413, 'Instrument Table'!$B:$B, 'Instrument Table'!$A:$A, "")</f>
        <v>53</v>
      </c>
      <c r="G4413" s="1" t="str">
        <f>TEXT(IF($B4413 = "Retail Item", IF((ROW($A4413) - 4504 - _xlfn.XMATCH($C4413, $C$4506:$C$5005, 0, 1)) &lt;= VLOOKUP($C4413, 'Instrument Table'!$B:$D, 3, FALSE), ROW($A4413) - 4504 - _xlfn.XMATCH($C4413, $C$4506:$C$5005, 0, 1), 0), 0), "00")</f>
        <v>00</v>
      </c>
      <c r="H4413" s="1" t="str">
        <f t="shared" si="409"/>
        <v>007</v>
      </c>
      <c r="I4413" s="1" t="str">
        <f t="shared" si="410"/>
        <v>25300-007</v>
      </c>
      <c r="J4413" s="1" t="str">
        <f t="shared" si="411"/>
        <v>Cymbal service item #007</v>
      </c>
      <c r="K4413" s="1" t="str">
        <f>IF(SUM(COUNTIFS(I:I, I4413)) &gt; 1, "DUPLICATE", "UNIQUE")</f>
        <v>UNIQUE</v>
      </c>
      <c r="L4413" s="18">
        <v>1</v>
      </c>
      <c r="M4413" s="28">
        <v>74</v>
      </c>
      <c r="N4413" s="6">
        <v>64</v>
      </c>
      <c r="O4413" s="30">
        <f t="shared" si="412"/>
        <v>74</v>
      </c>
      <c r="P4413" s="30">
        <f t="shared" si="413"/>
        <v>4736</v>
      </c>
      <c r="Q4413" s="1">
        <f>COUNTIFS($P:$P, "&gt;" &amp; $P4413) + 1</f>
        <v>2494</v>
      </c>
      <c r="R4413" s="63">
        <f>(COUNTIFS($P:$P, "&gt;" &amp; $P4413) + 1) / (COUNTA($I:$I) - 1)</f>
        <v>0.49880000000000002</v>
      </c>
      <c r="S4413" s="23">
        <f>SUMIFS($P:$P, $Q:$Q, "&lt;" &amp; $Q4413)</f>
        <v>183086836</v>
      </c>
    </row>
    <row r="4414" spans="1:19" x14ac:dyDescent="0.25">
      <c r="A4414" s="1">
        <v>4409</v>
      </c>
      <c r="B4414" s="1" t="s">
        <v>3</v>
      </c>
      <c r="C4414" s="1" t="str">
        <f>IF($B4414 = "Production Item", _xlfn.XLOOKUP($A4414, 'Instrument Table'!$J:$J, 'Instrument Table'!$B:$B, $C4413), IF($B4414 = "Service Item", _xlfn.XLOOKUP($A4414, 'Instrument Table'!$I:$I, 'Instrument Table'!$B:$B, $C4413), _xlfn.XLOOKUP($A4414, 'Instrument Table'!$H:$H, 'Instrument Table'!$B:$B, $C4413)))</f>
        <v>Cymbal</v>
      </c>
      <c r="D4414" s="1" t="str">
        <f>VLOOKUP($C4414, 'Instrument Table'!$B:$C, 2, FALSE)</f>
        <v>Percussion</v>
      </c>
      <c r="E4414" s="1">
        <f t="shared" si="408"/>
        <v>2</v>
      </c>
      <c r="F4414" s="1">
        <f>_xlfn.XLOOKUP($C4414, 'Instrument Table'!$B:$B, 'Instrument Table'!$A:$A, "")</f>
        <v>53</v>
      </c>
      <c r="G4414" s="1" t="str">
        <f>TEXT(IF($B4414 = "Retail Item", IF((ROW($A4414) - 4504 - _xlfn.XMATCH($C4414, $C$4506:$C$5005, 0, 1)) &lt;= VLOOKUP($C4414, 'Instrument Table'!$B:$D, 3, FALSE), ROW($A4414) - 4504 - _xlfn.XMATCH($C4414, $C$4506:$C$5005, 0, 1), 0), 0), "00")</f>
        <v>00</v>
      </c>
      <c r="H4414" s="1" t="str">
        <f t="shared" si="409"/>
        <v>008</v>
      </c>
      <c r="I4414" s="1" t="str">
        <f t="shared" si="410"/>
        <v>25300-008</v>
      </c>
      <c r="J4414" s="1" t="str">
        <f t="shared" si="411"/>
        <v>Cymbal service item #008</v>
      </c>
      <c r="K4414" s="1" t="str">
        <f>IF(SUM(COUNTIFS(I:I, I4414)) &gt; 1, "DUPLICATE", "UNIQUE")</f>
        <v>UNIQUE</v>
      </c>
      <c r="L4414" s="18">
        <v>10</v>
      </c>
      <c r="M4414" s="28">
        <v>961</v>
      </c>
      <c r="N4414" s="6">
        <v>27</v>
      </c>
      <c r="O4414" s="30">
        <f t="shared" si="412"/>
        <v>9610</v>
      </c>
      <c r="P4414" s="30">
        <f t="shared" si="413"/>
        <v>25947</v>
      </c>
      <c r="Q4414" s="1">
        <f>COUNTIFS($P:$P, "&gt;" &amp; $P4414) + 1</f>
        <v>792</v>
      </c>
      <c r="R4414" s="63">
        <f>(COUNTIFS($P:$P, "&gt;" &amp; $P4414) + 1) / (COUNTA($I:$I) - 1)</f>
        <v>0.15840000000000001</v>
      </c>
      <c r="S4414" s="23">
        <f>SUMIFS($P:$P, $Q:$Q, "&lt;" &amp; $Q4414)</f>
        <v>161620997</v>
      </c>
    </row>
    <row r="4415" spans="1:19" x14ac:dyDescent="0.25">
      <c r="A4415" s="1">
        <v>4410</v>
      </c>
      <c r="B4415" s="1" t="s">
        <v>3</v>
      </c>
      <c r="C4415" s="1" t="str">
        <f>IF($B4415 = "Production Item", _xlfn.XLOOKUP($A4415, 'Instrument Table'!$J:$J, 'Instrument Table'!$B:$B, $C4414), IF($B4415 = "Service Item", _xlfn.XLOOKUP($A4415, 'Instrument Table'!$I:$I, 'Instrument Table'!$B:$B, $C4414), _xlfn.XLOOKUP($A4415, 'Instrument Table'!$H:$H, 'Instrument Table'!$B:$B, $C4414)))</f>
        <v>Cymbal</v>
      </c>
      <c r="D4415" s="1" t="str">
        <f>VLOOKUP($C4415, 'Instrument Table'!$B:$C, 2, FALSE)</f>
        <v>Percussion</v>
      </c>
      <c r="E4415" s="1">
        <f t="shared" si="408"/>
        <v>2</v>
      </c>
      <c r="F4415" s="1">
        <f>_xlfn.XLOOKUP($C4415, 'Instrument Table'!$B:$B, 'Instrument Table'!$A:$A, "")</f>
        <v>53</v>
      </c>
      <c r="G4415" s="1" t="str">
        <f>TEXT(IF($B4415 = "Retail Item", IF((ROW($A4415) - 4504 - _xlfn.XMATCH($C4415, $C$4506:$C$5005, 0, 1)) &lt;= VLOOKUP($C4415, 'Instrument Table'!$B:$D, 3, FALSE), ROW($A4415) - 4504 - _xlfn.XMATCH($C4415, $C$4506:$C$5005, 0, 1), 0), 0), "00")</f>
        <v>00</v>
      </c>
      <c r="H4415" s="1" t="str">
        <f t="shared" si="409"/>
        <v>009</v>
      </c>
      <c r="I4415" s="1" t="str">
        <f t="shared" si="410"/>
        <v>25300-009</v>
      </c>
      <c r="J4415" s="1" t="str">
        <f t="shared" si="411"/>
        <v>Cymbal service item #009</v>
      </c>
      <c r="K4415" s="1" t="str">
        <f>IF(SUM(COUNTIFS(I:I, I4415)) &gt; 1, "DUPLICATE", "UNIQUE")</f>
        <v>UNIQUE</v>
      </c>
      <c r="L4415" s="18">
        <v>6</v>
      </c>
      <c r="M4415" s="28">
        <v>511</v>
      </c>
      <c r="N4415" s="6">
        <v>64</v>
      </c>
      <c r="O4415" s="30">
        <f t="shared" si="412"/>
        <v>3066</v>
      </c>
      <c r="P4415" s="30">
        <f t="shared" si="413"/>
        <v>32704</v>
      </c>
      <c r="Q4415" s="1">
        <f>COUNTIFS($P:$P, "&gt;" &amp; $P4415) + 1</f>
        <v>634</v>
      </c>
      <c r="R4415" s="63">
        <f>(COUNTIFS($P:$P, "&gt;" &amp; $P4415) + 1) / (COUNTA($I:$I) - 1)</f>
        <v>0.1268</v>
      </c>
      <c r="S4415" s="23">
        <f>SUMIFS($P:$P, $Q:$Q, "&lt;" &amp; $Q4415)</f>
        <v>157029040</v>
      </c>
    </row>
    <row r="4416" spans="1:19" x14ac:dyDescent="0.25">
      <c r="A4416" s="1">
        <v>4411</v>
      </c>
      <c r="B4416" s="1" t="s">
        <v>3</v>
      </c>
      <c r="C4416" s="1" t="str">
        <f>IF($B4416 = "Production Item", _xlfn.XLOOKUP($A4416, 'Instrument Table'!$J:$J, 'Instrument Table'!$B:$B, $C4415), IF($B4416 = "Service Item", _xlfn.XLOOKUP($A4416, 'Instrument Table'!$I:$I, 'Instrument Table'!$B:$B, $C4415), _xlfn.XLOOKUP($A4416, 'Instrument Table'!$H:$H, 'Instrument Table'!$B:$B, $C4415)))</f>
        <v>Theremin</v>
      </c>
      <c r="D4416" s="1" t="str">
        <f>VLOOKUP($C4416, 'Instrument Table'!$B:$C, 2, FALSE)</f>
        <v>Other</v>
      </c>
      <c r="E4416" s="1">
        <f t="shared" si="408"/>
        <v>2</v>
      </c>
      <c r="F4416" s="1">
        <f>_xlfn.XLOOKUP($C4416, 'Instrument Table'!$B:$B, 'Instrument Table'!$A:$A, "")</f>
        <v>60</v>
      </c>
      <c r="G4416" s="1" t="str">
        <f>TEXT(IF($B4416 = "Retail Item", IF((ROW($A4416) - 4504 - _xlfn.XMATCH($C4416, $C$4506:$C$5005, 0, 1)) &lt;= VLOOKUP($C4416, 'Instrument Table'!$B:$D, 3, FALSE), ROW($A4416) - 4504 - _xlfn.XMATCH($C4416, $C$4506:$C$5005, 0, 1), 0), 0), "00")</f>
        <v>00</v>
      </c>
      <c r="H4416" s="1" t="str">
        <f t="shared" si="409"/>
        <v>000</v>
      </c>
      <c r="I4416" s="1" t="str">
        <f t="shared" si="410"/>
        <v>26000-000</v>
      </c>
      <c r="J4416" s="1" t="str">
        <f t="shared" si="411"/>
        <v>Theremin service item #000</v>
      </c>
      <c r="K4416" s="1" t="str">
        <f>IF(SUM(COUNTIFS(I:I, I4416)) &gt; 1, "DUPLICATE", "UNIQUE")</f>
        <v>UNIQUE</v>
      </c>
      <c r="L4416" s="18">
        <v>10</v>
      </c>
      <c r="M4416" s="28">
        <v>320</v>
      </c>
      <c r="N4416" s="6">
        <v>125</v>
      </c>
      <c r="O4416" s="30">
        <f t="shared" si="412"/>
        <v>3200</v>
      </c>
      <c r="P4416" s="30">
        <f t="shared" si="413"/>
        <v>40000</v>
      </c>
      <c r="Q4416" s="1">
        <f>COUNTIFS($P:$P, "&gt;" &amp; $P4416) + 1</f>
        <v>551</v>
      </c>
      <c r="R4416" s="63">
        <f>(COUNTIFS($P:$P, "&gt;" &amp; $P4416) + 1) / (COUNTA($I:$I) - 1)</f>
        <v>0.11020000000000001</v>
      </c>
      <c r="S4416" s="23">
        <f>SUMIFS($P:$P, $Q:$Q, "&lt;" &amp; $Q4416)</f>
        <v>154017534</v>
      </c>
    </row>
    <row r="4417" spans="1:19" x14ac:dyDescent="0.25">
      <c r="A4417" s="1">
        <v>4412</v>
      </c>
      <c r="B4417" s="1" t="s">
        <v>3</v>
      </c>
      <c r="C4417" s="1" t="str">
        <f>IF($B4417 = "Production Item", _xlfn.XLOOKUP($A4417, 'Instrument Table'!$J:$J, 'Instrument Table'!$B:$B, $C4416), IF($B4417 = "Service Item", _xlfn.XLOOKUP($A4417, 'Instrument Table'!$I:$I, 'Instrument Table'!$B:$B, $C4416), _xlfn.XLOOKUP($A4417, 'Instrument Table'!$H:$H, 'Instrument Table'!$B:$B, $C4416)))</f>
        <v>Theremin</v>
      </c>
      <c r="D4417" s="1" t="str">
        <f>VLOOKUP($C4417, 'Instrument Table'!$B:$C, 2, FALSE)</f>
        <v>Other</v>
      </c>
      <c r="E4417" s="1">
        <f t="shared" si="408"/>
        <v>2</v>
      </c>
      <c r="F4417" s="1">
        <f>_xlfn.XLOOKUP($C4417, 'Instrument Table'!$B:$B, 'Instrument Table'!$A:$A, "")</f>
        <v>60</v>
      </c>
      <c r="G4417" s="1" t="str">
        <f>TEXT(IF($B4417 = "Retail Item", IF((ROW($A4417) - 4504 - _xlfn.XMATCH($C4417, $C$4506:$C$5005, 0, 1)) &lt;= VLOOKUP($C4417, 'Instrument Table'!$B:$D, 3, FALSE), ROW($A4417) - 4504 - _xlfn.XMATCH($C4417, $C$4506:$C$5005, 0, 1), 0), 0), "00")</f>
        <v>00</v>
      </c>
      <c r="H4417" s="1" t="str">
        <f t="shared" si="409"/>
        <v>001</v>
      </c>
      <c r="I4417" s="1" t="str">
        <f t="shared" si="410"/>
        <v>26000-001</v>
      </c>
      <c r="J4417" s="1" t="str">
        <f t="shared" si="411"/>
        <v>Theremin service item #001</v>
      </c>
      <c r="K4417" s="1" t="str">
        <f>IF(SUM(COUNTIFS(I:I, I4417)) &gt; 1, "DUPLICATE", "UNIQUE")</f>
        <v>UNIQUE</v>
      </c>
      <c r="L4417" s="18">
        <v>5</v>
      </c>
      <c r="M4417" s="28">
        <v>956</v>
      </c>
      <c r="N4417" s="6">
        <v>0</v>
      </c>
      <c r="O4417" s="30">
        <f t="shared" si="412"/>
        <v>4780</v>
      </c>
      <c r="P4417" s="30">
        <f t="shared" si="413"/>
        <v>0</v>
      </c>
      <c r="Q4417" s="1">
        <f>COUNTIFS($P:$P, "&gt;" &amp; $P4417) + 1</f>
        <v>4746</v>
      </c>
      <c r="R4417" s="63">
        <f>(COUNTIFS($P:$P, "&gt;" &amp; $P4417) + 1) / (COUNTA($I:$I) - 1)</f>
        <v>0.94920000000000004</v>
      </c>
      <c r="S4417" s="23">
        <f>SUMIFS($P:$P, $Q:$Q, "&lt;" &amp; $Q4417)</f>
        <v>186547861</v>
      </c>
    </row>
    <row r="4418" spans="1:19" x14ac:dyDescent="0.25">
      <c r="A4418" s="1">
        <v>4413</v>
      </c>
      <c r="B4418" s="1" t="s">
        <v>3</v>
      </c>
      <c r="C4418" s="1" t="str">
        <f>IF($B4418 = "Production Item", _xlfn.XLOOKUP($A4418, 'Instrument Table'!$J:$J, 'Instrument Table'!$B:$B, $C4417), IF($B4418 = "Service Item", _xlfn.XLOOKUP($A4418, 'Instrument Table'!$I:$I, 'Instrument Table'!$B:$B, $C4417), _xlfn.XLOOKUP($A4418, 'Instrument Table'!$H:$H, 'Instrument Table'!$B:$B, $C4417)))</f>
        <v>Theremin</v>
      </c>
      <c r="D4418" s="1" t="str">
        <f>VLOOKUP($C4418, 'Instrument Table'!$B:$C, 2, FALSE)</f>
        <v>Other</v>
      </c>
      <c r="E4418" s="1">
        <f t="shared" si="408"/>
        <v>2</v>
      </c>
      <c r="F4418" s="1">
        <f>_xlfn.XLOOKUP($C4418, 'Instrument Table'!$B:$B, 'Instrument Table'!$A:$A, "")</f>
        <v>60</v>
      </c>
      <c r="G4418" s="1" t="str">
        <f>TEXT(IF($B4418 = "Retail Item", IF((ROW($A4418) - 4504 - _xlfn.XMATCH($C4418, $C$4506:$C$5005, 0, 1)) &lt;= VLOOKUP($C4418, 'Instrument Table'!$B:$D, 3, FALSE), ROW($A4418) - 4504 - _xlfn.XMATCH($C4418, $C$4506:$C$5005, 0, 1), 0), 0), "00")</f>
        <v>00</v>
      </c>
      <c r="H4418" s="1" t="str">
        <f t="shared" si="409"/>
        <v>002</v>
      </c>
      <c r="I4418" s="1" t="str">
        <f t="shared" si="410"/>
        <v>26000-002</v>
      </c>
      <c r="J4418" s="1" t="str">
        <f t="shared" si="411"/>
        <v>Theremin service item #002</v>
      </c>
      <c r="K4418" s="1" t="str">
        <f>IF(SUM(COUNTIFS(I:I, I4418)) &gt; 1, "DUPLICATE", "UNIQUE")</f>
        <v>UNIQUE</v>
      </c>
      <c r="L4418" s="18">
        <v>9</v>
      </c>
      <c r="M4418" s="28">
        <v>529</v>
      </c>
      <c r="N4418" s="6">
        <v>125</v>
      </c>
      <c r="O4418" s="30">
        <f t="shared" si="412"/>
        <v>4761</v>
      </c>
      <c r="P4418" s="30">
        <f t="shared" si="413"/>
        <v>66125</v>
      </c>
      <c r="Q4418" s="1">
        <f>COUNTIFS($P:$P, "&gt;" &amp; $P4418) + 1</f>
        <v>484</v>
      </c>
      <c r="R4418" s="63">
        <f>(COUNTIFS($P:$P, "&gt;" &amp; $P4418) + 1) / (COUNTA($I:$I) - 1)</f>
        <v>9.6799999999999997E-2</v>
      </c>
      <c r="S4418" s="23">
        <f>SUMIFS($P:$P, $Q:$Q, "&lt;" &amp; $Q4418)</f>
        <v>150454794</v>
      </c>
    </row>
    <row r="4419" spans="1:19" x14ac:dyDescent="0.25">
      <c r="A4419" s="1">
        <v>4414</v>
      </c>
      <c r="B4419" s="1" t="s">
        <v>3</v>
      </c>
      <c r="C4419" s="1" t="str">
        <f>IF($B4419 = "Production Item", _xlfn.XLOOKUP($A4419, 'Instrument Table'!$J:$J, 'Instrument Table'!$B:$B, $C4418), IF($B4419 = "Service Item", _xlfn.XLOOKUP($A4419, 'Instrument Table'!$I:$I, 'Instrument Table'!$B:$B, $C4418), _xlfn.XLOOKUP($A4419, 'Instrument Table'!$H:$H, 'Instrument Table'!$B:$B, $C4418)))</f>
        <v>Theremin</v>
      </c>
      <c r="D4419" s="1" t="str">
        <f>VLOOKUP($C4419, 'Instrument Table'!$B:$C, 2, FALSE)</f>
        <v>Other</v>
      </c>
      <c r="E4419" s="1">
        <f t="shared" si="408"/>
        <v>2</v>
      </c>
      <c r="F4419" s="1">
        <f>_xlfn.XLOOKUP($C4419, 'Instrument Table'!$B:$B, 'Instrument Table'!$A:$A, "")</f>
        <v>60</v>
      </c>
      <c r="G4419" s="1" t="str">
        <f>TEXT(IF($B4419 = "Retail Item", IF((ROW($A4419) - 4504 - _xlfn.XMATCH($C4419, $C$4506:$C$5005, 0, 1)) &lt;= VLOOKUP($C4419, 'Instrument Table'!$B:$D, 3, FALSE), ROW($A4419) - 4504 - _xlfn.XMATCH($C4419, $C$4506:$C$5005, 0, 1), 0), 0), "00")</f>
        <v>00</v>
      </c>
      <c r="H4419" s="1" t="str">
        <f t="shared" si="409"/>
        <v>003</v>
      </c>
      <c r="I4419" s="1" t="str">
        <f t="shared" si="410"/>
        <v>26000-003</v>
      </c>
      <c r="J4419" s="1" t="str">
        <f t="shared" si="411"/>
        <v>Theremin service item #003</v>
      </c>
      <c r="K4419" s="1" t="str">
        <f>IF(SUM(COUNTIFS(I:I, I4419)) &gt; 1, "DUPLICATE", "UNIQUE")</f>
        <v>UNIQUE</v>
      </c>
      <c r="L4419" s="18">
        <v>5</v>
      </c>
      <c r="M4419" s="28">
        <v>98</v>
      </c>
      <c r="N4419" s="6">
        <v>1</v>
      </c>
      <c r="O4419" s="30">
        <f t="shared" si="412"/>
        <v>490</v>
      </c>
      <c r="P4419" s="30">
        <f t="shared" si="413"/>
        <v>98</v>
      </c>
      <c r="Q4419" s="1">
        <f>COUNTIFS($P:$P, "&gt;" &amp; $P4419) + 1</f>
        <v>4460</v>
      </c>
      <c r="R4419" s="63">
        <f>(COUNTIFS($P:$P, "&gt;" &amp; $P4419) + 1) / (COUNTA($I:$I) - 1)</f>
        <v>0.89200000000000002</v>
      </c>
      <c r="S4419" s="23">
        <f>SUMIFS($P:$P, $Q:$Q, "&lt;" &amp; $Q4419)</f>
        <v>186533215</v>
      </c>
    </row>
    <row r="4420" spans="1:19" x14ac:dyDescent="0.25">
      <c r="A4420" s="1">
        <v>4415</v>
      </c>
      <c r="B4420" s="1" t="s">
        <v>3</v>
      </c>
      <c r="C4420" s="1" t="str">
        <f>IF($B4420 = "Production Item", _xlfn.XLOOKUP($A4420, 'Instrument Table'!$J:$J, 'Instrument Table'!$B:$B, $C4419), IF($B4420 = "Service Item", _xlfn.XLOOKUP($A4420, 'Instrument Table'!$I:$I, 'Instrument Table'!$B:$B, $C4419), _xlfn.XLOOKUP($A4420, 'Instrument Table'!$H:$H, 'Instrument Table'!$B:$B, $C4419)))</f>
        <v>Theremin</v>
      </c>
      <c r="D4420" s="1" t="str">
        <f>VLOOKUP($C4420, 'Instrument Table'!$B:$C, 2, FALSE)</f>
        <v>Other</v>
      </c>
      <c r="E4420" s="1">
        <f t="shared" si="408"/>
        <v>2</v>
      </c>
      <c r="F4420" s="1">
        <f>_xlfn.XLOOKUP($C4420, 'Instrument Table'!$B:$B, 'Instrument Table'!$A:$A, "")</f>
        <v>60</v>
      </c>
      <c r="G4420" s="1" t="str">
        <f>TEXT(IF($B4420 = "Retail Item", IF((ROW($A4420) - 4504 - _xlfn.XMATCH($C4420, $C$4506:$C$5005, 0, 1)) &lt;= VLOOKUP($C4420, 'Instrument Table'!$B:$D, 3, FALSE), ROW($A4420) - 4504 - _xlfn.XMATCH($C4420, $C$4506:$C$5005, 0, 1), 0), 0), "00")</f>
        <v>00</v>
      </c>
      <c r="H4420" s="1" t="str">
        <f t="shared" si="409"/>
        <v>004</v>
      </c>
      <c r="I4420" s="1" t="str">
        <f t="shared" si="410"/>
        <v>26000-004</v>
      </c>
      <c r="J4420" s="1" t="str">
        <f t="shared" si="411"/>
        <v>Theremin service item #004</v>
      </c>
      <c r="K4420" s="1" t="str">
        <f>IF(SUM(COUNTIFS(I:I, I4420)) &gt; 1, "DUPLICATE", "UNIQUE")</f>
        <v>UNIQUE</v>
      </c>
      <c r="L4420" s="18">
        <v>4</v>
      </c>
      <c r="M4420" s="28">
        <v>295</v>
      </c>
      <c r="N4420" s="6">
        <v>64</v>
      </c>
      <c r="O4420" s="30">
        <f t="shared" si="412"/>
        <v>1180</v>
      </c>
      <c r="P4420" s="30">
        <f t="shared" si="413"/>
        <v>18880</v>
      </c>
      <c r="Q4420" s="1">
        <f>COUNTIFS($P:$P, "&gt;" &amp; $P4420) + 1</f>
        <v>1109</v>
      </c>
      <c r="R4420" s="63">
        <f>(COUNTIFS($P:$P, "&gt;" &amp; $P4420) + 1) / (COUNTA($I:$I) - 1)</f>
        <v>0.2218</v>
      </c>
      <c r="S4420" s="23">
        <f>SUMIFS($P:$P, $Q:$Q, "&lt;" &amp; $Q4420)</f>
        <v>168675090</v>
      </c>
    </row>
    <row r="4421" spans="1:19" x14ac:dyDescent="0.25">
      <c r="A4421" s="1">
        <v>4416</v>
      </c>
      <c r="B4421" s="1" t="s">
        <v>3</v>
      </c>
      <c r="C4421" s="1" t="str">
        <f>IF($B4421 = "Production Item", _xlfn.XLOOKUP($A4421, 'Instrument Table'!$J:$J, 'Instrument Table'!$B:$B, $C4420), IF($B4421 = "Service Item", _xlfn.XLOOKUP($A4421, 'Instrument Table'!$I:$I, 'Instrument Table'!$B:$B, $C4420), _xlfn.XLOOKUP($A4421, 'Instrument Table'!$H:$H, 'Instrument Table'!$B:$B, $C4420)))</f>
        <v>Theremin</v>
      </c>
      <c r="D4421" s="1" t="str">
        <f>VLOOKUP($C4421, 'Instrument Table'!$B:$C, 2, FALSE)</f>
        <v>Other</v>
      </c>
      <c r="E4421" s="1">
        <f t="shared" si="408"/>
        <v>2</v>
      </c>
      <c r="F4421" s="1">
        <f>_xlfn.XLOOKUP($C4421, 'Instrument Table'!$B:$B, 'Instrument Table'!$A:$A, "")</f>
        <v>60</v>
      </c>
      <c r="G4421" s="1" t="str">
        <f>TEXT(IF($B4421 = "Retail Item", IF((ROW($A4421) - 4504 - _xlfn.XMATCH($C4421, $C$4506:$C$5005, 0, 1)) &lt;= VLOOKUP($C4421, 'Instrument Table'!$B:$D, 3, FALSE), ROW($A4421) - 4504 - _xlfn.XMATCH($C4421, $C$4506:$C$5005, 0, 1), 0), 0), "00")</f>
        <v>00</v>
      </c>
      <c r="H4421" s="1" t="str">
        <f t="shared" si="409"/>
        <v>005</v>
      </c>
      <c r="I4421" s="1" t="str">
        <f t="shared" si="410"/>
        <v>26000-005</v>
      </c>
      <c r="J4421" s="1" t="str">
        <f t="shared" si="411"/>
        <v>Theremin service item #005</v>
      </c>
      <c r="K4421" s="1" t="str">
        <f>IF(SUM(COUNTIFS(I:I, I4421)) &gt; 1, "DUPLICATE", "UNIQUE")</f>
        <v>UNIQUE</v>
      </c>
      <c r="L4421" s="18">
        <v>0</v>
      </c>
      <c r="M4421" s="28">
        <v>549</v>
      </c>
      <c r="N4421" s="6">
        <v>1</v>
      </c>
      <c r="O4421" s="30">
        <f t="shared" si="412"/>
        <v>0</v>
      </c>
      <c r="P4421" s="30">
        <f t="shared" si="413"/>
        <v>549</v>
      </c>
      <c r="Q4421" s="1">
        <f>COUNTIFS($P:$P, "&gt;" &amp; $P4421) + 1</f>
        <v>3983</v>
      </c>
      <c r="R4421" s="63">
        <f>(COUNTIFS($P:$P, "&gt;" &amp; $P4421) + 1) / (COUNTA($I:$I) - 1)</f>
        <v>0.79659999999999997</v>
      </c>
      <c r="S4421" s="23">
        <f>SUMIFS($P:$P, $Q:$Q, "&lt;" &amp; $Q4421)</f>
        <v>186389121</v>
      </c>
    </row>
    <row r="4422" spans="1:19" x14ac:dyDescent="0.25">
      <c r="A4422" s="1">
        <v>4417</v>
      </c>
      <c r="B4422" s="1" t="s">
        <v>3</v>
      </c>
      <c r="C4422" s="1" t="str">
        <f>IF($B4422 = "Production Item", _xlfn.XLOOKUP($A4422, 'Instrument Table'!$J:$J, 'Instrument Table'!$B:$B, $C4421), IF($B4422 = "Service Item", _xlfn.XLOOKUP($A4422, 'Instrument Table'!$I:$I, 'Instrument Table'!$B:$B, $C4421), _xlfn.XLOOKUP($A4422, 'Instrument Table'!$H:$H, 'Instrument Table'!$B:$B, $C4421)))</f>
        <v>Theremin</v>
      </c>
      <c r="D4422" s="1" t="str">
        <f>VLOOKUP($C4422, 'Instrument Table'!$B:$C, 2, FALSE)</f>
        <v>Other</v>
      </c>
      <c r="E4422" s="1">
        <f t="shared" si="408"/>
        <v>2</v>
      </c>
      <c r="F4422" s="1">
        <f>_xlfn.XLOOKUP($C4422, 'Instrument Table'!$B:$B, 'Instrument Table'!$A:$A, "")</f>
        <v>60</v>
      </c>
      <c r="G4422" s="1" t="str">
        <f>TEXT(IF($B4422 = "Retail Item", IF((ROW($A4422) - 4504 - _xlfn.XMATCH($C4422, $C$4506:$C$5005, 0, 1)) &lt;= VLOOKUP($C4422, 'Instrument Table'!$B:$D, 3, FALSE), ROW($A4422) - 4504 - _xlfn.XMATCH($C4422, $C$4506:$C$5005, 0, 1), 0), 0), "00")</f>
        <v>00</v>
      </c>
      <c r="H4422" s="1" t="str">
        <f t="shared" si="409"/>
        <v>006</v>
      </c>
      <c r="I4422" s="1" t="str">
        <f t="shared" si="410"/>
        <v>26000-006</v>
      </c>
      <c r="J4422" s="1" t="str">
        <f t="shared" si="411"/>
        <v>Theremin service item #006</v>
      </c>
      <c r="K4422" s="1" t="str">
        <f>IF(SUM(COUNTIFS(I:I, I4422)) &gt; 1, "DUPLICATE", "UNIQUE")</f>
        <v>UNIQUE</v>
      </c>
      <c r="L4422" s="18">
        <v>1</v>
      </c>
      <c r="M4422" s="28">
        <v>873</v>
      </c>
      <c r="N4422" s="6">
        <v>1</v>
      </c>
      <c r="O4422" s="30">
        <f t="shared" si="412"/>
        <v>873</v>
      </c>
      <c r="P4422" s="30">
        <f t="shared" si="413"/>
        <v>873</v>
      </c>
      <c r="Q4422" s="1">
        <f>COUNTIFS($P:$P, "&gt;" &amp; $P4422) + 1</f>
        <v>3745</v>
      </c>
      <c r="R4422" s="63">
        <f>(COUNTIFS($P:$P, "&gt;" &amp; $P4422) + 1) / (COUNTA($I:$I) - 1)</f>
        <v>0.749</v>
      </c>
      <c r="S4422" s="23">
        <f>SUMIFS($P:$P, $Q:$Q, "&lt;" &amp; $Q4422)</f>
        <v>186219830</v>
      </c>
    </row>
    <row r="4423" spans="1:19" x14ac:dyDescent="0.25">
      <c r="A4423" s="1">
        <v>4418</v>
      </c>
      <c r="B4423" s="1" t="s">
        <v>3</v>
      </c>
      <c r="C4423" s="1" t="str">
        <f>IF($B4423 = "Production Item", _xlfn.XLOOKUP($A4423, 'Instrument Table'!$J:$J, 'Instrument Table'!$B:$B, $C4422), IF($B4423 = "Service Item", _xlfn.XLOOKUP($A4423, 'Instrument Table'!$I:$I, 'Instrument Table'!$B:$B, $C4422), _xlfn.XLOOKUP($A4423, 'Instrument Table'!$H:$H, 'Instrument Table'!$B:$B, $C4422)))</f>
        <v>Theremin</v>
      </c>
      <c r="D4423" s="1" t="str">
        <f>VLOOKUP($C4423, 'Instrument Table'!$B:$C, 2, FALSE)</f>
        <v>Other</v>
      </c>
      <c r="E4423" s="1">
        <f t="shared" ref="E4423:E4486" si="414">IF($B4423 = "Production Item", 1, IF($B4423 = "Service Item", 2, IF($B4423 = "Retail Item", 3, "")))</f>
        <v>2</v>
      </c>
      <c r="F4423" s="1">
        <f>_xlfn.XLOOKUP($C4423, 'Instrument Table'!$B:$B, 'Instrument Table'!$A:$A, "")</f>
        <v>60</v>
      </c>
      <c r="G4423" s="1" t="str">
        <f>TEXT(IF($B4423 = "Retail Item", IF((ROW($A4423) - 4504 - _xlfn.XMATCH($C4423, $C$4506:$C$5005, 0, 1)) &lt;= VLOOKUP($C4423, 'Instrument Table'!$B:$D, 3, FALSE), ROW($A4423) - 4504 - _xlfn.XMATCH($C4423, $C$4506:$C$5005, 0, 1), 0), 0), "00")</f>
        <v>00</v>
      </c>
      <c r="H4423" s="1" t="str">
        <f t="shared" ref="H4423:H4486" si="415">TEXT(IF($E4423 &amp; $F4423 &amp; $G4423 = $E4422 &amp; $F4422 &amp; $G4422, 1 + H4422, 0), "000")</f>
        <v>007</v>
      </c>
      <c r="I4423" s="1" t="str">
        <f t="shared" ref="I4423:I4486" si="416" xml:space="preserve"> _xlfn.CONCAT($E4423, $F4423, $G4423, "-", H4423)</f>
        <v>26000-007</v>
      </c>
      <c r="J4423" s="1" t="str">
        <f t="shared" ref="J4423:J4486" si="417">LEFT($C4423, 1) &amp; LOWER(RIGHT($C4423, LEN($C4423) - 1)) &amp; IF(AND($G4423 &lt;&gt; "00", $B4423 = "Retail Item"), " model #" &amp; $G4423, " " &amp; LOWER($B4423) &amp; " #" &amp; $H4423)</f>
        <v>Theremin service item #007</v>
      </c>
      <c r="K4423" s="1" t="str">
        <f>IF(SUM(COUNTIFS(I:I, I4423)) &gt; 1, "DUPLICATE", "UNIQUE")</f>
        <v>UNIQUE</v>
      </c>
      <c r="L4423" s="18">
        <v>6</v>
      </c>
      <c r="M4423" s="28">
        <v>320</v>
      </c>
      <c r="N4423" s="6">
        <v>8</v>
      </c>
      <c r="O4423" s="30">
        <f t="shared" ref="O4423:O4486" si="418">$L4423 * $M4423</f>
        <v>1920</v>
      </c>
      <c r="P4423" s="30">
        <f t="shared" ref="P4423:P4486" si="419">$N4423 * $M4423</f>
        <v>2560</v>
      </c>
      <c r="Q4423" s="1">
        <f>COUNTIFS($P:$P, "&gt;" &amp; $P4423) + 1</f>
        <v>3025</v>
      </c>
      <c r="R4423" s="63">
        <f>(COUNTIFS($P:$P, "&gt;" &amp; $P4423) + 1) / (COUNTA($I:$I) - 1)</f>
        <v>0.60499999999999998</v>
      </c>
      <c r="S4423" s="23">
        <f>SUMIFS($P:$P, $Q:$Q, "&lt;" &amp; $Q4423)</f>
        <v>184997138</v>
      </c>
    </row>
    <row r="4424" spans="1:19" x14ac:dyDescent="0.25">
      <c r="A4424" s="1">
        <v>4419</v>
      </c>
      <c r="B4424" s="1" t="s">
        <v>3</v>
      </c>
      <c r="C4424" s="1" t="str">
        <f>IF($B4424 = "Production Item", _xlfn.XLOOKUP($A4424, 'Instrument Table'!$J:$J, 'Instrument Table'!$B:$B, $C4423), IF($B4424 = "Service Item", _xlfn.XLOOKUP($A4424, 'Instrument Table'!$I:$I, 'Instrument Table'!$B:$B, $C4423), _xlfn.XLOOKUP($A4424, 'Instrument Table'!$H:$H, 'Instrument Table'!$B:$B, $C4423)))</f>
        <v>Theremin</v>
      </c>
      <c r="D4424" s="1" t="str">
        <f>VLOOKUP($C4424, 'Instrument Table'!$B:$C, 2, FALSE)</f>
        <v>Other</v>
      </c>
      <c r="E4424" s="1">
        <f t="shared" si="414"/>
        <v>2</v>
      </c>
      <c r="F4424" s="1">
        <f>_xlfn.XLOOKUP($C4424, 'Instrument Table'!$B:$B, 'Instrument Table'!$A:$A, "")</f>
        <v>60</v>
      </c>
      <c r="G4424" s="1" t="str">
        <f>TEXT(IF($B4424 = "Retail Item", IF((ROW($A4424) - 4504 - _xlfn.XMATCH($C4424, $C$4506:$C$5005, 0, 1)) &lt;= VLOOKUP($C4424, 'Instrument Table'!$B:$D, 3, FALSE), ROW($A4424) - 4504 - _xlfn.XMATCH($C4424, $C$4506:$C$5005, 0, 1), 0), 0), "00")</f>
        <v>00</v>
      </c>
      <c r="H4424" s="1" t="str">
        <f t="shared" si="415"/>
        <v>008</v>
      </c>
      <c r="I4424" s="1" t="str">
        <f t="shared" si="416"/>
        <v>26000-008</v>
      </c>
      <c r="J4424" s="1" t="str">
        <f t="shared" si="417"/>
        <v>Theremin service item #008</v>
      </c>
      <c r="K4424" s="1" t="str">
        <f>IF(SUM(COUNTIFS(I:I, I4424)) &gt; 1, "DUPLICATE", "UNIQUE")</f>
        <v>UNIQUE</v>
      </c>
      <c r="L4424" s="18">
        <v>8</v>
      </c>
      <c r="M4424" s="28">
        <v>747</v>
      </c>
      <c r="N4424" s="6">
        <v>1</v>
      </c>
      <c r="O4424" s="30">
        <f t="shared" si="418"/>
        <v>5976</v>
      </c>
      <c r="P4424" s="30">
        <f t="shared" si="419"/>
        <v>747</v>
      </c>
      <c r="Q4424" s="1">
        <f>COUNTIFS($P:$P, "&gt;" &amp; $P4424) + 1</f>
        <v>3832</v>
      </c>
      <c r="R4424" s="63">
        <f>(COUNTIFS($P:$P, "&gt;" &amp; $P4424) + 1) / (COUNTA($I:$I) - 1)</f>
        <v>0.76639999999999997</v>
      </c>
      <c r="S4424" s="23">
        <f>SUMIFS($P:$P, $Q:$Q, "&lt;" &amp; $Q4424)</f>
        <v>186290258</v>
      </c>
    </row>
    <row r="4425" spans="1:19" x14ac:dyDescent="0.25">
      <c r="A4425" s="1">
        <v>4420</v>
      </c>
      <c r="B4425" s="1" t="s">
        <v>3</v>
      </c>
      <c r="C4425" s="1" t="str">
        <f>IF($B4425 = "Production Item", _xlfn.XLOOKUP($A4425, 'Instrument Table'!$J:$J, 'Instrument Table'!$B:$B, $C4424), IF($B4425 = "Service Item", _xlfn.XLOOKUP($A4425, 'Instrument Table'!$I:$I, 'Instrument Table'!$B:$B, $C4424), _xlfn.XLOOKUP($A4425, 'Instrument Table'!$H:$H, 'Instrument Table'!$B:$B, $C4424)))</f>
        <v>Theremin</v>
      </c>
      <c r="D4425" s="1" t="str">
        <f>VLOOKUP($C4425, 'Instrument Table'!$B:$C, 2, FALSE)</f>
        <v>Other</v>
      </c>
      <c r="E4425" s="1">
        <f t="shared" si="414"/>
        <v>2</v>
      </c>
      <c r="F4425" s="1">
        <f>_xlfn.XLOOKUP($C4425, 'Instrument Table'!$B:$B, 'Instrument Table'!$A:$A, "")</f>
        <v>60</v>
      </c>
      <c r="G4425" s="1" t="str">
        <f>TEXT(IF($B4425 = "Retail Item", IF((ROW($A4425) - 4504 - _xlfn.XMATCH($C4425, $C$4506:$C$5005, 0, 1)) &lt;= VLOOKUP($C4425, 'Instrument Table'!$B:$D, 3, FALSE), ROW($A4425) - 4504 - _xlfn.XMATCH($C4425, $C$4506:$C$5005, 0, 1), 0), 0), "00")</f>
        <v>00</v>
      </c>
      <c r="H4425" s="1" t="str">
        <f t="shared" si="415"/>
        <v>009</v>
      </c>
      <c r="I4425" s="1" t="str">
        <f t="shared" si="416"/>
        <v>26000-009</v>
      </c>
      <c r="J4425" s="1" t="str">
        <f t="shared" si="417"/>
        <v>Theremin service item #009</v>
      </c>
      <c r="K4425" s="1" t="str">
        <f>IF(SUM(COUNTIFS(I:I, I4425)) &gt; 1, "DUPLICATE", "UNIQUE")</f>
        <v>UNIQUE</v>
      </c>
      <c r="L4425" s="18">
        <v>3</v>
      </c>
      <c r="M4425" s="28">
        <v>529</v>
      </c>
      <c r="N4425" s="6">
        <v>125</v>
      </c>
      <c r="O4425" s="30">
        <f t="shared" si="418"/>
        <v>1587</v>
      </c>
      <c r="P4425" s="30">
        <f t="shared" si="419"/>
        <v>66125</v>
      </c>
      <c r="Q4425" s="1">
        <f>COUNTIFS($P:$P, "&gt;" &amp; $P4425) + 1</f>
        <v>484</v>
      </c>
      <c r="R4425" s="63">
        <f>(COUNTIFS($P:$P, "&gt;" &amp; $P4425) + 1) / (COUNTA($I:$I) - 1)</f>
        <v>9.6799999999999997E-2</v>
      </c>
      <c r="S4425" s="23">
        <f>SUMIFS($P:$P, $Q:$Q, "&lt;" &amp; $Q4425)</f>
        <v>150454794</v>
      </c>
    </row>
    <row r="4426" spans="1:19" x14ac:dyDescent="0.25">
      <c r="A4426" s="1">
        <v>4421</v>
      </c>
      <c r="B4426" s="1" t="s">
        <v>3</v>
      </c>
      <c r="C4426" s="1" t="str">
        <f>IF($B4426 = "Production Item", _xlfn.XLOOKUP($A4426, 'Instrument Table'!$J:$J, 'Instrument Table'!$B:$B, $C4425), IF($B4426 = "Service Item", _xlfn.XLOOKUP($A4426, 'Instrument Table'!$I:$I, 'Instrument Table'!$B:$B, $C4425), _xlfn.XLOOKUP($A4426, 'Instrument Table'!$H:$H, 'Instrument Table'!$B:$B, $C4425)))</f>
        <v>Theremin</v>
      </c>
      <c r="D4426" s="1" t="str">
        <f>VLOOKUP($C4426, 'Instrument Table'!$B:$C, 2, FALSE)</f>
        <v>Other</v>
      </c>
      <c r="E4426" s="1">
        <f t="shared" si="414"/>
        <v>2</v>
      </c>
      <c r="F4426" s="1">
        <f>_xlfn.XLOOKUP($C4426, 'Instrument Table'!$B:$B, 'Instrument Table'!$A:$A, "")</f>
        <v>60</v>
      </c>
      <c r="G4426" s="1" t="str">
        <f>TEXT(IF($B4426 = "Retail Item", IF((ROW($A4426) - 4504 - _xlfn.XMATCH($C4426, $C$4506:$C$5005, 0, 1)) &lt;= VLOOKUP($C4426, 'Instrument Table'!$B:$D, 3, FALSE), ROW($A4426) - 4504 - _xlfn.XMATCH($C4426, $C$4506:$C$5005, 0, 1), 0), 0), "00")</f>
        <v>00</v>
      </c>
      <c r="H4426" s="1" t="str">
        <f t="shared" si="415"/>
        <v>010</v>
      </c>
      <c r="I4426" s="1" t="str">
        <f t="shared" si="416"/>
        <v>26000-010</v>
      </c>
      <c r="J4426" s="1" t="str">
        <f t="shared" si="417"/>
        <v>Theremin service item #010</v>
      </c>
      <c r="K4426" s="1" t="str">
        <f>IF(SUM(COUNTIFS(I:I, I4426)) &gt; 1, "DUPLICATE", "UNIQUE")</f>
        <v>UNIQUE</v>
      </c>
      <c r="L4426" s="18">
        <v>2</v>
      </c>
      <c r="M4426" s="28">
        <v>592</v>
      </c>
      <c r="N4426" s="6">
        <v>125</v>
      </c>
      <c r="O4426" s="30">
        <f t="shared" si="418"/>
        <v>1184</v>
      </c>
      <c r="P4426" s="30">
        <f t="shared" si="419"/>
        <v>74000</v>
      </c>
      <c r="Q4426" s="1">
        <f>COUNTIFS($P:$P, "&gt;" &amp; $P4426) + 1</f>
        <v>460</v>
      </c>
      <c r="R4426" s="63">
        <f>(COUNTIFS($P:$P, "&gt;" &amp; $P4426) + 1) / (COUNTA($I:$I) - 1)</f>
        <v>9.1999999999999998E-2</v>
      </c>
      <c r="S4426" s="23">
        <f>SUMIFS($P:$P, $Q:$Q, "&lt;" &amp; $Q4426)</f>
        <v>148789673</v>
      </c>
    </row>
    <row r="4427" spans="1:19" x14ac:dyDescent="0.25">
      <c r="A4427" s="1">
        <v>4422</v>
      </c>
      <c r="B4427" s="1" t="s">
        <v>3</v>
      </c>
      <c r="C4427" s="1" t="str">
        <f>IF($B4427 = "Production Item", _xlfn.XLOOKUP($A4427, 'Instrument Table'!$J:$J, 'Instrument Table'!$B:$B, $C4426), IF($B4427 = "Service Item", _xlfn.XLOOKUP($A4427, 'Instrument Table'!$I:$I, 'Instrument Table'!$B:$B, $C4426), _xlfn.XLOOKUP($A4427, 'Instrument Table'!$H:$H, 'Instrument Table'!$B:$B, $C4426)))</f>
        <v>Theremin</v>
      </c>
      <c r="D4427" s="1" t="str">
        <f>VLOOKUP($C4427, 'Instrument Table'!$B:$C, 2, FALSE)</f>
        <v>Other</v>
      </c>
      <c r="E4427" s="1">
        <f t="shared" si="414"/>
        <v>2</v>
      </c>
      <c r="F4427" s="1">
        <f>_xlfn.XLOOKUP($C4427, 'Instrument Table'!$B:$B, 'Instrument Table'!$A:$A, "")</f>
        <v>60</v>
      </c>
      <c r="G4427" s="1" t="str">
        <f>TEXT(IF($B4427 = "Retail Item", IF((ROW($A4427) - 4504 - _xlfn.XMATCH($C4427, $C$4506:$C$5005, 0, 1)) &lt;= VLOOKUP($C4427, 'Instrument Table'!$B:$D, 3, FALSE), ROW($A4427) - 4504 - _xlfn.XMATCH($C4427, $C$4506:$C$5005, 0, 1), 0), 0), "00")</f>
        <v>00</v>
      </c>
      <c r="H4427" s="1" t="str">
        <f t="shared" si="415"/>
        <v>011</v>
      </c>
      <c r="I4427" s="1" t="str">
        <f t="shared" si="416"/>
        <v>26000-011</v>
      </c>
      <c r="J4427" s="1" t="str">
        <f t="shared" si="417"/>
        <v>Theremin service item #011</v>
      </c>
      <c r="K4427" s="1" t="str">
        <f>IF(SUM(COUNTIFS(I:I, I4427)) &gt; 1, "DUPLICATE", "UNIQUE")</f>
        <v>UNIQUE</v>
      </c>
      <c r="L4427" s="18">
        <v>7</v>
      </c>
      <c r="M4427" s="28">
        <v>345</v>
      </c>
      <c r="N4427" s="6">
        <v>27</v>
      </c>
      <c r="O4427" s="30">
        <f t="shared" si="418"/>
        <v>2415</v>
      </c>
      <c r="P4427" s="30">
        <f t="shared" si="419"/>
        <v>9315</v>
      </c>
      <c r="Q4427" s="1">
        <f>COUNTIFS($P:$P, "&gt;" &amp; $P4427) + 1</f>
        <v>1841</v>
      </c>
      <c r="R4427" s="63">
        <f>(COUNTIFS($P:$P, "&gt;" &amp; $P4427) + 1) / (COUNTA($I:$I) - 1)</f>
        <v>0.36820000000000003</v>
      </c>
      <c r="S4427" s="23">
        <f>SUMIFS($P:$P, $Q:$Q, "&lt;" &amp; $Q4427)</f>
        <v>178630519</v>
      </c>
    </row>
    <row r="4428" spans="1:19" x14ac:dyDescent="0.25">
      <c r="A4428" s="1">
        <v>4423</v>
      </c>
      <c r="B4428" s="1" t="s">
        <v>3</v>
      </c>
      <c r="C4428" s="1" t="str">
        <f>IF($B4428 = "Production Item", _xlfn.XLOOKUP($A4428, 'Instrument Table'!$J:$J, 'Instrument Table'!$B:$B, $C4427), IF($B4428 = "Service Item", _xlfn.XLOOKUP($A4428, 'Instrument Table'!$I:$I, 'Instrument Table'!$B:$B, $C4427), _xlfn.XLOOKUP($A4428, 'Instrument Table'!$H:$H, 'Instrument Table'!$B:$B, $C4427)))</f>
        <v>Theremin</v>
      </c>
      <c r="D4428" s="1" t="str">
        <f>VLOOKUP($C4428, 'Instrument Table'!$B:$C, 2, FALSE)</f>
        <v>Other</v>
      </c>
      <c r="E4428" s="1">
        <f t="shared" si="414"/>
        <v>2</v>
      </c>
      <c r="F4428" s="1">
        <f>_xlfn.XLOOKUP($C4428, 'Instrument Table'!$B:$B, 'Instrument Table'!$A:$A, "")</f>
        <v>60</v>
      </c>
      <c r="G4428" s="1" t="str">
        <f>TEXT(IF($B4428 = "Retail Item", IF((ROW($A4428) - 4504 - _xlfn.XMATCH($C4428, $C$4506:$C$5005, 0, 1)) &lt;= VLOOKUP($C4428, 'Instrument Table'!$B:$D, 3, FALSE), ROW($A4428) - 4504 - _xlfn.XMATCH($C4428, $C$4506:$C$5005, 0, 1), 0), 0), "00")</f>
        <v>00</v>
      </c>
      <c r="H4428" s="1" t="str">
        <f t="shared" si="415"/>
        <v>012</v>
      </c>
      <c r="I4428" s="1" t="str">
        <f t="shared" si="416"/>
        <v>26000-012</v>
      </c>
      <c r="J4428" s="1" t="str">
        <f t="shared" si="417"/>
        <v>Theremin service item #012</v>
      </c>
      <c r="K4428" s="1" t="str">
        <f>IF(SUM(COUNTIFS(I:I, I4428)) &gt; 1, "DUPLICATE", "UNIQUE")</f>
        <v>UNIQUE</v>
      </c>
      <c r="L4428" s="18">
        <v>10</v>
      </c>
      <c r="M4428" s="28">
        <v>908</v>
      </c>
      <c r="N4428" s="6">
        <v>8</v>
      </c>
      <c r="O4428" s="30">
        <f t="shared" si="418"/>
        <v>9080</v>
      </c>
      <c r="P4428" s="30">
        <f t="shared" si="419"/>
        <v>7264</v>
      </c>
      <c r="Q4428" s="1">
        <f>COUNTIFS($P:$P, "&gt;" &amp; $P4428) + 1</f>
        <v>2102</v>
      </c>
      <c r="R4428" s="63">
        <f>(COUNTIFS($P:$P, "&gt;" &amp; $P4428) + 1) / (COUNTA($I:$I) - 1)</f>
        <v>0.4204</v>
      </c>
      <c r="S4428" s="23">
        <f>SUMIFS($P:$P, $Q:$Q, "&lt;" &amp; $Q4428)</f>
        <v>180773227</v>
      </c>
    </row>
    <row r="4429" spans="1:19" x14ac:dyDescent="0.25">
      <c r="A4429" s="1">
        <v>4424</v>
      </c>
      <c r="B4429" s="1" t="s">
        <v>3</v>
      </c>
      <c r="C4429" s="1" t="str">
        <f>IF($B4429 = "Production Item", _xlfn.XLOOKUP($A4429, 'Instrument Table'!$J:$J, 'Instrument Table'!$B:$B, $C4428), IF($B4429 = "Service Item", _xlfn.XLOOKUP($A4429, 'Instrument Table'!$I:$I, 'Instrument Table'!$B:$B, $C4428), _xlfn.XLOOKUP($A4429, 'Instrument Table'!$H:$H, 'Instrument Table'!$B:$B, $C4428)))</f>
        <v>Theremin</v>
      </c>
      <c r="D4429" s="1" t="str">
        <f>VLOOKUP($C4429, 'Instrument Table'!$B:$C, 2, FALSE)</f>
        <v>Other</v>
      </c>
      <c r="E4429" s="1">
        <f t="shared" si="414"/>
        <v>2</v>
      </c>
      <c r="F4429" s="1">
        <f>_xlfn.XLOOKUP($C4429, 'Instrument Table'!$B:$B, 'Instrument Table'!$A:$A, "")</f>
        <v>60</v>
      </c>
      <c r="G4429" s="1" t="str">
        <f>TEXT(IF($B4429 = "Retail Item", IF((ROW($A4429) - 4504 - _xlfn.XMATCH($C4429, $C$4506:$C$5005, 0, 1)) &lt;= VLOOKUP($C4429, 'Instrument Table'!$B:$D, 3, FALSE), ROW($A4429) - 4504 - _xlfn.XMATCH($C4429, $C$4506:$C$5005, 0, 1), 0), 0), "00")</f>
        <v>00</v>
      </c>
      <c r="H4429" s="1" t="str">
        <f t="shared" si="415"/>
        <v>013</v>
      </c>
      <c r="I4429" s="1" t="str">
        <f t="shared" si="416"/>
        <v>26000-013</v>
      </c>
      <c r="J4429" s="1" t="str">
        <f t="shared" si="417"/>
        <v>Theremin service item #013</v>
      </c>
      <c r="K4429" s="1" t="str">
        <f>IF(SUM(COUNTIFS(I:I, I4429)) &gt; 1, "DUPLICATE", "UNIQUE")</f>
        <v>UNIQUE</v>
      </c>
      <c r="L4429" s="18">
        <v>2</v>
      </c>
      <c r="M4429" s="28">
        <v>719</v>
      </c>
      <c r="N4429" s="6">
        <v>0</v>
      </c>
      <c r="O4429" s="30">
        <f t="shared" si="418"/>
        <v>1438</v>
      </c>
      <c r="P4429" s="30">
        <f t="shared" si="419"/>
        <v>0</v>
      </c>
      <c r="Q4429" s="1">
        <f>COUNTIFS($P:$P, "&gt;" &amp; $P4429) + 1</f>
        <v>4746</v>
      </c>
      <c r="R4429" s="63">
        <f>(COUNTIFS($P:$P, "&gt;" &amp; $P4429) + 1) / (COUNTA($I:$I) - 1)</f>
        <v>0.94920000000000004</v>
      </c>
      <c r="S4429" s="23">
        <f>SUMIFS($P:$P, $Q:$Q, "&lt;" &amp; $Q4429)</f>
        <v>186547861</v>
      </c>
    </row>
    <row r="4430" spans="1:19" x14ac:dyDescent="0.25">
      <c r="A4430" s="1">
        <v>4425</v>
      </c>
      <c r="B4430" s="1" t="s">
        <v>3</v>
      </c>
      <c r="C4430" s="1" t="str">
        <f>IF($B4430 = "Production Item", _xlfn.XLOOKUP($A4430, 'Instrument Table'!$J:$J, 'Instrument Table'!$B:$B, $C4429), IF($B4430 = "Service Item", _xlfn.XLOOKUP($A4430, 'Instrument Table'!$I:$I, 'Instrument Table'!$B:$B, $C4429), _xlfn.XLOOKUP($A4430, 'Instrument Table'!$H:$H, 'Instrument Table'!$B:$B, $C4429)))</f>
        <v>Theremin</v>
      </c>
      <c r="D4430" s="1" t="str">
        <f>VLOOKUP($C4430, 'Instrument Table'!$B:$C, 2, FALSE)</f>
        <v>Other</v>
      </c>
      <c r="E4430" s="1">
        <f t="shared" si="414"/>
        <v>2</v>
      </c>
      <c r="F4430" s="1">
        <f>_xlfn.XLOOKUP($C4430, 'Instrument Table'!$B:$B, 'Instrument Table'!$A:$A, "")</f>
        <v>60</v>
      </c>
      <c r="G4430" s="1" t="str">
        <f>TEXT(IF($B4430 = "Retail Item", IF((ROW($A4430) - 4504 - _xlfn.XMATCH($C4430, $C$4506:$C$5005, 0, 1)) &lt;= VLOOKUP($C4430, 'Instrument Table'!$B:$D, 3, FALSE), ROW($A4430) - 4504 - _xlfn.XMATCH($C4430, $C$4506:$C$5005, 0, 1), 0), 0), "00")</f>
        <v>00</v>
      </c>
      <c r="H4430" s="1" t="str">
        <f t="shared" si="415"/>
        <v>014</v>
      </c>
      <c r="I4430" s="1" t="str">
        <f t="shared" si="416"/>
        <v>26000-014</v>
      </c>
      <c r="J4430" s="1" t="str">
        <f t="shared" si="417"/>
        <v>Theremin service item #014</v>
      </c>
      <c r="K4430" s="1" t="str">
        <f>IF(SUM(COUNTIFS(I:I, I4430)) &gt; 1, "DUPLICATE", "UNIQUE")</f>
        <v>UNIQUE</v>
      </c>
      <c r="L4430" s="18">
        <v>9</v>
      </c>
      <c r="M4430" s="28">
        <v>602</v>
      </c>
      <c r="N4430" s="6">
        <v>8</v>
      </c>
      <c r="O4430" s="30">
        <f t="shared" si="418"/>
        <v>5418</v>
      </c>
      <c r="P4430" s="30">
        <f t="shared" si="419"/>
        <v>4816</v>
      </c>
      <c r="Q4430" s="1">
        <f>COUNTIFS($P:$P, "&gt;" &amp; $P4430) + 1</f>
        <v>2481</v>
      </c>
      <c r="R4430" s="63">
        <f>(COUNTIFS($P:$P, "&gt;" &amp; $P4430) + 1) / (COUNTA($I:$I) - 1)</f>
        <v>0.49619999999999997</v>
      </c>
      <c r="S4430" s="23">
        <f>SUMIFS($P:$P, $Q:$Q, "&lt;" &amp; $Q4430)</f>
        <v>183024492</v>
      </c>
    </row>
    <row r="4431" spans="1:19" x14ac:dyDescent="0.25">
      <c r="A4431" s="1">
        <v>4426</v>
      </c>
      <c r="B4431" s="1" t="s">
        <v>3</v>
      </c>
      <c r="C4431" s="1" t="str">
        <f>IF($B4431 = "Production Item", _xlfn.XLOOKUP($A4431, 'Instrument Table'!$J:$J, 'Instrument Table'!$B:$B, $C4430), IF($B4431 = "Service Item", _xlfn.XLOOKUP($A4431, 'Instrument Table'!$I:$I, 'Instrument Table'!$B:$B, $C4430), _xlfn.XLOOKUP($A4431, 'Instrument Table'!$H:$H, 'Instrument Table'!$B:$B, $C4430)))</f>
        <v>Theremin</v>
      </c>
      <c r="D4431" s="1" t="str">
        <f>VLOOKUP($C4431, 'Instrument Table'!$B:$C, 2, FALSE)</f>
        <v>Other</v>
      </c>
      <c r="E4431" s="1">
        <f t="shared" si="414"/>
        <v>2</v>
      </c>
      <c r="F4431" s="1">
        <f>_xlfn.XLOOKUP($C4431, 'Instrument Table'!$B:$B, 'Instrument Table'!$A:$A, "")</f>
        <v>60</v>
      </c>
      <c r="G4431" s="1" t="str">
        <f>TEXT(IF($B4431 = "Retail Item", IF((ROW($A4431) - 4504 - _xlfn.XMATCH($C4431, $C$4506:$C$5005, 0, 1)) &lt;= VLOOKUP($C4431, 'Instrument Table'!$B:$D, 3, FALSE), ROW($A4431) - 4504 - _xlfn.XMATCH($C4431, $C$4506:$C$5005, 0, 1), 0), 0), "00")</f>
        <v>00</v>
      </c>
      <c r="H4431" s="1" t="str">
        <f t="shared" si="415"/>
        <v>015</v>
      </c>
      <c r="I4431" s="1" t="str">
        <f t="shared" si="416"/>
        <v>26000-015</v>
      </c>
      <c r="J4431" s="1" t="str">
        <f t="shared" si="417"/>
        <v>Theremin service item #015</v>
      </c>
      <c r="K4431" s="1" t="str">
        <f>IF(SUM(COUNTIFS(I:I, I4431)) &gt; 1, "DUPLICATE", "UNIQUE")</f>
        <v>UNIQUE</v>
      </c>
      <c r="L4431" s="18">
        <v>1</v>
      </c>
      <c r="M4431" s="28">
        <v>568</v>
      </c>
      <c r="N4431" s="6">
        <v>125</v>
      </c>
      <c r="O4431" s="30">
        <f t="shared" si="418"/>
        <v>568</v>
      </c>
      <c r="P4431" s="30">
        <f t="shared" si="419"/>
        <v>71000</v>
      </c>
      <c r="Q4431" s="1">
        <f>COUNTIFS($P:$P, "&gt;" &amp; $P4431) + 1</f>
        <v>466</v>
      </c>
      <c r="R4431" s="63">
        <f>(COUNTIFS($P:$P, "&gt;" &amp; $P4431) + 1) / (COUNTA($I:$I) - 1)</f>
        <v>9.3200000000000005E-2</v>
      </c>
      <c r="S4431" s="23">
        <f>SUMIFS($P:$P, $Q:$Q, "&lt;" &amp; $Q4431)</f>
        <v>149225494</v>
      </c>
    </row>
    <row r="4432" spans="1:19" x14ac:dyDescent="0.25">
      <c r="A4432" s="1">
        <v>4427</v>
      </c>
      <c r="B4432" s="1" t="s">
        <v>3</v>
      </c>
      <c r="C4432" s="1" t="str">
        <f>IF($B4432 = "Production Item", _xlfn.XLOOKUP($A4432, 'Instrument Table'!$J:$J, 'Instrument Table'!$B:$B, $C4431), IF($B4432 = "Service Item", _xlfn.XLOOKUP($A4432, 'Instrument Table'!$I:$I, 'Instrument Table'!$B:$B, $C4431), _xlfn.XLOOKUP($A4432, 'Instrument Table'!$H:$H, 'Instrument Table'!$B:$B, $C4431)))</f>
        <v>Theremin</v>
      </c>
      <c r="D4432" s="1" t="str">
        <f>VLOOKUP($C4432, 'Instrument Table'!$B:$C, 2, FALSE)</f>
        <v>Other</v>
      </c>
      <c r="E4432" s="1">
        <f t="shared" si="414"/>
        <v>2</v>
      </c>
      <c r="F4432" s="1">
        <f>_xlfn.XLOOKUP($C4432, 'Instrument Table'!$B:$B, 'Instrument Table'!$A:$A, "")</f>
        <v>60</v>
      </c>
      <c r="G4432" s="1" t="str">
        <f>TEXT(IF($B4432 = "Retail Item", IF((ROW($A4432) - 4504 - _xlfn.XMATCH($C4432, $C$4506:$C$5005, 0, 1)) &lt;= VLOOKUP($C4432, 'Instrument Table'!$B:$D, 3, FALSE), ROW($A4432) - 4504 - _xlfn.XMATCH($C4432, $C$4506:$C$5005, 0, 1), 0), 0), "00")</f>
        <v>00</v>
      </c>
      <c r="H4432" s="1" t="str">
        <f t="shared" si="415"/>
        <v>016</v>
      </c>
      <c r="I4432" s="1" t="str">
        <f t="shared" si="416"/>
        <v>26000-016</v>
      </c>
      <c r="J4432" s="1" t="str">
        <f t="shared" si="417"/>
        <v>Theremin service item #016</v>
      </c>
      <c r="K4432" s="1" t="str">
        <f>IF(SUM(COUNTIFS(I:I, I4432)) &gt; 1, "DUPLICATE", "UNIQUE")</f>
        <v>UNIQUE</v>
      </c>
      <c r="L4432" s="18">
        <v>3</v>
      </c>
      <c r="M4432" s="28">
        <v>82</v>
      </c>
      <c r="N4432" s="6">
        <v>64</v>
      </c>
      <c r="O4432" s="30">
        <f t="shared" si="418"/>
        <v>246</v>
      </c>
      <c r="P4432" s="30">
        <f t="shared" si="419"/>
        <v>5248</v>
      </c>
      <c r="Q4432" s="1">
        <f>COUNTIFS($P:$P, "&gt;" &amp; $P4432) + 1</f>
        <v>2395</v>
      </c>
      <c r="R4432" s="63">
        <f>(COUNTIFS($P:$P, "&gt;" &amp; $P4432) + 1) / (COUNTA($I:$I) - 1)</f>
        <v>0.47899999999999998</v>
      </c>
      <c r="S4432" s="23">
        <f>SUMIFS($P:$P, $Q:$Q, "&lt;" &amp; $Q4432)</f>
        <v>182590307</v>
      </c>
    </row>
    <row r="4433" spans="1:19" x14ac:dyDescent="0.25">
      <c r="A4433" s="1">
        <v>4428</v>
      </c>
      <c r="B4433" s="1" t="s">
        <v>3</v>
      </c>
      <c r="C4433" s="1" t="str">
        <f>IF($B4433 = "Production Item", _xlfn.XLOOKUP($A4433, 'Instrument Table'!$J:$J, 'Instrument Table'!$B:$B, $C4432), IF($B4433 = "Service Item", _xlfn.XLOOKUP($A4433, 'Instrument Table'!$I:$I, 'Instrument Table'!$B:$B, $C4432), _xlfn.XLOOKUP($A4433, 'Instrument Table'!$H:$H, 'Instrument Table'!$B:$B, $C4432)))</f>
        <v>Theremin</v>
      </c>
      <c r="D4433" s="1" t="str">
        <f>VLOOKUP($C4433, 'Instrument Table'!$B:$C, 2, FALSE)</f>
        <v>Other</v>
      </c>
      <c r="E4433" s="1">
        <f t="shared" si="414"/>
        <v>2</v>
      </c>
      <c r="F4433" s="1">
        <f>_xlfn.XLOOKUP($C4433, 'Instrument Table'!$B:$B, 'Instrument Table'!$A:$A, "")</f>
        <v>60</v>
      </c>
      <c r="G4433" s="1" t="str">
        <f>TEXT(IF($B4433 = "Retail Item", IF((ROW($A4433) - 4504 - _xlfn.XMATCH($C4433, $C$4506:$C$5005, 0, 1)) &lt;= VLOOKUP($C4433, 'Instrument Table'!$B:$D, 3, FALSE), ROW($A4433) - 4504 - _xlfn.XMATCH($C4433, $C$4506:$C$5005, 0, 1), 0), 0), "00")</f>
        <v>00</v>
      </c>
      <c r="H4433" s="1" t="str">
        <f t="shared" si="415"/>
        <v>017</v>
      </c>
      <c r="I4433" s="1" t="str">
        <f t="shared" si="416"/>
        <v>26000-017</v>
      </c>
      <c r="J4433" s="1" t="str">
        <f t="shared" si="417"/>
        <v>Theremin service item #017</v>
      </c>
      <c r="K4433" s="1" t="str">
        <f>IF(SUM(COUNTIFS(I:I, I4433)) &gt; 1, "DUPLICATE", "UNIQUE")</f>
        <v>UNIQUE</v>
      </c>
      <c r="L4433" s="18">
        <v>8</v>
      </c>
      <c r="M4433" s="28">
        <v>170</v>
      </c>
      <c r="N4433" s="6">
        <v>8</v>
      </c>
      <c r="O4433" s="30">
        <f t="shared" si="418"/>
        <v>1360</v>
      </c>
      <c r="P4433" s="30">
        <f t="shared" si="419"/>
        <v>1360</v>
      </c>
      <c r="Q4433" s="1">
        <f>COUNTIFS($P:$P, "&gt;" &amp; $P4433) + 1</f>
        <v>3529</v>
      </c>
      <c r="R4433" s="63">
        <f>(COUNTIFS($P:$P, "&gt;" &amp; $P4433) + 1) / (COUNTA($I:$I) - 1)</f>
        <v>0.70579999999999998</v>
      </c>
      <c r="S4433" s="23">
        <f>SUMIFS($P:$P, $Q:$Q, "&lt;" &amp; $Q4433)</f>
        <v>185977817</v>
      </c>
    </row>
    <row r="4434" spans="1:19" x14ac:dyDescent="0.25">
      <c r="A4434" s="1">
        <v>4429</v>
      </c>
      <c r="B4434" s="1" t="s">
        <v>3</v>
      </c>
      <c r="C4434" s="1" t="str">
        <f>IF($B4434 = "Production Item", _xlfn.XLOOKUP($A4434, 'Instrument Table'!$J:$J, 'Instrument Table'!$B:$B, $C4433), IF($B4434 = "Service Item", _xlfn.XLOOKUP($A4434, 'Instrument Table'!$I:$I, 'Instrument Table'!$B:$B, $C4433), _xlfn.XLOOKUP($A4434, 'Instrument Table'!$H:$H, 'Instrument Table'!$B:$B, $C4433)))</f>
        <v>Theremin</v>
      </c>
      <c r="D4434" s="1" t="str">
        <f>VLOOKUP($C4434, 'Instrument Table'!$B:$C, 2, FALSE)</f>
        <v>Other</v>
      </c>
      <c r="E4434" s="1">
        <f t="shared" si="414"/>
        <v>2</v>
      </c>
      <c r="F4434" s="1">
        <f>_xlfn.XLOOKUP($C4434, 'Instrument Table'!$B:$B, 'Instrument Table'!$A:$A, "")</f>
        <v>60</v>
      </c>
      <c r="G4434" s="1" t="str">
        <f>TEXT(IF($B4434 = "Retail Item", IF((ROW($A4434) - 4504 - _xlfn.XMATCH($C4434, $C$4506:$C$5005, 0, 1)) &lt;= VLOOKUP($C4434, 'Instrument Table'!$B:$D, 3, FALSE), ROW($A4434) - 4504 - _xlfn.XMATCH($C4434, $C$4506:$C$5005, 0, 1), 0), 0), "00")</f>
        <v>00</v>
      </c>
      <c r="H4434" s="1" t="str">
        <f t="shared" si="415"/>
        <v>018</v>
      </c>
      <c r="I4434" s="1" t="str">
        <f t="shared" si="416"/>
        <v>26000-018</v>
      </c>
      <c r="J4434" s="1" t="str">
        <f t="shared" si="417"/>
        <v>Theremin service item #018</v>
      </c>
      <c r="K4434" s="1" t="str">
        <f>IF(SUM(COUNTIFS(I:I, I4434)) &gt; 1, "DUPLICATE", "UNIQUE")</f>
        <v>UNIQUE</v>
      </c>
      <c r="L4434" s="18">
        <v>4</v>
      </c>
      <c r="M4434" s="28">
        <v>735</v>
      </c>
      <c r="N4434" s="6">
        <v>1</v>
      </c>
      <c r="O4434" s="30">
        <f t="shared" si="418"/>
        <v>2940</v>
      </c>
      <c r="P4434" s="30">
        <f t="shared" si="419"/>
        <v>735</v>
      </c>
      <c r="Q4434" s="1">
        <f>COUNTIFS($P:$P, "&gt;" &amp; $P4434) + 1</f>
        <v>3842</v>
      </c>
      <c r="R4434" s="63">
        <f>(COUNTIFS($P:$P, "&gt;" &amp; $P4434) + 1) / (COUNTA($I:$I) - 1)</f>
        <v>0.76839999999999997</v>
      </c>
      <c r="S4434" s="23">
        <f>SUMIFS($P:$P, $Q:$Q, "&lt;" &amp; $Q4434)</f>
        <v>186297691</v>
      </c>
    </row>
    <row r="4435" spans="1:19" x14ac:dyDescent="0.25">
      <c r="A4435" s="1">
        <v>4430</v>
      </c>
      <c r="B4435" s="1" t="s">
        <v>3</v>
      </c>
      <c r="C4435" s="1" t="str">
        <f>IF($B4435 = "Production Item", _xlfn.XLOOKUP($A4435, 'Instrument Table'!$J:$J, 'Instrument Table'!$B:$B, $C4434), IF($B4435 = "Service Item", _xlfn.XLOOKUP($A4435, 'Instrument Table'!$I:$I, 'Instrument Table'!$B:$B, $C4434), _xlfn.XLOOKUP($A4435, 'Instrument Table'!$H:$H, 'Instrument Table'!$B:$B, $C4434)))</f>
        <v>Theremin</v>
      </c>
      <c r="D4435" s="1" t="str">
        <f>VLOOKUP($C4435, 'Instrument Table'!$B:$C, 2, FALSE)</f>
        <v>Other</v>
      </c>
      <c r="E4435" s="1">
        <f t="shared" si="414"/>
        <v>2</v>
      </c>
      <c r="F4435" s="1">
        <f>_xlfn.XLOOKUP($C4435, 'Instrument Table'!$B:$B, 'Instrument Table'!$A:$A, "")</f>
        <v>60</v>
      </c>
      <c r="G4435" s="1" t="str">
        <f>TEXT(IF($B4435 = "Retail Item", IF((ROW($A4435) - 4504 - _xlfn.XMATCH($C4435, $C$4506:$C$5005, 0, 1)) &lt;= VLOOKUP($C4435, 'Instrument Table'!$B:$D, 3, FALSE), ROW($A4435) - 4504 - _xlfn.XMATCH($C4435, $C$4506:$C$5005, 0, 1), 0), 0), "00")</f>
        <v>00</v>
      </c>
      <c r="H4435" s="1" t="str">
        <f t="shared" si="415"/>
        <v>019</v>
      </c>
      <c r="I4435" s="1" t="str">
        <f t="shared" si="416"/>
        <v>26000-019</v>
      </c>
      <c r="J4435" s="1" t="str">
        <f t="shared" si="417"/>
        <v>Theremin service item #019</v>
      </c>
      <c r="K4435" s="1" t="str">
        <f>IF(SUM(COUNTIFS(I:I, I4435)) &gt; 1, "DUPLICATE", "UNIQUE")</f>
        <v>UNIQUE</v>
      </c>
      <c r="L4435" s="18">
        <v>5</v>
      </c>
      <c r="M4435" s="28">
        <v>463</v>
      </c>
      <c r="N4435" s="6">
        <v>8</v>
      </c>
      <c r="O4435" s="30">
        <f t="shared" si="418"/>
        <v>2315</v>
      </c>
      <c r="P4435" s="30">
        <f t="shared" si="419"/>
        <v>3704</v>
      </c>
      <c r="Q4435" s="1">
        <f>COUNTIFS($P:$P, "&gt;" &amp; $P4435) + 1</f>
        <v>2723</v>
      </c>
      <c r="R4435" s="63">
        <f>(COUNTIFS($P:$P, "&gt;" &amp; $P4435) + 1) / (COUNTA($I:$I) - 1)</f>
        <v>0.54459999999999997</v>
      </c>
      <c r="S4435" s="23">
        <f>SUMIFS($P:$P, $Q:$Q, "&lt;" &amp; $Q4435)</f>
        <v>184052822</v>
      </c>
    </row>
    <row r="4436" spans="1:19" x14ac:dyDescent="0.25">
      <c r="A4436" s="1">
        <v>4431</v>
      </c>
      <c r="B4436" s="1" t="s">
        <v>3</v>
      </c>
      <c r="C4436" s="1" t="str">
        <f>IF($B4436 = "Production Item", _xlfn.XLOOKUP($A4436, 'Instrument Table'!$J:$J, 'Instrument Table'!$B:$B, $C4435), IF($B4436 = "Service Item", _xlfn.XLOOKUP($A4436, 'Instrument Table'!$I:$I, 'Instrument Table'!$B:$B, $C4435), _xlfn.XLOOKUP($A4436, 'Instrument Table'!$H:$H, 'Instrument Table'!$B:$B, $C4435)))</f>
        <v>Theremin</v>
      </c>
      <c r="D4436" s="1" t="str">
        <f>VLOOKUP($C4436, 'Instrument Table'!$B:$C, 2, FALSE)</f>
        <v>Other</v>
      </c>
      <c r="E4436" s="1">
        <f t="shared" si="414"/>
        <v>2</v>
      </c>
      <c r="F4436" s="1">
        <f>_xlfn.XLOOKUP($C4436, 'Instrument Table'!$B:$B, 'Instrument Table'!$A:$A, "")</f>
        <v>60</v>
      </c>
      <c r="G4436" s="1" t="str">
        <f>TEXT(IF($B4436 = "Retail Item", IF((ROW($A4436) - 4504 - _xlfn.XMATCH($C4436, $C$4506:$C$5005, 0, 1)) &lt;= VLOOKUP($C4436, 'Instrument Table'!$B:$D, 3, FALSE), ROW($A4436) - 4504 - _xlfn.XMATCH($C4436, $C$4506:$C$5005, 0, 1), 0), 0), "00")</f>
        <v>00</v>
      </c>
      <c r="H4436" s="1" t="str">
        <f t="shared" si="415"/>
        <v>020</v>
      </c>
      <c r="I4436" s="1" t="str">
        <f t="shared" si="416"/>
        <v>26000-020</v>
      </c>
      <c r="J4436" s="1" t="str">
        <f t="shared" si="417"/>
        <v>Theremin service item #020</v>
      </c>
      <c r="K4436" s="1" t="str">
        <f>IF(SUM(COUNTIFS(I:I, I4436)) &gt; 1, "DUPLICATE", "UNIQUE")</f>
        <v>UNIQUE</v>
      </c>
      <c r="L4436" s="18">
        <v>4</v>
      </c>
      <c r="M4436" s="28">
        <v>898</v>
      </c>
      <c r="N4436" s="6">
        <v>64</v>
      </c>
      <c r="O4436" s="30">
        <f t="shared" si="418"/>
        <v>3592</v>
      </c>
      <c r="P4436" s="30">
        <f t="shared" si="419"/>
        <v>57472</v>
      </c>
      <c r="Q4436" s="1">
        <f>COUNTIFS($P:$P, "&gt;" &amp; $P4436) + 1</f>
        <v>506</v>
      </c>
      <c r="R4436" s="63">
        <f>(COUNTIFS($P:$P, "&gt;" &amp; $P4436) + 1) / (COUNTA($I:$I) - 1)</f>
        <v>0.1012</v>
      </c>
      <c r="S4436" s="23">
        <f>SUMIFS($P:$P, $Q:$Q, "&lt;" &amp; $Q4436)</f>
        <v>151816870</v>
      </c>
    </row>
    <row r="4437" spans="1:19" x14ac:dyDescent="0.25">
      <c r="A4437" s="1">
        <v>4432</v>
      </c>
      <c r="B4437" s="1" t="s">
        <v>3</v>
      </c>
      <c r="C4437" s="1" t="str">
        <f>IF($B4437 = "Production Item", _xlfn.XLOOKUP($A4437, 'Instrument Table'!$J:$J, 'Instrument Table'!$B:$B, $C4436), IF($B4437 = "Service Item", _xlfn.XLOOKUP($A4437, 'Instrument Table'!$I:$I, 'Instrument Table'!$B:$B, $C4436), _xlfn.XLOOKUP($A4437, 'Instrument Table'!$H:$H, 'Instrument Table'!$B:$B, $C4436)))</f>
        <v>Theremin</v>
      </c>
      <c r="D4437" s="1" t="str">
        <f>VLOOKUP($C4437, 'Instrument Table'!$B:$C, 2, FALSE)</f>
        <v>Other</v>
      </c>
      <c r="E4437" s="1">
        <f t="shared" si="414"/>
        <v>2</v>
      </c>
      <c r="F4437" s="1">
        <f>_xlfn.XLOOKUP($C4437, 'Instrument Table'!$B:$B, 'Instrument Table'!$A:$A, "")</f>
        <v>60</v>
      </c>
      <c r="G4437" s="1" t="str">
        <f>TEXT(IF($B4437 = "Retail Item", IF((ROW($A4437) - 4504 - _xlfn.XMATCH($C4437, $C$4506:$C$5005, 0, 1)) &lt;= VLOOKUP($C4437, 'Instrument Table'!$B:$D, 3, FALSE), ROW($A4437) - 4504 - _xlfn.XMATCH($C4437, $C$4506:$C$5005, 0, 1), 0), 0), "00")</f>
        <v>00</v>
      </c>
      <c r="H4437" s="1" t="str">
        <f t="shared" si="415"/>
        <v>021</v>
      </c>
      <c r="I4437" s="1" t="str">
        <f t="shared" si="416"/>
        <v>26000-021</v>
      </c>
      <c r="J4437" s="1" t="str">
        <f t="shared" si="417"/>
        <v>Theremin service item #021</v>
      </c>
      <c r="K4437" s="1" t="str">
        <f>IF(SUM(COUNTIFS(I:I, I4437)) &gt; 1, "DUPLICATE", "UNIQUE")</f>
        <v>UNIQUE</v>
      </c>
      <c r="L4437" s="18">
        <v>1</v>
      </c>
      <c r="M4437" s="28">
        <v>889</v>
      </c>
      <c r="N4437" s="6">
        <v>64</v>
      </c>
      <c r="O4437" s="30">
        <f t="shared" si="418"/>
        <v>889</v>
      </c>
      <c r="P4437" s="30">
        <f t="shared" si="419"/>
        <v>56896</v>
      </c>
      <c r="Q4437" s="1">
        <f>COUNTIFS($P:$P, "&gt;" &amp; $P4437) + 1</f>
        <v>508</v>
      </c>
      <c r="R4437" s="63">
        <f>(COUNTIFS($P:$P, "&gt;" &amp; $P4437) + 1) / (COUNTA($I:$I) - 1)</f>
        <v>0.1016</v>
      </c>
      <c r="S4437" s="23">
        <f>SUMIFS($P:$P, $Q:$Q, "&lt;" &amp; $Q4437)</f>
        <v>151931686</v>
      </c>
    </row>
    <row r="4438" spans="1:19" x14ac:dyDescent="0.25">
      <c r="A4438" s="1">
        <v>4433</v>
      </c>
      <c r="B4438" s="1" t="s">
        <v>3</v>
      </c>
      <c r="C4438" s="1" t="str">
        <f>IF($B4438 = "Production Item", _xlfn.XLOOKUP($A4438, 'Instrument Table'!$J:$J, 'Instrument Table'!$B:$B, $C4437), IF($B4438 = "Service Item", _xlfn.XLOOKUP($A4438, 'Instrument Table'!$I:$I, 'Instrument Table'!$B:$B, $C4437), _xlfn.XLOOKUP($A4438, 'Instrument Table'!$H:$H, 'Instrument Table'!$B:$B, $C4437)))</f>
        <v>Theremin</v>
      </c>
      <c r="D4438" s="1" t="str">
        <f>VLOOKUP($C4438, 'Instrument Table'!$B:$C, 2, FALSE)</f>
        <v>Other</v>
      </c>
      <c r="E4438" s="1">
        <f t="shared" si="414"/>
        <v>2</v>
      </c>
      <c r="F4438" s="1">
        <f>_xlfn.XLOOKUP($C4438, 'Instrument Table'!$B:$B, 'Instrument Table'!$A:$A, "")</f>
        <v>60</v>
      </c>
      <c r="G4438" s="1" t="str">
        <f>TEXT(IF($B4438 = "Retail Item", IF((ROW($A4438) - 4504 - _xlfn.XMATCH($C4438, $C$4506:$C$5005, 0, 1)) &lt;= VLOOKUP($C4438, 'Instrument Table'!$B:$D, 3, FALSE), ROW($A4438) - 4504 - _xlfn.XMATCH($C4438, $C$4506:$C$5005, 0, 1), 0), 0), "00")</f>
        <v>00</v>
      </c>
      <c r="H4438" s="1" t="str">
        <f t="shared" si="415"/>
        <v>022</v>
      </c>
      <c r="I4438" s="1" t="str">
        <f t="shared" si="416"/>
        <v>26000-022</v>
      </c>
      <c r="J4438" s="1" t="str">
        <f t="shared" si="417"/>
        <v>Theremin service item #022</v>
      </c>
      <c r="K4438" s="1" t="str">
        <f>IF(SUM(COUNTIFS(I:I, I4438)) &gt; 1, "DUPLICATE", "UNIQUE")</f>
        <v>UNIQUE</v>
      </c>
      <c r="L4438" s="18">
        <v>6</v>
      </c>
      <c r="M4438" s="28">
        <v>426</v>
      </c>
      <c r="N4438" s="6">
        <v>64</v>
      </c>
      <c r="O4438" s="30">
        <f t="shared" si="418"/>
        <v>2556</v>
      </c>
      <c r="P4438" s="30">
        <f t="shared" si="419"/>
        <v>27264</v>
      </c>
      <c r="Q4438" s="1">
        <f>COUNTIFS($P:$P, "&gt;" &amp; $P4438) + 1</f>
        <v>741</v>
      </c>
      <c r="R4438" s="63">
        <f>(COUNTIFS($P:$P, "&gt;" &amp; $P4438) + 1) / (COUNTA($I:$I) - 1)</f>
        <v>0.1482</v>
      </c>
      <c r="S4438" s="23">
        <f>SUMIFS($P:$P, $Q:$Q, "&lt;" &amp; $Q4438)</f>
        <v>160260734</v>
      </c>
    </row>
    <row r="4439" spans="1:19" x14ac:dyDescent="0.25">
      <c r="A4439" s="1">
        <v>4434</v>
      </c>
      <c r="B4439" s="1" t="s">
        <v>3</v>
      </c>
      <c r="C4439" s="1" t="str">
        <f>IF($B4439 = "Production Item", _xlfn.XLOOKUP($A4439, 'Instrument Table'!$J:$J, 'Instrument Table'!$B:$B, $C4438), IF($B4439 = "Service Item", _xlfn.XLOOKUP($A4439, 'Instrument Table'!$I:$I, 'Instrument Table'!$B:$B, $C4438), _xlfn.XLOOKUP($A4439, 'Instrument Table'!$H:$H, 'Instrument Table'!$B:$B, $C4438)))</f>
        <v>Theremin</v>
      </c>
      <c r="D4439" s="1" t="str">
        <f>VLOOKUP($C4439, 'Instrument Table'!$B:$C, 2, FALSE)</f>
        <v>Other</v>
      </c>
      <c r="E4439" s="1">
        <f t="shared" si="414"/>
        <v>2</v>
      </c>
      <c r="F4439" s="1">
        <f>_xlfn.XLOOKUP($C4439, 'Instrument Table'!$B:$B, 'Instrument Table'!$A:$A, "")</f>
        <v>60</v>
      </c>
      <c r="G4439" s="1" t="str">
        <f>TEXT(IF($B4439 = "Retail Item", IF((ROW($A4439) - 4504 - _xlfn.XMATCH($C4439, $C$4506:$C$5005, 0, 1)) &lt;= VLOOKUP($C4439, 'Instrument Table'!$B:$D, 3, FALSE), ROW($A4439) - 4504 - _xlfn.XMATCH($C4439, $C$4506:$C$5005, 0, 1), 0), 0), "00")</f>
        <v>00</v>
      </c>
      <c r="H4439" s="1" t="str">
        <f t="shared" si="415"/>
        <v>023</v>
      </c>
      <c r="I4439" s="1" t="str">
        <f t="shared" si="416"/>
        <v>26000-023</v>
      </c>
      <c r="J4439" s="1" t="str">
        <f t="shared" si="417"/>
        <v>Theremin service item #023</v>
      </c>
      <c r="K4439" s="1" t="str">
        <f>IF(SUM(COUNTIFS(I:I, I4439)) &gt; 1, "DUPLICATE", "UNIQUE")</f>
        <v>UNIQUE</v>
      </c>
      <c r="L4439" s="18">
        <v>9</v>
      </c>
      <c r="M4439" s="28">
        <v>609</v>
      </c>
      <c r="N4439" s="6">
        <v>64</v>
      </c>
      <c r="O4439" s="30">
        <f t="shared" si="418"/>
        <v>5481</v>
      </c>
      <c r="P4439" s="30">
        <f t="shared" si="419"/>
        <v>38976</v>
      </c>
      <c r="Q4439" s="1">
        <f>COUNTIFS($P:$P, "&gt;" &amp; $P4439) + 1</f>
        <v>565</v>
      </c>
      <c r="R4439" s="63">
        <f>(COUNTIFS($P:$P, "&gt;" &amp; $P4439) + 1) / (COUNTA($I:$I) - 1)</f>
        <v>0.113</v>
      </c>
      <c r="S4439" s="23">
        <f>SUMIFS($P:$P, $Q:$Q, "&lt;" &amp; $Q4439)</f>
        <v>154574521</v>
      </c>
    </row>
    <row r="4440" spans="1:19" x14ac:dyDescent="0.25">
      <c r="A4440" s="1">
        <v>4435</v>
      </c>
      <c r="B4440" s="1" t="s">
        <v>3</v>
      </c>
      <c r="C4440" s="1" t="str">
        <f>IF($B4440 = "Production Item", _xlfn.XLOOKUP($A4440, 'Instrument Table'!$J:$J, 'Instrument Table'!$B:$B, $C4439), IF($B4440 = "Service Item", _xlfn.XLOOKUP($A4440, 'Instrument Table'!$I:$I, 'Instrument Table'!$B:$B, $C4439), _xlfn.XLOOKUP($A4440, 'Instrument Table'!$H:$H, 'Instrument Table'!$B:$B, $C4439)))</f>
        <v>Theremin</v>
      </c>
      <c r="D4440" s="1" t="str">
        <f>VLOOKUP($C4440, 'Instrument Table'!$B:$C, 2, FALSE)</f>
        <v>Other</v>
      </c>
      <c r="E4440" s="1">
        <f t="shared" si="414"/>
        <v>2</v>
      </c>
      <c r="F4440" s="1">
        <f>_xlfn.XLOOKUP($C4440, 'Instrument Table'!$B:$B, 'Instrument Table'!$A:$A, "")</f>
        <v>60</v>
      </c>
      <c r="G4440" s="1" t="str">
        <f>TEXT(IF($B4440 = "Retail Item", IF((ROW($A4440) - 4504 - _xlfn.XMATCH($C4440, $C$4506:$C$5005, 0, 1)) &lt;= VLOOKUP($C4440, 'Instrument Table'!$B:$D, 3, FALSE), ROW($A4440) - 4504 - _xlfn.XMATCH($C4440, $C$4506:$C$5005, 0, 1), 0), 0), "00")</f>
        <v>00</v>
      </c>
      <c r="H4440" s="1" t="str">
        <f t="shared" si="415"/>
        <v>024</v>
      </c>
      <c r="I4440" s="1" t="str">
        <f t="shared" si="416"/>
        <v>26000-024</v>
      </c>
      <c r="J4440" s="1" t="str">
        <f t="shared" si="417"/>
        <v>Theremin service item #024</v>
      </c>
      <c r="K4440" s="1" t="str">
        <f>IF(SUM(COUNTIFS(I:I, I4440)) &gt; 1, "DUPLICATE", "UNIQUE")</f>
        <v>UNIQUE</v>
      </c>
      <c r="L4440" s="18">
        <v>0</v>
      </c>
      <c r="M4440" s="28">
        <v>201</v>
      </c>
      <c r="N4440" s="6">
        <v>0</v>
      </c>
      <c r="O4440" s="30">
        <f t="shared" si="418"/>
        <v>0</v>
      </c>
      <c r="P4440" s="30">
        <f t="shared" si="419"/>
        <v>0</v>
      </c>
      <c r="Q4440" s="1">
        <f>COUNTIFS($P:$P, "&gt;" &amp; $P4440) + 1</f>
        <v>4746</v>
      </c>
      <c r="R4440" s="63">
        <f>(COUNTIFS($P:$P, "&gt;" &amp; $P4440) + 1) / (COUNTA($I:$I) - 1)</f>
        <v>0.94920000000000004</v>
      </c>
      <c r="S4440" s="23">
        <f>SUMIFS($P:$P, $Q:$Q, "&lt;" &amp; $Q4440)</f>
        <v>186547861</v>
      </c>
    </row>
    <row r="4441" spans="1:19" x14ac:dyDescent="0.25">
      <c r="A4441" s="1">
        <v>4436</v>
      </c>
      <c r="B4441" s="1" t="s">
        <v>3</v>
      </c>
      <c r="C4441" s="1" t="str">
        <f>IF($B4441 = "Production Item", _xlfn.XLOOKUP($A4441, 'Instrument Table'!$J:$J, 'Instrument Table'!$B:$B, $C4440), IF($B4441 = "Service Item", _xlfn.XLOOKUP($A4441, 'Instrument Table'!$I:$I, 'Instrument Table'!$B:$B, $C4440), _xlfn.XLOOKUP($A4441, 'Instrument Table'!$H:$H, 'Instrument Table'!$B:$B, $C4440)))</f>
        <v>Theremin</v>
      </c>
      <c r="D4441" s="1" t="str">
        <f>VLOOKUP($C4441, 'Instrument Table'!$B:$C, 2, FALSE)</f>
        <v>Other</v>
      </c>
      <c r="E4441" s="1">
        <f t="shared" si="414"/>
        <v>2</v>
      </c>
      <c r="F4441" s="1">
        <f>_xlfn.XLOOKUP($C4441, 'Instrument Table'!$B:$B, 'Instrument Table'!$A:$A, "")</f>
        <v>60</v>
      </c>
      <c r="G4441" s="1" t="str">
        <f>TEXT(IF($B4441 = "Retail Item", IF((ROW($A4441) - 4504 - _xlfn.XMATCH($C4441, $C$4506:$C$5005, 0, 1)) &lt;= VLOOKUP($C4441, 'Instrument Table'!$B:$D, 3, FALSE), ROW($A4441) - 4504 - _xlfn.XMATCH($C4441, $C$4506:$C$5005, 0, 1), 0), 0), "00")</f>
        <v>00</v>
      </c>
      <c r="H4441" s="1" t="str">
        <f t="shared" si="415"/>
        <v>025</v>
      </c>
      <c r="I4441" s="1" t="str">
        <f t="shared" si="416"/>
        <v>26000-025</v>
      </c>
      <c r="J4441" s="1" t="str">
        <f t="shared" si="417"/>
        <v>Theremin service item #025</v>
      </c>
      <c r="K4441" s="1" t="str">
        <f>IF(SUM(COUNTIFS(I:I, I4441)) &gt; 1, "DUPLICATE", "UNIQUE")</f>
        <v>UNIQUE</v>
      </c>
      <c r="L4441" s="18">
        <v>8</v>
      </c>
      <c r="M4441" s="28">
        <v>823</v>
      </c>
      <c r="N4441" s="6">
        <v>27</v>
      </c>
      <c r="O4441" s="30">
        <f t="shared" si="418"/>
        <v>6584</v>
      </c>
      <c r="P4441" s="30">
        <f t="shared" si="419"/>
        <v>22221</v>
      </c>
      <c r="Q4441" s="1">
        <f>COUNTIFS($P:$P, "&gt;" &amp; $P4441) + 1</f>
        <v>944</v>
      </c>
      <c r="R4441" s="63">
        <f>(COUNTIFS($P:$P, "&gt;" &amp; $P4441) + 1) / (COUNTA($I:$I) - 1)</f>
        <v>0.1888</v>
      </c>
      <c r="S4441" s="23">
        <f>SUMIFS($P:$P, $Q:$Q, "&lt;" &amp; $Q4441)</f>
        <v>165276808</v>
      </c>
    </row>
    <row r="4442" spans="1:19" x14ac:dyDescent="0.25">
      <c r="A4442" s="1">
        <v>4437</v>
      </c>
      <c r="B4442" s="1" t="s">
        <v>3</v>
      </c>
      <c r="C4442" s="1" t="str">
        <f>IF($B4442 = "Production Item", _xlfn.XLOOKUP($A4442, 'Instrument Table'!$J:$J, 'Instrument Table'!$B:$B, $C4441), IF($B4442 = "Service Item", _xlfn.XLOOKUP($A4442, 'Instrument Table'!$I:$I, 'Instrument Table'!$B:$B, $C4441), _xlfn.XLOOKUP($A4442, 'Instrument Table'!$H:$H, 'Instrument Table'!$B:$B, $C4441)))</f>
        <v>Theremin</v>
      </c>
      <c r="D4442" s="1" t="str">
        <f>VLOOKUP($C4442, 'Instrument Table'!$B:$C, 2, FALSE)</f>
        <v>Other</v>
      </c>
      <c r="E4442" s="1">
        <f t="shared" si="414"/>
        <v>2</v>
      </c>
      <c r="F4442" s="1">
        <f>_xlfn.XLOOKUP($C4442, 'Instrument Table'!$B:$B, 'Instrument Table'!$A:$A, "")</f>
        <v>60</v>
      </c>
      <c r="G4442" s="1" t="str">
        <f>TEXT(IF($B4442 = "Retail Item", IF((ROW($A4442) - 4504 - _xlfn.XMATCH($C4442, $C$4506:$C$5005, 0, 1)) &lt;= VLOOKUP($C4442, 'Instrument Table'!$B:$D, 3, FALSE), ROW($A4442) - 4504 - _xlfn.XMATCH($C4442, $C$4506:$C$5005, 0, 1), 0), 0), "00")</f>
        <v>00</v>
      </c>
      <c r="H4442" s="1" t="str">
        <f t="shared" si="415"/>
        <v>026</v>
      </c>
      <c r="I4442" s="1" t="str">
        <f t="shared" si="416"/>
        <v>26000-026</v>
      </c>
      <c r="J4442" s="1" t="str">
        <f t="shared" si="417"/>
        <v>Theremin service item #026</v>
      </c>
      <c r="K4442" s="1" t="str">
        <f>IF(SUM(COUNTIFS(I:I, I4442)) &gt; 1, "DUPLICATE", "UNIQUE")</f>
        <v>UNIQUE</v>
      </c>
      <c r="L4442" s="18">
        <v>3</v>
      </c>
      <c r="M4442" s="28">
        <v>170</v>
      </c>
      <c r="N4442" s="6">
        <v>64</v>
      </c>
      <c r="O4442" s="30">
        <f t="shared" si="418"/>
        <v>510</v>
      </c>
      <c r="P4442" s="30">
        <f t="shared" si="419"/>
        <v>10880</v>
      </c>
      <c r="Q4442" s="1">
        <f>COUNTIFS($P:$P, "&gt;" &amp; $P4442) + 1</f>
        <v>1695</v>
      </c>
      <c r="R4442" s="63">
        <f>(COUNTIFS($P:$P, "&gt;" &amp; $P4442) + 1) / (COUNTA($I:$I) - 1)</f>
        <v>0.33900000000000002</v>
      </c>
      <c r="S4442" s="23">
        <f>SUMIFS($P:$P, $Q:$Q, "&lt;" &amp; $Q4442)</f>
        <v>177159162</v>
      </c>
    </row>
    <row r="4443" spans="1:19" x14ac:dyDescent="0.25">
      <c r="A4443" s="1">
        <v>4438</v>
      </c>
      <c r="B4443" s="1" t="s">
        <v>3</v>
      </c>
      <c r="C4443" s="1" t="str">
        <f>IF($B4443 = "Production Item", _xlfn.XLOOKUP($A4443, 'Instrument Table'!$J:$J, 'Instrument Table'!$B:$B, $C4442), IF($B4443 = "Service Item", _xlfn.XLOOKUP($A4443, 'Instrument Table'!$I:$I, 'Instrument Table'!$B:$B, $C4442), _xlfn.XLOOKUP($A4443, 'Instrument Table'!$H:$H, 'Instrument Table'!$B:$B, $C4442)))</f>
        <v>Theremin</v>
      </c>
      <c r="D4443" s="1" t="str">
        <f>VLOOKUP($C4443, 'Instrument Table'!$B:$C, 2, FALSE)</f>
        <v>Other</v>
      </c>
      <c r="E4443" s="1">
        <f t="shared" si="414"/>
        <v>2</v>
      </c>
      <c r="F4443" s="1">
        <f>_xlfn.XLOOKUP($C4443, 'Instrument Table'!$B:$B, 'Instrument Table'!$A:$A, "")</f>
        <v>60</v>
      </c>
      <c r="G4443" s="1" t="str">
        <f>TEXT(IF($B4443 = "Retail Item", IF((ROW($A4443) - 4504 - _xlfn.XMATCH($C4443, $C$4506:$C$5005, 0, 1)) &lt;= VLOOKUP($C4443, 'Instrument Table'!$B:$D, 3, FALSE), ROW($A4443) - 4504 - _xlfn.XMATCH($C4443, $C$4506:$C$5005, 0, 1), 0), 0), "00")</f>
        <v>00</v>
      </c>
      <c r="H4443" s="1" t="str">
        <f t="shared" si="415"/>
        <v>027</v>
      </c>
      <c r="I4443" s="1" t="str">
        <f t="shared" si="416"/>
        <v>26000-027</v>
      </c>
      <c r="J4443" s="1" t="str">
        <f t="shared" si="417"/>
        <v>Theremin service item #027</v>
      </c>
      <c r="K4443" s="1" t="str">
        <f>IF(SUM(COUNTIFS(I:I, I4443)) &gt; 1, "DUPLICATE", "UNIQUE")</f>
        <v>UNIQUE</v>
      </c>
      <c r="L4443" s="18">
        <v>8</v>
      </c>
      <c r="M4443" s="28">
        <v>109</v>
      </c>
      <c r="N4443" s="6">
        <v>0</v>
      </c>
      <c r="O4443" s="30">
        <f t="shared" si="418"/>
        <v>872</v>
      </c>
      <c r="P4443" s="30">
        <f t="shared" si="419"/>
        <v>0</v>
      </c>
      <c r="Q4443" s="1">
        <f>COUNTIFS($P:$P, "&gt;" &amp; $P4443) + 1</f>
        <v>4746</v>
      </c>
      <c r="R4443" s="63">
        <f>(COUNTIFS($P:$P, "&gt;" &amp; $P4443) + 1) / (COUNTA($I:$I) - 1)</f>
        <v>0.94920000000000004</v>
      </c>
      <c r="S4443" s="23">
        <f>SUMIFS($P:$P, $Q:$Q, "&lt;" &amp; $Q4443)</f>
        <v>186547861</v>
      </c>
    </row>
    <row r="4444" spans="1:19" x14ac:dyDescent="0.25">
      <c r="A4444" s="1">
        <v>4439</v>
      </c>
      <c r="B4444" s="1" t="s">
        <v>3</v>
      </c>
      <c r="C4444" s="1" t="str">
        <f>IF($B4444 = "Production Item", _xlfn.XLOOKUP($A4444, 'Instrument Table'!$J:$J, 'Instrument Table'!$B:$B, $C4443), IF($B4444 = "Service Item", _xlfn.XLOOKUP($A4444, 'Instrument Table'!$I:$I, 'Instrument Table'!$B:$B, $C4443), _xlfn.XLOOKUP($A4444, 'Instrument Table'!$H:$H, 'Instrument Table'!$B:$B, $C4443)))</f>
        <v>Theremin</v>
      </c>
      <c r="D4444" s="1" t="str">
        <f>VLOOKUP($C4444, 'Instrument Table'!$B:$C, 2, FALSE)</f>
        <v>Other</v>
      </c>
      <c r="E4444" s="1">
        <f t="shared" si="414"/>
        <v>2</v>
      </c>
      <c r="F4444" s="1">
        <f>_xlfn.XLOOKUP($C4444, 'Instrument Table'!$B:$B, 'Instrument Table'!$A:$A, "")</f>
        <v>60</v>
      </c>
      <c r="G4444" s="1" t="str">
        <f>TEXT(IF($B4444 = "Retail Item", IF((ROW($A4444) - 4504 - _xlfn.XMATCH($C4444, $C$4506:$C$5005, 0, 1)) &lt;= VLOOKUP($C4444, 'Instrument Table'!$B:$D, 3, FALSE), ROW($A4444) - 4504 - _xlfn.XMATCH($C4444, $C$4506:$C$5005, 0, 1), 0), 0), "00")</f>
        <v>00</v>
      </c>
      <c r="H4444" s="1" t="str">
        <f t="shared" si="415"/>
        <v>028</v>
      </c>
      <c r="I4444" s="1" t="str">
        <f t="shared" si="416"/>
        <v>26000-028</v>
      </c>
      <c r="J4444" s="1" t="str">
        <f t="shared" si="417"/>
        <v>Theremin service item #028</v>
      </c>
      <c r="K4444" s="1" t="str">
        <f>IF(SUM(COUNTIFS(I:I, I4444)) &gt; 1, "DUPLICATE", "UNIQUE")</f>
        <v>UNIQUE</v>
      </c>
      <c r="L4444" s="18">
        <v>5</v>
      </c>
      <c r="M4444" s="28">
        <v>319</v>
      </c>
      <c r="N4444" s="6">
        <v>8</v>
      </c>
      <c r="O4444" s="30">
        <f t="shared" si="418"/>
        <v>1595</v>
      </c>
      <c r="P4444" s="30">
        <f t="shared" si="419"/>
        <v>2552</v>
      </c>
      <c r="Q4444" s="1">
        <f>COUNTIFS($P:$P, "&gt;" &amp; $P4444) + 1</f>
        <v>3032</v>
      </c>
      <c r="R4444" s="63">
        <f>(COUNTIFS($P:$P, "&gt;" &amp; $P4444) + 1) / (COUNTA($I:$I) - 1)</f>
        <v>0.60640000000000005</v>
      </c>
      <c r="S4444" s="23">
        <f>SUMIFS($P:$P, $Q:$Q, "&lt;" &amp; $Q4444)</f>
        <v>185015050</v>
      </c>
    </row>
    <row r="4445" spans="1:19" x14ac:dyDescent="0.25">
      <c r="A4445" s="1">
        <v>4440</v>
      </c>
      <c r="B4445" s="1" t="s">
        <v>3</v>
      </c>
      <c r="C4445" s="1" t="str">
        <f>IF($B4445 = "Production Item", _xlfn.XLOOKUP($A4445, 'Instrument Table'!$J:$J, 'Instrument Table'!$B:$B, $C4444), IF($B4445 = "Service Item", _xlfn.XLOOKUP($A4445, 'Instrument Table'!$I:$I, 'Instrument Table'!$B:$B, $C4444), _xlfn.XLOOKUP($A4445, 'Instrument Table'!$H:$H, 'Instrument Table'!$B:$B, $C4444)))</f>
        <v>Theremin</v>
      </c>
      <c r="D4445" s="1" t="str">
        <f>VLOOKUP($C4445, 'Instrument Table'!$B:$C, 2, FALSE)</f>
        <v>Other</v>
      </c>
      <c r="E4445" s="1">
        <f t="shared" si="414"/>
        <v>2</v>
      </c>
      <c r="F4445" s="1">
        <f>_xlfn.XLOOKUP($C4445, 'Instrument Table'!$B:$B, 'Instrument Table'!$A:$A, "")</f>
        <v>60</v>
      </c>
      <c r="G4445" s="1" t="str">
        <f>TEXT(IF($B4445 = "Retail Item", IF((ROW($A4445) - 4504 - _xlfn.XMATCH($C4445, $C$4506:$C$5005, 0, 1)) &lt;= VLOOKUP($C4445, 'Instrument Table'!$B:$D, 3, FALSE), ROW($A4445) - 4504 - _xlfn.XMATCH($C4445, $C$4506:$C$5005, 0, 1), 0), 0), "00")</f>
        <v>00</v>
      </c>
      <c r="H4445" s="1" t="str">
        <f t="shared" si="415"/>
        <v>029</v>
      </c>
      <c r="I4445" s="1" t="str">
        <f t="shared" si="416"/>
        <v>26000-029</v>
      </c>
      <c r="J4445" s="1" t="str">
        <f t="shared" si="417"/>
        <v>Theremin service item #029</v>
      </c>
      <c r="K4445" s="1" t="str">
        <f>IF(SUM(COUNTIFS(I:I, I4445)) &gt; 1, "DUPLICATE", "UNIQUE")</f>
        <v>UNIQUE</v>
      </c>
      <c r="L4445" s="18">
        <v>9</v>
      </c>
      <c r="M4445" s="28">
        <v>337</v>
      </c>
      <c r="N4445" s="6">
        <v>8</v>
      </c>
      <c r="O4445" s="30">
        <f t="shared" si="418"/>
        <v>3033</v>
      </c>
      <c r="P4445" s="30">
        <f t="shared" si="419"/>
        <v>2696</v>
      </c>
      <c r="Q4445" s="1">
        <f>COUNTIFS($P:$P, "&gt;" &amp; $P4445) + 1</f>
        <v>2988</v>
      </c>
      <c r="R4445" s="63">
        <f>(COUNTIFS($P:$P, "&gt;" &amp; $P4445) + 1) / (COUNTA($I:$I) - 1)</f>
        <v>0.59760000000000002</v>
      </c>
      <c r="S4445" s="23">
        <f>SUMIFS($P:$P, $Q:$Q, "&lt;" &amp; $Q4445)</f>
        <v>184900082</v>
      </c>
    </row>
    <row r="4446" spans="1:19" x14ac:dyDescent="0.25">
      <c r="A4446" s="1">
        <v>4441</v>
      </c>
      <c r="B4446" s="1" t="s">
        <v>3</v>
      </c>
      <c r="C4446" s="1" t="str">
        <f>IF($B4446 = "Production Item", _xlfn.XLOOKUP($A4446, 'Instrument Table'!$J:$J, 'Instrument Table'!$B:$B, $C4445), IF($B4446 = "Service Item", _xlfn.XLOOKUP($A4446, 'Instrument Table'!$I:$I, 'Instrument Table'!$B:$B, $C4445), _xlfn.XLOOKUP($A4446, 'Instrument Table'!$H:$H, 'Instrument Table'!$B:$B, $C4445)))</f>
        <v>Theremin</v>
      </c>
      <c r="D4446" s="1" t="str">
        <f>VLOOKUP($C4446, 'Instrument Table'!$B:$C, 2, FALSE)</f>
        <v>Other</v>
      </c>
      <c r="E4446" s="1">
        <f t="shared" si="414"/>
        <v>2</v>
      </c>
      <c r="F4446" s="1">
        <f>_xlfn.XLOOKUP($C4446, 'Instrument Table'!$B:$B, 'Instrument Table'!$A:$A, "")</f>
        <v>60</v>
      </c>
      <c r="G4446" s="1" t="str">
        <f>TEXT(IF($B4446 = "Retail Item", IF((ROW($A4446) - 4504 - _xlfn.XMATCH($C4446, $C$4506:$C$5005, 0, 1)) &lt;= VLOOKUP($C4446, 'Instrument Table'!$B:$D, 3, FALSE), ROW($A4446) - 4504 - _xlfn.XMATCH($C4446, $C$4506:$C$5005, 0, 1), 0), 0), "00")</f>
        <v>00</v>
      </c>
      <c r="H4446" s="1" t="str">
        <f t="shared" si="415"/>
        <v>030</v>
      </c>
      <c r="I4446" s="1" t="str">
        <f t="shared" si="416"/>
        <v>26000-030</v>
      </c>
      <c r="J4446" s="1" t="str">
        <f t="shared" si="417"/>
        <v>Theremin service item #030</v>
      </c>
      <c r="K4446" s="1" t="str">
        <f>IF(SUM(COUNTIFS(I:I, I4446)) &gt; 1, "DUPLICATE", "UNIQUE")</f>
        <v>UNIQUE</v>
      </c>
      <c r="L4446" s="18">
        <v>3</v>
      </c>
      <c r="M4446" s="28">
        <v>79</v>
      </c>
      <c r="N4446" s="6">
        <v>125</v>
      </c>
      <c r="O4446" s="30">
        <f t="shared" si="418"/>
        <v>237</v>
      </c>
      <c r="P4446" s="30">
        <f t="shared" si="419"/>
        <v>9875</v>
      </c>
      <c r="Q4446" s="1">
        <f>COUNTIFS($P:$P, "&gt;" &amp; $P4446) + 1</f>
        <v>1783</v>
      </c>
      <c r="R4446" s="63">
        <f>(COUNTIFS($P:$P, "&gt;" &amp; $P4446) + 1) / (COUNTA($I:$I) - 1)</f>
        <v>0.35659999999999997</v>
      </c>
      <c r="S4446" s="23">
        <f>SUMIFS($P:$P, $Q:$Q, "&lt;" &amp; $Q4446)</f>
        <v>178075201</v>
      </c>
    </row>
    <row r="4447" spans="1:19" x14ac:dyDescent="0.25">
      <c r="A4447" s="1">
        <v>4442</v>
      </c>
      <c r="B4447" s="1" t="s">
        <v>3</v>
      </c>
      <c r="C4447" s="1" t="str">
        <f>IF($B4447 = "Production Item", _xlfn.XLOOKUP($A4447, 'Instrument Table'!$J:$J, 'Instrument Table'!$B:$B, $C4446), IF($B4447 = "Service Item", _xlfn.XLOOKUP($A4447, 'Instrument Table'!$I:$I, 'Instrument Table'!$B:$B, $C4446), _xlfn.XLOOKUP($A4447, 'Instrument Table'!$H:$H, 'Instrument Table'!$B:$B, $C4446)))</f>
        <v>Theremin</v>
      </c>
      <c r="D4447" s="1" t="str">
        <f>VLOOKUP($C4447, 'Instrument Table'!$B:$C, 2, FALSE)</f>
        <v>Other</v>
      </c>
      <c r="E4447" s="1">
        <f t="shared" si="414"/>
        <v>2</v>
      </c>
      <c r="F4447" s="1">
        <f>_xlfn.XLOOKUP($C4447, 'Instrument Table'!$B:$B, 'Instrument Table'!$A:$A, "")</f>
        <v>60</v>
      </c>
      <c r="G4447" s="1" t="str">
        <f>TEXT(IF($B4447 = "Retail Item", IF((ROW($A4447) - 4504 - _xlfn.XMATCH($C4447, $C$4506:$C$5005, 0, 1)) &lt;= VLOOKUP($C4447, 'Instrument Table'!$B:$D, 3, FALSE), ROW($A4447) - 4504 - _xlfn.XMATCH($C4447, $C$4506:$C$5005, 0, 1), 0), 0), "00")</f>
        <v>00</v>
      </c>
      <c r="H4447" s="1" t="str">
        <f t="shared" si="415"/>
        <v>031</v>
      </c>
      <c r="I4447" s="1" t="str">
        <f t="shared" si="416"/>
        <v>26000-031</v>
      </c>
      <c r="J4447" s="1" t="str">
        <f t="shared" si="417"/>
        <v>Theremin service item #031</v>
      </c>
      <c r="K4447" s="1" t="str">
        <f>IF(SUM(COUNTIFS(I:I, I4447)) &gt; 1, "DUPLICATE", "UNIQUE")</f>
        <v>UNIQUE</v>
      </c>
      <c r="L4447" s="18">
        <v>8</v>
      </c>
      <c r="M4447" s="28">
        <v>589</v>
      </c>
      <c r="N4447" s="6">
        <v>0</v>
      </c>
      <c r="O4447" s="30">
        <f t="shared" si="418"/>
        <v>4712</v>
      </c>
      <c r="P4447" s="30">
        <f t="shared" si="419"/>
        <v>0</v>
      </c>
      <c r="Q4447" s="1">
        <f>COUNTIFS($P:$P, "&gt;" &amp; $P4447) + 1</f>
        <v>4746</v>
      </c>
      <c r="R4447" s="63">
        <f>(COUNTIFS($P:$P, "&gt;" &amp; $P4447) + 1) / (COUNTA($I:$I) - 1)</f>
        <v>0.94920000000000004</v>
      </c>
      <c r="S4447" s="23">
        <f>SUMIFS($P:$P, $Q:$Q, "&lt;" &amp; $Q4447)</f>
        <v>186547861</v>
      </c>
    </row>
    <row r="4448" spans="1:19" x14ac:dyDescent="0.25">
      <c r="A4448" s="1">
        <v>4443</v>
      </c>
      <c r="B4448" s="1" t="s">
        <v>3</v>
      </c>
      <c r="C4448" s="1" t="str">
        <f>IF($B4448 = "Production Item", _xlfn.XLOOKUP($A4448, 'Instrument Table'!$J:$J, 'Instrument Table'!$B:$B, $C4447), IF($B4448 = "Service Item", _xlfn.XLOOKUP($A4448, 'Instrument Table'!$I:$I, 'Instrument Table'!$B:$B, $C4447), _xlfn.XLOOKUP($A4448, 'Instrument Table'!$H:$H, 'Instrument Table'!$B:$B, $C4447)))</f>
        <v>Theremin</v>
      </c>
      <c r="D4448" s="1" t="str">
        <f>VLOOKUP($C4448, 'Instrument Table'!$B:$C, 2, FALSE)</f>
        <v>Other</v>
      </c>
      <c r="E4448" s="1">
        <f t="shared" si="414"/>
        <v>2</v>
      </c>
      <c r="F4448" s="1">
        <f>_xlfn.XLOOKUP($C4448, 'Instrument Table'!$B:$B, 'Instrument Table'!$A:$A, "")</f>
        <v>60</v>
      </c>
      <c r="G4448" s="1" t="str">
        <f>TEXT(IF($B4448 = "Retail Item", IF((ROW($A4448) - 4504 - _xlfn.XMATCH($C4448, $C$4506:$C$5005, 0, 1)) &lt;= VLOOKUP($C4448, 'Instrument Table'!$B:$D, 3, FALSE), ROW($A4448) - 4504 - _xlfn.XMATCH($C4448, $C$4506:$C$5005, 0, 1), 0), 0), "00")</f>
        <v>00</v>
      </c>
      <c r="H4448" s="1" t="str">
        <f t="shared" si="415"/>
        <v>032</v>
      </c>
      <c r="I4448" s="1" t="str">
        <f t="shared" si="416"/>
        <v>26000-032</v>
      </c>
      <c r="J4448" s="1" t="str">
        <f t="shared" si="417"/>
        <v>Theremin service item #032</v>
      </c>
      <c r="K4448" s="1" t="str">
        <f>IF(SUM(COUNTIFS(I:I, I4448)) &gt; 1, "DUPLICATE", "UNIQUE")</f>
        <v>UNIQUE</v>
      </c>
      <c r="L4448" s="18">
        <v>0</v>
      </c>
      <c r="M4448" s="28">
        <v>763</v>
      </c>
      <c r="N4448" s="6">
        <v>0</v>
      </c>
      <c r="O4448" s="30">
        <f t="shared" si="418"/>
        <v>0</v>
      </c>
      <c r="P4448" s="30">
        <f t="shared" si="419"/>
        <v>0</v>
      </c>
      <c r="Q4448" s="1">
        <f>COUNTIFS($P:$P, "&gt;" &amp; $P4448) + 1</f>
        <v>4746</v>
      </c>
      <c r="R4448" s="63">
        <f>(COUNTIFS($P:$P, "&gt;" &amp; $P4448) + 1) / (COUNTA($I:$I) - 1)</f>
        <v>0.94920000000000004</v>
      </c>
      <c r="S4448" s="23">
        <f>SUMIFS($P:$P, $Q:$Q, "&lt;" &amp; $Q4448)</f>
        <v>186547861</v>
      </c>
    </row>
    <row r="4449" spans="1:19" x14ac:dyDescent="0.25">
      <c r="A4449" s="1">
        <v>4444</v>
      </c>
      <c r="B4449" s="1" t="s">
        <v>3</v>
      </c>
      <c r="C4449" s="1" t="str">
        <f>IF($B4449 = "Production Item", _xlfn.XLOOKUP($A4449, 'Instrument Table'!$J:$J, 'Instrument Table'!$B:$B, $C4448), IF($B4449 = "Service Item", _xlfn.XLOOKUP($A4449, 'Instrument Table'!$I:$I, 'Instrument Table'!$B:$B, $C4448), _xlfn.XLOOKUP($A4449, 'Instrument Table'!$H:$H, 'Instrument Table'!$B:$B, $C4448)))</f>
        <v>Theremin</v>
      </c>
      <c r="D4449" s="1" t="str">
        <f>VLOOKUP($C4449, 'Instrument Table'!$B:$C, 2, FALSE)</f>
        <v>Other</v>
      </c>
      <c r="E4449" s="1">
        <f t="shared" si="414"/>
        <v>2</v>
      </c>
      <c r="F4449" s="1">
        <f>_xlfn.XLOOKUP($C4449, 'Instrument Table'!$B:$B, 'Instrument Table'!$A:$A, "")</f>
        <v>60</v>
      </c>
      <c r="G4449" s="1" t="str">
        <f>TEXT(IF($B4449 = "Retail Item", IF((ROW($A4449) - 4504 - _xlfn.XMATCH($C4449, $C$4506:$C$5005, 0, 1)) &lt;= VLOOKUP($C4449, 'Instrument Table'!$B:$D, 3, FALSE), ROW($A4449) - 4504 - _xlfn.XMATCH($C4449, $C$4506:$C$5005, 0, 1), 0), 0), "00")</f>
        <v>00</v>
      </c>
      <c r="H4449" s="1" t="str">
        <f t="shared" si="415"/>
        <v>033</v>
      </c>
      <c r="I4449" s="1" t="str">
        <f t="shared" si="416"/>
        <v>26000-033</v>
      </c>
      <c r="J4449" s="1" t="str">
        <f t="shared" si="417"/>
        <v>Theremin service item #033</v>
      </c>
      <c r="K4449" s="1" t="str">
        <f>IF(SUM(COUNTIFS(I:I, I4449)) &gt; 1, "DUPLICATE", "UNIQUE")</f>
        <v>UNIQUE</v>
      </c>
      <c r="L4449" s="18">
        <v>5</v>
      </c>
      <c r="M4449" s="28">
        <v>533</v>
      </c>
      <c r="N4449" s="6">
        <v>125</v>
      </c>
      <c r="O4449" s="30">
        <f t="shared" si="418"/>
        <v>2665</v>
      </c>
      <c r="P4449" s="30">
        <f t="shared" si="419"/>
        <v>66625</v>
      </c>
      <c r="Q4449" s="1">
        <f>COUNTIFS($P:$P, "&gt;" &amp; $P4449) + 1</f>
        <v>482</v>
      </c>
      <c r="R4449" s="63">
        <f>(COUNTIFS($P:$P, "&gt;" &amp; $P4449) + 1) / (COUNTA($I:$I) - 1)</f>
        <v>9.64E-2</v>
      </c>
      <c r="S4449" s="23">
        <f>SUMIFS($P:$P, $Q:$Q, "&lt;" &amp; $Q4449)</f>
        <v>150321919</v>
      </c>
    </row>
    <row r="4450" spans="1:19" x14ac:dyDescent="0.25">
      <c r="A4450" s="1">
        <v>4445</v>
      </c>
      <c r="B4450" s="1" t="s">
        <v>3</v>
      </c>
      <c r="C4450" s="1" t="str">
        <f>IF($B4450 = "Production Item", _xlfn.XLOOKUP($A4450, 'Instrument Table'!$J:$J, 'Instrument Table'!$B:$B, $C4449), IF($B4450 = "Service Item", _xlfn.XLOOKUP($A4450, 'Instrument Table'!$I:$I, 'Instrument Table'!$B:$B, $C4449), _xlfn.XLOOKUP($A4450, 'Instrument Table'!$H:$H, 'Instrument Table'!$B:$B, $C4449)))</f>
        <v>Theremin</v>
      </c>
      <c r="D4450" s="1" t="str">
        <f>VLOOKUP($C4450, 'Instrument Table'!$B:$C, 2, FALSE)</f>
        <v>Other</v>
      </c>
      <c r="E4450" s="1">
        <f t="shared" si="414"/>
        <v>2</v>
      </c>
      <c r="F4450" s="1">
        <f>_xlfn.XLOOKUP($C4450, 'Instrument Table'!$B:$B, 'Instrument Table'!$A:$A, "")</f>
        <v>60</v>
      </c>
      <c r="G4450" s="1" t="str">
        <f>TEXT(IF($B4450 = "Retail Item", IF((ROW($A4450) - 4504 - _xlfn.XMATCH($C4450, $C$4506:$C$5005, 0, 1)) &lt;= VLOOKUP($C4450, 'Instrument Table'!$B:$D, 3, FALSE), ROW($A4450) - 4504 - _xlfn.XMATCH($C4450, $C$4506:$C$5005, 0, 1), 0), 0), "00")</f>
        <v>00</v>
      </c>
      <c r="H4450" s="1" t="str">
        <f t="shared" si="415"/>
        <v>034</v>
      </c>
      <c r="I4450" s="1" t="str">
        <f t="shared" si="416"/>
        <v>26000-034</v>
      </c>
      <c r="J4450" s="1" t="str">
        <f t="shared" si="417"/>
        <v>Theremin service item #034</v>
      </c>
      <c r="K4450" s="1" t="str">
        <f>IF(SUM(COUNTIFS(I:I, I4450)) &gt; 1, "DUPLICATE", "UNIQUE")</f>
        <v>UNIQUE</v>
      </c>
      <c r="L4450" s="18">
        <v>2</v>
      </c>
      <c r="M4450" s="28">
        <v>977</v>
      </c>
      <c r="N4450" s="6">
        <v>8</v>
      </c>
      <c r="O4450" s="30">
        <f t="shared" si="418"/>
        <v>1954</v>
      </c>
      <c r="P4450" s="30">
        <f t="shared" si="419"/>
        <v>7816</v>
      </c>
      <c r="Q4450" s="1">
        <f>COUNTIFS($P:$P, "&gt;" &amp; $P4450) + 1</f>
        <v>2013</v>
      </c>
      <c r="R4450" s="63">
        <f>(COUNTIFS($P:$P, "&gt;" &amp; $P4450) + 1) / (COUNTA($I:$I) - 1)</f>
        <v>0.40260000000000001</v>
      </c>
      <c r="S4450" s="23">
        <f>SUMIFS($P:$P, $Q:$Q, "&lt;" &amp; $Q4450)</f>
        <v>180098807</v>
      </c>
    </row>
    <row r="4451" spans="1:19" x14ac:dyDescent="0.25">
      <c r="A4451" s="1">
        <v>4446</v>
      </c>
      <c r="B4451" s="1" t="s">
        <v>3</v>
      </c>
      <c r="C4451" s="1" t="str">
        <f>IF($B4451 = "Production Item", _xlfn.XLOOKUP($A4451, 'Instrument Table'!$J:$J, 'Instrument Table'!$B:$B, $C4450), IF($B4451 = "Service Item", _xlfn.XLOOKUP($A4451, 'Instrument Table'!$I:$I, 'Instrument Table'!$B:$B, $C4450), _xlfn.XLOOKUP($A4451, 'Instrument Table'!$H:$H, 'Instrument Table'!$B:$B, $C4450)))</f>
        <v>Theremin</v>
      </c>
      <c r="D4451" s="1" t="str">
        <f>VLOOKUP($C4451, 'Instrument Table'!$B:$C, 2, FALSE)</f>
        <v>Other</v>
      </c>
      <c r="E4451" s="1">
        <f t="shared" si="414"/>
        <v>2</v>
      </c>
      <c r="F4451" s="1">
        <f>_xlfn.XLOOKUP($C4451, 'Instrument Table'!$B:$B, 'Instrument Table'!$A:$A, "")</f>
        <v>60</v>
      </c>
      <c r="G4451" s="1" t="str">
        <f>TEXT(IF($B4451 = "Retail Item", IF((ROW($A4451) - 4504 - _xlfn.XMATCH($C4451, $C$4506:$C$5005, 0, 1)) &lt;= VLOOKUP($C4451, 'Instrument Table'!$B:$D, 3, FALSE), ROW($A4451) - 4504 - _xlfn.XMATCH($C4451, $C$4506:$C$5005, 0, 1), 0), 0), "00")</f>
        <v>00</v>
      </c>
      <c r="H4451" s="1" t="str">
        <f t="shared" si="415"/>
        <v>035</v>
      </c>
      <c r="I4451" s="1" t="str">
        <f t="shared" si="416"/>
        <v>26000-035</v>
      </c>
      <c r="J4451" s="1" t="str">
        <f t="shared" si="417"/>
        <v>Theremin service item #035</v>
      </c>
      <c r="K4451" s="1" t="str">
        <f>IF(SUM(COUNTIFS(I:I, I4451)) &gt; 1, "DUPLICATE", "UNIQUE")</f>
        <v>UNIQUE</v>
      </c>
      <c r="L4451" s="18">
        <v>2</v>
      </c>
      <c r="M4451" s="28">
        <v>102</v>
      </c>
      <c r="N4451" s="6">
        <v>125</v>
      </c>
      <c r="O4451" s="30">
        <f t="shared" si="418"/>
        <v>204</v>
      </c>
      <c r="P4451" s="30">
        <f t="shared" si="419"/>
        <v>12750</v>
      </c>
      <c r="Q4451" s="1">
        <f>COUNTIFS($P:$P, "&gt;" &amp; $P4451) + 1</f>
        <v>1522</v>
      </c>
      <c r="R4451" s="63">
        <f>(COUNTIFS($P:$P, "&gt;" &amp; $P4451) + 1) / (COUNTA($I:$I) - 1)</f>
        <v>0.3044</v>
      </c>
      <c r="S4451" s="23">
        <f>SUMIFS($P:$P, $Q:$Q, "&lt;" &amp; $Q4451)</f>
        <v>175123113</v>
      </c>
    </row>
    <row r="4452" spans="1:19" x14ac:dyDescent="0.25">
      <c r="A4452" s="1">
        <v>4447</v>
      </c>
      <c r="B4452" s="1" t="s">
        <v>3</v>
      </c>
      <c r="C4452" s="1" t="str">
        <f>IF($B4452 = "Production Item", _xlfn.XLOOKUP($A4452, 'Instrument Table'!$J:$J, 'Instrument Table'!$B:$B, $C4451), IF($B4452 = "Service Item", _xlfn.XLOOKUP($A4452, 'Instrument Table'!$I:$I, 'Instrument Table'!$B:$B, $C4451), _xlfn.XLOOKUP($A4452, 'Instrument Table'!$H:$H, 'Instrument Table'!$B:$B, $C4451)))</f>
        <v>Theremin</v>
      </c>
      <c r="D4452" s="1" t="str">
        <f>VLOOKUP($C4452, 'Instrument Table'!$B:$C, 2, FALSE)</f>
        <v>Other</v>
      </c>
      <c r="E4452" s="1">
        <f t="shared" si="414"/>
        <v>2</v>
      </c>
      <c r="F4452" s="1">
        <f>_xlfn.XLOOKUP($C4452, 'Instrument Table'!$B:$B, 'Instrument Table'!$A:$A, "")</f>
        <v>60</v>
      </c>
      <c r="G4452" s="1" t="str">
        <f>TEXT(IF($B4452 = "Retail Item", IF((ROW($A4452) - 4504 - _xlfn.XMATCH($C4452, $C$4506:$C$5005, 0, 1)) &lt;= VLOOKUP($C4452, 'Instrument Table'!$B:$D, 3, FALSE), ROW($A4452) - 4504 - _xlfn.XMATCH($C4452, $C$4506:$C$5005, 0, 1), 0), 0), "00")</f>
        <v>00</v>
      </c>
      <c r="H4452" s="1" t="str">
        <f t="shared" si="415"/>
        <v>036</v>
      </c>
      <c r="I4452" s="1" t="str">
        <f t="shared" si="416"/>
        <v>26000-036</v>
      </c>
      <c r="J4452" s="1" t="str">
        <f t="shared" si="417"/>
        <v>Theremin service item #036</v>
      </c>
      <c r="K4452" s="1" t="str">
        <f>IF(SUM(COUNTIFS(I:I, I4452)) &gt; 1, "DUPLICATE", "UNIQUE")</f>
        <v>UNIQUE</v>
      </c>
      <c r="L4452" s="18">
        <v>7</v>
      </c>
      <c r="M4452" s="28">
        <v>389</v>
      </c>
      <c r="N4452" s="6">
        <v>64</v>
      </c>
      <c r="O4452" s="30">
        <f t="shared" si="418"/>
        <v>2723</v>
      </c>
      <c r="P4452" s="30">
        <f t="shared" si="419"/>
        <v>24896</v>
      </c>
      <c r="Q4452" s="1">
        <f>COUNTIFS($P:$P, "&gt;" &amp; $P4452) + 1</f>
        <v>832</v>
      </c>
      <c r="R4452" s="63">
        <f>(COUNTIFS($P:$P, "&gt;" &amp; $P4452) + 1) / (COUNTA($I:$I) - 1)</f>
        <v>0.16639999999999999</v>
      </c>
      <c r="S4452" s="23">
        <f>SUMIFS($P:$P, $Q:$Q, "&lt;" &amp; $Q4452)</f>
        <v>162639237</v>
      </c>
    </row>
    <row r="4453" spans="1:19" x14ac:dyDescent="0.25">
      <c r="A4453" s="1">
        <v>4448</v>
      </c>
      <c r="B4453" s="1" t="s">
        <v>3</v>
      </c>
      <c r="C4453" s="1" t="str">
        <f>IF($B4453 = "Production Item", _xlfn.XLOOKUP($A4453, 'Instrument Table'!$J:$J, 'Instrument Table'!$B:$B, $C4452), IF($B4453 = "Service Item", _xlfn.XLOOKUP($A4453, 'Instrument Table'!$I:$I, 'Instrument Table'!$B:$B, $C4452), _xlfn.XLOOKUP($A4453, 'Instrument Table'!$H:$H, 'Instrument Table'!$B:$B, $C4452)))</f>
        <v>Theremin</v>
      </c>
      <c r="D4453" s="1" t="str">
        <f>VLOOKUP($C4453, 'Instrument Table'!$B:$C, 2, FALSE)</f>
        <v>Other</v>
      </c>
      <c r="E4453" s="1">
        <f t="shared" si="414"/>
        <v>2</v>
      </c>
      <c r="F4453" s="1">
        <f>_xlfn.XLOOKUP($C4453, 'Instrument Table'!$B:$B, 'Instrument Table'!$A:$A, "")</f>
        <v>60</v>
      </c>
      <c r="G4453" s="1" t="str">
        <f>TEXT(IF($B4453 = "Retail Item", IF((ROW($A4453) - 4504 - _xlfn.XMATCH($C4453, $C$4506:$C$5005, 0, 1)) &lt;= VLOOKUP($C4453, 'Instrument Table'!$B:$D, 3, FALSE), ROW($A4453) - 4504 - _xlfn.XMATCH($C4453, $C$4506:$C$5005, 0, 1), 0), 0), "00")</f>
        <v>00</v>
      </c>
      <c r="H4453" s="1" t="str">
        <f t="shared" si="415"/>
        <v>037</v>
      </c>
      <c r="I4453" s="1" t="str">
        <f t="shared" si="416"/>
        <v>26000-037</v>
      </c>
      <c r="J4453" s="1" t="str">
        <f t="shared" si="417"/>
        <v>Theremin service item #037</v>
      </c>
      <c r="K4453" s="1" t="str">
        <f>IF(SUM(COUNTIFS(I:I, I4453)) &gt; 1, "DUPLICATE", "UNIQUE")</f>
        <v>UNIQUE</v>
      </c>
      <c r="L4453" s="18">
        <v>2</v>
      </c>
      <c r="M4453" s="28">
        <v>466</v>
      </c>
      <c r="N4453" s="6">
        <v>8</v>
      </c>
      <c r="O4453" s="30">
        <f t="shared" si="418"/>
        <v>932</v>
      </c>
      <c r="P4453" s="30">
        <f t="shared" si="419"/>
        <v>3728</v>
      </c>
      <c r="Q4453" s="1">
        <f>COUNTIFS($P:$P, "&gt;" &amp; $P4453) + 1</f>
        <v>2714</v>
      </c>
      <c r="R4453" s="63">
        <f>(COUNTIFS($P:$P, "&gt;" &amp; $P4453) + 1) / (COUNTA($I:$I) - 1)</f>
        <v>0.54279999999999995</v>
      </c>
      <c r="S4453" s="23">
        <f>SUMIFS($P:$P, $Q:$Q, "&lt;" &amp; $Q4453)</f>
        <v>184019350</v>
      </c>
    </row>
    <row r="4454" spans="1:19" x14ac:dyDescent="0.25">
      <c r="A4454" s="1">
        <v>4449</v>
      </c>
      <c r="B4454" s="1" t="s">
        <v>3</v>
      </c>
      <c r="C4454" s="1" t="str">
        <f>IF($B4454 = "Production Item", _xlfn.XLOOKUP($A4454, 'Instrument Table'!$J:$J, 'Instrument Table'!$B:$B, $C4453), IF($B4454 = "Service Item", _xlfn.XLOOKUP($A4454, 'Instrument Table'!$I:$I, 'Instrument Table'!$B:$B, $C4453), _xlfn.XLOOKUP($A4454, 'Instrument Table'!$H:$H, 'Instrument Table'!$B:$B, $C4453)))</f>
        <v>Theremin</v>
      </c>
      <c r="D4454" s="1" t="str">
        <f>VLOOKUP($C4454, 'Instrument Table'!$B:$C, 2, FALSE)</f>
        <v>Other</v>
      </c>
      <c r="E4454" s="1">
        <f t="shared" si="414"/>
        <v>2</v>
      </c>
      <c r="F4454" s="1">
        <f>_xlfn.XLOOKUP($C4454, 'Instrument Table'!$B:$B, 'Instrument Table'!$A:$A, "")</f>
        <v>60</v>
      </c>
      <c r="G4454" s="1" t="str">
        <f>TEXT(IF($B4454 = "Retail Item", IF((ROW($A4454) - 4504 - _xlfn.XMATCH($C4454, $C$4506:$C$5005, 0, 1)) &lt;= VLOOKUP($C4454, 'Instrument Table'!$B:$D, 3, FALSE), ROW($A4454) - 4504 - _xlfn.XMATCH($C4454, $C$4506:$C$5005, 0, 1), 0), 0), "00")</f>
        <v>00</v>
      </c>
      <c r="H4454" s="1" t="str">
        <f t="shared" si="415"/>
        <v>038</v>
      </c>
      <c r="I4454" s="1" t="str">
        <f t="shared" si="416"/>
        <v>26000-038</v>
      </c>
      <c r="J4454" s="1" t="str">
        <f t="shared" si="417"/>
        <v>Theremin service item #038</v>
      </c>
      <c r="K4454" s="1" t="str">
        <f>IF(SUM(COUNTIFS(I:I, I4454)) &gt; 1, "DUPLICATE", "UNIQUE")</f>
        <v>UNIQUE</v>
      </c>
      <c r="L4454" s="18">
        <v>0</v>
      </c>
      <c r="M4454" s="28">
        <v>963</v>
      </c>
      <c r="N4454" s="6">
        <v>0</v>
      </c>
      <c r="O4454" s="30">
        <f t="shared" si="418"/>
        <v>0</v>
      </c>
      <c r="P4454" s="30">
        <f t="shared" si="419"/>
        <v>0</v>
      </c>
      <c r="Q4454" s="1">
        <f>COUNTIFS($P:$P, "&gt;" &amp; $P4454) + 1</f>
        <v>4746</v>
      </c>
      <c r="R4454" s="63">
        <f>(COUNTIFS($P:$P, "&gt;" &amp; $P4454) + 1) / (COUNTA($I:$I) - 1)</f>
        <v>0.94920000000000004</v>
      </c>
      <c r="S4454" s="23">
        <f>SUMIFS($P:$P, $Q:$Q, "&lt;" &amp; $Q4454)</f>
        <v>186547861</v>
      </c>
    </row>
    <row r="4455" spans="1:19" x14ac:dyDescent="0.25">
      <c r="A4455" s="1">
        <v>4450</v>
      </c>
      <c r="B4455" s="1" t="s">
        <v>3</v>
      </c>
      <c r="C4455" s="1" t="str">
        <f>IF($B4455 = "Production Item", _xlfn.XLOOKUP($A4455, 'Instrument Table'!$J:$J, 'Instrument Table'!$B:$B, $C4454), IF($B4455 = "Service Item", _xlfn.XLOOKUP($A4455, 'Instrument Table'!$I:$I, 'Instrument Table'!$B:$B, $C4454), _xlfn.XLOOKUP($A4455, 'Instrument Table'!$H:$H, 'Instrument Table'!$B:$B, $C4454)))</f>
        <v>Theremin</v>
      </c>
      <c r="D4455" s="1" t="str">
        <f>VLOOKUP($C4455, 'Instrument Table'!$B:$C, 2, FALSE)</f>
        <v>Other</v>
      </c>
      <c r="E4455" s="1">
        <f t="shared" si="414"/>
        <v>2</v>
      </c>
      <c r="F4455" s="1">
        <f>_xlfn.XLOOKUP($C4455, 'Instrument Table'!$B:$B, 'Instrument Table'!$A:$A, "")</f>
        <v>60</v>
      </c>
      <c r="G4455" s="1" t="str">
        <f>TEXT(IF($B4455 = "Retail Item", IF((ROW($A4455) - 4504 - _xlfn.XMATCH($C4455, $C$4506:$C$5005, 0, 1)) &lt;= VLOOKUP($C4455, 'Instrument Table'!$B:$D, 3, FALSE), ROW($A4455) - 4504 - _xlfn.XMATCH($C4455, $C$4506:$C$5005, 0, 1), 0), 0), "00")</f>
        <v>00</v>
      </c>
      <c r="H4455" s="1" t="str">
        <f t="shared" si="415"/>
        <v>039</v>
      </c>
      <c r="I4455" s="1" t="str">
        <f t="shared" si="416"/>
        <v>26000-039</v>
      </c>
      <c r="J4455" s="1" t="str">
        <f t="shared" si="417"/>
        <v>Theremin service item #039</v>
      </c>
      <c r="K4455" s="1" t="str">
        <f>IF(SUM(COUNTIFS(I:I, I4455)) &gt; 1, "DUPLICATE", "UNIQUE")</f>
        <v>UNIQUE</v>
      </c>
      <c r="L4455" s="18">
        <v>0</v>
      </c>
      <c r="M4455" s="28">
        <v>156</v>
      </c>
      <c r="N4455" s="6">
        <v>27</v>
      </c>
      <c r="O4455" s="30">
        <f t="shared" si="418"/>
        <v>0</v>
      </c>
      <c r="P4455" s="30">
        <f t="shared" si="419"/>
        <v>4212</v>
      </c>
      <c r="Q4455" s="1">
        <f>COUNTIFS($P:$P, "&gt;" &amp; $P4455) + 1</f>
        <v>2613</v>
      </c>
      <c r="R4455" s="63">
        <f>(COUNTIFS($P:$P, "&gt;" &amp; $P4455) + 1) / (COUNTA($I:$I) - 1)</f>
        <v>0.52259999999999995</v>
      </c>
      <c r="S4455" s="23">
        <f>SUMIFS($P:$P, $Q:$Q, "&lt;" &amp; $Q4455)</f>
        <v>183618325</v>
      </c>
    </row>
    <row r="4456" spans="1:19" x14ac:dyDescent="0.25">
      <c r="A4456" s="1">
        <v>4451</v>
      </c>
      <c r="B4456" s="1" t="s">
        <v>3</v>
      </c>
      <c r="C4456" s="1" t="str">
        <f>IF($B4456 = "Production Item", _xlfn.XLOOKUP($A4456, 'Instrument Table'!$J:$J, 'Instrument Table'!$B:$B, $C4455), IF($B4456 = "Service Item", _xlfn.XLOOKUP($A4456, 'Instrument Table'!$I:$I, 'Instrument Table'!$B:$B, $C4455), _xlfn.XLOOKUP($A4456, 'Instrument Table'!$H:$H, 'Instrument Table'!$B:$B, $C4455)))</f>
        <v>Theremin</v>
      </c>
      <c r="D4456" s="1" t="str">
        <f>VLOOKUP($C4456, 'Instrument Table'!$B:$C, 2, FALSE)</f>
        <v>Other</v>
      </c>
      <c r="E4456" s="1">
        <f t="shared" si="414"/>
        <v>2</v>
      </c>
      <c r="F4456" s="1">
        <f>_xlfn.XLOOKUP($C4456, 'Instrument Table'!$B:$B, 'Instrument Table'!$A:$A, "")</f>
        <v>60</v>
      </c>
      <c r="G4456" s="1" t="str">
        <f>TEXT(IF($B4456 = "Retail Item", IF((ROW($A4456) - 4504 - _xlfn.XMATCH($C4456, $C$4506:$C$5005, 0, 1)) &lt;= VLOOKUP($C4456, 'Instrument Table'!$B:$D, 3, FALSE), ROW($A4456) - 4504 - _xlfn.XMATCH($C4456, $C$4506:$C$5005, 0, 1), 0), 0), "00")</f>
        <v>00</v>
      </c>
      <c r="H4456" s="1" t="str">
        <f t="shared" si="415"/>
        <v>040</v>
      </c>
      <c r="I4456" s="1" t="str">
        <f t="shared" si="416"/>
        <v>26000-040</v>
      </c>
      <c r="J4456" s="1" t="str">
        <f t="shared" si="417"/>
        <v>Theremin service item #040</v>
      </c>
      <c r="K4456" s="1" t="str">
        <f>IF(SUM(COUNTIFS(I:I, I4456)) &gt; 1, "DUPLICATE", "UNIQUE")</f>
        <v>UNIQUE</v>
      </c>
      <c r="L4456" s="18">
        <v>3</v>
      </c>
      <c r="M4456" s="28">
        <v>171</v>
      </c>
      <c r="N4456" s="6">
        <v>27</v>
      </c>
      <c r="O4456" s="30">
        <f t="shared" si="418"/>
        <v>513</v>
      </c>
      <c r="P4456" s="30">
        <f t="shared" si="419"/>
        <v>4617</v>
      </c>
      <c r="Q4456" s="1">
        <f>COUNTIFS($P:$P, "&gt;" &amp; $P4456) + 1</f>
        <v>2513</v>
      </c>
      <c r="R4456" s="63">
        <f>(COUNTIFS($P:$P, "&gt;" &amp; $P4456) + 1) / (COUNTA($I:$I) - 1)</f>
        <v>0.50260000000000005</v>
      </c>
      <c r="S4456" s="23">
        <f>SUMIFS($P:$P, $Q:$Q, "&lt;" &amp; $Q4456)</f>
        <v>183176141</v>
      </c>
    </row>
    <row r="4457" spans="1:19" x14ac:dyDescent="0.25">
      <c r="A4457" s="1">
        <v>4452</v>
      </c>
      <c r="B4457" s="1" t="s">
        <v>3</v>
      </c>
      <c r="C4457" s="1" t="str">
        <f>IF($B4457 = "Production Item", _xlfn.XLOOKUP($A4457, 'Instrument Table'!$J:$J, 'Instrument Table'!$B:$B, $C4456), IF($B4457 = "Service Item", _xlfn.XLOOKUP($A4457, 'Instrument Table'!$I:$I, 'Instrument Table'!$B:$B, $C4456), _xlfn.XLOOKUP($A4457, 'Instrument Table'!$H:$H, 'Instrument Table'!$B:$B, $C4456)))</f>
        <v>Theremin</v>
      </c>
      <c r="D4457" s="1" t="str">
        <f>VLOOKUP($C4457, 'Instrument Table'!$B:$C, 2, FALSE)</f>
        <v>Other</v>
      </c>
      <c r="E4457" s="1">
        <f t="shared" si="414"/>
        <v>2</v>
      </c>
      <c r="F4457" s="1">
        <f>_xlfn.XLOOKUP($C4457, 'Instrument Table'!$B:$B, 'Instrument Table'!$A:$A, "")</f>
        <v>60</v>
      </c>
      <c r="G4457" s="1" t="str">
        <f>TEXT(IF($B4457 = "Retail Item", IF((ROW($A4457) - 4504 - _xlfn.XMATCH($C4457, $C$4506:$C$5005, 0, 1)) &lt;= VLOOKUP($C4457, 'Instrument Table'!$B:$D, 3, FALSE), ROW($A4457) - 4504 - _xlfn.XMATCH($C4457, $C$4506:$C$5005, 0, 1), 0), 0), "00")</f>
        <v>00</v>
      </c>
      <c r="H4457" s="1" t="str">
        <f t="shared" si="415"/>
        <v>041</v>
      </c>
      <c r="I4457" s="1" t="str">
        <f t="shared" si="416"/>
        <v>26000-041</v>
      </c>
      <c r="J4457" s="1" t="str">
        <f t="shared" si="417"/>
        <v>Theremin service item #041</v>
      </c>
      <c r="K4457" s="1" t="str">
        <f>IF(SUM(COUNTIFS(I:I, I4457)) &gt; 1, "DUPLICATE", "UNIQUE")</f>
        <v>UNIQUE</v>
      </c>
      <c r="L4457" s="18">
        <v>8</v>
      </c>
      <c r="M4457" s="28">
        <v>245</v>
      </c>
      <c r="N4457" s="6">
        <v>1</v>
      </c>
      <c r="O4457" s="30">
        <f t="shared" si="418"/>
        <v>1960</v>
      </c>
      <c r="P4457" s="30">
        <f t="shared" si="419"/>
        <v>245</v>
      </c>
      <c r="Q4457" s="1">
        <f>COUNTIFS($P:$P, "&gt;" &amp; $P4457) + 1</f>
        <v>4280</v>
      </c>
      <c r="R4457" s="63">
        <f>(COUNTIFS($P:$P, "&gt;" &amp; $P4457) + 1) / (COUNTA($I:$I) - 1)</f>
        <v>0.85599999999999998</v>
      </c>
      <c r="S4457" s="23">
        <f>SUMIFS($P:$P, $Q:$Q, "&lt;" &amp; $Q4457)</f>
        <v>186502771</v>
      </c>
    </row>
    <row r="4458" spans="1:19" x14ac:dyDescent="0.25">
      <c r="A4458" s="1">
        <v>4453</v>
      </c>
      <c r="B4458" s="1" t="s">
        <v>3</v>
      </c>
      <c r="C4458" s="1" t="str">
        <f>IF($B4458 = "Production Item", _xlfn.XLOOKUP($A4458, 'Instrument Table'!$J:$J, 'Instrument Table'!$B:$B, $C4457), IF($B4458 = "Service Item", _xlfn.XLOOKUP($A4458, 'Instrument Table'!$I:$I, 'Instrument Table'!$B:$B, $C4457), _xlfn.XLOOKUP($A4458, 'Instrument Table'!$H:$H, 'Instrument Table'!$B:$B, $C4457)))</f>
        <v>Theremin</v>
      </c>
      <c r="D4458" s="1" t="str">
        <f>VLOOKUP($C4458, 'Instrument Table'!$B:$C, 2, FALSE)</f>
        <v>Other</v>
      </c>
      <c r="E4458" s="1">
        <f t="shared" si="414"/>
        <v>2</v>
      </c>
      <c r="F4458" s="1">
        <f>_xlfn.XLOOKUP($C4458, 'Instrument Table'!$B:$B, 'Instrument Table'!$A:$A, "")</f>
        <v>60</v>
      </c>
      <c r="G4458" s="1" t="str">
        <f>TEXT(IF($B4458 = "Retail Item", IF((ROW($A4458) - 4504 - _xlfn.XMATCH($C4458, $C$4506:$C$5005, 0, 1)) &lt;= VLOOKUP($C4458, 'Instrument Table'!$B:$D, 3, FALSE), ROW($A4458) - 4504 - _xlfn.XMATCH($C4458, $C$4506:$C$5005, 0, 1), 0), 0), "00")</f>
        <v>00</v>
      </c>
      <c r="H4458" s="1" t="str">
        <f t="shared" si="415"/>
        <v>042</v>
      </c>
      <c r="I4458" s="1" t="str">
        <f t="shared" si="416"/>
        <v>26000-042</v>
      </c>
      <c r="J4458" s="1" t="str">
        <f t="shared" si="417"/>
        <v>Theremin service item #042</v>
      </c>
      <c r="K4458" s="1" t="str">
        <f>IF(SUM(COUNTIFS(I:I, I4458)) &gt; 1, "DUPLICATE", "UNIQUE")</f>
        <v>UNIQUE</v>
      </c>
      <c r="L4458" s="18">
        <v>9</v>
      </c>
      <c r="M4458" s="28">
        <v>809</v>
      </c>
      <c r="N4458" s="6">
        <v>0</v>
      </c>
      <c r="O4458" s="30">
        <f t="shared" si="418"/>
        <v>7281</v>
      </c>
      <c r="P4458" s="30">
        <f t="shared" si="419"/>
        <v>0</v>
      </c>
      <c r="Q4458" s="1">
        <f>COUNTIFS($P:$P, "&gt;" &amp; $P4458) + 1</f>
        <v>4746</v>
      </c>
      <c r="R4458" s="63">
        <f>(COUNTIFS($P:$P, "&gt;" &amp; $P4458) + 1) / (COUNTA($I:$I) - 1)</f>
        <v>0.94920000000000004</v>
      </c>
      <c r="S4458" s="23">
        <f>SUMIFS($P:$P, $Q:$Q, "&lt;" &amp; $Q4458)</f>
        <v>186547861</v>
      </c>
    </row>
    <row r="4459" spans="1:19" x14ac:dyDescent="0.25">
      <c r="A4459" s="1">
        <v>4454</v>
      </c>
      <c r="B4459" s="1" t="s">
        <v>3</v>
      </c>
      <c r="C4459" s="1" t="str">
        <f>IF($B4459 = "Production Item", _xlfn.XLOOKUP($A4459, 'Instrument Table'!$J:$J, 'Instrument Table'!$B:$B, $C4458), IF($B4459 = "Service Item", _xlfn.XLOOKUP($A4459, 'Instrument Table'!$I:$I, 'Instrument Table'!$B:$B, $C4458), _xlfn.XLOOKUP($A4459, 'Instrument Table'!$H:$H, 'Instrument Table'!$B:$B, $C4458)))</f>
        <v>Theremin</v>
      </c>
      <c r="D4459" s="1" t="str">
        <f>VLOOKUP($C4459, 'Instrument Table'!$B:$C, 2, FALSE)</f>
        <v>Other</v>
      </c>
      <c r="E4459" s="1">
        <f t="shared" si="414"/>
        <v>2</v>
      </c>
      <c r="F4459" s="1">
        <f>_xlfn.XLOOKUP($C4459, 'Instrument Table'!$B:$B, 'Instrument Table'!$A:$A, "")</f>
        <v>60</v>
      </c>
      <c r="G4459" s="1" t="str">
        <f>TEXT(IF($B4459 = "Retail Item", IF((ROW($A4459) - 4504 - _xlfn.XMATCH($C4459, $C$4506:$C$5005, 0, 1)) &lt;= VLOOKUP($C4459, 'Instrument Table'!$B:$D, 3, FALSE), ROW($A4459) - 4504 - _xlfn.XMATCH($C4459, $C$4506:$C$5005, 0, 1), 0), 0), "00")</f>
        <v>00</v>
      </c>
      <c r="H4459" s="1" t="str">
        <f t="shared" si="415"/>
        <v>043</v>
      </c>
      <c r="I4459" s="1" t="str">
        <f t="shared" si="416"/>
        <v>26000-043</v>
      </c>
      <c r="J4459" s="1" t="str">
        <f t="shared" si="417"/>
        <v>Theremin service item #043</v>
      </c>
      <c r="K4459" s="1" t="str">
        <f>IF(SUM(COUNTIFS(I:I, I4459)) &gt; 1, "DUPLICATE", "UNIQUE")</f>
        <v>UNIQUE</v>
      </c>
      <c r="L4459" s="18">
        <v>2</v>
      </c>
      <c r="M4459" s="28">
        <v>440</v>
      </c>
      <c r="N4459" s="6">
        <v>0</v>
      </c>
      <c r="O4459" s="30">
        <f t="shared" si="418"/>
        <v>880</v>
      </c>
      <c r="P4459" s="30">
        <f t="shared" si="419"/>
        <v>0</v>
      </c>
      <c r="Q4459" s="1">
        <f>COUNTIFS($P:$P, "&gt;" &amp; $P4459) + 1</f>
        <v>4746</v>
      </c>
      <c r="R4459" s="63">
        <f>(COUNTIFS($P:$P, "&gt;" &amp; $P4459) + 1) / (COUNTA($I:$I) - 1)</f>
        <v>0.94920000000000004</v>
      </c>
      <c r="S4459" s="23">
        <f>SUMIFS($P:$P, $Q:$Q, "&lt;" &amp; $Q4459)</f>
        <v>186547861</v>
      </c>
    </row>
    <row r="4460" spans="1:19" x14ac:dyDescent="0.25">
      <c r="A4460" s="1">
        <v>4455</v>
      </c>
      <c r="B4460" s="1" t="s">
        <v>3</v>
      </c>
      <c r="C4460" s="1" t="str">
        <f>IF($B4460 = "Production Item", _xlfn.XLOOKUP($A4460, 'Instrument Table'!$J:$J, 'Instrument Table'!$B:$B, $C4459), IF($B4460 = "Service Item", _xlfn.XLOOKUP($A4460, 'Instrument Table'!$I:$I, 'Instrument Table'!$B:$B, $C4459), _xlfn.XLOOKUP($A4460, 'Instrument Table'!$H:$H, 'Instrument Table'!$B:$B, $C4459)))</f>
        <v>Theremin</v>
      </c>
      <c r="D4460" s="1" t="str">
        <f>VLOOKUP($C4460, 'Instrument Table'!$B:$C, 2, FALSE)</f>
        <v>Other</v>
      </c>
      <c r="E4460" s="1">
        <f t="shared" si="414"/>
        <v>2</v>
      </c>
      <c r="F4460" s="1">
        <f>_xlfn.XLOOKUP($C4460, 'Instrument Table'!$B:$B, 'Instrument Table'!$A:$A, "")</f>
        <v>60</v>
      </c>
      <c r="G4460" s="1" t="str">
        <f>TEXT(IF($B4460 = "Retail Item", IF((ROW($A4460) - 4504 - _xlfn.XMATCH($C4460, $C$4506:$C$5005, 0, 1)) &lt;= VLOOKUP($C4460, 'Instrument Table'!$B:$D, 3, FALSE), ROW($A4460) - 4504 - _xlfn.XMATCH($C4460, $C$4506:$C$5005, 0, 1), 0), 0), "00")</f>
        <v>00</v>
      </c>
      <c r="H4460" s="1" t="str">
        <f t="shared" si="415"/>
        <v>044</v>
      </c>
      <c r="I4460" s="1" t="str">
        <f t="shared" si="416"/>
        <v>26000-044</v>
      </c>
      <c r="J4460" s="1" t="str">
        <f t="shared" si="417"/>
        <v>Theremin service item #044</v>
      </c>
      <c r="K4460" s="1" t="str">
        <f>IF(SUM(COUNTIFS(I:I, I4460)) &gt; 1, "DUPLICATE", "UNIQUE")</f>
        <v>UNIQUE</v>
      </c>
      <c r="L4460" s="18">
        <v>10</v>
      </c>
      <c r="M4460" s="28">
        <v>807</v>
      </c>
      <c r="N4460" s="6">
        <v>27</v>
      </c>
      <c r="O4460" s="30">
        <f t="shared" si="418"/>
        <v>8070</v>
      </c>
      <c r="P4460" s="30">
        <f t="shared" si="419"/>
        <v>21789</v>
      </c>
      <c r="Q4460" s="1">
        <f>COUNTIFS($P:$P, "&gt;" &amp; $P4460) + 1</f>
        <v>966</v>
      </c>
      <c r="R4460" s="63">
        <f>(COUNTIFS($P:$P, "&gt;" &amp; $P4460) + 1) / (COUNTA($I:$I) - 1)</f>
        <v>0.19320000000000001</v>
      </c>
      <c r="S4460" s="23">
        <f>SUMIFS($P:$P, $Q:$Q, "&lt;" &amp; $Q4460)</f>
        <v>165760781</v>
      </c>
    </row>
    <row r="4461" spans="1:19" x14ac:dyDescent="0.25">
      <c r="A4461" s="1">
        <v>4456</v>
      </c>
      <c r="B4461" s="1" t="s">
        <v>3</v>
      </c>
      <c r="C4461" s="1" t="str">
        <f>IF($B4461 = "Production Item", _xlfn.XLOOKUP($A4461, 'Instrument Table'!$J:$J, 'Instrument Table'!$B:$B, $C4460), IF($B4461 = "Service Item", _xlfn.XLOOKUP($A4461, 'Instrument Table'!$I:$I, 'Instrument Table'!$B:$B, $C4460), _xlfn.XLOOKUP($A4461, 'Instrument Table'!$H:$H, 'Instrument Table'!$B:$B, $C4460)))</f>
        <v>Theremin</v>
      </c>
      <c r="D4461" s="1" t="str">
        <f>VLOOKUP($C4461, 'Instrument Table'!$B:$C, 2, FALSE)</f>
        <v>Other</v>
      </c>
      <c r="E4461" s="1">
        <f t="shared" si="414"/>
        <v>2</v>
      </c>
      <c r="F4461" s="1">
        <f>_xlfn.XLOOKUP($C4461, 'Instrument Table'!$B:$B, 'Instrument Table'!$A:$A, "")</f>
        <v>60</v>
      </c>
      <c r="G4461" s="1" t="str">
        <f>TEXT(IF($B4461 = "Retail Item", IF((ROW($A4461) - 4504 - _xlfn.XMATCH($C4461, $C$4506:$C$5005, 0, 1)) &lt;= VLOOKUP($C4461, 'Instrument Table'!$B:$D, 3, FALSE), ROW($A4461) - 4504 - _xlfn.XMATCH($C4461, $C$4506:$C$5005, 0, 1), 0), 0), "00")</f>
        <v>00</v>
      </c>
      <c r="H4461" s="1" t="str">
        <f t="shared" si="415"/>
        <v>045</v>
      </c>
      <c r="I4461" s="1" t="str">
        <f t="shared" si="416"/>
        <v>26000-045</v>
      </c>
      <c r="J4461" s="1" t="str">
        <f t="shared" si="417"/>
        <v>Theremin service item #045</v>
      </c>
      <c r="K4461" s="1" t="str">
        <f>IF(SUM(COUNTIFS(I:I, I4461)) &gt; 1, "DUPLICATE", "UNIQUE")</f>
        <v>UNIQUE</v>
      </c>
      <c r="L4461" s="18">
        <v>4</v>
      </c>
      <c r="M4461" s="28">
        <v>567</v>
      </c>
      <c r="N4461" s="6">
        <v>8</v>
      </c>
      <c r="O4461" s="30">
        <f t="shared" si="418"/>
        <v>2268</v>
      </c>
      <c r="P4461" s="30">
        <f t="shared" si="419"/>
        <v>4536</v>
      </c>
      <c r="Q4461" s="1">
        <f>COUNTIFS($P:$P, "&gt;" &amp; $P4461) + 1</f>
        <v>2534</v>
      </c>
      <c r="R4461" s="63">
        <f>(COUNTIFS($P:$P, "&gt;" &amp; $P4461) + 1) / (COUNTA($I:$I) - 1)</f>
        <v>0.50680000000000003</v>
      </c>
      <c r="S4461" s="23">
        <f>SUMIFS($P:$P, $Q:$Q, "&lt;" &amp; $Q4461)</f>
        <v>183272703</v>
      </c>
    </row>
    <row r="4462" spans="1:19" x14ac:dyDescent="0.25">
      <c r="A4462" s="1">
        <v>4457</v>
      </c>
      <c r="B4462" s="1" t="s">
        <v>3</v>
      </c>
      <c r="C4462" s="1" t="str">
        <f>IF($B4462 = "Production Item", _xlfn.XLOOKUP($A4462, 'Instrument Table'!$J:$J, 'Instrument Table'!$B:$B, $C4461), IF($B4462 = "Service Item", _xlfn.XLOOKUP($A4462, 'Instrument Table'!$I:$I, 'Instrument Table'!$B:$B, $C4461), _xlfn.XLOOKUP($A4462, 'Instrument Table'!$H:$H, 'Instrument Table'!$B:$B, $C4461)))</f>
        <v>Theremin</v>
      </c>
      <c r="D4462" s="1" t="str">
        <f>VLOOKUP($C4462, 'Instrument Table'!$B:$C, 2, FALSE)</f>
        <v>Other</v>
      </c>
      <c r="E4462" s="1">
        <f t="shared" si="414"/>
        <v>2</v>
      </c>
      <c r="F4462" s="1">
        <f>_xlfn.XLOOKUP($C4462, 'Instrument Table'!$B:$B, 'Instrument Table'!$A:$A, "")</f>
        <v>60</v>
      </c>
      <c r="G4462" s="1" t="str">
        <f>TEXT(IF($B4462 = "Retail Item", IF((ROW($A4462) - 4504 - _xlfn.XMATCH($C4462, $C$4506:$C$5005, 0, 1)) &lt;= VLOOKUP($C4462, 'Instrument Table'!$B:$D, 3, FALSE), ROW($A4462) - 4504 - _xlfn.XMATCH($C4462, $C$4506:$C$5005, 0, 1), 0), 0), "00")</f>
        <v>00</v>
      </c>
      <c r="H4462" s="1" t="str">
        <f t="shared" si="415"/>
        <v>046</v>
      </c>
      <c r="I4462" s="1" t="str">
        <f t="shared" si="416"/>
        <v>26000-046</v>
      </c>
      <c r="J4462" s="1" t="str">
        <f t="shared" si="417"/>
        <v>Theremin service item #046</v>
      </c>
      <c r="K4462" s="1" t="str">
        <f>IF(SUM(COUNTIFS(I:I, I4462)) &gt; 1, "DUPLICATE", "UNIQUE")</f>
        <v>UNIQUE</v>
      </c>
      <c r="L4462" s="18">
        <v>6</v>
      </c>
      <c r="M4462" s="28">
        <v>924</v>
      </c>
      <c r="N4462" s="6">
        <v>8</v>
      </c>
      <c r="O4462" s="30">
        <f t="shared" si="418"/>
        <v>5544</v>
      </c>
      <c r="P4462" s="30">
        <f t="shared" si="419"/>
        <v>7392</v>
      </c>
      <c r="Q4462" s="1">
        <f>COUNTIFS($P:$P, "&gt;" &amp; $P4462) + 1</f>
        <v>2089</v>
      </c>
      <c r="R4462" s="63">
        <f>(COUNTIFS($P:$P, "&gt;" &amp; $P4462) + 1) / (COUNTA($I:$I) - 1)</f>
        <v>0.4178</v>
      </c>
      <c r="S4462" s="23">
        <f>SUMIFS($P:$P, $Q:$Q, "&lt;" &amp; $Q4462)</f>
        <v>180678049</v>
      </c>
    </row>
    <row r="4463" spans="1:19" x14ac:dyDescent="0.25">
      <c r="A4463" s="1">
        <v>4458</v>
      </c>
      <c r="B4463" s="1" t="s">
        <v>3</v>
      </c>
      <c r="C4463" s="1" t="str">
        <f>IF($B4463 = "Production Item", _xlfn.XLOOKUP($A4463, 'Instrument Table'!$J:$J, 'Instrument Table'!$B:$B, $C4462), IF($B4463 = "Service Item", _xlfn.XLOOKUP($A4463, 'Instrument Table'!$I:$I, 'Instrument Table'!$B:$B, $C4462), _xlfn.XLOOKUP($A4463, 'Instrument Table'!$H:$H, 'Instrument Table'!$B:$B, $C4462)))</f>
        <v>Theremin</v>
      </c>
      <c r="D4463" s="1" t="str">
        <f>VLOOKUP($C4463, 'Instrument Table'!$B:$C, 2, FALSE)</f>
        <v>Other</v>
      </c>
      <c r="E4463" s="1">
        <f t="shared" si="414"/>
        <v>2</v>
      </c>
      <c r="F4463" s="1">
        <f>_xlfn.XLOOKUP($C4463, 'Instrument Table'!$B:$B, 'Instrument Table'!$A:$A, "")</f>
        <v>60</v>
      </c>
      <c r="G4463" s="1" t="str">
        <f>TEXT(IF($B4463 = "Retail Item", IF((ROW($A4463) - 4504 - _xlfn.XMATCH($C4463, $C$4506:$C$5005, 0, 1)) &lt;= VLOOKUP($C4463, 'Instrument Table'!$B:$D, 3, FALSE), ROW($A4463) - 4504 - _xlfn.XMATCH($C4463, $C$4506:$C$5005, 0, 1), 0), 0), "00")</f>
        <v>00</v>
      </c>
      <c r="H4463" s="1" t="str">
        <f t="shared" si="415"/>
        <v>047</v>
      </c>
      <c r="I4463" s="1" t="str">
        <f t="shared" si="416"/>
        <v>26000-047</v>
      </c>
      <c r="J4463" s="1" t="str">
        <f t="shared" si="417"/>
        <v>Theremin service item #047</v>
      </c>
      <c r="K4463" s="1" t="str">
        <f>IF(SUM(COUNTIFS(I:I, I4463)) &gt; 1, "DUPLICATE", "UNIQUE")</f>
        <v>UNIQUE</v>
      </c>
      <c r="L4463" s="18">
        <v>7</v>
      </c>
      <c r="M4463" s="28">
        <v>140</v>
      </c>
      <c r="N4463" s="6">
        <v>1</v>
      </c>
      <c r="O4463" s="30">
        <f t="shared" si="418"/>
        <v>980</v>
      </c>
      <c r="P4463" s="30">
        <f t="shared" si="419"/>
        <v>140</v>
      </c>
      <c r="Q4463" s="1">
        <f>COUNTIFS($P:$P, "&gt;" &amp; $P4463) + 1</f>
        <v>4408</v>
      </c>
      <c r="R4463" s="63">
        <f>(COUNTIFS($P:$P, "&gt;" &amp; $P4463) + 1) / (COUNTA($I:$I) - 1)</f>
        <v>0.88160000000000005</v>
      </c>
      <c r="S4463" s="23">
        <f>SUMIFS($P:$P, $Q:$Q, "&lt;" &amp; $Q4463)</f>
        <v>186527160</v>
      </c>
    </row>
    <row r="4464" spans="1:19" x14ac:dyDescent="0.25">
      <c r="A4464" s="1">
        <v>4459</v>
      </c>
      <c r="B4464" s="1" t="s">
        <v>3</v>
      </c>
      <c r="C4464" s="1" t="str">
        <f>IF($B4464 = "Production Item", _xlfn.XLOOKUP($A4464, 'Instrument Table'!$J:$J, 'Instrument Table'!$B:$B, $C4463), IF($B4464 = "Service Item", _xlfn.XLOOKUP($A4464, 'Instrument Table'!$I:$I, 'Instrument Table'!$B:$B, $C4463), _xlfn.XLOOKUP($A4464, 'Instrument Table'!$H:$H, 'Instrument Table'!$B:$B, $C4463)))</f>
        <v>Theremin</v>
      </c>
      <c r="D4464" s="1" t="str">
        <f>VLOOKUP($C4464, 'Instrument Table'!$B:$C, 2, FALSE)</f>
        <v>Other</v>
      </c>
      <c r="E4464" s="1">
        <f t="shared" si="414"/>
        <v>2</v>
      </c>
      <c r="F4464" s="1">
        <f>_xlfn.XLOOKUP($C4464, 'Instrument Table'!$B:$B, 'Instrument Table'!$A:$A, "")</f>
        <v>60</v>
      </c>
      <c r="G4464" s="1" t="str">
        <f>TEXT(IF($B4464 = "Retail Item", IF((ROW($A4464) - 4504 - _xlfn.XMATCH($C4464, $C$4506:$C$5005, 0, 1)) &lt;= VLOOKUP($C4464, 'Instrument Table'!$B:$D, 3, FALSE), ROW($A4464) - 4504 - _xlfn.XMATCH($C4464, $C$4506:$C$5005, 0, 1), 0), 0), "00")</f>
        <v>00</v>
      </c>
      <c r="H4464" s="1" t="str">
        <f t="shared" si="415"/>
        <v>048</v>
      </c>
      <c r="I4464" s="1" t="str">
        <f t="shared" si="416"/>
        <v>26000-048</v>
      </c>
      <c r="J4464" s="1" t="str">
        <f t="shared" si="417"/>
        <v>Theremin service item #048</v>
      </c>
      <c r="K4464" s="1" t="str">
        <f>IF(SUM(COUNTIFS(I:I, I4464)) &gt; 1, "DUPLICATE", "UNIQUE")</f>
        <v>UNIQUE</v>
      </c>
      <c r="L4464" s="18">
        <v>7</v>
      </c>
      <c r="M4464" s="28">
        <v>291</v>
      </c>
      <c r="N4464" s="6">
        <v>64</v>
      </c>
      <c r="O4464" s="30">
        <f t="shared" si="418"/>
        <v>2037</v>
      </c>
      <c r="P4464" s="30">
        <f t="shared" si="419"/>
        <v>18624</v>
      </c>
      <c r="Q4464" s="1">
        <f>COUNTIFS($P:$P, "&gt;" &amp; $P4464) + 1</f>
        <v>1126</v>
      </c>
      <c r="R4464" s="63">
        <f>(COUNTIFS($P:$P, "&gt;" &amp; $P4464) + 1) / (COUNTA($I:$I) - 1)</f>
        <v>0.22520000000000001</v>
      </c>
      <c r="S4464" s="23">
        <f>SUMIFS($P:$P, $Q:$Q, "&lt;" &amp; $Q4464)</f>
        <v>168993811</v>
      </c>
    </row>
    <row r="4465" spans="1:19" x14ac:dyDescent="0.25">
      <c r="A4465" s="1">
        <v>4460</v>
      </c>
      <c r="B4465" s="1" t="s">
        <v>3</v>
      </c>
      <c r="C4465" s="1" t="str">
        <f>IF($B4465 = "Production Item", _xlfn.XLOOKUP($A4465, 'Instrument Table'!$J:$J, 'Instrument Table'!$B:$B, $C4464), IF($B4465 = "Service Item", _xlfn.XLOOKUP($A4465, 'Instrument Table'!$I:$I, 'Instrument Table'!$B:$B, $C4464), _xlfn.XLOOKUP($A4465, 'Instrument Table'!$H:$H, 'Instrument Table'!$B:$B, $C4464)))</f>
        <v>Theremin</v>
      </c>
      <c r="D4465" s="1" t="str">
        <f>VLOOKUP($C4465, 'Instrument Table'!$B:$C, 2, FALSE)</f>
        <v>Other</v>
      </c>
      <c r="E4465" s="1">
        <f t="shared" si="414"/>
        <v>2</v>
      </c>
      <c r="F4465" s="1">
        <f>_xlfn.XLOOKUP($C4465, 'Instrument Table'!$B:$B, 'Instrument Table'!$A:$A, "")</f>
        <v>60</v>
      </c>
      <c r="G4465" s="1" t="str">
        <f>TEXT(IF($B4465 = "Retail Item", IF((ROW($A4465) - 4504 - _xlfn.XMATCH($C4465, $C$4506:$C$5005, 0, 1)) &lt;= VLOOKUP($C4465, 'Instrument Table'!$B:$D, 3, FALSE), ROW($A4465) - 4504 - _xlfn.XMATCH($C4465, $C$4506:$C$5005, 0, 1), 0), 0), "00")</f>
        <v>00</v>
      </c>
      <c r="H4465" s="1" t="str">
        <f t="shared" si="415"/>
        <v>049</v>
      </c>
      <c r="I4465" s="1" t="str">
        <f t="shared" si="416"/>
        <v>26000-049</v>
      </c>
      <c r="J4465" s="1" t="str">
        <f t="shared" si="417"/>
        <v>Theremin service item #049</v>
      </c>
      <c r="K4465" s="1" t="str">
        <f>IF(SUM(COUNTIFS(I:I, I4465)) &gt; 1, "DUPLICATE", "UNIQUE")</f>
        <v>UNIQUE</v>
      </c>
      <c r="L4465" s="18">
        <v>4</v>
      </c>
      <c r="M4465" s="28">
        <v>548</v>
      </c>
      <c r="N4465" s="6">
        <v>1</v>
      </c>
      <c r="O4465" s="30">
        <f t="shared" si="418"/>
        <v>2192</v>
      </c>
      <c r="P4465" s="30">
        <f t="shared" si="419"/>
        <v>548</v>
      </c>
      <c r="Q4465" s="1">
        <f>COUNTIFS($P:$P, "&gt;" &amp; $P4465) + 1</f>
        <v>3986</v>
      </c>
      <c r="R4465" s="63">
        <f>(COUNTIFS($P:$P, "&gt;" &amp; $P4465) + 1) / (COUNTA($I:$I) - 1)</f>
        <v>0.79720000000000002</v>
      </c>
      <c r="S4465" s="23">
        <f>SUMIFS($P:$P, $Q:$Q, "&lt;" &amp; $Q4465)</f>
        <v>186390768</v>
      </c>
    </row>
    <row r="4466" spans="1:19" x14ac:dyDescent="0.25">
      <c r="A4466" s="1">
        <v>4461</v>
      </c>
      <c r="B4466" s="1" t="s">
        <v>3</v>
      </c>
      <c r="C4466" s="1" t="str">
        <f>IF($B4466 = "Production Item", _xlfn.XLOOKUP($A4466, 'Instrument Table'!$J:$J, 'Instrument Table'!$B:$B, $C4465), IF($B4466 = "Service Item", _xlfn.XLOOKUP($A4466, 'Instrument Table'!$I:$I, 'Instrument Table'!$B:$B, $C4465), _xlfn.XLOOKUP($A4466, 'Instrument Table'!$H:$H, 'Instrument Table'!$B:$B, $C4465)))</f>
        <v>Synthesizer</v>
      </c>
      <c r="D4466" s="1" t="str">
        <f>VLOOKUP($C4466, 'Instrument Table'!$B:$C, 2, FALSE)</f>
        <v>Other</v>
      </c>
      <c r="E4466" s="1">
        <f t="shared" si="414"/>
        <v>2</v>
      </c>
      <c r="F4466" s="1">
        <f>_xlfn.XLOOKUP($C4466, 'Instrument Table'!$B:$B, 'Instrument Table'!$A:$A, "")</f>
        <v>61</v>
      </c>
      <c r="G4466" s="1" t="str">
        <f>TEXT(IF($B4466 = "Retail Item", IF((ROW($A4466) - 4504 - _xlfn.XMATCH($C4466, $C$4506:$C$5005, 0, 1)) &lt;= VLOOKUP($C4466, 'Instrument Table'!$B:$D, 3, FALSE), ROW($A4466) - 4504 - _xlfn.XMATCH($C4466, $C$4506:$C$5005, 0, 1), 0), 0), "00")</f>
        <v>00</v>
      </c>
      <c r="H4466" s="1" t="str">
        <f t="shared" si="415"/>
        <v>000</v>
      </c>
      <c r="I4466" s="1" t="str">
        <f t="shared" si="416"/>
        <v>26100-000</v>
      </c>
      <c r="J4466" s="1" t="str">
        <f t="shared" si="417"/>
        <v>Synthesizer service item #000</v>
      </c>
      <c r="K4466" s="1" t="str">
        <f>IF(SUM(COUNTIFS(I:I, I4466)) &gt; 1, "DUPLICATE", "UNIQUE")</f>
        <v>UNIQUE</v>
      </c>
      <c r="L4466" s="18">
        <v>8</v>
      </c>
      <c r="M4466" s="28">
        <v>137</v>
      </c>
      <c r="N4466" s="6">
        <v>8</v>
      </c>
      <c r="O4466" s="30">
        <f t="shared" si="418"/>
        <v>1096</v>
      </c>
      <c r="P4466" s="30">
        <f t="shared" si="419"/>
        <v>1096</v>
      </c>
      <c r="Q4466" s="1">
        <f>COUNTIFS($P:$P, "&gt;" &amp; $P4466) + 1</f>
        <v>3649</v>
      </c>
      <c r="R4466" s="63">
        <f>(COUNTIFS($P:$P, "&gt;" &amp; $P4466) + 1) / (COUNTA($I:$I) - 1)</f>
        <v>0.7298</v>
      </c>
      <c r="S4466" s="23">
        <f>SUMIFS($P:$P, $Q:$Q, "&lt;" &amp; $Q4466)</f>
        <v>186126715</v>
      </c>
    </row>
    <row r="4467" spans="1:19" x14ac:dyDescent="0.25">
      <c r="A4467" s="1">
        <v>4462</v>
      </c>
      <c r="B4467" s="1" t="s">
        <v>3</v>
      </c>
      <c r="C4467" s="1" t="str">
        <f>IF($B4467 = "Production Item", _xlfn.XLOOKUP($A4467, 'Instrument Table'!$J:$J, 'Instrument Table'!$B:$B, $C4466), IF($B4467 = "Service Item", _xlfn.XLOOKUP($A4467, 'Instrument Table'!$I:$I, 'Instrument Table'!$B:$B, $C4466), _xlfn.XLOOKUP($A4467, 'Instrument Table'!$H:$H, 'Instrument Table'!$B:$B, $C4466)))</f>
        <v>Synthesizer</v>
      </c>
      <c r="D4467" s="1" t="str">
        <f>VLOOKUP($C4467, 'Instrument Table'!$B:$C, 2, FALSE)</f>
        <v>Other</v>
      </c>
      <c r="E4467" s="1">
        <f t="shared" si="414"/>
        <v>2</v>
      </c>
      <c r="F4467" s="1">
        <f>_xlfn.XLOOKUP($C4467, 'Instrument Table'!$B:$B, 'Instrument Table'!$A:$A, "")</f>
        <v>61</v>
      </c>
      <c r="G4467" s="1" t="str">
        <f>TEXT(IF($B4467 = "Retail Item", IF((ROW($A4467) - 4504 - _xlfn.XMATCH($C4467, $C$4506:$C$5005, 0, 1)) &lt;= VLOOKUP($C4467, 'Instrument Table'!$B:$D, 3, FALSE), ROW($A4467) - 4504 - _xlfn.XMATCH($C4467, $C$4506:$C$5005, 0, 1), 0), 0), "00")</f>
        <v>00</v>
      </c>
      <c r="H4467" s="1" t="str">
        <f t="shared" si="415"/>
        <v>001</v>
      </c>
      <c r="I4467" s="1" t="str">
        <f t="shared" si="416"/>
        <v>26100-001</v>
      </c>
      <c r="J4467" s="1" t="str">
        <f t="shared" si="417"/>
        <v>Synthesizer service item #001</v>
      </c>
      <c r="K4467" s="1" t="str">
        <f>IF(SUM(COUNTIFS(I:I, I4467)) &gt; 1, "DUPLICATE", "UNIQUE")</f>
        <v>UNIQUE</v>
      </c>
      <c r="L4467" s="18">
        <v>8</v>
      </c>
      <c r="M4467" s="28">
        <v>754</v>
      </c>
      <c r="N4467" s="6">
        <v>8</v>
      </c>
      <c r="O4467" s="30">
        <f t="shared" si="418"/>
        <v>6032</v>
      </c>
      <c r="P4467" s="30">
        <f t="shared" si="419"/>
        <v>6032</v>
      </c>
      <c r="Q4467" s="1">
        <f>COUNTIFS($P:$P, "&gt;" &amp; $P4467) + 1</f>
        <v>2260</v>
      </c>
      <c r="R4467" s="63">
        <f>(COUNTIFS($P:$P, "&gt;" &amp; $P4467) + 1) / (COUNTA($I:$I) - 1)</f>
        <v>0.45200000000000001</v>
      </c>
      <c r="S4467" s="23">
        <f>SUMIFS($P:$P, $Q:$Q, "&lt;" &amp; $Q4467)</f>
        <v>181827794</v>
      </c>
    </row>
    <row r="4468" spans="1:19" x14ac:dyDescent="0.25">
      <c r="A4468" s="1">
        <v>4463</v>
      </c>
      <c r="B4468" s="1" t="s">
        <v>3</v>
      </c>
      <c r="C4468" s="1" t="str">
        <f>IF($B4468 = "Production Item", _xlfn.XLOOKUP($A4468, 'Instrument Table'!$J:$J, 'Instrument Table'!$B:$B, $C4467), IF($B4468 = "Service Item", _xlfn.XLOOKUP($A4468, 'Instrument Table'!$I:$I, 'Instrument Table'!$B:$B, $C4467), _xlfn.XLOOKUP($A4468, 'Instrument Table'!$H:$H, 'Instrument Table'!$B:$B, $C4467)))</f>
        <v>Synthesizer</v>
      </c>
      <c r="D4468" s="1" t="str">
        <f>VLOOKUP($C4468, 'Instrument Table'!$B:$C, 2, FALSE)</f>
        <v>Other</v>
      </c>
      <c r="E4468" s="1">
        <f t="shared" si="414"/>
        <v>2</v>
      </c>
      <c r="F4468" s="1">
        <f>_xlfn.XLOOKUP($C4468, 'Instrument Table'!$B:$B, 'Instrument Table'!$A:$A, "")</f>
        <v>61</v>
      </c>
      <c r="G4468" s="1" t="str">
        <f>TEXT(IF($B4468 = "Retail Item", IF((ROW($A4468) - 4504 - _xlfn.XMATCH($C4468, $C$4506:$C$5005, 0, 1)) &lt;= VLOOKUP($C4468, 'Instrument Table'!$B:$D, 3, FALSE), ROW($A4468) - 4504 - _xlfn.XMATCH($C4468, $C$4506:$C$5005, 0, 1), 0), 0), "00")</f>
        <v>00</v>
      </c>
      <c r="H4468" s="1" t="str">
        <f t="shared" si="415"/>
        <v>002</v>
      </c>
      <c r="I4468" s="1" t="str">
        <f t="shared" si="416"/>
        <v>26100-002</v>
      </c>
      <c r="J4468" s="1" t="str">
        <f t="shared" si="417"/>
        <v>Synthesizer service item #002</v>
      </c>
      <c r="K4468" s="1" t="str">
        <f>IF(SUM(COUNTIFS(I:I, I4468)) &gt; 1, "DUPLICATE", "UNIQUE")</f>
        <v>UNIQUE</v>
      </c>
      <c r="L4468" s="18">
        <v>5</v>
      </c>
      <c r="M4468" s="28">
        <v>506</v>
      </c>
      <c r="N4468" s="6">
        <v>27</v>
      </c>
      <c r="O4468" s="30">
        <f t="shared" si="418"/>
        <v>2530</v>
      </c>
      <c r="P4468" s="30">
        <f t="shared" si="419"/>
        <v>13662</v>
      </c>
      <c r="Q4468" s="1">
        <f>COUNTIFS($P:$P, "&gt;" &amp; $P4468) + 1</f>
        <v>1447</v>
      </c>
      <c r="R4468" s="63">
        <f>(COUNTIFS($P:$P, "&gt;" &amp; $P4468) + 1) / (COUNTA($I:$I) - 1)</f>
        <v>0.28939999999999999</v>
      </c>
      <c r="S4468" s="23">
        <f>SUMIFS($P:$P, $Q:$Q, "&lt;" &amp; $Q4468)</f>
        <v>174132203</v>
      </c>
    </row>
    <row r="4469" spans="1:19" x14ac:dyDescent="0.25">
      <c r="A4469" s="1">
        <v>4464</v>
      </c>
      <c r="B4469" s="1" t="s">
        <v>3</v>
      </c>
      <c r="C4469" s="1" t="str">
        <f>IF($B4469 = "Production Item", _xlfn.XLOOKUP($A4469, 'Instrument Table'!$J:$J, 'Instrument Table'!$B:$B, $C4468), IF($B4469 = "Service Item", _xlfn.XLOOKUP($A4469, 'Instrument Table'!$I:$I, 'Instrument Table'!$B:$B, $C4468), _xlfn.XLOOKUP($A4469, 'Instrument Table'!$H:$H, 'Instrument Table'!$B:$B, $C4468)))</f>
        <v>Synthesizer</v>
      </c>
      <c r="D4469" s="1" t="str">
        <f>VLOOKUP($C4469, 'Instrument Table'!$B:$C, 2, FALSE)</f>
        <v>Other</v>
      </c>
      <c r="E4469" s="1">
        <f t="shared" si="414"/>
        <v>2</v>
      </c>
      <c r="F4469" s="1">
        <f>_xlfn.XLOOKUP($C4469, 'Instrument Table'!$B:$B, 'Instrument Table'!$A:$A, "")</f>
        <v>61</v>
      </c>
      <c r="G4469" s="1" t="str">
        <f>TEXT(IF($B4469 = "Retail Item", IF((ROW($A4469) - 4504 - _xlfn.XMATCH($C4469, $C$4506:$C$5005, 0, 1)) &lt;= VLOOKUP($C4469, 'Instrument Table'!$B:$D, 3, FALSE), ROW($A4469) - 4504 - _xlfn.XMATCH($C4469, $C$4506:$C$5005, 0, 1), 0), 0), "00")</f>
        <v>00</v>
      </c>
      <c r="H4469" s="1" t="str">
        <f t="shared" si="415"/>
        <v>003</v>
      </c>
      <c r="I4469" s="1" t="str">
        <f t="shared" si="416"/>
        <v>26100-003</v>
      </c>
      <c r="J4469" s="1" t="str">
        <f t="shared" si="417"/>
        <v>Synthesizer service item #003</v>
      </c>
      <c r="K4469" s="1" t="str">
        <f>IF(SUM(COUNTIFS(I:I, I4469)) &gt; 1, "DUPLICATE", "UNIQUE")</f>
        <v>UNIQUE</v>
      </c>
      <c r="L4469" s="18">
        <v>5</v>
      </c>
      <c r="M4469" s="28">
        <v>730</v>
      </c>
      <c r="N4469" s="6">
        <v>1</v>
      </c>
      <c r="O4469" s="30">
        <f t="shared" si="418"/>
        <v>3650</v>
      </c>
      <c r="P4469" s="30">
        <f t="shared" si="419"/>
        <v>730</v>
      </c>
      <c r="Q4469" s="1">
        <f>COUNTIFS($P:$P, "&gt;" &amp; $P4469) + 1</f>
        <v>3845</v>
      </c>
      <c r="R4469" s="63">
        <f>(COUNTIFS($P:$P, "&gt;" &amp; $P4469) + 1) / (COUNTA($I:$I) - 1)</f>
        <v>0.76900000000000002</v>
      </c>
      <c r="S4469" s="23">
        <f>SUMIFS($P:$P, $Q:$Q, "&lt;" &amp; $Q4469)</f>
        <v>186299896</v>
      </c>
    </row>
    <row r="4470" spans="1:19" x14ac:dyDescent="0.25">
      <c r="A4470" s="1">
        <v>4465</v>
      </c>
      <c r="B4470" s="1" t="s">
        <v>3</v>
      </c>
      <c r="C4470" s="1" t="str">
        <f>IF($B4470 = "Production Item", _xlfn.XLOOKUP($A4470, 'Instrument Table'!$J:$J, 'Instrument Table'!$B:$B, $C4469), IF($B4470 = "Service Item", _xlfn.XLOOKUP($A4470, 'Instrument Table'!$I:$I, 'Instrument Table'!$B:$B, $C4469), _xlfn.XLOOKUP($A4470, 'Instrument Table'!$H:$H, 'Instrument Table'!$B:$B, $C4469)))</f>
        <v>Synthesizer</v>
      </c>
      <c r="D4470" s="1" t="str">
        <f>VLOOKUP($C4470, 'Instrument Table'!$B:$C, 2, FALSE)</f>
        <v>Other</v>
      </c>
      <c r="E4470" s="1">
        <f t="shared" si="414"/>
        <v>2</v>
      </c>
      <c r="F4470" s="1">
        <f>_xlfn.XLOOKUP($C4470, 'Instrument Table'!$B:$B, 'Instrument Table'!$A:$A, "")</f>
        <v>61</v>
      </c>
      <c r="G4470" s="1" t="str">
        <f>TEXT(IF($B4470 = "Retail Item", IF((ROW($A4470) - 4504 - _xlfn.XMATCH($C4470, $C$4506:$C$5005, 0, 1)) &lt;= VLOOKUP($C4470, 'Instrument Table'!$B:$D, 3, FALSE), ROW($A4470) - 4504 - _xlfn.XMATCH($C4470, $C$4506:$C$5005, 0, 1), 0), 0), "00")</f>
        <v>00</v>
      </c>
      <c r="H4470" s="1" t="str">
        <f t="shared" si="415"/>
        <v>004</v>
      </c>
      <c r="I4470" s="1" t="str">
        <f t="shared" si="416"/>
        <v>26100-004</v>
      </c>
      <c r="J4470" s="1" t="str">
        <f t="shared" si="417"/>
        <v>Synthesizer service item #004</v>
      </c>
      <c r="K4470" s="1" t="str">
        <f>IF(SUM(COUNTIFS(I:I, I4470)) &gt; 1, "DUPLICATE", "UNIQUE")</f>
        <v>UNIQUE</v>
      </c>
      <c r="L4470" s="18">
        <v>10</v>
      </c>
      <c r="M4470" s="28">
        <v>996</v>
      </c>
      <c r="N4470" s="6">
        <v>8</v>
      </c>
      <c r="O4470" s="30">
        <f t="shared" si="418"/>
        <v>9960</v>
      </c>
      <c r="P4470" s="30">
        <f t="shared" si="419"/>
        <v>7968</v>
      </c>
      <c r="Q4470" s="1">
        <f>COUNTIFS($P:$P, "&gt;" &amp; $P4470) + 1</f>
        <v>1993</v>
      </c>
      <c r="R4470" s="63">
        <f>(COUNTIFS($P:$P, "&gt;" &amp; $P4470) + 1) / (COUNTA($I:$I) - 1)</f>
        <v>0.39860000000000001</v>
      </c>
      <c r="S4470" s="23">
        <f>SUMIFS($P:$P, $Q:$Q, "&lt;" &amp; $Q4470)</f>
        <v>179940879</v>
      </c>
    </row>
    <row r="4471" spans="1:19" x14ac:dyDescent="0.25">
      <c r="A4471" s="1">
        <v>4466</v>
      </c>
      <c r="B4471" s="1" t="s">
        <v>3</v>
      </c>
      <c r="C4471" s="1" t="str">
        <f>IF($B4471 = "Production Item", _xlfn.XLOOKUP($A4471, 'Instrument Table'!$J:$J, 'Instrument Table'!$B:$B, $C4470), IF($B4471 = "Service Item", _xlfn.XLOOKUP($A4471, 'Instrument Table'!$I:$I, 'Instrument Table'!$B:$B, $C4470), _xlfn.XLOOKUP($A4471, 'Instrument Table'!$H:$H, 'Instrument Table'!$B:$B, $C4470)))</f>
        <v>Synthesizer</v>
      </c>
      <c r="D4471" s="1" t="str">
        <f>VLOOKUP($C4471, 'Instrument Table'!$B:$C, 2, FALSE)</f>
        <v>Other</v>
      </c>
      <c r="E4471" s="1">
        <f t="shared" si="414"/>
        <v>2</v>
      </c>
      <c r="F4471" s="1">
        <f>_xlfn.XLOOKUP($C4471, 'Instrument Table'!$B:$B, 'Instrument Table'!$A:$A, "")</f>
        <v>61</v>
      </c>
      <c r="G4471" s="1" t="str">
        <f>TEXT(IF($B4471 = "Retail Item", IF((ROW($A4471) - 4504 - _xlfn.XMATCH($C4471, $C$4506:$C$5005, 0, 1)) &lt;= VLOOKUP($C4471, 'Instrument Table'!$B:$D, 3, FALSE), ROW($A4471) - 4504 - _xlfn.XMATCH($C4471, $C$4506:$C$5005, 0, 1), 0), 0), "00")</f>
        <v>00</v>
      </c>
      <c r="H4471" s="1" t="str">
        <f t="shared" si="415"/>
        <v>005</v>
      </c>
      <c r="I4471" s="1" t="str">
        <f t="shared" si="416"/>
        <v>26100-005</v>
      </c>
      <c r="J4471" s="1" t="str">
        <f t="shared" si="417"/>
        <v>Synthesizer service item #005</v>
      </c>
      <c r="K4471" s="1" t="str">
        <f>IF(SUM(COUNTIFS(I:I, I4471)) &gt; 1, "DUPLICATE", "UNIQUE")</f>
        <v>UNIQUE</v>
      </c>
      <c r="L4471" s="18">
        <v>6</v>
      </c>
      <c r="M4471" s="28">
        <v>127</v>
      </c>
      <c r="N4471" s="6">
        <v>64</v>
      </c>
      <c r="O4471" s="30">
        <f t="shared" si="418"/>
        <v>762</v>
      </c>
      <c r="P4471" s="30">
        <f t="shared" si="419"/>
        <v>8128</v>
      </c>
      <c r="Q4471" s="1">
        <f>COUNTIFS($P:$P, "&gt;" &amp; $P4471) + 1</f>
        <v>1967</v>
      </c>
      <c r="R4471" s="63">
        <f>(COUNTIFS($P:$P, "&gt;" &amp; $P4471) + 1) / (COUNTA($I:$I) - 1)</f>
        <v>0.39340000000000003</v>
      </c>
      <c r="S4471" s="23">
        <f>SUMIFS($P:$P, $Q:$Q, "&lt;" &amp; $Q4471)</f>
        <v>179731317</v>
      </c>
    </row>
    <row r="4472" spans="1:19" x14ac:dyDescent="0.25">
      <c r="A4472" s="1">
        <v>4467</v>
      </c>
      <c r="B4472" s="1" t="s">
        <v>3</v>
      </c>
      <c r="C4472" s="1" t="str">
        <f>IF($B4472 = "Production Item", _xlfn.XLOOKUP($A4472, 'Instrument Table'!$J:$J, 'Instrument Table'!$B:$B, $C4471), IF($B4472 = "Service Item", _xlfn.XLOOKUP($A4472, 'Instrument Table'!$I:$I, 'Instrument Table'!$B:$B, $C4471), _xlfn.XLOOKUP($A4472, 'Instrument Table'!$H:$H, 'Instrument Table'!$B:$B, $C4471)))</f>
        <v>Synthesizer</v>
      </c>
      <c r="D4472" s="1" t="str">
        <f>VLOOKUP($C4472, 'Instrument Table'!$B:$C, 2, FALSE)</f>
        <v>Other</v>
      </c>
      <c r="E4472" s="1">
        <f t="shared" si="414"/>
        <v>2</v>
      </c>
      <c r="F4472" s="1">
        <f>_xlfn.XLOOKUP($C4472, 'Instrument Table'!$B:$B, 'Instrument Table'!$A:$A, "")</f>
        <v>61</v>
      </c>
      <c r="G4472" s="1" t="str">
        <f>TEXT(IF($B4472 = "Retail Item", IF((ROW($A4472) - 4504 - _xlfn.XMATCH($C4472, $C$4506:$C$5005, 0, 1)) &lt;= VLOOKUP($C4472, 'Instrument Table'!$B:$D, 3, FALSE), ROW($A4472) - 4504 - _xlfn.XMATCH($C4472, $C$4506:$C$5005, 0, 1), 0), 0), "00")</f>
        <v>00</v>
      </c>
      <c r="H4472" s="1" t="str">
        <f t="shared" si="415"/>
        <v>006</v>
      </c>
      <c r="I4472" s="1" t="str">
        <f t="shared" si="416"/>
        <v>26100-006</v>
      </c>
      <c r="J4472" s="1" t="str">
        <f t="shared" si="417"/>
        <v>Synthesizer service item #006</v>
      </c>
      <c r="K4472" s="1" t="str">
        <f>IF(SUM(COUNTIFS(I:I, I4472)) &gt; 1, "DUPLICATE", "UNIQUE")</f>
        <v>UNIQUE</v>
      </c>
      <c r="L4472" s="18">
        <v>3</v>
      </c>
      <c r="M4472" s="28">
        <v>27</v>
      </c>
      <c r="N4472" s="6">
        <v>64</v>
      </c>
      <c r="O4472" s="30">
        <f t="shared" si="418"/>
        <v>81</v>
      </c>
      <c r="P4472" s="30">
        <f t="shared" si="419"/>
        <v>1728</v>
      </c>
      <c r="Q4472" s="1">
        <f>COUNTIFS($P:$P, "&gt;" &amp; $P4472) + 1</f>
        <v>3360</v>
      </c>
      <c r="R4472" s="63">
        <f>(COUNTIFS($P:$P, "&gt;" &amp; $P4472) + 1) / (COUNTA($I:$I) - 1)</f>
        <v>0.67200000000000004</v>
      </c>
      <c r="S4472" s="23">
        <f>SUMIFS($P:$P, $Q:$Q, "&lt;" &amp; $Q4472)</f>
        <v>185718037</v>
      </c>
    </row>
    <row r="4473" spans="1:19" x14ac:dyDescent="0.25">
      <c r="A4473" s="1">
        <v>4468</v>
      </c>
      <c r="B4473" s="1" t="s">
        <v>3</v>
      </c>
      <c r="C4473" s="1" t="str">
        <f>IF($B4473 = "Production Item", _xlfn.XLOOKUP($A4473, 'Instrument Table'!$J:$J, 'Instrument Table'!$B:$B, $C4472), IF($B4473 = "Service Item", _xlfn.XLOOKUP($A4473, 'Instrument Table'!$I:$I, 'Instrument Table'!$B:$B, $C4472), _xlfn.XLOOKUP($A4473, 'Instrument Table'!$H:$H, 'Instrument Table'!$B:$B, $C4472)))</f>
        <v>Synthesizer</v>
      </c>
      <c r="D4473" s="1" t="str">
        <f>VLOOKUP($C4473, 'Instrument Table'!$B:$C, 2, FALSE)</f>
        <v>Other</v>
      </c>
      <c r="E4473" s="1">
        <f t="shared" si="414"/>
        <v>2</v>
      </c>
      <c r="F4473" s="1">
        <f>_xlfn.XLOOKUP($C4473, 'Instrument Table'!$B:$B, 'Instrument Table'!$A:$A, "")</f>
        <v>61</v>
      </c>
      <c r="G4473" s="1" t="str">
        <f>TEXT(IF($B4473 = "Retail Item", IF((ROW($A4473) - 4504 - _xlfn.XMATCH($C4473, $C$4506:$C$5005, 0, 1)) &lt;= VLOOKUP($C4473, 'Instrument Table'!$B:$D, 3, FALSE), ROW($A4473) - 4504 - _xlfn.XMATCH($C4473, $C$4506:$C$5005, 0, 1), 0), 0), "00")</f>
        <v>00</v>
      </c>
      <c r="H4473" s="1" t="str">
        <f t="shared" si="415"/>
        <v>007</v>
      </c>
      <c r="I4473" s="1" t="str">
        <f t="shared" si="416"/>
        <v>26100-007</v>
      </c>
      <c r="J4473" s="1" t="str">
        <f t="shared" si="417"/>
        <v>Synthesizer service item #007</v>
      </c>
      <c r="K4473" s="1" t="str">
        <f>IF(SUM(COUNTIFS(I:I, I4473)) &gt; 1, "DUPLICATE", "UNIQUE")</f>
        <v>UNIQUE</v>
      </c>
      <c r="L4473" s="18">
        <v>10</v>
      </c>
      <c r="M4473" s="28">
        <v>228</v>
      </c>
      <c r="N4473" s="6">
        <v>8</v>
      </c>
      <c r="O4473" s="30">
        <f t="shared" si="418"/>
        <v>2280</v>
      </c>
      <c r="P4473" s="30">
        <f t="shared" si="419"/>
        <v>1824</v>
      </c>
      <c r="Q4473" s="1">
        <f>COUNTIFS($P:$P, "&gt;" &amp; $P4473) + 1</f>
        <v>3320</v>
      </c>
      <c r="R4473" s="63">
        <f>(COUNTIFS($P:$P, "&gt;" &amp; $P4473) + 1) / (COUNTA($I:$I) - 1)</f>
        <v>0.66400000000000003</v>
      </c>
      <c r="S4473" s="23">
        <f>SUMIFS($P:$P, $Q:$Q, "&lt;" &amp; $Q4473)</f>
        <v>185646433</v>
      </c>
    </row>
    <row r="4474" spans="1:19" x14ac:dyDescent="0.25">
      <c r="A4474" s="1">
        <v>4469</v>
      </c>
      <c r="B4474" s="1" t="s">
        <v>3</v>
      </c>
      <c r="C4474" s="1" t="str">
        <f>IF($B4474 = "Production Item", _xlfn.XLOOKUP($A4474, 'Instrument Table'!$J:$J, 'Instrument Table'!$B:$B, $C4473), IF($B4474 = "Service Item", _xlfn.XLOOKUP($A4474, 'Instrument Table'!$I:$I, 'Instrument Table'!$B:$B, $C4473), _xlfn.XLOOKUP($A4474, 'Instrument Table'!$H:$H, 'Instrument Table'!$B:$B, $C4473)))</f>
        <v>Synthesizer</v>
      </c>
      <c r="D4474" s="1" t="str">
        <f>VLOOKUP($C4474, 'Instrument Table'!$B:$C, 2, FALSE)</f>
        <v>Other</v>
      </c>
      <c r="E4474" s="1">
        <f t="shared" si="414"/>
        <v>2</v>
      </c>
      <c r="F4474" s="1">
        <f>_xlfn.XLOOKUP($C4474, 'Instrument Table'!$B:$B, 'Instrument Table'!$A:$A, "")</f>
        <v>61</v>
      </c>
      <c r="G4474" s="1" t="str">
        <f>TEXT(IF($B4474 = "Retail Item", IF((ROW($A4474) - 4504 - _xlfn.XMATCH($C4474, $C$4506:$C$5005, 0, 1)) &lt;= VLOOKUP($C4474, 'Instrument Table'!$B:$D, 3, FALSE), ROW($A4474) - 4504 - _xlfn.XMATCH($C4474, $C$4506:$C$5005, 0, 1), 0), 0), "00")</f>
        <v>00</v>
      </c>
      <c r="H4474" s="1" t="str">
        <f t="shared" si="415"/>
        <v>008</v>
      </c>
      <c r="I4474" s="1" t="str">
        <f t="shared" si="416"/>
        <v>26100-008</v>
      </c>
      <c r="J4474" s="1" t="str">
        <f t="shared" si="417"/>
        <v>Synthesizer service item #008</v>
      </c>
      <c r="K4474" s="1" t="str">
        <f>IF(SUM(COUNTIFS(I:I, I4474)) &gt; 1, "DUPLICATE", "UNIQUE")</f>
        <v>UNIQUE</v>
      </c>
      <c r="L4474" s="18">
        <v>6</v>
      </c>
      <c r="M4474" s="28">
        <v>943</v>
      </c>
      <c r="N4474" s="6">
        <v>64</v>
      </c>
      <c r="O4474" s="30">
        <f t="shared" si="418"/>
        <v>5658</v>
      </c>
      <c r="P4474" s="30">
        <f t="shared" si="419"/>
        <v>60352</v>
      </c>
      <c r="Q4474" s="1">
        <f>COUNTIFS($P:$P, "&gt;" &amp; $P4474) + 1</f>
        <v>498</v>
      </c>
      <c r="R4474" s="63">
        <f>(COUNTIFS($P:$P, "&gt;" &amp; $P4474) + 1) / (COUNTA($I:$I) - 1)</f>
        <v>9.9599999999999994E-2</v>
      </c>
      <c r="S4474" s="23">
        <f>SUMIFS($P:$P, $Q:$Q, "&lt;" &amp; $Q4474)</f>
        <v>151344589</v>
      </c>
    </row>
    <row r="4475" spans="1:19" x14ac:dyDescent="0.25">
      <c r="A4475" s="1">
        <v>4470</v>
      </c>
      <c r="B4475" s="1" t="s">
        <v>3</v>
      </c>
      <c r="C4475" s="1" t="str">
        <f>IF($B4475 = "Production Item", _xlfn.XLOOKUP($A4475, 'Instrument Table'!$J:$J, 'Instrument Table'!$B:$B, $C4474), IF($B4475 = "Service Item", _xlfn.XLOOKUP($A4475, 'Instrument Table'!$I:$I, 'Instrument Table'!$B:$B, $C4474), _xlfn.XLOOKUP($A4475, 'Instrument Table'!$H:$H, 'Instrument Table'!$B:$B, $C4474)))</f>
        <v>Synthesizer</v>
      </c>
      <c r="D4475" s="1" t="str">
        <f>VLOOKUP($C4475, 'Instrument Table'!$B:$C, 2, FALSE)</f>
        <v>Other</v>
      </c>
      <c r="E4475" s="1">
        <f t="shared" si="414"/>
        <v>2</v>
      </c>
      <c r="F4475" s="1">
        <f>_xlfn.XLOOKUP($C4475, 'Instrument Table'!$B:$B, 'Instrument Table'!$A:$A, "")</f>
        <v>61</v>
      </c>
      <c r="G4475" s="1" t="str">
        <f>TEXT(IF($B4475 = "Retail Item", IF((ROW($A4475) - 4504 - _xlfn.XMATCH($C4475, $C$4506:$C$5005, 0, 1)) &lt;= VLOOKUP($C4475, 'Instrument Table'!$B:$D, 3, FALSE), ROW($A4475) - 4504 - _xlfn.XMATCH($C4475, $C$4506:$C$5005, 0, 1), 0), 0), "00")</f>
        <v>00</v>
      </c>
      <c r="H4475" s="1" t="str">
        <f t="shared" si="415"/>
        <v>009</v>
      </c>
      <c r="I4475" s="1" t="str">
        <f t="shared" si="416"/>
        <v>26100-009</v>
      </c>
      <c r="J4475" s="1" t="str">
        <f t="shared" si="417"/>
        <v>Synthesizer service item #009</v>
      </c>
      <c r="K4475" s="1" t="str">
        <f>IF(SUM(COUNTIFS(I:I, I4475)) &gt; 1, "DUPLICATE", "UNIQUE")</f>
        <v>UNIQUE</v>
      </c>
      <c r="L4475" s="18">
        <v>1</v>
      </c>
      <c r="M4475" s="28">
        <v>879</v>
      </c>
      <c r="N4475" s="6">
        <v>8</v>
      </c>
      <c r="O4475" s="30">
        <f t="shared" si="418"/>
        <v>879</v>
      </c>
      <c r="P4475" s="30">
        <f t="shared" si="419"/>
        <v>7032</v>
      </c>
      <c r="Q4475" s="1">
        <f>COUNTIFS($P:$P, "&gt;" &amp; $P4475) + 1</f>
        <v>2133</v>
      </c>
      <c r="R4475" s="63">
        <f>(COUNTIFS($P:$P, "&gt;" &amp; $P4475) + 1) / (COUNTA($I:$I) - 1)</f>
        <v>0.42659999999999998</v>
      </c>
      <c r="S4475" s="23">
        <f>SUMIFS($P:$P, $Q:$Q, "&lt;" &amp; $Q4475)</f>
        <v>180995428</v>
      </c>
    </row>
    <row r="4476" spans="1:19" x14ac:dyDescent="0.25">
      <c r="A4476" s="1">
        <v>4471</v>
      </c>
      <c r="B4476" s="1" t="s">
        <v>3</v>
      </c>
      <c r="C4476" s="1" t="str">
        <f>IF($B4476 = "Production Item", _xlfn.XLOOKUP($A4476, 'Instrument Table'!$J:$J, 'Instrument Table'!$B:$B, $C4475), IF($B4476 = "Service Item", _xlfn.XLOOKUP($A4476, 'Instrument Table'!$I:$I, 'Instrument Table'!$B:$B, $C4475), _xlfn.XLOOKUP($A4476, 'Instrument Table'!$H:$H, 'Instrument Table'!$B:$B, $C4475)))</f>
        <v>Synthesizer</v>
      </c>
      <c r="D4476" s="1" t="str">
        <f>VLOOKUP($C4476, 'Instrument Table'!$B:$C, 2, FALSE)</f>
        <v>Other</v>
      </c>
      <c r="E4476" s="1">
        <f t="shared" si="414"/>
        <v>2</v>
      </c>
      <c r="F4476" s="1">
        <f>_xlfn.XLOOKUP($C4476, 'Instrument Table'!$B:$B, 'Instrument Table'!$A:$A, "")</f>
        <v>61</v>
      </c>
      <c r="G4476" s="1" t="str">
        <f>TEXT(IF($B4476 = "Retail Item", IF((ROW($A4476) - 4504 - _xlfn.XMATCH($C4476, $C$4506:$C$5005, 0, 1)) &lt;= VLOOKUP($C4476, 'Instrument Table'!$B:$D, 3, FALSE), ROW($A4476) - 4504 - _xlfn.XMATCH($C4476, $C$4506:$C$5005, 0, 1), 0), 0), "00")</f>
        <v>00</v>
      </c>
      <c r="H4476" s="1" t="str">
        <f t="shared" si="415"/>
        <v>010</v>
      </c>
      <c r="I4476" s="1" t="str">
        <f t="shared" si="416"/>
        <v>26100-010</v>
      </c>
      <c r="J4476" s="1" t="str">
        <f t="shared" si="417"/>
        <v>Synthesizer service item #010</v>
      </c>
      <c r="K4476" s="1" t="str">
        <f>IF(SUM(COUNTIFS(I:I, I4476)) &gt; 1, "DUPLICATE", "UNIQUE")</f>
        <v>UNIQUE</v>
      </c>
      <c r="L4476" s="18">
        <v>2</v>
      </c>
      <c r="M4476" s="28">
        <v>507</v>
      </c>
      <c r="N4476" s="6">
        <v>64</v>
      </c>
      <c r="O4476" s="30">
        <f t="shared" si="418"/>
        <v>1014</v>
      </c>
      <c r="P4476" s="30">
        <f t="shared" si="419"/>
        <v>32448</v>
      </c>
      <c r="Q4476" s="1">
        <f>COUNTIFS($P:$P, "&gt;" &amp; $P4476) + 1</f>
        <v>635</v>
      </c>
      <c r="R4476" s="63">
        <f>(COUNTIFS($P:$P, "&gt;" &amp; $P4476) + 1) / (COUNTA($I:$I) - 1)</f>
        <v>0.127</v>
      </c>
      <c r="S4476" s="23">
        <f>SUMIFS($P:$P, $Q:$Q, "&lt;" &amp; $Q4476)</f>
        <v>157061744</v>
      </c>
    </row>
    <row r="4477" spans="1:19" x14ac:dyDescent="0.25">
      <c r="A4477" s="1">
        <v>4472</v>
      </c>
      <c r="B4477" s="1" t="s">
        <v>3</v>
      </c>
      <c r="C4477" s="1" t="str">
        <f>IF($B4477 = "Production Item", _xlfn.XLOOKUP($A4477, 'Instrument Table'!$J:$J, 'Instrument Table'!$B:$B, $C4476), IF($B4477 = "Service Item", _xlfn.XLOOKUP($A4477, 'Instrument Table'!$I:$I, 'Instrument Table'!$B:$B, $C4476), _xlfn.XLOOKUP($A4477, 'Instrument Table'!$H:$H, 'Instrument Table'!$B:$B, $C4476)))</f>
        <v>Synthesizer</v>
      </c>
      <c r="D4477" s="1" t="str">
        <f>VLOOKUP($C4477, 'Instrument Table'!$B:$C, 2, FALSE)</f>
        <v>Other</v>
      </c>
      <c r="E4477" s="1">
        <f t="shared" si="414"/>
        <v>2</v>
      </c>
      <c r="F4477" s="1">
        <f>_xlfn.XLOOKUP($C4477, 'Instrument Table'!$B:$B, 'Instrument Table'!$A:$A, "")</f>
        <v>61</v>
      </c>
      <c r="G4477" s="1" t="str">
        <f>TEXT(IF($B4477 = "Retail Item", IF((ROW($A4477) - 4504 - _xlfn.XMATCH($C4477, $C$4506:$C$5005, 0, 1)) &lt;= VLOOKUP($C4477, 'Instrument Table'!$B:$D, 3, FALSE), ROW($A4477) - 4504 - _xlfn.XMATCH($C4477, $C$4506:$C$5005, 0, 1), 0), 0), "00")</f>
        <v>00</v>
      </c>
      <c r="H4477" s="1" t="str">
        <f t="shared" si="415"/>
        <v>011</v>
      </c>
      <c r="I4477" s="1" t="str">
        <f t="shared" si="416"/>
        <v>26100-011</v>
      </c>
      <c r="J4477" s="1" t="str">
        <f t="shared" si="417"/>
        <v>Synthesizer service item #011</v>
      </c>
      <c r="K4477" s="1" t="str">
        <f>IF(SUM(COUNTIFS(I:I, I4477)) &gt; 1, "DUPLICATE", "UNIQUE")</f>
        <v>UNIQUE</v>
      </c>
      <c r="L4477" s="18">
        <v>6</v>
      </c>
      <c r="M4477" s="28">
        <v>366</v>
      </c>
      <c r="N4477" s="6">
        <v>8</v>
      </c>
      <c r="O4477" s="30">
        <f t="shared" si="418"/>
        <v>2196</v>
      </c>
      <c r="P4477" s="30">
        <f t="shared" si="419"/>
        <v>2928</v>
      </c>
      <c r="Q4477" s="1">
        <f>COUNTIFS($P:$P, "&gt;" &amp; $P4477) + 1</f>
        <v>2922</v>
      </c>
      <c r="R4477" s="63">
        <f>(COUNTIFS($P:$P, "&gt;" &amp; $P4477) + 1) / (COUNTA($I:$I) - 1)</f>
        <v>0.58440000000000003</v>
      </c>
      <c r="S4477" s="23">
        <f>SUMIFS($P:$P, $Q:$Q, "&lt;" &amp; $Q4477)</f>
        <v>184713959</v>
      </c>
    </row>
    <row r="4478" spans="1:19" x14ac:dyDescent="0.25">
      <c r="A4478" s="1">
        <v>4473</v>
      </c>
      <c r="B4478" s="1" t="s">
        <v>3</v>
      </c>
      <c r="C4478" s="1" t="str">
        <f>IF($B4478 = "Production Item", _xlfn.XLOOKUP($A4478, 'Instrument Table'!$J:$J, 'Instrument Table'!$B:$B, $C4477), IF($B4478 = "Service Item", _xlfn.XLOOKUP($A4478, 'Instrument Table'!$I:$I, 'Instrument Table'!$B:$B, $C4477), _xlfn.XLOOKUP($A4478, 'Instrument Table'!$H:$H, 'Instrument Table'!$B:$B, $C4477)))</f>
        <v>Synthesizer</v>
      </c>
      <c r="D4478" s="1" t="str">
        <f>VLOOKUP($C4478, 'Instrument Table'!$B:$C, 2, FALSE)</f>
        <v>Other</v>
      </c>
      <c r="E4478" s="1">
        <f t="shared" si="414"/>
        <v>2</v>
      </c>
      <c r="F4478" s="1">
        <f>_xlfn.XLOOKUP($C4478, 'Instrument Table'!$B:$B, 'Instrument Table'!$A:$A, "")</f>
        <v>61</v>
      </c>
      <c r="G4478" s="1" t="str">
        <f>TEXT(IF($B4478 = "Retail Item", IF((ROW($A4478) - 4504 - _xlfn.XMATCH($C4478, $C$4506:$C$5005, 0, 1)) &lt;= VLOOKUP($C4478, 'Instrument Table'!$B:$D, 3, FALSE), ROW($A4478) - 4504 - _xlfn.XMATCH($C4478, $C$4506:$C$5005, 0, 1), 0), 0), "00")</f>
        <v>00</v>
      </c>
      <c r="H4478" s="1" t="str">
        <f t="shared" si="415"/>
        <v>012</v>
      </c>
      <c r="I4478" s="1" t="str">
        <f t="shared" si="416"/>
        <v>26100-012</v>
      </c>
      <c r="J4478" s="1" t="str">
        <f t="shared" si="417"/>
        <v>Synthesizer service item #012</v>
      </c>
      <c r="K4478" s="1" t="str">
        <f>IF(SUM(COUNTIFS(I:I, I4478)) &gt; 1, "DUPLICATE", "UNIQUE")</f>
        <v>UNIQUE</v>
      </c>
      <c r="L4478" s="18">
        <v>7</v>
      </c>
      <c r="M4478" s="28">
        <v>588</v>
      </c>
      <c r="N4478" s="6">
        <v>8</v>
      </c>
      <c r="O4478" s="30">
        <f t="shared" si="418"/>
        <v>4116</v>
      </c>
      <c r="P4478" s="30">
        <f t="shared" si="419"/>
        <v>4704</v>
      </c>
      <c r="Q4478" s="1">
        <f>COUNTIFS($P:$P, "&gt;" &amp; $P4478) + 1</f>
        <v>2500</v>
      </c>
      <c r="R4478" s="63">
        <f>(COUNTIFS($P:$P, "&gt;" &amp; $P4478) + 1) / (COUNTA($I:$I) - 1)</f>
        <v>0.5</v>
      </c>
      <c r="S4478" s="23">
        <f>SUMIFS($P:$P, $Q:$Q, "&lt;" &amp; $Q4478)</f>
        <v>183115244</v>
      </c>
    </row>
    <row r="4479" spans="1:19" x14ac:dyDescent="0.25">
      <c r="A4479" s="1">
        <v>4474</v>
      </c>
      <c r="B4479" s="1" t="s">
        <v>3</v>
      </c>
      <c r="C4479" s="1" t="str">
        <f>IF($B4479 = "Production Item", _xlfn.XLOOKUP($A4479, 'Instrument Table'!$J:$J, 'Instrument Table'!$B:$B, $C4478), IF($B4479 = "Service Item", _xlfn.XLOOKUP($A4479, 'Instrument Table'!$I:$I, 'Instrument Table'!$B:$B, $C4478), _xlfn.XLOOKUP($A4479, 'Instrument Table'!$H:$H, 'Instrument Table'!$B:$B, $C4478)))</f>
        <v>Synthesizer</v>
      </c>
      <c r="D4479" s="1" t="str">
        <f>VLOOKUP($C4479, 'Instrument Table'!$B:$C, 2, FALSE)</f>
        <v>Other</v>
      </c>
      <c r="E4479" s="1">
        <f t="shared" si="414"/>
        <v>2</v>
      </c>
      <c r="F4479" s="1">
        <f>_xlfn.XLOOKUP($C4479, 'Instrument Table'!$B:$B, 'Instrument Table'!$A:$A, "")</f>
        <v>61</v>
      </c>
      <c r="G4479" s="1" t="str">
        <f>TEXT(IF($B4479 = "Retail Item", IF((ROW($A4479) - 4504 - _xlfn.XMATCH($C4479, $C$4506:$C$5005, 0, 1)) &lt;= VLOOKUP($C4479, 'Instrument Table'!$B:$D, 3, FALSE), ROW($A4479) - 4504 - _xlfn.XMATCH($C4479, $C$4506:$C$5005, 0, 1), 0), 0), "00")</f>
        <v>00</v>
      </c>
      <c r="H4479" s="1" t="str">
        <f t="shared" si="415"/>
        <v>013</v>
      </c>
      <c r="I4479" s="1" t="str">
        <f t="shared" si="416"/>
        <v>26100-013</v>
      </c>
      <c r="J4479" s="1" t="str">
        <f t="shared" si="417"/>
        <v>Synthesizer service item #013</v>
      </c>
      <c r="K4479" s="1" t="str">
        <f>IF(SUM(COUNTIFS(I:I, I4479)) &gt; 1, "DUPLICATE", "UNIQUE")</f>
        <v>UNIQUE</v>
      </c>
      <c r="L4479" s="18">
        <v>1</v>
      </c>
      <c r="M4479" s="28">
        <v>902</v>
      </c>
      <c r="N4479" s="6">
        <v>1</v>
      </c>
      <c r="O4479" s="30">
        <f t="shared" si="418"/>
        <v>902</v>
      </c>
      <c r="P4479" s="30">
        <f t="shared" si="419"/>
        <v>902</v>
      </c>
      <c r="Q4479" s="1">
        <f>COUNTIFS($P:$P, "&gt;" &amp; $P4479) + 1</f>
        <v>3721</v>
      </c>
      <c r="R4479" s="63">
        <f>(COUNTIFS($P:$P, "&gt;" &amp; $P4479) + 1) / (COUNTA($I:$I) - 1)</f>
        <v>0.74419999999999997</v>
      </c>
      <c r="S4479" s="23">
        <f>SUMIFS($P:$P, $Q:$Q, "&lt;" &amp; $Q4479)</f>
        <v>186198488</v>
      </c>
    </row>
    <row r="4480" spans="1:19" x14ac:dyDescent="0.25">
      <c r="A4480" s="1">
        <v>4475</v>
      </c>
      <c r="B4480" s="1" t="s">
        <v>3</v>
      </c>
      <c r="C4480" s="1" t="str">
        <f>IF($B4480 = "Production Item", _xlfn.XLOOKUP($A4480, 'Instrument Table'!$J:$J, 'Instrument Table'!$B:$B, $C4479), IF($B4480 = "Service Item", _xlfn.XLOOKUP($A4480, 'Instrument Table'!$I:$I, 'Instrument Table'!$B:$B, $C4479), _xlfn.XLOOKUP($A4480, 'Instrument Table'!$H:$H, 'Instrument Table'!$B:$B, $C4479)))</f>
        <v>Synthesizer</v>
      </c>
      <c r="D4480" s="1" t="str">
        <f>VLOOKUP($C4480, 'Instrument Table'!$B:$C, 2, FALSE)</f>
        <v>Other</v>
      </c>
      <c r="E4480" s="1">
        <f t="shared" si="414"/>
        <v>2</v>
      </c>
      <c r="F4480" s="1">
        <f>_xlfn.XLOOKUP($C4480, 'Instrument Table'!$B:$B, 'Instrument Table'!$A:$A, "")</f>
        <v>61</v>
      </c>
      <c r="G4480" s="1" t="str">
        <f>TEXT(IF($B4480 = "Retail Item", IF((ROW($A4480) - 4504 - _xlfn.XMATCH($C4480, $C$4506:$C$5005, 0, 1)) &lt;= VLOOKUP($C4480, 'Instrument Table'!$B:$D, 3, FALSE), ROW($A4480) - 4504 - _xlfn.XMATCH($C4480, $C$4506:$C$5005, 0, 1), 0), 0), "00")</f>
        <v>00</v>
      </c>
      <c r="H4480" s="1" t="str">
        <f t="shared" si="415"/>
        <v>014</v>
      </c>
      <c r="I4480" s="1" t="str">
        <f t="shared" si="416"/>
        <v>26100-014</v>
      </c>
      <c r="J4480" s="1" t="str">
        <f t="shared" si="417"/>
        <v>Synthesizer service item #014</v>
      </c>
      <c r="K4480" s="1" t="str">
        <f>IF(SUM(COUNTIFS(I:I, I4480)) &gt; 1, "DUPLICATE", "UNIQUE")</f>
        <v>UNIQUE</v>
      </c>
      <c r="L4480" s="18">
        <v>7</v>
      </c>
      <c r="M4480" s="28">
        <v>142</v>
      </c>
      <c r="N4480" s="6">
        <v>1</v>
      </c>
      <c r="O4480" s="30">
        <f t="shared" si="418"/>
        <v>994</v>
      </c>
      <c r="P4480" s="30">
        <f t="shared" si="419"/>
        <v>142</v>
      </c>
      <c r="Q4480" s="1">
        <f>COUNTIFS($P:$P, "&gt;" &amp; $P4480) + 1</f>
        <v>4407</v>
      </c>
      <c r="R4480" s="63">
        <f>(COUNTIFS($P:$P, "&gt;" &amp; $P4480) + 1) / (COUNTA($I:$I) - 1)</f>
        <v>0.88139999999999996</v>
      </c>
      <c r="S4480" s="23">
        <f>SUMIFS($P:$P, $Q:$Q, "&lt;" &amp; $Q4480)</f>
        <v>186527018</v>
      </c>
    </row>
    <row r="4481" spans="1:19" x14ac:dyDescent="0.25">
      <c r="A4481" s="1">
        <v>4476</v>
      </c>
      <c r="B4481" s="1" t="s">
        <v>3</v>
      </c>
      <c r="C4481" s="1" t="str">
        <f>IF($B4481 = "Production Item", _xlfn.XLOOKUP($A4481, 'Instrument Table'!$J:$J, 'Instrument Table'!$B:$B, $C4480), IF($B4481 = "Service Item", _xlfn.XLOOKUP($A4481, 'Instrument Table'!$I:$I, 'Instrument Table'!$B:$B, $C4480), _xlfn.XLOOKUP($A4481, 'Instrument Table'!$H:$H, 'Instrument Table'!$B:$B, $C4480)))</f>
        <v>Synthesizer</v>
      </c>
      <c r="D4481" s="1" t="str">
        <f>VLOOKUP($C4481, 'Instrument Table'!$B:$C, 2, FALSE)</f>
        <v>Other</v>
      </c>
      <c r="E4481" s="1">
        <f t="shared" si="414"/>
        <v>2</v>
      </c>
      <c r="F4481" s="1">
        <f>_xlfn.XLOOKUP($C4481, 'Instrument Table'!$B:$B, 'Instrument Table'!$A:$A, "")</f>
        <v>61</v>
      </c>
      <c r="G4481" s="1" t="str">
        <f>TEXT(IF($B4481 = "Retail Item", IF((ROW($A4481) - 4504 - _xlfn.XMATCH($C4481, $C$4506:$C$5005, 0, 1)) &lt;= VLOOKUP($C4481, 'Instrument Table'!$B:$D, 3, FALSE), ROW($A4481) - 4504 - _xlfn.XMATCH($C4481, $C$4506:$C$5005, 0, 1), 0), 0), "00")</f>
        <v>00</v>
      </c>
      <c r="H4481" s="1" t="str">
        <f t="shared" si="415"/>
        <v>015</v>
      </c>
      <c r="I4481" s="1" t="str">
        <f t="shared" si="416"/>
        <v>26100-015</v>
      </c>
      <c r="J4481" s="1" t="str">
        <f t="shared" si="417"/>
        <v>Synthesizer service item #015</v>
      </c>
      <c r="K4481" s="1" t="str">
        <f>IF(SUM(COUNTIFS(I:I, I4481)) &gt; 1, "DUPLICATE", "UNIQUE")</f>
        <v>UNIQUE</v>
      </c>
      <c r="L4481" s="18">
        <v>3</v>
      </c>
      <c r="M4481" s="28">
        <v>176</v>
      </c>
      <c r="N4481" s="6">
        <v>8</v>
      </c>
      <c r="O4481" s="30">
        <f t="shared" si="418"/>
        <v>528</v>
      </c>
      <c r="P4481" s="30">
        <f t="shared" si="419"/>
        <v>1408</v>
      </c>
      <c r="Q4481" s="1">
        <f>COUNTIFS($P:$P, "&gt;" &amp; $P4481) + 1</f>
        <v>3501</v>
      </c>
      <c r="R4481" s="63">
        <f>(COUNTIFS($P:$P, "&gt;" &amp; $P4481) + 1) / (COUNTA($I:$I) - 1)</f>
        <v>0.70020000000000004</v>
      </c>
      <c r="S4481" s="23">
        <f>SUMIFS($P:$P, $Q:$Q, "&lt;" &amp; $Q4481)</f>
        <v>185938879</v>
      </c>
    </row>
    <row r="4482" spans="1:19" x14ac:dyDescent="0.25">
      <c r="A4482" s="1">
        <v>4477</v>
      </c>
      <c r="B4482" s="1" t="s">
        <v>3</v>
      </c>
      <c r="C4482" s="1" t="str">
        <f>IF($B4482 = "Production Item", _xlfn.XLOOKUP($A4482, 'Instrument Table'!$J:$J, 'Instrument Table'!$B:$B, $C4481), IF($B4482 = "Service Item", _xlfn.XLOOKUP($A4482, 'Instrument Table'!$I:$I, 'Instrument Table'!$B:$B, $C4481), _xlfn.XLOOKUP($A4482, 'Instrument Table'!$H:$H, 'Instrument Table'!$B:$B, $C4481)))</f>
        <v>Synthesizer</v>
      </c>
      <c r="D4482" s="1" t="str">
        <f>VLOOKUP($C4482, 'Instrument Table'!$B:$C, 2, FALSE)</f>
        <v>Other</v>
      </c>
      <c r="E4482" s="1">
        <f t="shared" si="414"/>
        <v>2</v>
      </c>
      <c r="F4482" s="1">
        <f>_xlfn.XLOOKUP($C4482, 'Instrument Table'!$B:$B, 'Instrument Table'!$A:$A, "")</f>
        <v>61</v>
      </c>
      <c r="G4482" s="1" t="str">
        <f>TEXT(IF($B4482 = "Retail Item", IF((ROW($A4482) - 4504 - _xlfn.XMATCH($C4482, $C$4506:$C$5005, 0, 1)) &lt;= VLOOKUP($C4482, 'Instrument Table'!$B:$D, 3, FALSE), ROW($A4482) - 4504 - _xlfn.XMATCH($C4482, $C$4506:$C$5005, 0, 1), 0), 0), "00")</f>
        <v>00</v>
      </c>
      <c r="H4482" s="1" t="str">
        <f t="shared" si="415"/>
        <v>016</v>
      </c>
      <c r="I4482" s="1" t="str">
        <f t="shared" si="416"/>
        <v>26100-016</v>
      </c>
      <c r="J4482" s="1" t="str">
        <f t="shared" si="417"/>
        <v>Synthesizer service item #016</v>
      </c>
      <c r="K4482" s="1" t="str">
        <f>IF(SUM(COUNTIFS(I:I, I4482)) &gt; 1, "DUPLICATE", "UNIQUE")</f>
        <v>UNIQUE</v>
      </c>
      <c r="L4482" s="18">
        <v>0</v>
      </c>
      <c r="M4482" s="28">
        <v>408</v>
      </c>
      <c r="N4482" s="6">
        <v>64</v>
      </c>
      <c r="O4482" s="30">
        <f t="shared" si="418"/>
        <v>0</v>
      </c>
      <c r="P4482" s="30">
        <f t="shared" si="419"/>
        <v>26112</v>
      </c>
      <c r="Q4482" s="1">
        <f>COUNTIFS($P:$P, "&gt;" &amp; $P4482) + 1</f>
        <v>784</v>
      </c>
      <c r="R4482" s="63">
        <f>(COUNTIFS($P:$P, "&gt;" &amp; $P4482) + 1) / (COUNTA($I:$I) - 1)</f>
        <v>0.15679999999999999</v>
      </c>
      <c r="S4482" s="23">
        <f>SUMIFS($P:$P, $Q:$Q, "&lt;" &amp; $Q4482)</f>
        <v>161412836</v>
      </c>
    </row>
    <row r="4483" spans="1:19" x14ac:dyDescent="0.25">
      <c r="A4483" s="1">
        <v>4478</v>
      </c>
      <c r="B4483" s="1" t="s">
        <v>3</v>
      </c>
      <c r="C4483" s="1" t="str">
        <f>IF($B4483 = "Production Item", _xlfn.XLOOKUP($A4483, 'Instrument Table'!$J:$J, 'Instrument Table'!$B:$B, $C4482), IF($B4483 = "Service Item", _xlfn.XLOOKUP($A4483, 'Instrument Table'!$I:$I, 'Instrument Table'!$B:$B, $C4482), _xlfn.XLOOKUP($A4483, 'Instrument Table'!$H:$H, 'Instrument Table'!$B:$B, $C4482)))</f>
        <v>Synthesizer</v>
      </c>
      <c r="D4483" s="1" t="str">
        <f>VLOOKUP($C4483, 'Instrument Table'!$B:$C, 2, FALSE)</f>
        <v>Other</v>
      </c>
      <c r="E4483" s="1">
        <f t="shared" si="414"/>
        <v>2</v>
      </c>
      <c r="F4483" s="1">
        <f>_xlfn.XLOOKUP($C4483, 'Instrument Table'!$B:$B, 'Instrument Table'!$A:$A, "")</f>
        <v>61</v>
      </c>
      <c r="G4483" s="1" t="str">
        <f>TEXT(IF($B4483 = "Retail Item", IF((ROW($A4483) - 4504 - _xlfn.XMATCH($C4483, $C$4506:$C$5005, 0, 1)) &lt;= VLOOKUP($C4483, 'Instrument Table'!$B:$D, 3, FALSE), ROW($A4483) - 4504 - _xlfn.XMATCH($C4483, $C$4506:$C$5005, 0, 1), 0), 0), "00")</f>
        <v>00</v>
      </c>
      <c r="H4483" s="1" t="str">
        <f t="shared" si="415"/>
        <v>017</v>
      </c>
      <c r="I4483" s="1" t="str">
        <f t="shared" si="416"/>
        <v>26100-017</v>
      </c>
      <c r="J4483" s="1" t="str">
        <f t="shared" si="417"/>
        <v>Synthesizer service item #017</v>
      </c>
      <c r="K4483" s="1" t="str">
        <f>IF(SUM(COUNTIFS(I:I, I4483)) &gt; 1, "DUPLICATE", "UNIQUE")</f>
        <v>UNIQUE</v>
      </c>
      <c r="L4483" s="18">
        <v>2</v>
      </c>
      <c r="M4483" s="28">
        <v>639</v>
      </c>
      <c r="N4483" s="6">
        <v>8</v>
      </c>
      <c r="O4483" s="30">
        <f t="shared" si="418"/>
        <v>1278</v>
      </c>
      <c r="P4483" s="30">
        <f t="shared" si="419"/>
        <v>5112</v>
      </c>
      <c r="Q4483" s="1">
        <f>COUNTIFS($P:$P, "&gt;" &amp; $P4483) + 1</f>
        <v>2423</v>
      </c>
      <c r="R4483" s="63">
        <f>(COUNTIFS($P:$P, "&gt;" &amp; $P4483) + 1) / (COUNTA($I:$I) - 1)</f>
        <v>0.48459999999999998</v>
      </c>
      <c r="S4483" s="23">
        <f>SUMIFS($P:$P, $Q:$Q, "&lt;" &amp; $Q4483)</f>
        <v>182735815</v>
      </c>
    </row>
    <row r="4484" spans="1:19" x14ac:dyDescent="0.25">
      <c r="A4484" s="1">
        <v>4479</v>
      </c>
      <c r="B4484" s="1" t="s">
        <v>3</v>
      </c>
      <c r="C4484" s="1" t="str">
        <f>IF($B4484 = "Production Item", _xlfn.XLOOKUP($A4484, 'Instrument Table'!$J:$J, 'Instrument Table'!$B:$B, $C4483), IF($B4484 = "Service Item", _xlfn.XLOOKUP($A4484, 'Instrument Table'!$I:$I, 'Instrument Table'!$B:$B, $C4483), _xlfn.XLOOKUP($A4484, 'Instrument Table'!$H:$H, 'Instrument Table'!$B:$B, $C4483)))</f>
        <v>Synthesizer</v>
      </c>
      <c r="D4484" s="1" t="str">
        <f>VLOOKUP($C4484, 'Instrument Table'!$B:$C, 2, FALSE)</f>
        <v>Other</v>
      </c>
      <c r="E4484" s="1">
        <f t="shared" si="414"/>
        <v>2</v>
      </c>
      <c r="F4484" s="1">
        <f>_xlfn.XLOOKUP($C4484, 'Instrument Table'!$B:$B, 'Instrument Table'!$A:$A, "")</f>
        <v>61</v>
      </c>
      <c r="G4484" s="1" t="str">
        <f>TEXT(IF($B4484 = "Retail Item", IF((ROW($A4484) - 4504 - _xlfn.XMATCH($C4484, $C$4506:$C$5005, 0, 1)) &lt;= VLOOKUP($C4484, 'Instrument Table'!$B:$D, 3, FALSE), ROW($A4484) - 4504 - _xlfn.XMATCH($C4484, $C$4506:$C$5005, 0, 1), 0), 0), "00")</f>
        <v>00</v>
      </c>
      <c r="H4484" s="1" t="str">
        <f t="shared" si="415"/>
        <v>018</v>
      </c>
      <c r="I4484" s="1" t="str">
        <f t="shared" si="416"/>
        <v>26100-018</v>
      </c>
      <c r="J4484" s="1" t="str">
        <f t="shared" si="417"/>
        <v>Synthesizer service item #018</v>
      </c>
      <c r="K4484" s="1" t="str">
        <f>IF(SUM(COUNTIFS(I:I, I4484)) &gt; 1, "DUPLICATE", "UNIQUE")</f>
        <v>UNIQUE</v>
      </c>
      <c r="L4484" s="18">
        <v>0</v>
      </c>
      <c r="M4484" s="28">
        <v>45</v>
      </c>
      <c r="N4484" s="6">
        <v>0</v>
      </c>
      <c r="O4484" s="30">
        <f t="shared" si="418"/>
        <v>0</v>
      </c>
      <c r="P4484" s="30">
        <f t="shared" si="419"/>
        <v>0</v>
      </c>
      <c r="Q4484" s="1">
        <f>COUNTIFS($P:$P, "&gt;" &amp; $P4484) + 1</f>
        <v>4746</v>
      </c>
      <c r="R4484" s="63">
        <f>(COUNTIFS($P:$P, "&gt;" &amp; $P4484) + 1) / (COUNTA($I:$I) - 1)</f>
        <v>0.94920000000000004</v>
      </c>
      <c r="S4484" s="23">
        <f>SUMIFS($P:$P, $Q:$Q, "&lt;" &amp; $Q4484)</f>
        <v>186547861</v>
      </c>
    </row>
    <row r="4485" spans="1:19" x14ac:dyDescent="0.25">
      <c r="A4485" s="1">
        <v>4480</v>
      </c>
      <c r="B4485" s="1" t="s">
        <v>3</v>
      </c>
      <c r="C4485" s="1" t="str">
        <f>IF($B4485 = "Production Item", _xlfn.XLOOKUP($A4485, 'Instrument Table'!$J:$J, 'Instrument Table'!$B:$B, $C4484), IF($B4485 = "Service Item", _xlfn.XLOOKUP($A4485, 'Instrument Table'!$I:$I, 'Instrument Table'!$B:$B, $C4484), _xlfn.XLOOKUP($A4485, 'Instrument Table'!$H:$H, 'Instrument Table'!$B:$B, $C4484)))</f>
        <v>Synthesizer</v>
      </c>
      <c r="D4485" s="1" t="str">
        <f>VLOOKUP($C4485, 'Instrument Table'!$B:$C, 2, FALSE)</f>
        <v>Other</v>
      </c>
      <c r="E4485" s="1">
        <f t="shared" si="414"/>
        <v>2</v>
      </c>
      <c r="F4485" s="1">
        <f>_xlfn.XLOOKUP($C4485, 'Instrument Table'!$B:$B, 'Instrument Table'!$A:$A, "")</f>
        <v>61</v>
      </c>
      <c r="G4485" s="1" t="str">
        <f>TEXT(IF($B4485 = "Retail Item", IF((ROW($A4485) - 4504 - _xlfn.XMATCH($C4485, $C$4506:$C$5005, 0, 1)) &lt;= VLOOKUP($C4485, 'Instrument Table'!$B:$D, 3, FALSE), ROW($A4485) - 4504 - _xlfn.XMATCH($C4485, $C$4506:$C$5005, 0, 1), 0), 0), "00")</f>
        <v>00</v>
      </c>
      <c r="H4485" s="1" t="str">
        <f t="shared" si="415"/>
        <v>019</v>
      </c>
      <c r="I4485" s="1" t="str">
        <f t="shared" si="416"/>
        <v>26100-019</v>
      </c>
      <c r="J4485" s="1" t="str">
        <f t="shared" si="417"/>
        <v>Synthesizer service item #019</v>
      </c>
      <c r="K4485" s="1" t="str">
        <f>IF(SUM(COUNTIFS(I:I, I4485)) &gt; 1, "DUPLICATE", "UNIQUE")</f>
        <v>UNIQUE</v>
      </c>
      <c r="L4485" s="18">
        <v>6</v>
      </c>
      <c r="M4485" s="28">
        <v>329</v>
      </c>
      <c r="N4485" s="6">
        <v>64</v>
      </c>
      <c r="O4485" s="30">
        <f t="shared" si="418"/>
        <v>1974</v>
      </c>
      <c r="P4485" s="30">
        <f t="shared" si="419"/>
        <v>21056</v>
      </c>
      <c r="Q4485" s="1">
        <f>COUNTIFS($P:$P, "&gt;" &amp; $P4485) + 1</f>
        <v>1006</v>
      </c>
      <c r="R4485" s="63">
        <f>(COUNTIFS($P:$P, "&gt;" &amp; $P4485) + 1) / (COUNTA($I:$I) - 1)</f>
        <v>0.20119999999999999</v>
      </c>
      <c r="S4485" s="23">
        <f>SUMIFS($P:$P, $Q:$Q, "&lt;" &amp; $Q4485)</f>
        <v>166617416</v>
      </c>
    </row>
    <row r="4486" spans="1:19" x14ac:dyDescent="0.25">
      <c r="A4486" s="1">
        <v>4481</v>
      </c>
      <c r="B4486" s="1" t="s">
        <v>3</v>
      </c>
      <c r="C4486" s="1" t="str">
        <f>IF($B4486 = "Production Item", _xlfn.XLOOKUP($A4486, 'Instrument Table'!$J:$J, 'Instrument Table'!$B:$B, $C4485), IF($B4486 = "Service Item", _xlfn.XLOOKUP($A4486, 'Instrument Table'!$I:$I, 'Instrument Table'!$B:$B, $C4485), _xlfn.XLOOKUP($A4486, 'Instrument Table'!$H:$H, 'Instrument Table'!$B:$B, $C4485)))</f>
        <v>Synthesizer</v>
      </c>
      <c r="D4486" s="1" t="str">
        <f>VLOOKUP($C4486, 'Instrument Table'!$B:$C, 2, FALSE)</f>
        <v>Other</v>
      </c>
      <c r="E4486" s="1">
        <f t="shared" si="414"/>
        <v>2</v>
      </c>
      <c r="F4486" s="1">
        <f>_xlfn.XLOOKUP($C4486, 'Instrument Table'!$B:$B, 'Instrument Table'!$A:$A, "")</f>
        <v>61</v>
      </c>
      <c r="G4486" s="1" t="str">
        <f>TEXT(IF($B4486 = "Retail Item", IF((ROW($A4486) - 4504 - _xlfn.XMATCH($C4486, $C$4506:$C$5005, 0, 1)) &lt;= VLOOKUP($C4486, 'Instrument Table'!$B:$D, 3, FALSE), ROW($A4486) - 4504 - _xlfn.XMATCH($C4486, $C$4506:$C$5005, 0, 1), 0), 0), "00")</f>
        <v>00</v>
      </c>
      <c r="H4486" s="1" t="str">
        <f t="shared" si="415"/>
        <v>020</v>
      </c>
      <c r="I4486" s="1" t="str">
        <f t="shared" si="416"/>
        <v>26100-020</v>
      </c>
      <c r="J4486" s="1" t="str">
        <f t="shared" si="417"/>
        <v>Synthesizer service item #020</v>
      </c>
      <c r="K4486" s="1" t="str">
        <f>IF(SUM(COUNTIFS(I:I, I4486)) &gt; 1, "DUPLICATE", "UNIQUE")</f>
        <v>UNIQUE</v>
      </c>
      <c r="L4486" s="18">
        <v>4</v>
      </c>
      <c r="M4486" s="28">
        <v>159</v>
      </c>
      <c r="N4486" s="6">
        <v>125</v>
      </c>
      <c r="O4486" s="30">
        <f t="shared" si="418"/>
        <v>636</v>
      </c>
      <c r="P4486" s="30">
        <f t="shared" si="419"/>
        <v>19875</v>
      </c>
      <c r="Q4486" s="1">
        <f>COUNTIFS($P:$P, "&gt;" &amp; $P4486) + 1</f>
        <v>1063</v>
      </c>
      <c r="R4486" s="63">
        <f>(COUNTIFS($P:$P, "&gt;" &amp; $P4486) + 1) / (COUNTA($I:$I) - 1)</f>
        <v>0.21260000000000001</v>
      </c>
      <c r="S4486" s="23">
        <f>SUMIFS($P:$P, $Q:$Q, "&lt;" &amp; $Q4486)</f>
        <v>167783126</v>
      </c>
    </row>
    <row r="4487" spans="1:19" x14ac:dyDescent="0.25">
      <c r="A4487" s="1">
        <v>4482</v>
      </c>
      <c r="B4487" s="1" t="s">
        <v>3</v>
      </c>
      <c r="C4487" s="1" t="str">
        <f>IF($B4487 = "Production Item", _xlfn.XLOOKUP($A4487, 'Instrument Table'!$J:$J, 'Instrument Table'!$B:$B, $C4486), IF($B4487 = "Service Item", _xlfn.XLOOKUP($A4487, 'Instrument Table'!$I:$I, 'Instrument Table'!$B:$B, $C4486), _xlfn.XLOOKUP($A4487, 'Instrument Table'!$H:$H, 'Instrument Table'!$B:$B, $C4486)))</f>
        <v>Synthesizer</v>
      </c>
      <c r="D4487" s="1" t="str">
        <f>VLOOKUP($C4487, 'Instrument Table'!$B:$C, 2, FALSE)</f>
        <v>Other</v>
      </c>
      <c r="E4487" s="1">
        <f t="shared" ref="E4487:E4550" si="420">IF($B4487 = "Production Item", 1, IF($B4487 = "Service Item", 2, IF($B4487 = "Retail Item", 3, "")))</f>
        <v>2</v>
      </c>
      <c r="F4487" s="1">
        <f>_xlfn.XLOOKUP($C4487, 'Instrument Table'!$B:$B, 'Instrument Table'!$A:$A, "")</f>
        <v>61</v>
      </c>
      <c r="G4487" s="1" t="str">
        <f>TEXT(IF($B4487 = "Retail Item", IF((ROW($A4487) - 4504 - _xlfn.XMATCH($C4487, $C$4506:$C$5005, 0, 1)) &lt;= VLOOKUP($C4487, 'Instrument Table'!$B:$D, 3, FALSE), ROW($A4487) - 4504 - _xlfn.XMATCH($C4487, $C$4506:$C$5005, 0, 1), 0), 0), "00")</f>
        <v>00</v>
      </c>
      <c r="H4487" s="1" t="str">
        <f t="shared" ref="H4487:H4550" si="421">TEXT(IF($E4487 &amp; $F4487 &amp; $G4487 = $E4486 &amp; $F4486 &amp; $G4486, 1 + H4486, 0), "000")</f>
        <v>021</v>
      </c>
      <c r="I4487" s="1" t="str">
        <f t="shared" ref="I4487:I4550" si="422" xml:space="preserve"> _xlfn.CONCAT($E4487, $F4487, $G4487, "-", H4487)</f>
        <v>26100-021</v>
      </c>
      <c r="J4487" s="1" t="str">
        <f t="shared" ref="J4487:J4550" si="423">LEFT($C4487, 1) &amp; LOWER(RIGHT($C4487, LEN($C4487) - 1)) &amp; IF(AND($G4487 &lt;&gt; "00", $B4487 = "Retail Item"), " model #" &amp; $G4487, " " &amp; LOWER($B4487) &amp; " #" &amp; $H4487)</f>
        <v>Synthesizer service item #021</v>
      </c>
      <c r="K4487" s="1" t="str">
        <f>IF(SUM(COUNTIFS(I:I, I4487)) &gt; 1, "DUPLICATE", "UNIQUE")</f>
        <v>UNIQUE</v>
      </c>
      <c r="L4487" s="18">
        <v>0</v>
      </c>
      <c r="M4487" s="28">
        <v>97</v>
      </c>
      <c r="N4487" s="6">
        <v>125</v>
      </c>
      <c r="O4487" s="30">
        <f t="shared" ref="O4487:O4550" si="424">$L4487 * $M4487</f>
        <v>0</v>
      </c>
      <c r="P4487" s="30">
        <f t="shared" ref="P4487:P4550" si="425">$N4487 * $M4487</f>
        <v>12125</v>
      </c>
      <c r="Q4487" s="1">
        <f>COUNTIFS($P:$P, "&gt;" &amp; $P4487) + 1</f>
        <v>1571</v>
      </c>
      <c r="R4487" s="63">
        <f>(COUNTIFS($P:$P, "&gt;" &amp; $P4487) + 1) / (COUNTA($I:$I) - 1)</f>
        <v>0.31419999999999998</v>
      </c>
      <c r="S4487" s="23">
        <f>SUMIFS($P:$P, $Q:$Q, "&lt;" &amp; $Q4487)</f>
        <v>175731612</v>
      </c>
    </row>
    <row r="4488" spans="1:19" x14ac:dyDescent="0.25">
      <c r="A4488" s="1">
        <v>4483</v>
      </c>
      <c r="B4488" s="1" t="s">
        <v>3</v>
      </c>
      <c r="C4488" s="1" t="str">
        <f>IF($B4488 = "Production Item", _xlfn.XLOOKUP($A4488, 'Instrument Table'!$J:$J, 'Instrument Table'!$B:$B, $C4487), IF($B4488 = "Service Item", _xlfn.XLOOKUP($A4488, 'Instrument Table'!$I:$I, 'Instrument Table'!$B:$B, $C4487), _xlfn.XLOOKUP($A4488, 'Instrument Table'!$H:$H, 'Instrument Table'!$B:$B, $C4487)))</f>
        <v>Synthesizer</v>
      </c>
      <c r="D4488" s="1" t="str">
        <f>VLOOKUP($C4488, 'Instrument Table'!$B:$C, 2, FALSE)</f>
        <v>Other</v>
      </c>
      <c r="E4488" s="1">
        <f t="shared" si="420"/>
        <v>2</v>
      </c>
      <c r="F4488" s="1">
        <f>_xlfn.XLOOKUP($C4488, 'Instrument Table'!$B:$B, 'Instrument Table'!$A:$A, "")</f>
        <v>61</v>
      </c>
      <c r="G4488" s="1" t="str">
        <f>TEXT(IF($B4488 = "Retail Item", IF((ROW($A4488) - 4504 - _xlfn.XMATCH($C4488, $C$4506:$C$5005, 0, 1)) &lt;= VLOOKUP($C4488, 'Instrument Table'!$B:$D, 3, FALSE), ROW($A4488) - 4504 - _xlfn.XMATCH($C4488, $C$4506:$C$5005, 0, 1), 0), 0), "00")</f>
        <v>00</v>
      </c>
      <c r="H4488" s="1" t="str">
        <f t="shared" si="421"/>
        <v>022</v>
      </c>
      <c r="I4488" s="1" t="str">
        <f t="shared" si="422"/>
        <v>26100-022</v>
      </c>
      <c r="J4488" s="1" t="str">
        <f t="shared" si="423"/>
        <v>Synthesizer service item #022</v>
      </c>
      <c r="K4488" s="1" t="str">
        <f>IF(SUM(COUNTIFS(I:I, I4488)) &gt; 1, "DUPLICATE", "UNIQUE")</f>
        <v>UNIQUE</v>
      </c>
      <c r="L4488" s="18">
        <v>10</v>
      </c>
      <c r="M4488" s="28">
        <v>555</v>
      </c>
      <c r="N4488" s="6">
        <v>125</v>
      </c>
      <c r="O4488" s="30">
        <f t="shared" si="424"/>
        <v>5550</v>
      </c>
      <c r="P4488" s="30">
        <f t="shared" si="425"/>
        <v>69375</v>
      </c>
      <c r="Q4488" s="1">
        <f>COUNTIFS($P:$P, "&gt;" &amp; $P4488) + 1</f>
        <v>470</v>
      </c>
      <c r="R4488" s="63">
        <f>(COUNTIFS($P:$P, "&gt;" &amp; $P4488) + 1) / (COUNTA($I:$I) - 1)</f>
        <v>9.4E-2</v>
      </c>
      <c r="S4488" s="23">
        <f>SUMIFS($P:$P, $Q:$Q, "&lt;" &amp; $Q4488)</f>
        <v>149507223</v>
      </c>
    </row>
    <row r="4489" spans="1:19" x14ac:dyDescent="0.25">
      <c r="A4489" s="1">
        <v>4484</v>
      </c>
      <c r="B4489" s="1" t="s">
        <v>3</v>
      </c>
      <c r="C4489" s="1" t="str">
        <f>IF($B4489 = "Production Item", _xlfn.XLOOKUP($A4489, 'Instrument Table'!$J:$J, 'Instrument Table'!$B:$B, $C4488), IF($B4489 = "Service Item", _xlfn.XLOOKUP($A4489, 'Instrument Table'!$I:$I, 'Instrument Table'!$B:$B, $C4488), _xlfn.XLOOKUP($A4489, 'Instrument Table'!$H:$H, 'Instrument Table'!$B:$B, $C4488)))</f>
        <v>Synthesizer</v>
      </c>
      <c r="D4489" s="1" t="str">
        <f>VLOOKUP($C4489, 'Instrument Table'!$B:$C, 2, FALSE)</f>
        <v>Other</v>
      </c>
      <c r="E4489" s="1">
        <f t="shared" si="420"/>
        <v>2</v>
      </c>
      <c r="F4489" s="1">
        <f>_xlfn.XLOOKUP($C4489, 'Instrument Table'!$B:$B, 'Instrument Table'!$A:$A, "")</f>
        <v>61</v>
      </c>
      <c r="G4489" s="1" t="str">
        <f>TEXT(IF($B4489 = "Retail Item", IF((ROW($A4489) - 4504 - _xlfn.XMATCH($C4489, $C$4506:$C$5005, 0, 1)) &lt;= VLOOKUP($C4489, 'Instrument Table'!$B:$D, 3, FALSE), ROW($A4489) - 4504 - _xlfn.XMATCH($C4489, $C$4506:$C$5005, 0, 1), 0), 0), "00")</f>
        <v>00</v>
      </c>
      <c r="H4489" s="1" t="str">
        <f t="shared" si="421"/>
        <v>023</v>
      </c>
      <c r="I4489" s="1" t="str">
        <f t="shared" si="422"/>
        <v>26100-023</v>
      </c>
      <c r="J4489" s="1" t="str">
        <f t="shared" si="423"/>
        <v>Synthesizer service item #023</v>
      </c>
      <c r="K4489" s="1" t="str">
        <f>IF(SUM(COUNTIFS(I:I, I4489)) &gt; 1, "DUPLICATE", "UNIQUE")</f>
        <v>UNIQUE</v>
      </c>
      <c r="L4489" s="18">
        <v>7</v>
      </c>
      <c r="M4489" s="28">
        <v>868</v>
      </c>
      <c r="N4489" s="6">
        <v>27</v>
      </c>
      <c r="O4489" s="30">
        <f t="shared" si="424"/>
        <v>6076</v>
      </c>
      <c r="P4489" s="30">
        <f t="shared" si="425"/>
        <v>23436</v>
      </c>
      <c r="Q4489" s="1">
        <f>COUNTIFS($P:$P, "&gt;" &amp; $P4489) + 1</f>
        <v>890</v>
      </c>
      <c r="R4489" s="63">
        <f>(COUNTIFS($P:$P, "&gt;" &amp; $P4489) + 1) / (COUNTA($I:$I) - 1)</f>
        <v>0.17799999999999999</v>
      </c>
      <c r="S4489" s="23">
        <f>SUMIFS($P:$P, $Q:$Q, "&lt;" &amp; $Q4489)</f>
        <v>164047958</v>
      </c>
    </row>
    <row r="4490" spans="1:19" x14ac:dyDescent="0.25">
      <c r="A4490" s="1">
        <v>4485</v>
      </c>
      <c r="B4490" s="1" t="s">
        <v>3</v>
      </c>
      <c r="C4490" s="1" t="str">
        <f>IF($B4490 = "Production Item", _xlfn.XLOOKUP($A4490, 'Instrument Table'!$J:$J, 'Instrument Table'!$B:$B, $C4489), IF($B4490 = "Service Item", _xlfn.XLOOKUP($A4490, 'Instrument Table'!$I:$I, 'Instrument Table'!$B:$B, $C4489), _xlfn.XLOOKUP($A4490, 'Instrument Table'!$H:$H, 'Instrument Table'!$B:$B, $C4489)))</f>
        <v>Synthesizer</v>
      </c>
      <c r="D4490" s="1" t="str">
        <f>VLOOKUP($C4490, 'Instrument Table'!$B:$C, 2, FALSE)</f>
        <v>Other</v>
      </c>
      <c r="E4490" s="1">
        <f t="shared" si="420"/>
        <v>2</v>
      </c>
      <c r="F4490" s="1">
        <f>_xlfn.XLOOKUP($C4490, 'Instrument Table'!$B:$B, 'Instrument Table'!$A:$A, "")</f>
        <v>61</v>
      </c>
      <c r="G4490" s="1" t="str">
        <f>TEXT(IF($B4490 = "Retail Item", IF((ROW($A4490) - 4504 - _xlfn.XMATCH($C4490, $C$4506:$C$5005, 0, 1)) &lt;= VLOOKUP($C4490, 'Instrument Table'!$B:$D, 3, FALSE), ROW($A4490) - 4504 - _xlfn.XMATCH($C4490, $C$4506:$C$5005, 0, 1), 0), 0), "00")</f>
        <v>00</v>
      </c>
      <c r="H4490" s="1" t="str">
        <f t="shared" si="421"/>
        <v>024</v>
      </c>
      <c r="I4490" s="1" t="str">
        <f t="shared" si="422"/>
        <v>26100-024</v>
      </c>
      <c r="J4490" s="1" t="str">
        <f t="shared" si="423"/>
        <v>Synthesizer service item #024</v>
      </c>
      <c r="K4490" s="1" t="str">
        <f>IF(SUM(COUNTIFS(I:I, I4490)) &gt; 1, "DUPLICATE", "UNIQUE")</f>
        <v>UNIQUE</v>
      </c>
      <c r="L4490" s="18">
        <v>1</v>
      </c>
      <c r="M4490" s="28">
        <v>31</v>
      </c>
      <c r="N4490" s="6">
        <v>27</v>
      </c>
      <c r="O4490" s="30">
        <f t="shared" si="424"/>
        <v>31</v>
      </c>
      <c r="P4490" s="30">
        <f t="shared" si="425"/>
        <v>837</v>
      </c>
      <c r="Q4490" s="1">
        <f>COUNTIFS($P:$P, "&gt;" &amp; $P4490) + 1</f>
        <v>3769</v>
      </c>
      <c r="R4490" s="63">
        <f>(COUNTIFS($P:$P, "&gt;" &amp; $P4490) + 1) / (COUNTA($I:$I) - 1)</f>
        <v>0.75380000000000003</v>
      </c>
      <c r="S4490" s="23">
        <f>SUMIFS($P:$P, $Q:$Q, "&lt;" &amp; $Q4490)</f>
        <v>186240403</v>
      </c>
    </row>
    <row r="4491" spans="1:19" x14ac:dyDescent="0.25">
      <c r="A4491" s="1">
        <v>4486</v>
      </c>
      <c r="B4491" s="1" t="s">
        <v>3</v>
      </c>
      <c r="C4491" s="1" t="str">
        <f>IF($B4491 = "Production Item", _xlfn.XLOOKUP($A4491, 'Instrument Table'!$J:$J, 'Instrument Table'!$B:$B, $C4490), IF($B4491 = "Service Item", _xlfn.XLOOKUP($A4491, 'Instrument Table'!$I:$I, 'Instrument Table'!$B:$B, $C4490), _xlfn.XLOOKUP($A4491, 'Instrument Table'!$H:$H, 'Instrument Table'!$B:$B, $C4490)))</f>
        <v>Synthesizer</v>
      </c>
      <c r="D4491" s="1" t="str">
        <f>VLOOKUP($C4491, 'Instrument Table'!$B:$C, 2, FALSE)</f>
        <v>Other</v>
      </c>
      <c r="E4491" s="1">
        <f t="shared" si="420"/>
        <v>2</v>
      </c>
      <c r="F4491" s="1">
        <f>_xlfn.XLOOKUP($C4491, 'Instrument Table'!$B:$B, 'Instrument Table'!$A:$A, "")</f>
        <v>61</v>
      </c>
      <c r="G4491" s="1" t="str">
        <f>TEXT(IF($B4491 = "Retail Item", IF((ROW($A4491) - 4504 - _xlfn.XMATCH($C4491, $C$4506:$C$5005, 0, 1)) &lt;= VLOOKUP($C4491, 'Instrument Table'!$B:$D, 3, FALSE), ROW($A4491) - 4504 - _xlfn.XMATCH($C4491, $C$4506:$C$5005, 0, 1), 0), 0), "00")</f>
        <v>00</v>
      </c>
      <c r="H4491" s="1" t="str">
        <f t="shared" si="421"/>
        <v>025</v>
      </c>
      <c r="I4491" s="1" t="str">
        <f t="shared" si="422"/>
        <v>26100-025</v>
      </c>
      <c r="J4491" s="1" t="str">
        <f t="shared" si="423"/>
        <v>Synthesizer service item #025</v>
      </c>
      <c r="K4491" s="1" t="str">
        <f>IF(SUM(COUNTIFS(I:I, I4491)) &gt; 1, "DUPLICATE", "UNIQUE")</f>
        <v>UNIQUE</v>
      </c>
      <c r="L4491" s="18">
        <v>4</v>
      </c>
      <c r="M4491" s="28">
        <v>639</v>
      </c>
      <c r="N4491" s="6">
        <v>1</v>
      </c>
      <c r="O4491" s="30">
        <f t="shared" si="424"/>
        <v>2556</v>
      </c>
      <c r="P4491" s="30">
        <f t="shared" si="425"/>
        <v>639</v>
      </c>
      <c r="Q4491" s="1">
        <f>COUNTIFS($P:$P, "&gt;" &amp; $P4491) + 1</f>
        <v>3921</v>
      </c>
      <c r="R4491" s="63">
        <f>(COUNTIFS($P:$P, "&gt;" &amp; $P4491) + 1) / (COUNTA($I:$I) - 1)</f>
        <v>0.78420000000000001</v>
      </c>
      <c r="S4491" s="23">
        <f>SUMIFS($P:$P, $Q:$Q, "&lt;" &amp; $Q4491)</f>
        <v>186352563</v>
      </c>
    </row>
    <row r="4492" spans="1:19" x14ac:dyDescent="0.25">
      <c r="A4492" s="1">
        <v>4487</v>
      </c>
      <c r="B4492" s="1" t="s">
        <v>3</v>
      </c>
      <c r="C4492" s="1" t="str">
        <f>IF($B4492 = "Production Item", _xlfn.XLOOKUP($A4492, 'Instrument Table'!$J:$J, 'Instrument Table'!$B:$B, $C4491), IF($B4492 = "Service Item", _xlfn.XLOOKUP($A4492, 'Instrument Table'!$I:$I, 'Instrument Table'!$B:$B, $C4491), _xlfn.XLOOKUP($A4492, 'Instrument Table'!$H:$H, 'Instrument Table'!$B:$B, $C4491)))</f>
        <v>Synthesizer</v>
      </c>
      <c r="D4492" s="1" t="str">
        <f>VLOOKUP($C4492, 'Instrument Table'!$B:$C, 2, FALSE)</f>
        <v>Other</v>
      </c>
      <c r="E4492" s="1">
        <f t="shared" si="420"/>
        <v>2</v>
      </c>
      <c r="F4492" s="1">
        <f>_xlfn.XLOOKUP($C4492, 'Instrument Table'!$B:$B, 'Instrument Table'!$A:$A, "")</f>
        <v>61</v>
      </c>
      <c r="G4492" s="1" t="str">
        <f>TEXT(IF($B4492 = "Retail Item", IF((ROW($A4492) - 4504 - _xlfn.XMATCH($C4492, $C$4506:$C$5005, 0, 1)) &lt;= VLOOKUP($C4492, 'Instrument Table'!$B:$D, 3, FALSE), ROW($A4492) - 4504 - _xlfn.XMATCH($C4492, $C$4506:$C$5005, 0, 1), 0), 0), "00")</f>
        <v>00</v>
      </c>
      <c r="H4492" s="1" t="str">
        <f t="shared" si="421"/>
        <v>026</v>
      </c>
      <c r="I4492" s="1" t="str">
        <f t="shared" si="422"/>
        <v>26100-026</v>
      </c>
      <c r="J4492" s="1" t="str">
        <f t="shared" si="423"/>
        <v>Synthesizer service item #026</v>
      </c>
      <c r="K4492" s="1" t="str">
        <f>IF(SUM(COUNTIFS(I:I, I4492)) &gt; 1, "DUPLICATE", "UNIQUE")</f>
        <v>UNIQUE</v>
      </c>
      <c r="L4492" s="18">
        <v>5</v>
      </c>
      <c r="M4492" s="28">
        <v>672</v>
      </c>
      <c r="N4492" s="6">
        <v>125</v>
      </c>
      <c r="O4492" s="30">
        <f t="shared" si="424"/>
        <v>3360</v>
      </c>
      <c r="P4492" s="30">
        <f t="shared" si="425"/>
        <v>84000</v>
      </c>
      <c r="Q4492" s="1">
        <f>COUNTIFS($P:$P, "&gt;" &amp; $P4492) + 1</f>
        <v>437</v>
      </c>
      <c r="R4492" s="63">
        <f>(COUNTIFS($P:$P, "&gt;" &amp; $P4492) + 1) / (COUNTA($I:$I) - 1)</f>
        <v>8.7400000000000005E-2</v>
      </c>
      <c r="S4492" s="23">
        <f>SUMIFS($P:$P, $Q:$Q, "&lt;" &amp; $Q4492)</f>
        <v>146950766</v>
      </c>
    </row>
    <row r="4493" spans="1:19" x14ac:dyDescent="0.25">
      <c r="A4493" s="1">
        <v>4488</v>
      </c>
      <c r="B4493" s="1" t="s">
        <v>3</v>
      </c>
      <c r="C4493" s="1" t="str">
        <f>IF($B4493 = "Production Item", _xlfn.XLOOKUP($A4493, 'Instrument Table'!$J:$J, 'Instrument Table'!$B:$B, $C4492), IF($B4493 = "Service Item", _xlfn.XLOOKUP($A4493, 'Instrument Table'!$I:$I, 'Instrument Table'!$B:$B, $C4492), _xlfn.XLOOKUP($A4493, 'Instrument Table'!$H:$H, 'Instrument Table'!$B:$B, $C4492)))</f>
        <v>Synthesizer</v>
      </c>
      <c r="D4493" s="1" t="str">
        <f>VLOOKUP($C4493, 'Instrument Table'!$B:$C, 2, FALSE)</f>
        <v>Other</v>
      </c>
      <c r="E4493" s="1">
        <f t="shared" si="420"/>
        <v>2</v>
      </c>
      <c r="F4493" s="1">
        <f>_xlfn.XLOOKUP($C4493, 'Instrument Table'!$B:$B, 'Instrument Table'!$A:$A, "")</f>
        <v>61</v>
      </c>
      <c r="G4493" s="1" t="str">
        <f>TEXT(IF($B4493 = "Retail Item", IF((ROW($A4493) - 4504 - _xlfn.XMATCH($C4493, $C$4506:$C$5005, 0, 1)) &lt;= VLOOKUP($C4493, 'Instrument Table'!$B:$D, 3, FALSE), ROW($A4493) - 4504 - _xlfn.XMATCH($C4493, $C$4506:$C$5005, 0, 1), 0), 0), "00")</f>
        <v>00</v>
      </c>
      <c r="H4493" s="1" t="str">
        <f t="shared" si="421"/>
        <v>027</v>
      </c>
      <c r="I4493" s="1" t="str">
        <f t="shared" si="422"/>
        <v>26100-027</v>
      </c>
      <c r="J4493" s="1" t="str">
        <f t="shared" si="423"/>
        <v>Synthesizer service item #027</v>
      </c>
      <c r="K4493" s="1" t="str">
        <f>IF(SUM(COUNTIFS(I:I, I4493)) &gt; 1, "DUPLICATE", "UNIQUE")</f>
        <v>UNIQUE</v>
      </c>
      <c r="L4493" s="18">
        <v>1</v>
      </c>
      <c r="M4493" s="28">
        <v>103</v>
      </c>
      <c r="N4493" s="6">
        <v>1</v>
      </c>
      <c r="O4493" s="30">
        <f t="shared" si="424"/>
        <v>103</v>
      </c>
      <c r="P4493" s="30">
        <f t="shared" si="425"/>
        <v>103</v>
      </c>
      <c r="Q4493" s="1">
        <f>COUNTIFS($P:$P, "&gt;" &amp; $P4493) + 1</f>
        <v>4451</v>
      </c>
      <c r="R4493" s="63">
        <f>(COUNTIFS($P:$P, "&gt;" &amp; $P4493) + 1) / (COUNTA($I:$I) - 1)</f>
        <v>0.89019999999999999</v>
      </c>
      <c r="S4493" s="23">
        <f>SUMIFS($P:$P, $Q:$Q, "&lt;" &amp; $Q4493)</f>
        <v>186532315</v>
      </c>
    </row>
    <row r="4494" spans="1:19" x14ac:dyDescent="0.25">
      <c r="A4494" s="1">
        <v>4489</v>
      </c>
      <c r="B4494" s="1" t="s">
        <v>3</v>
      </c>
      <c r="C4494" s="1" t="str">
        <f>IF($B4494 = "Production Item", _xlfn.XLOOKUP($A4494, 'Instrument Table'!$J:$J, 'Instrument Table'!$B:$B, $C4493), IF($B4494 = "Service Item", _xlfn.XLOOKUP($A4494, 'Instrument Table'!$I:$I, 'Instrument Table'!$B:$B, $C4493), _xlfn.XLOOKUP($A4494, 'Instrument Table'!$H:$H, 'Instrument Table'!$B:$B, $C4493)))</f>
        <v>Synthesizer</v>
      </c>
      <c r="D4494" s="1" t="str">
        <f>VLOOKUP($C4494, 'Instrument Table'!$B:$C, 2, FALSE)</f>
        <v>Other</v>
      </c>
      <c r="E4494" s="1">
        <f t="shared" si="420"/>
        <v>2</v>
      </c>
      <c r="F4494" s="1">
        <f>_xlfn.XLOOKUP($C4494, 'Instrument Table'!$B:$B, 'Instrument Table'!$A:$A, "")</f>
        <v>61</v>
      </c>
      <c r="G4494" s="1" t="str">
        <f>TEXT(IF($B4494 = "Retail Item", IF((ROW($A4494) - 4504 - _xlfn.XMATCH($C4494, $C$4506:$C$5005, 0, 1)) &lt;= VLOOKUP($C4494, 'Instrument Table'!$B:$D, 3, FALSE), ROW($A4494) - 4504 - _xlfn.XMATCH($C4494, $C$4506:$C$5005, 0, 1), 0), 0), "00")</f>
        <v>00</v>
      </c>
      <c r="H4494" s="1" t="str">
        <f t="shared" si="421"/>
        <v>028</v>
      </c>
      <c r="I4494" s="1" t="str">
        <f t="shared" si="422"/>
        <v>26100-028</v>
      </c>
      <c r="J4494" s="1" t="str">
        <f t="shared" si="423"/>
        <v>Synthesizer service item #028</v>
      </c>
      <c r="K4494" s="1" t="str">
        <f>IF(SUM(COUNTIFS(I:I, I4494)) &gt; 1, "DUPLICATE", "UNIQUE")</f>
        <v>UNIQUE</v>
      </c>
      <c r="L4494" s="18">
        <v>7</v>
      </c>
      <c r="M4494" s="28">
        <v>602</v>
      </c>
      <c r="N4494" s="6">
        <v>8</v>
      </c>
      <c r="O4494" s="30">
        <f t="shared" si="424"/>
        <v>4214</v>
      </c>
      <c r="P4494" s="30">
        <f t="shared" si="425"/>
        <v>4816</v>
      </c>
      <c r="Q4494" s="1">
        <f>COUNTIFS($P:$P, "&gt;" &amp; $P4494) + 1</f>
        <v>2481</v>
      </c>
      <c r="R4494" s="63">
        <f>(COUNTIFS($P:$P, "&gt;" &amp; $P4494) + 1) / (COUNTA($I:$I) - 1)</f>
        <v>0.49619999999999997</v>
      </c>
      <c r="S4494" s="23">
        <f>SUMIFS($P:$P, $Q:$Q, "&lt;" &amp; $Q4494)</f>
        <v>183024492</v>
      </c>
    </row>
    <row r="4495" spans="1:19" x14ac:dyDescent="0.25">
      <c r="A4495" s="1">
        <v>4490</v>
      </c>
      <c r="B4495" s="1" t="s">
        <v>3</v>
      </c>
      <c r="C4495" s="1" t="str">
        <f>IF($B4495 = "Production Item", _xlfn.XLOOKUP($A4495, 'Instrument Table'!$J:$J, 'Instrument Table'!$B:$B, $C4494), IF($B4495 = "Service Item", _xlfn.XLOOKUP($A4495, 'Instrument Table'!$I:$I, 'Instrument Table'!$B:$B, $C4494), _xlfn.XLOOKUP($A4495, 'Instrument Table'!$H:$H, 'Instrument Table'!$B:$B, $C4494)))</f>
        <v>Synthesizer</v>
      </c>
      <c r="D4495" s="1" t="str">
        <f>VLOOKUP($C4495, 'Instrument Table'!$B:$C, 2, FALSE)</f>
        <v>Other</v>
      </c>
      <c r="E4495" s="1">
        <f t="shared" si="420"/>
        <v>2</v>
      </c>
      <c r="F4495" s="1">
        <f>_xlfn.XLOOKUP($C4495, 'Instrument Table'!$B:$B, 'Instrument Table'!$A:$A, "")</f>
        <v>61</v>
      </c>
      <c r="G4495" s="1" t="str">
        <f>TEXT(IF($B4495 = "Retail Item", IF((ROW($A4495) - 4504 - _xlfn.XMATCH($C4495, $C$4506:$C$5005, 0, 1)) &lt;= VLOOKUP($C4495, 'Instrument Table'!$B:$D, 3, FALSE), ROW($A4495) - 4504 - _xlfn.XMATCH($C4495, $C$4506:$C$5005, 0, 1), 0), 0), "00")</f>
        <v>00</v>
      </c>
      <c r="H4495" s="1" t="str">
        <f t="shared" si="421"/>
        <v>029</v>
      </c>
      <c r="I4495" s="1" t="str">
        <f t="shared" si="422"/>
        <v>26100-029</v>
      </c>
      <c r="J4495" s="1" t="str">
        <f t="shared" si="423"/>
        <v>Synthesizer service item #029</v>
      </c>
      <c r="K4495" s="1" t="str">
        <f>IF(SUM(COUNTIFS(I:I, I4495)) &gt; 1, "DUPLICATE", "UNIQUE")</f>
        <v>UNIQUE</v>
      </c>
      <c r="L4495" s="18">
        <v>2</v>
      </c>
      <c r="M4495" s="28">
        <v>196</v>
      </c>
      <c r="N4495" s="6">
        <v>64</v>
      </c>
      <c r="O4495" s="30">
        <f t="shared" si="424"/>
        <v>392</v>
      </c>
      <c r="P4495" s="30">
        <f t="shared" si="425"/>
        <v>12544</v>
      </c>
      <c r="Q4495" s="1">
        <f>COUNTIFS($P:$P, "&gt;" &amp; $P4495) + 1</f>
        <v>1537</v>
      </c>
      <c r="R4495" s="63">
        <f>(COUNTIFS($P:$P, "&gt;" &amp; $P4495) + 1) / (COUNTA($I:$I) - 1)</f>
        <v>0.30740000000000001</v>
      </c>
      <c r="S4495" s="23">
        <f>SUMIFS($P:$P, $Q:$Q, "&lt;" &amp; $Q4495)</f>
        <v>175313085</v>
      </c>
    </row>
    <row r="4496" spans="1:19" x14ac:dyDescent="0.25">
      <c r="A4496" s="1">
        <v>4491</v>
      </c>
      <c r="B4496" s="1" t="s">
        <v>3</v>
      </c>
      <c r="C4496" s="1" t="str">
        <f>IF($B4496 = "Production Item", _xlfn.XLOOKUP($A4496, 'Instrument Table'!$J:$J, 'Instrument Table'!$B:$B, $C4495), IF($B4496 = "Service Item", _xlfn.XLOOKUP($A4496, 'Instrument Table'!$I:$I, 'Instrument Table'!$B:$B, $C4495), _xlfn.XLOOKUP($A4496, 'Instrument Table'!$H:$H, 'Instrument Table'!$B:$B, $C4495)))</f>
        <v>Synthesizer</v>
      </c>
      <c r="D4496" s="1" t="str">
        <f>VLOOKUP($C4496, 'Instrument Table'!$B:$C, 2, FALSE)</f>
        <v>Other</v>
      </c>
      <c r="E4496" s="1">
        <f t="shared" si="420"/>
        <v>2</v>
      </c>
      <c r="F4496" s="1">
        <f>_xlfn.XLOOKUP($C4496, 'Instrument Table'!$B:$B, 'Instrument Table'!$A:$A, "")</f>
        <v>61</v>
      </c>
      <c r="G4496" s="1" t="str">
        <f>TEXT(IF($B4496 = "Retail Item", IF((ROW($A4496) - 4504 - _xlfn.XMATCH($C4496, $C$4506:$C$5005, 0, 1)) &lt;= VLOOKUP($C4496, 'Instrument Table'!$B:$D, 3, FALSE), ROW($A4496) - 4504 - _xlfn.XMATCH($C4496, $C$4506:$C$5005, 0, 1), 0), 0), "00")</f>
        <v>00</v>
      </c>
      <c r="H4496" s="1" t="str">
        <f t="shared" si="421"/>
        <v>030</v>
      </c>
      <c r="I4496" s="1" t="str">
        <f t="shared" si="422"/>
        <v>26100-030</v>
      </c>
      <c r="J4496" s="1" t="str">
        <f t="shared" si="423"/>
        <v>Synthesizer service item #030</v>
      </c>
      <c r="K4496" s="1" t="str">
        <f>IF(SUM(COUNTIFS(I:I, I4496)) &gt; 1, "DUPLICATE", "UNIQUE")</f>
        <v>UNIQUE</v>
      </c>
      <c r="L4496" s="18">
        <v>4</v>
      </c>
      <c r="M4496" s="28">
        <v>992</v>
      </c>
      <c r="N4496" s="6">
        <v>64</v>
      </c>
      <c r="O4496" s="30">
        <f t="shared" si="424"/>
        <v>3968</v>
      </c>
      <c r="P4496" s="30">
        <f t="shared" si="425"/>
        <v>63488</v>
      </c>
      <c r="Q4496" s="1">
        <f>COUNTIFS($P:$P, "&gt;" &amp; $P4496) + 1</f>
        <v>489</v>
      </c>
      <c r="R4496" s="63">
        <f>(COUNTIFS($P:$P, "&gt;" &amp; $P4496) + 1) / (COUNTA($I:$I) - 1)</f>
        <v>9.7799999999999998E-2</v>
      </c>
      <c r="S4496" s="23">
        <f>SUMIFS($P:$P, $Q:$Q, "&lt;" &amp; $Q4496)</f>
        <v>150782628</v>
      </c>
    </row>
    <row r="4497" spans="1:19" x14ac:dyDescent="0.25">
      <c r="A4497" s="1">
        <v>4492</v>
      </c>
      <c r="B4497" s="1" t="s">
        <v>3</v>
      </c>
      <c r="C4497" s="1" t="str">
        <f>IF($B4497 = "Production Item", _xlfn.XLOOKUP($A4497, 'Instrument Table'!$J:$J, 'Instrument Table'!$B:$B, $C4496), IF($B4497 = "Service Item", _xlfn.XLOOKUP($A4497, 'Instrument Table'!$I:$I, 'Instrument Table'!$B:$B, $C4496), _xlfn.XLOOKUP($A4497, 'Instrument Table'!$H:$H, 'Instrument Table'!$B:$B, $C4496)))</f>
        <v>Synthesizer</v>
      </c>
      <c r="D4497" s="1" t="str">
        <f>VLOOKUP($C4497, 'Instrument Table'!$B:$C, 2, FALSE)</f>
        <v>Other</v>
      </c>
      <c r="E4497" s="1">
        <f t="shared" si="420"/>
        <v>2</v>
      </c>
      <c r="F4497" s="1">
        <f>_xlfn.XLOOKUP($C4497, 'Instrument Table'!$B:$B, 'Instrument Table'!$A:$A, "")</f>
        <v>61</v>
      </c>
      <c r="G4497" s="1" t="str">
        <f>TEXT(IF($B4497 = "Retail Item", IF((ROW($A4497) - 4504 - _xlfn.XMATCH($C4497, $C$4506:$C$5005, 0, 1)) &lt;= VLOOKUP($C4497, 'Instrument Table'!$B:$D, 3, FALSE), ROW($A4497) - 4504 - _xlfn.XMATCH($C4497, $C$4506:$C$5005, 0, 1), 0), 0), "00")</f>
        <v>00</v>
      </c>
      <c r="H4497" s="1" t="str">
        <f t="shared" si="421"/>
        <v>031</v>
      </c>
      <c r="I4497" s="1" t="str">
        <f t="shared" si="422"/>
        <v>26100-031</v>
      </c>
      <c r="J4497" s="1" t="str">
        <f t="shared" si="423"/>
        <v>Synthesizer service item #031</v>
      </c>
      <c r="K4497" s="1" t="str">
        <f>IF(SUM(COUNTIFS(I:I, I4497)) &gt; 1, "DUPLICATE", "UNIQUE")</f>
        <v>UNIQUE</v>
      </c>
      <c r="L4497" s="18">
        <v>6</v>
      </c>
      <c r="M4497" s="28">
        <v>69</v>
      </c>
      <c r="N4497" s="6">
        <v>8</v>
      </c>
      <c r="O4497" s="30">
        <f t="shared" si="424"/>
        <v>414</v>
      </c>
      <c r="P4497" s="30">
        <f t="shared" si="425"/>
        <v>552</v>
      </c>
      <c r="Q4497" s="1">
        <f>COUNTIFS($P:$P, "&gt;" &amp; $P4497) + 1</f>
        <v>3977</v>
      </c>
      <c r="R4497" s="63">
        <f>(COUNTIFS($P:$P, "&gt;" &amp; $P4497) + 1) / (COUNTA($I:$I) - 1)</f>
        <v>0.7954</v>
      </c>
      <c r="S4497" s="23">
        <f>SUMIFS($P:$P, $Q:$Q, "&lt;" &amp; $Q4497)</f>
        <v>186385819</v>
      </c>
    </row>
    <row r="4498" spans="1:19" x14ac:dyDescent="0.25">
      <c r="A4498" s="1">
        <v>4493</v>
      </c>
      <c r="B4498" s="1" t="s">
        <v>3</v>
      </c>
      <c r="C4498" s="1" t="str">
        <f>IF($B4498 = "Production Item", _xlfn.XLOOKUP($A4498, 'Instrument Table'!$J:$J, 'Instrument Table'!$B:$B, $C4497), IF($B4498 = "Service Item", _xlfn.XLOOKUP($A4498, 'Instrument Table'!$I:$I, 'Instrument Table'!$B:$B, $C4497), _xlfn.XLOOKUP($A4498, 'Instrument Table'!$H:$H, 'Instrument Table'!$B:$B, $C4497)))</f>
        <v>Synthesizer</v>
      </c>
      <c r="D4498" s="1" t="str">
        <f>VLOOKUP($C4498, 'Instrument Table'!$B:$C, 2, FALSE)</f>
        <v>Other</v>
      </c>
      <c r="E4498" s="1">
        <f t="shared" si="420"/>
        <v>2</v>
      </c>
      <c r="F4498" s="1">
        <f>_xlfn.XLOOKUP($C4498, 'Instrument Table'!$B:$B, 'Instrument Table'!$A:$A, "")</f>
        <v>61</v>
      </c>
      <c r="G4498" s="1" t="str">
        <f>TEXT(IF($B4498 = "Retail Item", IF((ROW($A4498) - 4504 - _xlfn.XMATCH($C4498, $C$4506:$C$5005, 0, 1)) &lt;= VLOOKUP($C4498, 'Instrument Table'!$B:$D, 3, FALSE), ROW($A4498) - 4504 - _xlfn.XMATCH($C4498, $C$4506:$C$5005, 0, 1), 0), 0), "00")</f>
        <v>00</v>
      </c>
      <c r="H4498" s="1" t="str">
        <f t="shared" si="421"/>
        <v>032</v>
      </c>
      <c r="I4498" s="1" t="str">
        <f t="shared" si="422"/>
        <v>26100-032</v>
      </c>
      <c r="J4498" s="1" t="str">
        <f t="shared" si="423"/>
        <v>Synthesizer service item #032</v>
      </c>
      <c r="K4498" s="1" t="str">
        <f>IF(SUM(COUNTIFS(I:I, I4498)) &gt; 1, "DUPLICATE", "UNIQUE")</f>
        <v>UNIQUE</v>
      </c>
      <c r="L4498" s="18">
        <v>3</v>
      </c>
      <c r="M4498" s="28">
        <v>427</v>
      </c>
      <c r="N4498" s="6">
        <v>0</v>
      </c>
      <c r="O4498" s="30">
        <f t="shared" si="424"/>
        <v>1281</v>
      </c>
      <c r="P4498" s="30">
        <f t="shared" si="425"/>
        <v>0</v>
      </c>
      <c r="Q4498" s="1">
        <f>COUNTIFS($P:$P, "&gt;" &amp; $P4498) + 1</f>
        <v>4746</v>
      </c>
      <c r="R4498" s="63">
        <f>(COUNTIFS($P:$P, "&gt;" &amp; $P4498) + 1) / (COUNTA($I:$I) - 1)</f>
        <v>0.94920000000000004</v>
      </c>
      <c r="S4498" s="23">
        <f>SUMIFS($P:$P, $Q:$Q, "&lt;" &amp; $Q4498)</f>
        <v>186547861</v>
      </c>
    </row>
    <row r="4499" spans="1:19" x14ac:dyDescent="0.25">
      <c r="A4499" s="1">
        <v>4494</v>
      </c>
      <c r="B4499" s="1" t="s">
        <v>3</v>
      </c>
      <c r="C4499" s="1" t="str">
        <f>IF($B4499 = "Production Item", _xlfn.XLOOKUP($A4499, 'Instrument Table'!$J:$J, 'Instrument Table'!$B:$B, $C4498), IF($B4499 = "Service Item", _xlfn.XLOOKUP($A4499, 'Instrument Table'!$I:$I, 'Instrument Table'!$B:$B, $C4498), _xlfn.XLOOKUP($A4499, 'Instrument Table'!$H:$H, 'Instrument Table'!$B:$B, $C4498)))</f>
        <v>Synthesizer</v>
      </c>
      <c r="D4499" s="1" t="str">
        <f>VLOOKUP($C4499, 'Instrument Table'!$B:$C, 2, FALSE)</f>
        <v>Other</v>
      </c>
      <c r="E4499" s="1">
        <f t="shared" si="420"/>
        <v>2</v>
      </c>
      <c r="F4499" s="1">
        <f>_xlfn.XLOOKUP($C4499, 'Instrument Table'!$B:$B, 'Instrument Table'!$A:$A, "")</f>
        <v>61</v>
      </c>
      <c r="G4499" s="1" t="str">
        <f>TEXT(IF($B4499 = "Retail Item", IF((ROW($A4499) - 4504 - _xlfn.XMATCH($C4499, $C$4506:$C$5005, 0, 1)) &lt;= VLOOKUP($C4499, 'Instrument Table'!$B:$D, 3, FALSE), ROW($A4499) - 4504 - _xlfn.XMATCH($C4499, $C$4506:$C$5005, 0, 1), 0), 0), "00")</f>
        <v>00</v>
      </c>
      <c r="H4499" s="1" t="str">
        <f t="shared" si="421"/>
        <v>033</v>
      </c>
      <c r="I4499" s="1" t="str">
        <f t="shared" si="422"/>
        <v>26100-033</v>
      </c>
      <c r="J4499" s="1" t="str">
        <f t="shared" si="423"/>
        <v>Synthesizer service item #033</v>
      </c>
      <c r="K4499" s="1" t="str">
        <f>IF(SUM(COUNTIFS(I:I, I4499)) &gt; 1, "DUPLICATE", "UNIQUE")</f>
        <v>UNIQUE</v>
      </c>
      <c r="L4499" s="18">
        <v>9</v>
      </c>
      <c r="M4499" s="28">
        <v>304</v>
      </c>
      <c r="N4499" s="6">
        <v>125</v>
      </c>
      <c r="O4499" s="30">
        <f t="shared" si="424"/>
        <v>2736</v>
      </c>
      <c r="P4499" s="30">
        <f t="shared" si="425"/>
        <v>38000</v>
      </c>
      <c r="Q4499" s="1">
        <f>COUNTIFS($P:$P, "&gt;" &amp; $P4499) + 1</f>
        <v>572</v>
      </c>
      <c r="R4499" s="63">
        <f>(COUNTIFS($P:$P, "&gt;" &amp; $P4499) + 1) / (COUNTA($I:$I) - 1)</f>
        <v>0.1144</v>
      </c>
      <c r="S4499" s="23">
        <f>SUMIFS($P:$P, $Q:$Q, "&lt;" &amp; $Q4499)</f>
        <v>154844325</v>
      </c>
    </row>
    <row r="4500" spans="1:19" x14ac:dyDescent="0.25">
      <c r="A4500" s="1">
        <v>4495</v>
      </c>
      <c r="B4500" s="1" t="s">
        <v>3</v>
      </c>
      <c r="C4500" s="1" t="str">
        <f>IF($B4500 = "Production Item", _xlfn.XLOOKUP($A4500, 'Instrument Table'!$J:$J, 'Instrument Table'!$B:$B, $C4499), IF($B4500 = "Service Item", _xlfn.XLOOKUP($A4500, 'Instrument Table'!$I:$I, 'Instrument Table'!$B:$B, $C4499), _xlfn.XLOOKUP($A4500, 'Instrument Table'!$H:$H, 'Instrument Table'!$B:$B, $C4499)))</f>
        <v>Synthesizer</v>
      </c>
      <c r="D4500" s="1" t="str">
        <f>VLOOKUP($C4500, 'Instrument Table'!$B:$C, 2, FALSE)</f>
        <v>Other</v>
      </c>
      <c r="E4500" s="1">
        <f t="shared" si="420"/>
        <v>2</v>
      </c>
      <c r="F4500" s="1">
        <f>_xlfn.XLOOKUP($C4500, 'Instrument Table'!$B:$B, 'Instrument Table'!$A:$A, "")</f>
        <v>61</v>
      </c>
      <c r="G4500" s="1" t="str">
        <f>TEXT(IF($B4500 = "Retail Item", IF((ROW($A4500) - 4504 - _xlfn.XMATCH($C4500, $C$4506:$C$5005, 0, 1)) &lt;= VLOOKUP($C4500, 'Instrument Table'!$B:$D, 3, FALSE), ROW($A4500) - 4504 - _xlfn.XMATCH($C4500, $C$4506:$C$5005, 0, 1), 0), 0), "00")</f>
        <v>00</v>
      </c>
      <c r="H4500" s="1" t="str">
        <f t="shared" si="421"/>
        <v>034</v>
      </c>
      <c r="I4500" s="1" t="str">
        <f t="shared" si="422"/>
        <v>26100-034</v>
      </c>
      <c r="J4500" s="1" t="str">
        <f t="shared" si="423"/>
        <v>Synthesizer service item #034</v>
      </c>
      <c r="K4500" s="1" t="str">
        <f>IF(SUM(COUNTIFS(I:I, I4500)) &gt; 1, "DUPLICATE", "UNIQUE")</f>
        <v>UNIQUE</v>
      </c>
      <c r="L4500" s="18">
        <v>1</v>
      </c>
      <c r="M4500" s="28">
        <v>46</v>
      </c>
      <c r="N4500" s="6">
        <v>1</v>
      </c>
      <c r="O4500" s="30">
        <f t="shared" si="424"/>
        <v>46</v>
      </c>
      <c r="P4500" s="30">
        <f t="shared" si="425"/>
        <v>46</v>
      </c>
      <c r="Q4500" s="1">
        <f>COUNTIFS($P:$P, "&gt;" &amp; $P4500) + 1</f>
        <v>4628</v>
      </c>
      <c r="R4500" s="63">
        <f>(COUNTIFS($P:$P, "&gt;" &amp; $P4500) + 1) / (COUNTA($I:$I) - 1)</f>
        <v>0.92559999999999998</v>
      </c>
      <c r="S4500" s="23">
        <f>SUMIFS($P:$P, $Q:$Q, "&lt;" &amp; $Q4500)</f>
        <v>186545113</v>
      </c>
    </row>
    <row r="4501" spans="1:19" x14ac:dyDescent="0.25">
      <c r="A4501" s="1">
        <v>4496</v>
      </c>
      <c r="B4501" s="1" t="s">
        <v>3</v>
      </c>
      <c r="C4501" s="1" t="str">
        <f>IF($B4501 = "Production Item", _xlfn.XLOOKUP($A4501, 'Instrument Table'!$J:$J, 'Instrument Table'!$B:$B, $C4500), IF($B4501 = "Service Item", _xlfn.XLOOKUP($A4501, 'Instrument Table'!$I:$I, 'Instrument Table'!$B:$B, $C4500), _xlfn.XLOOKUP($A4501, 'Instrument Table'!$H:$H, 'Instrument Table'!$B:$B, $C4500)))</f>
        <v>Synthesizer</v>
      </c>
      <c r="D4501" s="1" t="str">
        <f>VLOOKUP($C4501, 'Instrument Table'!$B:$C, 2, FALSE)</f>
        <v>Other</v>
      </c>
      <c r="E4501" s="1">
        <f t="shared" si="420"/>
        <v>2</v>
      </c>
      <c r="F4501" s="1">
        <f>_xlfn.XLOOKUP($C4501, 'Instrument Table'!$B:$B, 'Instrument Table'!$A:$A, "")</f>
        <v>61</v>
      </c>
      <c r="G4501" s="1" t="str">
        <f>TEXT(IF($B4501 = "Retail Item", IF((ROW($A4501) - 4504 - _xlfn.XMATCH($C4501, $C$4506:$C$5005, 0, 1)) &lt;= VLOOKUP($C4501, 'Instrument Table'!$B:$D, 3, FALSE), ROW($A4501) - 4504 - _xlfn.XMATCH($C4501, $C$4506:$C$5005, 0, 1), 0), 0), "00")</f>
        <v>00</v>
      </c>
      <c r="H4501" s="1" t="str">
        <f t="shared" si="421"/>
        <v>035</v>
      </c>
      <c r="I4501" s="1" t="str">
        <f t="shared" si="422"/>
        <v>26100-035</v>
      </c>
      <c r="J4501" s="1" t="str">
        <f t="shared" si="423"/>
        <v>Synthesizer service item #035</v>
      </c>
      <c r="K4501" s="1" t="str">
        <f>IF(SUM(COUNTIFS(I:I, I4501)) &gt; 1, "DUPLICATE", "UNIQUE")</f>
        <v>UNIQUE</v>
      </c>
      <c r="L4501" s="18">
        <v>7</v>
      </c>
      <c r="M4501" s="28">
        <v>899</v>
      </c>
      <c r="N4501" s="6">
        <v>1</v>
      </c>
      <c r="O4501" s="30">
        <f t="shared" si="424"/>
        <v>6293</v>
      </c>
      <c r="P4501" s="30">
        <f t="shared" si="425"/>
        <v>899</v>
      </c>
      <c r="Q4501" s="1">
        <f>COUNTIFS($P:$P, "&gt;" &amp; $P4501) + 1</f>
        <v>3726</v>
      </c>
      <c r="R4501" s="63">
        <f>(COUNTIFS($P:$P, "&gt;" &amp; $P4501) + 1) / (COUNTA($I:$I) - 1)</f>
        <v>0.74519999999999997</v>
      </c>
      <c r="S4501" s="23">
        <f>SUMIFS($P:$P, $Q:$Q, "&lt;" &amp; $Q4501)</f>
        <v>186202990</v>
      </c>
    </row>
    <row r="4502" spans="1:19" x14ac:dyDescent="0.25">
      <c r="A4502" s="1">
        <v>4497</v>
      </c>
      <c r="B4502" s="1" t="s">
        <v>3</v>
      </c>
      <c r="C4502" s="1" t="str">
        <f>IF($B4502 = "Production Item", _xlfn.XLOOKUP($A4502, 'Instrument Table'!$J:$J, 'Instrument Table'!$B:$B, $C4501), IF($B4502 = "Service Item", _xlfn.XLOOKUP($A4502, 'Instrument Table'!$I:$I, 'Instrument Table'!$B:$B, $C4501), _xlfn.XLOOKUP($A4502, 'Instrument Table'!$H:$H, 'Instrument Table'!$B:$B, $C4501)))</f>
        <v>Synthesizer</v>
      </c>
      <c r="D4502" s="1" t="str">
        <f>VLOOKUP($C4502, 'Instrument Table'!$B:$C, 2, FALSE)</f>
        <v>Other</v>
      </c>
      <c r="E4502" s="1">
        <f t="shared" si="420"/>
        <v>2</v>
      </c>
      <c r="F4502" s="1">
        <f>_xlfn.XLOOKUP($C4502, 'Instrument Table'!$B:$B, 'Instrument Table'!$A:$A, "")</f>
        <v>61</v>
      </c>
      <c r="G4502" s="1" t="str">
        <f>TEXT(IF($B4502 = "Retail Item", IF((ROW($A4502) - 4504 - _xlfn.XMATCH($C4502, $C$4506:$C$5005, 0, 1)) &lt;= VLOOKUP($C4502, 'Instrument Table'!$B:$D, 3, FALSE), ROW($A4502) - 4504 - _xlfn.XMATCH($C4502, $C$4506:$C$5005, 0, 1), 0), 0), "00")</f>
        <v>00</v>
      </c>
      <c r="H4502" s="1" t="str">
        <f t="shared" si="421"/>
        <v>036</v>
      </c>
      <c r="I4502" s="1" t="str">
        <f t="shared" si="422"/>
        <v>26100-036</v>
      </c>
      <c r="J4502" s="1" t="str">
        <f t="shared" si="423"/>
        <v>Synthesizer service item #036</v>
      </c>
      <c r="K4502" s="1" t="str">
        <f>IF(SUM(COUNTIFS(I:I, I4502)) &gt; 1, "DUPLICATE", "UNIQUE")</f>
        <v>UNIQUE</v>
      </c>
      <c r="L4502" s="18">
        <v>6</v>
      </c>
      <c r="M4502" s="28">
        <v>349</v>
      </c>
      <c r="N4502" s="6">
        <v>125</v>
      </c>
      <c r="O4502" s="30">
        <f t="shared" si="424"/>
        <v>2094</v>
      </c>
      <c r="P4502" s="30">
        <f t="shared" si="425"/>
        <v>43625</v>
      </c>
      <c r="Q4502" s="1">
        <f>COUNTIFS($P:$P, "&gt;" &amp; $P4502) + 1</f>
        <v>539</v>
      </c>
      <c r="R4502" s="63">
        <f>(COUNTIFS($P:$P, "&gt;" &amp; $P4502) + 1) / (COUNTA($I:$I) - 1)</f>
        <v>0.10780000000000001</v>
      </c>
      <c r="S4502" s="23">
        <f>SUMIFS($P:$P, $Q:$Q, "&lt;" &amp; $Q4502)</f>
        <v>153514814</v>
      </c>
    </row>
    <row r="4503" spans="1:19" x14ac:dyDescent="0.25">
      <c r="A4503" s="1">
        <v>4498</v>
      </c>
      <c r="B4503" s="1" t="s">
        <v>3</v>
      </c>
      <c r="C4503" s="1" t="str">
        <f>IF($B4503 = "Production Item", _xlfn.XLOOKUP($A4503, 'Instrument Table'!$J:$J, 'Instrument Table'!$B:$B, $C4502), IF($B4503 = "Service Item", _xlfn.XLOOKUP($A4503, 'Instrument Table'!$I:$I, 'Instrument Table'!$B:$B, $C4502), _xlfn.XLOOKUP($A4503, 'Instrument Table'!$H:$H, 'Instrument Table'!$B:$B, $C4502)))</f>
        <v>Synthesizer</v>
      </c>
      <c r="D4503" s="1" t="str">
        <f>VLOOKUP($C4503, 'Instrument Table'!$B:$C, 2, FALSE)</f>
        <v>Other</v>
      </c>
      <c r="E4503" s="1">
        <f t="shared" si="420"/>
        <v>2</v>
      </c>
      <c r="F4503" s="1">
        <f>_xlfn.XLOOKUP($C4503, 'Instrument Table'!$B:$B, 'Instrument Table'!$A:$A, "")</f>
        <v>61</v>
      </c>
      <c r="G4503" s="1" t="str">
        <f>TEXT(IF($B4503 = "Retail Item", IF((ROW($A4503) - 4504 - _xlfn.XMATCH($C4503, $C$4506:$C$5005, 0, 1)) &lt;= VLOOKUP($C4503, 'Instrument Table'!$B:$D, 3, FALSE), ROW($A4503) - 4504 - _xlfn.XMATCH($C4503, $C$4506:$C$5005, 0, 1), 0), 0), "00")</f>
        <v>00</v>
      </c>
      <c r="H4503" s="1" t="str">
        <f t="shared" si="421"/>
        <v>037</v>
      </c>
      <c r="I4503" s="1" t="str">
        <f t="shared" si="422"/>
        <v>26100-037</v>
      </c>
      <c r="J4503" s="1" t="str">
        <f t="shared" si="423"/>
        <v>Synthesizer service item #037</v>
      </c>
      <c r="K4503" s="1" t="str">
        <f>IF(SUM(COUNTIFS(I:I, I4503)) &gt; 1, "DUPLICATE", "UNIQUE")</f>
        <v>UNIQUE</v>
      </c>
      <c r="L4503" s="18">
        <v>5</v>
      </c>
      <c r="M4503" s="28">
        <v>193</v>
      </c>
      <c r="N4503" s="6">
        <v>8</v>
      </c>
      <c r="O4503" s="30">
        <f t="shared" si="424"/>
        <v>965</v>
      </c>
      <c r="P4503" s="30">
        <f t="shared" si="425"/>
        <v>1544</v>
      </c>
      <c r="Q4503" s="1">
        <f>COUNTIFS($P:$P, "&gt;" &amp; $P4503) + 1</f>
        <v>3442</v>
      </c>
      <c r="R4503" s="63">
        <f>(COUNTIFS($P:$P, "&gt;" &amp; $P4503) + 1) / (COUNTA($I:$I) - 1)</f>
        <v>0.68840000000000001</v>
      </c>
      <c r="S4503" s="23">
        <f>SUMIFS($P:$P, $Q:$Q, "&lt;" &amp; $Q4503)</f>
        <v>185851523</v>
      </c>
    </row>
    <row r="4504" spans="1:19" x14ac:dyDescent="0.25">
      <c r="A4504" s="1">
        <v>4499</v>
      </c>
      <c r="B4504" s="1" t="s">
        <v>3</v>
      </c>
      <c r="C4504" s="1" t="str">
        <f>IF($B4504 = "Production Item", _xlfn.XLOOKUP($A4504, 'Instrument Table'!$J:$J, 'Instrument Table'!$B:$B, $C4503), IF($B4504 = "Service Item", _xlfn.XLOOKUP($A4504, 'Instrument Table'!$I:$I, 'Instrument Table'!$B:$B, $C4503), _xlfn.XLOOKUP($A4504, 'Instrument Table'!$H:$H, 'Instrument Table'!$B:$B, $C4503)))</f>
        <v>Synthesizer</v>
      </c>
      <c r="D4504" s="1" t="str">
        <f>VLOOKUP($C4504, 'Instrument Table'!$B:$C, 2, FALSE)</f>
        <v>Other</v>
      </c>
      <c r="E4504" s="1">
        <f t="shared" si="420"/>
        <v>2</v>
      </c>
      <c r="F4504" s="1">
        <f>_xlfn.XLOOKUP($C4504, 'Instrument Table'!$B:$B, 'Instrument Table'!$A:$A, "")</f>
        <v>61</v>
      </c>
      <c r="G4504" s="1" t="str">
        <f>TEXT(IF($B4504 = "Retail Item", IF((ROW($A4504) - 4504 - _xlfn.XMATCH($C4504, $C$4506:$C$5005, 0, 1)) &lt;= VLOOKUP($C4504, 'Instrument Table'!$B:$D, 3, FALSE), ROW($A4504) - 4504 - _xlfn.XMATCH($C4504, $C$4506:$C$5005, 0, 1), 0), 0), "00")</f>
        <v>00</v>
      </c>
      <c r="H4504" s="1" t="str">
        <f t="shared" si="421"/>
        <v>038</v>
      </c>
      <c r="I4504" s="1" t="str">
        <f t="shared" si="422"/>
        <v>26100-038</v>
      </c>
      <c r="J4504" s="1" t="str">
        <f t="shared" si="423"/>
        <v>Synthesizer service item #038</v>
      </c>
      <c r="K4504" s="1" t="str">
        <f>IF(SUM(COUNTIFS(I:I, I4504)) &gt; 1, "DUPLICATE", "UNIQUE")</f>
        <v>UNIQUE</v>
      </c>
      <c r="L4504" s="18">
        <v>3</v>
      </c>
      <c r="M4504" s="28">
        <v>553</v>
      </c>
      <c r="N4504" s="6">
        <v>125</v>
      </c>
      <c r="O4504" s="30">
        <f t="shared" si="424"/>
        <v>1659</v>
      </c>
      <c r="P4504" s="30">
        <f t="shared" si="425"/>
        <v>69125</v>
      </c>
      <c r="Q4504" s="1">
        <f>COUNTIFS($P:$P, "&gt;" &amp; $P4504) + 1</f>
        <v>471</v>
      </c>
      <c r="R4504" s="63">
        <f>(COUNTIFS($P:$P, "&gt;" &amp; $P4504) + 1) / (COUNTA($I:$I) - 1)</f>
        <v>9.4200000000000006E-2</v>
      </c>
      <c r="S4504" s="23">
        <f>SUMIFS($P:$P, $Q:$Q, "&lt;" &amp; $Q4504)</f>
        <v>149576598</v>
      </c>
    </row>
    <row r="4505" spans="1:19" x14ac:dyDescent="0.25">
      <c r="A4505" s="1">
        <v>4500</v>
      </c>
      <c r="B4505" s="1" t="s">
        <v>3</v>
      </c>
      <c r="C4505" s="1" t="str">
        <f>IF($B4505 = "Production Item", _xlfn.XLOOKUP($A4505, 'Instrument Table'!$J:$J, 'Instrument Table'!$B:$B, $C4504), IF($B4505 = "Service Item", _xlfn.XLOOKUP($A4505, 'Instrument Table'!$I:$I, 'Instrument Table'!$B:$B, $C4504), _xlfn.XLOOKUP($A4505, 'Instrument Table'!$H:$H, 'Instrument Table'!$B:$B, $C4504)))</f>
        <v>Synthesizer</v>
      </c>
      <c r="D4505" s="1" t="str">
        <f>VLOOKUP($C4505, 'Instrument Table'!$B:$C, 2, FALSE)</f>
        <v>Other</v>
      </c>
      <c r="E4505" s="1">
        <f t="shared" si="420"/>
        <v>2</v>
      </c>
      <c r="F4505" s="1">
        <f>_xlfn.XLOOKUP($C4505, 'Instrument Table'!$B:$B, 'Instrument Table'!$A:$A, "")</f>
        <v>61</v>
      </c>
      <c r="G4505" s="1" t="str">
        <f>TEXT(IF($B4505 = "Retail Item", IF((ROW($A4505) - 4504 - _xlfn.XMATCH($C4505, $C$4506:$C$5005, 0, 1)) &lt;= VLOOKUP($C4505, 'Instrument Table'!$B:$D, 3, FALSE), ROW($A4505) - 4504 - _xlfn.XMATCH($C4505, $C$4506:$C$5005, 0, 1), 0), 0), "00")</f>
        <v>00</v>
      </c>
      <c r="H4505" s="1" t="str">
        <f t="shared" si="421"/>
        <v>039</v>
      </c>
      <c r="I4505" s="1" t="str">
        <f t="shared" si="422"/>
        <v>26100-039</v>
      </c>
      <c r="J4505" s="1" t="str">
        <f t="shared" si="423"/>
        <v>Synthesizer service item #039</v>
      </c>
      <c r="K4505" s="1" t="str">
        <f>IF(SUM(COUNTIFS(I:I, I4505)) &gt; 1, "DUPLICATE", "UNIQUE")</f>
        <v>UNIQUE</v>
      </c>
      <c r="L4505" s="18">
        <v>3</v>
      </c>
      <c r="M4505" s="28">
        <v>400</v>
      </c>
      <c r="N4505" s="6">
        <v>64</v>
      </c>
      <c r="O4505" s="30">
        <f t="shared" si="424"/>
        <v>1200</v>
      </c>
      <c r="P4505" s="30">
        <f t="shared" si="425"/>
        <v>25600</v>
      </c>
      <c r="Q4505" s="1">
        <f>COUNTIFS($P:$P, "&gt;" &amp; $P4505) + 1</f>
        <v>807</v>
      </c>
      <c r="R4505" s="63">
        <f>(COUNTIFS($P:$P, "&gt;" &amp; $P4505) + 1) / (COUNTA($I:$I) - 1)</f>
        <v>0.16139999999999999</v>
      </c>
      <c r="S4505" s="23">
        <f>SUMIFS($P:$P, $Q:$Q, "&lt;" &amp; $Q4505)</f>
        <v>162007541</v>
      </c>
    </row>
    <row r="4506" spans="1:19" x14ac:dyDescent="0.25">
      <c r="A4506" s="1">
        <v>4501</v>
      </c>
      <c r="B4506" s="1" t="s">
        <v>4</v>
      </c>
      <c r="C4506" s="1" t="str">
        <f>IF($B4506 = "Production Item", _xlfn.XLOOKUP($A4506, 'Instrument Table'!$J:$J, 'Instrument Table'!$B:$B, $C4505), IF($B4506 = "Service Item", _xlfn.XLOOKUP($A4506, 'Instrument Table'!$I:$I, 'Instrument Table'!$B:$B, $C4505), _xlfn.XLOOKUP($A4506, 'Instrument Table'!$H:$H, 'Instrument Table'!$B:$B, $C4505)))</f>
        <v>Grand Piano</v>
      </c>
      <c r="D4506" s="1" t="str">
        <f>VLOOKUP($C4506, 'Instrument Table'!$B:$C, 2, FALSE)</f>
        <v>Pianos</v>
      </c>
      <c r="E4506" s="1">
        <f t="shared" si="420"/>
        <v>3</v>
      </c>
      <c r="F4506" s="1">
        <f>_xlfn.XLOOKUP($C4506, 'Instrument Table'!$B:$B, 'Instrument Table'!$A:$A, "")</f>
        <v>10</v>
      </c>
      <c r="G4506" s="1" t="str">
        <f>TEXT(IF($B4506 = "Retail Item", IF((ROW($A4506) - 4504 - _xlfn.XMATCH($C4506, $C$4506:$C$5005, 0, 1)) &lt;= VLOOKUP($C4506, 'Instrument Table'!$B:$D, 3, FALSE), ROW($A4506) - 4504 - _xlfn.XMATCH($C4506, $C$4506:$C$5005, 0, 1), 0), 0), "00")</f>
        <v>01</v>
      </c>
      <c r="H4506" s="1" t="str">
        <f t="shared" si="421"/>
        <v>000</v>
      </c>
      <c r="I4506" s="1" t="str">
        <f t="shared" si="422"/>
        <v>31001-000</v>
      </c>
      <c r="J4506" s="1" t="str">
        <f t="shared" si="423"/>
        <v>Grand piano model #01</v>
      </c>
      <c r="K4506" s="1" t="str">
        <f>IF(SUM(COUNTIFS(I:I, I4506)) &gt; 1, "DUPLICATE", "UNIQUE")</f>
        <v>UNIQUE</v>
      </c>
      <c r="L4506" s="18">
        <v>41</v>
      </c>
      <c r="M4506" s="28">
        <v>2895</v>
      </c>
      <c r="N4506" s="6">
        <v>86</v>
      </c>
      <c r="O4506" s="30">
        <f t="shared" si="424"/>
        <v>118695</v>
      </c>
      <c r="P4506" s="30">
        <f t="shared" si="425"/>
        <v>248970</v>
      </c>
      <c r="Q4506" s="1">
        <f>COUNTIFS($P:$P, "&gt;" &amp; $P4506) + 1</f>
        <v>247</v>
      </c>
      <c r="R4506" s="63">
        <f>(COUNTIFS($P:$P, "&gt;" &amp; $P4506) + 1) / (COUNTA($I:$I) - 1)</f>
        <v>4.9399999999999999E-2</v>
      </c>
      <c r="S4506" s="23">
        <f>SUMIFS($P:$P, $Q:$Q, "&lt;" &amp; $Q4506)</f>
        <v>117937795</v>
      </c>
    </row>
    <row r="4507" spans="1:19" x14ac:dyDescent="0.25">
      <c r="A4507" s="1">
        <v>4502</v>
      </c>
      <c r="B4507" s="1" t="s">
        <v>4</v>
      </c>
      <c r="C4507" s="1" t="str">
        <f>IF($B4507 = "Production Item", _xlfn.XLOOKUP($A4507, 'Instrument Table'!$J:$J, 'Instrument Table'!$B:$B, $C4506), IF($B4507 = "Service Item", _xlfn.XLOOKUP($A4507, 'Instrument Table'!$I:$I, 'Instrument Table'!$B:$B, $C4506), _xlfn.XLOOKUP($A4507, 'Instrument Table'!$H:$H, 'Instrument Table'!$B:$B, $C4506)))</f>
        <v>Grand Piano</v>
      </c>
      <c r="D4507" s="1" t="str">
        <f>VLOOKUP($C4507, 'Instrument Table'!$B:$C, 2, FALSE)</f>
        <v>Pianos</v>
      </c>
      <c r="E4507" s="1">
        <f t="shared" si="420"/>
        <v>3</v>
      </c>
      <c r="F4507" s="1">
        <f>_xlfn.XLOOKUP($C4507, 'Instrument Table'!$B:$B, 'Instrument Table'!$A:$A, "")</f>
        <v>10</v>
      </c>
      <c r="G4507" s="1" t="str">
        <f>TEXT(IF($B4507 = "Retail Item", IF((ROW($A4507) - 4504 - _xlfn.XMATCH($C4507, $C$4506:$C$5005, 0, 1)) &lt;= VLOOKUP($C4507, 'Instrument Table'!$B:$D, 3, FALSE), ROW($A4507) - 4504 - _xlfn.XMATCH($C4507, $C$4506:$C$5005, 0, 1), 0), 0), "00")</f>
        <v>02</v>
      </c>
      <c r="H4507" s="1" t="str">
        <f t="shared" si="421"/>
        <v>000</v>
      </c>
      <c r="I4507" s="1" t="str">
        <f t="shared" si="422"/>
        <v>31002-000</v>
      </c>
      <c r="J4507" s="1" t="str">
        <f t="shared" si="423"/>
        <v>Grand piano model #02</v>
      </c>
      <c r="K4507" s="1" t="str">
        <f>IF(SUM(COUNTIFS(I:I, I4507)) &gt; 1, "DUPLICATE", "UNIQUE")</f>
        <v>UNIQUE</v>
      </c>
      <c r="L4507" s="18">
        <v>32</v>
      </c>
      <c r="M4507" s="28">
        <v>2804</v>
      </c>
      <c r="N4507" s="6">
        <v>15</v>
      </c>
      <c r="O4507" s="30">
        <f t="shared" si="424"/>
        <v>89728</v>
      </c>
      <c r="P4507" s="30">
        <f t="shared" si="425"/>
        <v>42060</v>
      </c>
      <c r="Q4507" s="1">
        <f>COUNTIFS($P:$P, "&gt;" &amp; $P4507) + 1</f>
        <v>544</v>
      </c>
      <c r="R4507" s="63">
        <f>(COUNTIFS($P:$P, "&gt;" &amp; $P4507) + 1) / (COUNTA($I:$I) - 1)</f>
        <v>0.10879999999999999</v>
      </c>
      <c r="S4507" s="23">
        <f>SUMIFS($P:$P, $Q:$Q, "&lt;" &amp; $Q4507)</f>
        <v>153729655</v>
      </c>
    </row>
    <row r="4508" spans="1:19" x14ac:dyDescent="0.25">
      <c r="A4508" s="1">
        <v>4503</v>
      </c>
      <c r="B4508" s="1" t="s">
        <v>4</v>
      </c>
      <c r="C4508" s="1" t="str">
        <f>IF($B4508 = "Production Item", _xlfn.XLOOKUP($A4508, 'Instrument Table'!$J:$J, 'Instrument Table'!$B:$B, $C4507), IF($B4508 = "Service Item", _xlfn.XLOOKUP($A4508, 'Instrument Table'!$I:$I, 'Instrument Table'!$B:$B, $C4507), _xlfn.XLOOKUP($A4508, 'Instrument Table'!$H:$H, 'Instrument Table'!$B:$B, $C4507)))</f>
        <v>Grand Piano</v>
      </c>
      <c r="D4508" s="1" t="str">
        <f>VLOOKUP($C4508, 'Instrument Table'!$B:$C, 2, FALSE)</f>
        <v>Pianos</v>
      </c>
      <c r="E4508" s="1">
        <f t="shared" si="420"/>
        <v>3</v>
      </c>
      <c r="F4508" s="1">
        <f>_xlfn.XLOOKUP($C4508, 'Instrument Table'!$B:$B, 'Instrument Table'!$A:$A, "")</f>
        <v>10</v>
      </c>
      <c r="G4508" s="1" t="str">
        <f>TEXT(IF($B4508 = "Retail Item", IF((ROW($A4508) - 4504 - _xlfn.XMATCH($C4508, $C$4506:$C$5005, 0, 1)) &lt;= VLOOKUP($C4508, 'Instrument Table'!$B:$D, 3, FALSE), ROW($A4508) - 4504 - _xlfn.XMATCH($C4508, $C$4506:$C$5005, 0, 1), 0), 0), "00")</f>
        <v>03</v>
      </c>
      <c r="H4508" s="1" t="str">
        <f t="shared" si="421"/>
        <v>000</v>
      </c>
      <c r="I4508" s="1" t="str">
        <f t="shared" si="422"/>
        <v>31003-000</v>
      </c>
      <c r="J4508" s="1" t="str">
        <f t="shared" si="423"/>
        <v>Grand piano model #03</v>
      </c>
      <c r="K4508" s="1" t="str">
        <f>IF(SUM(COUNTIFS(I:I, I4508)) &gt; 1, "DUPLICATE", "UNIQUE")</f>
        <v>UNIQUE</v>
      </c>
      <c r="L4508" s="18">
        <v>32</v>
      </c>
      <c r="M4508" s="28">
        <v>4228</v>
      </c>
      <c r="N4508" s="6">
        <v>49</v>
      </c>
      <c r="O4508" s="30">
        <f t="shared" si="424"/>
        <v>135296</v>
      </c>
      <c r="P4508" s="30">
        <f t="shared" si="425"/>
        <v>207172</v>
      </c>
      <c r="Q4508" s="1">
        <f>COUNTIFS($P:$P, "&gt;" &amp; $P4508) + 1</f>
        <v>282</v>
      </c>
      <c r="R4508" s="63">
        <f>(COUNTIFS($P:$P, "&gt;" &amp; $P4508) + 1) / (COUNTA($I:$I) - 1)</f>
        <v>5.6399999999999999E-2</v>
      </c>
      <c r="S4508" s="23">
        <f>SUMIFS($P:$P, $Q:$Q, "&lt;" &amp; $Q4508)</f>
        <v>125985286</v>
      </c>
    </row>
    <row r="4509" spans="1:19" x14ac:dyDescent="0.25">
      <c r="A4509" s="1">
        <v>4504</v>
      </c>
      <c r="B4509" s="1" t="s">
        <v>4</v>
      </c>
      <c r="C4509" s="1" t="str">
        <f>IF($B4509 = "Production Item", _xlfn.XLOOKUP($A4509, 'Instrument Table'!$J:$J, 'Instrument Table'!$B:$B, $C4508), IF($B4509 = "Service Item", _xlfn.XLOOKUP($A4509, 'Instrument Table'!$I:$I, 'Instrument Table'!$B:$B, $C4508), _xlfn.XLOOKUP($A4509, 'Instrument Table'!$H:$H, 'Instrument Table'!$B:$B, $C4508)))</f>
        <v>Grand Piano</v>
      </c>
      <c r="D4509" s="1" t="str">
        <f>VLOOKUP($C4509, 'Instrument Table'!$B:$C, 2, FALSE)</f>
        <v>Pianos</v>
      </c>
      <c r="E4509" s="1">
        <f t="shared" si="420"/>
        <v>3</v>
      </c>
      <c r="F4509" s="1">
        <f>_xlfn.XLOOKUP($C4509, 'Instrument Table'!$B:$B, 'Instrument Table'!$A:$A, "")</f>
        <v>10</v>
      </c>
      <c r="G4509" s="1" t="str">
        <f>TEXT(IF($B4509 = "Retail Item", IF((ROW($A4509) - 4504 - _xlfn.XMATCH($C4509, $C$4506:$C$5005, 0, 1)) &lt;= VLOOKUP($C4509, 'Instrument Table'!$B:$D, 3, FALSE), ROW($A4509) - 4504 - _xlfn.XMATCH($C4509, $C$4506:$C$5005, 0, 1), 0), 0), "00")</f>
        <v>04</v>
      </c>
      <c r="H4509" s="1" t="str">
        <f t="shared" si="421"/>
        <v>000</v>
      </c>
      <c r="I4509" s="1" t="str">
        <f t="shared" si="422"/>
        <v>31004-000</v>
      </c>
      <c r="J4509" s="1" t="str">
        <f t="shared" si="423"/>
        <v>Grand piano model #04</v>
      </c>
      <c r="K4509" s="1" t="str">
        <f>IF(SUM(COUNTIFS(I:I, I4509)) &gt; 1, "DUPLICATE", "UNIQUE")</f>
        <v>UNIQUE</v>
      </c>
      <c r="L4509" s="18">
        <v>76</v>
      </c>
      <c r="M4509" s="28">
        <v>9805</v>
      </c>
      <c r="N4509" s="6">
        <v>80</v>
      </c>
      <c r="O4509" s="30">
        <f t="shared" si="424"/>
        <v>745180</v>
      </c>
      <c r="P4509" s="30">
        <f t="shared" si="425"/>
        <v>784400</v>
      </c>
      <c r="Q4509" s="1">
        <f>COUNTIFS($P:$P, "&gt;" &amp; $P4509) + 1</f>
        <v>20</v>
      </c>
      <c r="R4509" s="63">
        <f>(COUNTIFS($P:$P, "&gt;" &amp; $P4509) + 1) / (COUNTA($I:$I) - 1)</f>
        <v>4.0000000000000001E-3</v>
      </c>
      <c r="S4509" s="23">
        <f>SUMIFS($P:$P, $Q:$Q, "&lt;" &amp; $Q4509)</f>
        <v>16520379</v>
      </c>
    </row>
    <row r="4510" spans="1:19" x14ac:dyDescent="0.25">
      <c r="A4510" s="1">
        <v>4505</v>
      </c>
      <c r="B4510" s="1" t="s">
        <v>4</v>
      </c>
      <c r="C4510" s="1" t="str">
        <f>IF($B4510 = "Production Item", _xlfn.XLOOKUP($A4510, 'Instrument Table'!$J:$J, 'Instrument Table'!$B:$B, $C4509), IF($B4510 = "Service Item", _xlfn.XLOOKUP($A4510, 'Instrument Table'!$I:$I, 'Instrument Table'!$B:$B, $C4509), _xlfn.XLOOKUP($A4510, 'Instrument Table'!$H:$H, 'Instrument Table'!$B:$B, $C4509)))</f>
        <v>Grand Piano</v>
      </c>
      <c r="D4510" s="1" t="str">
        <f>VLOOKUP($C4510, 'Instrument Table'!$B:$C, 2, FALSE)</f>
        <v>Pianos</v>
      </c>
      <c r="E4510" s="1">
        <f t="shared" si="420"/>
        <v>3</v>
      </c>
      <c r="F4510" s="1">
        <f>_xlfn.XLOOKUP($C4510, 'Instrument Table'!$B:$B, 'Instrument Table'!$A:$A, "")</f>
        <v>10</v>
      </c>
      <c r="G4510" s="1" t="str">
        <f>TEXT(IF($B4510 = "Retail Item", IF((ROW($A4510) - 4504 - _xlfn.XMATCH($C4510, $C$4506:$C$5005, 0, 1)) &lt;= VLOOKUP($C4510, 'Instrument Table'!$B:$D, 3, FALSE), ROW($A4510) - 4504 - _xlfn.XMATCH($C4510, $C$4506:$C$5005, 0, 1), 0), 0), "00")</f>
        <v>05</v>
      </c>
      <c r="H4510" s="1" t="str">
        <f t="shared" si="421"/>
        <v>000</v>
      </c>
      <c r="I4510" s="1" t="str">
        <f t="shared" si="422"/>
        <v>31005-000</v>
      </c>
      <c r="J4510" s="1" t="str">
        <f t="shared" si="423"/>
        <v>Grand piano model #05</v>
      </c>
      <c r="K4510" s="1" t="str">
        <f>IF(SUM(COUNTIFS(I:I, I4510)) &gt; 1, "DUPLICATE", "UNIQUE")</f>
        <v>UNIQUE</v>
      </c>
      <c r="L4510" s="18">
        <v>45</v>
      </c>
      <c r="M4510" s="28">
        <v>2134</v>
      </c>
      <c r="N4510" s="6">
        <v>64</v>
      </c>
      <c r="O4510" s="30">
        <f t="shared" si="424"/>
        <v>96030</v>
      </c>
      <c r="P4510" s="30">
        <f t="shared" si="425"/>
        <v>136576</v>
      </c>
      <c r="Q4510" s="1">
        <f>COUNTIFS($P:$P, "&gt;" &amp; $P4510) + 1</f>
        <v>347</v>
      </c>
      <c r="R4510" s="63">
        <f>(COUNTIFS($P:$P, "&gt;" &amp; $P4510) + 1) / (COUNTA($I:$I) - 1)</f>
        <v>6.9400000000000003E-2</v>
      </c>
      <c r="S4510" s="23">
        <f>SUMIFS($P:$P, $Q:$Q, "&lt;" &amp; $Q4510)</f>
        <v>137054824</v>
      </c>
    </row>
    <row r="4511" spans="1:19" x14ac:dyDescent="0.25">
      <c r="A4511" s="1">
        <v>4506</v>
      </c>
      <c r="B4511" s="1" t="s">
        <v>4</v>
      </c>
      <c r="C4511" s="1" t="str">
        <f>IF($B4511 = "Production Item", _xlfn.XLOOKUP($A4511, 'Instrument Table'!$J:$J, 'Instrument Table'!$B:$B, $C4510), IF($B4511 = "Service Item", _xlfn.XLOOKUP($A4511, 'Instrument Table'!$I:$I, 'Instrument Table'!$B:$B, $C4510), _xlfn.XLOOKUP($A4511, 'Instrument Table'!$H:$H, 'Instrument Table'!$B:$B, $C4510)))</f>
        <v>Grand Piano</v>
      </c>
      <c r="D4511" s="1" t="str">
        <f>VLOOKUP($C4511, 'Instrument Table'!$B:$C, 2, FALSE)</f>
        <v>Pianos</v>
      </c>
      <c r="E4511" s="1">
        <f t="shared" si="420"/>
        <v>3</v>
      </c>
      <c r="F4511" s="1">
        <f>_xlfn.XLOOKUP($C4511, 'Instrument Table'!$B:$B, 'Instrument Table'!$A:$A, "")</f>
        <v>10</v>
      </c>
      <c r="G4511" s="1" t="str">
        <f>TEXT(IF($B4511 = "Retail Item", IF((ROW($A4511) - 4504 - _xlfn.XMATCH($C4511, $C$4506:$C$5005, 0, 1)) &lt;= VLOOKUP($C4511, 'Instrument Table'!$B:$D, 3, FALSE), ROW($A4511) - 4504 - _xlfn.XMATCH($C4511, $C$4506:$C$5005, 0, 1), 0), 0), "00")</f>
        <v>00</v>
      </c>
      <c r="H4511" s="1" t="str">
        <f t="shared" si="421"/>
        <v>000</v>
      </c>
      <c r="I4511" s="1" t="str">
        <f t="shared" si="422"/>
        <v>31000-000</v>
      </c>
      <c r="J4511" s="1" t="str">
        <f t="shared" si="423"/>
        <v>Grand piano retail item #000</v>
      </c>
      <c r="K4511" s="1" t="str">
        <f>IF(SUM(COUNTIFS(I:I, I4511)) &gt; 1, "DUPLICATE", "UNIQUE")</f>
        <v>UNIQUE</v>
      </c>
      <c r="L4511" s="18">
        <v>17</v>
      </c>
      <c r="M4511" s="28">
        <v>8030</v>
      </c>
      <c r="N4511" s="6">
        <v>63</v>
      </c>
      <c r="O4511" s="30">
        <f t="shared" si="424"/>
        <v>136510</v>
      </c>
      <c r="P4511" s="30">
        <f t="shared" si="425"/>
        <v>505890</v>
      </c>
      <c r="Q4511" s="1">
        <f>COUNTIFS($P:$P, "&gt;" &amp; $P4511) + 1</f>
        <v>95</v>
      </c>
      <c r="R4511" s="63">
        <f>(COUNTIFS($P:$P, "&gt;" &amp; $P4511) + 1) / (COUNTA($I:$I) - 1)</f>
        <v>1.9E-2</v>
      </c>
      <c r="S4511" s="23">
        <f>SUMIFS($P:$P, $Q:$Q, "&lt;" &amp; $Q4511)</f>
        <v>63639644</v>
      </c>
    </row>
    <row r="4512" spans="1:19" x14ac:dyDescent="0.25">
      <c r="A4512" s="1">
        <v>4507</v>
      </c>
      <c r="B4512" s="1" t="s">
        <v>4</v>
      </c>
      <c r="C4512" s="1" t="str">
        <f>IF($B4512 = "Production Item", _xlfn.XLOOKUP($A4512, 'Instrument Table'!$J:$J, 'Instrument Table'!$B:$B, $C4511), IF($B4512 = "Service Item", _xlfn.XLOOKUP($A4512, 'Instrument Table'!$I:$I, 'Instrument Table'!$B:$B, $C4511), _xlfn.XLOOKUP($A4512, 'Instrument Table'!$H:$H, 'Instrument Table'!$B:$B, $C4511)))</f>
        <v>Grand Piano</v>
      </c>
      <c r="D4512" s="1" t="str">
        <f>VLOOKUP($C4512, 'Instrument Table'!$B:$C, 2, FALSE)</f>
        <v>Pianos</v>
      </c>
      <c r="E4512" s="1">
        <f t="shared" si="420"/>
        <v>3</v>
      </c>
      <c r="F4512" s="1">
        <f>_xlfn.XLOOKUP($C4512, 'Instrument Table'!$B:$B, 'Instrument Table'!$A:$A, "")</f>
        <v>10</v>
      </c>
      <c r="G4512" s="1" t="str">
        <f>TEXT(IF($B4512 = "Retail Item", IF((ROW($A4512) - 4504 - _xlfn.XMATCH($C4512, $C$4506:$C$5005, 0, 1)) &lt;= VLOOKUP($C4512, 'Instrument Table'!$B:$D, 3, FALSE), ROW($A4512) - 4504 - _xlfn.XMATCH($C4512, $C$4506:$C$5005, 0, 1), 0), 0), "00")</f>
        <v>00</v>
      </c>
      <c r="H4512" s="1" t="str">
        <f t="shared" si="421"/>
        <v>001</v>
      </c>
      <c r="I4512" s="1" t="str">
        <f t="shared" si="422"/>
        <v>31000-001</v>
      </c>
      <c r="J4512" s="1" t="str">
        <f t="shared" si="423"/>
        <v>Grand piano retail item #001</v>
      </c>
      <c r="K4512" s="1" t="str">
        <f>IF(SUM(COUNTIFS(I:I, I4512)) &gt; 1, "DUPLICATE", "UNIQUE")</f>
        <v>UNIQUE</v>
      </c>
      <c r="L4512" s="18">
        <v>26</v>
      </c>
      <c r="M4512" s="28">
        <v>5614</v>
      </c>
      <c r="N4512" s="6">
        <v>62</v>
      </c>
      <c r="O4512" s="30">
        <f t="shared" si="424"/>
        <v>145964</v>
      </c>
      <c r="P4512" s="30">
        <f t="shared" si="425"/>
        <v>348068</v>
      </c>
      <c r="Q4512" s="1">
        <f>COUNTIFS($P:$P, "&gt;" &amp; $P4512) + 1</f>
        <v>168</v>
      </c>
      <c r="R4512" s="63">
        <f>(COUNTIFS($P:$P, "&gt;" &amp; $P4512) + 1) / (COUNTA($I:$I) - 1)</f>
        <v>3.3599999999999998E-2</v>
      </c>
      <c r="S4512" s="23">
        <f>SUMIFS($P:$P, $Q:$Q, "&lt;" &amp; $Q4512)</f>
        <v>94553417</v>
      </c>
    </row>
    <row r="4513" spans="1:19" x14ac:dyDescent="0.25">
      <c r="A4513" s="1">
        <v>4508</v>
      </c>
      <c r="B4513" s="1" t="s">
        <v>4</v>
      </c>
      <c r="C4513" s="1" t="str">
        <f>IF($B4513 = "Production Item", _xlfn.XLOOKUP($A4513, 'Instrument Table'!$J:$J, 'Instrument Table'!$B:$B, $C4512), IF($B4513 = "Service Item", _xlfn.XLOOKUP($A4513, 'Instrument Table'!$I:$I, 'Instrument Table'!$B:$B, $C4512), _xlfn.XLOOKUP($A4513, 'Instrument Table'!$H:$H, 'Instrument Table'!$B:$B, $C4512)))</f>
        <v>Grand Piano</v>
      </c>
      <c r="D4513" s="1" t="str">
        <f>VLOOKUP($C4513, 'Instrument Table'!$B:$C, 2, FALSE)</f>
        <v>Pianos</v>
      </c>
      <c r="E4513" s="1">
        <f t="shared" si="420"/>
        <v>3</v>
      </c>
      <c r="F4513" s="1">
        <f>_xlfn.XLOOKUP($C4513, 'Instrument Table'!$B:$B, 'Instrument Table'!$A:$A, "")</f>
        <v>10</v>
      </c>
      <c r="G4513" s="1" t="str">
        <f>TEXT(IF($B4513 = "Retail Item", IF((ROW($A4513) - 4504 - _xlfn.XMATCH($C4513, $C$4506:$C$5005, 0, 1)) &lt;= VLOOKUP($C4513, 'Instrument Table'!$B:$D, 3, FALSE), ROW($A4513) - 4504 - _xlfn.XMATCH($C4513, $C$4506:$C$5005, 0, 1), 0), 0), "00")</f>
        <v>00</v>
      </c>
      <c r="H4513" s="1" t="str">
        <f t="shared" si="421"/>
        <v>002</v>
      </c>
      <c r="I4513" s="1" t="str">
        <f t="shared" si="422"/>
        <v>31000-002</v>
      </c>
      <c r="J4513" s="1" t="str">
        <f t="shared" si="423"/>
        <v>Grand piano retail item #002</v>
      </c>
      <c r="K4513" s="1" t="str">
        <f>IF(SUM(COUNTIFS(I:I, I4513)) &gt; 1, "DUPLICATE", "UNIQUE")</f>
        <v>UNIQUE</v>
      </c>
      <c r="L4513" s="18">
        <v>12</v>
      </c>
      <c r="M4513" s="28">
        <v>6067</v>
      </c>
      <c r="N4513" s="6">
        <v>45</v>
      </c>
      <c r="O4513" s="30">
        <f t="shared" si="424"/>
        <v>72804</v>
      </c>
      <c r="P4513" s="30">
        <f t="shared" si="425"/>
        <v>273015</v>
      </c>
      <c r="Q4513" s="1">
        <f>COUNTIFS($P:$P, "&gt;" &amp; $P4513) + 1</f>
        <v>225</v>
      </c>
      <c r="R4513" s="63">
        <f>(COUNTIFS($P:$P, "&gt;" &amp; $P4513) + 1) / (COUNTA($I:$I) - 1)</f>
        <v>4.4999999999999998E-2</v>
      </c>
      <c r="S4513" s="23">
        <f>SUMIFS($P:$P, $Q:$Q, "&lt;" &amp; $Q4513)</f>
        <v>112186168</v>
      </c>
    </row>
    <row r="4514" spans="1:19" x14ac:dyDescent="0.25">
      <c r="A4514" s="1">
        <v>4509</v>
      </c>
      <c r="B4514" s="1" t="s">
        <v>4</v>
      </c>
      <c r="C4514" s="1" t="str">
        <f>IF($B4514 = "Production Item", _xlfn.XLOOKUP($A4514, 'Instrument Table'!$J:$J, 'Instrument Table'!$B:$B, $C4513), IF($B4514 = "Service Item", _xlfn.XLOOKUP($A4514, 'Instrument Table'!$I:$I, 'Instrument Table'!$B:$B, $C4513), _xlfn.XLOOKUP($A4514, 'Instrument Table'!$H:$H, 'Instrument Table'!$B:$B, $C4513)))</f>
        <v>Grand Piano</v>
      </c>
      <c r="D4514" s="1" t="str">
        <f>VLOOKUP($C4514, 'Instrument Table'!$B:$C, 2, FALSE)</f>
        <v>Pianos</v>
      </c>
      <c r="E4514" s="1">
        <f t="shared" si="420"/>
        <v>3</v>
      </c>
      <c r="F4514" s="1">
        <f>_xlfn.XLOOKUP($C4514, 'Instrument Table'!$B:$B, 'Instrument Table'!$A:$A, "")</f>
        <v>10</v>
      </c>
      <c r="G4514" s="1" t="str">
        <f>TEXT(IF($B4514 = "Retail Item", IF((ROW($A4514) - 4504 - _xlfn.XMATCH($C4514, $C$4506:$C$5005, 0, 1)) &lt;= VLOOKUP($C4514, 'Instrument Table'!$B:$D, 3, FALSE), ROW($A4514) - 4504 - _xlfn.XMATCH($C4514, $C$4506:$C$5005, 0, 1), 0), 0), "00")</f>
        <v>00</v>
      </c>
      <c r="H4514" s="1" t="str">
        <f t="shared" si="421"/>
        <v>003</v>
      </c>
      <c r="I4514" s="1" t="str">
        <f t="shared" si="422"/>
        <v>31000-003</v>
      </c>
      <c r="J4514" s="1" t="str">
        <f t="shared" si="423"/>
        <v>Grand piano retail item #003</v>
      </c>
      <c r="K4514" s="1" t="str">
        <f>IF(SUM(COUNTIFS(I:I, I4514)) &gt; 1, "DUPLICATE", "UNIQUE")</f>
        <v>UNIQUE</v>
      </c>
      <c r="L4514" s="18">
        <v>95</v>
      </c>
      <c r="M4514" s="28">
        <v>2926</v>
      </c>
      <c r="N4514" s="6">
        <v>94</v>
      </c>
      <c r="O4514" s="30">
        <f t="shared" si="424"/>
        <v>277970</v>
      </c>
      <c r="P4514" s="30">
        <f t="shared" si="425"/>
        <v>275044</v>
      </c>
      <c r="Q4514" s="1">
        <f>COUNTIFS($P:$P, "&gt;" &amp; $P4514) + 1</f>
        <v>222</v>
      </c>
      <c r="R4514" s="63">
        <f>(COUNTIFS($P:$P, "&gt;" &amp; $P4514) + 1) / (COUNTA($I:$I) - 1)</f>
        <v>4.4400000000000002E-2</v>
      </c>
      <c r="S4514" s="23">
        <f>SUMIFS($P:$P, $Q:$Q, "&lt;" &amp; $Q4514)</f>
        <v>111364455</v>
      </c>
    </row>
    <row r="4515" spans="1:19" x14ac:dyDescent="0.25">
      <c r="A4515" s="1">
        <v>4510</v>
      </c>
      <c r="B4515" s="1" t="s">
        <v>4</v>
      </c>
      <c r="C4515" s="1" t="str">
        <f>IF($B4515 = "Production Item", _xlfn.XLOOKUP($A4515, 'Instrument Table'!$J:$J, 'Instrument Table'!$B:$B, $C4514), IF($B4515 = "Service Item", _xlfn.XLOOKUP($A4515, 'Instrument Table'!$I:$I, 'Instrument Table'!$B:$B, $C4514), _xlfn.XLOOKUP($A4515, 'Instrument Table'!$H:$H, 'Instrument Table'!$B:$B, $C4514)))</f>
        <v>Grand Piano</v>
      </c>
      <c r="D4515" s="1" t="str">
        <f>VLOOKUP($C4515, 'Instrument Table'!$B:$C, 2, FALSE)</f>
        <v>Pianos</v>
      </c>
      <c r="E4515" s="1">
        <f t="shared" si="420"/>
        <v>3</v>
      </c>
      <c r="F4515" s="1">
        <f>_xlfn.XLOOKUP($C4515, 'Instrument Table'!$B:$B, 'Instrument Table'!$A:$A, "")</f>
        <v>10</v>
      </c>
      <c r="G4515" s="1" t="str">
        <f>TEXT(IF($B4515 = "Retail Item", IF((ROW($A4515) - 4504 - _xlfn.XMATCH($C4515, $C$4506:$C$5005, 0, 1)) &lt;= VLOOKUP($C4515, 'Instrument Table'!$B:$D, 3, FALSE), ROW($A4515) - 4504 - _xlfn.XMATCH($C4515, $C$4506:$C$5005, 0, 1), 0), 0), "00")</f>
        <v>00</v>
      </c>
      <c r="H4515" s="1" t="str">
        <f t="shared" si="421"/>
        <v>004</v>
      </c>
      <c r="I4515" s="1" t="str">
        <f t="shared" si="422"/>
        <v>31000-004</v>
      </c>
      <c r="J4515" s="1" t="str">
        <f t="shared" si="423"/>
        <v>Grand piano retail item #004</v>
      </c>
      <c r="K4515" s="1" t="str">
        <f>IF(SUM(COUNTIFS(I:I, I4515)) &gt; 1, "DUPLICATE", "UNIQUE")</f>
        <v>UNIQUE</v>
      </c>
      <c r="L4515" s="18">
        <v>29</v>
      </c>
      <c r="M4515" s="28">
        <v>6722</v>
      </c>
      <c r="N4515" s="6">
        <v>51</v>
      </c>
      <c r="O4515" s="30">
        <f t="shared" si="424"/>
        <v>194938</v>
      </c>
      <c r="P4515" s="30">
        <f t="shared" si="425"/>
        <v>342822</v>
      </c>
      <c r="Q4515" s="1">
        <f>COUNTIFS($P:$P, "&gt;" &amp; $P4515) + 1</f>
        <v>169</v>
      </c>
      <c r="R4515" s="63">
        <f>(COUNTIFS($P:$P, "&gt;" &amp; $P4515) + 1) / (COUNTA($I:$I) - 1)</f>
        <v>3.3799999999999997E-2</v>
      </c>
      <c r="S4515" s="23">
        <f>SUMIFS($P:$P, $Q:$Q, "&lt;" &amp; $Q4515)</f>
        <v>94901485</v>
      </c>
    </row>
    <row r="4516" spans="1:19" x14ac:dyDescent="0.25">
      <c r="A4516" s="1">
        <v>4511</v>
      </c>
      <c r="B4516" s="1" t="s">
        <v>4</v>
      </c>
      <c r="C4516" s="1" t="str">
        <f>IF($B4516 = "Production Item", _xlfn.XLOOKUP($A4516, 'Instrument Table'!$J:$J, 'Instrument Table'!$B:$B, $C4515), IF($B4516 = "Service Item", _xlfn.XLOOKUP($A4516, 'Instrument Table'!$I:$I, 'Instrument Table'!$B:$B, $C4515), _xlfn.XLOOKUP($A4516, 'Instrument Table'!$H:$H, 'Instrument Table'!$B:$B, $C4515)))</f>
        <v>Grand Piano</v>
      </c>
      <c r="D4516" s="1" t="str">
        <f>VLOOKUP($C4516, 'Instrument Table'!$B:$C, 2, FALSE)</f>
        <v>Pianos</v>
      </c>
      <c r="E4516" s="1">
        <f t="shared" si="420"/>
        <v>3</v>
      </c>
      <c r="F4516" s="1">
        <f>_xlfn.XLOOKUP($C4516, 'Instrument Table'!$B:$B, 'Instrument Table'!$A:$A, "")</f>
        <v>10</v>
      </c>
      <c r="G4516" s="1" t="str">
        <f>TEXT(IF($B4516 = "Retail Item", IF((ROW($A4516) - 4504 - _xlfn.XMATCH($C4516, $C$4506:$C$5005, 0, 1)) &lt;= VLOOKUP($C4516, 'Instrument Table'!$B:$D, 3, FALSE), ROW($A4516) - 4504 - _xlfn.XMATCH($C4516, $C$4506:$C$5005, 0, 1), 0), 0), "00")</f>
        <v>00</v>
      </c>
      <c r="H4516" s="1" t="str">
        <f t="shared" si="421"/>
        <v>005</v>
      </c>
      <c r="I4516" s="1" t="str">
        <f t="shared" si="422"/>
        <v>31000-005</v>
      </c>
      <c r="J4516" s="1" t="str">
        <f t="shared" si="423"/>
        <v>Grand piano retail item #005</v>
      </c>
      <c r="K4516" s="1" t="str">
        <f>IF(SUM(COUNTIFS(I:I, I4516)) &gt; 1, "DUPLICATE", "UNIQUE")</f>
        <v>UNIQUE</v>
      </c>
      <c r="L4516" s="18">
        <v>55</v>
      </c>
      <c r="M4516" s="28">
        <v>4833</v>
      </c>
      <c r="N4516" s="6">
        <v>24</v>
      </c>
      <c r="O4516" s="30">
        <f t="shared" si="424"/>
        <v>265815</v>
      </c>
      <c r="P4516" s="30">
        <f t="shared" si="425"/>
        <v>115992</v>
      </c>
      <c r="Q4516" s="1">
        <f>COUNTIFS($P:$P, "&gt;" &amp; $P4516) + 1</f>
        <v>382</v>
      </c>
      <c r="R4516" s="63">
        <f>(COUNTIFS($P:$P, "&gt;" &amp; $P4516) + 1) / (COUNTA($I:$I) - 1)</f>
        <v>7.6399999999999996E-2</v>
      </c>
      <c r="S4516" s="23">
        <f>SUMIFS($P:$P, $Q:$Q, "&lt;" &amp; $Q4516)</f>
        <v>141439685</v>
      </c>
    </row>
    <row r="4517" spans="1:19" x14ac:dyDescent="0.25">
      <c r="A4517" s="1">
        <v>4512</v>
      </c>
      <c r="B4517" s="1" t="s">
        <v>4</v>
      </c>
      <c r="C4517" s="1" t="str">
        <f>IF($B4517 = "Production Item", _xlfn.XLOOKUP($A4517, 'Instrument Table'!$J:$J, 'Instrument Table'!$B:$B, $C4516), IF($B4517 = "Service Item", _xlfn.XLOOKUP($A4517, 'Instrument Table'!$I:$I, 'Instrument Table'!$B:$B, $C4516), _xlfn.XLOOKUP($A4517, 'Instrument Table'!$H:$H, 'Instrument Table'!$B:$B, $C4516)))</f>
        <v>Grand Piano</v>
      </c>
      <c r="D4517" s="1" t="str">
        <f>VLOOKUP($C4517, 'Instrument Table'!$B:$C, 2, FALSE)</f>
        <v>Pianos</v>
      </c>
      <c r="E4517" s="1">
        <f t="shared" si="420"/>
        <v>3</v>
      </c>
      <c r="F4517" s="1">
        <f>_xlfn.XLOOKUP($C4517, 'Instrument Table'!$B:$B, 'Instrument Table'!$A:$A, "")</f>
        <v>10</v>
      </c>
      <c r="G4517" s="1" t="str">
        <f>TEXT(IF($B4517 = "Retail Item", IF((ROW($A4517) - 4504 - _xlfn.XMATCH($C4517, $C$4506:$C$5005, 0, 1)) &lt;= VLOOKUP($C4517, 'Instrument Table'!$B:$D, 3, FALSE), ROW($A4517) - 4504 - _xlfn.XMATCH($C4517, $C$4506:$C$5005, 0, 1), 0), 0), "00")</f>
        <v>00</v>
      </c>
      <c r="H4517" s="1" t="str">
        <f t="shared" si="421"/>
        <v>006</v>
      </c>
      <c r="I4517" s="1" t="str">
        <f t="shared" si="422"/>
        <v>31000-006</v>
      </c>
      <c r="J4517" s="1" t="str">
        <f t="shared" si="423"/>
        <v>Grand piano retail item #006</v>
      </c>
      <c r="K4517" s="1" t="str">
        <f>IF(SUM(COUNTIFS(I:I, I4517)) &gt; 1, "DUPLICATE", "UNIQUE")</f>
        <v>UNIQUE</v>
      </c>
      <c r="L4517" s="18">
        <v>68</v>
      </c>
      <c r="M4517" s="28">
        <v>7884</v>
      </c>
      <c r="N4517" s="6">
        <v>78</v>
      </c>
      <c r="O4517" s="30">
        <f t="shared" si="424"/>
        <v>536112</v>
      </c>
      <c r="P4517" s="30">
        <f t="shared" si="425"/>
        <v>614952</v>
      </c>
      <c r="Q4517" s="1">
        <f>COUNTIFS($P:$P, "&gt;" &amp; $P4517) + 1</f>
        <v>61</v>
      </c>
      <c r="R4517" s="63">
        <f>(COUNTIFS($P:$P, "&gt;" &amp; $P4517) + 1) / (COUNTA($I:$I) - 1)</f>
        <v>1.2200000000000001E-2</v>
      </c>
      <c r="S4517" s="23">
        <f>SUMIFS($P:$P, $Q:$Q, "&lt;" &amp; $Q4517)</f>
        <v>44804922</v>
      </c>
    </row>
    <row r="4518" spans="1:19" x14ac:dyDescent="0.25">
      <c r="A4518" s="1">
        <v>4513</v>
      </c>
      <c r="B4518" s="1" t="s">
        <v>4</v>
      </c>
      <c r="C4518" s="1" t="str">
        <f>IF($B4518 = "Production Item", _xlfn.XLOOKUP($A4518, 'Instrument Table'!$J:$J, 'Instrument Table'!$B:$B, $C4517), IF($B4518 = "Service Item", _xlfn.XLOOKUP($A4518, 'Instrument Table'!$I:$I, 'Instrument Table'!$B:$B, $C4517), _xlfn.XLOOKUP($A4518, 'Instrument Table'!$H:$H, 'Instrument Table'!$B:$B, $C4517)))</f>
        <v>Grand Piano</v>
      </c>
      <c r="D4518" s="1" t="str">
        <f>VLOOKUP($C4518, 'Instrument Table'!$B:$C, 2, FALSE)</f>
        <v>Pianos</v>
      </c>
      <c r="E4518" s="1">
        <f t="shared" si="420"/>
        <v>3</v>
      </c>
      <c r="F4518" s="1">
        <f>_xlfn.XLOOKUP($C4518, 'Instrument Table'!$B:$B, 'Instrument Table'!$A:$A, "")</f>
        <v>10</v>
      </c>
      <c r="G4518" s="1" t="str">
        <f>TEXT(IF($B4518 = "Retail Item", IF((ROW($A4518) - 4504 - _xlfn.XMATCH($C4518, $C$4506:$C$5005, 0, 1)) &lt;= VLOOKUP($C4518, 'Instrument Table'!$B:$D, 3, FALSE), ROW($A4518) - 4504 - _xlfn.XMATCH($C4518, $C$4506:$C$5005, 0, 1), 0), 0), "00")</f>
        <v>00</v>
      </c>
      <c r="H4518" s="1" t="str">
        <f t="shared" si="421"/>
        <v>007</v>
      </c>
      <c r="I4518" s="1" t="str">
        <f t="shared" si="422"/>
        <v>31000-007</v>
      </c>
      <c r="J4518" s="1" t="str">
        <f t="shared" si="423"/>
        <v>Grand piano retail item #007</v>
      </c>
      <c r="K4518" s="1" t="str">
        <f>IF(SUM(COUNTIFS(I:I, I4518)) &gt; 1, "DUPLICATE", "UNIQUE")</f>
        <v>UNIQUE</v>
      </c>
      <c r="L4518" s="18">
        <v>15</v>
      </c>
      <c r="M4518" s="28">
        <v>1941</v>
      </c>
      <c r="N4518" s="6">
        <v>49</v>
      </c>
      <c r="O4518" s="30">
        <f t="shared" si="424"/>
        <v>29115</v>
      </c>
      <c r="P4518" s="30">
        <f t="shared" si="425"/>
        <v>95109</v>
      </c>
      <c r="Q4518" s="1">
        <f>COUNTIFS($P:$P, "&gt;" &amp; $P4518) + 1</f>
        <v>416</v>
      </c>
      <c r="R4518" s="63">
        <f>(COUNTIFS($P:$P, "&gt;" &amp; $P4518) + 1) / (COUNTA($I:$I) - 1)</f>
        <v>8.3199999999999996E-2</v>
      </c>
      <c r="S4518" s="23">
        <f>SUMIFS($P:$P, $Q:$Q, "&lt;" &amp; $Q4518)</f>
        <v>145045652</v>
      </c>
    </row>
    <row r="4519" spans="1:19" x14ac:dyDescent="0.25">
      <c r="A4519" s="1">
        <v>4514</v>
      </c>
      <c r="B4519" s="1" t="s">
        <v>4</v>
      </c>
      <c r="C4519" s="1" t="str">
        <f>IF($B4519 = "Production Item", _xlfn.XLOOKUP($A4519, 'Instrument Table'!$J:$J, 'Instrument Table'!$B:$B, $C4518), IF($B4519 = "Service Item", _xlfn.XLOOKUP($A4519, 'Instrument Table'!$I:$I, 'Instrument Table'!$B:$B, $C4518), _xlfn.XLOOKUP($A4519, 'Instrument Table'!$H:$H, 'Instrument Table'!$B:$B, $C4518)))</f>
        <v>Grand Piano</v>
      </c>
      <c r="D4519" s="1" t="str">
        <f>VLOOKUP($C4519, 'Instrument Table'!$B:$C, 2, FALSE)</f>
        <v>Pianos</v>
      </c>
      <c r="E4519" s="1">
        <f t="shared" si="420"/>
        <v>3</v>
      </c>
      <c r="F4519" s="1">
        <f>_xlfn.XLOOKUP($C4519, 'Instrument Table'!$B:$B, 'Instrument Table'!$A:$A, "")</f>
        <v>10</v>
      </c>
      <c r="G4519" s="1" t="str">
        <f>TEXT(IF($B4519 = "Retail Item", IF((ROW($A4519) - 4504 - _xlfn.XMATCH($C4519, $C$4506:$C$5005, 0, 1)) &lt;= VLOOKUP($C4519, 'Instrument Table'!$B:$D, 3, FALSE), ROW($A4519) - 4504 - _xlfn.XMATCH($C4519, $C$4506:$C$5005, 0, 1), 0), 0), "00")</f>
        <v>00</v>
      </c>
      <c r="H4519" s="1" t="str">
        <f t="shared" si="421"/>
        <v>008</v>
      </c>
      <c r="I4519" s="1" t="str">
        <f t="shared" si="422"/>
        <v>31000-008</v>
      </c>
      <c r="J4519" s="1" t="str">
        <f t="shared" si="423"/>
        <v>Grand piano retail item #008</v>
      </c>
      <c r="K4519" s="1" t="str">
        <f>IF(SUM(COUNTIFS(I:I, I4519)) &gt; 1, "DUPLICATE", "UNIQUE")</f>
        <v>UNIQUE</v>
      </c>
      <c r="L4519" s="18">
        <v>69</v>
      </c>
      <c r="M4519" s="28">
        <v>9938</v>
      </c>
      <c r="N4519" s="6">
        <v>57</v>
      </c>
      <c r="O4519" s="30">
        <f t="shared" si="424"/>
        <v>685722</v>
      </c>
      <c r="P4519" s="30">
        <f t="shared" si="425"/>
        <v>566466</v>
      </c>
      <c r="Q4519" s="1">
        <f>COUNTIFS($P:$P, "&gt;" &amp; $P4519) + 1</f>
        <v>74</v>
      </c>
      <c r="R4519" s="63">
        <f>(COUNTIFS($P:$P, "&gt;" &amp; $P4519) + 1) / (COUNTA($I:$I) - 1)</f>
        <v>1.4800000000000001E-2</v>
      </c>
      <c r="S4519" s="23">
        <f>SUMIFS($P:$P, $Q:$Q, "&lt;" &amp; $Q4519)</f>
        <v>52431762</v>
      </c>
    </row>
    <row r="4520" spans="1:19" x14ac:dyDescent="0.25">
      <c r="A4520" s="1">
        <v>4515</v>
      </c>
      <c r="B4520" s="1" t="s">
        <v>4</v>
      </c>
      <c r="C4520" s="1" t="str">
        <f>IF($B4520 = "Production Item", _xlfn.XLOOKUP($A4520, 'Instrument Table'!$J:$J, 'Instrument Table'!$B:$B, $C4519), IF($B4520 = "Service Item", _xlfn.XLOOKUP($A4520, 'Instrument Table'!$I:$I, 'Instrument Table'!$B:$B, $C4519), _xlfn.XLOOKUP($A4520, 'Instrument Table'!$H:$H, 'Instrument Table'!$B:$B, $C4519)))</f>
        <v>Grand Piano</v>
      </c>
      <c r="D4520" s="1" t="str">
        <f>VLOOKUP($C4520, 'Instrument Table'!$B:$C, 2, FALSE)</f>
        <v>Pianos</v>
      </c>
      <c r="E4520" s="1">
        <f t="shared" si="420"/>
        <v>3</v>
      </c>
      <c r="F4520" s="1">
        <f>_xlfn.XLOOKUP($C4520, 'Instrument Table'!$B:$B, 'Instrument Table'!$A:$A, "")</f>
        <v>10</v>
      </c>
      <c r="G4520" s="1" t="str">
        <f>TEXT(IF($B4520 = "Retail Item", IF((ROW($A4520) - 4504 - _xlfn.XMATCH($C4520, $C$4506:$C$5005, 0, 1)) &lt;= VLOOKUP($C4520, 'Instrument Table'!$B:$D, 3, FALSE), ROW($A4520) - 4504 - _xlfn.XMATCH($C4520, $C$4506:$C$5005, 0, 1), 0), 0), "00")</f>
        <v>00</v>
      </c>
      <c r="H4520" s="1" t="str">
        <f t="shared" si="421"/>
        <v>009</v>
      </c>
      <c r="I4520" s="1" t="str">
        <f t="shared" si="422"/>
        <v>31000-009</v>
      </c>
      <c r="J4520" s="1" t="str">
        <f t="shared" si="423"/>
        <v>Grand piano retail item #009</v>
      </c>
      <c r="K4520" s="1" t="str">
        <f>IF(SUM(COUNTIFS(I:I, I4520)) &gt; 1, "DUPLICATE", "UNIQUE")</f>
        <v>UNIQUE</v>
      </c>
      <c r="L4520" s="18">
        <v>63</v>
      </c>
      <c r="M4520" s="28">
        <v>9519</v>
      </c>
      <c r="N4520" s="6">
        <v>64</v>
      </c>
      <c r="O4520" s="30">
        <f t="shared" si="424"/>
        <v>599697</v>
      </c>
      <c r="P4520" s="30">
        <f t="shared" si="425"/>
        <v>609216</v>
      </c>
      <c r="Q4520" s="1">
        <f>COUNTIFS($P:$P, "&gt;" &amp; $P4520) + 1</f>
        <v>62</v>
      </c>
      <c r="R4520" s="63">
        <f>(COUNTIFS($P:$P, "&gt;" &amp; $P4520) + 1) / (COUNTA($I:$I) - 1)</f>
        <v>1.24E-2</v>
      </c>
      <c r="S4520" s="23">
        <f>SUMIFS($P:$P, $Q:$Q, "&lt;" &amp; $Q4520)</f>
        <v>45419874</v>
      </c>
    </row>
    <row r="4521" spans="1:19" x14ac:dyDescent="0.25">
      <c r="A4521" s="1">
        <v>4516</v>
      </c>
      <c r="B4521" s="1" t="s">
        <v>4</v>
      </c>
      <c r="C4521" s="1" t="str">
        <f>IF($B4521 = "Production Item", _xlfn.XLOOKUP($A4521, 'Instrument Table'!$J:$J, 'Instrument Table'!$B:$B, $C4520), IF($B4521 = "Service Item", _xlfn.XLOOKUP($A4521, 'Instrument Table'!$I:$I, 'Instrument Table'!$B:$B, $C4520), _xlfn.XLOOKUP($A4521, 'Instrument Table'!$H:$H, 'Instrument Table'!$B:$B, $C4520)))</f>
        <v>Upright Piano</v>
      </c>
      <c r="D4521" s="1" t="str">
        <f>VLOOKUP($C4521, 'Instrument Table'!$B:$C, 2, FALSE)</f>
        <v>Pianos</v>
      </c>
      <c r="E4521" s="1">
        <f t="shared" si="420"/>
        <v>3</v>
      </c>
      <c r="F4521" s="1">
        <f>_xlfn.XLOOKUP($C4521, 'Instrument Table'!$B:$B, 'Instrument Table'!$A:$A, "")</f>
        <v>11</v>
      </c>
      <c r="G4521" s="1" t="str">
        <f>TEXT(IF($B4521 = "Retail Item", IF((ROW($A4521) - 4504 - _xlfn.XMATCH($C4521, $C$4506:$C$5005, 0, 1)) &lt;= VLOOKUP($C4521, 'Instrument Table'!$B:$D, 3, FALSE), ROW($A4521) - 4504 - _xlfn.XMATCH($C4521, $C$4506:$C$5005, 0, 1), 0), 0), "00")</f>
        <v>01</v>
      </c>
      <c r="H4521" s="1" t="str">
        <f t="shared" si="421"/>
        <v>000</v>
      </c>
      <c r="I4521" s="1" t="str">
        <f t="shared" si="422"/>
        <v>31101-000</v>
      </c>
      <c r="J4521" s="1" t="str">
        <f t="shared" si="423"/>
        <v>Upright piano model #01</v>
      </c>
      <c r="K4521" s="1" t="str">
        <f>IF(SUM(COUNTIFS(I:I, I4521)) &gt; 1, "DUPLICATE", "UNIQUE")</f>
        <v>UNIQUE</v>
      </c>
      <c r="L4521" s="18">
        <v>53</v>
      </c>
      <c r="M4521" s="28">
        <v>5147</v>
      </c>
      <c r="N4521" s="6">
        <v>89</v>
      </c>
      <c r="O4521" s="30">
        <f t="shared" si="424"/>
        <v>272791</v>
      </c>
      <c r="P4521" s="30">
        <f t="shared" si="425"/>
        <v>458083</v>
      </c>
      <c r="Q4521" s="1">
        <f>COUNTIFS($P:$P, "&gt;" &amp; $P4521) + 1</f>
        <v>114</v>
      </c>
      <c r="R4521" s="63">
        <f>(COUNTIFS($P:$P, "&gt;" &amp; $P4521) + 1) / (COUNTA($I:$I) - 1)</f>
        <v>2.2800000000000001E-2</v>
      </c>
      <c r="S4521" s="23">
        <f>SUMIFS($P:$P, $Q:$Q, "&lt;" &amp; $Q4521)</f>
        <v>72794563</v>
      </c>
    </row>
    <row r="4522" spans="1:19" x14ac:dyDescent="0.25">
      <c r="A4522" s="1">
        <v>4517</v>
      </c>
      <c r="B4522" s="1" t="s">
        <v>4</v>
      </c>
      <c r="C4522" s="1" t="str">
        <f>IF($B4522 = "Production Item", _xlfn.XLOOKUP($A4522, 'Instrument Table'!$J:$J, 'Instrument Table'!$B:$B, $C4521), IF($B4522 = "Service Item", _xlfn.XLOOKUP($A4522, 'Instrument Table'!$I:$I, 'Instrument Table'!$B:$B, $C4521), _xlfn.XLOOKUP($A4522, 'Instrument Table'!$H:$H, 'Instrument Table'!$B:$B, $C4521)))</f>
        <v>Upright Piano</v>
      </c>
      <c r="D4522" s="1" t="str">
        <f>VLOOKUP($C4522, 'Instrument Table'!$B:$C, 2, FALSE)</f>
        <v>Pianos</v>
      </c>
      <c r="E4522" s="1">
        <f t="shared" si="420"/>
        <v>3</v>
      </c>
      <c r="F4522" s="1">
        <f>_xlfn.XLOOKUP($C4522, 'Instrument Table'!$B:$B, 'Instrument Table'!$A:$A, "")</f>
        <v>11</v>
      </c>
      <c r="G4522" s="1" t="str">
        <f>TEXT(IF($B4522 = "Retail Item", IF((ROW($A4522) - 4504 - _xlfn.XMATCH($C4522, $C$4506:$C$5005, 0, 1)) &lt;= VLOOKUP($C4522, 'Instrument Table'!$B:$D, 3, FALSE), ROW($A4522) - 4504 - _xlfn.XMATCH($C4522, $C$4506:$C$5005, 0, 1), 0), 0), "00")</f>
        <v>02</v>
      </c>
      <c r="H4522" s="1" t="str">
        <f t="shared" si="421"/>
        <v>000</v>
      </c>
      <c r="I4522" s="1" t="str">
        <f t="shared" si="422"/>
        <v>31102-000</v>
      </c>
      <c r="J4522" s="1" t="str">
        <f t="shared" si="423"/>
        <v>Upright piano model #02</v>
      </c>
      <c r="K4522" s="1" t="str">
        <f>IF(SUM(COUNTIFS(I:I, I4522)) &gt; 1, "DUPLICATE", "UNIQUE")</f>
        <v>UNIQUE</v>
      </c>
      <c r="L4522" s="18">
        <v>87</v>
      </c>
      <c r="M4522" s="28">
        <v>9722</v>
      </c>
      <c r="N4522" s="6">
        <v>76</v>
      </c>
      <c r="O4522" s="30">
        <f t="shared" si="424"/>
        <v>845814</v>
      </c>
      <c r="P4522" s="30">
        <f t="shared" si="425"/>
        <v>738872</v>
      </c>
      <c r="Q4522" s="1">
        <f>COUNTIFS($P:$P, "&gt;" &amp; $P4522) + 1</f>
        <v>30</v>
      </c>
      <c r="R4522" s="63">
        <f>(COUNTIFS($P:$P, "&gt;" &amp; $P4522) + 1) / (COUNTA($I:$I) - 1)</f>
        <v>6.0000000000000001E-3</v>
      </c>
      <c r="S4522" s="23">
        <f>SUMIFS($P:$P, $Q:$Q, "&lt;" &amp; $Q4522)</f>
        <v>24163141</v>
      </c>
    </row>
    <row r="4523" spans="1:19" x14ac:dyDescent="0.25">
      <c r="A4523" s="1">
        <v>4518</v>
      </c>
      <c r="B4523" s="1" t="s">
        <v>4</v>
      </c>
      <c r="C4523" s="1" t="str">
        <f>IF($B4523 = "Production Item", _xlfn.XLOOKUP($A4523, 'Instrument Table'!$J:$J, 'Instrument Table'!$B:$B, $C4522), IF($B4523 = "Service Item", _xlfn.XLOOKUP($A4523, 'Instrument Table'!$I:$I, 'Instrument Table'!$B:$B, $C4522), _xlfn.XLOOKUP($A4523, 'Instrument Table'!$H:$H, 'Instrument Table'!$B:$B, $C4522)))</f>
        <v>Upright Piano</v>
      </c>
      <c r="D4523" s="1" t="str">
        <f>VLOOKUP($C4523, 'Instrument Table'!$B:$C, 2, FALSE)</f>
        <v>Pianos</v>
      </c>
      <c r="E4523" s="1">
        <f t="shared" si="420"/>
        <v>3</v>
      </c>
      <c r="F4523" s="1">
        <f>_xlfn.XLOOKUP($C4523, 'Instrument Table'!$B:$B, 'Instrument Table'!$A:$A, "")</f>
        <v>11</v>
      </c>
      <c r="G4523" s="1" t="str">
        <f>TEXT(IF($B4523 = "Retail Item", IF((ROW($A4523) - 4504 - _xlfn.XMATCH($C4523, $C$4506:$C$5005, 0, 1)) &lt;= VLOOKUP($C4523, 'Instrument Table'!$B:$D, 3, FALSE), ROW($A4523) - 4504 - _xlfn.XMATCH($C4523, $C$4506:$C$5005, 0, 1), 0), 0), "00")</f>
        <v>03</v>
      </c>
      <c r="H4523" s="1" t="str">
        <f t="shared" si="421"/>
        <v>000</v>
      </c>
      <c r="I4523" s="1" t="str">
        <f t="shared" si="422"/>
        <v>31103-000</v>
      </c>
      <c r="J4523" s="1" t="str">
        <f t="shared" si="423"/>
        <v>Upright piano model #03</v>
      </c>
      <c r="K4523" s="1" t="str">
        <f>IF(SUM(COUNTIFS(I:I, I4523)) &gt; 1, "DUPLICATE", "UNIQUE")</f>
        <v>UNIQUE</v>
      </c>
      <c r="L4523" s="18">
        <v>58</v>
      </c>
      <c r="M4523" s="28">
        <v>2626</v>
      </c>
      <c r="N4523" s="6">
        <v>39</v>
      </c>
      <c r="O4523" s="30">
        <f t="shared" si="424"/>
        <v>152308</v>
      </c>
      <c r="P4523" s="30">
        <f t="shared" si="425"/>
        <v>102414</v>
      </c>
      <c r="Q4523" s="1">
        <f>COUNTIFS($P:$P, "&gt;" &amp; $P4523) + 1</f>
        <v>404</v>
      </c>
      <c r="R4523" s="63">
        <f>(COUNTIFS($P:$P, "&gt;" &amp; $P4523) + 1) / (COUNTA($I:$I) - 1)</f>
        <v>8.0799999999999997E-2</v>
      </c>
      <c r="S4523" s="23">
        <f>SUMIFS($P:$P, $Q:$Q, "&lt;" &amp; $Q4523)</f>
        <v>143854589</v>
      </c>
    </row>
    <row r="4524" spans="1:19" x14ac:dyDescent="0.25">
      <c r="A4524" s="1">
        <v>4519</v>
      </c>
      <c r="B4524" s="1" t="s">
        <v>4</v>
      </c>
      <c r="C4524" s="1" t="str">
        <f>IF($B4524 = "Production Item", _xlfn.XLOOKUP($A4524, 'Instrument Table'!$J:$J, 'Instrument Table'!$B:$B, $C4523), IF($B4524 = "Service Item", _xlfn.XLOOKUP($A4524, 'Instrument Table'!$I:$I, 'Instrument Table'!$B:$B, $C4523), _xlfn.XLOOKUP($A4524, 'Instrument Table'!$H:$H, 'Instrument Table'!$B:$B, $C4523)))</f>
        <v>Upright Piano</v>
      </c>
      <c r="D4524" s="1" t="str">
        <f>VLOOKUP($C4524, 'Instrument Table'!$B:$C, 2, FALSE)</f>
        <v>Pianos</v>
      </c>
      <c r="E4524" s="1">
        <f t="shared" si="420"/>
        <v>3</v>
      </c>
      <c r="F4524" s="1">
        <f>_xlfn.XLOOKUP($C4524, 'Instrument Table'!$B:$B, 'Instrument Table'!$A:$A, "")</f>
        <v>11</v>
      </c>
      <c r="G4524" s="1" t="str">
        <f>TEXT(IF($B4524 = "Retail Item", IF((ROW($A4524) - 4504 - _xlfn.XMATCH($C4524, $C$4506:$C$5005, 0, 1)) &lt;= VLOOKUP($C4524, 'Instrument Table'!$B:$D, 3, FALSE), ROW($A4524) - 4504 - _xlfn.XMATCH($C4524, $C$4506:$C$5005, 0, 1), 0), 0), "00")</f>
        <v>04</v>
      </c>
      <c r="H4524" s="1" t="str">
        <f t="shared" si="421"/>
        <v>000</v>
      </c>
      <c r="I4524" s="1" t="str">
        <f t="shared" si="422"/>
        <v>31104-000</v>
      </c>
      <c r="J4524" s="1" t="str">
        <f t="shared" si="423"/>
        <v>Upright piano model #04</v>
      </c>
      <c r="K4524" s="1" t="str">
        <f>IF(SUM(COUNTIFS(I:I, I4524)) &gt; 1, "DUPLICATE", "UNIQUE")</f>
        <v>UNIQUE</v>
      </c>
      <c r="L4524" s="18">
        <v>97</v>
      </c>
      <c r="M4524" s="28">
        <v>2693</v>
      </c>
      <c r="N4524" s="6">
        <v>46</v>
      </c>
      <c r="O4524" s="30">
        <f t="shared" si="424"/>
        <v>261221</v>
      </c>
      <c r="P4524" s="30">
        <f t="shared" si="425"/>
        <v>123878</v>
      </c>
      <c r="Q4524" s="1">
        <f>COUNTIFS($P:$P, "&gt;" &amp; $P4524) + 1</f>
        <v>367</v>
      </c>
      <c r="R4524" s="63">
        <f>(COUNTIFS($P:$P, "&gt;" &amp; $P4524) + 1) / (COUNTA($I:$I) - 1)</f>
        <v>7.3400000000000007E-2</v>
      </c>
      <c r="S4524" s="23">
        <f>SUMIFS($P:$P, $Q:$Q, "&lt;" &amp; $Q4524)</f>
        <v>139651282</v>
      </c>
    </row>
    <row r="4525" spans="1:19" x14ac:dyDescent="0.25">
      <c r="A4525" s="1">
        <v>4520</v>
      </c>
      <c r="B4525" s="1" t="s">
        <v>4</v>
      </c>
      <c r="C4525" s="1" t="str">
        <f>IF($B4525 = "Production Item", _xlfn.XLOOKUP($A4525, 'Instrument Table'!$J:$J, 'Instrument Table'!$B:$B, $C4524), IF($B4525 = "Service Item", _xlfn.XLOOKUP($A4525, 'Instrument Table'!$I:$I, 'Instrument Table'!$B:$B, $C4524), _xlfn.XLOOKUP($A4525, 'Instrument Table'!$H:$H, 'Instrument Table'!$B:$B, $C4524)))</f>
        <v>Upright Piano</v>
      </c>
      <c r="D4525" s="1" t="str">
        <f>VLOOKUP($C4525, 'Instrument Table'!$B:$C, 2, FALSE)</f>
        <v>Pianos</v>
      </c>
      <c r="E4525" s="1">
        <f t="shared" si="420"/>
        <v>3</v>
      </c>
      <c r="F4525" s="1">
        <f>_xlfn.XLOOKUP($C4525, 'Instrument Table'!$B:$B, 'Instrument Table'!$A:$A, "")</f>
        <v>11</v>
      </c>
      <c r="G4525" s="1" t="str">
        <f>TEXT(IF($B4525 = "Retail Item", IF((ROW($A4525) - 4504 - _xlfn.XMATCH($C4525, $C$4506:$C$5005, 0, 1)) &lt;= VLOOKUP($C4525, 'Instrument Table'!$B:$D, 3, FALSE), ROW($A4525) - 4504 - _xlfn.XMATCH($C4525, $C$4506:$C$5005, 0, 1), 0), 0), "00")</f>
        <v>05</v>
      </c>
      <c r="H4525" s="1" t="str">
        <f t="shared" si="421"/>
        <v>000</v>
      </c>
      <c r="I4525" s="1" t="str">
        <f t="shared" si="422"/>
        <v>31105-000</v>
      </c>
      <c r="J4525" s="1" t="str">
        <f t="shared" si="423"/>
        <v>Upright piano model #05</v>
      </c>
      <c r="K4525" s="1" t="str">
        <f>IF(SUM(COUNTIFS(I:I, I4525)) &gt; 1, "DUPLICATE", "UNIQUE")</f>
        <v>UNIQUE</v>
      </c>
      <c r="L4525" s="18">
        <v>31</v>
      </c>
      <c r="M4525" s="28">
        <v>7042</v>
      </c>
      <c r="N4525" s="6">
        <v>30</v>
      </c>
      <c r="O4525" s="30">
        <f t="shared" si="424"/>
        <v>218302</v>
      </c>
      <c r="P4525" s="30">
        <f t="shared" si="425"/>
        <v>211260</v>
      </c>
      <c r="Q4525" s="1">
        <f>COUNTIFS($P:$P, "&gt;" &amp; $P4525) + 1</f>
        <v>280</v>
      </c>
      <c r="R4525" s="63">
        <f>(COUNTIFS($P:$P, "&gt;" &amp; $P4525) + 1) / (COUNTA($I:$I) - 1)</f>
        <v>5.6000000000000001E-2</v>
      </c>
      <c r="S4525" s="23">
        <f>SUMIFS($P:$P, $Q:$Q, "&lt;" &amp; $Q4525)</f>
        <v>125565863</v>
      </c>
    </row>
    <row r="4526" spans="1:19" x14ac:dyDescent="0.25">
      <c r="A4526" s="1">
        <v>4521</v>
      </c>
      <c r="B4526" s="1" t="s">
        <v>4</v>
      </c>
      <c r="C4526" s="1" t="str">
        <f>IF($B4526 = "Production Item", _xlfn.XLOOKUP($A4526, 'Instrument Table'!$J:$J, 'Instrument Table'!$B:$B, $C4525), IF($B4526 = "Service Item", _xlfn.XLOOKUP($A4526, 'Instrument Table'!$I:$I, 'Instrument Table'!$B:$B, $C4525), _xlfn.XLOOKUP($A4526, 'Instrument Table'!$H:$H, 'Instrument Table'!$B:$B, $C4525)))</f>
        <v>Upright Piano</v>
      </c>
      <c r="D4526" s="1" t="str">
        <f>VLOOKUP($C4526, 'Instrument Table'!$B:$C, 2, FALSE)</f>
        <v>Pianos</v>
      </c>
      <c r="E4526" s="1">
        <f t="shared" si="420"/>
        <v>3</v>
      </c>
      <c r="F4526" s="1">
        <f>_xlfn.XLOOKUP($C4526, 'Instrument Table'!$B:$B, 'Instrument Table'!$A:$A, "")</f>
        <v>11</v>
      </c>
      <c r="G4526" s="1" t="str">
        <f>TEXT(IF($B4526 = "Retail Item", IF((ROW($A4526) - 4504 - _xlfn.XMATCH($C4526, $C$4506:$C$5005, 0, 1)) &lt;= VLOOKUP($C4526, 'Instrument Table'!$B:$D, 3, FALSE), ROW($A4526) - 4504 - _xlfn.XMATCH($C4526, $C$4506:$C$5005, 0, 1), 0), 0), "00")</f>
        <v>00</v>
      </c>
      <c r="H4526" s="1" t="str">
        <f t="shared" si="421"/>
        <v>000</v>
      </c>
      <c r="I4526" s="1" t="str">
        <f t="shared" si="422"/>
        <v>31100-000</v>
      </c>
      <c r="J4526" s="1" t="str">
        <f t="shared" si="423"/>
        <v>Upright piano retail item #000</v>
      </c>
      <c r="K4526" s="1" t="str">
        <f>IF(SUM(COUNTIFS(I:I, I4526)) &gt; 1, "DUPLICATE", "UNIQUE")</f>
        <v>UNIQUE</v>
      </c>
      <c r="L4526" s="18">
        <v>21</v>
      </c>
      <c r="M4526" s="28">
        <v>4279</v>
      </c>
      <c r="N4526" s="6">
        <v>70</v>
      </c>
      <c r="O4526" s="30">
        <f t="shared" si="424"/>
        <v>89859</v>
      </c>
      <c r="P4526" s="30">
        <f t="shared" si="425"/>
        <v>299530</v>
      </c>
      <c r="Q4526" s="1">
        <f>COUNTIFS($P:$P, "&gt;" &amp; $P4526) + 1</f>
        <v>203</v>
      </c>
      <c r="R4526" s="63">
        <f>(COUNTIFS($P:$P, "&gt;" &amp; $P4526) + 1) / (COUNTA($I:$I) - 1)</f>
        <v>4.0599999999999997E-2</v>
      </c>
      <c r="S4526" s="23">
        <f>SUMIFS($P:$P, $Q:$Q, "&lt;" &amp; $Q4526)</f>
        <v>105838569</v>
      </c>
    </row>
    <row r="4527" spans="1:19" x14ac:dyDescent="0.25">
      <c r="A4527" s="1">
        <v>4522</v>
      </c>
      <c r="B4527" s="1" t="s">
        <v>4</v>
      </c>
      <c r="C4527" s="1" t="str">
        <f>IF($B4527 = "Production Item", _xlfn.XLOOKUP($A4527, 'Instrument Table'!$J:$J, 'Instrument Table'!$B:$B, $C4526), IF($B4527 = "Service Item", _xlfn.XLOOKUP($A4527, 'Instrument Table'!$I:$I, 'Instrument Table'!$B:$B, $C4526), _xlfn.XLOOKUP($A4527, 'Instrument Table'!$H:$H, 'Instrument Table'!$B:$B, $C4526)))</f>
        <v>Upright Piano</v>
      </c>
      <c r="D4527" s="1" t="str">
        <f>VLOOKUP($C4527, 'Instrument Table'!$B:$C, 2, FALSE)</f>
        <v>Pianos</v>
      </c>
      <c r="E4527" s="1">
        <f t="shared" si="420"/>
        <v>3</v>
      </c>
      <c r="F4527" s="1">
        <f>_xlfn.XLOOKUP($C4527, 'Instrument Table'!$B:$B, 'Instrument Table'!$A:$A, "")</f>
        <v>11</v>
      </c>
      <c r="G4527" s="1" t="str">
        <f>TEXT(IF($B4527 = "Retail Item", IF((ROW($A4527) - 4504 - _xlfn.XMATCH($C4527, $C$4506:$C$5005, 0, 1)) &lt;= VLOOKUP($C4527, 'Instrument Table'!$B:$D, 3, FALSE), ROW($A4527) - 4504 - _xlfn.XMATCH($C4527, $C$4506:$C$5005, 0, 1), 0), 0), "00")</f>
        <v>00</v>
      </c>
      <c r="H4527" s="1" t="str">
        <f t="shared" si="421"/>
        <v>001</v>
      </c>
      <c r="I4527" s="1" t="str">
        <f t="shared" si="422"/>
        <v>31100-001</v>
      </c>
      <c r="J4527" s="1" t="str">
        <f t="shared" si="423"/>
        <v>Upright piano retail item #001</v>
      </c>
      <c r="K4527" s="1" t="str">
        <f>IF(SUM(COUNTIFS(I:I, I4527)) &gt; 1, "DUPLICATE", "UNIQUE")</f>
        <v>UNIQUE</v>
      </c>
      <c r="L4527" s="18">
        <v>98</v>
      </c>
      <c r="M4527" s="28">
        <v>6229</v>
      </c>
      <c r="N4527" s="6">
        <v>43</v>
      </c>
      <c r="O4527" s="30">
        <f t="shared" si="424"/>
        <v>610442</v>
      </c>
      <c r="P4527" s="30">
        <f t="shared" si="425"/>
        <v>267847</v>
      </c>
      <c r="Q4527" s="1">
        <f>COUNTIFS($P:$P, "&gt;" &amp; $P4527) + 1</f>
        <v>232</v>
      </c>
      <c r="R4527" s="63">
        <f>(COUNTIFS($P:$P, "&gt;" &amp; $P4527) + 1) / (COUNTA($I:$I) - 1)</f>
        <v>4.6399999999999997E-2</v>
      </c>
      <c r="S4527" s="23">
        <f>SUMIFS($P:$P, $Q:$Q, "&lt;" &amp; $Q4527)</f>
        <v>114078082</v>
      </c>
    </row>
    <row r="4528" spans="1:19" x14ac:dyDescent="0.25">
      <c r="A4528" s="1">
        <v>4523</v>
      </c>
      <c r="B4528" s="1" t="s">
        <v>4</v>
      </c>
      <c r="C4528" s="1" t="str">
        <f>IF($B4528 = "Production Item", _xlfn.XLOOKUP($A4528, 'Instrument Table'!$J:$J, 'Instrument Table'!$B:$B, $C4527), IF($B4528 = "Service Item", _xlfn.XLOOKUP($A4528, 'Instrument Table'!$I:$I, 'Instrument Table'!$B:$B, $C4527), _xlfn.XLOOKUP($A4528, 'Instrument Table'!$H:$H, 'Instrument Table'!$B:$B, $C4527)))</f>
        <v>Upright Piano</v>
      </c>
      <c r="D4528" s="1" t="str">
        <f>VLOOKUP($C4528, 'Instrument Table'!$B:$C, 2, FALSE)</f>
        <v>Pianos</v>
      </c>
      <c r="E4528" s="1">
        <f t="shared" si="420"/>
        <v>3</v>
      </c>
      <c r="F4528" s="1">
        <f>_xlfn.XLOOKUP($C4528, 'Instrument Table'!$B:$B, 'Instrument Table'!$A:$A, "")</f>
        <v>11</v>
      </c>
      <c r="G4528" s="1" t="str">
        <f>TEXT(IF($B4528 = "Retail Item", IF((ROW($A4528) - 4504 - _xlfn.XMATCH($C4528, $C$4506:$C$5005, 0, 1)) &lt;= VLOOKUP($C4528, 'Instrument Table'!$B:$D, 3, FALSE), ROW($A4528) - 4504 - _xlfn.XMATCH($C4528, $C$4506:$C$5005, 0, 1), 0), 0), "00")</f>
        <v>00</v>
      </c>
      <c r="H4528" s="1" t="str">
        <f t="shared" si="421"/>
        <v>002</v>
      </c>
      <c r="I4528" s="1" t="str">
        <f t="shared" si="422"/>
        <v>31100-002</v>
      </c>
      <c r="J4528" s="1" t="str">
        <f t="shared" si="423"/>
        <v>Upright piano retail item #002</v>
      </c>
      <c r="K4528" s="1" t="str">
        <f>IF(SUM(COUNTIFS(I:I, I4528)) &gt; 1, "DUPLICATE", "UNIQUE")</f>
        <v>UNIQUE</v>
      </c>
      <c r="L4528" s="18">
        <v>14</v>
      </c>
      <c r="M4528" s="28">
        <v>5269</v>
      </c>
      <c r="N4528" s="6">
        <v>10</v>
      </c>
      <c r="O4528" s="30">
        <f t="shared" si="424"/>
        <v>73766</v>
      </c>
      <c r="P4528" s="30">
        <f t="shared" si="425"/>
        <v>52690</v>
      </c>
      <c r="Q4528" s="1">
        <f>COUNTIFS($P:$P, "&gt;" &amp; $P4528) + 1</f>
        <v>521</v>
      </c>
      <c r="R4528" s="63">
        <f>(COUNTIFS($P:$P, "&gt;" &amp; $P4528) + 1) / (COUNTA($I:$I) - 1)</f>
        <v>0.1042</v>
      </c>
      <c r="S4528" s="23">
        <f>SUMIFS($P:$P, $Q:$Q, "&lt;" &amp; $Q4528)</f>
        <v>152641237</v>
      </c>
    </row>
    <row r="4529" spans="1:19" x14ac:dyDescent="0.25">
      <c r="A4529" s="1">
        <v>4524</v>
      </c>
      <c r="B4529" s="1" t="s">
        <v>4</v>
      </c>
      <c r="C4529" s="1" t="str">
        <f>IF($B4529 = "Production Item", _xlfn.XLOOKUP($A4529, 'Instrument Table'!$J:$J, 'Instrument Table'!$B:$B, $C4528), IF($B4529 = "Service Item", _xlfn.XLOOKUP($A4529, 'Instrument Table'!$I:$I, 'Instrument Table'!$B:$B, $C4528), _xlfn.XLOOKUP($A4529, 'Instrument Table'!$H:$H, 'Instrument Table'!$B:$B, $C4528)))</f>
        <v>Upright Piano</v>
      </c>
      <c r="D4529" s="1" t="str">
        <f>VLOOKUP($C4529, 'Instrument Table'!$B:$C, 2, FALSE)</f>
        <v>Pianos</v>
      </c>
      <c r="E4529" s="1">
        <f t="shared" si="420"/>
        <v>3</v>
      </c>
      <c r="F4529" s="1">
        <f>_xlfn.XLOOKUP($C4529, 'Instrument Table'!$B:$B, 'Instrument Table'!$A:$A, "")</f>
        <v>11</v>
      </c>
      <c r="G4529" s="1" t="str">
        <f>TEXT(IF($B4529 = "Retail Item", IF((ROW($A4529) - 4504 - _xlfn.XMATCH($C4529, $C$4506:$C$5005, 0, 1)) &lt;= VLOOKUP($C4529, 'Instrument Table'!$B:$D, 3, FALSE), ROW($A4529) - 4504 - _xlfn.XMATCH($C4529, $C$4506:$C$5005, 0, 1), 0), 0), "00")</f>
        <v>00</v>
      </c>
      <c r="H4529" s="1" t="str">
        <f t="shared" si="421"/>
        <v>003</v>
      </c>
      <c r="I4529" s="1" t="str">
        <f t="shared" si="422"/>
        <v>31100-003</v>
      </c>
      <c r="J4529" s="1" t="str">
        <f t="shared" si="423"/>
        <v>Upright piano retail item #003</v>
      </c>
      <c r="K4529" s="1" t="str">
        <f>IF(SUM(COUNTIFS(I:I, I4529)) &gt; 1, "DUPLICATE", "UNIQUE")</f>
        <v>UNIQUE</v>
      </c>
      <c r="L4529" s="18">
        <v>15</v>
      </c>
      <c r="M4529" s="28">
        <v>7142</v>
      </c>
      <c r="N4529" s="6">
        <v>98</v>
      </c>
      <c r="O4529" s="30">
        <f t="shared" si="424"/>
        <v>107130</v>
      </c>
      <c r="P4529" s="30">
        <f t="shared" si="425"/>
        <v>699916</v>
      </c>
      <c r="Q4529" s="1">
        <f>COUNTIFS($P:$P, "&gt;" &amp; $P4529) + 1</f>
        <v>38</v>
      </c>
      <c r="R4529" s="63">
        <f>(COUNTIFS($P:$P, "&gt;" &amp; $P4529) + 1) / (COUNTA($I:$I) - 1)</f>
        <v>7.6E-3</v>
      </c>
      <c r="S4529" s="23">
        <f>SUMIFS($P:$P, $Q:$Q, "&lt;" &amp; $Q4529)</f>
        <v>29931602</v>
      </c>
    </row>
    <row r="4530" spans="1:19" x14ac:dyDescent="0.25">
      <c r="A4530" s="1">
        <v>4525</v>
      </c>
      <c r="B4530" s="1" t="s">
        <v>4</v>
      </c>
      <c r="C4530" s="1" t="str">
        <f>IF($B4530 = "Production Item", _xlfn.XLOOKUP($A4530, 'Instrument Table'!$J:$J, 'Instrument Table'!$B:$B, $C4529), IF($B4530 = "Service Item", _xlfn.XLOOKUP($A4530, 'Instrument Table'!$I:$I, 'Instrument Table'!$B:$B, $C4529), _xlfn.XLOOKUP($A4530, 'Instrument Table'!$H:$H, 'Instrument Table'!$B:$B, $C4529)))</f>
        <v>Upright Piano</v>
      </c>
      <c r="D4530" s="1" t="str">
        <f>VLOOKUP($C4530, 'Instrument Table'!$B:$C, 2, FALSE)</f>
        <v>Pianos</v>
      </c>
      <c r="E4530" s="1">
        <f t="shared" si="420"/>
        <v>3</v>
      </c>
      <c r="F4530" s="1">
        <f>_xlfn.XLOOKUP($C4530, 'Instrument Table'!$B:$B, 'Instrument Table'!$A:$A, "")</f>
        <v>11</v>
      </c>
      <c r="G4530" s="1" t="str">
        <f>TEXT(IF($B4530 = "Retail Item", IF((ROW($A4530) - 4504 - _xlfn.XMATCH($C4530, $C$4506:$C$5005, 0, 1)) &lt;= VLOOKUP($C4530, 'Instrument Table'!$B:$D, 3, FALSE), ROW($A4530) - 4504 - _xlfn.XMATCH($C4530, $C$4506:$C$5005, 0, 1), 0), 0), "00")</f>
        <v>00</v>
      </c>
      <c r="H4530" s="1" t="str">
        <f t="shared" si="421"/>
        <v>004</v>
      </c>
      <c r="I4530" s="1" t="str">
        <f t="shared" si="422"/>
        <v>31100-004</v>
      </c>
      <c r="J4530" s="1" t="str">
        <f t="shared" si="423"/>
        <v>Upright piano retail item #004</v>
      </c>
      <c r="K4530" s="1" t="str">
        <f>IF(SUM(COUNTIFS(I:I, I4530)) &gt; 1, "DUPLICATE", "UNIQUE")</f>
        <v>UNIQUE</v>
      </c>
      <c r="L4530" s="18">
        <v>90</v>
      </c>
      <c r="M4530" s="28">
        <v>5094</v>
      </c>
      <c r="N4530" s="6">
        <v>36</v>
      </c>
      <c r="O4530" s="30">
        <f t="shared" si="424"/>
        <v>458460</v>
      </c>
      <c r="P4530" s="30">
        <f t="shared" si="425"/>
        <v>183384</v>
      </c>
      <c r="Q4530" s="1">
        <f>COUNTIFS($P:$P, "&gt;" &amp; $P4530) + 1</f>
        <v>301</v>
      </c>
      <c r="R4530" s="63">
        <f>(COUNTIFS($P:$P, "&gt;" &amp; $P4530) + 1) / (COUNTA($I:$I) - 1)</f>
        <v>6.0199999999999997E-2</v>
      </c>
      <c r="S4530" s="23">
        <f>SUMIFS($P:$P, $Q:$Q, "&lt;" &amp; $Q4530)</f>
        <v>129721479</v>
      </c>
    </row>
    <row r="4531" spans="1:19" x14ac:dyDescent="0.25">
      <c r="A4531" s="1">
        <v>4526</v>
      </c>
      <c r="B4531" s="1" t="s">
        <v>4</v>
      </c>
      <c r="C4531" s="1" t="str">
        <f>IF($B4531 = "Production Item", _xlfn.XLOOKUP($A4531, 'Instrument Table'!$J:$J, 'Instrument Table'!$B:$B, $C4530), IF($B4531 = "Service Item", _xlfn.XLOOKUP($A4531, 'Instrument Table'!$I:$I, 'Instrument Table'!$B:$B, $C4530), _xlfn.XLOOKUP($A4531, 'Instrument Table'!$H:$H, 'Instrument Table'!$B:$B, $C4530)))</f>
        <v>Upright Piano</v>
      </c>
      <c r="D4531" s="1" t="str">
        <f>VLOOKUP($C4531, 'Instrument Table'!$B:$C, 2, FALSE)</f>
        <v>Pianos</v>
      </c>
      <c r="E4531" s="1">
        <f t="shared" si="420"/>
        <v>3</v>
      </c>
      <c r="F4531" s="1">
        <f>_xlfn.XLOOKUP($C4531, 'Instrument Table'!$B:$B, 'Instrument Table'!$A:$A, "")</f>
        <v>11</v>
      </c>
      <c r="G4531" s="1" t="str">
        <f>TEXT(IF($B4531 = "Retail Item", IF((ROW($A4531) - 4504 - _xlfn.XMATCH($C4531, $C$4506:$C$5005, 0, 1)) &lt;= VLOOKUP($C4531, 'Instrument Table'!$B:$D, 3, FALSE), ROW($A4531) - 4504 - _xlfn.XMATCH($C4531, $C$4506:$C$5005, 0, 1), 0), 0), "00")</f>
        <v>00</v>
      </c>
      <c r="H4531" s="1" t="str">
        <f t="shared" si="421"/>
        <v>005</v>
      </c>
      <c r="I4531" s="1" t="str">
        <f t="shared" si="422"/>
        <v>31100-005</v>
      </c>
      <c r="J4531" s="1" t="str">
        <f t="shared" si="423"/>
        <v>Upright piano retail item #005</v>
      </c>
      <c r="K4531" s="1" t="str">
        <f>IF(SUM(COUNTIFS(I:I, I4531)) &gt; 1, "DUPLICATE", "UNIQUE")</f>
        <v>UNIQUE</v>
      </c>
      <c r="L4531" s="18">
        <v>48</v>
      </c>
      <c r="M4531" s="28">
        <v>4763</v>
      </c>
      <c r="N4531" s="6">
        <v>30</v>
      </c>
      <c r="O4531" s="30">
        <f t="shared" si="424"/>
        <v>228624</v>
      </c>
      <c r="P4531" s="30">
        <f t="shared" si="425"/>
        <v>142890</v>
      </c>
      <c r="Q4531" s="1">
        <f>COUNTIFS($P:$P, "&gt;" &amp; $P4531) + 1</f>
        <v>342</v>
      </c>
      <c r="R4531" s="63">
        <f>(COUNTIFS($P:$P, "&gt;" &amp; $P4531) + 1) / (COUNTA($I:$I) - 1)</f>
        <v>6.8400000000000002E-2</v>
      </c>
      <c r="S4531" s="23">
        <f>SUMIFS($P:$P, $Q:$Q, "&lt;" &amp; $Q4531)</f>
        <v>136346123</v>
      </c>
    </row>
    <row r="4532" spans="1:19" x14ac:dyDescent="0.25">
      <c r="A4532" s="1">
        <v>4527</v>
      </c>
      <c r="B4532" s="1" t="s">
        <v>4</v>
      </c>
      <c r="C4532" s="1" t="str">
        <f>IF($B4532 = "Production Item", _xlfn.XLOOKUP($A4532, 'Instrument Table'!$J:$J, 'Instrument Table'!$B:$B, $C4531), IF($B4532 = "Service Item", _xlfn.XLOOKUP($A4532, 'Instrument Table'!$I:$I, 'Instrument Table'!$B:$B, $C4531), _xlfn.XLOOKUP($A4532, 'Instrument Table'!$H:$H, 'Instrument Table'!$B:$B, $C4531)))</f>
        <v>Upright Piano</v>
      </c>
      <c r="D4532" s="1" t="str">
        <f>VLOOKUP($C4532, 'Instrument Table'!$B:$C, 2, FALSE)</f>
        <v>Pianos</v>
      </c>
      <c r="E4532" s="1">
        <f t="shared" si="420"/>
        <v>3</v>
      </c>
      <c r="F4532" s="1">
        <f>_xlfn.XLOOKUP($C4532, 'Instrument Table'!$B:$B, 'Instrument Table'!$A:$A, "")</f>
        <v>11</v>
      </c>
      <c r="G4532" s="1" t="str">
        <f>TEXT(IF($B4532 = "Retail Item", IF((ROW($A4532) - 4504 - _xlfn.XMATCH($C4532, $C$4506:$C$5005, 0, 1)) &lt;= VLOOKUP($C4532, 'Instrument Table'!$B:$D, 3, FALSE), ROW($A4532) - 4504 - _xlfn.XMATCH($C4532, $C$4506:$C$5005, 0, 1), 0), 0), "00")</f>
        <v>00</v>
      </c>
      <c r="H4532" s="1" t="str">
        <f t="shared" si="421"/>
        <v>006</v>
      </c>
      <c r="I4532" s="1" t="str">
        <f t="shared" si="422"/>
        <v>31100-006</v>
      </c>
      <c r="J4532" s="1" t="str">
        <f t="shared" si="423"/>
        <v>Upright piano retail item #006</v>
      </c>
      <c r="K4532" s="1" t="str">
        <f>IF(SUM(COUNTIFS(I:I, I4532)) &gt; 1, "DUPLICATE", "UNIQUE")</f>
        <v>UNIQUE</v>
      </c>
      <c r="L4532" s="18">
        <v>55</v>
      </c>
      <c r="M4532" s="28">
        <v>6774</v>
      </c>
      <c r="N4532" s="6">
        <v>8</v>
      </c>
      <c r="O4532" s="30">
        <f t="shared" si="424"/>
        <v>372570</v>
      </c>
      <c r="P4532" s="30">
        <f t="shared" si="425"/>
        <v>54192</v>
      </c>
      <c r="Q4532" s="1">
        <f>COUNTIFS($P:$P, "&gt;" &amp; $P4532) + 1</f>
        <v>516</v>
      </c>
      <c r="R4532" s="63">
        <f>(COUNTIFS($P:$P, "&gt;" &amp; $P4532) + 1) / (COUNTA($I:$I) - 1)</f>
        <v>0.1032</v>
      </c>
      <c r="S4532" s="23">
        <f>SUMIFS($P:$P, $Q:$Q, "&lt;" &amp; $Q4532)</f>
        <v>152375485</v>
      </c>
    </row>
    <row r="4533" spans="1:19" x14ac:dyDescent="0.25">
      <c r="A4533" s="1">
        <v>4528</v>
      </c>
      <c r="B4533" s="1" t="s">
        <v>4</v>
      </c>
      <c r="C4533" s="1" t="str">
        <f>IF($B4533 = "Production Item", _xlfn.XLOOKUP($A4533, 'Instrument Table'!$J:$J, 'Instrument Table'!$B:$B, $C4532), IF($B4533 = "Service Item", _xlfn.XLOOKUP($A4533, 'Instrument Table'!$I:$I, 'Instrument Table'!$B:$B, $C4532), _xlfn.XLOOKUP($A4533, 'Instrument Table'!$H:$H, 'Instrument Table'!$B:$B, $C4532)))</f>
        <v>Upright Piano</v>
      </c>
      <c r="D4533" s="1" t="str">
        <f>VLOOKUP($C4533, 'Instrument Table'!$B:$C, 2, FALSE)</f>
        <v>Pianos</v>
      </c>
      <c r="E4533" s="1">
        <f t="shared" si="420"/>
        <v>3</v>
      </c>
      <c r="F4533" s="1">
        <f>_xlfn.XLOOKUP($C4533, 'Instrument Table'!$B:$B, 'Instrument Table'!$A:$A, "")</f>
        <v>11</v>
      </c>
      <c r="G4533" s="1" t="str">
        <f>TEXT(IF($B4533 = "Retail Item", IF((ROW($A4533) - 4504 - _xlfn.XMATCH($C4533, $C$4506:$C$5005, 0, 1)) &lt;= VLOOKUP($C4533, 'Instrument Table'!$B:$D, 3, FALSE), ROW($A4533) - 4504 - _xlfn.XMATCH($C4533, $C$4506:$C$5005, 0, 1), 0), 0), "00")</f>
        <v>00</v>
      </c>
      <c r="H4533" s="1" t="str">
        <f t="shared" si="421"/>
        <v>007</v>
      </c>
      <c r="I4533" s="1" t="str">
        <f t="shared" si="422"/>
        <v>31100-007</v>
      </c>
      <c r="J4533" s="1" t="str">
        <f t="shared" si="423"/>
        <v>Upright piano retail item #007</v>
      </c>
      <c r="K4533" s="1" t="str">
        <f>IF(SUM(COUNTIFS(I:I, I4533)) &gt; 1, "DUPLICATE", "UNIQUE")</f>
        <v>UNIQUE</v>
      </c>
      <c r="L4533" s="18">
        <v>33</v>
      </c>
      <c r="M4533" s="28">
        <v>4588</v>
      </c>
      <c r="N4533" s="6">
        <v>82</v>
      </c>
      <c r="O4533" s="30">
        <f t="shared" si="424"/>
        <v>151404</v>
      </c>
      <c r="P4533" s="30">
        <f t="shared" si="425"/>
        <v>376216</v>
      </c>
      <c r="Q4533" s="1">
        <f>COUNTIFS($P:$P, "&gt;" &amp; $P4533) + 1</f>
        <v>152</v>
      </c>
      <c r="R4533" s="63">
        <f>(COUNTIFS($P:$P, "&gt;" &amp; $P4533) + 1) / (COUNTA($I:$I) - 1)</f>
        <v>3.04E-2</v>
      </c>
      <c r="S4533" s="23">
        <f>SUMIFS($P:$P, $Q:$Q, "&lt;" &amp; $Q4533)</f>
        <v>88722254</v>
      </c>
    </row>
    <row r="4534" spans="1:19" x14ac:dyDescent="0.25">
      <c r="A4534" s="1">
        <v>4529</v>
      </c>
      <c r="B4534" s="1" t="s">
        <v>4</v>
      </c>
      <c r="C4534" s="1" t="str">
        <f>IF($B4534 = "Production Item", _xlfn.XLOOKUP($A4534, 'Instrument Table'!$J:$J, 'Instrument Table'!$B:$B, $C4533), IF($B4534 = "Service Item", _xlfn.XLOOKUP($A4534, 'Instrument Table'!$I:$I, 'Instrument Table'!$B:$B, $C4533), _xlfn.XLOOKUP($A4534, 'Instrument Table'!$H:$H, 'Instrument Table'!$B:$B, $C4533)))</f>
        <v>Upright Piano</v>
      </c>
      <c r="D4534" s="1" t="str">
        <f>VLOOKUP($C4534, 'Instrument Table'!$B:$C, 2, FALSE)</f>
        <v>Pianos</v>
      </c>
      <c r="E4534" s="1">
        <f t="shared" si="420"/>
        <v>3</v>
      </c>
      <c r="F4534" s="1">
        <f>_xlfn.XLOOKUP($C4534, 'Instrument Table'!$B:$B, 'Instrument Table'!$A:$A, "")</f>
        <v>11</v>
      </c>
      <c r="G4534" s="1" t="str">
        <f>TEXT(IF($B4534 = "Retail Item", IF((ROW($A4534) - 4504 - _xlfn.XMATCH($C4534, $C$4506:$C$5005, 0, 1)) &lt;= VLOOKUP($C4534, 'Instrument Table'!$B:$D, 3, FALSE), ROW($A4534) - 4504 - _xlfn.XMATCH($C4534, $C$4506:$C$5005, 0, 1), 0), 0), "00")</f>
        <v>00</v>
      </c>
      <c r="H4534" s="1" t="str">
        <f t="shared" si="421"/>
        <v>008</v>
      </c>
      <c r="I4534" s="1" t="str">
        <f t="shared" si="422"/>
        <v>31100-008</v>
      </c>
      <c r="J4534" s="1" t="str">
        <f t="shared" si="423"/>
        <v>Upright piano retail item #008</v>
      </c>
      <c r="K4534" s="1" t="str">
        <f>IF(SUM(COUNTIFS(I:I, I4534)) &gt; 1, "DUPLICATE", "UNIQUE")</f>
        <v>UNIQUE</v>
      </c>
      <c r="L4534" s="18">
        <v>0</v>
      </c>
      <c r="M4534" s="28">
        <v>2142</v>
      </c>
      <c r="N4534" s="6">
        <v>39</v>
      </c>
      <c r="O4534" s="30">
        <f t="shared" si="424"/>
        <v>0</v>
      </c>
      <c r="P4534" s="30">
        <f t="shared" si="425"/>
        <v>83538</v>
      </c>
      <c r="Q4534" s="1">
        <f>COUNTIFS($P:$P, "&gt;" &amp; $P4534) + 1</f>
        <v>440</v>
      </c>
      <c r="R4534" s="63">
        <f>(COUNTIFS($P:$P, "&gt;" &amp; $P4534) + 1) / (COUNTA($I:$I) - 1)</f>
        <v>8.7999999999999995E-2</v>
      </c>
      <c r="S4534" s="23">
        <f>SUMIFS($P:$P, $Q:$Q, "&lt;" &amp; $Q4534)</f>
        <v>147202348</v>
      </c>
    </row>
    <row r="4535" spans="1:19" x14ac:dyDescent="0.25">
      <c r="A4535" s="1">
        <v>4530</v>
      </c>
      <c r="B4535" s="1" t="s">
        <v>4</v>
      </c>
      <c r="C4535" s="1" t="str">
        <f>IF($B4535 = "Production Item", _xlfn.XLOOKUP($A4535, 'Instrument Table'!$J:$J, 'Instrument Table'!$B:$B, $C4534), IF($B4535 = "Service Item", _xlfn.XLOOKUP($A4535, 'Instrument Table'!$I:$I, 'Instrument Table'!$B:$B, $C4534), _xlfn.XLOOKUP($A4535, 'Instrument Table'!$H:$H, 'Instrument Table'!$B:$B, $C4534)))</f>
        <v>Upright Piano</v>
      </c>
      <c r="D4535" s="1" t="str">
        <f>VLOOKUP($C4535, 'Instrument Table'!$B:$C, 2, FALSE)</f>
        <v>Pianos</v>
      </c>
      <c r="E4535" s="1">
        <f t="shared" si="420"/>
        <v>3</v>
      </c>
      <c r="F4535" s="1">
        <f>_xlfn.XLOOKUP($C4535, 'Instrument Table'!$B:$B, 'Instrument Table'!$A:$A, "")</f>
        <v>11</v>
      </c>
      <c r="G4535" s="1" t="str">
        <f>TEXT(IF($B4535 = "Retail Item", IF((ROW($A4535) - 4504 - _xlfn.XMATCH($C4535, $C$4506:$C$5005, 0, 1)) &lt;= VLOOKUP($C4535, 'Instrument Table'!$B:$D, 3, FALSE), ROW($A4535) - 4504 - _xlfn.XMATCH($C4535, $C$4506:$C$5005, 0, 1), 0), 0), "00")</f>
        <v>00</v>
      </c>
      <c r="H4535" s="1" t="str">
        <f t="shared" si="421"/>
        <v>009</v>
      </c>
      <c r="I4535" s="1" t="str">
        <f t="shared" si="422"/>
        <v>31100-009</v>
      </c>
      <c r="J4535" s="1" t="str">
        <f t="shared" si="423"/>
        <v>Upright piano retail item #009</v>
      </c>
      <c r="K4535" s="1" t="str">
        <f>IF(SUM(COUNTIFS(I:I, I4535)) &gt; 1, "DUPLICATE", "UNIQUE")</f>
        <v>UNIQUE</v>
      </c>
      <c r="L4535" s="18">
        <v>67</v>
      </c>
      <c r="M4535" s="28">
        <v>9665</v>
      </c>
      <c r="N4535" s="6">
        <v>94</v>
      </c>
      <c r="O4535" s="30">
        <f t="shared" si="424"/>
        <v>647555</v>
      </c>
      <c r="P4535" s="30">
        <f t="shared" si="425"/>
        <v>908510</v>
      </c>
      <c r="Q4535" s="1">
        <f>COUNTIFS($P:$P, "&gt;" &amp; $P4535) + 1</f>
        <v>5</v>
      </c>
      <c r="R4535" s="63">
        <f>(COUNTIFS($P:$P, "&gt;" &amp; $P4535) + 1) / (COUNTA($I:$I) - 1)</f>
        <v>1E-3</v>
      </c>
      <c r="S4535" s="23">
        <f>SUMIFS($P:$P, $Q:$Q, "&lt;" &amp; $Q4535)</f>
        <v>3793794</v>
      </c>
    </row>
    <row r="4536" spans="1:19" x14ac:dyDescent="0.25">
      <c r="A4536" s="1">
        <v>4531</v>
      </c>
      <c r="B4536" s="1" t="s">
        <v>4</v>
      </c>
      <c r="C4536" s="1" t="str">
        <f>IF($B4536 = "Production Item", _xlfn.XLOOKUP($A4536, 'Instrument Table'!$J:$J, 'Instrument Table'!$B:$B, $C4535), IF($B4536 = "Service Item", _xlfn.XLOOKUP($A4536, 'Instrument Table'!$I:$I, 'Instrument Table'!$B:$B, $C4535), _xlfn.XLOOKUP($A4536, 'Instrument Table'!$H:$H, 'Instrument Table'!$B:$B, $C4535)))</f>
        <v>Electric Keyboard</v>
      </c>
      <c r="D4536" s="1" t="str">
        <f>VLOOKUP($C4536, 'Instrument Table'!$B:$C, 2, FALSE)</f>
        <v>Pianos</v>
      </c>
      <c r="E4536" s="1">
        <f t="shared" si="420"/>
        <v>3</v>
      </c>
      <c r="F4536" s="1">
        <f>_xlfn.XLOOKUP($C4536, 'Instrument Table'!$B:$B, 'Instrument Table'!$A:$A, "")</f>
        <v>12</v>
      </c>
      <c r="G4536" s="1" t="str">
        <f>TEXT(IF($B4536 = "Retail Item", IF((ROW($A4536) - 4504 - _xlfn.XMATCH($C4536, $C$4506:$C$5005, 0, 1)) &lt;= VLOOKUP($C4536, 'Instrument Table'!$B:$D, 3, FALSE), ROW($A4536) - 4504 - _xlfn.XMATCH($C4536, $C$4506:$C$5005, 0, 1), 0), 0), "00")</f>
        <v>01</v>
      </c>
      <c r="H4536" s="1" t="str">
        <f t="shared" si="421"/>
        <v>000</v>
      </c>
      <c r="I4536" s="1" t="str">
        <f t="shared" si="422"/>
        <v>31201-000</v>
      </c>
      <c r="J4536" s="1" t="str">
        <f t="shared" si="423"/>
        <v>Electric keyboard model #01</v>
      </c>
      <c r="K4536" s="1" t="str">
        <f>IF(SUM(COUNTIFS(I:I, I4536)) &gt; 1, "DUPLICATE", "UNIQUE")</f>
        <v>UNIQUE</v>
      </c>
      <c r="L4536" s="18">
        <v>94</v>
      </c>
      <c r="M4536" s="28">
        <v>7246</v>
      </c>
      <c r="N4536" s="6">
        <v>72</v>
      </c>
      <c r="O4536" s="30">
        <f t="shared" si="424"/>
        <v>681124</v>
      </c>
      <c r="P4536" s="30">
        <f t="shared" si="425"/>
        <v>521712</v>
      </c>
      <c r="Q4536" s="1">
        <f>COUNTIFS($P:$P, "&gt;" &amp; $P4536) + 1</f>
        <v>88</v>
      </c>
      <c r="R4536" s="63">
        <f>(COUNTIFS($P:$P, "&gt;" &amp; $P4536) + 1) / (COUNTA($I:$I) - 1)</f>
        <v>1.7600000000000001E-2</v>
      </c>
      <c r="S4536" s="23">
        <f>SUMIFS($P:$P, $Q:$Q, "&lt;" &amp; $Q4536)</f>
        <v>60037463</v>
      </c>
    </row>
    <row r="4537" spans="1:19" x14ac:dyDescent="0.25">
      <c r="A4537" s="1">
        <v>4532</v>
      </c>
      <c r="B4537" s="1" t="s">
        <v>4</v>
      </c>
      <c r="C4537" s="1" t="str">
        <f>IF($B4537 = "Production Item", _xlfn.XLOOKUP($A4537, 'Instrument Table'!$J:$J, 'Instrument Table'!$B:$B, $C4536), IF($B4537 = "Service Item", _xlfn.XLOOKUP($A4537, 'Instrument Table'!$I:$I, 'Instrument Table'!$B:$B, $C4536), _xlfn.XLOOKUP($A4537, 'Instrument Table'!$H:$H, 'Instrument Table'!$B:$B, $C4536)))</f>
        <v>Electric Keyboard</v>
      </c>
      <c r="D4537" s="1" t="str">
        <f>VLOOKUP($C4537, 'Instrument Table'!$B:$C, 2, FALSE)</f>
        <v>Pianos</v>
      </c>
      <c r="E4537" s="1">
        <f t="shared" si="420"/>
        <v>3</v>
      </c>
      <c r="F4537" s="1">
        <f>_xlfn.XLOOKUP($C4537, 'Instrument Table'!$B:$B, 'Instrument Table'!$A:$A, "")</f>
        <v>12</v>
      </c>
      <c r="G4537" s="1" t="str">
        <f>TEXT(IF($B4537 = "Retail Item", IF((ROW($A4537) - 4504 - _xlfn.XMATCH($C4537, $C$4506:$C$5005, 0, 1)) &lt;= VLOOKUP($C4537, 'Instrument Table'!$B:$D, 3, FALSE), ROW($A4537) - 4504 - _xlfn.XMATCH($C4537, $C$4506:$C$5005, 0, 1), 0), 0), "00")</f>
        <v>02</v>
      </c>
      <c r="H4537" s="1" t="str">
        <f t="shared" si="421"/>
        <v>000</v>
      </c>
      <c r="I4537" s="1" t="str">
        <f t="shared" si="422"/>
        <v>31202-000</v>
      </c>
      <c r="J4537" s="1" t="str">
        <f t="shared" si="423"/>
        <v>Electric keyboard model #02</v>
      </c>
      <c r="K4537" s="1" t="str">
        <f>IF(SUM(COUNTIFS(I:I, I4537)) &gt; 1, "DUPLICATE", "UNIQUE")</f>
        <v>UNIQUE</v>
      </c>
      <c r="L4537" s="18">
        <v>13</v>
      </c>
      <c r="M4537" s="28">
        <v>8290</v>
      </c>
      <c r="N4537" s="6">
        <v>19</v>
      </c>
      <c r="O4537" s="30">
        <f t="shared" si="424"/>
        <v>107770</v>
      </c>
      <c r="P4537" s="30">
        <f t="shared" si="425"/>
        <v>157510</v>
      </c>
      <c r="Q4537" s="1">
        <f>COUNTIFS($P:$P, "&gt;" &amp; $P4537) + 1</f>
        <v>323</v>
      </c>
      <c r="R4537" s="63">
        <f>(COUNTIFS($P:$P, "&gt;" &amp; $P4537) + 1) / (COUNTA($I:$I) - 1)</f>
        <v>6.4600000000000005E-2</v>
      </c>
      <c r="S4537" s="23">
        <f>SUMIFS($P:$P, $Q:$Q, "&lt;" &amp; $Q4537)</f>
        <v>133471899</v>
      </c>
    </row>
    <row r="4538" spans="1:19" x14ac:dyDescent="0.25">
      <c r="A4538" s="1">
        <v>4533</v>
      </c>
      <c r="B4538" s="1" t="s">
        <v>4</v>
      </c>
      <c r="C4538" s="1" t="str">
        <f>IF($B4538 = "Production Item", _xlfn.XLOOKUP($A4538, 'Instrument Table'!$J:$J, 'Instrument Table'!$B:$B, $C4537), IF($B4538 = "Service Item", _xlfn.XLOOKUP($A4538, 'Instrument Table'!$I:$I, 'Instrument Table'!$B:$B, $C4537), _xlfn.XLOOKUP($A4538, 'Instrument Table'!$H:$H, 'Instrument Table'!$B:$B, $C4537)))</f>
        <v>Electric Keyboard</v>
      </c>
      <c r="D4538" s="1" t="str">
        <f>VLOOKUP($C4538, 'Instrument Table'!$B:$C, 2, FALSE)</f>
        <v>Pianos</v>
      </c>
      <c r="E4538" s="1">
        <f t="shared" si="420"/>
        <v>3</v>
      </c>
      <c r="F4538" s="1">
        <f>_xlfn.XLOOKUP($C4538, 'Instrument Table'!$B:$B, 'Instrument Table'!$A:$A, "")</f>
        <v>12</v>
      </c>
      <c r="G4538" s="1" t="str">
        <f>TEXT(IF($B4538 = "Retail Item", IF((ROW($A4538) - 4504 - _xlfn.XMATCH($C4538, $C$4506:$C$5005, 0, 1)) &lt;= VLOOKUP($C4538, 'Instrument Table'!$B:$D, 3, FALSE), ROW($A4538) - 4504 - _xlfn.XMATCH($C4538, $C$4506:$C$5005, 0, 1), 0), 0), "00")</f>
        <v>03</v>
      </c>
      <c r="H4538" s="1" t="str">
        <f t="shared" si="421"/>
        <v>000</v>
      </c>
      <c r="I4538" s="1" t="str">
        <f t="shared" si="422"/>
        <v>31203-000</v>
      </c>
      <c r="J4538" s="1" t="str">
        <f t="shared" si="423"/>
        <v>Electric keyboard model #03</v>
      </c>
      <c r="K4538" s="1" t="str">
        <f>IF(SUM(COUNTIFS(I:I, I4538)) &gt; 1, "DUPLICATE", "UNIQUE")</f>
        <v>UNIQUE</v>
      </c>
      <c r="L4538" s="18">
        <v>57</v>
      </c>
      <c r="M4538" s="28">
        <v>7205</v>
      </c>
      <c r="N4538" s="6">
        <v>86</v>
      </c>
      <c r="O4538" s="30">
        <f t="shared" si="424"/>
        <v>410685</v>
      </c>
      <c r="P4538" s="30">
        <f t="shared" si="425"/>
        <v>619630</v>
      </c>
      <c r="Q4538" s="1">
        <f>COUNTIFS($P:$P, "&gt;" &amp; $P4538) + 1</f>
        <v>58</v>
      </c>
      <c r="R4538" s="63">
        <f>(COUNTIFS($P:$P, "&gt;" &amp; $P4538) + 1) / (COUNTA($I:$I) - 1)</f>
        <v>1.1599999999999999E-2</v>
      </c>
      <c r="S4538" s="23">
        <f>SUMIFS($P:$P, $Q:$Q, "&lt;" &amp; $Q4538)</f>
        <v>42947491</v>
      </c>
    </row>
    <row r="4539" spans="1:19" x14ac:dyDescent="0.25">
      <c r="A4539" s="1">
        <v>4534</v>
      </c>
      <c r="B4539" s="1" t="s">
        <v>4</v>
      </c>
      <c r="C4539" s="1" t="str">
        <f>IF($B4539 = "Production Item", _xlfn.XLOOKUP($A4539, 'Instrument Table'!$J:$J, 'Instrument Table'!$B:$B, $C4538), IF($B4539 = "Service Item", _xlfn.XLOOKUP($A4539, 'Instrument Table'!$I:$I, 'Instrument Table'!$B:$B, $C4538), _xlfn.XLOOKUP($A4539, 'Instrument Table'!$H:$H, 'Instrument Table'!$B:$B, $C4538)))</f>
        <v>Electric Keyboard</v>
      </c>
      <c r="D4539" s="1" t="str">
        <f>VLOOKUP($C4539, 'Instrument Table'!$B:$C, 2, FALSE)</f>
        <v>Pianos</v>
      </c>
      <c r="E4539" s="1">
        <f t="shared" si="420"/>
        <v>3</v>
      </c>
      <c r="F4539" s="1">
        <f>_xlfn.XLOOKUP($C4539, 'Instrument Table'!$B:$B, 'Instrument Table'!$A:$A, "")</f>
        <v>12</v>
      </c>
      <c r="G4539" s="1" t="str">
        <f>TEXT(IF($B4539 = "Retail Item", IF((ROW($A4539) - 4504 - _xlfn.XMATCH($C4539, $C$4506:$C$5005, 0, 1)) &lt;= VLOOKUP($C4539, 'Instrument Table'!$B:$D, 3, FALSE), ROW($A4539) - 4504 - _xlfn.XMATCH($C4539, $C$4506:$C$5005, 0, 1), 0), 0), "00")</f>
        <v>04</v>
      </c>
      <c r="H4539" s="1" t="str">
        <f t="shared" si="421"/>
        <v>000</v>
      </c>
      <c r="I4539" s="1" t="str">
        <f t="shared" si="422"/>
        <v>31204-000</v>
      </c>
      <c r="J4539" s="1" t="str">
        <f t="shared" si="423"/>
        <v>Electric keyboard model #04</v>
      </c>
      <c r="K4539" s="1" t="str">
        <f>IF(SUM(COUNTIFS(I:I, I4539)) &gt; 1, "DUPLICATE", "UNIQUE")</f>
        <v>UNIQUE</v>
      </c>
      <c r="L4539" s="18">
        <v>38</v>
      </c>
      <c r="M4539" s="28">
        <v>9983</v>
      </c>
      <c r="N4539" s="6">
        <v>95</v>
      </c>
      <c r="O4539" s="30">
        <f t="shared" si="424"/>
        <v>379354</v>
      </c>
      <c r="P4539" s="30">
        <f t="shared" si="425"/>
        <v>948385</v>
      </c>
      <c r="Q4539" s="1">
        <f>COUNTIFS($P:$P, "&gt;" &amp; $P4539) + 1</f>
        <v>2</v>
      </c>
      <c r="R4539" s="63">
        <f>(COUNTIFS($P:$P, "&gt;" &amp; $P4539) + 1) / (COUNTA($I:$I) - 1)</f>
        <v>4.0000000000000002E-4</v>
      </c>
      <c r="S4539" s="23">
        <f>SUMIFS($P:$P, $Q:$Q, "&lt;" &amp; $Q4539)</f>
        <v>959409</v>
      </c>
    </row>
    <row r="4540" spans="1:19" x14ac:dyDescent="0.25">
      <c r="A4540" s="1">
        <v>4535</v>
      </c>
      <c r="B4540" s="1" t="s">
        <v>4</v>
      </c>
      <c r="C4540" s="1" t="str">
        <f>IF($B4540 = "Production Item", _xlfn.XLOOKUP($A4540, 'Instrument Table'!$J:$J, 'Instrument Table'!$B:$B, $C4539), IF($B4540 = "Service Item", _xlfn.XLOOKUP($A4540, 'Instrument Table'!$I:$I, 'Instrument Table'!$B:$B, $C4539), _xlfn.XLOOKUP($A4540, 'Instrument Table'!$H:$H, 'Instrument Table'!$B:$B, $C4539)))</f>
        <v>Electric Keyboard</v>
      </c>
      <c r="D4540" s="1" t="str">
        <f>VLOOKUP($C4540, 'Instrument Table'!$B:$C, 2, FALSE)</f>
        <v>Pianos</v>
      </c>
      <c r="E4540" s="1">
        <f t="shared" si="420"/>
        <v>3</v>
      </c>
      <c r="F4540" s="1">
        <f>_xlfn.XLOOKUP($C4540, 'Instrument Table'!$B:$B, 'Instrument Table'!$A:$A, "")</f>
        <v>12</v>
      </c>
      <c r="G4540" s="1" t="str">
        <f>TEXT(IF($B4540 = "Retail Item", IF((ROW($A4540) - 4504 - _xlfn.XMATCH($C4540, $C$4506:$C$5005, 0, 1)) &lt;= VLOOKUP($C4540, 'Instrument Table'!$B:$D, 3, FALSE), ROW($A4540) - 4504 - _xlfn.XMATCH($C4540, $C$4506:$C$5005, 0, 1), 0), 0), "00")</f>
        <v>05</v>
      </c>
      <c r="H4540" s="1" t="str">
        <f t="shared" si="421"/>
        <v>000</v>
      </c>
      <c r="I4540" s="1" t="str">
        <f t="shared" si="422"/>
        <v>31205-000</v>
      </c>
      <c r="J4540" s="1" t="str">
        <f t="shared" si="423"/>
        <v>Electric keyboard model #05</v>
      </c>
      <c r="K4540" s="1" t="str">
        <f>IF(SUM(COUNTIFS(I:I, I4540)) &gt; 1, "DUPLICATE", "UNIQUE")</f>
        <v>UNIQUE</v>
      </c>
      <c r="L4540" s="18">
        <v>35</v>
      </c>
      <c r="M4540" s="28">
        <v>4787</v>
      </c>
      <c r="N4540" s="6">
        <v>63</v>
      </c>
      <c r="O4540" s="30">
        <f t="shared" si="424"/>
        <v>167545</v>
      </c>
      <c r="P4540" s="30">
        <f t="shared" si="425"/>
        <v>301581</v>
      </c>
      <c r="Q4540" s="1">
        <f>COUNTIFS($P:$P, "&gt;" &amp; $P4540) + 1</f>
        <v>202</v>
      </c>
      <c r="R4540" s="63">
        <f>(COUNTIFS($P:$P, "&gt;" &amp; $P4540) + 1) / (COUNTA($I:$I) - 1)</f>
        <v>4.0399999999999998E-2</v>
      </c>
      <c r="S4540" s="23">
        <f>SUMIFS($P:$P, $Q:$Q, "&lt;" &amp; $Q4540)</f>
        <v>105536988</v>
      </c>
    </row>
    <row r="4541" spans="1:19" x14ac:dyDescent="0.25">
      <c r="A4541" s="1">
        <v>4536</v>
      </c>
      <c r="B4541" s="1" t="s">
        <v>4</v>
      </c>
      <c r="C4541" s="1" t="str">
        <f>IF($B4541 = "Production Item", _xlfn.XLOOKUP($A4541, 'Instrument Table'!$J:$J, 'Instrument Table'!$B:$B, $C4540), IF($B4541 = "Service Item", _xlfn.XLOOKUP($A4541, 'Instrument Table'!$I:$I, 'Instrument Table'!$B:$B, $C4540), _xlfn.XLOOKUP($A4541, 'Instrument Table'!$H:$H, 'Instrument Table'!$B:$B, $C4540)))</f>
        <v>Electric Keyboard</v>
      </c>
      <c r="D4541" s="1" t="str">
        <f>VLOOKUP($C4541, 'Instrument Table'!$B:$C, 2, FALSE)</f>
        <v>Pianos</v>
      </c>
      <c r="E4541" s="1">
        <f t="shared" si="420"/>
        <v>3</v>
      </c>
      <c r="F4541" s="1">
        <f>_xlfn.XLOOKUP($C4541, 'Instrument Table'!$B:$B, 'Instrument Table'!$A:$A, "")</f>
        <v>12</v>
      </c>
      <c r="G4541" s="1" t="str">
        <f>TEXT(IF($B4541 = "Retail Item", IF((ROW($A4541) - 4504 - _xlfn.XMATCH($C4541, $C$4506:$C$5005, 0, 1)) &lt;= VLOOKUP($C4541, 'Instrument Table'!$B:$D, 3, FALSE), ROW($A4541) - 4504 - _xlfn.XMATCH($C4541, $C$4506:$C$5005, 0, 1), 0), 0), "00")</f>
        <v>00</v>
      </c>
      <c r="H4541" s="1" t="str">
        <f t="shared" si="421"/>
        <v>000</v>
      </c>
      <c r="I4541" s="1" t="str">
        <f t="shared" si="422"/>
        <v>31200-000</v>
      </c>
      <c r="J4541" s="1" t="str">
        <f t="shared" si="423"/>
        <v>Electric keyboard retail item #000</v>
      </c>
      <c r="K4541" s="1" t="str">
        <f>IF(SUM(COUNTIFS(I:I, I4541)) &gt; 1, "DUPLICATE", "UNIQUE")</f>
        <v>UNIQUE</v>
      </c>
      <c r="L4541" s="18">
        <v>75</v>
      </c>
      <c r="M4541" s="28">
        <v>4344</v>
      </c>
      <c r="N4541" s="6">
        <v>59</v>
      </c>
      <c r="O4541" s="30">
        <f t="shared" si="424"/>
        <v>325800</v>
      </c>
      <c r="P4541" s="30">
        <f t="shared" si="425"/>
        <v>256296</v>
      </c>
      <c r="Q4541" s="1">
        <f>COUNTIFS($P:$P, "&gt;" &amp; $P4541) + 1</f>
        <v>240</v>
      </c>
      <c r="R4541" s="63">
        <f>(COUNTIFS($P:$P, "&gt;" &amp; $P4541) + 1) / (COUNTA($I:$I) - 1)</f>
        <v>4.8000000000000001E-2</v>
      </c>
      <c r="S4541" s="23">
        <f>SUMIFS($P:$P, $Q:$Q, "&lt;" &amp; $Q4541)</f>
        <v>116164522</v>
      </c>
    </row>
    <row r="4542" spans="1:19" x14ac:dyDescent="0.25">
      <c r="A4542" s="1">
        <v>4537</v>
      </c>
      <c r="B4542" s="1" t="s">
        <v>4</v>
      </c>
      <c r="C4542" s="1" t="str">
        <f>IF($B4542 = "Production Item", _xlfn.XLOOKUP($A4542, 'Instrument Table'!$J:$J, 'Instrument Table'!$B:$B, $C4541), IF($B4542 = "Service Item", _xlfn.XLOOKUP($A4542, 'Instrument Table'!$I:$I, 'Instrument Table'!$B:$B, $C4541), _xlfn.XLOOKUP($A4542, 'Instrument Table'!$H:$H, 'Instrument Table'!$B:$B, $C4541)))</f>
        <v>Electric Keyboard</v>
      </c>
      <c r="D4542" s="1" t="str">
        <f>VLOOKUP($C4542, 'Instrument Table'!$B:$C, 2, FALSE)</f>
        <v>Pianos</v>
      </c>
      <c r="E4542" s="1">
        <f t="shared" si="420"/>
        <v>3</v>
      </c>
      <c r="F4542" s="1">
        <f>_xlfn.XLOOKUP($C4542, 'Instrument Table'!$B:$B, 'Instrument Table'!$A:$A, "")</f>
        <v>12</v>
      </c>
      <c r="G4542" s="1" t="str">
        <f>TEXT(IF($B4542 = "Retail Item", IF((ROW($A4542) - 4504 - _xlfn.XMATCH($C4542, $C$4506:$C$5005, 0, 1)) &lt;= VLOOKUP($C4542, 'Instrument Table'!$B:$D, 3, FALSE), ROW($A4542) - 4504 - _xlfn.XMATCH($C4542, $C$4506:$C$5005, 0, 1), 0), 0), "00")</f>
        <v>00</v>
      </c>
      <c r="H4542" s="1" t="str">
        <f t="shared" si="421"/>
        <v>001</v>
      </c>
      <c r="I4542" s="1" t="str">
        <f t="shared" si="422"/>
        <v>31200-001</v>
      </c>
      <c r="J4542" s="1" t="str">
        <f t="shared" si="423"/>
        <v>Electric keyboard retail item #001</v>
      </c>
      <c r="K4542" s="1" t="str">
        <f>IF(SUM(COUNTIFS(I:I, I4542)) &gt; 1, "DUPLICATE", "UNIQUE")</f>
        <v>UNIQUE</v>
      </c>
      <c r="L4542" s="18">
        <v>82</v>
      </c>
      <c r="M4542" s="28">
        <v>3948</v>
      </c>
      <c r="N4542" s="6">
        <v>79</v>
      </c>
      <c r="O4542" s="30">
        <f t="shared" si="424"/>
        <v>323736</v>
      </c>
      <c r="P4542" s="30">
        <f t="shared" si="425"/>
        <v>311892</v>
      </c>
      <c r="Q4542" s="1">
        <f>COUNTIFS($P:$P, "&gt;" &amp; $P4542) + 1</f>
        <v>193</v>
      </c>
      <c r="R4542" s="63">
        <f>(COUNTIFS($P:$P, "&gt;" &amp; $P4542) + 1) / (COUNTA($I:$I) - 1)</f>
        <v>3.8600000000000002E-2</v>
      </c>
      <c r="S4542" s="23">
        <f>SUMIFS($P:$P, $Q:$Q, "&lt;" &amp; $Q4542)</f>
        <v>102778847</v>
      </c>
    </row>
    <row r="4543" spans="1:19" x14ac:dyDescent="0.25">
      <c r="A4543" s="1">
        <v>4538</v>
      </c>
      <c r="B4543" s="1" t="s">
        <v>4</v>
      </c>
      <c r="C4543" s="1" t="str">
        <f>IF($B4543 = "Production Item", _xlfn.XLOOKUP($A4543, 'Instrument Table'!$J:$J, 'Instrument Table'!$B:$B, $C4542), IF($B4543 = "Service Item", _xlfn.XLOOKUP($A4543, 'Instrument Table'!$I:$I, 'Instrument Table'!$B:$B, $C4542), _xlfn.XLOOKUP($A4543, 'Instrument Table'!$H:$H, 'Instrument Table'!$B:$B, $C4542)))</f>
        <v>Electric Keyboard</v>
      </c>
      <c r="D4543" s="1" t="str">
        <f>VLOOKUP($C4543, 'Instrument Table'!$B:$C, 2, FALSE)</f>
        <v>Pianos</v>
      </c>
      <c r="E4543" s="1">
        <f t="shared" si="420"/>
        <v>3</v>
      </c>
      <c r="F4543" s="1">
        <f>_xlfn.XLOOKUP($C4543, 'Instrument Table'!$B:$B, 'Instrument Table'!$A:$A, "")</f>
        <v>12</v>
      </c>
      <c r="G4543" s="1" t="str">
        <f>TEXT(IF($B4543 = "Retail Item", IF((ROW($A4543) - 4504 - _xlfn.XMATCH($C4543, $C$4506:$C$5005, 0, 1)) &lt;= VLOOKUP($C4543, 'Instrument Table'!$B:$D, 3, FALSE), ROW($A4543) - 4504 - _xlfn.XMATCH($C4543, $C$4506:$C$5005, 0, 1), 0), 0), "00")</f>
        <v>00</v>
      </c>
      <c r="H4543" s="1" t="str">
        <f t="shared" si="421"/>
        <v>002</v>
      </c>
      <c r="I4543" s="1" t="str">
        <f t="shared" si="422"/>
        <v>31200-002</v>
      </c>
      <c r="J4543" s="1" t="str">
        <f t="shared" si="423"/>
        <v>Electric keyboard retail item #002</v>
      </c>
      <c r="K4543" s="1" t="str">
        <f>IF(SUM(COUNTIFS(I:I, I4543)) &gt; 1, "DUPLICATE", "UNIQUE")</f>
        <v>UNIQUE</v>
      </c>
      <c r="L4543" s="18">
        <v>9</v>
      </c>
      <c r="M4543" s="28">
        <v>5333</v>
      </c>
      <c r="N4543" s="6">
        <v>72</v>
      </c>
      <c r="O4543" s="30">
        <f t="shared" si="424"/>
        <v>47997</v>
      </c>
      <c r="P4543" s="30">
        <f t="shared" si="425"/>
        <v>383976</v>
      </c>
      <c r="Q4543" s="1">
        <f>COUNTIFS($P:$P, "&gt;" &amp; $P4543) + 1</f>
        <v>148</v>
      </c>
      <c r="R4543" s="63">
        <f>(COUNTIFS($P:$P, "&gt;" &amp; $P4543) + 1) / (COUNTA($I:$I) - 1)</f>
        <v>2.9600000000000001E-2</v>
      </c>
      <c r="S4543" s="23">
        <f>SUMIFS($P:$P, $Q:$Q, "&lt;" &amp; $Q4543)</f>
        <v>87191104</v>
      </c>
    </row>
    <row r="4544" spans="1:19" x14ac:dyDescent="0.25">
      <c r="A4544" s="1">
        <v>4539</v>
      </c>
      <c r="B4544" s="1" t="s">
        <v>4</v>
      </c>
      <c r="C4544" s="1" t="str">
        <f>IF($B4544 = "Production Item", _xlfn.XLOOKUP($A4544, 'Instrument Table'!$J:$J, 'Instrument Table'!$B:$B, $C4543), IF($B4544 = "Service Item", _xlfn.XLOOKUP($A4544, 'Instrument Table'!$I:$I, 'Instrument Table'!$B:$B, $C4543), _xlfn.XLOOKUP($A4544, 'Instrument Table'!$H:$H, 'Instrument Table'!$B:$B, $C4543)))</f>
        <v>Electric Keyboard</v>
      </c>
      <c r="D4544" s="1" t="str">
        <f>VLOOKUP($C4544, 'Instrument Table'!$B:$C, 2, FALSE)</f>
        <v>Pianos</v>
      </c>
      <c r="E4544" s="1">
        <f t="shared" si="420"/>
        <v>3</v>
      </c>
      <c r="F4544" s="1">
        <f>_xlfn.XLOOKUP($C4544, 'Instrument Table'!$B:$B, 'Instrument Table'!$A:$A, "")</f>
        <v>12</v>
      </c>
      <c r="G4544" s="1" t="str">
        <f>TEXT(IF($B4544 = "Retail Item", IF((ROW($A4544) - 4504 - _xlfn.XMATCH($C4544, $C$4506:$C$5005, 0, 1)) &lt;= VLOOKUP($C4544, 'Instrument Table'!$B:$D, 3, FALSE), ROW($A4544) - 4504 - _xlfn.XMATCH($C4544, $C$4506:$C$5005, 0, 1), 0), 0), "00")</f>
        <v>00</v>
      </c>
      <c r="H4544" s="1" t="str">
        <f t="shared" si="421"/>
        <v>003</v>
      </c>
      <c r="I4544" s="1" t="str">
        <f t="shared" si="422"/>
        <v>31200-003</v>
      </c>
      <c r="J4544" s="1" t="str">
        <f t="shared" si="423"/>
        <v>Electric keyboard retail item #003</v>
      </c>
      <c r="K4544" s="1" t="str">
        <f>IF(SUM(COUNTIFS(I:I, I4544)) &gt; 1, "DUPLICATE", "UNIQUE")</f>
        <v>UNIQUE</v>
      </c>
      <c r="L4544" s="18">
        <v>37</v>
      </c>
      <c r="M4544" s="28">
        <v>5333</v>
      </c>
      <c r="N4544" s="6">
        <v>79</v>
      </c>
      <c r="O4544" s="30">
        <f t="shared" si="424"/>
        <v>197321</v>
      </c>
      <c r="P4544" s="30">
        <f t="shared" si="425"/>
        <v>421307</v>
      </c>
      <c r="Q4544" s="1">
        <f>COUNTIFS($P:$P, "&gt;" &amp; $P4544) + 1</f>
        <v>130</v>
      </c>
      <c r="R4544" s="63">
        <f>(COUNTIFS($P:$P, "&gt;" &amp; $P4544) + 1) / (COUNTA($I:$I) - 1)</f>
        <v>2.5999999999999999E-2</v>
      </c>
      <c r="S4544" s="23">
        <f>SUMIFS($P:$P, $Q:$Q, "&lt;" &amp; $Q4544)</f>
        <v>79902479</v>
      </c>
    </row>
    <row r="4545" spans="1:19" x14ac:dyDescent="0.25">
      <c r="A4545" s="1">
        <v>4540</v>
      </c>
      <c r="B4545" s="1" t="s">
        <v>4</v>
      </c>
      <c r="C4545" s="1" t="str">
        <f>IF($B4545 = "Production Item", _xlfn.XLOOKUP($A4545, 'Instrument Table'!$J:$J, 'Instrument Table'!$B:$B, $C4544), IF($B4545 = "Service Item", _xlfn.XLOOKUP($A4545, 'Instrument Table'!$I:$I, 'Instrument Table'!$B:$B, $C4544), _xlfn.XLOOKUP($A4545, 'Instrument Table'!$H:$H, 'Instrument Table'!$B:$B, $C4544)))</f>
        <v>Electric Keyboard</v>
      </c>
      <c r="D4545" s="1" t="str">
        <f>VLOOKUP($C4545, 'Instrument Table'!$B:$C, 2, FALSE)</f>
        <v>Pianos</v>
      </c>
      <c r="E4545" s="1">
        <f t="shared" si="420"/>
        <v>3</v>
      </c>
      <c r="F4545" s="1">
        <f>_xlfn.XLOOKUP($C4545, 'Instrument Table'!$B:$B, 'Instrument Table'!$A:$A, "")</f>
        <v>12</v>
      </c>
      <c r="G4545" s="1" t="str">
        <f>TEXT(IF($B4545 = "Retail Item", IF((ROW($A4545) - 4504 - _xlfn.XMATCH($C4545, $C$4506:$C$5005, 0, 1)) &lt;= VLOOKUP($C4545, 'Instrument Table'!$B:$D, 3, FALSE), ROW($A4545) - 4504 - _xlfn.XMATCH($C4545, $C$4506:$C$5005, 0, 1), 0), 0), "00")</f>
        <v>00</v>
      </c>
      <c r="H4545" s="1" t="str">
        <f t="shared" si="421"/>
        <v>004</v>
      </c>
      <c r="I4545" s="1" t="str">
        <f t="shared" si="422"/>
        <v>31200-004</v>
      </c>
      <c r="J4545" s="1" t="str">
        <f t="shared" si="423"/>
        <v>Electric keyboard retail item #004</v>
      </c>
      <c r="K4545" s="1" t="str">
        <f>IF(SUM(COUNTIFS(I:I, I4545)) &gt; 1, "DUPLICATE", "UNIQUE")</f>
        <v>UNIQUE</v>
      </c>
      <c r="L4545" s="18">
        <v>45</v>
      </c>
      <c r="M4545" s="28">
        <v>2514</v>
      </c>
      <c r="N4545" s="6">
        <v>58</v>
      </c>
      <c r="O4545" s="30">
        <f t="shared" si="424"/>
        <v>113130</v>
      </c>
      <c r="P4545" s="30">
        <f t="shared" si="425"/>
        <v>145812</v>
      </c>
      <c r="Q4545" s="1">
        <f>COUNTIFS($P:$P, "&gt;" &amp; $P4545) + 1</f>
        <v>339</v>
      </c>
      <c r="R4545" s="63">
        <f>(COUNTIFS($P:$P, "&gt;" &amp; $P4545) + 1) / (COUNTA($I:$I) - 1)</f>
        <v>6.7799999999999999E-2</v>
      </c>
      <c r="S4545" s="23">
        <f>SUMIFS($P:$P, $Q:$Q, "&lt;" &amp; $Q4545)</f>
        <v>135910283</v>
      </c>
    </row>
    <row r="4546" spans="1:19" x14ac:dyDescent="0.25">
      <c r="A4546" s="1">
        <v>4541</v>
      </c>
      <c r="B4546" s="1" t="s">
        <v>4</v>
      </c>
      <c r="C4546" s="1" t="str">
        <f>IF($B4546 = "Production Item", _xlfn.XLOOKUP($A4546, 'Instrument Table'!$J:$J, 'Instrument Table'!$B:$B, $C4545), IF($B4546 = "Service Item", _xlfn.XLOOKUP($A4546, 'Instrument Table'!$I:$I, 'Instrument Table'!$B:$B, $C4545), _xlfn.XLOOKUP($A4546, 'Instrument Table'!$H:$H, 'Instrument Table'!$B:$B, $C4545)))</f>
        <v>Electric Keyboard</v>
      </c>
      <c r="D4546" s="1" t="str">
        <f>VLOOKUP($C4546, 'Instrument Table'!$B:$C, 2, FALSE)</f>
        <v>Pianos</v>
      </c>
      <c r="E4546" s="1">
        <f t="shared" si="420"/>
        <v>3</v>
      </c>
      <c r="F4546" s="1">
        <f>_xlfn.XLOOKUP($C4546, 'Instrument Table'!$B:$B, 'Instrument Table'!$A:$A, "")</f>
        <v>12</v>
      </c>
      <c r="G4546" s="1" t="str">
        <f>TEXT(IF($B4546 = "Retail Item", IF((ROW($A4546) - 4504 - _xlfn.XMATCH($C4546, $C$4506:$C$5005, 0, 1)) &lt;= VLOOKUP($C4546, 'Instrument Table'!$B:$D, 3, FALSE), ROW($A4546) - 4504 - _xlfn.XMATCH($C4546, $C$4506:$C$5005, 0, 1), 0), 0), "00")</f>
        <v>00</v>
      </c>
      <c r="H4546" s="1" t="str">
        <f t="shared" si="421"/>
        <v>005</v>
      </c>
      <c r="I4546" s="1" t="str">
        <f t="shared" si="422"/>
        <v>31200-005</v>
      </c>
      <c r="J4546" s="1" t="str">
        <f t="shared" si="423"/>
        <v>Electric keyboard retail item #005</v>
      </c>
      <c r="K4546" s="1" t="str">
        <f>IF(SUM(COUNTIFS(I:I, I4546)) &gt; 1, "DUPLICATE", "UNIQUE")</f>
        <v>UNIQUE</v>
      </c>
      <c r="L4546" s="18">
        <v>40</v>
      </c>
      <c r="M4546" s="28">
        <v>2524</v>
      </c>
      <c r="N4546" s="6">
        <v>90</v>
      </c>
      <c r="O4546" s="30">
        <f t="shared" si="424"/>
        <v>100960</v>
      </c>
      <c r="P4546" s="30">
        <f t="shared" si="425"/>
        <v>227160</v>
      </c>
      <c r="Q4546" s="1">
        <f>COUNTIFS($P:$P, "&gt;" &amp; $P4546) + 1</f>
        <v>266</v>
      </c>
      <c r="R4546" s="63">
        <f>(COUNTIFS($P:$P, "&gt;" &amp; $P4546) + 1) / (COUNTA($I:$I) - 1)</f>
        <v>5.3199999999999997E-2</v>
      </c>
      <c r="S4546" s="23">
        <f>SUMIFS($P:$P, $Q:$Q, "&lt;" &amp; $Q4546)</f>
        <v>122451884</v>
      </c>
    </row>
    <row r="4547" spans="1:19" x14ac:dyDescent="0.25">
      <c r="A4547" s="1">
        <v>4542</v>
      </c>
      <c r="B4547" s="1" t="s">
        <v>4</v>
      </c>
      <c r="C4547" s="1" t="str">
        <f>IF($B4547 = "Production Item", _xlfn.XLOOKUP($A4547, 'Instrument Table'!$J:$J, 'Instrument Table'!$B:$B, $C4546), IF($B4547 = "Service Item", _xlfn.XLOOKUP($A4547, 'Instrument Table'!$I:$I, 'Instrument Table'!$B:$B, $C4546), _xlfn.XLOOKUP($A4547, 'Instrument Table'!$H:$H, 'Instrument Table'!$B:$B, $C4546)))</f>
        <v>Electric Keyboard</v>
      </c>
      <c r="D4547" s="1" t="str">
        <f>VLOOKUP($C4547, 'Instrument Table'!$B:$C, 2, FALSE)</f>
        <v>Pianos</v>
      </c>
      <c r="E4547" s="1">
        <f t="shared" si="420"/>
        <v>3</v>
      </c>
      <c r="F4547" s="1">
        <f>_xlfn.XLOOKUP($C4547, 'Instrument Table'!$B:$B, 'Instrument Table'!$A:$A, "")</f>
        <v>12</v>
      </c>
      <c r="G4547" s="1" t="str">
        <f>TEXT(IF($B4547 = "Retail Item", IF((ROW($A4547) - 4504 - _xlfn.XMATCH($C4547, $C$4506:$C$5005, 0, 1)) &lt;= VLOOKUP($C4547, 'Instrument Table'!$B:$D, 3, FALSE), ROW($A4547) - 4504 - _xlfn.XMATCH($C4547, $C$4506:$C$5005, 0, 1), 0), 0), "00")</f>
        <v>00</v>
      </c>
      <c r="H4547" s="1" t="str">
        <f t="shared" si="421"/>
        <v>006</v>
      </c>
      <c r="I4547" s="1" t="str">
        <f t="shared" si="422"/>
        <v>31200-006</v>
      </c>
      <c r="J4547" s="1" t="str">
        <f t="shared" si="423"/>
        <v>Electric keyboard retail item #006</v>
      </c>
      <c r="K4547" s="1" t="str">
        <f>IF(SUM(COUNTIFS(I:I, I4547)) &gt; 1, "DUPLICATE", "UNIQUE")</f>
        <v>UNIQUE</v>
      </c>
      <c r="L4547" s="18">
        <v>99</v>
      </c>
      <c r="M4547" s="28">
        <v>2626</v>
      </c>
      <c r="N4547" s="6">
        <v>42</v>
      </c>
      <c r="O4547" s="30">
        <f t="shared" si="424"/>
        <v>259974</v>
      </c>
      <c r="P4547" s="30">
        <f t="shared" si="425"/>
        <v>110292</v>
      </c>
      <c r="Q4547" s="1">
        <f>COUNTIFS($P:$P, "&gt;" &amp; $P4547) + 1</f>
        <v>392</v>
      </c>
      <c r="R4547" s="63">
        <f>(COUNTIFS($P:$P, "&gt;" &amp; $P4547) + 1) / (COUNTA($I:$I) - 1)</f>
        <v>7.8399999999999997E-2</v>
      </c>
      <c r="S4547" s="23">
        <f>SUMIFS($P:$P, $Q:$Q, "&lt;" &amp; $Q4547)</f>
        <v>142581092</v>
      </c>
    </row>
    <row r="4548" spans="1:19" x14ac:dyDescent="0.25">
      <c r="A4548" s="1">
        <v>4543</v>
      </c>
      <c r="B4548" s="1" t="s">
        <v>4</v>
      </c>
      <c r="C4548" s="1" t="str">
        <f>IF($B4548 = "Production Item", _xlfn.XLOOKUP($A4548, 'Instrument Table'!$J:$J, 'Instrument Table'!$B:$B, $C4547), IF($B4548 = "Service Item", _xlfn.XLOOKUP($A4548, 'Instrument Table'!$I:$I, 'Instrument Table'!$B:$B, $C4547), _xlfn.XLOOKUP($A4548, 'Instrument Table'!$H:$H, 'Instrument Table'!$B:$B, $C4547)))</f>
        <v>Electric Keyboard</v>
      </c>
      <c r="D4548" s="1" t="str">
        <f>VLOOKUP($C4548, 'Instrument Table'!$B:$C, 2, FALSE)</f>
        <v>Pianos</v>
      </c>
      <c r="E4548" s="1">
        <f t="shared" si="420"/>
        <v>3</v>
      </c>
      <c r="F4548" s="1">
        <f>_xlfn.XLOOKUP($C4548, 'Instrument Table'!$B:$B, 'Instrument Table'!$A:$A, "")</f>
        <v>12</v>
      </c>
      <c r="G4548" s="1" t="str">
        <f>TEXT(IF($B4548 = "Retail Item", IF((ROW($A4548) - 4504 - _xlfn.XMATCH($C4548, $C$4506:$C$5005, 0, 1)) &lt;= VLOOKUP($C4548, 'Instrument Table'!$B:$D, 3, FALSE), ROW($A4548) - 4504 - _xlfn.XMATCH($C4548, $C$4506:$C$5005, 0, 1), 0), 0), "00")</f>
        <v>00</v>
      </c>
      <c r="H4548" s="1" t="str">
        <f t="shared" si="421"/>
        <v>007</v>
      </c>
      <c r="I4548" s="1" t="str">
        <f t="shared" si="422"/>
        <v>31200-007</v>
      </c>
      <c r="J4548" s="1" t="str">
        <f t="shared" si="423"/>
        <v>Electric keyboard retail item #007</v>
      </c>
      <c r="K4548" s="1" t="str">
        <f>IF(SUM(COUNTIFS(I:I, I4548)) &gt; 1, "DUPLICATE", "UNIQUE")</f>
        <v>UNIQUE</v>
      </c>
      <c r="L4548" s="18">
        <v>23</v>
      </c>
      <c r="M4548" s="28">
        <v>6936</v>
      </c>
      <c r="N4548" s="6">
        <v>39</v>
      </c>
      <c r="O4548" s="30">
        <f t="shared" si="424"/>
        <v>159528</v>
      </c>
      <c r="P4548" s="30">
        <f t="shared" si="425"/>
        <v>270504</v>
      </c>
      <c r="Q4548" s="1">
        <f>COUNTIFS($P:$P, "&gt;" &amp; $P4548) + 1</f>
        <v>227</v>
      </c>
      <c r="R4548" s="63">
        <f>(COUNTIFS($P:$P, "&gt;" &amp; $P4548) + 1) / (COUNTA($I:$I) - 1)</f>
        <v>4.5400000000000003E-2</v>
      </c>
      <c r="S4548" s="23">
        <f>SUMIFS($P:$P, $Q:$Q, "&lt;" &amp; $Q4548)</f>
        <v>112730593</v>
      </c>
    </row>
    <row r="4549" spans="1:19" x14ac:dyDescent="0.25">
      <c r="A4549" s="1">
        <v>4544</v>
      </c>
      <c r="B4549" s="1" t="s">
        <v>4</v>
      </c>
      <c r="C4549" s="1" t="str">
        <f>IF($B4549 = "Production Item", _xlfn.XLOOKUP($A4549, 'Instrument Table'!$J:$J, 'Instrument Table'!$B:$B, $C4548), IF($B4549 = "Service Item", _xlfn.XLOOKUP($A4549, 'Instrument Table'!$I:$I, 'Instrument Table'!$B:$B, $C4548), _xlfn.XLOOKUP($A4549, 'Instrument Table'!$H:$H, 'Instrument Table'!$B:$B, $C4548)))</f>
        <v>Electric Keyboard</v>
      </c>
      <c r="D4549" s="1" t="str">
        <f>VLOOKUP($C4549, 'Instrument Table'!$B:$C, 2, FALSE)</f>
        <v>Pianos</v>
      </c>
      <c r="E4549" s="1">
        <f t="shared" si="420"/>
        <v>3</v>
      </c>
      <c r="F4549" s="1">
        <f>_xlfn.XLOOKUP($C4549, 'Instrument Table'!$B:$B, 'Instrument Table'!$A:$A, "")</f>
        <v>12</v>
      </c>
      <c r="G4549" s="1" t="str">
        <f>TEXT(IF($B4549 = "Retail Item", IF((ROW($A4549) - 4504 - _xlfn.XMATCH($C4549, $C$4506:$C$5005, 0, 1)) &lt;= VLOOKUP($C4549, 'Instrument Table'!$B:$D, 3, FALSE), ROW($A4549) - 4504 - _xlfn.XMATCH($C4549, $C$4506:$C$5005, 0, 1), 0), 0), "00")</f>
        <v>00</v>
      </c>
      <c r="H4549" s="1" t="str">
        <f t="shared" si="421"/>
        <v>008</v>
      </c>
      <c r="I4549" s="1" t="str">
        <f t="shared" si="422"/>
        <v>31200-008</v>
      </c>
      <c r="J4549" s="1" t="str">
        <f t="shared" si="423"/>
        <v>Electric keyboard retail item #008</v>
      </c>
      <c r="K4549" s="1" t="str">
        <f>IF(SUM(COUNTIFS(I:I, I4549)) &gt; 1, "DUPLICATE", "UNIQUE")</f>
        <v>UNIQUE</v>
      </c>
      <c r="L4549" s="18">
        <v>44</v>
      </c>
      <c r="M4549" s="28">
        <v>2504</v>
      </c>
      <c r="N4549" s="6">
        <v>53</v>
      </c>
      <c r="O4549" s="30">
        <f t="shared" si="424"/>
        <v>110176</v>
      </c>
      <c r="P4549" s="30">
        <f t="shared" si="425"/>
        <v>132712</v>
      </c>
      <c r="Q4549" s="1">
        <f>COUNTIFS($P:$P, "&gt;" &amp; $P4549) + 1</f>
        <v>351</v>
      </c>
      <c r="R4549" s="63">
        <f>(COUNTIFS($P:$P, "&gt;" &amp; $P4549) + 1) / (COUNTA($I:$I) - 1)</f>
        <v>7.0199999999999999E-2</v>
      </c>
      <c r="S4549" s="23">
        <f>SUMIFS($P:$P, $Q:$Q, "&lt;" &amp; $Q4549)</f>
        <v>137598274</v>
      </c>
    </row>
    <row r="4550" spans="1:19" x14ac:dyDescent="0.25">
      <c r="A4550" s="1">
        <v>4545</v>
      </c>
      <c r="B4550" s="1" t="s">
        <v>4</v>
      </c>
      <c r="C4550" s="1" t="str">
        <f>IF($B4550 = "Production Item", _xlfn.XLOOKUP($A4550, 'Instrument Table'!$J:$J, 'Instrument Table'!$B:$B, $C4549), IF($B4550 = "Service Item", _xlfn.XLOOKUP($A4550, 'Instrument Table'!$I:$I, 'Instrument Table'!$B:$B, $C4549), _xlfn.XLOOKUP($A4550, 'Instrument Table'!$H:$H, 'Instrument Table'!$B:$B, $C4549)))</f>
        <v>Electric Keyboard</v>
      </c>
      <c r="D4550" s="1" t="str">
        <f>VLOOKUP($C4550, 'Instrument Table'!$B:$C, 2, FALSE)</f>
        <v>Pianos</v>
      </c>
      <c r="E4550" s="1">
        <f t="shared" si="420"/>
        <v>3</v>
      </c>
      <c r="F4550" s="1">
        <f>_xlfn.XLOOKUP($C4550, 'Instrument Table'!$B:$B, 'Instrument Table'!$A:$A, "")</f>
        <v>12</v>
      </c>
      <c r="G4550" s="1" t="str">
        <f>TEXT(IF($B4550 = "Retail Item", IF((ROW($A4550) - 4504 - _xlfn.XMATCH($C4550, $C$4506:$C$5005, 0, 1)) &lt;= VLOOKUP($C4550, 'Instrument Table'!$B:$D, 3, FALSE), ROW($A4550) - 4504 - _xlfn.XMATCH($C4550, $C$4506:$C$5005, 0, 1), 0), 0), "00")</f>
        <v>00</v>
      </c>
      <c r="H4550" s="1" t="str">
        <f t="shared" si="421"/>
        <v>009</v>
      </c>
      <c r="I4550" s="1" t="str">
        <f t="shared" si="422"/>
        <v>31200-009</v>
      </c>
      <c r="J4550" s="1" t="str">
        <f t="shared" si="423"/>
        <v>Electric keyboard retail item #009</v>
      </c>
      <c r="K4550" s="1" t="str">
        <f>IF(SUM(COUNTIFS(I:I, I4550)) &gt; 1, "DUPLICATE", "UNIQUE")</f>
        <v>UNIQUE</v>
      </c>
      <c r="L4550" s="18">
        <v>1</v>
      </c>
      <c r="M4550" s="28">
        <v>1067</v>
      </c>
      <c r="N4550" s="6">
        <v>36</v>
      </c>
      <c r="O4550" s="30">
        <f t="shared" si="424"/>
        <v>1067</v>
      </c>
      <c r="P4550" s="30">
        <f t="shared" si="425"/>
        <v>38412</v>
      </c>
      <c r="Q4550" s="1">
        <f>COUNTIFS($P:$P, "&gt;" &amp; $P4550) + 1</f>
        <v>569</v>
      </c>
      <c r="R4550" s="63">
        <f>(COUNTIFS($P:$P, "&gt;" &amp; $P4550) + 1) / (COUNTA($I:$I) - 1)</f>
        <v>0.1138</v>
      </c>
      <c r="S4550" s="23">
        <f>SUMIFS($P:$P, $Q:$Q, "&lt;" &amp; $Q4550)</f>
        <v>154729433</v>
      </c>
    </row>
    <row r="4551" spans="1:19" x14ac:dyDescent="0.25">
      <c r="A4551" s="1">
        <v>4546</v>
      </c>
      <c r="B4551" s="1" t="s">
        <v>4</v>
      </c>
      <c r="C4551" s="1" t="str">
        <f>IF($B4551 = "Production Item", _xlfn.XLOOKUP($A4551, 'Instrument Table'!$J:$J, 'Instrument Table'!$B:$B, $C4550), IF($B4551 = "Service Item", _xlfn.XLOOKUP($A4551, 'Instrument Table'!$I:$I, 'Instrument Table'!$B:$B, $C4550), _xlfn.XLOOKUP($A4551, 'Instrument Table'!$H:$H, 'Instrument Table'!$B:$B, $C4550)))</f>
        <v>Violin</v>
      </c>
      <c r="D4551" s="1" t="str">
        <f>VLOOKUP($C4551, 'Instrument Table'!$B:$C, 2, FALSE)</f>
        <v>Strings</v>
      </c>
      <c r="E4551" s="1">
        <f t="shared" ref="E4551:E4614" si="426">IF($B4551 = "Production Item", 1, IF($B4551 = "Service Item", 2, IF($B4551 = "Retail Item", 3, "")))</f>
        <v>3</v>
      </c>
      <c r="F4551" s="1">
        <f>_xlfn.XLOOKUP($C4551, 'Instrument Table'!$B:$B, 'Instrument Table'!$A:$A, "")</f>
        <v>20</v>
      </c>
      <c r="G4551" s="1" t="str">
        <f>TEXT(IF($B4551 = "Retail Item", IF((ROW($A4551) - 4504 - _xlfn.XMATCH($C4551, $C$4506:$C$5005, 0, 1)) &lt;= VLOOKUP($C4551, 'Instrument Table'!$B:$D, 3, FALSE), ROW($A4551) - 4504 - _xlfn.XMATCH($C4551, $C$4506:$C$5005, 0, 1), 0), 0), "00")</f>
        <v>01</v>
      </c>
      <c r="H4551" s="1" t="str">
        <f t="shared" ref="H4551:H4614" si="427">TEXT(IF($E4551 &amp; $F4551 &amp; $G4551 = $E4550 &amp; $F4550 &amp; $G4550, 1 + H4550, 0), "000")</f>
        <v>000</v>
      </c>
      <c r="I4551" s="1" t="str">
        <f t="shared" ref="I4551:I4614" si="428" xml:space="preserve"> _xlfn.CONCAT($E4551, $F4551, $G4551, "-", H4551)</f>
        <v>32001-000</v>
      </c>
      <c r="J4551" s="1" t="str">
        <f t="shared" ref="J4551:J4614" si="429">LEFT($C4551, 1) &amp; LOWER(RIGHT($C4551, LEN($C4551) - 1)) &amp; IF(AND($G4551 &lt;&gt; "00", $B4551 = "Retail Item"), " model #" &amp; $G4551, " " &amp; LOWER($B4551) &amp; " #" &amp; $H4551)</f>
        <v>Violin model #01</v>
      </c>
      <c r="K4551" s="1" t="str">
        <f>IF(SUM(COUNTIFS(I:I, I4551)) &gt; 1, "DUPLICATE", "UNIQUE")</f>
        <v>UNIQUE</v>
      </c>
      <c r="L4551" s="18">
        <v>64</v>
      </c>
      <c r="M4551" s="28">
        <v>4222</v>
      </c>
      <c r="N4551" s="6">
        <v>52</v>
      </c>
      <c r="O4551" s="30">
        <f t="shared" ref="O4551:O4614" si="430">$L4551 * $M4551</f>
        <v>270208</v>
      </c>
      <c r="P4551" s="30">
        <f t="shared" ref="P4551:P4614" si="431">$N4551 * $M4551</f>
        <v>219544</v>
      </c>
      <c r="Q4551" s="1">
        <f>COUNTIFS($P:$P, "&gt;" &amp; $P4551) + 1</f>
        <v>276</v>
      </c>
      <c r="R4551" s="63">
        <f>(COUNTIFS($P:$P, "&gt;" &amp; $P4551) + 1) / (COUNTA($I:$I) - 1)</f>
        <v>5.5199999999999999E-2</v>
      </c>
      <c r="S4551" s="23">
        <f>SUMIFS($P:$P, $Q:$Q, "&lt;" &amp; $Q4551)</f>
        <v>124703707</v>
      </c>
    </row>
    <row r="4552" spans="1:19" x14ac:dyDescent="0.25">
      <c r="A4552" s="1">
        <v>4547</v>
      </c>
      <c r="B4552" s="1" t="s">
        <v>4</v>
      </c>
      <c r="C4552" s="1" t="str">
        <f>IF($B4552 = "Production Item", _xlfn.XLOOKUP($A4552, 'Instrument Table'!$J:$J, 'Instrument Table'!$B:$B, $C4551), IF($B4552 = "Service Item", _xlfn.XLOOKUP($A4552, 'Instrument Table'!$I:$I, 'Instrument Table'!$B:$B, $C4551), _xlfn.XLOOKUP($A4552, 'Instrument Table'!$H:$H, 'Instrument Table'!$B:$B, $C4551)))</f>
        <v>Violin</v>
      </c>
      <c r="D4552" s="1" t="str">
        <f>VLOOKUP($C4552, 'Instrument Table'!$B:$C, 2, FALSE)</f>
        <v>Strings</v>
      </c>
      <c r="E4552" s="1">
        <f t="shared" si="426"/>
        <v>3</v>
      </c>
      <c r="F4552" s="1">
        <f>_xlfn.XLOOKUP($C4552, 'Instrument Table'!$B:$B, 'Instrument Table'!$A:$A, "")</f>
        <v>20</v>
      </c>
      <c r="G4552" s="1" t="str">
        <f>TEXT(IF($B4552 = "Retail Item", IF((ROW($A4552) - 4504 - _xlfn.XMATCH($C4552, $C$4506:$C$5005, 0, 1)) &lt;= VLOOKUP($C4552, 'Instrument Table'!$B:$D, 3, FALSE), ROW($A4552) - 4504 - _xlfn.XMATCH($C4552, $C$4506:$C$5005, 0, 1), 0), 0), "00")</f>
        <v>02</v>
      </c>
      <c r="H4552" s="1" t="str">
        <f t="shared" si="427"/>
        <v>000</v>
      </c>
      <c r="I4552" s="1" t="str">
        <f t="shared" si="428"/>
        <v>32002-000</v>
      </c>
      <c r="J4552" s="1" t="str">
        <f t="shared" si="429"/>
        <v>Violin model #02</v>
      </c>
      <c r="K4552" s="1" t="str">
        <f>IF(SUM(COUNTIFS(I:I, I4552)) &gt; 1, "DUPLICATE", "UNIQUE")</f>
        <v>UNIQUE</v>
      </c>
      <c r="L4552" s="18">
        <v>78</v>
      </c>
      <c r="M4552" s="28">
        <v>8195</v>
      </c>
      <c r="N4552" s="6">
        <v>15</v>
      </c>
      <c r="O4552" s="30">
        <f t="shared" si="430"/>
        <v>639210</v>
      </c>
      <c r="P4552" s="30">
        <f t="shared" si="431"/>
        <v>122925</v>
      </c>
      <c r="Q4552" s="1">
        <f>COUNTIFS($P:$P, "&gt;" &amp; $P4552) + 1</f>
        <v>369</v>
      </c>
      <c r="R4552" s="63">
        <f>(COUNTIFS($P:$P, "&gt;" &amp; $P4552) + 1) / (COUNTA($I:$I) - 1)</f>
        <v>7.3800000000000004E-2</v>
      </c>
      <c r="S4552" s="23">
        <f>SUMIFS($P:$P, $Q:$Q, "&lt;" &amp; $Q4552)</f>
        <v>139898285</v>
      </c>
    </row>
    <row r="4553" spans="1:19" x14ac:dyDescent="0.25">
      <c r="A4553" s="1">
        <v>4548</v>
      </c>
      <c r="B4553" s="1" t="s">
        <v>4</v>
      </c>
      <c r="C4553" s="1" t="str">
        <f>IF($B4553 = "Production Item", _xlfn.XLOOKUP($A4553, 'Instrument Table'!$J:$J, 'Instrument Table'!$B:$B, $C4552), IF($B4553 = "Service Item", _xlfn.XLOOKUP($A4553, 'Instrument Table'!$I:$I, 'Instrument Table'!$B:$B, $C4552), _xlfn.XLOOKUP($A4553, 'Instrument Table'!$H:$H, 'Instrument Table'!$B:$B, $C4552)))</f>
        <v>Violin</v>
      </c>
      <c r="D4553" s="1" t="str">
        <f>VLOOKUP($C4553, 'Instrument Table'!$B:$C, 2, FALSE)</f>
        <v>Strings</v>
      </c>
      <c r="E4553" s="1">
        <f t="shared" si="426"/>
        <v>3</v>
      </c>
      <c r="F4553" s="1">
        <f>_xlfn.XLOOKUP($C4553, 'Instrument Table'!$B:$B, 'Instrument Table'!$A:$A, "")</f>
        <v>20</v>
      </c>
      <c r="G4553" s="1" t="str">
        <f>TEXT(IF($B4553 = "Retail Item", IF((ROW($A4553) - 4504 - _xlfn.XMATCH($C4553, $C$4506:$C$5005, 0, 1)) &lt;= VLOOKUP($C4553, 'Instrument Table'!$B:$D, 3, FALSE), ROW($A4553) - 4504 - _xlfn.XMATCH($C4553, $C$4506:$C$5005, 0, 1), 0), 0), "00")</f>
        <v>03</v>
      </c>
      <c r="H4553" s="1" t="str">
        <f t="shared" si="427"/>
        <v>000</v>
      </c>
      <c r="I4553" s="1" t="str">
        <f t="shared" si="428"/>
        <v>32003-000</v>
      </c>
      <c r="J4553" s="1" t="str">
        <f t="shared" si="429"/>
        <v>Violin model #03</v>
      </c>
      <c r="K4553" s="1" t="str">
        <f>IF(SUM(COUNTIFS(I:I, I4553)) &gt; 1, "DUPLICATE", "UNIQUE")</f>
        <v>UNIQUE</v>
      </c>
      <c r="L4553" s="18">
        <v>4</v>
      </c>
      <c r="M4553" s="28">
        <v>7207</v>
      </c>
      <c r="N4553" s="6">
        <v>69</v>
      </c>
      <c r="O4553" s="30">
        <f t="shared" si="430"/>
        <v>28828</v>
      </c>
      <c r="P4553" s="30">
        <f t="shared" si="431"/>
        <v>497283</v>
      </c>
      <c r="Q4553" s="1">
        <f>COUNTIFS($P:$P, "&gt;" &amp; $P4553) + 1</f>
        <v>98</v>
      </c>
      <c r="R4553" s="63">
        <f>(COUNTIFS($P:$P, "&gt;" &amp; $P4553) + 1) / (COUNTA($I:$I) - 1)</f>
        <v>1.9599999999999999E-2</v>
      </c>
      <c r="S4553" s="23">
        <f>SUMIFS($P:$P, $Q:$Q, "&lt;" &amp; $Q4553)</f>
        <v>65155137</v>
      </c>
    </row>
    <row r="4554" spans="1:19" x14ac:dyDescent="0.25">
      <c r="A4554" s="1">
        <v>4549</v>
      </c>
      <c r="B4554" s="1" t="s">
        <v>4</v>
      </c>
      <c r="C4554" s="1" t="str">
        <f>IF($B4554 = "Production Item", _xlfn.XLOOKUP($A4554, 'Instrument Table'!$J:$J, 'Instrument Table'!$B:$B, $C4553), IF($B4554 = "Service Item", _xlfn.XLOOKUP($A4554, 'Instrument Table'!$I:$I, 'Instrument Table'!$B:$B, $C4553), _xlfn.XLOOKUP($A4554, 'Instrument Table'!$H:$H, 'Instrument Table'!$B:$B, $C4553)))</f>
        <v>Violin</v>
      </c>
      <c r="D4554" s="1" t="str">
        <f>VLOOKUP($C4554, 'Instrument Table'!$B:$C, 2, FALSE)</f>
        <v>Strings</v>
      </c>
      <c r="E4554" s="1">
        <f t="shared" si="426"/>
        <v>3</v>
      </c>
      <c r="F4554" s="1">
        <f>_xlfn.XLOOKUP($C4554, 'Instrument Table'!$B:$B, 'Instrument Table'!$A:$A, "")</f>
        <v>20</v>
      </c>
      <c r="G4554" s="1" t="str">
        <f>TEXT(IF($B4554 = "Retail Item", IF((ROW($A4554) - 4504 - _xlfn.XMATCH($C4554, $C$4506:$C$5005, 0, 1)) &lt;= VLOOKUP($C4554, 'Instrument Table'!$B:$D, 3, FALSE), ROW($A4554) - 4504 - _xlfn.XMATCH($C4554, $C$4506:$C$5005, 0, 1), 0), 0), "00")</f>
        <v>04</v>
      </c>
      <c r="H4554" s="1" t="str">
        <f t="shared" si="427"/>
        <v>000</v>
      </c>
      <c r="I4554" s="1" t="str">
        <f t="shared" si="428"/>
        <v>32004-000</v>
      </c>
      <c r="J4554" s="1" t="str">
        <f t="shared" si="429"/>
        <v>Violin model #04</v>
      </c>
      <c r="K4554" s="1" t="str">
        <f>IF(SUM(COUNTIFS(I:I, I4554)) &gt; 1, "DUPLICATE", "UNIQUE")</f>
        <v>UNIQUE</v>
      </c>
      <c r="L4554" s="18">
        <v>82</v>
      </c>
      <c r="M4554" s="28">
        <v>1171</v>
      </c>
      <c r="N4554" s="6">
        <v>71</v>
      </c>
      <c r="O4554" s="30">
        <f t="shared" si="430"/>
        <v>96022</v>
      </c>
      <c r="P4554" s="30">
        <f t="shared" si="431"/>
        <v>83141</v>
      </c>
      <c r="Q4554" s="1">
        <f>COUNTIFS($P:$P, "&gt;" &amp; $P4554) + 1</f>
        <v>441</v>
      </c>
      <c r="R4554" s="63">
        <f>(COUNTIFS($P:$P, "&gt;" &amp; $P4554) + 1) / (COUNTA($I:$I) - 1)</f>
        <v>8.8200000000000001E-2</v>
      </c>
      <c r="S4554" s="23">
        <f>SUMIFS($P:$P, $Q:$Q, "&lt;" &amp; $Q4554)</f>
        <v>147285886</v>
      </c>
    </row>
    <row r="4555" spans="1:19" x14ac:dyDescent="0.25">
      <c r="A4555" s="1">
        <v>4550</v>
      </c>
      <c r="B4555" s="1" t="s">
        <v>4</v>
      </c>
      <c r="C4555" s="1" t="str">
        <f>IF($B4555 = "Production Item", _xlfn.XLOOKUP($A4555, 'Instrument Table'!$J:$J, 'Instrument Table'!$B:$B, $C4554), IF($B4555 = "Service Item", _xlfn.XLOOKUP($A4555, 'Instrument Table'!$I:$I, 'Instrument Table'!$B:$B, $C4554), _xlfn.XLOOKUP($A4555, 'Instrument Table'!$H:$H, 'Instrument Table'!$B:$B, $C4554)))</f>
        <v>Violin</v>
      </c>
      <c r="D4555" s="1" t="str">
        <f>VLOOKUP($C4555, 'Instrument Table'!$B:$C, 2, FALSE)</f>
        <v>Strings</v>
      </c>
      <c r="E4555" s="1">
        <f t="shared" si="426"/>
        <v>3</v>
      </c>
      <c r="F4555" s="1">
        <f>_xlfn.XLOOKUP($C4555, 'Instrument Table'!$B:$B, 'Instrument Table'!$A:$A, "")</f>
        <v>20</v>
      </c>
      <c r="G4555" s="1" t="str">
        <f>TEXT(IF($B4555 = "Retail Item", IF((ROW($A4555) - 4504 - _xlfn.XMATCH($C4555, $C$4506:$C$5005, 0, 1)) &lt;= VLOOKUP($C4555, 'Instrument Table'!$B:$D, 3, FALSE), ROW($A4555) - 4504 - _xlfn.XMATCH($C4555, $C$4506:$C$5005, 0, 1), 0), 0), "00")</f>
        <v>05</v>
      </c>
      <c r="H4555" s="1" t="str">
        <f t="shared" si="427"/>
        <v>000</v>
      </c>
      <c r="I4555" s="1" t="str">
        <f t="shared" si="428"/>
        <v>32005-000</v>
      </c>
      <c r="J4555" s="1" t="str">
        <f t="shared" si="429"/>
        <v>Violin model #05</v>
      </c>
      <c r="K4555" s="1" t="str">
        <f>IF(SUM(COUNTIFS(I:I, I4555)) &gt; 1, "DUPLICATE", "UNIQUE")</f>
        <v>UNIQUE</v>
      </c>
      <c r="L4555" s="18">
        <v>51</v>
      </c>
      <c r="M4555" s="28">
        <v>8519</v>
      </c>
      <c r="N4555" s="6">
        <v>38</v>
      </c>
      <c r="O4555" s="30">
        <f t="shared" si="430"/>
        <v>434469</v>
      </c>
      <c r="P4555" s="30">
        <f t="shared" si="431"/>
        <v>323722</v>
      </c>
      <c r="Q4555" s="1">
        <f>COUNTIFS($P:$P, "&gt;" &amp; $P4555) + 1</f>
        <v>184</v>
      </c>
      <c r="R4555" s="63">
        <f>(COUNTIFS($P:$P, "&gt;" &amp; $P4555) + 1) / (COUNTA($I:$I) - 1)</f>
        <v>3.6799999999999999E-2</v>
      </c>
      <c r="S4555" s="23">
        <f>SUMIFS($P:$P, $Q:$Q, "&lt;" &amp; $Q4555)</f>
        <v>99904574</v>
      </c>
    </row>
    <row r="4556" spans="1:19" x14ac:dyDescent="0.25">
      <c r="A4556" s="1">
        <v>4551</v>
      </c>
      <c r="B4556" s="1" t="s">
        <v>4</v>
      </c>
      <c r="C4556" s="1" t="str">
        <f>IF($B4556 = "Production Item", _xlfn.XLOOKUP($A4556, 'Instrument Table'!$J:$J, 'Instrument Table'!$B:$B, $C4555), IF($B4556 = "Service Item", _xlfn.XLOOKUP($A4556, 'Instrument Table'!$I:$I, 'Instrument Table'!$B:$B, $C4555), _xlfn.XLOOKUP($A4556, 'Instrument Table'!$H:$H, 'Instrument Table'!$B:$B, $C4555)))</f>
        <v>Violin</v>
      </c>
      <c r="D4556" s="1" t="str">
        <f>VLOOKUP($C4556, 'Instrument Table'!$B:$C, 2, FALSE)</f>
        <v>Strings</v>
      </c>
      <c r="E4556" s="1">
        <f t="shared" si="426"/>
        <v>3</v>
      </c>
      <c r="F4556" s="1">
        <f>_xlfn.XLOOKUP($C4556, 'Instrument Table'!$B:$B, 'Instrument Table'!$A:$A, "")</f>
        <v>20</v>
      </c>
      <c r="G4556" s="1" t="str">
        <f>TEXT(IF($B4556 = "Retail Item", IF((ROW($A4556) - 4504 - _xlfn.XMATCH($C4556, $C$4506:$C$5005, 0, 1)) &lt;= VLOOKUP($C4556, 'Instrument Table'!$B:$D, 3, FALSE), ROW($A4556) - 4504 - _xlfn.XMATCH($C4556, $C$4506:$C$5005, 0, 1), 0), 0), "00")</f>
        <v>00</v>
      </c>
      <c r="H4556" s="1" t="str">
        <f t="shared" si="427"/>
        <v>000</v>
      </c>
      <c r="I4556" s="1" t="str">
        <f t="shared" si="428"/>
        <v>32000-000</v>
      </c>
      <c r="J4556" s="1" t="str">
        <f t="shared" si="429"/>
        <v>Violin retail item #000</v>
      </c>
      <c r="K4556" s="1" t="str">
        <f>IF(SUM(COUNTIFS(I:I, I4556)) &gt; 1, "DUPLICATE", "UNIQUE")</f>
        <v>UNIQUE</v>
      </c>
      <c r="L4556" s="18">
        <v>95</v>
      </c>
      <c r="M4556" s="28">
        <v>8872</v>
      </c>
      <c r="N4556" s="6">
        <v>47</v>
      </c>
      <c r="O4556" s="30">
        <f t="shared" si="430"/>
        <v>842840</v>
      </c>
      <c r="P4556" s="30">
        <f t="shared" si="431"/>
        <v>416984</v>
      </c>
      <c r="Q4556" s="1">
        <f>COUNTIFS($P:$P, "&gt;" &amp; $P4556) + 1</f>
        <v>132</v>
      </c>
      <c r="R4556" s="63">
        <f>(COUNTIFS($P:$P, "&gt;" &amp; $P4556) + 1) / (COUNTA($I:$I) - 1)</f>
        <v>2.64E-2</v>
      </c>
      <c r="S4556" s="23">
        <f>SUMIFS($P:$P, $Q:$Q, "&lt;" &amp; $Q4556)</f>
        <v>80744074</v>
      </c>
    </row>
    <row r="4557" spans="1:19" x14ac:dyDescent="0.25">
      <c r="A4557" s="1">
        <v>4552</v>
      </c>
      <c r="B4557" s="1" t="s">
        <v>4</v>
      </c>
      <c r="C4557" s="1" t="str">
        <f>IF($B4557 = "Production Item", _xlfn.XLOOKUP($A4557, 'Instrument Table'!$J:$J, 'Instrument Table'!$B:$B, $C4556), IF($B4557 = "Service Item", _xlfn.XLOOKUP($A4557, 'Instrument Table'!$I:$I, 'Instrument Table'!$B:$B, $C4556), _xlfn.XLOOKUP($A4557, 'Instrument Table'!$H:$H, 'Instrument Table'!$B:$B, $C4556)))</f>
        <v>Violin</v>
      </c>
      <c r="D4557" s="1" t="str">
        <f>VLOOKUP($C4557, 'Instrument Table'!$B:$C, 2, FALSE)</f>
        <v>Strings</v>
      </c>
      <c r="E4557" s="1">
        <f t="shared" si="426"/>
        <v>3</v>
      </c>
      <c r="F4557" s="1">
        <f>_xlfn.XLOOKUP($C4557, 'Instrument Table'!$B:$B, 'Instrument Table'!$A:$A, "")</f>
        <v>20</v>
      </c>
      <c r="G4557" s="1" t="str">
        <f>TEXT(IF($B4557 = "Retail Item", IF((ROW($A4557) - 4504 - _xlfn.XMATCH($C4557, $C$4506:$C$5005, 0, 1)) &lt;= VLOOKUP($C4557, 'Instrument Table'!$B:$D, 3, FALSE), ROW($A4557) - 4504 - _xlfn.XMATCH($C4557, $C$4506:$C$5005, 0, 1), 0), 0), "00")</f>
        <v>00</v>
      </c>
      <c r="H4557" s="1" t="str">
        <f t="shared" si="427"/>
        <v>001</v>
      </c>
      <c r="I4557" s="1" t="str">
        <f t="shared" si="428"/>
        <v>32000-001</v>
      </c>
      <c r="J4557" s="1" t="str">
        <f t="shared" si="429"/>
        <v>Violin retail item #001</v>
      </c>
      <c r="K4557" s="1" t="str">
        <f>IF(SUM(COUNTIFS(I:I, I4557)) &gt; 1, "DUPLICATE", "UNIQUE")</f>
        <v>UNIQUE</v>
      </c>
      <c r="L4557" s="18">
        <v>100</v>
      </c>
      <c r="M4557" s="28">
        <v>1881</v>
      </c>
      <c r="N4557" s="6">
        <v>35</v>
      </c>
      <c r="O4557" s="30">
        <f t="shared" si="430"/>
        <v>188100</v>
      </c>
      <c r="P4557" s="30">
        <f t="shared" si="431"/>
        <v>65835</v>
      </c>
      <c r="Q4557" s="1">
        <f>COUNTIFS($P:$P, "&gt;" &amp; $P4557) + 1</f>
        <v>487</v>
      </c>
      <c r="R4557" s="63">
        <f>(COUNTIFS($P:$P, "&gt;" &amp; $P4557) + 1) / (COUNTA($I:$I) - 1)</f>
        <v>9.74E-2</v>
      </c>
      <c r="S4557" s="23">
        <f>SUMIFS($P:$P, $Q:$Q, "&lt;" &amp; $Q4557)</f>
        <v>150653044</v>
      </c>
    </row>
    <row r="4558" spans="1:19" x14ac:dyDescent="0.25">
      <c r="A4558" s="1">
        <v>4553</v>
      </c>
      <c r="B4558" s="1" t="s">
        <v>4</v>
      </c>
      <c r="C4558" s="1" t="str">
        <f>IF($B4558 = "Production Item", _xlfn.XLOOKUP($A4558, 'Instrument Table'!$J:$J, 'Instrument Table'!$B:$B, $C4557), IF($B4558 = "Service Item", _xlfn.XLOOKUP($A4558, 'Instrument Table'!$I:$I, 'Instrument Table'!$B:$B, $C4557), _xlfn.XLOOKUP($A4558, 'Instrument Table'!$H:$H, 'Instrument Table'!$B:$B, $C4557)))</f>
        <v>Violin</v>
      </c>
      <c r="D4558" s="1" t="str">
        <f>VLOOKUP($C4558, 'Instrument Table'!$B:$C, 2, FALSE)</f>
        <v>Strings</v>
      </c>
      <c r="E4558" s="1">
        <f t="shared" si="426"/>
        <v>3</v>
      </c>
      <c r="F4558" s="1">
        <f>_xlfn.XLOOKUP($C4558, 'Instrument Table'!$B:$B, 'Instrument Table'!$A:$A, "")</f>
        <v>20</v>
      </c>
      <c r="G4558" s="1" t="str">
        <f>TEXT(IF($B4558 = "Retail Item", IF((ROW($A4558) - 4504 - _xlfn.XMATCH($C4558, $C$4506:$C$5005, 0, 1)) &lt;= VLOOKUP($C4558, 'Instrument Table'!$B:$D, 3, FALSE), ROW($A4558) - 4504 - _xlfn.XMATCH($C4558, $C$4506:$C$5005, 0, 1), 0), 0), "00")</f>
        <v>00</v>
      </c>
      <c r="H4558" s="1" t="str">
        <f t="shared" si="427"/>
        <v>002</v>
      </c>
      <c r="I4558" s="1" t="str">
        <f t="shared" si="428"/>
        <v>32000-002</v>
      </c>
      <c r="J4558" s="1" t="str">
        <f t="shared" si="429"/>
        <v>Violin retail item #002</v>
      </c>
      <c r="K4558" s="1" t="str">
        <f>IF(SUM(COUNTIFS(I:I, I4558)) &gt; 1, "DUPLICATE", "UNIQUE")</f>
        <v>UNIQUE</v>
      </c>
      <c r="L4558" s="18">
        <v>48</v>
      </c>
      <c r="M4558" s="28">
        <v>4594</v>
      </c>
      <c r="N4558" s="6">
        <v>42</v>
      </c>
      <c r="O4558" s="30">
        <f t="shared" si="430"/>
        <v>220512</v>
      </c>
      <c r="P4558" s="30">
        <f t="shared" si="431"/>
        <v>192948</v>
      </c>
      <c r="Q4558" s="1">
        <f>COUNTIFS($P:$P, "&gt;" &amp; $P4558) + 1</f>
        <v>294</v>
      </c>
      <c r="R4558" s="63">
        <f>(COUNTIFS($P:$P, "&gt;" &amp; $P4558) + 1) / (COUNTA($I:$I) - 1)</f>
        <v>5.8799999999999998E-2</v>
      </c>
      <c r="S4558" s="23">
        <f>SUMIFS($P:$P, $Q:$Q, "&lt;" &amp; $Q4558)</f>
        <v>128397455</v>
      </c>
    </row>
    <row r="4559" spans="1:19" x14ac:dyDescent="0.25">
      <c r="A4559" s="1">
        <v>4554</v>
      </c>
      <c r="B4559" s="1" t="s">
        <v>4</v>
      </c>
      <c r="C4559" s="1" t="str">
        <f>IF($B4559 = "Production Item", _xlfn.XLOOKUP($A4559, 'Instrument Table'!$J:$J, 'Instrument Table'!$B:$B, $C4558), IF($B4559 = "Service Item", _xlfn.XLOOKUP($A4559, 'Instrument Table'!$I:$I, 'Instrument Table'!$B:$B, $C4558), _xlfn.XLOOKUP($A4559, 'Instrument Table'!$H:$H, 'Instrument Table'!$B:$B, $C4558)))</f>
        <v>Violin</v>
      </c>
      <c r="D4559" s="1" t="str">
        <f>VLOOKUP($C4559, 'Instrument Table'!$B:$C, 2, FALSE)</f>
        <v>Strings</v>
      </c>
      <c r="E4559" s="1">
        <f t="shared" si="426"/>
        <v>3</v>
      </c>
      <c r="F4559" s="1">
        <f>_xlfn.XLOOKUP($C4559, 'Instrument Table'!$B:$B, 'Instrument Table'!$A:$A, "")</f>
        <v>20</v>
      </c>
      <c r="G4559" s="1" t="str">
        <f>TEXT(IF($B4559 = "Retail Item", IF((ROW($A4559) - 4504 - _xlfn.XMATCH($C4559, $C$4506:$C$5005, 0, 1)) &lt;= VLOOKUP($C4559, 'Instrument Table'!$B:$D, 3, FALSE), ROW($A4559) - 4504 - _xlfn.XMATCH($C4559, $C$4506:$C$5005, 0, 1), 0), 0), "00")</f>
        <v>00</v>
      </c>
      <c r="H4559" s="1" t="str">
        <f t="shared" si="427"/>
        <v>003</v>
      </c>
      <c r="I4559" s="1" t="str">
        <f t="shared" si="428"/>
        <v>32000-003</v>
      </c>
      <c r="J4559" s="1" t="str">
        <f t="shared" si="429"/>
        <v>Violin retail item #003</v>
      </c>
      <c r="K4559" s="1" t="str">
        <f>IF(SUM(COUNTIFS(I:I, I4559)) &gt; 1, "DUPLICATE", "UNIQUE")</f>
        <v>UNIQUE</v>
      </c>
      <c r="L4559" s="18">
        <v>61</v>
      </c>
      <c r="M4559" s="28">
        <v>2643</v>
      </c>
      <c r="N4559" s="6">
        <v>47</v>
      </c>
      <c r="O4559" s="30">
        <f t="shared" si="430"/>
        <v>161223</v>
      </c>
      <c r="P4559" s="30">
        <f t="shared" si="431"/>
        <v>124221</v>
      </c>
      <c r="Q4559" s="1">
        <f>COUNTIFS($P:$P, "&gt;" &amp; $P4559) + 1</f>
        <v>365</v>
      </c>
      <c r="R4559" s="63">
        <f>(COUNTIFS($P:$P, "&gt;" &amp; $P4559) + 1) / (COUNTA($I:$I) - 1)</f>
        <v>7.2999999999999995E-2</v>
      </c>
      <c r="S4559" s="23">
        <f>SUMIFS($P:$P, $Q:$Q, "&lt;" &amp; $Q4559)</f>
        <v>139402953</v>
      </c>
    </row>
    <row r="4560" spans="1:19" x14ac:dyDescent="0.25">
      <c r="A4560" s="1">
        <v>4555</v>
      </c>
      <c r="B4560" s="1" t="s">
        <v>4</v>
      </c>
      <c r="C4560" s="1" t="str">
        <f>IF($B4560 = "Production Item", _xlfn.XLOOKUP($A4560, 'Instrument Table'!$J:$J, 'Instrument Table'!$B:$B, $C4559), IF($B4560 = "Service Item", _xlfn.XLOOKUP($A4560, 'Instrument Table'!$I:$I, 'Instrument Table'!$B:$B, $C4559), _xlfn.XLOOKUP($A4560, 'Instrument Table'!$H:$H, 'Instrument Table'!$B:$B, $C4559)))</f>
        <v>Violin</v>
      </c>
      <c r="D4560" s="1" t="str">
        <f>VLOOKUP($C4560, 'Instrument Table'!$B:$C, 2, FALSE)</f>
        <v>Strings</v>
      </c>
      <c r="E4560" s="1">
        <f t="shared" si="426"/>
        <v>3</v>
      </c>
      <c r="F4560" s="1">
        <f>_xlfn.XLOOKUP($C4560, 'Instrument Table'!$B:$B, 'Instrument Table'!$A:$A, "")</f>
        <v>20</v>
      </c>
      <c r="G4560" s="1" t="str">
        <f>TEXT(IF($B4560 = "Retail Item", IF((ROW($A4560) - 4504 - _xlfn.XMATCH($C4560, $C$4506:$C$5005, 0, 1)) &lt;= VLOOKUP($C4560, 'Instrument Table'!$B:$D, 3, FALSE), ROW($A4560) - 4504 - _xlfn.XMATCH($C4560, $C$4506:$C$5005, 0, 1), 0), 0), "00")</f>
        <v>00</v>
      </c>
      <c r="H4560" s="1" t="str">
        <f t="shared" si="427"/>
        <v>004</v>
      </c>
      <c r="I4560" s="1" t="str">
        <f t="shared" si="428"/>
        <v>32000-004</v>
      </c>
      <c r="J4560" s="1" t="str">
        <f t="shared" si="429"/>
        <v>Violin retail item #004</v>
      </c>
      <c r="K4560" s="1" t="str">
        <f>IF(SUM(COUNTIFS(I:I, I4560)) &gt; 1, "DUPLICATE", "UNIQUE")</f>
        <v>UNIQUE</v>
      </c>
      <c r="L4560" s="18">
        <v>9</v>
      </c>
      <c r="M4560" s="28">
        <v>6484</v>
      </c>
      <c r="N4560" s="6">
        <v>75</v>
      </c>
      <c r="O4560" s="30">
        <f t="shared" si="430"/>
        <v>58356</v>
      </c>
      <c r="P4560" s="30">
        <f t="shared" si="431"/>
        <v>486300</v>
      </c>
      <c r="Q4560" s="1">
        <f>COUNTIFS($P:$P, "&gt;" &amp; $P4560) + 1</f>
        <v>102</v>
      </c>
      <c r="R4560" s="63">
        <f>(COUNTIFS($P:$P, "&gt;" &amp; $P4560) + 1) / (COUNTA($I:$I) - 1)</f>
        <v>2.0400000000000001E-2</v>
      </c>
      <c r="S4560" s="23">
        <f>SUMIFS($P:$P, $Q:$Q, "&lt;" &amp; $Q4560)</f>
        <v>67129906</v>
      </c>
    </row>
    <row r="4561" spans="1:19" x14ac:dyDescent="0.25">
      <c r="A4561" s="1">
        <v>4556</v>
      </c>
      <c r="B4561" s="1" t="s">
        <v>4</v>
      </c>
      <c r="C4561" s="1" t="str">
        <f>IF($B4561 = "Production Item", _xlfn.XLOOKUP($A4561, 'Instrument Table'!$J:$J, 'Instrument Table'!$B:$B, $C4560), IF($B4561 = "Service Item", _xlfn.XLOOKUP($A4561, 'Instrument Table'!$I:$I, 'Instrument Table'!$B:$B, $C4560), _xlfn.XLOOKUP($A4561, 'Instrument Table'!$H:$H, 'Instrument Table'!$B:$B, $C4560)))</f>
        <v>Viola</v>
      </c>
      <c r="D4561" s="1" t="str">
        <f>VLOOKUP($C4561, 'Instrument Table'!$B:$C, 2, FALSE)</f>
        <v>Strings</v>
      </c>
      <c r="E4561" s="1">
        <f t="shared" si="426"/>
        <v>3</v>
      </c>
      <c r="F4561" s="1">
        <f>_xlfn.XLOOKUP($C4561, 'Instrument Table'!$B:$B, 'Instrument Table'!$A:$A, "")</f>
        <v>21</v>
      </c>
      <c r="G4561" s="1" t="str">
        <f>TEXT(IF($B4561 = "Retail Item", IF((ROW($A4561) - 4504 - _xlfn.XMATCH($C4561, $C$4506:$C$5005, 0, 1)) &lt;= VLOOKUP($C4561, 'Instrument Table'!$B:$D, 3, FALSE), ROW($A4561) - 4504 - _xlfn.XMATCH($C4561, $C$4506:$C$5005, 0, 1), 0), 0), "00")</f>
        <v>01</v>
      </c>
      <c r="H4561" s="1" t="str">
        <f t="shared" si="427"/>
        <v>000</v>
      </c>
      <c r="I4561" s="1" t="str">
        <f t="shared" si="428"/>
        <v>32101-000</v>
      </c>
      <c r="J4561" s="1" t="str">
        <f t="shared" si="429"/>
        <v>Viola model #01</v>
      </c>
      <c r="K4561" s="1" t="str">
        <f>IF(SUM(COUNTIFS(I:I, I4561)) &gt; 1, "DUPLICATE", "UNIQUE")</f>
        <v>UNIQUE</v>
      </c>
      <c r="L4561" s="18">
        <v>91</v>
      </c>
      <c r="M4561" s="28">
        <v>7937</v>
      </c>
      <c r="N4561" s="6">
        <v>65</v>
      </c>
      <c r="O4561" s="30">
        <f t="shared" si="430"/>
        <v>722267</v>
      </c>
      <c r="P4561" s="30">
        <f t="shared" si="431"/>
        <v>515905</v>
      </c>
      <c r="Q4561" s="1">
        <f>COUNTIFS($P:$P, "&gt;" &amp; $P4561) + 1</f>
        <v>90</v>
      </c>
      <c r="R4561" s="63">
        <f>(COUNTIFS($P:$P, "&gt;" &amp; $P4561) + 1) / (COUNTA($I:$I) - 1)</f>
        <v>1.7999999999999999E-2</v>
      </c>
      <c r="S4561" s="23">
        <f>SUMIFS($P:$P, $Q:$Q, "&lt;" &amp; $Q4561)</f>
        <v>61078675</v>
      </c>
    </row>
    <row r="4562" spans="1:19" x14ac:dyDescent="0.25">
      <c r="A4562" s="1">
        <v>4557</v>
      </c>
      <c r="B4562" s="1" t="s">
        <v>4</v>
      </c>
      <c r="C4562" s="1" t="str">
        <f>IF($B4562 = "Production Item", _xlfn.XLOOKUP($A4562, 'Instrument Table'!$J:$J, 'Instrument Table'!$B:$B, $C4561), IF($B4562 = "Service Item", _xlfn.XLOOKUP($A4562, 'Instrument Table'!$I:$I, 'Instrument Table'!$B:$B, $C4561), _xlfn.XLOOKUP($A4562, 'Instrument Table'!$H:$H, 'Instrument Table'!$B:$B, $C4561)))</f>
        <v>Viola</v>
      </c>
      <c r="D4562" s="1" t="str">
        <f>VLOOKUP($C4562, 'Instrument Table'!$B:$C, 2, FALSE)</f>
        <v>Strings</v>
      </c>
      <c r="E4562" s="1">
        <f t="shared" si="426"/>
        <v>3</v>
      </c>
      <c r="F4562" s="1">
        <f>_xlfn.XLOOKUP($C4562, 'Instrument Table'!$B:$B, 'Instrument Table'!$A:$A, "")</f>
        <v>21</v>
      </c>
      <c r="G4562" s="1" t="str">
        <f>TEXT(IF($B4562 = "Retail Item", IF((ROW($A4562) - 4504 - _xlfn.XMATCH($C4562, $C$4506:$C$5005, 0, 1)) &lt;= VLOOKUP($C4562, 'Instrument Table'!$B:$D, 3, FALSE), ROW($A4562) - 4504 - _xlfn.XMATCH($C4562, $C$4506:$C$5005, 0, 1), 0), 0), "00")</f>
        <v>02</v>
      </c>
      <c r="H4562" s="1" t="str">
        <f t="shared" si="427"/>
        <v>000</v>
      </c>
      <c r="I4562" s="1" t="str">
        <f t="shared" si="428"/>
        <v>32102-000</v>
      </c>
      <c r="J4562" s="1" t="str">
        <f t="shared" si="429"/>
        <v>Viola model #02</v>
      </c>
      <c r="K4562" s="1" t="str">
        <f>IF(SUM(COUNTIFS(I:I, I4562)) &gt; 1, "DUPLICATE", "UNIQUE")</f>
        <v>UNIQUE</v>
      </c>
      <c r="L4562" s="18">
        <v>84</v>
      </c>
      <c r="M4562" s="28">
        <v>6014</v>
      </c>
      <c r="N4562" s="6">
        <v>84</v>
      </c>
      <c r="O4562" s="30">
        <f t="shared" si="430"/>
        <v>505176</v>
      </c>
      <c r="P4562" s="30">
        <f t="shared" si="431"/>
        <v>505176</v>
      </c>
      <c r="Q4562" s="1">
        <f>COUNTIFS($P:$P, "&gt;" &amp; $P4562) + 1</f>
        <v>96</v>
      </c>
      <c r="R4562" s="63">
        <f>(COUNTIFS($P:$P, "&gt;" &amp; $P4562) + 1) / (COUNTA($I:$I) - 1)</f>
        <v>1.9199999999999998E-2</v>
      </c>
      <c r="S4562" s="23">
        <f>SUMIFS($P:$P, $Q:$Q, "&lt;" &amp; $Q4562)</f>
        <v>64145534</v>
      </c>
    </row>
    <row r="4563" spans="1:19" x14ac:dyDescent="0.25">
      <c r="A4563" s="1">
        <v>4558</v>
      </c>
      <c r="B4563" s="1" t="s">
        <v>4</v>
      </c>
      <c r="C4563" s="1" t="str">
        <f>IF($B4563 = "Production Item", _xlfn.XLOOKUP($A4563, 'Instrument Table'!$J:$J, 'Instrument Table'!$B:$B, $C4562), IF($B4563 = "Service Item", _xlfn.XLOOKUP($A4563, 'Instrument Table'!$I:$I, 'Instrument Table'!$B:$B, $C4562), _xlfn.XLOOKUP($A4563, 'Instrument Table'!$H:$H, 'Instrument Table'!$B:$B, $C4562)))</f>
        <v>Viola</v>
      </c>
      <c r="D4563" s="1" t="str">
        <f>VLOOKUP($C4563, 'Instrument Table'!$B:$C, 2, FALSE)</f>
        <v>Strings</v>
      </c>
      <c r="E4563" s="1">
        <f t="shared" si="426"/>
        <v>3</v>
      </c>
      <c r="F4563" s="1">
        <f>_xlfn.XLOOKUP($C4563, 'Instrument Table'!$B:$B, 'Instrument Table'!$A:$A, "")</f>
        <v>21</v>
      </c>
      <c r="G4563" s="1" t="str">
        <f>TEXT(IF($B4563 = "Retail Item", IF((ROW($A4563) - 4504 - _xlfn.XMATCH($C4563, $C$4506:$C$5005, 0, 1)) &lt;= VLOOKUP($C4563, 'Instrument Table'!$B:$D, 3, FALSE), ROW($A4563) - 4504 - _xlfn.XMATCH($C4563, $C$4506:$C$5005, 0, 1), 0), 0), "00")</f>
        <v>03</v>
      </c>
      <c r="H4563" s="1" t="str">
        <f t="shared" si="427"/>
        <v>000</v>
      </c>
      <c r="I4563" s="1" t="str">
        <f t="shared" si="428"/>
        <v>32103-000</v>
      </c>
      <c r="J4563" s="1" t="str">
        <f t="shared" si="429"/>
        <v>Viola model #03</v>
      </c>
      <c r="K4563" s="1" t="str">
        <f>IF(SUM(COUNTIFS(I:I, I4563)) &gt; 1, "DUPLICATE", "UNIQUE")</f>
        <v>UNIQUE</v>
      </c>
      <c r="L4563" s="18">
        <v>52</v>
      </c>
      <c r="M4563" s="28">
        <v>4791</v>
      </c>
      <c r="N4563" s="6">
        <v>87</v>
      </c>
      <c r="O4563" s="30">
        <f t="shared" si="430"/>
        <v>249132</v>
      </c>
      <c r="P4563" s="30">
        <f t="shared" si="431"/>
        <v>416817</v>
      </c>
      <c r="Q4563" s="1">
        <f>COUNTIFS($P:$P, "&gt;" &amp; $P4563) + 1</f>
        <v>133</v>
      </c>
      <c r="R4563" s="63">
        <f>(COUNTIFS($P:$P, "&gt;" &amp; $P4563) + 1) / (COUNTA($I:$I) - 1)</f>
        <v>2.6599999999999999E-2</v>
      </c>
      <c r="S4563" s="23">
        <f>SUMIFS($P:$P, $Q:$Q, "&lt;" &amp; $Q4563)</f>
        <v>81161058</v>
      </c>
    </row>
    <row r="4564" spans="1:19" x14ac:dyDescent="0.25">
      <c r="A4564" s="1">
        <v>4559</v>
      </c>
      <c r="B4564" s="1" t="s">
        <v>4</v>
      </c>
      <c r="C4564" s="1" t="str">
        <f>IF($B4564 = "Production Item", _xlfn.XLOOKUP($A4564, 'Instrument Table'!$J:$J, 'Instrument Table'!$B:$B, $C4563), IF($B4564 = "Service Item", _xlfn.XLOOKUP($A4564, 'Instrument Table'!$I:$I, 'Instrument Table'!$B:$B, $C4563), _xlfn.XLOOKUP($A4564, 'Instrument Table'!$H:$H, 'Instrument Table'!$B:$B, $C4563)))</f>
        <v>Viola</v>
      </c>
      <c r="D4564" s="1" t="str">
        <f>VLOOKUP($C4564, 'Instrument Table'!$B:$C, 2, FALSE)</f>
        <v>Strings</v>
      </c>
      <c r="E4564" s="1">
        <f t="shared" si="426"/>
        <v>3</v>
      </c>
      <c r="F4564" s="1">
        <f>_xlfn.XLOOKUP($C4564, 'Instrument Table'!$B:$B, 'Instrument Table'!$A:$A, "")</f>
        <v>21</v>
      </c>
      <c r="G4564" s="1" t="str">
        <f>TEXT(IF($B4564 = "Retail Item", IF((ROW($A4564) - 4504 - _xlfn.XMATCH($C4564, $C$4506:$C$5005, 0, 1)) &lt;= VLOOKUP($C4564, 'Instrument Table'!$B:$D, 3, FALSE), ROW($A4564) - 4504 - _xlfn.XMATCH($C4564, $C$4506:$C$5005, 0, 1), 0), 0), "00")</f>
        <v>04</v>
      </c>
      <c r="H4564" s="1" t="str">
        <f t="shared" si="427"/>
        <v>000</v>
      </c>
      <c r="I4564" s="1" t="str">
        <f t="shared" si="428"/>
        <v>32104-000</v>
      </c>
      <c r="J4564" s="1" t="str">
        <f t="shared" si="429"/>
        <v>Viola model #04</v>
      </c>
      <c r="K4564" s="1" t="str">
        <f>IF(SUM(COUNTIFS(I:I, I4564)) &gt; 1, "DUPLICATE", "UNIQUE")</f>
        <v>UNIQUE</v>
      </c>
      <c r="L4564" s="18">
        <v>17</v>
      </c>
      <c r="M4564" s="28">
        <v>3811</v>
      </c>
      <c r="N4564" s="6">
        <v>89</v>
      </c>
      <c r="O4564" s="30">
        <f t="shared" si="430"/>
        <v>64787</v>
      </c>
      <c r="P4564" s="30">
        <f t="shared" si="431"/>
        <v>339179</v>
      </c>
      <c r="Q4564" s="1">
        <f>COUNTIFS($P:$P, "&gt;" &amp; $P4564) + 1</f>
        <v>172</v>
      </c>
      <c r="R4564" s="63">
        <f>(COUNTIFS($P:$P, "&gt;" &amp; $P4564) + 1) / (COUNTA($I:$I) - 1)</f>
        <v>3.44E-2</v>
      </c>
      <c r="S4564" s="23">
        <f>SUMIFS($P:$P, $Q:$Q, "&lt;" &amp; $Q4564)</f>
        <v>95925349</v>
      </c>
    </row>
    <row r="4565" spans="1:19" x14ac:dyDescent="0.25">
      <c r="A4565" s="1">
        <v>4560</v>
      </c>
      <c r="B4565" s="1" t="s">
        <v>4</v>
      </c>
      <c r="C4565" s="1" t="str">
        <f>IF($B4565 = "Production Item", _xlfn.XLOOKUP($A4565, 'Instrument Table'!$J:$J, 'Instrument Table'!$B:$B, $C4564), IF($B4565 = "Service Item", _xlfn.XLOOKUP($A4565, 'Instrument Table'!$I:$I, 'Instrument Table'!$B:$B, $C4564), _xlfn.XLOOKUP($A4565, 'Instrument Table'!$H:$H, 'Instrument Table'!$B:$B, $C4564)))</f>
        <v>Viola</v>
      </c>
      <c r="D4565" s="1" t="str">
        <f>VLOOKUP($C4565, 'Instrument Table'!$B:$C, 2, FALSE)</f>
        <v>Strings</v>
      </c>
      <c r="E4565" s="1">
        <f t="shared" si="426"/>
        <v>3</v>
      </c>
      <c r="F4565" s="1">
        <f>_xlfn.XLOOKUP($C4565, 'Instrument Table'!$B:$B, 'Instrument Table'!$A:$A, "")</f>
        <v>21</v>
      </c>
      <c r="G4565" s="1" t="str">
        <f>TEXT(IF($B4565 = "Retail Item", IF((ROW($A4565) - 4504 - _xlfn.XMATCH($C4565, $C$4506:$C$5005, 0, 1)) &lt;= VLOOKUP($C4565, 'Instrument Table'!$B:$D, 3, FALSE), ROW($A4565) - 4504 - _xlfn.XMATCH($C4565, $C$4506:$C$5005, 0, 1), 0), 0), "00")</f>
        <v>05</v>
      </c>
      <c r="H4565" s="1" t="str">
        <f t="shared" si="427"/>
        <v>000</v>
      </c>
      <c r="I4565" s="1" t="str">
        <f t="shared" si="428"/>
        <v>32105-000</v>
      </c>
      <c r="J4565" s="1" t="str">
        <f t="shared" si="429"/>
        <v>Viola model #05</v>
      </c>
      <c r="K4565" s="1" t="str">
        <f>IF(SUM(COUNTIFS(I:I, I4565)) &gt; 1, "DUPLICATE", "UNIQUE")</f>
        <v>UNIQUE</v>
      </c>
      <c r="L4565" s="18">
        <v>51</v>
      </c>
      <c r="M4565" s="28">
        <v>3939</v>
      </c>
      <c r="N4565" s="6">
        <v>86</v>
      </c>
      <c r="O4565" s="30">
        <f t="shared" si="430"/>
        <v>200889</v>
      </c>
      <c r="P4565" s="30">
        <f t="shared" si="431"/>
        <v>338754</v>
      </c>
      <c r="Q4565" s="1">
        <f>COUNTIFS($P:$P, "&gt;" &amp; $P4565) + 1</f>
        <v>173</v>
      </c>
      <c r="R4565" s="63">
        <f>(COUNTIFS($P:$P, "&gt;" &amp; $P4565) + 1) / (COUNTA($I:$I) - 1)</f>
        <v>3.4599999999999999E-2</v>
      </c>
      <c r="S4565" s="23">
        <f>SUMIFS($P:$P, $Q:$Q, "&lt;" &amp; $Q4565)</f>
        <v>96264528</v>
      </c>
    </row>
    <row r="4566" spans="1:19" x14ac:dyDescent="0.25">
      <c r="A4566" s="1">
        <v>4561</v>
      </c>
      <c r="B4566" s="1" t="s">
        <v>4</v>
      </c>
      <c r="C4566" s="1" t="str">
        <f>IF($B4566 = "Production Item", _xlfn.XLOOKUP($A4566, 'Instrument Table'!$J:$J, 'Instrument Table'!$B:$B, $C4565), IF($B4566 = "Service Item", _xlfn.XLOOKUP($A4566, 'Instrument Table'!$I:$I, 'Instrument Table'!$B:$B, $C4565), _xlfn.XLOOKUP($A4566, 'Instrument Table'!$H:$H, 'Instrument Table'!$B:$B, $C4565)))</f>
        <v>Viola</v>
      </c>
      <c r="D4566" s="1" t="str">
        <f>VLOOKUP($C4566, 'Instrument Table'!$B:$C, 2, FALSE)</f>
        <v>Strings</v>
      </c>
      <c r="E4566" s="1">
        <f t="shared" si="426"/>
        <v>3</v>
      </c>
      <c r="F4566" s="1">
        <f>_xlfn.XLOOKUP($C4566, 'Instrument Table'!$B:$B, 'Instrument Table'!$A:$A, "")</f>
        <v>21</v>
      </c>
      <c r="G4566" s="1" t="str">
        <f>TEXT(IF($B4566 = "Retail Item", IF((ROW($A4566) - 4504 - _xlfn.XMATCH($C4566, $C$4506:$C$5005, 0, 1)) &lt;= VLOOKUP($C4566, 'Instrument Table'!$B:$D, 3, FALSE), ROW($A4566) - 4504 - _xlfn.XMATCH($C4566, $C$4506:$C$5005, 0, 1), 0), 0), "00")</f>
        <v>00</v>
      </c>
      <c r="H4566" s="1" t="str">
        <f t="shared" si="427"/>
        <v>000</v>
      </c>
      <c r="I4566" s="1" t="str">
        <f t="shared" si="428"/>
        <v>32100-000</v>
      </c>
      <c r="J4566" s="1" t="str">
        <f t="shared" si="429"/>
        <v>Viola retail item #000</v>
      </c>
      <c r="K4566" s="1" t="str">
        <f>IF(SUM(COUNTIFS(I:I, I4566)) &gt; 1, "DUPLICATE", "UNIQUE")</f>
        <v>UNIQUE</v>
      </c>
      <c r="L4566" s="18">
        <v>29</v>
      </c>
      <c r="M4566" s="28">
        <v>2634</v>
      </c>
      <c r="N4566" s="6">
        <v>36</v>
      </c>
      <c r="O4566" s="30">
        <f t="shared" si="430"/>
        <v>76386</v>
      </c>
      <c r="P4566" s="30">
        <f t="shared" si="431"/>
        <v>94824</v>
      </c>
      <c r="Q4566" s="1">
        <f>COUNTIFS($P:$P, "&gt;" &amp; $P4566) + 1</f>
        <v>417</v>
      </c>
      <c r="R4566" s="63">
        <f>(COUNTIFS($P:$P, "&gt;" &amp; $P4566) + 1) / (COUNTA($I:$I) - 1)</f>
        <v>8.3400000000000002E-2</v>
      </c>
      <c r="S4566" s="23">
        <f>SUMIFS($P:$P, $Q:$Q, "&lt;" &amp; $Q4566)</f>
        <v>145140761</v>
      </c>
    </row>
    <row r="4567" spans="1:19" x14ac:dyDescent="0.25">
      <c r="A4567" s="1">
        <v>4562</v>
      </c>
      <c r="B4567" s="1" t="s">
        <v>4</v>
      </c>
      <c r="C4567" s="1" t="str">
        <f>IF($B4567 = "Production Item", _xlfn.XLOOKUP($A4567, 'Instrument Table'!$J:$J, 'Instrument Table'!$B:$B, $C4566), IF($B4567 = "Service Item", _xlfn.XLOOKUP($A4567, 'Instrument Table'!$I:$I, 'Instrument Table'!$B:$B, $C4566), _xlfn.XLOOKUP($A4567, 'Instrument Table'!$H:$H, 'Instrument Table'!$B:$B, $C4566)))</f>
        <v>Viola</v>
      </c>
      <c r="D4567" s="1" t="str">
        <f>VLOOKUP($C4567, 'Instrument Table'!$B:$C, 2, FALSE)</f>
        <v>Strings</v>
      </c>
      <c r="E4567" s="1">
        <f t="shared" si="426"/>
        <v>3</v>
      </c>
      <c r="F4567" s="1">
        <f>_xlfn.XLOOKUP($C4567, 'Instrument Table'!$B:$B, 'Instrument Table'!$A:$A, "")</f>
        <v>21</v>
      </c>
      <c r="G4567" s="1" t="str">
        <f>TEXT(IF($B4567 = "Retail Item", IF((ROW($A4567) - 4504 - _xlfn.XMATCH($C4567, $C$4506:$C$5005, 0, 1)) &lt;= VLOOKUP($C4567, 'Instrument Table'!$B:$D, 3, FALSE), ROW($A4567) - 4504 - _xlfn.XMATCH($C4567, $C$4506:$C$5005, 0, 1), 0), 0), "00")</f>
        <v>00</v>
      </c>
      <c r="H4567" s="1" t="str">
        <f t="shared" si="427"/>
        <v>001</v>
      </c>
      <c r="I4567" s="1" t="str">
        <f t="shared" si="428"/>
        <v>32100-001</v>
      </c>
      <c r="J4567" s="1" t="str">
        <f t="shared" si="429"/>
        <v>Viola retail item #001</v>
      </c>
      <c r="K4567" s="1" t="str">
        <f>IF(SUM(COUNTIFS(I:I, I4567)) &gt; 1, "DUPLICATE", "UNIQUE")</f>
        <v>UNIQUE</v>
      </c>
      <c r="L4567" s="18">
        <v>43</v>
      </c>
      <c r="M4567" s="28">
        <v>6849</v>
      </c>
      <c r="N4567" s="6">
        <v>72</v>
      </c>
      <c r="O4567" s="30">
        <f t="shared" si="430"/>
        <v>294507</v>
      </c>
      <c r="P4567" s="30">
        <f t="shared" si="431"/>
        <v>493128</v>
      </c>
      <c r="Q4567" s="1">
        <f>COUNTIFS($P:$P, "&gt;" &amp; $P4567) + 1</f>
        <v>100</v>
      </c>
      <c r="R4567" s="63">
        <f>(COUNTIFS($P:$P, "&gt;" &amp; $P4567) + 1) / (COUNTA($I:$I) - 1)</f>
        <v>0.02</v>
      </c>
      <c r="S4567" s="23">
        <f>SUMIFS($P:$P, $Q:$Q, "&lt;" &amp; $Q4567)</f>
        <v>66146722</v>
      </c>
    </row>
    <row r="4568" spans="1:19" x14ac:dyDescent="0.25">
      <c r="A4568" s="1">
        <v>4563</v>
      </c>
      <c r="B4568" s="1" t="s">
        <v>4</v>
      </c>
      <c r="C4568" s="1" t="str">
        <f>IF($B4568 = "Production Item", _xlfn.XLOOKUP($A4568, 'Instrument Table'!$J:$J, 'Instrument Table'!$B:$B, $C4567), IF($B4568 = "Service Item", _xlfn.XLOOKUP($A4568, 'Instrument Table'!$I:$I, 'Instrument Table'!$B:$B, $C4567), _xlfn.XLOOKUP($A4568, 'Instrument Table'!$H:$H, 'Instrument Table'!$B:$B, $C4567)))</f>
        <v>Viola</v>
      </c>
      <c r="D4568" s="1" t="str">
        <f>VLOOKUP($C4568, 'Instrument Table'!$B:$C, 2, FALSE)</f>
        <v>Strings</v>
      </c>
      <c r="E4568" s="1">
        <f t="shared" si="426"/>
        <v>3</v>
      </c>
      <c r="F4568" s="1">
        <f>_xlfn.XLOOKUP($C4568, 'Instrument Table'!$B:$B, 'Instrument Table'!$A:$A, "")</f>
        <v>21</v>
      </c>
      <c r="G4568" s="1" t="str">
        <f>TEXT(IF($B4568 = "Retail Item", IF((ROW($A4568) - 4504 - _xlfn.XMATCH($C4568, $C$4506:$C$5005, 0, 1)) &lt;= VLOOKUP($C4568, 'Instrument Table'!$B:$D, 3, FALSE), ROW($A4568) - 4504 - _xlfn.XMATCH($C4568, $C$4506:$C$5005, 0, 1), 0), 0), "00")</f>
        <v>00</v>
      </c>
      <c r="H4568" s="1" t="str">
        <f t="shared" si="427"/>
        <v>002</v>
      </c>
      <c r="I4568" s="1" t="str">
        <f t="shared" si="428"/>
        <v>32100-002</v>
      </c>
      <c r="J4568" s="1" t="str">
        <f t="shared" si="429"/>
        <v>Viola retail item #002</v>
      </c>
      <c r="K4568" s="1" t="str">
        <f>IF(SUM(COUNTIFS(I:I, I4568)) &gt; 1, "DUPLICATE", "UNIQUE")</f>
        <v>UNIQUE</v>
      </c>
      <c r="L4568" s="18">
        <v>69</v>
      </c>
      <c r="M4568" s="28">
        <v>7808</v>
      </c>
      <c r="N4568" s="6">
        <v>53</v>
      </c>
      <c r="O4568" s="30">
        <f t="shared" si="430"/>
        <v>538752</v>
      </c>
      <c r="P4568" s="30">
        <f t="shared" si="431"/>
        <v>413824</v>
      </c>
      <c r="Q4568" s="1">
        <f>COUNTIFS($P:$P, "&gt;" &amp; $P4568) + 1</f>
        <v>135</v>
      </c>
      <c r="R4568" s="63">
        <f>(COUNTIFS($P:$P, "&gt;" &amp; $P4568) + 1) / (COUNTA($I:$I) - 1)</f>
        <v>2.7E-2</v>
      </c>
      <c r="S4568" s="23">
        <f>SUMIFS($P:$P, $Q:$Q, "&lt;" &amp; $Q4568)</f>
        <v>81992385</v>
      </c>
    </row>
    <row r="4569" spans="1:19" x14ac:dyDescent="0.25">
      <c r="A4569" s="1">
        <v>4564</v>
      </c>
      <c r="B4569" s="1" t="s">
        <v>4</v>
      </c>
      <c r="C4569" s="1" t="str">
        <f>IF($B4569 = "Production Item", _xlfn.XLOOKUP($A4569, 'Instrument Table'!$J:$J, 'Instrument Table'!$B:$B, $C4568), IF($B4569 = "Service Item", _xlfn.XLOOKUP($A4569, 'Instrument Table'!$I:$I, 'Instrument Table'!$B:$B, $C4568), _xlfn.XLOOKUP($A4569, 'Instrument Table'!$H:$H, 'Instrument Table'!$B:$B, $C4568)))</f>
        <v>Viola</v>
      </c>
      <c r="D4569" s="1" t="str">
        <f>VLOOKUP($C4569, 'Instrument Table'!$B:$C, 2, FALSE)</f>
        <v>Strings</v>
      </c>
      <c r="E4569" s="1">
        <f t="shared" si="426"/>
        <v>3</v>
      </c>
      <c r="F4569" s="1">
        <f>_xlfn.XLOOKUP($C4569, 'Instrument Table'!$B:$B, 'Instrument Table'!$A:$A, "")</f>
        <v>21</v>
      </c>
      <c r="G4569" s="1" t="str">
        <f>TEXT(IF($B4569 = "Retail Item", IF((ROW($A4569) - 4504 - _xlfn.XMATCH($C4569, $C$4506:$C$5005, 0, 1)) &lt;= VLOOKUP($C4569, 'Instrument Table'!$B:$D, 3, FALSE), ROW($A4569) - 4504 - _xlfn.XMATCH($C4569, $C$4506:$C$5005, 0, 1), 0), 0), "00")</f>
        <v>00</v>
      </c>
      <c r="H4569" s="1" t="str">
        <f t="shared" si="427"/>
        <v>003</v>
      </c>
      <c r="I4569" s="1" t="str">
        <f t="shared" si="428"/>
        <v>32100-003</v>
      </c>
      <c r="J4569" s="1" t="str">
        <f t="shared" si="429"/>
        <v>Viola retail item #003</v>
      </c>
      <c r="K4569" s="1" t="str">
        <f>IF(SUM(COUNTIFS(I:I, I4569)) &gt; 1, "DUPLICATE", "UNIQUE")</f>
        <v>UNIQUE</v>
      </c>
      <c r="L4569" s="18">
        <v>70</v>
      </c>
      <c r="M4569" s="28">
        <v>1748</v>
      </c>
      <c r="N4569" s="6">
        <v>71</v>
      </c>
      <c r="O4569" s="30">
        <f t="shared" si="430"/>
        <v>122360</v>
      </c>
      <c r="P4569" s="30">
        <f t="shared" si="431"/>
        <v>124108</v>
      </c>
      <c r="Q4569" s="1">
        <f>COUNTIFS($P:$P, "&gt;" &amp; $P4569) + 1</f>
        <v>366</v>
      </c>
      <c r="R4569" s="63">
        <f>(COUNTIFS($P:$P, "&gt;" &amp; $P4569) + 1) / (COUNTA($I:$I) - 1)</f>
        <v>7.3200000000000001E-2</v>
      </c>
      <c r="S4569" s="23">
        <f>SUMIFS($P:$P, $Q:$Q, "&lt;" &amp; $Q4569)</f>
        <v>139527174</v>
      </c>
    </row>
    <row r="4570" spans="1:19" x14ac:dyDescent="0.25">
      <c r="A4570" s="1">
        <v>4565</v>
      </c>
      <c r="B4570" s="1" t="s">
        <v>4</v>
      </c>
      <c r="C4570" s="1" t="str">
        <f>IF($B4570 = "Production Item", _xlfn.XLOOKUP($A4570, 'Instrument Table'!$J:$J, 'Instrument Table'!$B:$B, $C4569), IF($B4570 = "Service Item", _xlfn.XLOOKUP($A4570, 'Instrument Table'!$I:$I, 'Instrument Table'!$B:$B, $C4569), _xlfn.XLOOKUP($A4570, 'Instrument Table'!$H:$H, 'Instrument Table'!$B:$B, $C4569)))</f>
        <v>Viola</v>
      </c>
      <c r="D4570" s="1" t="str">
        <f>VLOOKUP($C4570, 'Instrument Table'!$B:$C, 2, FALSE)</f>
        <v>Strings</v>
      </c>
      <c r="E4570" s="1">
        <f t="shared" si="426"/>
        <v>3</v>
      </c>
      <c r="F4570" s="1">
        <f>_xlfn.XLOOKUP($C4570, 'Instrument Table'!$B:$B, 'Instrument Table'!$A:$A, "")</f>
        <v>21</v>
      </c>
      <c r="G4570" s="1" t="str">
        <f>TEXT(IF($B4570 = "Retail Item", IF((ROW($A4570) - 4504 - _xlfn.XMATCH($C4570, $C$4506:$C$5005, 0, 1)) &lt;= VLOOKUP($C4570, 'Instrument Table'!$B:$D, 3, FALSE), ROW($A4570) - 4504 - _xlfn.XMATCH($C4570, $C$4506:$C$5005, 0, 1), 0), 0), "00")</f>
        <v>00</v>
      </c>
      <c r="H4570" s="1" t="str">
        <f t="shared" si="427"/>
        <v>004</v>
      </c>
      <c r="I4570" s="1" t="str">
        <f t="shared" si="428"/>
        <v>32100-004</v>
      </c>
      <c r="J4570" s="1" t="str">
        <f t="shared" si="429"/>
        <v>Viola retail item #004</v>
      </c>
      <c r="K4570" s="1" t="str">
        <f>IF(SUM(COUNTIFS(I:I, I4570)) &gt; 1, "DUPLICATE", "UNIQUE")</f>
        <v>UNIQUE</v>
      </c>
      <c r="L4570" s="18">
        <v>52</v>
      </c>
      <c r="M4570" s="28">
        <v>2672</v>
      </c>
      <c r="N4570" s="6">
        <v>44</v>
      </c>
      <c r="O4570" s="30">
        <f t="shared" si="430"/>
        <v>138944</v>
      </c>
      <c r="P4570" s="30">
        <f t="shared" si="431"/>
        <v>117568</v>
      </c>
      <c r="Q4570" s="1">
        <f>COUNTIFS($P:$P, "&gt;" &amp; $P4570) + 1</f>
        <v>375</v>
      </c>
      <c r="R4570" s="63">
        <f>(COUNTIFS($P:$P, "&gt;" &amp; $P4570) + 1) / (COUNTA($I:$I) - 1)</f>
        <v>7.4999999999999997E-2</v>
      </c>
      <c r="S4570" s="23">
        <f>SUMIFS($P:$P, $Q:$Q, "&lt;" &amp; $Q4570)</f>
        <v>140621877</v>
      </c>
    </row>
    <row r="4571" spans="1:19" x14ac:dyDescent="0.25">
      <c r="A4571" s="1">
        <v>4566</v>
      </c>
      <c r="B4571" s="1" t="s">
        <v>4</v>
      </c>
      <c r="C4571" s="1" t="str">
        <f>IF($B4571 = "Production Item", _xlfn.XLOOKUP($A4571, 'Instrument Table'!$J:$J, 'Instrument Table'!$B:$B, $C4570), IF($B4571 = "Service Item", _xlfn.XLOOKUP($A4571, 'Instrument Table'!$I:$I, 'Instrument Table'!$B:$B, $C4570), _xlfn.XLOOKUP($A4571, 'Instrument Table'!$H:$H, 'Instrument Table'!$B:$B, $C4570)))</f>
        <v>Cello</v>
      </c>
      <c r="D4571" s="1" t="str">
        <f>VLOOKUP($C4571, 'Instrument Table'!$B:$C, 2, FALSE)</f>
        <v>Strings</v>
      </c>
      <c r="E4571" s="1">
        <f t="shared" si="426"/>
        <v>3</v>
      </c>
      <c r="F4571" s="1">
        <f>_xlfn.XLOOKUP($C4571, 'Instrument Table'!$B:$B, 'Instrument Table'!$A:$A, "")</f>
        <v>22</v>
      </c>
      <c r="G4571" s="1" t="str">
        <f>TEXT(IF($B4571 = "Retail Item", IF((ROW($A4571) - 4504 - _xlfn.XMATCH($C4571, $C$4506:$C$5005, 0, 1)) &lt;= VLOOKUP($C4571, 'Instrument Table'!$B:$D, 3, FALSE), ROW($A4571) - 4504 - _xlfn.XMATCH($C4571, $C$4506:$C$5005, 0, 1), 0), 0), "00")</f>
        <v>01</v>
      </c>
      <c r="H4571" s="1" t="str">
        <f t="shared" si="427"/>
        <v>000</v>
      </c>
      <c r="I4571" s="1" t="str">
        <f t="shared" si="428"/>
        <v>32201-000</v>
      </c>
      <c r="J4571" s="1" t="str">
        <f t="shared" si="429"/>
        <v>Cello model #01</v>
      </c>
      <c r="K4571" s="1" t="str">
        <f>IF(SUM(COUNTIFS(I:I, I4571)) &gt; 1, "DUPLICATE", "UNIQUE")</f>
        <v>UNIQUE</v>
      </c>
      <c r="L4571" s="18">
        <v>32</v>
      </c>
      <c r="M4571" s="28">
        <v>5134</v>
      </c>
      <c r="N4571" s="6">
        <v>31</v>
      </c>
      <c r="O4571" s="30">
        <f t="shared" si="430"/>
        <v>164288</v>
      </c>
      <c r="P4571" s="30">
        <f t="shared" si="431"/>
        <v>159154</v>
      </c>
      <c r="Q4571" s="1">
        <f>COUNTIFS($P:$P, "&gt;" &amp; $P4571) + 1</f>
        <v>322</v>
      </c>
      <c r="R4571" s="63">
        <f>(COUNTIFS($P:$P, "&gt;" &amp; $P4571) + 1) / (COUNTA($I:$I) - 1)</f>
        <v>6.4399999999999999E-2</v>
      </c>
      <c r="S4571" s="23">
        <f>SUMIFS($P:$P, $Q:$Q, "&lt;" &amp; $Q4571)</f>
        <v>133312745</v>
      </c>
    </row>
    <row r="4572" spans="1:19" x14ac:dyDescent="0.25">
      <c r="A4572" s="1">
        <v>4567</v>
      </c>
      <c r="B4572" s="1" t="s">
        <v>4</v>
      </c>
      <c r="C4572" s="1" t="str">
        <f>IF($B4572 = "Production Item", _xlfn.XLOOKUP($A4572, 'Instrument Table'!$J:$J, 'Instrument Table'!$B:$B, $C4571), IF($B4572 = "Service Item", _xlfn.XLOOKUP($A4572, 'Instrument Table'!$I:$I, 'Instrument Table'!$B:$B, $C4571), _xlfn.XLOOKUP($A4572, 'Instrument Table'!$H:$H, 'Instrument Table'!$B:$B, $C4571)))</f>
        <v>Cello</v>
      </c>
      <c r="D4572" s="1" t="str">
        <f>VLOOKUP($C4572, 'Instrument Table'!$B:$C, 2, FALSE)</f>
        <v>Strings</v>
      </c>
      <c r="E4572" s="1">
        <f t="shared" si="426"/>
        <v>3</v>
      </c>
      <c r="F4572" s="1">
        <f>_xlfn.XLOOKUP($C4572, 'Instrument Table'!$B:$B, 'Instrument Table'!$A:$A, "")</f>
        <v>22</v>
      </c>
      <c r="G4572" s="1" t="str">
        <f>TEXT(IF($B4572 = "Retail Item", IF((ROW($A4572) - 4504 - _xlfn.XMATCH($C4572, $C$4506:$C$5005, 0, 1)) &lt;= VLOOKUP($C4572, 'Instrument Table'!$B:$D, 3, FALSE), ROW($A4572) - 4504 - _xlfn.XMATCH($C4572, $C$4506:$C$5005, 0, 1), 0), 0), "00")</f>
        <v>02</v>
      </c>
      <c r="H4572" s="1" t="str">
        <f t="shared" si="427"/>
        <v>000</v>
      </c>
      <c r="I4572" s="1" t="str">
        <f t="shared" si="428"/>
        <v>32202-000</v>
      </c>
      <c r="J4572" s="1" t="str">
        <f t="shared" si="429"/>
        <v>Cello model #02</v>
      </c>
      <c r="K4572" s="1" t="str">
        <f>IF(SUM(COUNTIFS(I:I, I4572)) &gt; 1, "DUPLICATE", "UNIQUE")</f>
        <v>UNIQUE</v>
      </c>
      <c r="L4572" s="18">
        <v>41</v>
      </c>
      <c r="M4572" s="28">
        <v>2639</v>
      </c>
      <c r="N4572" s="6">
        <v>34</v>
      </c>
      <c r="O4572" s="30">
        <f t="shared" si="430"/>
        <v>108199</v>
      </c>
      <c r="P4572" s="30">
        <f t="shared" si="431"/>
        <v>89726</v>
      </c>
      <c r="Q4572" s="1">
        <f>COUNTIFS($P:$P, "&gt;" &amp; $P4572) + 1</f>
        <v>428</v>
      </c>
      <c r="R4572" s="63">
        <f>(COUNTIFS($P:$P, "&gt;" &amp; $P4572) + 1) / (COUNTA($I:$I) - 1)</f>
        <v>8.5599999999999996E-2</v>
      </c>
      <c r="S4572" s="23">
        <f>SUMIFS($P:$P, $Q:$Q, "&lt;" &amp; $Q4572)</f>
        <v>146161757</v>
      </c>
    </row>
    <row r="4573" spans="1:19" x14ac:dyDescent="0.25">
      <c r="A4573" s="1">
        <v>4568</v>
      </c>
      <c r="B4573" s="1" t="s">
        <v>4</v>
      </c>
      <c r="C4573" s="1" t="str">
        <f>IF($B4573 = "Production Item", _xlfn.XLOOKUP($A4573, 'Instrument Table'!$J:$J, 'Instrument Table'!$B:$B, $C4572), IF($B4573 = "Service Item", _xlfn.XLOOKUP($A4573, 'Instrument Table'!$I:$I, 'Instrument Table'!$B:$B, $C4572), _xlfn.XLOOKUP($A4573, 'Instrument Table'!$H:$H, 'Instrument Table'!$B:$B, $C4572)))</f>
        <v>Cello</v>
      </c>
      <c r="D4573" s="1" t="str">
        <f>VLOOKUP($C4573, 'Instrument Table'!$B:$C, 2, FALSE)</f>
        <v>Strings</v>
      </c>
      <c r="E4573" s="1">
        <f t="shared" si="426"/>
        <v>3</v>
      </c>
      <c r="F4573" s="1">
        <f>_xlfn.XLOOKUP($C4573, 'Instrument Table'!$B:$B, 'Instrument Table'!$A:$A, "")</f>
        <v>22</v>
      </c>
      <c r="G4573" s="1" t="str">
        <f>TEXT(IF($B4573 = "Retail Item", IF((ROW($A4573) - 4504 - _xlfn.XMATCH($C4573, $C$4506:$C$5005, 0, 1)) &lt;= VLOOKUP($C4573, 'Instrument Table'!$B:$D, 3, FALSE), ROW($A4573) - 4504 - _xlfn.XMATCH($C4573, $C$4506:$C$5005, 0, 1), 0), 0), "00")</f>
        <v>03</v>
      </c>
      <c r="H4573" s="1" t="str">
        <f t="shared" si="427"/>
        <v>000</v>
      </c>
      <c r="I4573" s="1" t="str">
        <f t="shared" si="428"/>
        <v>32203-000</v>
      </c>
      <c r="J4573" s="1" t="str">
        <f t="shared" si="429"/>
        <v>Cello model #03</v>
      </c>
      <c r="K4573" s="1" t="str">
        <f>IF(SUM(COUNTIFS(I:I, I4573)) &gt; 1, "DUPLICATE", "UNIQUE")</f>
        <v>UNIQUE</v>
      </c>
      <c r="L4573" s="18">
        <v>54</v>
      </c>
      <c r="M4573" s="28">
        <v>8810</v>
      </c>
      <c r="N4573" s="6">
        <v>96</v>
      </c>
      <c r="O4573" s="30">
        <f t="shared" si="430"/>
        <v>475740</v>
      </c>
      <c r="P4573" s="30">
        <f t="shared" si="431"/>
        <v>845760</v>
      </c>
      <c r="Q4573" s="1">
        <f>COUNTIFS($P:$P, "&gt;" &amp; $P4573) + 1</f>
        <v>13</v>
      </c>
      <c r="R4573" s="63">
        <f>(COUNTIFS($P:$P, "&gt;" &amp; $P4573) + 1) / (COUNTA($I:$I) - 1)</f>
        <v>2.5999999999999999E-3</v>
      </c>
      <c r="S4573" s="23">
        <f>SUMIFS($P:$P, $Q:$Q, "&lt;" &amp; $Q4573)</f>
        <v>10809408</v>
      </c>
    </row>
    <row r="4574" spans="1:19" x14ac:dyDescent="0.25">
      <c r="A4574" s="1">
        <v>4569</v>
      </c>
      <c r="B4574" s="1" t="s">
        <v>4</v>
      </c>
      <c r="C4574" s="1" t="str">
        <f>IF($B4574 = "Production Item", _xlfn.XLOOKUP($A4574, 'Instrument Table'!$J:$J, 'Instrument Table'!$B:$B, $C4573), IF($B4574 = "Service Item", _xlfn.XLOOKUP($A4574, 'Instrument Table'!$I:$I, 'Instrument Table'!$B:$B, $C4573), _xlfn.XLOOKUP($A4574, 'Instrument Table'!$H:$H, 'Instrument Table'!$B:$B, $C4573)))</f>
        <v>Cello</v>
      </c>
      <c r="D4574" s="1" t="str">
        <f>VLOOKUP($C4574, 'Instrument Table'!$B:$C, 2, FALSE)</f>
        <v>Strings</v>
      </c>
      <c r="E4574" s="1">
        <f t="shared" si="426"/>
        <v>3</v>
      </c>
      <c r="F4574" s="1">
        <f>_xlfn.XLOOKUP($C4574, 'Instrument Table'!$B:$B, 'Instrument Table'!$A:$A, "")</f>
        <v>22</v>
      </c>
      <c r="G4574" s="1" t="str">
        <f>TEXT(IF($B4574 = "Retail Item", IF((ROW($A4574) - 4504 - _xlfn.XMATCH($C4574, $C$4506:$C$5005, 0, 1)) &lt;= VLOOKUP($C4574, 'Instrument Table'!$B:$D, 3, FALSE), ROW($A4574) - 4504 - _xlfn.XMATCH($C4574, $C$4506:$C$5005, 0, 1), 0), 0), "00")</f>
        <v>04</v>
      </c>
      <c r="H4574" s="1" t="str">
        <f t="shared" si="427"/>
        <v>000</v>
      </c>
      <c r="I4574" s="1" t="str">
        <f t="shared" si="428"/>
        <v>32204-000</v>
      </c>
      <c r="J4574" s="1" t="str">
        <f t="shared" si="429"/>
        <v>Cello model #04</v>
      </c>
      <c r="K4574" s="1" t="str">
        <f>IF(SUM(COUNTIFS(I:I, I4574)) &gt; 1, "DUPLICATE", "UNIQUE")</f>
        <v>UNIQUE</v>
      </c>
      <c r="L4574" s="18">
        <v>70</v>
      </c>
      <c r="M4574" s="28">
        <v>4726</v>
      </c>
      <c r="N4574" s="6">
        <v>51</v>
      </c>
      <c r="O4574" s="30">
        <f t="shared" si="430"/>
        <v>330820</v>
      </c>
      <c r="P4574" s="30">
        <f t="shared" si="431"/>
        <v>241026</v>
      </c>
      <c r="Q4574" s="1">
        <f>COUNTIFS($P:$P, "&gt;" &amp; $P4574) + 1</f>
        <v>253</v>
      </c>
      <c r="R4574" s="63">
        <f>(COUNTIFS($P:$P, "&gt;" &amp; $P4574) + 1) / (COUNTA($I:$I) - 1)</f>
        <v>5.0599999999999999E-2</v>
      </c>
      <c r="S4574" s="23">
        <f>SUMIFS($P:$P, $Q:$Q, "&lt;" &amp; $Q4574)</f>
        <v>119409509</v>
      </c>
    </row>
    <row r="4575" spans="1:19" x14ac:dyDescent="0.25">
      <c r="A4575" s="1">
        <v>4570</v>
      </c>
      <c r="B4575" s="1" t="s">
        <v>4</v>
      </c>
      <c r="C4575" s="1" t="str">
        <f>IF($B4575 = "Production Item", _xlfn.XLOOKUP($A4575, 'Instrument Table'!$J:$J, 'Instrument Table'!$B:$B, $C4574), IF($B4575 = "Service Item", _xlfn.XLOOKUP($A4575, 'Instrument Table'!$I:$I, 'Instrument Table'!$B:$B, $C4574), _xlfn.XLOOKUP($A4575, 'Instrument Table'!$H:$H, 'Instrument Table'!$B:$B, $C4574)))</f>
        <v>Cello</v>
      </c>
      <c r="D4575" s="1" t="str">
        <f>VLOOKUP($C4575, 'Instrument Table'!$B:$C, 2, FALSE)</f>
        <v>Strings</v>
      </c>
      <c r="E4575" s="1">
        <f t="shared" si="426"/>
        <v>3</v>
      </c>
      <c r="F4575" s="1">
        <f>_xlfn.XLOOKUP($C4575, 'Instrument Table'!$B:$B, 'Instrument Table'!$A:$A, "")</f>
        <v>22</v>
      </c>
      <c r="G4575" s="1" t="str">
        <f>TEXT(IF($B4575 = "Retail Item", IF((ROW($A4575) - 4504 - _xlfn.XMATCH($C4575, $C$4506:$C$5005, 0, 1)) &lt;= VLOOKUP($C4575, 'Instrument Table'!$B:$D, 3, FALSE), ROW($A4575) - 4504 - _xlfn.XMATCH($C4575, $C$4506:$C$5005, 0, 1), 0), 0), "00")</f>
        <v>05</v>
      </c>
      <c r="H4575" s="1" t="str">
        <f t="shared" si="427"/>
        <v>000</v>
      </c>
      <c r="I4575" s="1" t="str">
        <f t="shared" si="428"/>
        <v>32205-000</v>
      </c>
      <c r="J4575" s="1" t="str">
        <f t="shared" si="429"/>
        <v>Cello model #05</v>
      </c>
      <c r="K4575" s="1" t="str">
        <f>IF(SUM(COUNTIFS(I:I, I4575)) &gt; 1, "DUPLICATE", "UNIQUE")</f>
        <v>UNIQUE</v>
      </c>
      <c r="L4575" s="18">
        <v>73</v>
      </c>
      <c r="M4575" s="28">
        <v>2504</v>
      </c>
      <c r="N4575" s="6">
        <v>100</v>
      </c>
      <c r="O4575" s="30">
        <f t="shared" si="430"/>
        <v>182792</v>
      </c>
      <c r="P4575" s="30">
        <f t="shared" si="431"/>
        <v>250400</v>
      </c>
      <c r="Q4575" s="1">
        <f>COUNTIFS($P:$P, "&gt;" &amp; $P4575) + 1</f>
        <v>245</v>
      </c>
      <c r="R4575" s="63">
        <f>(COUNTIFS($P:$P, "&gt;" &amp; $P4575) + 1) / (COUNTA($I:$I) - 1)</f>
        <v>4.9000000000000002E-2</v>
      </c>
      <c r="S4575" s="23">
        <f>SUMIFS($P:$P, $Q:$Q, "&lt;" &amp; $Q4575)</f>
        <v>117437194</v>
      </c>
    </row>
    <row r="4576" spans="1:19" x14ac:dyDescent="0.25">
      <c r="A4576" s="1">
        <v>4571</v>
      </c>
      <c r="B4576" s="1" t="s">
        <v>4</v>
      </c>
      <c r="C4576" s="1" t="str">
        <f>IF($B4576 = "Production Item", _xlfn.XLOOKUP($A4576, 'Instrument Table'!$J:$J, 'Instrument Table'!$B:$B, $C4575), IF($B4576 = "Service Item", _xlfn.XLOOKUP($A4576, 'Instrument Table'!$I:$I, 'Instrument Table'!$B:$B, $C4575), _xlfn.XLOOKUP($A4576, 'Instrument Table'!$H:$H, 'Instrument Table'!$B:$B, $C4575)))</f>
        <v>Cello</v>
      </c>
      <c r="D4576" s="1" t="str">
        <f>VLOOKUP($C4576, 'Instrument Table'!$B:$C, 2, FALSE)</f>
        <v>Strings</v>
      </c>
      <c r="E4576" s="1">
        <f t="shared" si="426"/>
        <v>3</v>
      </c>
      <c r="F4576" s="1">
        <f>_xlfn.XLOOKUP($C4576, 'Instrument Table'!$B:$B, 'Instrument Table'!$A:$A, "")</f>
        <v>22</v>
      </c>
      <c r="G4576" s="1" t="str">
        <f>TEXT(IF($B4576 = "Retail Item", IF((ROW($A4576) - 4504 - _xlfn.XMATCH($C4576, $C$4506:$C$5005, 0, 1)) &lt;= VLOOKUP($C4576, 'Instrument Table'!$B:$D, 3, FALSE), ROW($A4576) - 4504 - _xlfn.XMATCH($C4576, $C$4506:$C$5005, 0, 1), 0), 0), "00")</f>
        <v>00</v>
      </c>
      <c r="H4576" s="1" t="str">
        <f t="shared" si="427"/>
        <v>000</v>
      </c>
      <c r="I4576" s="1" t="str">
        <f t="shared" si="428"/>
        <v>32200-000</v>
      </c>
      <c r="J4576" s="1" t="str">
        <f t="shared" si="429"/>
        <v>Cello retail item #000</v>
      </c>
      <c r="K4576" s="1" t="str">
        <f>IF(SUM(COUNTIFS(I:I, I4576)) &gt; 1, "DUPLICATE", "UNIQUE")</f>
        <v>UNIQUE</v>
      </c>
      <c r="L4576" s="18">
        <v>79</v>
      </c>
      <c r="M4576" s="28">
        <v>1200</v>
      </c>
      <c r="N4576" s="6">
        <v>44</v>
      </c>
      <c r="O4576" s="30">
        <f t="shared" si="430"/>
        <v>94800</v>
      </c>
      <c r="P4576" s="30">
        <f t="shared" si="431"/>
        <v>52800</v>
      </c>
      <c r="Q4576" s="1">
        <f>COUNTIFS($P:$P, "&gt;" &amp; $P4576) + 1</f>
        <v>519</v>
      </c>
      <c r="R4576" s="63">
        <f>(COUNTIFS($P:$P, "&gt;" &amp; $P4576) + 1) / (COUNTA($I:$I) - 1)</f>
        <v>0.1038</v>
      </c>
      <c r="S4576" s="23">
        <f>SUMIFS($P:$P, $Q:$Q, "&lt;" &amp; $Q4576)</f>
        <v>152535733</v>
      </c>
    </row>
    <row r="4577" spans="1:19" x14ac:dyDescent="0.25">
      <c r="A4577" s="1">
        <v>4572</v>
      </c>
      <c r="B4577" s="1" t="s">
        <v>4</v>
      </c>
      <c r="C4577" s="1" t="str">
        <f>IF($B4577 = "Production Item", _xlfn.XLOOKUP($A4577, 'Instrument Table'!$J:$J, 'Instrument Table'!$B:$B, $C4576), IF($B4577 = "Service Item", _xlfn.XLOOKUP($A4577, 'Instrument Table'!$I:$I, 'Instrument Table'!$B:$B, $C4576), _xlfn.XLOOKUP($A4577, 'Instrument Table'!$H:$H, 'Instrument Table'!$B:$B, $C4576)))</f>
        <v>Cello</v>
      </c>
      <c r="D4577" s="1" t="str">
        <f>VLOOKUP($C4577, 'Instrument Table'!$B:$C, 2, FALSE)</f>
        <v>Strings</v>
      </c>
      <c r="E4577" s="1">
        <f t="shared" si="426"/>
        <v>3</v>
      </c>
      <c r="F4577" s="1">
        <f>_xlfn.XLOOKUP($C4577, 'Instrument Table'!$B:$B, 'Instrument Table'!$A:$A, "")</f>
        <v>22</v>
      </c>
      <c r="G4577" s="1" t="str">
        <f>TEXT(IF($B4577 = "Retail Item", IF((ROW($A4577) - 4504 - _xlfn.XMATCH($C4577, $C$4506:$C$5005, 0, 1)) &lt;= VLOOKUP($C4577, 'Instrument Table'!$B:$D, 3, FALSE), ROW($A4577) - 4504 - _xlfn.XMATCH($C4577, $C$4506:$C$5005, 0, 1), 0), 0), "00")</f>
        <v>00</v>
      </c>
      <c r="H4577" s="1" t="str">
        <f t="shared" si="427"/>
        <v>001</v>
      </c>
      <c r="I4577" s="1" t="str">
        <f t="shared" si="428"/>
        <v>32200-001</v>
      </c>
      <c r="J4577" s="1" t="str">
        <f t="shared" si="429"/>
        <v>Cello retail item #001</v>
      </c>
      <c r="K4577" s="1" t="str">
        <f>IF(SUM(COUNTIFS(I:I, I4577)) &gt; 1, "DUPLICATE", "UNIQUE")</f>
        <v>UNIQUE</v>
      </c>
      <c r="L4577" s="18">
        <v>56</v>
      </c>
      <c r="M4577" s="28">
        <v>3843</v>
      </c>
      <c r="N4577" s="6">
        <v>58</v>
      </c>
      <c r="O4577" s="30">
        <f t="shared" si="430"/>
        <v>215208</v>
      </c>
      <c r="P4577" s="30">
        <f t="shared" si="431"/>
        <v>222894</v>
      </c>
      <c r="Q4577" s="1">
        <f>COUNTIFS($P:$P, "&gt;" &amp; $P4577) + 1</f>
        <v>274</v>
      </c>
      <c r="R4577" s="63">
        <f>(COUNTIFS($P:$P, "&gt;" &amp; $P4577) + 1) / (COUNTA($I:$I) - 1)</f>
        <v>5.4800000000000001E-2</v>
      </c>
      <c r="S4577" s="23">
        <f>SUMIFS($P:$P, $Q:$Q, "&lt;" &amp; $Q4577)</f>
        <v>124257919</v>
      </c>
    </row>
    <row r="4578" spans="1:19" x14ac:dyDescent="0.25">
      <c r="A4578" s="1">
        <v>4573</v>
      </c>
      <c r="B4578" s="1" t="s">
        <v>4</v>
      </c>
      <c r="C4578" s="1" t="str">
        <f>IF($B4578 = "Production Item", _xlfn.XLOOKUP($A4578, 'Instrument Table'!$J:$J, 'Instrument Table'!$B:$B, $C4577), IF($B4578 = "Service Item", _xlfn.XLOOKUP($A4578, 'Instrument Table'!$I:$I, 'Instrument Table'!$B:$B, $C4577), _xlfn.XLOOKUP($A4578, 'Instrument Table'!$H:$H, 'Instrument Table'!$B:$B, $C4577)))</f>
        <v>Cello</v>
      </c>
      <c r="D4578" s="1" t="str">
        <f>VLOOKUP($C4578, 'Instrument Table'!$B:$C, 2, FALSE)</f>
        <v>Strings</v>
      </c>
      <c r="E4578" s="1">
        <f t="shared" si="426"/>
        <v>3</v>
      </c>
      <c r="F4578" s="1">
        <f>_xlfn.XLOOKUP($C4578, 'Instrument Table'!$B:$B, 'Instrument Table'!$A:$A, "")</f>
        <v>22</v>
      </c>
      <c r="G4578" s="1" t="str">
        <f>TEXT(IF($B4578 = "Retail Item", IF((ROW($A4578) - 4504 - _xlfn.XMATCH($C4578, $C$4506:$C$5005, 0, 1)) &lt;= VLOOKUP($C4578, 'Instrument Table'!$B:$D, 3, FALSE), ROW($A4578) - 4504 - _xlfn.XMATCH($C4578, $C$4506:$C$5005, 0, 1), 0), 0), "00")</f>
        <v>00</v>
      </c>
      <c r="H4578" s="1" t="str">
        <f t="shared" si="427"/>
        <v>002</v>
      </c>
      <c r="I4578" s="1" t="str">
        <f t="shared" si="428"/>
        <v>32200-002</v>
      </c>
      <c r="J4578" s="1" t="str">
        <f t="shared" si="429"/>
        <v>Cello retail item #002</v>
      </c>
      <c r="K4578" s="1" t="str">
        <f>IF(SUM(COUNTIFS(I:I, I4578)) &gt; 1, "DUPLICATE", "UNIQUE")</f>
        <v>UNIQUE</v>
      </c>
      <c r="L4578" s="18">
        <v>4</v>
      </c>
      <c r="M4578" s="28">
        <v>1278</v>
      </c>
      <c r="N4578" s="6">
        <v>91</v>
      </c>
      <c r="O4578" s="30">
        <f t="shared" si="430"/>
        <v>5112</v>
      </c>
      <c r="P4578" s="30">
        <f t="shared" si="431"/>
        <v>116298</v>
      </c>
      <c r="Q4578" s="1">
        <f>COUNTIFS($P:$P, "&gt;" &amp; $P4578) + 1</f>
        <v>379</v>
      </c>
      <c r="R4578" s="63">
        <f>(COUNTIFS($P:$P, "&gt;" &amp; $P4578) + 1) / (COUNTA($I:$I) - 1)</f>
        <v>7.5800000000000006E-2</v>
      </c>
      <c r="S4578" s="23">
        <f>SUMIFS($P:$P, $Q:$Q, "&lt;" &amp; $Q4578)</f>
        <v>141091241</v>
      </c>
    </row>
    <row r="4579" spans="1:19" x14ac:dyDescent="0.25">
      <c r="A4579" s="1">
        <v>4574</v>
      </c>
      <c r="B4579" s="1" t="s">
        <v>4</v>
      </c>
      <c r="C4579" s="1" t="str">
        <f>IF($B4579 = "Production Item", _xlfn.XLOOKUP($A4579, 'Instrument Table'!$J:$J, 'Instrument Table'!$B:$B, $C4578), IF($B4579 = "Service Item", _xlfn.XLOOKUP($A4579, 'Instrument Table'!$I:$I, 'Instrument Table'!$B:$B, $C4578), _xlfn.XLOOKUP($A4579, 'Instrument Table'!$H:$H, 'Instrument Table'!$B:$B, $C4578)))</f>
        <v>Cello</v>
      </c>
      <c r="D4579" s="1" t="str">
        <f>VLOOKUP($C4579, 'Instrument Table'!$B:$C, 2, FALSE)</f>
        <v>Strings</v>
      </c>
      <c r="E4579" s="1">
        <f t="shared" si="426"/>
        <v>3</v>
      </c>
      <c r="F4579" s="1">
        <f>_xlfn.XLOOKUP($C4579, 'Instrument Table'!$B:$B, 'Instrument Table'!$A:$A, "")</f>
        <v>22</v>
      </c>
      <c r="G4579" s="1" t="str">
        <f>TEXT(IF($B4579 = "Retail Item", IF((ROW($A4579) - 4504 - _xlfn.XMATCH($C4579, $C$4506:$C$5005, 0, 1)) &lt;= VLOOKUP($C4579, 'Instrument Table'!$B:$D, 3, FALSE), ROW($A4579) - 4504 - _xlfn.XMATCH($C4579, $C$4506:$C$5005, 0, 1), 0), 0), "00")</f>
        <v>00</v>
      </c>
      <c r="H4579" s="1" t="str">
        <f t="shared" si="427"/>
        <v>003</v>
      </c>
      <c r="I4579" s="1" t="str">
        <f t="shared" si="428"/>
        <v>32200-003</v>
      </c>
      <c r="J4579" s="1" t="str">
        <f t="shared" si="429"/>
        <v>Cello retail item #003</v>
      </c>
      <c r="K4579" s="1" t="str">
        <f>IF(SUM(COUNTIFS(I:I, I4579)) &gt; 1, "DUPLICATE", "UNIQUE")</f>
        <v>UNIQUE</v>
      </c>
      <c r="L4579" s="18">
        <v>29</v>
      </c>
      <c r="M4579" s="28">
        <v>6764</v>
      </c>
      <c r="N4579" s="6">
        <v>92</v>
      </c>
      <c r="O4579" s="30">
        <f t="shared" si="430"/>
        <v>196156</v>
      </c>
      <c r="P4579" s="30">
        <f t="shared" si="431"/>
        <v>622288</v>
      </c>
      <c r="Q4579" s="1">
        <f>COUNTIFS($P:$P, "&gt;" &amp; $P4579) + 1</f>
        <v>55</v>
      </c>
      <c r="R4579" s="63">
        <f>(COUNTIFS($P:$P, "&gt;" &amp; $P4579) + 1) / (COUNTA($I:$I) - 1)</f>
        <v>1.0999999999999999E-2</v>
      </c>
      <c r="S4579" s="23">
        <f>SUMIFS($P:$P, $Q:$Q, "&lt;" &amp; $Q4579)</f>
        <v>41081500</v>
      </c>
    </row>
    <row r="4580" spans="1:19" x14ac:dyDescent="0.25">
      <c r="A4580" s="1">
        <v>4575</v>
      </c>
      <c r="B4580" s="1" t="s">
        <v>4</v>
      </c>
      <c r="C4580" s="1" t="str">
        <f>IF($B4580 = "Production Item", _xlfn.XLOOKUP($A4580, 'Instrument Table'!$J:$J, 'Instrument Table'!$B:$B, $C4579), IF($B4580 = "Service Item", _xlfn.XLOOKUP($A4580, 'Instrument Table'!$I:$I, 'Instrument Table'!$B:$B, $C4579), _xlfn.XLOOKUP($A4580, 'Instrument Table'!$H:$H, 'Instrument Table'!$B:$B, $C4579)))</f>
        <v>Cello</v>
      </c>
      <c r="D4580" s="1" t="str">
        <f>VLOOKUP($C4580, 'Instrument Table'!$B:$C, 2, FALSE)</f>
        <v>Strings</v>
      </c>
      <c r="E4580" s="1">
        <f t="shared" si="426"/>
        <v>3</v>
      </c>
      <c r="F4580" s="1">
        <f>_xlfn.XLOOKUP($C4580, 'Instrument Table'!$B:$B, 'Instrument Table'!$A:$A, "")</f>
        <v>22</v>
      </c>
      <c r="G4580" s="1" t="str">
        <f>TEXT(IF($B4580 = "Retail Item", IF((ROW($A4580) - 4504 - _xlfn.XMATCH($C4580, $C$4506:$C$5005, 0, 1)) &lt;= VLOOKUP($C4580, 'Instrument Table'!$B:$D, 3, FALSE), ROW($A4580) - 4504 - _xlfn.XMATCH($C4580, $C$4506:$C$5005, 0, 1), 0), 0), "00")</f>
        <v>00</v>
      </c>
      <c r="H4580" s="1" t="str">
        <f t="shared" si="427"/>
        <v>004</v>
      </c>
      <c r="I4580" s="1" t="str">
        <f t="shared" si="428"/>
        <v>32200-004</v>
      </c>
      <c r="J4580" s="1" t="str">
        <f t="shared" si="429"/>
        <v>Cello retail item #004</v>
      </c>
      <c r="K4580" s="1" t="str">
        <f>IF(SUM(COUNTIFS(I:I, I4580)) &gt; 1, "DUPLICATE", "UNIQUE")</f>
        <v>UNIQUE</v>
      </c>
      <c r="L4580" s="18">
        <v>91</v>
      </c>
      <c r="M4580" s="28">
        <v>5292</v>
      </c>
      <c r="N4580" s="6">
        <v>63</v>
      </c>
      <c r="O4580" s="30">
        <f t="shared" si="430"/>
        <v>481572</v>
      </c>
      <c r="P4580" s="30">
        <f t="shared" si="431"/>
        <v>333396</v>
      </c>
      <c r="Q4580" s="1">
        <f>COUNTIFS($P:$P, "&gt;" &amp; $P4580) + 1</f>
        <v>176</v>
      </c>
      <c r="R4580" s="63">
        <f>(COUNTIFS($P:$P, "&gt;" &amp; $P4580) + 1) / (COUNTA($I:$I) - 1)</f>
        <v>3.5200000000000002E-2</v>
      </c>
      <c r="S4580" s="23">
        <f>SUMIFS($P:$P, $Q:$Q, "&lt;" &amp; $Q4580)</f>
        <v>97274430</v>
      </c>
    </row>
    <row r="4581" spans="1:19" x14ac:dyDescent="0.25">
      <c r="A4581" s="1">
        <v>4576</v>
      </c>
      <c r="B4581" s="1" t="s">
        <v>4</v>
      </c>
      <c r="C4581" s="1" t="str">
        <f>IF($B4581 = "Production Item", _xlfn.XLOOKUP($A4581, 'Instrument Table'!$J:$J, 'Instrument Table'!$B:$B, $C4580), IF($B4581 = "Service Item", _xlfn.XLOOKUP($A4581, 'Instrument Table'!$I:$I, 'Instrument Table'!$B:$B, $C4580), _xlfn.XLOOKUP($A4581, 'Instrument Table'!$H:$H, 'Instrument Table'!$B:$B, $C4580)))</f>
        <v>Bass</v>
      </c>
      <c r="D4581" s="1" t="str">
        <f>VLOOKUP($C4581, 'Instrument Table'!$B:$C, 2, FALSE)</f>
        <v>Strings</v>
      </c>
      <c r="E4581" s="1">
        <f t="shared" si="426"/>
        <v>3</v>
      </c>
      <c r="F4581" s="1">
        <f>_xlfn.XLOOKUP($C4581, 'Instrument Table'!$B:$B, 'Instrument Table'!$A:$A, "")</f>
        <v>23</v>
      </c>
      <c r="G4581" s="1" t="str">
        <f>TEXT(IF($B4581 = "Retail Item", IF((ROW($A4581) - 4504 - _xlfn.XMATCH($C4581, $C$4506:$C$5005, 0, 1)) &lt;= VLOOKUP($C4581, 'Instrument Table'!$B:$D, 3, FALSE), ROW($A4581) - 4504 - _xlfn.XMATCH($C4581, $C$4506:$C$5005, 0, 1), 0), 0), "00")</f>
        <v>01</v>
      </c>
      <c r="H4581" s="1" t="str">
        <f t="shared" si="427"/>
        <v>000</v>
      </c>
      <c r="I4581" s="1" t="str">
        <f t="shared" si="428"/>
        <v>32301-000</v>
      </c>
      <c r="J4581" s="1" t="str">
        <f t="shared" si="429"/>
        <v>Bass model #01</v>
      </c>
      <c r="K4581" s="1" t="str">
        <f>IF(SUM(COUNTIFS(I:I, I4581)) &gt; 1, "DUPLICATE", "UNIQUE")</f>
        <v>UNIQUE</v>
      </c>
      <c r="L4581" s="18">
        <v>1</v>
      </c>
      <c r="M4581" s="28">
        <v>4023</v>
      </c>
      <c r="N4581" s="6">
        <v>58</v>
      </c>
      <c r="O4581" s="30">
        <f t="shared" si="430"/>
        <v>4023</v>
      </c>
      <c r="P4581" s="30">
        <f t="shared" si="431"/>
        <v>233334</v>
      </c>
      <c r="Q4581" s="1">
        <f>COUNTIFS($P:$P, "&gt;" &amp; $P4581) + 1</f>
        <v>259</v>
      </c>
      <c r="R4581" s="63">
        <f>(COUNTIFS($P:$P, "&gt;" &amp; $P4581) + 1) / (COUNTA($I:$I) - 1)</f>
        <v>5.1799999999999999E-2</v>
      </c>
      <c r="S4581" s="23">
        <f>SUMIFS($P:$P, $Q:$Q, "&lt;" &amp; $Q4581)</f>
        <v>120840451</v>
      </c>
    </row>
    <row r="4582" spans="1:19" x14ac:dyDescent="0.25">
      <c r="A4582" s="1">
        <v>4577</v>
      </c>
      <c r="B4582" s="1" t="s">
        <v>4</v>
      </c>
      <c r="C4582" s="1" t="str">
        <f>IF($B4582 = "Production Item", _xlfn.XLOOKUP($A4582, 'Instrument Table'!$J:$J, 'Instrument Table'!$B:$B, $C4581), IF($B4582 = "Service Item", _xlfn.XLOOKUP($A4582, 'Instrument Table'!$I:$I, 'Instrument Table'!$B:$B, $C4581), _xlfn.XLOOKUP($A4582, 'Instrument Table'!$H:$H, 'Instrument Table'!$B:$B, $C4581)))</f>
        <v>Bass</v>
      </c>
      <c r="D4582" s="1" t="str">
        <f>VLOOKUP($C4582, 'Instrument Table'!$B:$C, 2, FALSE)</f>
        <v>Strings</v>
      </c>
      <c r="E4582" s="1">
        <f t="shared" si="426"/>
        <v>3</v>
      </c>
      <c r="F4582" s="1">
        <f>_xlfn.XLOOKUP($C4582, 'Instrument Table'!$B:$B, 'Instrument Table'!$A:$A, "")</f>
        <v>23</v>
      </c>
      <c r="G4582" s="1" t="str">
        <f>TEXT(IF($B4582 = "Retail Item", IF((ROW($A4582) - 4504 - _xlfn.XMATCH($C4582, $C$4506:$C$5005, 0, 1)) &lt;= VLOOKUP($C4582, 'Instrument Table'!$B:$D, 3, FALSE), ROW($A4582) - 4504 - _xlfn.XMATCH($C4582, $C$4506:$C$5005, 0, 1), 0), 0), "00")</f>
        <v>02</v>
      </c>
      <c r="H4582" s="1" t="str">
        <f t="shared" si="427"/>
        <v>000</v>
      </c>
      <c r="I4582" s="1" t="str">
        <f t="shared" si="428"/>
        <v>32302-000</v>
      </c>
      <c r="J4582" s="1" t="str">
        <f t="shared" si="429"/>
        <v>Bass model #02</v>
      </c>
      <c r="K4582" s="1" t="str">
        <f>IF(SUM(COUNTIFS(I:I, I4582)) &gt; 1, "DUPLICATE", "UNIQUE")</f>
        <v>UNIQUE</v>
      </c>
      <c r="L4582" s="18">
        <v>81</v>
      </c>
      <c r="M4582" s="28">
        <v>7285</v>
      </c>
      <c r="N4582" s="6">
        <v>18</v>
      </c>
      <c r="O4582" s="30">
        <f t="shared" si="430"/>
        <v>590085</v>
      </c>
      <c r="P4582" s="30">
        <f t="shared" si="431"/>
        <v>131130</v>
      </c>
      <c r="Q4582" s="1">
        <f>COUNTIFS($P:$P, "&gt;" &amp; $P4582) + 1</f>
        <v>355</v>
      </c>
      <c r="R4582" s="63">
        <f>(COUNTIFS($P:$P, "&gt;" &amp; $P4582) + 1) / (COUNTA($I:$I) - 1)</f>
        <v>7.0999999999999994E-2</v>
      </c>
      <c r="S4582" s="23">
        <f>SUMIFS($P:$P, $Q:$Q, "&lt;" &amp; $Q4582)</f>
        <v>138126190</v>
      </c>
    </row>
    <row r="4583" spans="1:19" x14ac:dyDescent="0.25">
      <c r="A4583" s="1">
        <v>4578</v>
      </c>
      <c r="B4583" s="1" t="s">
        <v>4</v>
      </c>
      <c r="C4583" s="1" t="str">
        <f>IF($B4583 = "Production Item", _xlfn.XLOOKUP($A4583, 'Instrument Table'!$J:$J, 'Instrument Table'!$B:$B, $C4582), IF($B4583 = "Service Item", _xlfn.XLOOKUP($A4583, 'Instrument Table'!$I:$I, 'Instrument Table'!$B:$B, $C4582), _xlfn.XLOOKUP($A4583, 'Instrument Table'!$H:$H, 'Instrument Table'!$B:$B, $C4582)))</f>
        <v>Bass</v>
      </c>
      <c r="D4583" s="1" t="str">
        <f>VLOOKUP($C4583, 'Instrument Table'!$B:$C, 2, FALSE)</f>
        <v>Strings</v>
      </c>
      <c r="E4583" s="1">
        <f t="shared" si="426"/>
        <v>3</v>
      </c>
      <c r="F4583" s="1">
        <f>_xlfn.XLOOKUP($C4583, 'Instrument Table'!$B:$B, 'Instrument Table'!$A:$A, "")</f>
        <v>23</v>
      </c>
      <c r="G4583" s="1" t="str">
        <f>TEXT(IF($B4583 = "Retail Item", IF((ROW($A4583) - 4504 - _xlfn.XMATCH($C4583, $C$4506:$C$5005, 0, 1)) &lt;= VLOOKUP($C4583, 'Instrument Table'!$B:$D, 3, FALSE), ROW($A4583) - 4504 - _xlfn.XMATCH($C4583, $C$4506:$C$5005, 0, 1), 0), 0), "00")</f>
        <v>03</v>
      </c>
      <c r="H4583" s="1" t="str">
        <f t="shared" si="427"/>
        <v>000</v>
      </c>
      <c r="I4583" s="1" t="str">
        <f t="shared" si="428"/>
        <v>32303-000</v>
      </c>
      <c r="J4583" s="1" t="str">
        <f t="shared" si="429"/>
        <v>Bass model #03</v>
      </c>
      <c r="K4583" s="1" t="str">
        <f>IF(SUM(COUNTIFS(I:I, I4583)) &gt; 1, "DUPLICATE", "UNIQUE")</f>
        <v>UNIQUE</v>
      </c>
      <c r="L4583" s="18">
        <v>65</v>
      </c>
      <c r="M4583" s="28">
        <v>5292</v>
      </c>
      <c r="N4583" s="6">
        <v>58</v>
      </c>
      <c r="O4583" s="30">
        <f t="shared" si="430"/>
        <v>343980</v>
      </c>
      <c r="P4583" s="30">
        <f t="shared" si="431"/>
        <v>306936</v>
      </c>
      <c r="Q4583" s="1">
        <f>COUNTIFS($P:$P, "&gt;" &amp; $P4583) + 1</f>
        <v>197</v>
      </c>
      <c r="R4583" s="63">
        <f>(COUNTIFS($P:$P, "&gt;" &amp; $P4583) + 1) / (COUNTA($I:$I) - 1)</f>
        <v>3.9399999999999998E-2</v>
      </c>
      <c r="S4583" s="23">
        <f>SUMIFS($P:$P, $Q:$Q, "&lt;" &amp; $Q4583)</f>
        <v>104015278</v>
      </c>
    </row>
    <row r="4584" spans="1:19" x14ac:dyDescent="0.25">
      <c r="A4584" s="1">
        <v>4579</v>
      </c>
      <c r="B4584" s="1" t="s">
        <v>4</v>
      </c>
      <c r="C4584" s="1" t="str">
        <f>IF($B4584 = "Production Item", _xlfn.XLOOKUP($A4584, 'Instrument Table'!$J:$J, 'Instrument Table'!$B:$B, $C4583), IF($B4584 = "Service Item", _xlfn.XLOOKUP($A4584, 'Instrument Table'!$I:$I, 'Instrument Table'!$B:$B, $C4583), _xlfn.XLOOKUP($A4584, 'Instrument Table'!$H:$H, 'Instrument Table'!$B:$B, $C4583)))</f>
        <v>Bass</v>
      </c>
      <c r="D4584" s="1" t="str">
        <f>VLOOKUP($C4584, 'Instrument Table'!$B:$C, 2, FALSE)</f>
        <v>Strings</v>
      </c>
      <c r="E4584" s="1">
        <f t="shared" si="426"/>
        <v>3</v>
      </c>
      <c r="F4584" s="1">
        <f>_xlfn.XLOOKUP($C4584, 'Instrument Table'!$B:$B, 'Instrument Table'!$A:$A, "")</f>
        <v>23</v>
      </c>
      <c r="G4584" s="1" t="str">
        <f>TEXT(IF($B4584 = "Retail Item", IF((ROW($A4584) - 4504 - _xlfn.XMATCH($C4584, $C$4506:$C$5005, 0, 1)) &lt;= VLOOKUP($C4584, 'Instrument Table'!$B:$D, 3, FALSE), ROW($A4584) - 4504 - _xlfn.XMATCH($C4584, $C$4506:$C$5005, 0, 1), 0), 0), "00")</f>
        <v>04</v>
      </c>
      <c r="H4584" s="1" t="str">
        <f t="shared" si="427"/>
        <v>000</v>
      </c>
      <c r="I4584" s="1" t="str">
        <f t="shared" si="428"/>
        <v>32304-000</v>
      </c>
      <c r="J4584" s="1" t="str">
        <f t="shared" si="429"/>
        <v>Bass model #04</v>
      </c>
      <c r="K4584" s="1" t="str">
        <f>IF(SUM(COUNTIFS(I:I, I4584)) &gt; 1, "DUPLICATE", "UNIQUE")</f>
        <v>UNIQUE</v>
      </c>
      <c r="L4584" s="18">
        <v>26</v>
      </c>
      <c r="M4584" s="28">
        <v>9763</v>
      </c>
      <c r="N4584" s="6">
        <v>87</v>
      </c>
      <c r="O4584" s="30">
        <f t="shared" si="430"/>
        <v>253838</v>
      </c>
      <c r="P4584" s="30">
        <f t="shared" si="431"/>
        <v>849381</v>
      </c>
      <c r="Q4584" s="1">
        <f>COUNTIFS($P:$P, "&gt;" &amp; $P4584) + 1</f>
        <v>12</v>
      </c>
      <c r="R4584" s="63">
        <f>(COUNTIFS($P:$P, "&gt;" &amp; $P4584) + 1) / (COUNTA($I:$I) - 1)</f>
        <v>2.3999999999999998E-3</v>
      </c>
      <c r="S4584" s="23">
        <f>SUMIFS($P:$P, $Q:$Q, "&lt;" &amp; $Q4584)</f>
        <v>9960027</v>
      </c>
    </row>
    <row r="4585" spans="1:19" x14ac:dyDescent="0.25">
      <c r="A4585" s="1">
        <v>4580</v>
      </c>
      <c r="B4585" s="1" t="s">
        <v>4</v>
      </c>
      <c r="C4585" s="1" t="str">
        <f>IF($B4585 = "Production Item", _xlfn.XLOOKUP($A4585, 'Instrument Table'!$J:$J, 'Instrument Table'!$B:$B, $C4584), IF($B4585 = "Service Item", _xlfn.XLOOKUP($A4585, 'Instrument Table'!$I:$I, 'Instrument Table'!$B:$B, $C4584), _xlfn.XLOOKUP($A4585, 'Instrument Table'!$H:$H, 'Instrument Table'!$B:$B, $C4584)))</f>
        <v>Bass</v>
      </c>
      <c r="D4585" s="1" t="str">
        <f>VLOOKUP($C4585, 'Instrument Table'!$B:$C, 2, FALSE)</f>
        <v>Strings</v>
      </c>
      <c r="E4585" s="1">
        <f t="shared" si="426"/>
        <v>3</v>
      </c>
      <c r="F4585" s="1">
        <f>_xlfn.XLOOKUP($C4585, 'Instrument Table'!$B:$B, 'Instrument Table'!$A:$A, "")</f>
        <v>23</v>
      </c>
      <c r="G4585" s="1" t="str">
        <f>TEXT(IF($B4585 = "Retail Item", IF((ROW($A4585) - 4504 - _xlfn.XMATCH($C4585, $C$4506:$C$5005, 0, 1)) &lt;= VLOOKUP($C4585, 'Instrument Table'!$B:$D, 3, FALSE), ROW($A4585) - 4504 - _xlfn.XMATCH($C4585, $C$4506:$C$5005, 0, 1), 0), 0), "00")</f>
        <v>05</v>
      </c>
      <c r="H4585" s="1" t="str">
        <f t="shared" si="427"/>
        <v>000</v>
      </c>
      <c r="I4585" s="1" t="str">
        <f t="shared" si="428"/>
        <v>32305-000</v>
      </c>
      <c r="J4585" s="1" t="str">
        <f t="shared" si="429"/>
        <v>Bass model #05</v>
      </c>
      <c r="K4585" s="1" t="str">
        <f>IF(SUM(COUNTIFS(I:I, I4585)) &gt; 1, "DUPLICATE", "UNIQUE")</f>
        <v>UNIQUE</v>
      </c>
      <c r="L4585" s="18">
        <v>26</v>
      </c>
      <c r="M4585" s="28">
        <v>6999</v>
      </c>
      <c r="N4585" s="6">
        <v>66</v>
      </c>
      <c r="O4585" s="30">
        <f t="shared" si="430"/>
        <v>181974</v>
      </c>
      <c r="P4585" s="30">
        <f t="shared" si="431"/>
        <v>461934</v>
      </c>
      <c r="Q4585" s="1">
        <f>COUNTIFS($P:$P, "&gt;" &amp; $P4585) + 1</f>
        <v>112</v>
      </c>
      <c r="R4585" s="63">
        <f>(COUNTIFS($P:$P, "&gt;" &amp; $P4585) + 1) / (COUNTA($I:$I) - 1)</f>
        <v>2.24E-2</v>
      </c>
      <c r="S4585" s="23">
        <f>SUMIFS($P:$P, $Q:$Q, "&lt;" &amp; $Q4585)</f>
        <v>71873089</v>
      </c>
    </row>
    <row r="4586" spans="1:19" x14ac:dyDescent="0.25">
      <c r="A4586" s="1">
        <v>4581</v>
      </c>
      <c r="B4586" s="1" t="s">
        <v>4</v>
      </c>
      <c r="C4586" s="1" t="str">
        <f>IF($B4586 = "Production Item", _xlfn.XLOOKUP($A4586, 'Instrument Table'!$J:$J, 'Instrument Table'!$B:$B, $C4585), IF($B4586 = "Service Item", _xlfn.XLOOKUP($A4586, 'Instrument Table'!$I:$I, 'Instrument Table'!$B:$B, $C4585), _xlfn.XLOOKUP($A4586, 'Instrument Table'!$H:$H, 'Instrument Table'!$B:$B, $C4585)))</f>
        <v>Bass</v>
      </c>
      <c r="D4586" s="1" t="str">
        <f>VLOOKUP($C4586, 'Instrument Table'!$B:$C, 2, FALSE)</f>
        <v>Strings</v>
      </c>
      <c r="E4586" s="1">
        <f t="shared" si="426"/>
        <v>3</v>
      </c>
      <c r="F4586" s="1">
        <f>_xlfn.XLOOKUP($C4586, 'Instrument Table'!$B:$B, 'Instrument Table'!$A:$A, "")</f>
        <v>23</v>
      </c>
      <c r="G4586" s="1" t="str">
        <f>TEXT(IF($B4586 = "Retail Item", IF((ROW($A4586) - 4504 - _xlfn.XMATCH($C4586, $C$4506:$C$5005, 0, 1)) &lt;= VLOOKUP($C4586, 'Instrument Table'!$B:$D, 3, FALSE), ROW($A4586) - 4504 - _xlfn.XMATCH($C4586, $C$4506:$C$5005, 0, 1), 0), 0), "00")</f>
        <v>00</v>
      </c>
      <c r="H4586" s="1" t="str">
        <f t="shared" si="427"/>
        <v>000</v>
      </c>
      <c r="I4586" s="1" t="str">
        <f t="shared" si="428"/>
        <v>32300-000</v>
      </c>
      <c r="J4586" s="1" t="str">
        <f t="shared" si="429"/>
        <v>Bass retail item #000</v>
      </c>
      <c r="K4586" s="1" t="str">
        <f>IF(SUM(COUNTIFS(I:I, I4586)) &gt; 1, "DUPLICATE", "UNIQUE")</f>
        <v>UNIQUE</v>
      </c>
      <c r="L4586" s="18">
        <v>33</v>
      </c>
      <c r="M4586" s="28">
        <v>9429</v>
      </c>
      <c r="N4586" s="6">
        <v>92</v>
      </c>
      <c r="O4586" s="30">
        <f t="shared" si="430"/>
        <v>311157</v>
      </c>
      <c r="P4586" s="30">
        <f t="shared" si="431"/>
        <v>867468</v>
      </c>
      <c r="Q4586" s="1">
        <f>COUNTIFS($P:$P, "&gt;" &amp; $P4586) + 1</f>
        <v>9</v>
      </c>
      <c r="R4586" s="63">
        <f>(COUNTIFS($P:$P, "&gt;" &amp; $P4586) + 1) / (COUNTA($I:$I) - 1)</f>
        <v>1.8E-3</v>
      </c>
      <c r="S4586" s="23">
        <f>SUMIFS($P:$P, $Q:$Q, "&lt;" &amp; $Q4586)</f>
        <v>7371106</v>
      </c>
    </row>
    <row r="4587" spans="1:19" x14ac:dyDescent="0.25">
      <c r="A4587" s="1">
        <v>4582</v>
      </c>
      <c r="B4587" s="1" t="s">
        <v>4</v>
      </c>
      <c r="C4587" s="1" t="str">
        <f>IF($B4587 = "Production Item", _xlfn.XLOOKUP($A4587, 'Instrument Table'!$J:$J, 'Instrument Table'!$B:$B, $C4586), IF($B4587 = "Service Item", _xlfn.XLOOKUP($A4587, 'Instrument Table'!$I:$I, 'Instrument Table'!$B:$B, $C4586), _xlfn.XLOOKUP($A4587, 'Instrument Table'!$H:$H, 'Instrument Table'!$B:$B, $C4586)))</f>
        <v>Bass</v>
      </c>
      <c r="D4587" s="1" t="str">
        <f>VLOOKUP($C4587, 'Instrument Table'!$B:$C, 2, FALSE)</f>
        <v>Strings</v>
      </c>
      <c r="E4587" s="1">
        <f t="shared" si="426"/>
        <v>3</v>
      </c>
      <c r="F4587" s="1">
        <f>_xlfn.XLOOKUP($C4587, 'Instrument Table'!$B:$B, 'Instrument Table'!$A:$A, "")</f>
        <v>23</v>
      </c>
      <c r="G4587" s="1" t="str">
        <f>TEXT(IF($B4587 = "Retail Item", IF((ROW($A4587) - 4504 - _xlfn.XMATCH($C4587, $C$4506:$C$5005, 0, 1)) &lt;= VLOOKUP($C4587, 'Instrument Table'!$B:$D, 3, FALSE), ROW($A4587) - 4504 - _xlfn.XMATCH($C4587, $C$4506:$C$5005, 0, 1), 0), 0), "00")</f>
        <v>00</v>
      </c>
      <c r="H4587" s="1" t="str">
        <f t="shared" si="427"/>
        <v>001</v>
      </c>
      <c r="I4587" s="1" t="str">
        <f t="shared" si="428"/>
        <v>32300-001</v>
      </c>
      <c r="J4587" s="1" t="str">
        <f t="shared" si="429"/>
        <v>Bass retail item #001</v>
      </c>
      <c r="K4587" s="1" t="str">
        <f>IF(SUM(COUNTIFS(I:I, I4587)) &gt; 1, "DUPLICATE", "UNIQUE")</f>
        <v>UNIQUE</v>
      </c>
      <c r="L4587" s="18">
        <v>67</v>
      </c>
      <c r="M4587" s="28">
        <v>7548</v>
      </c>
      <c r="N4587" s="6">
        <v>60</v>
      </c>
      <c r="O4587" s="30">
        <f t="shared" si="430"/>
        <v>505716</v>
      </c>
      <c r="P4587" s="30">
        <f t="shared" si="431"/>
        <v>452880</v>
      </c>
      <c r="Q4587" s="1">
        <f>COUNTIFS($P:$P, "&gt;" &amp; $P4587) + 1</f>
        <v>117</v>
      </c>
      <c r="R4587" s="63">
        <f>(COUNTIFS($P:$P, "&gt;" &amp; $P4587) + 1) / (COUNTA($I:$I) - 1)</f>
        <v>2.3400000000000001E-2</v>
      </c>
      <c r="S4587" s="23">
        <f>SUMIFS($P:$P, $Q:$Q, "&lt;" &amp; $Q4587)</f>
        <v>74164868</v>
      </c>
    </row>
    <row r="4588" spans="1:19" x14ac:dyDescent="0.25">
      <c r="A4588" s="1">
        <v>4583</v>
      </c>
      <c r="B4588" s="1" t="s">
        <v>4</v>
      </c>
      <c r="C4588" s="1" t="str">
        <f>IF($B4588 = "Production Item", _xlfn.XLOOKUP($A4588, 'Instrument Table'!$J:$J, 'Instrument Table'!$B:$B, $C4587), IF($B4588 = "Service Item", _xlfn.XLOOKUP($A4588, 'Instrument Table'!$I:$I, 'Instrument Table'!$B:$B, $C4587), _xlfn.XLOOKUP($A4588, 'Instrument Table'!$H:$H, 'Instrument Table'!$B:$B, $C4587)))</f>
        <v>Bass</v>
      </c>
      <c r="D4588" s="1" t="str">
        <f>VLOOKUP($C4588, 'Instrument Table'!$B:$C, 2, FALSE)</f>
        <v>Strings</v>
      </c>
      <c r="E4588" s="1">
        <f t="shared" si="426"/>
        <v>3</v>
      </c>
      <c r="F4588" s="1">
        <f>_xlfn.XLOOKUP($C4588, 'Instrument Table'!$B:$B, 'Instrument Table'!$A:$A, "")</f>
        <v>23</v>
      </c>
      <c r="G4588" s="1" t="str">
        <f>TEXT(IF($B4588 = "Retail Item", IF((ROW($A4588) - 4504 - _xlfn.XMATCH($C4588, $C$4506:$C$5005, 0, 1)) &lt;= VLOOKUP($C4588, 'Instrument Table'!$B:$D, 3, FALSE), ROW($A4588) - 4504 - _xlfn.XMATCH($C4588, $C$4506:$C$5005, 0, 1), 0), 0), "00")</f>
        <v>00</v>
      </c>
      <c r="H4588" s="1" t="str">
        <f t="shared" si="427"/>
        <v>002</v>
      </c>
      <c r="I4588" s="1" t="str">
        <f t="shared" si="428"/>
        <v>32300-002</v>
      </c>
      <c r="J4588" s="1" t="str">
        <f t="shared" si="429"/>
        <v>Bass retail item #002</v>
      </c>
      <c r="K4588" s="1" t="str">
        <f>IF(SUM(COUNTIFS(I:I, I4588)) &gt; 1, "DUPLICATE", "UNIQUE")</f>
        <v>UNIQUE</v>
      </c>
      <c r="L4588" s="18">
        <v>61</v>
      </c>
      <c r="M4588" s="28">
        <v>9363</v>
      </c>
      <c r="N4588" s="6">
        <v>36</v>
      </c>
      <c r="O4588" s="30">
        <f t="shared" si="430"/>
        <v>571143</v>
      </c>
      <c r="P4588" s="30">
        <f t="shared" si="431"/>
        <v>337068</v>
      </c>
      <c r="Q4588" s="1">
        <f>COUNTIFS($P:$P, "&gt;" &amp; $P4588) + 1</f>
        <v>174</v>
      </c>
      <c r="R4588" s="63">
        <f>(COUNTIFS($P:$P, "&gt;" &amp; $P4588) + 1) / (COUNTA($I:$I) - 1)</f>
        <v>3.4799999999999998E-2</v>
      </c>
      <c r="S4588" s="23">
        <f>SUMIFS($P:$P, $Q:$Q, "&lt;" &amp; $Q4588)</f>
        <v>96603282</v>
      </c>
    </row>
    <row r="4589" spans="1:19" x14ac:dyDescent="0.25">
      <c r="A4589" s="1">
        <v>4584</v>
      </c>
      <c r="B4589" s="1" t="s">
        <v>4</v>
      </c>
      <c r="C4589" s="1" t="str">
        <f>IF($B4589 = "Production Item", _xlfn.XLOOKUP($A4589, 'Instrument Table'!$J:$J, 'Instrument Table'!$B:$B, $C4588), IF($B4589 = "Service Item", _xlfn.XLOOKUP($A4589, 'Instrument Table'!$I:$I, 'Instrument Table'!$B:$B, $C4588), _xlfn.XLOOKUP($A4589, 'Instrument Table'!$H:$H, 'Instrument Table'!$B:$B, $C4588)))</f>
        <v>Bass</v>
      </c>
      <c r="D4589" s="1" t="str">
        <f>VLOOKUP($C4589, 'Instrument Table'!$B:$C, 2, FALSE)</f>
        <v>Strings</v>
      </c>
      <c r="E4589" s="1">
        <f t="shared" si="426"/>
        <v>3</v>
      </c>
      <c r="F4589" s="1">
        <f>_xlfn.XLOOKUP($C4589, 'Instrument Table'!$B:$B, 'Instrument Table'!$A:$A, "")</f>
        <v>23</v>
      </c>
      <c r="G4589" s="1" t="str">
        <f>TEXT(IF($B4589 = "Retail Item", IF((ROW($A4589) - 4504 - _xlfn.XMATCH($C4589, $C$4506:$C$5005, 0, 1)) &lt;= VLOOKUP($C4589, 'Instrument Table'!$B:$D, 3, FALSE), ROW($A4589) - 4504 - _xlfn.XMATCH($C4589, $C$4506:$C$5005, 0, 1), 0), 0), "00")</f>
        <v>00</v>
      </c>
      <c r="H4589" s="1" t="str">
        <f t="shared" si="427"/>
        <v>003</v>
      </c>
      <c r="I4589" s="1" t="str">
        <f t="shared" si="428"/>
        <v>32300-003</v>
      </c>
      <c r="J4589" s="1" t="str">
        <f t="shared" si="429"/>
        <v>Bass retail item #003</v>
      </c>
      <c r="K4589" s="1" t="str">
        <f>IF(SUM(COUNTIFS(I:I, I4589)) &gt; 1, "DUPLICATE", "UNIQUE")</f>
        <v>UNIQUE</v>
      </c>
      <c r="L4589" s="18">
        <v>93</v>
      </c>
      <c r="M4589" s="28">
        <v>5906</v>
      </c>
      <c r="N4589" s="6">
        <v>76</v>
      </c>
      <c r="O4589" s="30">
        <f t="shared" si="430"/>
        <v>549258</v>
      </c>
      <c r="P4589" s="30">
        <f t="shared" si="431"/>
        <v>448856</v>
      </c>
      <c r="Q4589" s="1">
        <f>COUNTIFS($P:$P, "&gt;" &amp; $P4589) + 1</f>
        <v>120</v>
      </c>
      <c r="R4589" s="63">
        <f>(COUNTIFS($P:$P, "&gt;" &amp; $P4589) + 1) / (COUNTA($I:$I) - 1)</f>
        <v>2.4E-2</v>
      </c>
      <c r="S4589" s="23">
        <f>SUMIFS($P:$P, $Q:$Q, "&lt;" &amp; $Q4589)</f>
        <v>75519273</v>
      </c>
    </row>
    <row r="4590" spans="1:19" x14ac:dyDescent="0.25">
      <c r="A4590" s="1">
        <v>4585</v>
      </c>
      <c r="B4590" s="1" t="s">
        <v>4</v>
      </c>
      <c r="C4590" s="1" t="str">
        <f>IF($B4590 = "Production Item", _xlfn.XLOOKUP($A4590, 'Instrument Table'!$J:$J, 'Instrument Table'!$B:$B, $C4589), IF($B4590 = "Service Item", _xlfn.XLOOKUP($A4590, 'Instrument Table'!$I:$I, 'Instrument Table'!$B:$B, $C4589), _xlfn.XLOOKUP($A4590, 'Instrument Table'!$H:$H, 'Instrument Table'!$B:$B, $C4589)))</f>
        <v>Bass</v>
      </c>
      <c r="D4590" s="1" t="str">
        <f>VLOOKUP($C4590, 'Instrument Table'!$B:$C, 2, FALSE)</f>
        <v>Strings</v>
      </c>
      <c r="E4590" s="1">
        <f t="shared" si="426"/>
        <v>3</v>
      </c>
      <c r="F4590" s="1">
        <f>_xlfn.XLOOKUP($C4590, 'Instrument Table'!$B:$B, 'Instrument Table'!$A:$A, "")</f>
        <v>23</v>
      </c>
      <c r="G4590" s="1" t="str">
        <f>TEXT(IF($B4590 = "Retail Item", IF((ROW($A4590) - 4504 - _xlfn.XMATCH($C4590, $C$4506:$C$5005, 0, 1)) &lt;= VLOOKUP($C4590, 'Instrument Table'!$B:$D, 3, FALSE), ROW($A4590) - 4504 - _xlfn.XMATCH($C4590, $C$4506:$C$5005, 0, 1), 0), 0), "00")</f>
        <v>00</v>
      </c>
      <c r="H4590" s="1" t="str">
        <f t="shared" si="427"/>
        <v>004</v>
      </c>
      <c r="I4590" s="1" t="str">
        <f t="shared" si="428"/>
        <v>32300-004</v>
      </c>
      <c r="J4590" s="1" t="str">
        <f t="shared" si="429"/>
        <v>Bass retail item #004</v>
      </c>
      <c r="K4590" s="1" t="str">
        <f>IF(SUM(COUNTIFS(I:I, I4590)) &gt; 1, "DUPLICATE", "UNIQUE")</f>
        <v>UNIQUE</v>
      </c>
      <c r="L4590" s="18">
        <v>85</v>
      </c>
      <c r="M4590" s="28">
        <v>4325</v>
      </c>
      <c r="N4590" s="6">
        <v>24</v>
      </c>
      <c r="O4590" s="30">
        <f t="shared" si="430"/>
        <v>367625</v>
      </c>
      <c r="P4590" s="30">
        <f t="shared" si="431"/>
        <v>103800</v>
      </c>
      <c r="Q4590" s="1">
        <f>COUNTIFS($P:$P, "&gt;" &amp; $P4590) + 1</f>
        <v>400</v>
      </c>
      <c r="R4590" s="63">
        <f>(COUNTIFS($P:$P, "&gt;" &amp; $P4590) + 1) / (COUNTA($I:$I) - 1)</f>
        <v>0.08</v>
      </c>
      <c r="S4590" s="23">
        <f>SUMIFS($P:$P, $Q:$Q, "&lt;" &amp; $Q4590)</f>
        <v>143442078</v>
      </c>
    </row>
    <row r="4591" spans="1:19" x14ac:dyDescent="0.25">
      <c r="A4591" s="1">
        <v>4586</v>
      </c>
      <c r="B4591" s="1" t="s">
        <v>4</v>
      </c>
      <c r="C4591" s="1" t="str">
        <f>IF($B4591 = "Production Item", _xlfn.XLOOKUP($A4591, 'Instrument Table'!$J:$J, 'Instrument Table'!$B:$B, $C4590), IF($B4591 = "Service Item", _xlfn.XLOOKUP($A4591, 'Instrument Table'!$I:$I, 'Instrument Table'!$B:$B, $C4590), _xlfn.XLOOKUP($A4591, 'Instrument Table'!$H:$H, 'Instrument Table'!$B:$B, $C4590)))</f>
        <v>Acoustic Guitar</v>
      </c>
      <c r="D4591" s="1" t="str">
        <f>VLOOKUP($C4591, 'Instrument Table'!$B:$C, 2, FALSE)</f>
        <v>Strings</v>
      </c>
      <c r="E4591" s="1">
        <f t="shared" si="426"/>
        <v>3</v>
      </c>
      <c r="F4591" s="1">
        <f>_xlfn.XLOOKUP($C4591, 'Instrument Table'!$B:$B, 'Instrument Table'!$A:$A, "")</f>
        <v>24</v>
      </c>
      <c r="G4591" s="1" t="str">
        <f>TEXT(IF($B4591 = "Retail Item", IF((ROW($A4591) - 4504 - _xlfn.XMATCH($C4591, $C$4506:$C$5005, 0, 1)) &lt;= VLOOKUP($C4591, 'Instrument Table'!$B:$D, 3, FALSE), ROW($A4591) - 4504 - _xlfn.XMATCH($C4591, $C$4506:$C$5005, 0, 1), 0), 0), "00")</f>
        <v>01</v>
      </c>
      <c r="H4591" s="1" t="str">
        <f t="shared" si="427"/>
        <v>000</v>
      </c>
      <c r="I4591" s="1" t="str">
        <f t="shared" si="428"/>
        <v>32401-000</v>
      </c>
      <c r="J4591" s="1" t="str">
        <f t="shared" si="429"/>
        <v>Acoustic guitar model #01</v>
      </c>
      <c r="K4591" s="1" t="str">
        <f>IF(SUM(COUNTIFS(I:I, I4591)) &gt; 1, "DUPLICATE", "UNIQUE")</f>
        <v>UNIQUE</v>
      </c>
      <c r="L4591" s="18">
        <v>9</v>
      </c>
      <c r="M4591" s="28">
        <v>3949</v>
      </c>
      <c r="N4591" s="6">
        <v>18</v>
      </c>
      <c r="O4591" s="30">
        <f t="shared" si="430"/>
        <v>35541</v>
      </c>
      <c r="P4591" s="30">
        <f t="shared" si="431"/>
        <v>71082</v>
      </c>
      <c r="Q4591" s="1">
        <f>COUNTIFS($P:$P, "&gt;" &amp; $P4591) + 1</f>
        <v>465</v>
      </c>
      <c r="R4591" s="63">
        <f>(COUNTIFS($P:$P, "&gt;" &amp; $P4591) + 1) / (COUNTA($I:$I) - 1)</f>
        <v>9.2999999999999999E-2</v>
      </c>
      <c r="S4591" s="23">
        <f>SUMIFS($P:$P, $Q:$Q, "&lt;" &amp; $Q4591)</f>
        <v>149154412</v>
      </c>
    </row>
    <row r="4592" spans="1:19" x14ac:dyDescent="0.25">
      <c r="A4592" s="1">
        <v>4587</v>
      </c>
      <c r="B4592" s="1" t="s">
        <v>4</v>
      </c>
      <c r="C4592" s="1" t="str">
        <f>IF($B4592 = "Production Item", _xlfn.XLOOKUP($A4592, 'Instrument Table'!$J:$J, 'Instrument Table'!$B:$B, $C4591), IF($B4592 = "Service Item", _xlfn.XLOOKUP($A4592, 'Instrument Table'!$I:$I, 'Instrument Table'!$B:$B, $C4591), _xlfn.XLOOKUP($A4592, 'Instrument Table'!$H:$H, 'Instrument Table'!$B:$B, $C4591)))</f>
        <v>Acoustic Guitar</v>
      </c>
      <c r="D4592" s="1" t="str">
        <f>VLOOKUP($C4592, 'Instrument Table'!$B:$C, 2, FALSE)</f>
        <v>Strings</v>
      </c>
      <c r="E4592" s="1">
        <f t="shared" si="426"/>
        <v>3</v>
      </c>
      <c r="F4592" s="1">
        <f>_xlfn.XLOOKUP($C4592, 'Instrument Table'!$B:$B, 'Instrument Table'!$A:$A, "")</f>
        <v>24</v>
      </c>
      <c r="G4592" s="1" t="str">
        <f>TEXT(IF($B4592 = "Retail Item", IF((ROW($A4592) - 4504 - _xlfn.XMATCH($C4592, $C$4506:$C$5005, 0, 1)) &lt;= VLOOKUP($C4592, 'Instrument Table'!$B:$D, 3, FALSE), ROW($A4592) - 4504 - _xlfn.XMATCH($C4592, $C$4506:$C$5005, 0, 1), 0), 0), "00")</f>
        <v>02</v>
      </c>
      <c r="H4592" s="1" t="str">
        <f t="shared" si="427"/>
        <v>000</v>
      </c>
      <c r="I4592" s="1" t="str">
        <f t="shared" si="428"/>
        <v>32402-000</v>
      </c>
      <c r="J4592" s="1" t="str">
        <f t="shared" si="429"/>
        <v>Acoustic guitar model #02</v>
      </c>
      <c r="K4592" s="1" t="str">
        <f>IF(SUM(COUNTIFS(I:I, I4592)) &gt; 1, "DUPLICATE", "UNIQUE")</f>
        <v>UNIQUE</v>
      </c>
      <c r="L4592" s="18">
        <v>11</v>
      </c>
      <c r="M4592" s="28">
        <v>3126</v>
      </c>
      <c r="N4592" s="6">
        <v>32</v>
      </c>
      <c r="O4592" s="30">
        <f t="shared" si="430"/>
        <v>34386</v>
      </c>
      <c r="P4592" s="30">
        <f t="shared" si="431"/>
        <v>100032</v>
      </c>
      <c r="Q4592" s="1">
        <f>COUNTIFS($P:$P, "&gt;" &amp; $P4592) + 1</f>
        <v>409</v>
      </c>
      <c r="R4592" s="63">
        <f>(COUNTIFS($P:$P, "&gt;" &amp; $P4592) + 1) / (COUNTA($I:$I) - 1)</f>
        <v>8.1799999999999998E-2</v>
      </c>
      <c r="S4592" s="23">
        <f>SUMIFS($P:$P, $Q:$Q, "&lt;" &amp; $Q4592)</f>
        <v>144360332</v>
      </c>
    </row>
    <row r="4593" spans="1:19" x14ac:dyDescent="0.25">
      <c r="A4593" s="1">
        <v>4588</v>
      </c>
      <c r="B4593" s="1" t="s">
        <v>4</v>
      </c>
      <c r="C4593" s="1" t="str">
        <f>IF($B4593 = "Production Item", _xlfn.XLOOKUP($A4593, 'Instrument Table'!$J:$J, 'Instrument Table'!$B:$B, $C4592), IF($B4593 = "Service Item", _xlfn.XLOOKUP($A4593, 'Instrument Table'!$I:$I, 'Instrument Table'!$B:$B, $C4592), _xlfn.XLOOKUP($A4593, 'Instrument Table'!$H:$H, 'Instrument Table'!$B:$B, $C4592)))</f>
        <v>Acoustic Guitar</v>
      </c>
      <c r="D4593" s="1" t="str">
        <f>VLOOKUP($C4593, 'Instrument Table'!$B:$C, 2, FALSE)</f>
        <v>Strings</v>
      </c>
      <c r="E4593" s="1">
        <f t="shared" si="426"/>
        <v>3</v>
      </c>
      <c r="F4593" s="1">
        <f>_xlfn.XLOOKUP($C4593, 'Instrument Table'!$B:$B, 'Instrument Table'!$A:$A, "")</f>
        <v>24</v>
      </c>
      <c r="G4593" s="1" t="str">
        <f>TEXT(IF($B4593 = "Retail Item", IF((ROW($A4593) - 4504 - _xlfn.XMATCH($C4593, $C$4506:$C$5005, 0, 1)) &lt;= VLOOKUP($C4593, 'Instrument Table'!$B:$D, 3, FALSE), ROW($A4593) - 4504 - _xlfn.XMATCH($C4593, $C$4506:$C$5005, 0, 1), 0), 0), "00")</f>
        <v>03</v>
      </c>
      <c r="H4593" s="1" t="str">
        <f t="shared" si="427"/>
        <v>000</v>
      </c>
      <c r="I4593" s="1" t="str">
        <f t="shared" si="428"/>
        <v>32403-000</v>
      </c>
      <c r="J4593" s="1" t="str">
        <f t="shared" si="429"/>
        <v>Acoustic guitar model #03</v>
      </c>
      <c r="K4593" s="1" t="str">
        <f>IF(SUM(COUNTIFS(I:I, I4593)) &gt; 1, "DUPLICATE", "UNIQUE")</f>
        <v>UNIQUE</v>
      </c>
      <c r="L4593" s="18">
        <v>22</v>
      </c>
      <c r="M4593" s="28">
        <v>7640</v>
      </c>
      <c r="N4593" s="6">
        <v>71</v>
      </c>
      <c r="O4593" s="30">
        <f t="shared" si="430"/>
        <v>168080</v>
      </c>
      <c r="P4593" s="30">
        <f t="shared" si="431"/>
        <v>542440</v>
      </c>
      <c r="Q4593" s="1">
        <f>COUNTIFS($P:$P, "&gt;" &amp; $P4593) + 1</f>
        <v>81</v>
      </c>
      <c r="R4593" s="63">
        <f>(COUNTIFS($P:$P, "&gt;" &amp; $P4593) + 1) / (COUNTA($I:$I) - 1)</f>
        <v>1.6199999999999999E-2</v>
      </c>
      <c r="S4593" s="23">
        <f>SUMIFS($P:$P, $Q:$Q, "&lt;" &amp; $Q4593)</f>
        <v>56313619</v>
      </c>
    </row>
    <row r="4594" spans="1:19" x14ac:dyDescent="0.25">
      <c r="A4594" s="1">
        <v>4589</v>
      </c>
      <c r="B4594" s="1" t="s">
        <v>4</v>
      </c>
      <c r="C4594" s="1" t="str">
        <f>IF($B4594 = "Production Item", _xlfn.XLOOKUP($A4594, 'Instrument Table'!$J:$J, 'Instrument Table'!$B:$B, $C4593), IF($B4594 = "Service Item", _xlfn.XLOOKUP($A4594, 'Instrument Table'!$I:$I, 'Instrument Table'!$B:$B, $C4593), _xlfn.XLOOKUP($A4594, 'Instrument Table'!$H:$H, 'Instrument Table'!$B:$B, $C4593)))</f>
        <v>Acoustic Guitar</v>
      </c>
      <c r="D4594" s="1" t="str">
        <f>VLOOKUP($C4594, 'Instrument Table'!$B:$C, 2, FALSE)</f>
        <v>Strings</v>
      </c>
      <c r="E4594" s="1">
        <f t="shared" si="426"/>
        <v>3</v>
      </c>
      <c r="F4594" s="1">
        <f>_xlfn.XLOOKUP($C4594, 'Instrument Table'!$B:$B, 'Instrument Table'!$A:$A, "")</f>
        <v>24</v>
      </c>
      <c r="G4594" s="1" t="str">
        <f>TEXT(IF($B4594 = "Retail Item", IF((ROW($A4594) - 4504 - _xlfn.XMATCH($C4594, $C$4506:$C$5005, 0, 1)) &lt;= VLOOKUP($C4594, 'Instrument Table'!$B:$D, 3, FALSE), ROW($A4594) - 4504 - _xlfn.XMATCH($C4594, $C$4506:$C$5005, 0, 1), 0), 0), "00")</f>
        <v>04</v>
      </c>
      <c r="H4594" s="1" t="str">
        <f t="shared" si="427"/>
        <v>000</v>
      </c>
      <c r="I4594" s="1" t="str">
        <f t="shared" si="428"/>
        <v>32404-000</v>
      </c>
      <c r="J4594" s="1" t="str">
        <f t="shared" si="429"/>
        <v>Acoustic guitar model #04</v>
      </c>
      <c r="K4594" s="1" t="str">
        <f>IF(SUM(COUNTIFS(I:I, I4594)) &gt; 1, "DUPLICATE", "UNIQUE")</f>
        <v>UNIQUE</v>
      </c>
      <c r="L4594" s="18">
        <v>15</v>
      </c>
      <c r="M4594" s="28">
        <v>7353</v>
      </c>
      <c r="N4594" s="6">
        <v>13</v>
      </c>
      <c r="O4594" s="30">
        <f t="shared" si="430"/>
        <v>110295</v>
      </c>
      <c r="P4594" s="30">
        <f t="shared" si="431"/>
        <v>95589</v>
      </c>
      <c r="Q4594" s="1">
        <f>COUNTIFS($P:$P, "&gt;" &amp; $P4594) + 1</f>
        <v>414</v>
      </c>
      <c r="R4594" s="63">
        <f>(COUNTIFS($P:$P, "&gt;" &amp; $P4594) + 1) / (COUNTA($I:$I) - 1)</f>
        <v>8.2799999999999999E-2</v>
      </c>
      <c r="S4594" s="23">
        <f>SUMIFS($P:$P, $Q:$Q, "&lt;" &amp; $Q4594)</f>
        <v>144854531</v>
      </c>
    </row>
    <row r="4595" spans="1:19" x14ac:dyDescent="0.25">
      <c r="A4595" s="1">
        <v>4590</v>
      </c>
      <c r="B4595" s="1" t="s">
        <v>4</v>
      </c>
      <c r="C4595" s="1" t="str">
        <f>IF($B4595 = "Production Item", _xlfn.XLOOKUP($A4595, 'Instrument Table'!$J:$J, 'Instrument Table'!$B:$B, $C4594), IF($B4595 = "Service Item", _xlfn.XLOOKUP($A4595, 'Instrument Table'!$I:$I, 'Instrument Table'!$B:$B, $C4594), _xlfn.XLOOKUP($A4595, 'Instrument Table'!$H:$H, 'Instrument Table'!$B:$B, $C4594)))</f>
        <v>Acoustic Guitar</v>
      </c>
      <c r="D4595" s="1" t="str">
        <f>VLOOKUP($C4595, 'Instrument Table'!$B:$C, 2, FALSE)</f>
        <v>Strings</v>
      </c>
      <c r="E4595" s="1">
        <f t="shared" si="426"/>
        <v>3</v>
      </c>
      <c r="F4595" s="1">
        <f>_xlfn.XLOOKUP($C4595, 'Instrument Table'!$B:$B, 'Instrument Table'!$A:$A, "")</f>
        <v>24</v>
      </c>
      <c r="G4595" s="1" t="str">
        <f>TEXT(IF($B4595 = "Retail Item", IF((ROW($A4595) - 4504 - _xlfn.XMATCH($C4595, $C$4506:$C$5005, 0, 1)) &lt;= VLOOKUP($C4595, 'Instrument Table'!$B:$D, 3, FALSE), ROW($A4595) - 4504 - _xlfn.XMATCH($C4595, $C$4506:$C$5005, 0, 1), 0), 0), "00")</f>
        <v>05</v>
      </c>
      <c r="H4595" s="1" t="str">
        <f t="shared" si="427"/>
        <v>000</v>
      </c>
      <c r="I4595" s="1" t="str">
        <f t="shared" si="428"/>
        <v>32405-000</v>
      </c>
      <c r="J4595" s="1" t="str">
        <f t="shared" si="429"/>
        <v>Acoustic guitar model #05</v>
      </c>
      <c r="K4595" s="1" t="str">
        <f>IF(SUM(COUNTIFS(I:I, I4595)) &gt; 1, "DUPLICATE", "UNIQUE")</f>
        <v>UNIQUE</v>
      </c>
      <c r="L4595" s="18">
        <v>78</v>
      </c>
      <c r="M4595" s="28">
        <v>5811</v>
      </c>
      <c r="N4595" s="6">
        <v>47</v>
      </c>
      <c r="O4595" s="30">
        <f t="shared" si="430"/>
        <v>453258</v>
      </c>
      <c r="P4595" s="30">
        <f t="shared" si="431"/>
        <v>273117</v>
      </c>
      <c r="Q4595" s="1">
        <f>COUNTIFS($P:$P, "&gt;" &amp; $P4595) + 1</f>
        <v>224</v>
      </c>
      <c r="R4595" s="63">
        <f>(COUNTIFS($P:$P, "&gt;" &amp; $P4595) + 1) / (COUNTA($I:$I) - 1)</f>
        <v>4.48E-2</v>
      </c>
      <c r="S4595" s="23">
        <f>SUMIFS($P:$P, $Q:$Q, "&lt;" &amp; $Q4595)</f>
        <v>111913051</v>
      </c>
    </row>
    <row r="4596" spans="1:19" x14ac:dyDescent="0.25">
      <c r="A4596" s="1">
        <v>4591</v>
      </c>
      <c r="B4596" s="1" t="s">
        <v>4</v>
      </c>
      <c r="C4596" s="1" t="str">
        <f>IF($B4596 = "Production Item", _xlfn.XLOOKUP($A4596, 'Instrument Table'!$J:$J, 'Instrument Table'!$B:$B, $C4595), IF($B4596 = "Service Item", _xlfn.XLOOKUP($A4596, 'Instrument Table'!$I:$I, 'Instrument Table'!$B:$B, $C4595), _xlfn.XLOOKUP($A4596, 'Instrument Table'!$H:$H, 'Instrument Table'!$B:$B, $C4595)))</f>
        <v>Acoustic Guitar</v>
      </c>
      <c r="D4596" s="1" t="str">
        <f>VLOOKUP($C4596, 'Instrument Table'!$B:$C, 2, FALSE)</f>
        <v>Strings</v>
      </c>
      <c r="E4596" s="1">
        <f t="shared" si="426"/>
        <v>3</v>
      </c>
      <c r="F4596" s="1">
        <f>_xlfn.XLOOKUP($C4596, 'Instrument Table'!$B:$B, 'Instrument Table'!$A:$A, "")</f>
        <v>24</v>
      </c>
      <c r="G4596" s="1" t="str">
        <f>TEXT(IF($B4596 = "Retail Item", IF((ROW($A4596) - 4504 - _xlfn.XMATCH($C4596, $C$4506:$C$5005, 0, 1)) &lt;= VLOOKUP($C4596, 'Instrument Table'!$B:$D, 3, FALSE), ROW($A4596) - 4504 - _xlfn.XMATCH($C4596, $C$4506:$C$5005, 0, 1), 0), 0), "00")</f>
        <v>06</v>
      </c>
      <c r="H4596" s="1" t="str">
        <f t="shared" si="427"/>
        <v>000</v>
      </c>
      <c r="I4596" s="1" t="str">
        <f t="shared" si="428"/>
        <v>32406-000</v>
      </c>
      <c r="J4596" s="1" t="str">
        <f t="shared" si="429"/>
        <v>Acoustic guitar model #06</v>
      </c>
      <c r="K4596" s="1" t="str">
        <f>IF(SUM(COUNTIFS(I:I, I4596)) &gt; 1, "DUPLICATE", "UNIQUE")</f>
        <v>UNIQUE</v>
      </c>
      <c r="L4596" s="18">
        <v>98</v>
      </c>
      <c r="M4596" s="28">
        <v>6983</v>
      </c>
      <c r="N4596" s="6">
        <v>95</v>
      </c>
      <c r="O4596" s="30">
        <f t="shared" si="430"/>
        <v>684334</v>
      </c>
      <c r="P4596" s="30">
        <f t="shared" si="431"/>
        <v>663385</v>
      </c>
      <c r="Q4596" s="1">
        <f>COUNTIFS($P:$P, "&gt;" &amp; $P4596) + 1</f>
        <v>43</v>
      </c>
      <c r="R4596" s="63">
        <f>(COUNTIFS($P:$P, "&gt;" &amp; $P4596) + 1) / (COUNTA($I:$I) - 1)</f>
        <v>8.6E-3</v>
      </c>
      <c r="S4596" s="23">
        <f>SUMIFS($P:$P, $Q:$Q, "&lt;" &amp; $Q4596)</f>
        <v>33358134</v>
      </c>
    </row>
    <row r="4597" spans="1:19" x14ac:dyDescent="0.25">
      <c r="A4597" s="1">
        <v>4592</v>
      </c>
      <c r="B4597" s="1" t="s">
        <v>4</v>
      </c>
      <c r="C4597" s="1" t="str">
        <f>IF($B4597 = "Production Item", _xlfn.XLOOKUP($A4597, 'Instrument Table'!$J:$J, 'Instrument Table'!$B:$B, $C4596), IF($B4597 = "Service Item", _xlfn.XLOOKUP($A4597, 'Instrument Table'!$I:$I, 'Instrument Table'!$B:$B, $C4596), _xlfn.XLOOKUP($A4597, 'Instrument Table'!$H:$H, 'Instrument Table'!$B:$B, $C4596)))</f>
        <v>Acoustic Guitar</v>
      </c>
      <c r="D4597" s="1" t="str">
        <f>VLOOKUP($C4597, 'Instrument Table'!$B:$C, 2, FALSE)</f>
        <v>Strings</v>
      </c>
      <c r="E4597" s="1">
        <f t="shared" si="426"/>
        <v>3</v>
      </c>
      <c r="F4597" s="1">
        <f>_xlfn.XLOOKUP($C4597, 'Instrument Table'!$B:$B, 'Instrument Table'!$A:$A, "")</f>
        <v>24</v>
      </c>
      <c r="G4597" s="1" t="str">
        <f>TEXT(IF($B4597 = "Retail Item", IF((ROW($A4597) - 4504 - _xlfn.XMATCH($C4597, $C$4506:$C$5005, 0, 1)) &lt;= VLOOKUP($C4597, 'Instrument Table'!$B:$D, 3, FALSE), ROW($A4597) - 4504 - _xlfn.XMATCH($C4597, $C$4506:$C$5005, 0, 1), 0), 0), "00")</f>
        <v>07</v>
      </c>
      <c r="H4597" s="1" t="str">
        <f t="shared" si="427"/>
        <v>000</v>
      </c>
      <c r="I4597" s="1" t="str">
        <f t="shared" si="428"/>
        <v>32407-000</v>
      </c>
      <c r="J4597" s="1" t="str">
        <f t="shared" si="429"/>
        <v>Acoustic guitar model #07</v>
      </c>
      <c r="K4597" s="1" t="str">
        <f>IF(SUM(COUNTIFS(I:I, I4597)) &gt; 1, "DUPLICATE", "UNIQUE")</f>
        <v>UNIQUE</v>
      </c>
      <c r="L4597" s="18">
        <v>52</v>
      </c>
      <c r="M4597" s="28">
        <v>7981</v>
      </c>
      <c r="N4597" s="6">
        <v>37</v>
      </c>
      <c r="O4597" s="30">
        <f t="shared" si="430"/>
        <v>415012</v>
      </c>
      <c r="P4597" s="30">
        <f t="shared" si="431"/>
        <v>295297</v>
      </c>
      <c r="Q4597" s="1">
        <f>COUNTIFS($P:$P, "&gt;" &amp; $P4597) + 1</f>
        <v>209</v>
      </c>
      <c r="R4597" s="63">
        <f>(COUNTIFS($P:$P, "&gt;" &amp; $P4597) + 1) / (COUNTA($I:$I) - 1)</f>
        <v>4.1799999999999997E-2</v>
      </c>
      <c r="S4597" s="23">
        <f>SUMIFS($P:$P, $Q:$Q, "&lt;" &amp; $Q4597)</f>
        <v>107623862</v>
      </c>
    </row>
    <row r="4598" spans="1:19" x14ac:dyDescent="0.25">
      <c r="A4598" s="1">
        <v>4593</v>
      </c>
      <c r="B4598" s="1" t="s">
        <v>4</v>
      </c>
      <c r="C4598" s="1" t="str">
        <f>IF($B4598 = "Production Item", _xlfn.XLOOKUP($A4598, 'Instrument Table'!$J:$J, 'Instrument Table'!$B:$B, $C4597), IF($B4598 = "Service Item", _xlfn.XLOOKUP($A4598, 'Instrument Table'!$I:$I, 'Instrument Table'!$B:$B, $C4597), _xlfn.XLOOKUP($A4598, 'Instrument Table'!$H:$H, 'Instrument Table'!$B:$B, $C4597)))</f>
        <v>Acoustic Guitar</v>
      </c>
      <c r="D4598" s="1" t="str">
        <f>VLOOKUP($C4598, 'Instrument Table'!$B:$C, 2, FALSE)</f>
        <v>Strings</v>
      </c>
      <c r="E4598" s="1">
        <f t="shared" si="426"/>
        <v>3</v>
      </c>
      <c r="F4598" s="1">
        <f>_xlfn.XLOOKUP($C4598, 'Instrument Table'!$B:$B, 'Instrument Table'!$A:$A, "")</f>
        <v>24</v>
      </c>
      <c r="G4598" s="1" t="str">
        <f>TEXT(IF($B4598 = "Retail Item", IF((ROW($A4598) - 4504 - _xlfn.XMATCH($C4598, $C$4506:$C$5005, 0, 1)) &lt;= VLOOKUP($C4598, 'Instrument Table'!$B:$D, 3, FALSE), ROW($A4598) - 4504 - _xlfn.XMATCH($C4598, $C$4506:$C$5005, 0, 1), 0), 0), "00")</f>
        <v>08</v>
      </c>
      <c r="H4598" s="1" t="str">
        <f t="shared" si="427"/>
        <v>000</v>
      </c>
      <c r="I4598" s="1" t="str">
        <f t="shared" si="428"/>
        <v>32408-000</v>
      </c>
      <c r="J4598" s="1" t="str">
        <f t="shared" si="429"/>
        <v>Acoustic guitar model #08</v>
      </c>
      <c r="K4598" s="1" t="str">
        <f>IF(SUM(COUNTIFS(I:I, I4598)) &gt; 1, "DUPLICATE", "UNIQUE")</f>
        <v>UNIQUE</v>
      </c>
      <c r="L4598" s="18">
        <v>54</v>
      </c>
      <c r="M4598" s="28">
        <v>7528</v>
      </c>
      <c r="N4598" s="6">
        <v>11</v>
      </c>
      <c r="O4598" s="30">
        <f t="shared" si="430"/>
        <v>406512</v>
      </c>
      <c r="P4598" s="30">
        <f t="shared" si="431"/>
        <v>82808</v>
      </c>
      <c r="Q4598" s="1">
        <f>COUNTIFS($P:$P, "&gt;" &amp; $P4598) + 1</f>
        <v>442</v>
      </c>
      <c r="R4598" s="63">
        <f>(COUNTIFS($P:$P, "&gt;" &amp; $P4598) + 1) / (COUNTA($I:$I) - 1)</f>
        <v>8.8400000000000006E-2</v>
      </c>
      <c r="S4598" s="23">
        <f>SUMIFS($P:$P, $Q:$Q, "&lt;" &amp; $Q4598)</f>
        <v>147369027</v>
      </c>
    </row>
    <row r="4599" spans="1:19" x14ac:dyDescent="0.25">
      <c r="A4599" s="1">
        <v>4594</v>
      </c>
      <c r="B4599" s="1" t="s">
        <v>4</v>
      </c>
      <c r="C4599" s="1" t="str">
        <f>IF($B4599 = "Production Item", _xlfn.XLOOKUP($A4599, 'Instrument Table'!$J:$J, 'Instrument Table'!$B:$B, $C4598), IF($B4599 = "Service Item", _xlfn.XLOOKUP($A4599, 'Instrument Table'!$I:$I, 'Instrument Table'!$B:$B, $C4598), _xlfn.XLOOKUP($A4599, 'Instrument Table'!$H:$H, 'Instrument Table'!$B:$B, $C4598)))</f>
        <v>Acoustic Guitar</v>
      </c>
      <c r="D4599" s="1" t="str">
        <f>VLOOKUP($C4599, 'Instrument Table'!$B:$C, 2, FALSE)</f>
        <v>Strings</v>
      </c>
      <c r="E4599" s="1">
        <f t="shared" si="426"/>
        <v>3</v>
      </c>
      <c r="F4599" s="1">
        <f>_xlfn.XLOOKUP($C4599, 'Instrument Table'!$B:$B, 'Instrument Table'!$A:$A, "")</f>
        <v>24</v>
      </c>
      <c r="G4599" s="1" t="str">
        <f>TEXT(IF($B4599 = "Retail Item", IF((ROW($A4599) - 4504 - _xlfn.XMATCH($C4599, $C$4506:$C$5005, 0, 1)) &lt;= VLOOKUP($C4599, 'Instrument Table'!$B:$D, 3, FALSE), ROW($A4599) - 4504 - _xlfn.XMATCH($C4599, $C$4506:$C$5005, 0, 1), 0), 0), "00")</f>
        <v>09</v>
      </c>
      <c r="H4599" s="1" t="str">
        <f t="shared" si="427"/>
        <v>000</v>
      </c>
      <c r="I4599" s="1" t="str">
        <f t="shared" si="428"/>
        <v>32409-000</v>
      </c>
      <c r="J4599" s="1" t="str">
        <f t="shared" si="429"/>
        <v>Acoustic guitar model #09</v>
      </c>
      <c r="K4599" s="1" t="str">
        <f>IF(SUM(COUNTIFS(I:I, I4599)) &gt; 1, "DUPLICATE", "UNIQUE")</f>
        <v>UNIQUE</v>
      </c>
      <c r="L4599" s="18">
        <v>72</v>
      </c>
      <c r="M4599" s="28">
        <v>9504</v>
      </c>
      <c r="N4599" s="6">
        <v>55</v>
      </c>
      <c r="O4599" s="30">
        <f t="shared" si="430"/>
        <v>684288</v>
      </c>
      <c r="P4599" s="30">
        <f t="shared" si="431"/>
        <v>522720</v>
      </c>
      <c r="Q4599" s="1">
        <f>COUNTIFS($P:$P, "&gt;" &amp; $P4599) + 1</f>
        <v>87</v>
      </c>
      <c r="R4599" s="63">
        <f>(COUNTIFS($P:$P, "&gt;" &amp; $P4599) + 1) / (COUNTA($I:$I) - 1)</f>
        <v>1.7399999999999999E-2</v>
      </c>
      <c r="S4599" s="23">
        <f>SUMIFS($P:$P, $Q:$Q, "&lt;" &amp; $Q4599)</f>
        <v>59514743</v>
      </c>
    </row>
    <row r="4600" spans="1:19" x14ac:dyDescent="0.25">
      <c r="A4600" s="1">
        <v>4595</v>
      </c>
      <c r="B4600" s="1" t="s">
        <v>4</v>
      </c>
      <c r="C4600" s="1" t="str">
        <f>IF($B4600 = "Production Item", _xlfn.XLOOKUP($A4600, 'Instrument Table'!$J:$J, 'Instrument Table'!$B:$B, $C4599), IF($B4600 = "Service Item", _xlfn.XLOOKUP($A4600, 'Instrument Table'!$I:$I, 'Instrument Table'!$B:$B, $C4599), _xlfn.XLOOKUP($A4600, 'Instrument Table'!$H:$H, 'Instrument Table'!$B:$B, $C4599)))</f>
        <v>Acoustic Guitar</v>
      </c>
      <c r="D4600" s="1" t="str">
        <f>VLOOKUP($C4600, 'Instrument Table'!$B:$C, 2, FALSE)</f>
        <v>Strings</v>
      </c>
      <c r="E4600" s="1">
        <f t="shared" si="426"/>
        <v>3</v>
      </c>
      <c r="F4600" s="1">
        <f>_xlfn.XLOOKUP($C4600, 'Instrument Table'!$B:$B, 'Instrument Table'!$A:$A, "")</f>
        <v>24</v>
      </c>
      <c r="G4600" s="1" t="str">
        <f>TEXT(IF($B4600 = "Retail Item", IF((ROW($A4600) - 4504 - _xlfn.XMATCH($C4600, $C$4506:$C$5005, 0, 1)) &lt;= VLOOKUP($C4600, 'Instrument Table'!$B:$D, 3, FALSE), ROW($A4600) - 4504 - _xlfn.XMATCH($C4600, $C$4506:$C$5005, 0, 1), 0), 0), "00")</f>
        <v>10</v>
      </c>
      <c r="H4600" s="1" t="str">
        <f t="shared" si="427"/>
        <v>000</v>
      </c>
      <c r="I4600" s="1" t="str">
        <f t="shared" si="428"/>
        <v>32410-000</v>
      </c>
      <c r="J4600" s="1" t="str">
        <f t="shared" si="429"/>
        <v>Acoustic guitar model #10</v>
      </c>
      <c r="K4600" s="1" t="str">
        <f>IF(SUM(COUNTIFS(I:I, I4600)) &gt; 1, "DUPLICATE", "UNIQUE")</f>
        <v>UNIQUE</v>
      </c>
      <c r="L4600" s="18">
        <v>85</v>
      </c>
      <c r="M4600" s="28">
        <v>5754</v>
      </c>
      <c r="N4600" s="6">
        <v>99</v>
      </c>
      <c r="O4600" s="30">
        <f t="shared" si="430"/>
        <v>489090</v>
      </c>
      <c r="P4600" s="30">
        <f t="shared" si="431"/>
        <v>569646</v>
      </c>
      <c r="Q4600" s="1">
        <f>COUNTIFS($P:$P, "&gt;" &amp; $P4600) + 1</f>
        <v>72</v>
      </c>
      <c r="R4600" s="63">
        <f>(COUNTIFS($P:$P, "&gt;" &amp; $P4600) + 1) / (COUNTA($I:$I) - 1)</f>
        <v>1.44E-2</v>
      </c>
      <c r="S4600" s="23">
        <f>SUMIFS($P:$P, $Q:$Q, "&lt;" &amp; $Q4600)</f>
        <v>51293418</v>
      </c>
    </row>
    <row r="4601" spans="1:19" x14ac:dyDescent="0.25">
      <c r="A4601" s="1">
        <v>4596</v>
      </c>
      <c r="B4601" s="1" t="s">
        <v>4</v>
      </c>
      <c r="C4601" s="1" t="str">
        <f>IF($B4601 = "Production Item", _xlfn.XLOOKUP($A4601, 'Instrument Table'!$J:$J, 'Instrument Table'!$B:$B, $C4600), IF($B4601 = "Service Item", _xlfn.XLOOKUP($A4601, 'Instrument Table'!$I:$I, 'Instrument Table'!$B:$B, $C4600), _xlfn.XLOOKUP($A4601, 'Instrument Table'!$H:$H, 'Instrument Table'!$B:$B, $C4600)))</f>
        <v>Acoustic Guitar</v>
      </c>
      <c r="D4601" s="1" t="str">
        <f>VLOOKUP($C4601, 'Instrument Table'!$B:$C, 2, FALSE)</f>
        <v>Strings</v>
      </c>
      <c r="E4601" s="1">
        <f t="shared" si="426"/>
        <v>3</v>
      </c>
      <c r="F4601" s="1">
        <f>_xlfn.XLOOKUP($C4601, 'Instrument Table'!$B:$B, 'Instrument Table'!$A:$A, "")</f>
        <v>24</v>
      </c>
      <c r="G4601" s="1" t="str">
        <f>TEXT(IF($B4601 = "Retail Item", IF((ROW($A4601) - 4504 - _xlfn.XMATCH($C4601, $C$4506:$C$5005, 0, 1)) &lt;= VLOOKUP($C4601, 'Instrument Table'!$B:$D, 3, FALSE), ROW($A4601) - 4504 - _xlfn.XMATCH($C4601, $C$4506:$C$5005, 0, 1), 0), 0), "00")</f>
        <v>11</v>
      </c>
      <c r="H4601" s="1" t="str">
        <f t="shared" si="427"/>
        <v>000</v>
      </c>
      <c r="I4601" s="1" t="str">
        <f t="shared" si="428"/>
        <v>32411-000</v>
      </c>
      <c r="J4601" s="1" t="str">
        <f t="shared" si="429"/>
        <v>Acoustic guitar model #11</v>
      </c>
      <c r="K4601" s="1" t="str">
        <f>IF(SUM(COUNTIFS(I:I, I4601)) &gt; 1, "DUPLICATE", "UNIQUE")</f>
        <v>UNIQUE</v>
      </c>
      <c r="L4601" s="18">
        <v>43</v>
      </c>
      <c r="M4601" s="28">
        <v>9686</v>
      </c>
      <c r="N4601" s="6">
        <v>40</v>
      </c>
      <c r="O4601" s="30">
        <f t="shared" si="430"/>
        <v>416498</v>
      </c>
      <c r="P4601" s="30">
        <f t="shared" si="431"/>
        <v>387440</v>
      </c>
      <c r="Q4601" s="1">
        <f>COUNTIFS($P:$P, "&gt;" &amp; $P4601) + 1</f>
        <v>146</v>
      </c>
      <c r="R4601" s="63">
        <f>(COUNTIFS($P:$P, "&gt;" &amp; $P4601) + 1) / (COUNTA($I:$I) - 1)</f>
        <v>2.92E-2</v>
      </c>
      <c r="S4601" s="23">
        <f>SUMIFS($P:$P, $Q:$Q, "&lt;" &amp; $Q4601)</f>
        <v>86416988</v>
      </c>
    </row>
    <row r="4602" spans="1:19" x14ac:dyDescent="0.25">
      <c r="A4602" s="1">
        <v>4597</v>
      </c>
      <c r="B4602" s="1" t="s">
        <v>4</v>
      </c>
      <c r="C4602" s="1" t="str">
        <f>IF($B4602 = "Production Item", _xlfn.XLOOKUP($A4602, 'Instrument Table'!$J:$J, 'Instrument Table'!$B:$B, $C4601), IF($B4602 = "Service Item", _xlfn.XLOOKUP($A4602, 'Instrument Table'!$I:$I, 'Instrument Table'!$B:$B, $C4601), _xlfn.XLOOKUP($A4602, 'Instrument Table'!$H:$H, 'Instrument Table'!$B:$B, $C4601)))</f>
        <v>Acoustic Guitar</v>
      </c>
      <c r="D4602" s="1" t="str">
        <f>VLOOKUP($C4602, 'Instrument Table'!$B:$C, 2, FALSE)</f>
        <v>Strings</v>
      </c>
      <c r="E4602" s="1">
        <f t="shared" si="426"/>
        <v>3</v>
      </c>
      <c r="F4602" s="1">
        <f>_xlfn.XLOOKUP($C4602, 'Instrument Table'!$B:$B, 'Instrument Table'!$A:$A, "")</f>
        <v>24</v>
      </c>
      <c r="G4602" s="1" t="str">
        <f>TEXT(IF($B4602 = "Retail Item", IF((ROW($A4602) - 4504 - _xlfn.XMATCH($C4602, $C$4506:$C$5005, 0, 1)) &lt;= VLOOKUP($C4602, 'Instrument Table'!$B:$D, 3, FALSE), ROW($A4602) - 4504 - _xlfn.XMATCH($C4602, $C$4506:$C$5005, 0, 1), 0), 0), "00")</f>
        <v>12</v>
      </c>
      <c r="H4602" s="1" t="str">
        <f t="shared" si="427"/>
        <v>000</v>
      </c>
      <c r="I4602" s="1" t="str">
        <f t="shared" si="428"/>
        <v>32412-000</v>
      </c>
      <c r="J4602" s="1" t="str">
        <f t="shared" si="429"/>
        <v>Acoustic guitar model #12</v>
      </c>
      <c r="K4602" s="1" t="str">
        <f>IF(SUM(COUNTIFS(I:I, I4602)) &gt; 1, "DUPLICATE", "UNIQUE")</f>
        <v>UNIQUE</v>
      </c>
      <c r="L4602" s="18">
        <v>75</v>
      </c>
      <c r="M4602" s="28">
        <v>3085</v>
      </c>
      <c r="N4602" s="6">
        <v>63</v>
      </c>
      <c r="O4602" s="30">
        <f t="shared" si="430"/>
        <v>231375</v>
      </c>
      <c r="P4602" s="30">
        <f t="shared" si="431"/>
        <v>194355</v>
      </c>
      <c r="Q4602" s="1">
        <f>COUNTIFS($P:$P, "&gt;" &amp; $P4602) + 1</f>
        <v>293</v>
      </c>
      <c r="R4602" s="63">
        <f>(COUNTIFS($P:$P, "&gt;" &amp; $P4602) + 1) / (COUNTA($I:$I) - 1)</f>
        <v>5.8599999999999999E-2</v>
      </c>
      <c r="S4602" s="23">
        <f>SUMIFS($P:$P, $Q:$Q, "&lt;" &amp; $Q4602)</f>
        <v>128203100</v>
      </c>
    </row>
    <row r="4603" spans="1:19" x14ac:dyDescent="0.25">
      <c r="A4603" s="1">
        <v>4598</v>
      </c>
      <c r="B4603" s="1" t="s">
        <v>4</v>
      </c>
      <c r="C4603" s="1" t="str">
        <f>IF($B4603 = "Production Item", _xlfn.XLOOKUP($A4603, 'Instrument Table'!$J:$J, 'Instrument Table'!$B:$B, $C4602), IF($B4603 = "Service Item", _xlfn.XLOOKUP($A4603, 'Instrument Table'!$I:$I, 'Instrument Table'!$B:$B, $C4602), _xlfn.XLOOKUP($A4603, 'Instrument Table'!$H:$H, 'Instrument Table'!$B:$B, $C4602)))</f>
        <v>Acoustic Guitar</v>
      </c>
      <c r="D4603" s="1" t="str">
        <f>VLOOKUP($C4603, 'Instrument Table'!$B:$C, 2, FALSE)</f>
        <v>Strings</v>
      </c>
      <c r="E4603" s="1">
        <f t="shared" si="426"/>
        <v>3</v>
      </c>
      <c r="F4603" s="1">
        <f>_xlfn.XLOOKUP($C4603, 'Instrument Table'!$B:$B, 'Instrument Table'!$A:$A, "")</f>
        <v>24</v>
      </c>
      <c r="G4603" s="1" t="str">
        <f>TEXT(IF($B4603 = "Retail Item", IF((ROW($A4603) - 4504 - _xlfn.XMATCH($C4603, $C$4506:$C$5005, 0, 1)) &lt;= VLOOKUP($C4603, 'Instrument Table'!$B:$D, 3, FALSE), ROW($A4603) - 4504 - _xlfn.XMATCH($C4603, $C$4506:$C$5005, 0, 1), 0), 0), "00")</f>
        <v>13</v>
      </c>
      <c r="H4603" s="1" t="str">
        <f t="shared" si="427"/>
        <v>000</v>
      </c>
      <c r="I4603" s="1" t="str">
        <f t="shared" si="428"/>
        <v>32413-000</v>
      </c>
      <c r="J4603" s="1" t="str">
        <f t="shared" si="429"/>
        <v>Acoustic guitar model #13</v>
      </c>
      <c r="K4603" s="1" t="str">
        <f>IF(SUM(COUNTIFS(I:I, I4603)) &gt; 1, "DUPLICATE", "UNIQUE")</f>
        <v>UNIQUE</v>
      </c>
      <c r="L4603" s="18">
        <v>18</v>
      </c>
      <c r="M4603" s="28">
        <v>6359</v>
      </c>
      <c r="N4603" s="6">
        <v>23</v>
      </c>
      <c r="O4603" s="30">
        <f t="shared" si="430"/>
        <v>114462</v>
      </c>
      <c r="P4603" s="30">
        <f t="shared" si="431"/>
        <v>146257</v>
      </c>
      <c r="Q4603" s="1">
        <f>COUNTIFS($P:$P, "&gt;" &amp; $P4603) + 1</f>
        <v>338</v>
      </c>
      <c r="R4603" s="63">
        <f>(COUNTIFS($P:$P, "&gt;" &amp; $P4603) + 1) / (COUNTA($I:$I) - 1)</f>
        <v>6.7599999999999993E-2</v>
      </c>
      <c r="S4603" s="23">
        <f>SUMIFS($P:$P, $Q:$Q, "&lt;" &amp; $Q4603)</f>
        <v>135764026</v>
      </c>
    </row>
    <row r="4604" spans="1:19" x14ac:dyDescent="0.25">
      <c r="A4604" s="1">
        <v>4599</v>
      </c>
      <c r="B4604" s="1" t="s">
        <v>4</v>
      </c>
      <c r="C4604" s="1" t="str">
        <f>IF($B4604 = "Production Item", _xlfn.XLOOKUP($A4604, 'Instrument Table'!$J:$J, 'Instrument Table'!$B:$B, $C4603), IF($B4604 = "Service Item", _xlfn.XLOOKUP($A4604, 'Instrument Table'!$I:$I, 'Instrument Table'!$B:$B, $C4603), _xlfn.XLOOKUP($A4604, 'Instrument Table'!$H:$H, 'Instrument Table'!$B:$B, $C4603)))</f>
        <v>Acoustic Guitar</v>
      </c>
      <c r="D4604" s="1" t="str">
        <f>VLOOKUP($C4604, 'Instrument Table'!$B:$C, 2, FALSE)</f>
        <v>Strings</v>
      </c>
      <c r="E4604" s="1">
        <f t="shared" si="426"/>
        <v>3</v>
      </c>
      <c r="F4604" s="1">
        <f>_xlfn.XLOOKUP($C4604, 'Instrument Table'!$B:$B, 'Instrument Table'!$A:$A, "")</f>
        <v>24</v>
      </c>
      <c r="G4604" s="1" t="str">
        <f>TEXT(IF($B4604 = "Retail Item", IF((ROW($A4604) - 4504 - _xlfn.XMATCH($C4604, $C$4506:$C$5005, 0, 1)) &lt;= VLOOKUP($C4604, 'Instrument Table'!$B:$D, 3, FALSE), ROW($A4604) - 4504 - _xlfn.XMATCH($C4604, $C$4506:$C$5005, 0, 1), 0), 0), "00")</f>
        <v>14</v>
      </c>
      <c r="H4604" s="1" t="str">
        <f t="shared" si="427"/>
        <v>000</v>
      </c>
      <c r="I4604" s="1" t="str">
        <f t="shared" si="428"/>
        <v>32414-000</v>
      </c>
      <c r="J4604" s="1" t="str">
        <f t="shared" si="429"/>
        <v>Acoustic guitar model #14</v>
      </c>
      <c r="K4604" s="1" t="str">
        <f>IF(SUM(COUNTIFS(I:I, I4604)) &gt; 1, "DUPLICATE", "UNIQUE")</f>
        <v>UNIQUE</v>
      </c>
      <c r="L4604" s="18">
        <v>63</v>
      </c>
      <c r="M4604" s="28">
        <v>4275</v>
      </c>
      <c r="N4604" s="6">
        <v>41</v>
      </c>
      <c r="O4604" s="30">
        <f t="shared" si="430"/>
        <v>269325</v>
      </c>
      <c r="P4604" s="30">
        <f t="shared" si="431"/>
        <v>175275</v>
      </c>
      <c r="Q4604" s="1">
        <f>COUNTIFS($P:$P, "&gt;" &amp; $P4604) + 1</f>
        <v>309</v>
      </c>
      <c r="R4604" s="63">
        <f>(COUNTIFS($P:$P, "&gt;" &amp; $P4604) + 1) / (COUNTA($I:$I) - 1)</f>
        <v>6.1800000000000001E-2</v>
      </c>
      <c r="S4604" s="23">
        <f>SUMIFS($P:$P, $Q:$Q, "&lt;" &amp; $Q4604)</f>
        <v>131146246</v>
      </c>
    </row>
    <row r="4605" spans="1:19" x14ac:dyDescent="0.25">
      <c r="A4605" s="1">
        <v>4600</v>
      </c>
      <c r="B4605" s="1" t="s">
        <v>4</v>
      </c>
      <c r="C4605" s="1" t="str">
        <f>IF($B4605 = "Production Item", _xlfn.XLOOKUP($A4605, 'Instrument Table'!$J:$J, 'Instrument Table'!$B:$B, $C4604), IF($B4605 = "Service Item", _xlfn.XLOOKUP($A4605, 'Instrument Table'!$I:$I, 'Instrument Table'!$B:$B, $C4604), _xlfn.XLOOKUP($A4605, 'Instrument Table'!$H:$H, 'Instrument Table'!$B:$B, $C4604)))</f>
        <v>Acoustic Guitar</v>
      </c>
      <c r="D4605" s="1" t="str">
        <f>VLOOKUP($C4605, 'Instrument Table'!$B:$C, 2, FALSE)</f>
        <v>Strings</v>
      </c>
      <c r="E4605" s="1">
        <f t="shared" si="426"/>
        <v>3</v>
      </c>
      <c r="F4605" s="1">
        <f>_xlfn.XLOOKUP($C4605, 'Instrument Table'!$B:$B, 'Instrument Table'!$A:$A, "")</f>
        <v>24</v>
      </c>
      <c r="G4605" s="1" t="str">
        <f>TEXT(IF($B4605 = "Retail Item", IF((ROW($A4605) - 4504 - _xlfn.XMATCH($C4605, $C$4506:$C$5005, 0, 1)) &lt;= VLOOKUP($C4605, 'Instrument Table'!$B:$D, 3, FALSE), ROW($A4605) - 4504 - _xlfn.XMATCH($C4605, $C$4506:$C$5005, 0, 1), 0), 0), "00")</f>
        <v>15</v>
      </c>
      <c r="H4605" s="1" t="str">
        <f t="shared" si="427"/>
        <v>000</v>
      </c>
      <c r="I4605" s="1" t="str">
        <f t="shared" si="428"/>
        <v>32415-000</v>
      </c>
      <c r="J4605" s="1" t="str">
        <f t="shared" si="429"/>
        <v>Acoustic guitar model #15</v>
      </c>
      <c r="K4605" s="1" t="str">
        <f>IF(SUM(COUNTIFS(I:I, I4605)) &gt; 1, "DUPLICATE", "UNIQUE")</f>
        <v>UNIQUE</v>
      </c>
      <c r="L4605" s="18">
        <v>24</v>
      </c>
      <c r="M4605" s="28">
        <v>8338</v>
      </c>
      <c r="N4605" s="6">
        <v>8</v>
      </c>
      <c r="O4605" s="30">
        <f t="shared" si="430"/>
        <v>200112</v>
      </c>
      <c r="P4605" s="30">
        <f t="shared" si="431"/>
        <v>66704</v>
      </c>
      <c r="Q4605" s="1">
        <f>COUNTIFS($P:$P, "&gt;" &amp; $P4605) + 1</f>
        <v>481</v>
      </c>
      <c r="R4605" s="63">
        <f>(COUNTIFS($P:$P, "&gt;" &amp; $P4605) + 1) / (COUNTA($I:$I) - 1)</f>
        <v>9.6199999999999994E-2</v>
      </c>
      <c r="S4605" s="23">
        <f>SUMIFS($P:$P, $Q:$Q, "&lt;" &amp; $Q4605)</f>
        <v>150255215</v>
      </c>
    </row>
    <row r="4606" spans="1:19" x14ac:dyDescent="0.25">
      <c r="A4606" s="1">
        <v>4601</v>
      </c>
      <c r="B4606" s="1" t="s">
        <v>4</v>
      </c>
      <c r="C4606" s="1" t="str">
        <f>IF($B4606 = "Production Item", _xlfn.XLOOKUP($A4606, 'Instrument Table'!$J:$J, 'Instrument Table'!$B:$B, $C4605), IF($B4606 = "Service Item", _xlfn.XLOOKUP($A4606, 'Instrument Table'!$I:$I, 'Instrument Table'!$B:$B, $C4605), _xlfn.XLOOKUP($A4606, 'Instrument Table'!$H:$H, 'Instrument Table'!$B:$B, $C4605)))</f>
        <v>Acoustic Guitar</v>
      </c>
      <c r="D4606" s="1" t="str">
        <f>VLOOKUP($C4606, 'Instrument Table'!$B:$C, 2, FALSE)</f>
        <v>Strings</v>
      </c>
      <c r="E4606" s="1">
        <f t="shared" si="426"/>
        <v>3</v>
      </c>
      <c r="F4606" s="1">
        <f>_xlfn.XLOOKUP($C4606, 'Instrument Table'!$B:$B, 'Instrument Table'!$A:$A, "")</f>
        <v>24</v>
      </c>
      <c r="G4606" s="1" t="str">
        <f>TEXT(IF($B4606 = "Retail Item", IF((ROW($A4606) - 4504 - _xlfn.XMATCH($C4606, $C$4506:$C$5005, 0, 1)) &lt;= VLOOKUP($C4606, 'Instrument Table'!$B:$D, 3, FALSE), ROW($A4606) - 4504 - _xlfn.XMATCH($C4606, $C$4506:$C$5005, 0, 1), 0), 0), "00")</f>
        <v>00</v>
      </c>
      <c r="H4606" s="1" t="str">
        <f t="shared" si="427"/>
        <v>000</v>
      </c>
      <c r="I4606" s="1" t="str">
        <f t="shared" si="428"/>
        <v>32400-000</v>
      </c>
      <c r="J4606" s="1" t="str">
        <f t="shared" si="429"/>
        <v>Acoustic guitar retail item #000</v>
      </c>
      <c r="K4606" s="1" t="str">
        <f>IF(SUM(COUNTIFS(I:I, I4606)) &gt; 1, "DUPLICATE", "UNIQUE")</f>
        <v>UNIQUE</v>
      </c>
      <c r="L4606" s="18">
        <v>43</v>
      </c>
      <c r="M4606" s="28">
        <v>4853</v>
      </c>
      <c r="N4606" s="6">
        <v>68</v>
      </c>
      <c r="O4606" s="30">
        <f t="shared" si="430"/>
        <v>208679</v>
      </c>
      <c r="P4606" s="30">
        <f t="shared" si="431"/>
        <v>330004</v>
      </c>
      <c r="Q4606" s="1">
        <f>COUNTIFS($P:$P, "&gt;" &amp; $P4606) + 1</f>
        <v>179</v>
      </c>
      <c r="R4606" s="63">
        <f>(COUNTIFS($P:$P, "&gt;" &amp; $P4606) + 1) / (COUNTA($I:$I) - 1)</f>
        <v>3.5799999999999998E-2</v>
      </c>
      <c r="S4606" s="23">
        <f>SUMIFS($P:$P, $Q:$Q, "&lt;" &amp; $Q4606)</f>
        <v>98271573</v>
      </c>
    </row>
    <row r="4607" spans="1:19" x14ac:dyDescent="0.25">
      <c r="A4607" s="1">
        <v>4602</v>
      </c>
      <c r="B4607" s="1" t="s">
        <v>4</v>
      </c>
      <c r="C4607" s="1" t="str">
        <f>IF($B4607 = "Production Item", _xlfn.XLOOKUP($A4607, 'Instrument Table'!$J:$J, 'Instrument Table'!$B:$B, $C4606), IF($B4607 = "Service Item", _xlfn.XLOOKUP($A4607, 'Instrument Table'!$I:$I, 'Instrument Table'!$B:$B, $C4606), _xlfn.XLOOKUP($A4607, 'Instrument Table'!$H:$H, 'Instrument Table'!$B:$B, $C4606)))</f>
        <v>Acoustic Guitar</v>
      </c>
      <c r="D4607" s="1" t="str">
        <f>VLOOKUP($C4607, 'Instrument Table'!$B:$C, 2, FALSE)</f>
        <v>Strings</v>
      </c>
      <c r="E4607" s="1">
        <f t="shared" si="426"/>
        <v>3</v>
      </c>
      <c r="F4607" s="1">
        <f>_xlfn.XLOOKUP($C4607, 'Instrument Table'!$B:$B, 'Instrument Table'!$A:$A, "")</f>
        <v>24</v>
      </c>
      <c r="G4607" s="1" t="str">
        <f>TEXT(IF($B4607 = "Retail Item", IF((ROW($A4607) - 4504 - _xlfn.XMATCH($C4607, $C$4506:$C$5005, 0, 1)) &lt;= VLOOKUP($C4607, 'Instrument Table'!$B:$D, 3, FALSE), ROW($A4607) - 4504 - _xlfn.XMATCH($C4607, $C$4506:$C$5005, 0, 1), 0), 0), "00")</f>
        <v>00</v>
      </c>
      <c r="H4607" s="1" t="str">
        <f t="shared" si="427"/>
        <v>001</v>
      </c>
      <c r="I4607" s="1" t="str">
        <f t="shared" si="428"/>
        <v>32400-001</v>
      </c>
      <c r="J4607" s="1" t="str">
        <f t="shared" si="429"/>
        <v>Acoustic guitar retail item #001</v>
      </c>
      <c r="K4607" s="1" t="str">
        <f>IF(SUM(COUNTIFS(I:I, I4607)) &gt; 1, "DUPLICATE", "UNIQUE")</f>
        <v>UNIQUE</v>
      </c>
      <c r="L4607" s="18">
        <v>65</v>
      </c>
      <c r="M4607" s="28">
        <v>2259</v>
      </c>
      <c r="N4607" s="6">
        <v>14</v>
      </c>
      <c r="O4607" s="30">
        <f t="shared" si="430"/>
        <v>146835</v>
      </c>
      <c r="P4607" s="30">
        <f t="shared" si="431"/>
        <v>31626</v>
      </c>
      <c r="Q4607" s="1">
        <f>COUNTIFS($P:$P, "&gt;" &amp; $P4607) + 1</f>
        <v>658</v>
      </c>
      <c r="R4607" s="63">
        <f>(COUNTIFS($P:$P, "&gt;" &amp; $P4607) + 1) / (COUNTA($I:$I) - 1)</f>
        <v>0.13159999999999999</v>
      </c>
      <c r="S4607" s="23">
        <f>SUMIFS($P:$P, $Q:$Q, "&lt;" &amp; $Q4607)</f>
        <v>157800157</v>
      </c>
    </row>
    <row r="4608" spans="1:19" x14ac:dyDescent="0.25">
      <c r="A4608" s="1">
        <v>4603</v>
      </c>
      <c r="B4608" s="1" t="s">
        <v>4</v>
      </c>
      <c r="C4608" s="1" t="str">
        <f>IF($B4608 = "Production Item", _xlfn.XLOOKUP($A4608, 'Instrument Table'!$J:$J, 'Instrument Table'!$B:$B, $C4607), IF($B4608 = "Service Item", _xlfn.XLOOKUP($A4608, 'Instrument Table'!$I:$I, 'Instrument Table'!$B:$B, $C4607), _xlfn.XLOOKUP($A4608, 'Instrument Table'!$H:$H, 'Instrument Table'!$B:$B, $C4607)))</f>
        <v>Acoustic Guitar</v>
      </c>
      <c r="D4608" s="1" t="str">
        <f>VLOOKUP($C4608, 'Instrument Table'!$B:$C, 2, FALSE)</f>
        <v>Strings</v>
      </c>
      <c r="E4608" s="1">
        <f t="shared" si="426"/>
        <v>3</v>
      </c>
      <c r="F4608" s="1">
        <f>_xlfn.XLOOKUP($C4608, 'Instrument Table'!$B:$B, 'Instrument Table'!$A:$A, "")</f>
        <v>24</v>
      </c>
      <c r="G4608" s="1" t="str">
        <f>TEXT(IF($B4608 = "Retail Item", IF((ROW($A4608) - 4504 - _xlfn.XMATCH($C4608, $C$4506:$C$5005, 0, 1)) &lt;= VLOOKUP($C4608, 'Instrument Table'!$B:$D, 3, FALSE), ROW($A4608) - 4504 - _xlfn.XMATCH($C4608, $C$4506:$C$5005, 0, 1), 0), 0), "00")</f>
        <v>00</v>
      </c>
      <c r="H4608" s="1" t="str">
        <f t="shared" si="427"/>
        <v>002</v>
      </c>
      <c r="I4608" s="1" t="str">
        <f t="shared" si="428"/>
        <v>32400-002</v>
      </c>
      <c r="J4608" s="1" t="str">
        <f t="shared" si="429"/>
        <v>Acoustic guitar retail item #002</v>
      </c>
      <c r="K4608" s="1" t="str">
        <f>IF(SUM(COUNTIFS(I:I, I4608)) &gt; 1, "DUPLICATE", "UNIQUE")</f>
        <v>UNIQUE</v>
      </c>
      <c r="L4608" s="18">
        <v>34</v>
      </c>
      <c r="M4608" s="28">
        <v>1268</v>
      </c>
      <c r="N4608" s="6">
        <v>69</v>
      </c>
      <c r="O4608" s="30">
        <f t="shared" si="430"/>
        <v>43112</v>
      </c>
      <c r="P4608" s="30">
        <f t="shared" si="431"/>
        <v>87492</v>
      </c>
      <c r="Q4608" s="1">
        <f>COUNTIFS($P:$P, "&gt;" &amp; $P4608) + 1</f>
        <v>433</v>
      </c>
      <c r="R4608" s="63">
        <f>(COUNTIFS($P:$P, "&gt;" &amp; $P4608) + 1) / (COUNTA($I:$I) - 1)</f>
        <v>8.6599999999999996E-2</v>
      </c>
      <c r="S4608" s="23">
        <f>SUMIFS($P:$P, $Q:$Q, "&lt;" &amp; $Q4608)</f>
        <v>146605488</v>
      </c>
    </row>
    <row r="4609" spans="1:19" x14ac:dyDescent="0.25">
      <c r="A4609" s="1">
        <v>4604</v>
      </c>
      <c r="B4609" s="1" t="s">
        <v>4</v>
      </c>
      <c r="C4609" s="1" t="str">
        <f>IF($B4609 = "Production Item", _xlfn.XLOOKUP($A4609, 'Instrument Table'!$J:$J, 'Instrument Table'!$B:$B, $C4608), IF($B4609 = "Service Item", _xlfn.XLOOKUP($A4609, 'Instrument Table'!$I:$I, 'Instrument Table'!$B:$B, $C4608), _xlfn.XLOOKUP($A4609, 'Instrument Table'!$H:$H, 'Instrument Table'!$B:$B, $C4608)))</f>
        <v>Acoustic Guitar</v>
      </c>
      <c r="D4609" s="1" t="str">
        <f>VLOOKUP($C4609, 'Instrument Table'!$B:$C, 2, FALSE)</f>
        <v>Strings</v>
      </c>
      <c r="E4609" s="1">
        <f t="shared" si="426"/>
        <v>3</v>
      </c>
      <c r="F4609" s="1">
        <f>_xlfn.XLOOKUP($C4609, 'Instrument Table'!$B:$B, 'Instrument Table'!$A:$A, "")</f>
        <v>24</v>
      </c>
      <c r="G4609" s="1" t="str">
        <f>TEXT(IF($B4609 = "Retail Item", IF((ROW($A4609) - 4504 - _xlfn.XMATCH($C4609, $C$4506:$C$5005, 0, 1)) &lt;= VLOOKUP($C4609, 'Instrument Table'!$B:$D, 3, FALSE), ROW($A4609) - 4504 - _xlfn.XMATCH($C4609, $C$4506:$C$5005, 0, 1), 0), 0), "00")</f>
        <v>00</v>
      </c>
      <c r="H4609" s="1" t="str">
        <f t="shared" si="427"/>
        <v>003</v>
      </c>
      <c r="I4609" s="1" t="str">
        <f t="shared" si="428"/>
        <v>32400-003</v>
      </c>
      <c r="J4609" s="1" t="str">
        <f t="shared" si="429"/>
        <v>Acoustic guitar retail item #003</v>
      </c>
      <c r="K4609" s="1" t="str">
        <f>IF(SUM(COUNTIFS(I:I, I4609)) &gt; 1, "DUPLICATE", "UNIQUE")</f>
        <v>UNIQUE</v>
      </c>
      <c r="L4609" s="18">
        <v>62</v>
      </c>
      <c r="M4609" s="28">
        <v>8803</v>
      </c>
      <c r="N4609" s="6">
        <v>76</v>
      </c>
      <c r="O4609" s="30">
        <f t="shared" si="430"/>
        <v>545786</v>
      </c>
      <c r="P4609" s="30">
        <f t="shared" si="431"/>
        <v>669028</v>
      </c>
      <c r="Q4609" s="1">
        <f>COUNTIFS($P:$P, "&gt;" &amp; $P4609) + 1</f>
        <v>42</v>
      </c>
      <c r="R4609" s="63">
        <f>(COUNTIFS($P:$P, "&gt;" &amp; $P4609) + 1) / (COUNTA($I:$I) - 1)</f>
        <v>8.3999999999999995E-3</v>
      </c>
      <c r="S4609" s="23">
        <f>SUMIFS($P:$P, $Q:$Q, "&lt;" &amp; $Q4609)</f>
        <v>32689106</v>
      </c>
    </row>
    <row r="4610" spans="1:19" x14ac:dyDescent="0.25">
      <c r="A4610" s="1">
        <v>4605</v>
      </c>
      <c r="B4610" s="1" t="s">
        <v>4</v>
      </c>
      <c r="C4610" s="1" t="str">
        <f>IF($B4610 = "Production Item", _xlfn.XLOOKUP($A4610, 'Instrument Table'!$J:$J, 'Instrument Table'!$B:$B, $C4609), IF($B4610 = "Service Item", _xlfn.XLOOKUP($A4610, 'Instrument Table'!$I:$I, 'Instrument Table'!$B:$B, $C4609), _xlfn.XLOOKUP($A4610, 'Instrument Table'!$H:$H, 'Instrument Table'!$B:$B, $C4609)))</f>
        <v>Acoustic Guitar</v>
      </c>
      <c r="D4610" s="1" t="str">
        <f>VLOOKUP($C4610, 'Instrument Table'!$B:$C, 2, FALSE)</f>
        <v>Strings</v>
      </c>
      <c r="E4610" s="1">
        <f t="shared" si="426"/>
        <v>3</v>
      </c>
      <c r="F4610" s="1">
        <f>_xlfn.XLOOKUP($C4610, 'Instrument Table'!$B:$B, 'Instrument Table'!$A:$A, "")</f>
        <v>24</v>
      </c>
      <c r="G4610" s="1" t="str">
        <f>TEXT(IF($B4610 = "Retail Item", IF((ROW($A4610) - 4504 - _xlfn.XMATCH($C4610, $C$4506:$C$5005, 0, 1)) &lt;= VLOOKUP($C4610, 'Instrument Table'!$B:$D, 3, FALSE), ROW($A4610) - 4504 - _xlfn.XMATCH($C4610, $C$4506:$C$5005, 0, 1), 0), 0), "00")</f>
        <v>00</v>
      </c>
      <c r="H4610" s="1" t="str">
        <f t="shared" si="427"/>
        <v>004</v>
      </c>
      <c r="I4610" s="1" t="str">
        <f t="shared" si="428"/>
        <v>32400-004</v>
      </c>
      <c r="J4610" s="1" t="str">
        <f t="shared" si="429"/>
        <v>Acoustic guitar retail item #004</v>
      </c>
      <c r="K4610" s="1" t="str">
        <f>IF(SUM(COUNTIFS(I:I, I4610)) &gt; 1, "DUPLICATE", "UNIQUE")</f>
        <v>UNIQUE</v>
      </c>
      <c r="L4610" s="18">
        <v>12</v>
      </c>
      <c r="M4610" s="28">
        <v>2793</v>
      </c>
      <c r="N4610" s="6">
        <v>95</v>
      </c>
      <c r="O4610" s="30">
        <f t="shared" si="430"/>
        <v>33516</v>
      </c>
      <c r="P4610" s="30">
        <f t="shared" si="431"/>
        <v>265335</v>
      </c>
      <c r="Q4610" s="1">
        <f>COUNTIFS($P:$P, "&gt;" &amp; $P4610) + 1</f>
        <v>233</v>
      </c>
      <c r="R4610" s="63">
        <f>(COUNTIFS($P:$P, "&gt;" &amp; $P4610) + 1) / (COUNTA($I:$I) - 1)</f>
        <v>4.6600000000000003E-2</v>
      </c>
      <c r="S4610" s="23">
        <f>SUMIFS($P:$P, $Q:$Q, "&lt;" &amp; $Q4610)</f>
        <v>114345929</v>
      </c>
    </row>
    <row r="4611" spans="1:19" x14ac:dyDescent="0.25">
      <c r="A4611" s="1">
        <v>4606</v>
      </c>
      <c r="B4611" s="1" t="s">
        <v>4</v>
      </c>
      <c r="C4611" s="1" t="str">
        <f>IF($B4611 = "Production Item", _xlfn.XLOOKUP($A4611, 'Instrument Table'!$J:$J, 'Instrument Table'!$B:$B, $C4610), IF($B4611 = "Service Item", _xlfn.XLOOKUP($A4611, 'Instrument Table'!$I:$I, 'Instrument Table'!$B:$B, $C4610), _xlfn.XLOOKUP($A4611, 'Instrument Table'!$H:$H, 'Instrument Table'!$B:$B, $C4610)))</f>
        <v>Electric Guitar</v>
      </c>
      <c r="D4611" s="1" t="str">
        <f>VLOOKUP($C4611, 'Instrument Table'!$B:$C, 2, FALSE)</f>
        <v>Strings</v>
      </c>
      <c r="E4611" s="1">
        <f t="shared" si="426"/>
        <v>3</v>
      </c>
      <c r="F4611" s="1">
        <f>_xlfn.XLOOKUP($C4611, 'Instrument Table'!$B:$B, 'Instrument Table'!$A:$A, "")</f>
        <v>25</v>
      </c>
      <c r="G4611" s="1" t="str">
        <f>TEXT(IF($B4611 = "Retail Item", IF((ROW($A4611) - 4504 - _xlfn.XMATCH($C4611, $C$4506:$C$5005, 0, 1)) &lt;= VLOOKUP($C4611, 'Instrument Table'!$B:$D, 3, FALSE), ROW($A4611) - 4504 - _xlfn.XMATCH($C4611, $C$4506:$C$5005, 0, 1), 0), 0), "00")</f>
        <v>01</v>
      </c>
      <c r="H4611" s="1" t="str">
        <f t="shared" si="427"/>
        <v>000</v>
      </c>
      <c r="I4611" s="1" t="str">
        <f t="shared" si="428"/>
        <v>32501-000</v>
      </c>
      <c r="J4611" s="1" t="str">
        <f t="shared" si="429"/>
        <v>Electric guitar model #01</v>
      </c>
      <c r="K4611" s="1" t="str">
        <f>IF(SUM(COUNTIFS(I:I, I4611)) &gt; 1, "DUPLICATE", "UNIQUE")</f>
        <v>UNIQUE</v>
      </c>
      <c r="L4611" s="18">
        <v>94</v>
      </c>
      <c r="M4611" s="28">
        <v>4014</v>
      </c>
      <c r="N4611" s="6">
        <v>90</v>
      </c>
      <c r="O4611" s="30">
        <f t="shared" si="430"/>
        <v>377316</v>
      </c>
      <c r="P4611" s="30">
        <f t="shared" si="431"/>
        <v>361260</v>
      </c>
      <c r="Q4611" s="1">
        <f>COUNTIFS($P:$P, "&gt;" &amp; $P4611) + 1</f>
        <v>163</v>
      </c>
      <c r="R4611" s="63">
        <f>(COUNTIFS($P:$P, "&gt;" &amp; $P4611) + 1) / (COUNTA($I:$I) - 1)</f>
        <v>3.2599999999999997E-2</v>
      </c>
      <c r="S4611" s="23">
        <f>SUMIFS($P:$P, $Q:$Q, "&lt;" &amp; $Q4611)</f>
        <v>92783378</v>
      </c>
    </row>
    <row r="4612" spans="1:19" x14ac:dyDescent="0.25">
      <c r="A4612" s="1">
        <v>4607</v>
      </c>
      <c r="B4612" s="1" t="s">
        <v>4</v>
      </c>
      <c r="C4612" s="1" t="str">
        <f>IF($B4612 = "Production Item", _xlfn.XLOOKUP($A4612, 'Instrument Table'!$J:$J, 'Instrument Table'!$B:$B, $C4611), IF($B4612 = "Service Item", _xlfn.XLOOKUP($A4612, 'Instrument Table'!$I:$I, 'Instrument Table'!$B:$B, $C4611), _xlfn.XLOOKUP($A4612, 'Instrument Table'!$H:$H, 'Instrument Table'!$B:$B, $C4611)))</f>
        <v>Electric Guitar</v>
      </c>
      <c r="D4612" s="1" t="str">
        <f>VLOOKUP($C4612, 'Instrument Table'!$B:$C, 2, FALSE)</f>
        <v>Strings</v>
      </c>
      <c r="E4612" s="1">
        <f t="shared" si="426"/>
        <v>3</v>
      </c>
      <c r="F4612" s="1">
        <f>_xlfn.XLOOKUP($C4612, 'Instrument Table'!$B:$B, 'Instrument Table'!$A:$A, "")</f>
        <v>25</v>
      </c>
      <c r="G4612" s="1" t="str">
        <f>TEXT(IF($B4612 = "Retail Item", IF((ROW($A4612) - 4504 - _xlfn.XMATCH($C4612, $C$4506:$C$5005, 0, 1)) &lt;= VLOOKUP($C4612, 'Instrument Table'!$B:$D, 3, FALSE), ROW($A4612) - 4504 - _xlfn.XMATCH($C4612, $C$4506:$C$5005, 0, 1), 0), 0), "00")</f>
        <v>02</v>
      </c>
      <c r="H4612" s="1" t="str">
        <f t="shared" si="427"/>
        <v>000</v>
      </c>
      <c r="I4612" s="1" t="str">
        <f t="shared" si="428"/>
        <v>32502-000</v>
      </c>
      <c r="J4612" s="1" t="str">
        <f t="shared" si="429"/>
        <v>Electric guitar model #02</v>
      </c>
      <c r="K4612" s="1" t="str">
        <f>IF(SUM(COUNTIFS(I:I, I4612)) &gt; 1, "DUPLICATE", "UNIQUE")</f>
        <v>UNIQUE</v>
      </c>
      <c r="L4612" s="18">
        <v>23</v>
      </c>
      <c r="M4612" s="28">
        <v>4865</v>
      </c>
      <c r="N4612" s="6">
        <v>48</v>
      </c>
      <c r="O4612" s="30">
        <f t="shared" si="430"/>
        <v>111895</v>
      </c>
      <c r="P4612" s="30">
        <f t="shared" si="431"/>
        <v>233520</v>
      </c>
      <c r="Q4612" s="1">
        <f>COUNTIFS($P:$P, "&gt;" &amp; $P4612) + 1</f>
        <v>258</v>
      </c>
      <c r="R4612" s="63">
        <f>(COUNTIFS($P:$P, "&gt;" &amp; $P4612) + 1) / (COUNTA($I:$I) - 1)</f>
        <v>5.16E-2</v>
      </c>
      <c r="S4612" s="23">
        <f>SUMIFS($P:$P, $Q:$Q, "&lt;" &amp; $Q4612)</f>
        <v>120606931</v>
      </c>
    </row>
    <row r="4613" spans="1:19" x14ac:dyDescent="0.25">
      <c r="A4613" s="1">
        <v>4608</v>
      </c>
      <c r="B4613" s="1" t="s">
        <v>4</v>
      </c>
      <c r="C4613" s="1" t="str">
        <f>IF($B4613 = "Production Item", _xlfn.XLOOKUP($A4613, 'Instrument Table'!$J:$J, 'Instrument Table'!$B:$B, $C4612), IF($B4613 = "Service Item", _xlfn.XLOOKUP($A4613, 'Instrument Table'!$I:$I, 'Instrument Table'!$B:$B, $C4612), _xlfn.XLOOKUP($A4613, 'Instrument Table'!$H:$H, 'Instrument Table'!$B:$B, $C4612)))</f>
        <v>Electric Guitar</v>
      </c>
      <c r="D4613" s="1" t="str">
        <f>VLOOKUP($C4613, 'Instrument Table'!$B:$C, 2, FALSE)</f>
        <v>Strings</v>
      </c>
      <c r="E4613" s="1">
        <f t="shared" si="426"/>
        <v>3</v>
      </c>
      <c r="F4613" s="1">
        <f>_xlfn.XLOOKUP($C4613, 'Instrument Table'!$B:$B, 'Instrument Table'!$A:$A, "")</f>
        <v>25</v>
      </c>
      <c r="G4613" s="1" t="str">
        <f>TEXT(IF($B4613 = "Retail Item", IF((ROW($A4613) - 4504 - _xlfn.XMATCH($C4613, $C$4506:$C$5005, 0, 1)) &lt;= VLOOKUP($C4613, 'Instrument Table'!$B:$D, 3, FALSE), ROW($A4613) - 4504 - _xlfn.XMATCH($C4613, $C$4506:$C$5005, 0, 1), 0), 0), "00")</f>
        <v>03</v>
      </c>
      <c r="H4613" s="1" t="str">
        <f t="shared" si="427"/>
        <v>000</v>
      </c>
      <c r="I4613" s="1" t="str">
        <f t="shared" si="428"/>
        <v>32503-000</v>
      </c>
      <c r="J4613" s="1" t="str">
        <f t="shared" si="429"/>
        <v>Electric guitar model #03</v>
      </c>
      <c r="K4613" s="1" t="str">
        <f>IF(SUM(COUNTIFS(I:I, I4613)) &gt; 1, "DUPLICATE", "UNIQUE")</f>
        <v>UNIQUE</v>
      </c>
      <c r="L4613" s="18">
        <v>100</v>
      </c>
      <c r="M4613" s="28">
        <v>5128</v>
      </c>
      <c r="N4613" s="6">
        <v>76</v>
      </c>
      <c r="O4613" s="30">
        <f t="shared" si="430"/>
        <v>512800</v>
      </c>
      <c r="P4613" s="30">
        <f t="shared" si="431"/>
        <v>389728</v>
      </c>
      <c r="Q4613" s="1">
        <f>COUNTIFS($P:$P, "&gt;" &amp; $P4613) + 1</f>
        <v>143</v>
      </c>
      <c r="R4613" s="63">
        <f>(COUNTIFS($P:$P, "&gt;" &amp; $P4613) + 1) / (COUNTA($I:$I) - 1)</f>
        <v>2.86E-2</v>
      </c>
      <c r="S4613" s="23">
        <f>SUMIFS($P:$P, $Q:$Q, "&lt;" &amp; $Q4613)</f>
        <v>85249220</v>
      </c>
    </row>
    <row r="4614" spans="1:19" x14ac:dyDescent="0.25">
      <c r="A4614" s="1">
        <v>4609</v>
      </c>
      <c r="B4614" s="1" t="s">
        <v>4</v>
      </c>
      <c r="C4614" s="1" t="str">
        <f>IF($B4614 = "Production Item", _xlfn.XLOOKUP($A4614, 'Instrument Table'!$J:$J, 'Instrument Table'!$B:$B, $C4613), IF($B4614 = "Service Item", _xlfn.XLOOKUP($A4614, 'Instrument Table'!$I:$I, 'Instrument Table'!$B:$B, $C4613), _xlfn.XLOOKUP($A4614, 'Instrument Table'!$H:$H, 'Instrument Table'!$B:$B, $C4613)))</f>
        <v>Electric Guitar</v>
      </c>
      <c r="D4614" s="1" t="str">
        <f>VLOOKUP($C4614, 'Instrument Table'!$B:$C, 2, FALSE)</f>
        <v>Strings</v>
      </c>
      <c r="E4614" s="1">
        <f t="shared" si="426"/>
        <v>3</v>
      </c>
      <c r="F4614" s="1">
        <f>_xlfn.XLOOKUP($C4614, 'Instrument Table'!$B:$B, 'Instrument Table'!$A:$A, "")</f>
        <v>25</v>
      </c>
      <c r="G4614" s="1" t="str">
        <f>TEXT(IF($B4614 = "Retail Item", IF((ROW($A4614) - 4504 - _xlfn.XMATCH($C4614, $C$4506:$C$5005, 0, 1)) &lt;= VLOOKUP($C4614, 'Instrument Table'!$B:$D, 3, FALSE), ROW($A4614) - 4504 - _xlfn.XMATCH($C4614, $C$4506:$C$5005, 0, 1), 0), 0), "00")</f>
        <v>04</v>
      </c>
      <c r="H4614" s="1" t="str">
        <f t="shared" si="427"/>
        <v>000</v>
      </c>
      <c r="I4614" s="1" t="str">
        <f t="shared" si="428"/>
        <v>32504-000</v>
      </c>
      <c r="J4614" s="1" t="str">
        <f t="shared" si="429"/>
        <v>Electric guitar model #04</v>
      </c>
      <c r="K4614" s="1" t="str">
        <f>IF(SUM(COUNTIFS(I:I, I4614)) &gt; 1, "DUPLICATE", "UNIQUE")</f>
        <v>UNIQUE</v>
      </c>
      <c r="L4614" s="18">
        <v>71</v>
      </c>
      <c r="M4614" s="28">
        <v>8909</v>
      </c>
      <c r="N4614" s="6">
        <v>93</v>
      </c>
      <c r="O4614" s="30">
        <f t="shared" si="430"/>
        <v>632539</v>
      </c>
      <c r="P4614" s="30">
        <f t="shared" si="431"/>
        <v>828537</v>
      </c>
      <c r="Q4614" s="1">
        <f>COUNTIFS($P:$P, "&gt;" &amp; $P4614) + 1</f>
        <v>15</v>
      </c>
      <c r="R4614" s="63">
        <f>(COUNTIFS($P:$P, "&gt;" &amp; $P4614) + 1) / (COUNTA($I:$I) - 1)</f>
        <v>3.0000000000000001E-3</v>
      </c>
      <c r="S4614" s="23">
        <f>SUMIFS($P:$P, $Q:$Q, "&lt;" &amp; $Q4614)</f>
        <v>12484974</v>
      </c>
    </row>
    <row r="4615" spans="1:19" x14ac:dyDescent="0.25">
      <c r="A4615" s="1">
        <v>4610</v>
      </c>
      <c r="B4615" s="1" t="s">
        <v>4</v>
      </c>
      <c r="C4615" s="1" t="str">
        <f>IF($B4615 = "Production Item", _xlfn.XLOOKUP($A4615, 'Instrument Table'!$J:$J, 'Instrument Table'!$B:$B, $C4614), IF($B4615 = "Service Item", _xlfn.XLOOKUP($A4615, 'Instrument Table'!$I:$I, 'Instrument Table'!$B:$B, $C4614), _xlfn.XLOOKUP($A4615, 'Instrument Table'!$H:$H, 'Instrument Table'!$B:$B, $C4614)))</f>
        <v>Electric Guitar</v>
      </c>
      <c r="D4615" s="1" t="str">
        <f>VLOOKUP($C4615, 'Instrument Table'!$B:$C, 2, FALSE)</f>
        <v>Strings</v>
      </c>
      <c r="E4615" s="1">
        <f t="shared" ref="E4615:E4678" si="432">IF($B4615 = "Production Item", 1, IF($B4615 = "Service Item", 2, IF($B4615 = "Retail Item", 3, "")))</f>
        <v>3</v>
      </c>
      <c r="F4615" s="1">
        <f>_xlfn.XLOOKUP($C4615, 'Instrument Table'!$B:$B, 'Instrument Table'!$A:$A, "")</f>
        <v>25</v>
      </c>
      <c r="G4615" s="1" t="str">
        <f>TEXT(IF($B4615 = "Retail Item", IF((ROW($A4615) - 4504 - _xlfn.XMATCH($C4615, $C$4506:$C$5005, 0, 1)) &lt;= VLOOKUP($C4615, 'Instrument Table'!$B:$D, 3, FALSE), ROW($A4615) - 4504 - _xlfn.XMATCH($C4615, $C$4506:$C$5005, 0, 1), 0), 0), "00")</f>
        <v>05</v>
      </c>
      <c r="H4615" s="1" t="str">
        <f t="shared" ref="H4615:H4678" si="433">TEXT(IF($E4615 &amp; $F4615 &amp; $G4615 = $E4614 &amp; $F4614 &amp; $G4614, 1 + H4614, 0), "000")</f>
        <v>000</v>
      </c>
      <c r="I4615" s="1" t="str">
        <f t="shared" ref="I4615:I4678" si="434" xml:space="preserve"> _xlfn.CONCAT($E4615, $F4615, $G4615, "-", H4615)</f>
        <v>32505-000</v>
      </c>
      <c r="J4615" s="1" t="str">
        <f t="shared" ref="J4615:J4678" si="435">LEFT($C4615, 1) &amp; LOWER(RIGHT($C4615, LEN($C4615) - 1)) &amp; IF(AND($G4615 &lt;&gt; "00", $B4615 = "Retail Item"), " model #" &amp; $G4615, " " &amp; LOWER($B4615) &amp; " #" &amp; $H4615)</f>
        <v>Electric guitar model #05</v>
      </c>
      <c r="K4615" s="1" t="str">
        <f>IF(SUM(COUNTIFS(I:I, I4615)) &gt; 1, "DUPLICATE", "UNIQUE")</f>
        <v>UNIQUE</v>
      </c>
      <c r="L4615" s="18">
        <v>65</v>
      </c>
      <c r="M4615" s="28">
        <v>3443</v>
      </c>
      <c r="N4615" s="6">
        <v>92</v>
      </c>
      <c r="O4615" s="30">
        <f t="shared" ref="O4615:O4678" si="436">$L4615 * $M4615</f>
        <v>223795</v>
      </c>
      <c r="P4615" s="30">
        <f t="shared" ref="P4615:P4678" si="437">$N4615 * $M4615</f>
        <v>316756</v>
      </c>
      <c r="Q4615" s="1">
        <f>COUNTIFS($P:$P, "&gt;" &amp; $P4615) + 1</f>
        <v>191</v>
      </c>
      <c r="R4615" s="63">
        <f>(COUNTIFS($P:$P, "&gt;" &amp; $P4615) + 1) / (COUNTA($I:$I) - 1)</f>
        <v>3.8199999999999998E-2</v>
      </c>
      <c r="S4615" s="23">
        <f>SUMIFS($P:$P, $Q:$Q, "&lt;" &amp; $Q4615)</f>
        <v>102145627</v>
      </c>
    </row>
    <row r="4616" spans="1:19" x14ac:dyDescent="0.25">
      <c r="A4616" s="1">
        <v>4611</v>
      </c>
      <c r="B4616" s="1" t="s">
        <v>4</v>
      </c>
      <c r="C4616" s="1" t="str">
        <f>IF($B4616 = "Production Item", _xlfn.XLOOKUP($A4616, 'Instrument Table'!$J:$J, 'Instrument Table'!$B:$B, $C4615), IF($B4616 = "Service Item", _xlfn.XLOOKUP($A4616, 'Instrument Table'!$I:$I, 'Instrument Table'!$B:$B, $C4615), _xlfn.XLOOKUP($A4616, 'Instrument Table'!$H:$H, 'Instrument Table'!$B:$B, $C4615)))</f>
        <v>Electric Guitar</v>
      </c>
      <c r="D4616" s="1" t="str">
        <f>VLOOKUP($C4616, 'Instrument Table'!$B:$C, 2, FALSE)</f>
        <v>Strings</v>
      </c>
      <c r="E4616" s="1">
        <f t="shared" si="432"/>
        <v>3</v>
      </c>
      <c r="F4616" s="1">
        <f>_xlfn.XLOOKUP($C4616, 'Instrument Table'!$B:$B, 'Instrument Table'!$A:$A, "")</f>
        <v>25</v>
      </c>
      <c r="G4616" s="1" t="str">
        <f>TEXT(IF($B4616 = "Retail Item", IF((ROW($A4616) - 4504 - _xlfn.XMATCH($C4616, $C$4506:$C$5005, 0, 1)) &lt;= VLOOKUP($C4616, 'Instrument Table'!$B:$D, 3, FALSE), ROW($A4616) - 4504 - _xlfn.XMATCH($C4616, $C$4506:$C$5005, 0, 1), 0), 0), "00")</f>
        <v>06</v>
      </c>
      <c r="H4616" s="1" t="str">
        <f t="shared" si="433"/>
        <v>000</v>
      </c>
      <c r="I4616" s="1" t="str">
        <f t="shared" si="434"/>
        <v>32506-000</v>
      </c>
      <c r="J4616" s="1" t="str">
        <f t="shared" si="435"/>
        <v>Electric guitar model #06</v>
      </c>
      <c r="K4616" s="1" t="str">
        <f>IF(SUM(COUNTIFS(I:I, I4616)) &gt; 1, "DUPLICATE", "UNIQUE")</f>
        <v>UNIQUE</v>
      </c>
      <c r="L4616" s="18">
        <v>10</v>
      </c>
      <c r="M4616" s="28">
        <v>7623</v>
      </c>
      <c r="N4616" s="6">
        <v>43</v>
      </c>
      <c r="O4616" s="30">
        <f t="shared" si="436"/>
        <v>76230</v>
      </c>
      <c r="P4616" s="30">
        <f t="shared" si="437"/>
        <v>327789</v>
      </c>
      <c r="Q4616" s="1">
        <f>COUNTIFS($P:$P, "&gt;" &amp; $P4616) + 1</f>
        <v>180</v>
      </c>
      <c r="R4616" s="63">
        <f>(COUNTIFS($P:$P, "&gt;" &amp; $P4616) + 1) / (COUNTA($I:$I) - 1)</f>
        <v>3.5999999999999997E-2</v>
      </c>
      <c r="S4616" s="23">
        <f>SUMIFS($P:$P, $Q:$Q, "&lt;" &amp; $Q4616)</f>
        <v>98601577</v>
      </c>
    </row>
    <row r="4617" spans="1:19" x14ac:dyDescent="0.25">
      <c r="A4617" s="1">
        <v>4612</v>
      </c>
      <c r="B4617" s="1" t="s">
        <v>4</v>
      </c>
      <c r="C4617" s="1" t="str">
        <f>IF($B4617 = "Production Item", _xlfn.XLOOKUP($A4617, 'Instrument Table'!$J:$J, 'Instrument Table'!$B:$B, $C4616), IF($B4617 = "Service Item", _xlfn.XLOOKUP($A4617, 'Instrument Table'!$I:$I, 'Instrument Table'!$B:$B, $C4616), _xlfn.XLOOKUP($A4617, 'Instrument Table'!$H:$H, 'Instrument Table'!$B:$B, $C4616)))</f>
        <v>Electric Guitar</v>
      </c>
      <c r="D4617" s="1" t="str">
        <f>VLOOKUP($C4617, 'Instrument Table'!$B:$C, 2, FALSE)</f>
        <v>Strings</v>
      </c>
      <c r="E4617" s="1">
        <f t="shared" si="432"/>
        <v>3</v>
      </c>
      <c r="F4617" s="1">
        <f>_xlfn.XLOOKUP($C4617, 'Instrument Table'!$B:$B, 'Instrument Table'!$A:$A, "")</f>
        <v>25</v>
      </c>
      <c r="G4617" s="1" t="str">
        <f>TEXT(IF($B4617 = "Retail Item", IF((ROW($A4617) - 4504 - _xlfn.XMATCH($C4617, $C$4506:$C$5005, 0, 1)) &lt;= VLOOKUP($C4617, 'Instrument Table'!$B:$D, 3, FALSE), ROW($A4617) - 4504 - _xlfn.XMATCH($C4617, $C$4506:$C$5005, 0, 1), 0), 0), "00")</f>
        <v>07</v>
      </c>
      <c r="H4617" s="1" t="str">
        <f t="shared" si="433"/>
        <v>000</v>
      </c>
      <c r="I4617" s="1" t="str">
        <f t="shared" si="434"/>
        <v>32507-000</v>
      </c>
      <c r="J4617" s="1" t="str">
        <f t="shared" si="435"/>
        <v>Electric guitar model #07</v>
      </c>
      <c r="K4617" s="1" t="str">
        <f>IF(SUM(COUNTIFS(I:I, I4617)) &gt; 1, "DUPLICATE", "UNIQUE")</f>
        <v>UNIQUE</v>
      </c>
      <c r="L4617" s="18">
        <v>92</v>
      </c>
      <c r="M4617" s="28">
        <v>7943</v>
      </c>
      <c r="N4617" s="6">
        <v>40</v>
      </c>
      <c r="O4617" s="30">
        <f t="shared" si="436"/>
        <v>730756</v>
      </c>
      <c r="P4617" s="30">
        <f t="shared" si="437"/>
        <v>317720</v>
      </c>
      <c r="Q4617" s="1">
        <f>COUNTIFS($P:$P, "&gt;" &amp; $P4617) + 1</f>
        <v>189</v>
      </c>
      <c r="R4617" s="63">
        <f>(COUNTIFS($P:$P, "&gt;" &amp; $P4617) + 1) / (COUNTA($I:$I) - 1)</f>
        <v>3.78E-2</v>
      </c>
      <c r="S4617" s="23">
        <f>SUMIFS($P:$P, $Q:$Q, "&lt;" &amp; $Q4617)</f>
        <v>101510265</v>
      </c>
    </row>
    <row r="4618" spans="1:19" x14ac:dyDescent="0.25">
      <c r="A4618" s="1">
        <v>4613</v>
      </c>
      <c r="B4618" s="1" t="s">
        <v>4</v>
      </c>
      <c r="C4618" s="1" t="str">
        <f>IF($B4618 = "Production Item", _xlfn.XLOOKUP($A4618, 'Instrument Table'!$J:$J, 'Instrument Table'!$B:$B, $C4617), IF($B4618 = "Service Item", _xlfn.XLOOKUP($A4618, 'Instrument Table'!$I:$I, 'Instrument Table'!$B:$B, $C4617), _xlfn.XLOOKUP($A4618, 'Instrument Table'!$H:$H, 'Instrument Table'!$B:$B, $C4617)))</f>
        <v>Electric Guitar</v>
      </c>
      <c r="D4618" s="1" t="str">
        <f>VLOOKUP($C4618, 'Instrument Table'!$B:$C, 2, FALSE)</f>
        <v>Strings</v>
      </c>
      <c r="E4618" s="1">
        <f t="shared" si="432"/>
        <v>3</v>
      </c>
      <c r="F4618" s="1">
        <f>_xlfn.XLOOKUP($C4618, 'Instrument Table'!$B:$B, 'Instrument Table'!$A:$A, "")</f>
        <v>25</v>
      </c>
      <c r="G4618" s="1" t="str">
        <f>TEXT(IF($B4618 = "Retail Item", IF((ROW($A4618) - 4504 - _xlfn.XMATCH($C4618, $C$4506:$C$5005, 0, 1)) &lt;= VLOOKUP($C4618, 'Instrument Table'!$B:$D, 3, FALSE), ROW($A4618) - 4504 - _xlfn.XMATCH($C4618, $C$4506:$C$5005, 0, 1), 0), 0), "00")</f>
        <v>08</v>
      </c>
      <c r="H4618" s="1" t="str">
        <f t="shared" si="433"/>
        <v>000</v>
      </c>
      <c r="I4618" s="1" t="str">
        <f t="shared" si="434"/>
        <v>32508-000</v>
      </c>
      <c r="J4618" s="1" t="str">
        <f t="shared" si="435"/>
        <v>Electric guitar model #08</v>
      </c>
      <c r="K4618" s="1" t="str">
        <f>IF(SUM(COUNTIFS(I:I, I4618)) &gt; 1, "DUPLICATE", "UNIQUE")</f>
        <v>UNIQUE</v>
      </c>
      <c r="L4618" s="18">
        <v>91</v>
      </c>
      <c r="M4618" s="28">
        <v>3428</v>
      </c>
      <c r="N4618" s="6">
        <v>88</v>
      </c>
      <c r="O4618" s="30">
        <f t="shared" si="436"/>
        <v>311948</v>
      </c>
      <c r="P4618" s="30">
        <f t="shared" si="437"/>
        <v>301664</v>
      </c>
      <c r="Q4618" s="1">
        <f>COUNTIFS($P:$P, "&gt;" &amp; $P4618) + 1</f>
        <v>201</v>
      </c>
      <c r="R4618" s="63">
        <f>(COUNTIFS($P:$P, "&gt;" &amp; $P4618) + 1) / (COUNTA($I:$I) - 1)</f>
        <v>4.02E-2</v>
      </c>
      <c r="S4618" s="23">
        <f>SUMIFS($P:$P, $Q:$Q, "&lt;" &amp; $Q4618)</f>
        <v>105235324</v>
      </c>
    </row>
    <row r="4619" spans="1:19" x14ac:dyDescent="0.25">
      <c r="A4619" s="1">
        <v>4614</v>
      </c>
      <c r="B4619" s="1" t="s">
        <v>4</v>
      </c>
      <c r="C4619" s="1" t="str">
        <f>IF($B4619 = "Production Item", _xlfn.XLOOKUP($A4619, 'Instrument Table'!$J:$J, 'Instrument Table'!$B:$B, $C4618), IF($B4619 = "Service Item", _xlfn.XLOOKUP($A4619, 'Instrument Table'!$I:$I, 'Instrument Table'!$B:$B, $C4618), _xlfn.XLOOKUP($A4619, 'Instrument Table'!$H:$H, 'Instrument Table'!$B:$B, $C4618)))</f>
        <v>Electric Guitar</v>
      </c>
      <c r="D4619" s="1" t="str">
        <f>VLOOKUP($C4619, 'Instrument Table'!$B:$C, 2, FALSE)</f>
        <v>Strings</v>
      </c>
      <c r="E4619" s="1">
        <f t="shared" si="432"/>
        <v>3</v>
      </c>
      <c r="F4619" s="1">
        <f>_xlfn.XLOOKUP($C4619, 'Instrument Table'!$B:$B, 'Instrument Table'!$A:$A, "")</f>
        <v>25</v>
      </c>
      <c r="G4619" s="1" t="str">
        <f>TEXT(IF($B4619 = "Retail Item", IF((ROW($A4619) - 4504 - _xlfn.XMATCH($C4619, $C$4506:$C$5005, 0, 1)) &lt;= VLOOKUP($C4619, 'Instrument Table'!$B:$D, 3, FALSE), ROW($A4619) - 4504 - _xlfn.XMATCH($C4619, $C$4506:$C$5005, 0, 1), 0), 0), "00")</f>
        <v>09</v>
      </c>
      <c r="H4619" s="1" t="str">
        <f t="shared" si="433"/>
        <v>000</v>
      </c>
      <c r="I4619" s="1" t="str">
        <f t="shared" si="434"/>
        <v>32509-000</v>
      </c>
      <c r="J4619" s="1" t="str">
        <f t="shared" si="435"/>
        <v>Electric guitar model #09</v>
      </c>
      <c r="K4619" s="1" t="str">
        <f>IF(SUM(COUNTIFS(I:I, I4619)) &gt; 1, "DUPLICATE", "UNIQUE")</f>
        <v>UNIQUE</v>
      </c>
      <c r="L4619" s="18">
        <v>84</v>
      </c>
      <c r="M4619" s="28">
        <v>9559</v>
      </c>
      <c r="N4619" s="6">
        <v>59</v>
      </c>
      <c r="O4619" s="30">
        <f t="shared" si="436"/>
        <v>802956</v>
      </c>
      <c r="P4619" s="30">
        <f t="shared" si="437"/>
        <v>563981</v>
      </c>
      <c r="Q4619" s="1">
        <f>COUNTIFS($P:$P, "&gt;" &amp; $P4619) + 1</f>
        <v>75</v>
      </c>
      <c r="R4619" s="63">
        <f>(COUNTIFS($P:$P, "&gt;" &amp; $P4619) + 1) / (COUNTA($I:$I) - 1)</f>
        <v>1.4999999999999999E-2</v>
      </c>
      <c r="S4619" s="23">
        <f>SUMIFS($P:$P, $Q:$Q, "&lt;" &amp; $Q4619)</f>
        <v>52998228</v>
      </c>
    </row>
    <row r="4620" spans="1:19" x14ac:dyDescent="0.25">
      <c r="A4620" s="1">
        <v>4615</v>
      </c>
      <c r="B4620" s="1" t="s">
        <v>4</v>
      </c>
      <c r="C4620" s="1" t="str">
        <f>IF($B4620 = "Production Item", _xlfn.XLOOKUP($A4620, 'Instrument Table'!$J:$J, 'Instrument Table'!$B:$B, $C4619), IF($B4620 = "Service Item", _xlfn.XLOOKUP($A4620, 'Instrument Table'!$I:$I, 'Instrument Table'!$B:$B, $C4619), _xlfn.XLOOKUP($A4620, 'Instrument Table'!$H:$H, 'Instrument Table'!$B:$B, $C4619)))</f>
        <v>Electric Guitar</v>
      </c>
      <c r="D4620" s="1" t="str">
        <f>VLOOKUP($C4620, 'Instrument Table'!$B:$C, 2, FALSE)</f>
        <v>Strings</v>
      </c>
      <c r="E4620" s="1">
        <f t="shared" si="432"/>
        <v>3</v>
      </c>
      <c r="F4620" s="1">
        <f>_xlfn.XLOOKUP($C4620, 'Instrument Table'!$B:$B, 'Instrument Table'!$A:$A, "")</f>
        <v>25</v>
      </c>
      <c r="G4620" s="1" t="str">
        <f>TEXT(IF($B4620 = "Retail Item", IF((ROW($A4620) - 4504 - _xlfn.XMATCH($C4620, $C$4506:$C$5005, 0, 1)) &lt;= VLOOKUP($C4620, 'Instrument Table'!$B:$D, 3, FALSE), ROW($A4620) - 4504 - _xlfn.XMATCH($C4620, $C$4506:$C$5005, 0, 1), 0), 0), "00")</f>
        <v>10</v>
      </c>
      <c r="H4620" s="1" t="str">
        <f t="shared" si="433"/>
        <v>000</v>
      </c>
      <c r="I4620" s="1" t="str">
        <f t="shared" si="434"/>
        <v>32510-000</v>
      </c>
      <c r="J4620" s="1" t="str">
        <f t="shared" si="435"/>
        <v>Electric guitar model #10</v>
      </c>
      <c r="K4620" s="1" t="str">
        <f>IF(SUM(COUNTIFS(I:I, I4620)) &gt; 1, "DUPLICATE", "UNIQUE")</f>
        <v>UNIQUE</v>
      </c>
      <c r="L4620" s="18">
        <v>56</v>
      </c>
      <c r="M4620" s="28">
        <v>4131</v>
      </c>
      <c r="N4620" s="6">
        <v>70</v>
      </c>
      <c r="O4620" s="30">
        <f t="shared" si="436"/>
        <v>231336</v>
      </c>
      <c r="P4620" s="30">
        <f t="shared" si="437"/>
        <v>289170</v>
      </c>
      <c r="Q4620" s="1">
        <f>COUNTIFS($P:$P, "&gt;" &amp; $P4620) + 1</f>
        <v>216</v>
      </c>
      <c r="R4620" s="63">
        <f>(COUNTIFS($P:$P, "&gt;" &amp; $P4620) + 1) / (COUNTA($I:$I) - 1)</f>
        <v>4.3200000000000002E-2</v>
      </c>
      <c r="S4620" s="23">
        <f>SUMIFS($P:$P, $Q:$Q, "&lt;" &amp; $Q4620)</f>
        <v>109672426</v>
      </c>
    </row>
    <row r="4621" spans="1:19" x14ac:dyDescent="0.25">
      <c r="A4621" s="1">
        <v>4616</v>
      </c>
      <c r="B4621" s="1" t="s">
        <v>4</v>
      </c>
      <c r="C4621" s="1" t="str">
        <f>IF($B4621 = "Production Item", _xlfn.XLOOKUP($A4621, 'Instrument Table'!$J:$J, 'Instrument Table'!$B:$B, $C4620), IF($B4621 = "Service Item", _xlfn.XLOOKUP($A4621, 'Instrument Table'!$I:$I, 'Instrument Table'!$B:$B, $C4620), _xlfn.XLOOKUP($A4621, 'Instrument Table'!$H:$H, 'Instrument Table'!$B:$B, $C4620)))</f>
        <v>Electric Guitar</v>
      </c>
      <c r="D4621" s="1" t="str">
        <f>VLOOKUP($C4621, 'Instrument Table'!$B:$C, 2, FALSE)</f>
        <v>Strings</v>
      </c>
      <c r="E4621" s="1">
        <f t="shared" si="432"/>
        <v>3</v>
      </c>
      <c r="F4621" s="1">
        <f>_xlfn.XLOOKUP($C4621, 'Instrument Table'!$B:$B, 'Instrument Table'!$A:$A, "")</f>
        <v>25</v>
      </c>
      <c r="G4621" s="1" t="str">
        <f>TEXT(IF($B4621 = "Retail Item", IF((ROW($A4621) - 4504 - _xlfn.XMATCH($C4621, $C$4506:$C$5005, 0, 1)) &lt;= VLOOKUP($C4621, 'Instrument Table'!$B:$D, 3, FALSE), ROW($A4621) - 4504 - _xlfn.XMATCH($C4621, $C$4506:$C$5005, 0, 1), 0), 0), "00")</f>
        <v>11</v>
      </c>
      <c r="H4621" s="1" t="str">
        <f t="shared" si="433"/>
        <v>000</v>
      </c>
      <c r="I4621" s="1" t="str">
        <f t="shared" si="434"/>
        <v>32511-000</v>
      </c>
      <c r="J4621" s="1" t="str">
        <f t="shared" si="435"/>
        <v>Electric guitar model #11</v>
      </c>
      <c r="K4621" s="1" t="str">
        <f>IF(SUM(COUNTIFS(I:I, I4621)) &gt; 1, "DUPLICATE", "UNIQUE")</f>
        <v>UNIQUE</v>
      </c>
      <c r="L4621" s="18">
        <v>95</v>
      </c>
      <c r="M4621" s="28">
        <v>7138</v>
      </c>
      <c r="N4621" s="6">
        <v>39</v>
      </c>
      <c r="O4621" s="30">
        <f t="shared" si="436"/>
        <v>678110</v>
      </c>
      <c r="P4621" s="30">
        <f t="shared" si="437"/>
        <v>278382</v>
      </c>
      <c r="Q4621" s="1">
        <f>COUNTIFS($P:$P, "&gt;" &amp; $P4621) + 1</f>
        <v>219</v>
      </c>
      <c r="R4621" s="63">
        <f>(COUNTIFS($P:$P, "&gt;" &amp; $P4621) + 1) / (COUNTA($I:$I) - 1)</f>
        <v>4.3799999999999999E-2</v>
      </c>
      <c r="S4621" s="23">
        <f>SUMIFS($P:$P, $Q:$Q, "&lt;" &amp; $Q4621)</f>
        <v>110532295</v>
      </c>
    </row>
    <row r="4622" spans="1:19" x14ac:dyDescent="0.25">
      <c r="A4622" s="1">
        <v>4617</v>
      </c>
      <c r="B4622" s="1" t="s">
        <v>4</v>
      </c>
      <c r="C4622" s="1" t="str">
        <f>IF($B4622 = "Production Item", _xlfn.XLOOKUP($A4622, 'Instrument Table'!$J:$J, 'Instrument Table'!$B:$B, $C4621), IF($B4622 = "Service Item", _xlfn.XLOOKUP($A4622, 'Instrument Table'!$I:$I, 'Instrument Table'!$B:$B, $C4621), _xlfn.XLOOKUP($A4622, 'Instrument Table'!$H:$H, 'Instrument Table'!$B:$B, $C4621)))</f>
        <v>Electric Guitar</v>
      </c>
      <c r="D4622" s="1" t="str">
        <f>VLOOKUP($C4622, 'Instrument Table'!$B:$C, 2, FALSE)</f>
        <v>Strings</v>
      </c>
      <c r="E4622" s="1">
        <f t="shared" si="432"/>
        <v>3</v>
      </c>
      <c r="F4622" s="1">
        <f>_xlfn.XLOOKUP($C4622, 'Instrument Table'!$B:$B, 'Instrument Table'!$A:$A, "")</f>
        <v>25</v>
      </c>
      <c r="G4622" s="1" t="str">
        <f>TEXT(IF($B4622 = "Retail Item", IF((ROW($A4622) - 4504 - _xlfn.XMATCH($C4622, $C$4506:$C$5005, 0, 1)) &lt;= VLOOKUP($C4622, 'Instrument Table'!$B:$D, 3, FALSE), ROW($A4622) - 4504 - _xlfn.XMATCH($C4622, $C$4506:$C$5005, 0, 1), 0), 0), "00")</f>
        <v>12</v>
      </c>
      <c r="H4622" s="1" t="str">
        <f t="shared" si="433"/>
        <v>000</v>
      </c>
      <c r="I4622" s="1" t="str">
        <f t="shared" si="434"/>
        <v>32512-000</v>
      </c>
      <c r="J4622" s="1" t="str">
        <f t="shared" si="435"/>
        <v>Electric guitar model #12</v>
      </c>
      <c r="K4622" s="1" t="str">
        <f>IF(SUM(COUNTIFS(I:I, I4622)) &gt; 1, "DUPLICATE", "UNIQUE")</f>
        <v>UNIQUE</v>
      </c>
      <c r="L4622" s="18">
        <v>95</v>
      </c>
      <c r="M4622" s="28">
        <v>1081</v>
      </c>
      <c r="N4622" s="6">
        <v>95</v>
      </c>
      <c r="O4622" s="30">
        <f t="shared" si="436"/>
        <v>102695</v>
      </c>
      <c r="P4622" s="30">
        <f t="shared" si="437"/>
        <v>102695</v>
      </c>
      <c r="Q4622" s="1">
        <f>COUNTIFS($P:$P, "&gt;" &amp; $P4622) + 1</f>
        <v>402</v>
      </c>
      <c r="R4622" s="63">
        <f>(COUNTIFS($P:$P, "&gt;" &amp; $P4622) + 1) / (COUNTA($I:$I) - 1)</f>
        <v>8.0399999999999999E-2</v>
      </c>
      <c r="S4622" s="23">
        <f>SUMIFS($P:$P, $Q:$Q, "&lt;" &amp; $Q4622)</f>
        <v>143649462</v>
      </c>
    </row>
    <row r="4623" spans="1:19" x14ac:dyDescent="0.25">
      <c r="A4623" s="1">
        <v>4618</v>
      </c>
      <c r="B4623" s="1" t="s">
        <v>4</v>
      </c>
      <c r="C4623" s="1" t="str">
        <f>IF($B4623 = "Production Item", _xlfn.XLOOKUP($A4623, 'Instrument Table'!$J:$J, 'Instrument Table'!$B:$B, $C4622), IF($B4623 = "Service Item", _xlfn.XLOOKUP($A4623, 'Instrument Table'!$I:$I, 'Instrument Table'!$B:$B, $C4622), _xlfn.XLOOKUP($A4623, 'Instrument Table'!$H:$H, 'Instrument Table'!$B:$B, $C4622)))</f>
        <v>Electric Guitar</v>
      </c>
      <c r="D4623" s="1" t="str">
        <f>VLOOKUP($C4623, 'Instrument Table'!$B:$C, 2, FALSE)</f>
        <v>Strings</v>
      </c>
      <c r="E4623" s="1">
        <f t="shared" si="432"/>
        <v>3</v>
      </c>
      <c r="F4623" s="1">
        <f>_xlfn.XLOOKUP($C4623, 'Instrument Table'!$B:$B, 'Instrument Table'!$A:$A, "")</f>
        <v>25</v>
      </c>
      <c r="G4623" s="1" t="str">
        <f>TEXT(IF($B4623 = "Retail Item", IF((ROW($A4623) - 4504 - _xlfn.XMATCH($C4623, $C$4506:$C$5005, 0, 1)) &lt;= VLOOKUP($C4623, 'Instrument Table'!$B:$D, 3, FALSE), ROW($A4623) - 4504 - _xlfn.XMATCH($C4623, $C$4506:$C$5005, 0, 1), 0), 0), "00")</f>
        <v>13</v>
      </c>
      <c r="H4623" s="1" t="str">
        <f t="shared" si="433"/>
        <v>000</v>
      </c>
      <c r="I4623" s="1" t="str">
        <f t="shared" si="434"/>
        <v>32513-000</v>
      </c>
      <c r="J4623" s="1" t="str">
        <f t="shared" si="435"/>
        <v>Electric guitar model #13</v>
      </c>
      <c r="K4623" s="1" t="str">
        <f>IF(SUM(COUNTIFS(I:I, I4623)) &gt; 1, "DUPLICATE", "UNIQUE")</f>
        <v>UNIQUE</v>
      </c>
      <c r="L4623" s="18">
        <v>57</v>
      </c>
      <c r="M4623" s="28">
        <v>6726</v>
      </c>
      <c r="N4623" s="6">
        <v>10</v>
      </c>
      <c r="O4623" s="30">
        <f t="shared" si="436"/>
        <v>383382</v>
      </c>
      <c r="P4623" s="30">
        <f t="shared" si="437"/>
        <v>67260</v>
      </c>
      <c r="Q4623" s="1">
        <f>COUNTIFS($P:$P, "&gt;" &amp; $P4623) + 1</f>
        <v>477</v>
      </c>
      <c r="R4623" s="63">
        <f>(COUNTIFS($P:$P, "&gt;" &amp; $P4623) + 1) / (COUNTA($I:$I) - 1)</f>
        <v>9.5399999999999999E-2</v>
      </c>
      <c r="S4623" s="23">
        <f>SUMIFS($P:$P, $Q:$Q, "&lt;" &amp; $Q4623)</f>
        <v>149987201</v>
      </c>
    </row>
    <row r="4624" spans="1:19" x14ac:dyDescent="0.25">
      <c r="A4624" s="1">
        <v>4619</v>
      </c>
      <c r="B4624" s="1" t="s">
        <v>4</v>
      </c>
      <c r="C4624" s="1" t="str">
        <f>IF($B4624 = "Production Item", _xlfn.XLOOKUP($A4624, 'Instrument Table'!$J:$J, 'Instrument Table'!$B:$B, $C4623), IF($B4624 = "Service Item", _xlfn.XLOOKUP($A4624, 'Instrument Table'!$I:$I, 'Instrument Table'!$B:$B, $C4623), _xlfn.XLOOKUP($A4624, 'Instrument Table'!$H:$H, 'Instrument Table'!$B:$B, $C4623)))</f>
        <v>Electric Guitar</v>
      </c>
      <c r="D4624" s="1" t="str">
        <f>VLOOKUP($C4624, 'Instrument Table'!$B:$C, 2, FALSE)</f>
        <v>Strings</v>
      </c>
      <c r="E4624" s="1">
        <f t="shared" si="432"/>
        <v>3</v>
      </c>
      <c r="F4624" s="1">
        <f>_xlfn.XLOOKUP($C4624, 'Instrument Table'!$B:$B, 'Instrument Table'!$A:$A, "")</f>
        <v>25</v>
      </c>
      <c r="G4624" s="1" t="str">
        <f>TEXT(IF($B4624 = "Retail Item", IF((ROW($A4624) - 4504 - _xlfn.XMATCH($C4624, $C$4506:$C$5005, 0, 1)) &lt;= VLOOKUP($C4624, 'Instrument Table'!$B:$D, 3, FALSE), ROW($A4624) - 4504 - _xlfn.XMATCH($C4624, $C$4506:$C$5005, 0, 1), 0), 0), "00")</f>
        <v>14</v>
      </c>
      <c r="H4624" s="1" t="str">
        <f t="shared" si="433"/>
        <v>000</v>
      </c>
      <c r="I4624" s="1" t="str">
        <f t="shared" si="434"/>
        <v>32514-000</v>
      </c>
      <c r="J4624" s="1" t="str">
        <f t="shared" si="435"/>
        <v>Electric guitar model #14</v>
      </c>
      <c r="K4624" s="1" t="str">
        <f>IF(SUM(COUNTIFS(I:I, I4624)) &gt; 1, "DUPLICATE", "UNIQUE")</f>
        <v>UNIQUE</v>
      </c>
      <c r="L4624" s="18">
        <v>86</v>
      </c>
      <c r="M4624" s="28">
        <v>6406</v>
      </c>
      <c r="N4624" s="6">
        <v>95</v>
      </c>
      <c r="O4624" s="30">
        <f t="shared" si="436"/>
        <v>550916</v>
      </c>
      <c r="P4624" s="30">
        <f t="shared" si="437"/>
        <v>608570</v>
      </c>
      <c r="Q4624" s="1">
        <f>COUNTIFS($P:$P, "&gt;" &amp; $P4624) + 1</f>
        <v>63</v>
      </c>
      <c r="R4624" s="63">
        <f>(COUNTIFS($P:$P, "&gt;" &amp; $P4624) + 1) / (COUNTA($I:$I) - 1)</f>
        <v>1.26E-2</v>
      </c>
      <c r="S4624" s="23">
        <f>SUMIFS($P:$P, $Q:$Q, "&lt;" &amp; $Q4624)</f>
        <v>46029090</v>
      </c>
    </row>
    <row r="4625" spans="1:19" x14ac:dyDescent="0.25">
      <c r="A4625" s="1">
        <v>4620</v>
      </c>
      <c r="B4625" s="1" t="s">
        <v>4</v>
      </c>
      <c r="C4625" s="1" t="str">
        <f>IF($B4625 = "Production Item", _xlfn.XLOOKUP($A4625, 'Instrument Table'!$J:$J, 'Instrument Table'!$B:$B, $C4624), IF($B4625 = "Service Item", _xlfn.XLOOKUP($A4625, 'Instrument Table'!$I:$I, 'Instrument Table'!$B:$B, $C4624), _xlfn.XLOOKUP($A4625, 'Instrument Table'!$H:$H, 'Instrument Table'!$B:$B, $C4624)))</f>
        <v>Electric Guitar</v>
      </c>
      <c r="D4625" s="1" t="str">
        <f>VLOOKUP($C4625, 'Instrument Table'!$B:$C, 2, FALSE)</f>
        <v>Strings</v>
      </c>
      <c r="E4625" s="1">
        <f t="shared" si="432"/>
        <v>3</v>
      </c>
      <c r="F4625" s="1">
        <f>_xlfn.XLOOKUP($C4625, 'Instrument Table'!$B:$B, 'Instrument Table'!$A:$A, "")</f>
        <v>25</v>
      </c>
      <c r="G4625" s="1" t="str">
        <f>TEXT(IF($B4625 = "Retail Item", IF((ROW($A4625) - 4504 - _xlfn.XMATCH($C4625, $C$4506:$C$5005, 0, 1)) &lt;= VLOOKUP($C4625, 'Instrument Table'!$B:$D, 3, FALSE), ROW($A4625) - 4504 - _xlfn.XMATCH($C4625, $C$4506:$C$5005, 0, 1), 0), 0), "00")</f>
        <v>15</v>
      </c>
      <c r="H4625" s="1" t="str">
        <f t="shared" si="433"/>
        <v>000</v>
      </c>
      <c r="I4625" s="1" t="str">
        <f t="shared" si="434"/>
        <v>32515-000</v>
      </c>
      <c r="J4625" s="1" t="str">
        <f t="shared" si="435"/>
        <v>Electric guitar model #15</v>
      </c>
      <c r="K4625" s="1" t="str">
        <f>IF(SUM(COUNTIFS(I:I, I4625)) &gt; 1, "DUPLICATE", "UNIQUE")</f>
        <v>UNIQUE</v>
      </c>
      <c r="L4625" s="18">
        <v>91</v>
      </c>
      <c r="M4625" s="28">
        <v>6370</v>
      </c>
      <c r="N4625" s="6">
        <v>35</v>
      </c>
      <c r="O4625" s="30">
        <f t="shared" si="436"/>
        <v>579670</v>
      </c>
      <c r="P4625" s="30">
        <f t="shared" si="437"/>
        <v>222950</v>
      </c>
      <c r="Q4625" s="1">
        <f>COUNTIFS($P:$P, "&gt;" &amp; $P4625) + 1</f>
        <v>273</v>
      </c>
      <c r="R4625" s="63">
        <f>(COUNTIFS($P:$P, "&gt;" &amp; $P4625) + 1) / (COUNTA($I:$I) - 1)</f>
        <v>5.4600000000000003E-2</v>
      </c>
      <c r="S4625" s="23">
        <f>SUMIFS($P:$P, $Q:$Q, "&lt;" &amp; $Q4625)</f>
        <v>124034969</v>
      </c>
    </row>
    <row r="4626" spans="1:19" x14ac:dyDescent="0.25">
      <c r="A4626" s="1">
        <v>4621</v>
      </c>
      <c r="B4626" s="1" t="s">
        <v>4</v>
      </c>
      <c r="C4626" s="1" t="str">
        <f>IF($B4626 = "Production Item", _xlfn.XLOOKUP($A4626, 'Instrument Table'!$J:$J, 'Instrument Table'!$B:$B, $C4625), IF($B4626 = "Service Item", _xlfn.XLOOKUP($A4626, 'Instrument Table'!$I:$I, 'Instrument Table'!$B:$B, $C4625), _xlfn.XLOOKUP($A4626, 'Instrument Table'!$H:$H, 'Instrument Table'!$B:$B, $C4625)))</f>
        <v>Electric Guitar</v>
      </c>
      <c r="D4626" s="1" t="str">
        <f>VLOOKUP($C4626, 'Instrument Table'!$B:$C, 2, FALSE)</f>
        <v>Strings</v>
      </c>
      <c r="E4626" s="1">
        <f t="shared" si="432"/>
        <v>3</v>
      </c>
      <c r="F4626" s="1">
        <f>_xlfn.XLOOKUP($C4626, 'Instrument Table'!$B:$B, 'Instrument Table'!$A:$A, "")</f>
        <v>25</v>
      </c>
      <c r="G4626" s="1" t="str">
        <f>TEXT(IF($B4626 = "Retail Item", IF((ROW($A4626) - 4504 - _xlfn.XMATCH($C4626, $C$4506:$C$5005, 0, 1)) &lt;= VLOOKUP($C4626, 'Instrument Table'!$B:$D, 3, FALSE), ROW($A4626) - 4504 - _xlfn.XMATCH($C4626, $C$4506:$C$5005, 0, 1), 0), 0), "00")</f>
        <v>16</v>
      </c>
      <c r="H4626" s="1" t="str">
        <f t="shared" si="433"/>
        <v>000</v>
      </c>
      <c r="I4626" s="1" t="str">
        <f t="shared" si="434"/>
        <v>32516-000</v>
      </c>
      <c r="J4626" s="1" t="str">
        <f t="shared" si="435"/>
        <v>Electric guitar model #16</v>
      </c>
      <c r="K4626" s="1" t="str">
        <f>IF(SUM(COUNTIFS(I:I, I4626)) &gt; 1, "DUPLICATE", "UNIQUE")</f>
        <v>UNIQUE</v>
      </c>
      <c r="L4626" s="18">
        <v>45</v>
      </c>
      <c r="M4626" s="28">
        <v>6704</v>
      </c>
      <c r="N4626" s="6">
        <v>56</v>
      </c>
      <c r="O4626" s="30">
        <f t="shared" si="436"/>
        <v>301680</v>
      </c>
      <c r="P4626" s="30">
        <f t="shared" si="437"/>
        <v>375424</v>
      </c>
      <c r="Q4626" s="1">
        <f>COUNTIFS($P:$P, "&gt;" &amp; $P4626) + 1</f>
        <v>154</v>
      </c>
      <c r="R4626" s="63">
        <f>(COUNTIFS($P:$P, "&gt;" &amp; $P4626) + 1) / (COUNTA($I:$I) - 1)</f>
        <v>3.0800000000000001E-2</v>
      </c>
      <c r="S4626" s="23">
        <f>SUMIFS($P:$P, $Q:$Q, "&lt;" &amp; $Q4626)</f>
        <v>89474282</v>
      </c>
    </row>
    <row r="4627" spans="1:19" x14ac:dyDescent="0.25">
      <c r="A4627" s="1">
        <v>4622</v>
      </c>
      <c r="B4627" s="1" t="s">
        <v>4</v>
      </c>
      <c r="C4627" s="1" t="str">
        <f>IF($B4627 = "Production Item", _xlfn.XLOOKUP($A4627, 'Instrument Table'!$J:$J, 'Instrument Table'!$B:$B, $C4626), IF($B4627 = "Service Item", _xlfn.XLOOKUP($A4627, 'Instrument Table'!$I:$I, 'Instrument Table'!$B:$B, $C4626), _xlfn.XLOOKUP($A4627, 'Instrument Table'!$H:$H, 'Instrument Table'!$B:$B, $C4626)))</f>
        <v>Electric Guitar</v>
      </c>
      <c r="D4627" s="1" t="str">
        <f>VLOOKUP($C4627, 'Instrument Table'!$B:$C, 2, FALSE)</f>
        <v>Strings</v>
      </c>
      <c r="E4627" s="1">
        <f t="shared" si="432"/>
        <v>3</v>
      </c>
      <c r="F4627" s="1">
        <f>_xlfn.XLOOKUP($C4627, 'Instrument Table'!$B:$B, 'Instrument Table'!$A:$A, "")</f>
        <v>25</v>
      </c>
      <c r="G4627" s="1" t="str">
        <f>TEXT(IF($B4627 = "Retail Item", IF((ROW($A4627) - 4504 - _xlfn.XMATCH($C4627, $C$4506:$C$5005, 0, 1)) &lt;= VLOOKUP($C4627, 'Instrument Table'!$B:$D, 3, FALSE), ROW($A4627) - 4504 - _xlfn.XMATCH($C4627, $C$4506:$C$5005, 0, 1), 0), 0), "00")</f>
        <v>17</v>
      </c>
      <c r="H4627" s="1" t="str">
        <f t="shared" si="433"/>
        <v>000</v>
      </c>
      <c r="I4627" s="1" t="str">
        <f t="shared" si="434"/>
        <v>32517-000</v>
      </c>
      <c r="J4627" s="1" t="str">
        <f t="shared" si="435"/>
        <v>Electric guitar model #17</v>
      </c>
      <c r="K4627" s="1" t="str">
        <f>IF(SUM(COUNTIFS(I:I, I4627)) &gt; 1, "DUPLICATE", "UNIQUE")</f>
        <v>UNIQUE</v>
      </c>
      <c r="L4627" s="18">
        <v>91</v>
      </c>
      <c r="M4627" s="28">
        <v>4370</v>
      </c>
      <c r="N4627" s="6">
        <v>28</v>
      </c>
      <c r="O4627" s="30">
        <f t="shared" si="436"/>
        <v>397670</v>
      </c>
      <c r="P4627" s="30">
        <f t="shared" si="437"/>
        <v>122360</v>
      </c>
      <c r="Q4627" s="1">
        <f>COUNTIFS($P:$P, "&gt;" &amp; $P4627) + 1</f>
        <v>370</v>
      </c>
      <c r="R4627" s="63">
        <f>(COUNTIFS($P:$P, "&gt;" &amp; $P4627) + 1) / (COUNTA($I:$I) - 1)</f>
        <v>7.3999999999999996E-2</v>
      </c>
      <c r="S4627" s="23">
        <f>SUMIFS($P:$P, $Q:$Q, "&lt;" &amp; $Q4627)</f>
        <v>140021210</v>
      </c>
    </row>
    <row r="4628" spans="1:19" x14ac:dyDescent="0.25">
      <c r="A4628" s="1">
        <v>4623</v>
      </c>
      <c r="B4628" s="1" t="s">
        <v>4</v>
      </c>
      <c r="C4628" s="1" t="str">
        <f>IF($B4628 = "Production Item", _xlfn.XLOOKUP($A4628, 'Instrument Table'!$J:$J, 'Instrument Table'!$B:$B, $C4627), IF($B4628 = "Service Item", _xlfn.XLOOKUP($A4628, 'Instrument Table'!$I:$I, 'Instrument Table'!$B:$B, $C4627), _xlfn.XLOOKUP($A4628, 'Instrument Table'!$H:$H, 'Instrument Table'!$B:$B, $C4627)))</f>
        <v>Electric Guitar</v>
      </c>
      <c r="D4628" s="1" t="str">
        <f>VLOOKUP($C4628, 'Instrument Table'!$B:$C, 2, FALSE)</f>
        <v>Strings</v>
      </c>
      <c r="E4628" s="1">
        <f t="shared" si="432"/>
        <v>3</v>
      </c>
      <c r="F4628" s="1">
        <f>_xlfn.XLOOKUP($C4628, 'Instrument Table'!$B:$B, 'Instrument Table'!$A:$A, "")</f>
        <v>25</v>
      </c>
      <c r="G4628" s="1" t="str">
        <f>TEXT(IF($B4628 = "Retail Item", IF((ROW($A4628) - 4504 - _xlfn.XMATCH($C4628, $C$4506:$C$5005, 0, 1)) &lt;= VLOOKUP($C4628, 'Instrument Table'!$B:$D, 3, FALSE), ROW($A4628) - 4504 - _xlfn.XMATCH($C4628, $C$4506:$C$5005, 0, 1), 0), 0), "00")</f>
        <v>18</v>
      </c>
      <c r="H4628" s="1" t="str">
        <f t="shared" si="433"/>
        <v>000</v>
      </c>
      <c r="I4628" s="1" t="str">
        <f t="shared" si="434"/>
        <v>32518-000</v>
      </c>
      <c r="J4628" s="1" t="str">
        <f t="shared" si="435"/>
        <v>Electric guitar model #18</v>
      </c>
      <c r="K4628" s="1" t="str">
        <f>IF(SUM(COUNTIFS(I:I, I4628)) &gt; 1, "DUPLICATE", "UNIQUE")</f>
        <v>UNIQUE</v>
      </c>
      <c r="L4628" s="18">
        <v>24</v>
      </c>
      <c r="M4628" s="28">
        <v>7401</v>
      </c>
      <c r="N4628" s="6">
        <v>19</v>
      </c>
      <c r="O4628" s="30">
        <f t="shared" si="436"/>
        <v>177624</v>
      </c>
      <c r="P4628" s="30">
        <f t="shared" si="437"/>
        <v>140619</v>
      </c>
      <c r="Q4628" s="1">
        <f>COUNTIFS($P:$P, "&gt;" &amp; $P4628) + 1</f>
        <v>346</v>
      </c>
      <c r="R4628" s="63">
        <f>(COUNTIFS($P:$P, "&gt;" &amp; $P4628) + 1) / (COUNTA($I:$I) - 1)</f>
        <v>6.9199999999999998E-2</v>
      </c>
      <c r="S4628" s="23">
        <f>SUMIFS($P:$P, $Q:$Q, "&lt;" &amp; $Q4628)</f>
        <v>136914205</v>
      </c>
    </row>
    <row r="4629" spans="1:19" x14ac:dyDescent="0.25">
      <c r="A4629" s="1">
        <v>4624</v>
      </c>
      <c r="B4629" s="1" t="s">
        <v>4</v>
      </c>
      <c r="C4629" s="1" t="str">
        <f>IF($B4629 = "Production Item", _xlfn.XLOOKUP($A4629, 'Instrument Table'!$J:$J, 'Instrument Table'!$B:$B, $C4628), IF($B4629 = "Service Item", _xlfn.XLOOKUP($A4629, 'Instrument Table'!$I:$I, 'Instrument Table'!$B:$B, $C4628), _xlfn.XLOOKUP($A4629, 'Instrument Table'!$H:$H, 'Instrument Table'!$B:$B, $C4628)))</f>
        <v>Electric Guitar</v>
      </c>
      <c r="D4629" s="1" t="str">
        <f>VLOOKUP($C4629, 'Instrument Table'!$B:$C, 2, FALSE)</f>
        <v>Strings</v>
      </c>
      <c r="E4629" s="1">
        <f t="shared" si="432"/>
        <v>3</v>
      </c>
      <c r="F4629" s="1">
        <f>_xlfn.XLOOKUP($C4629, 'Instrument Table'!$B:$B, 'Instrument Table'!$A:$A, "")</f>
        <v>25</v>
      </c>
      <c r="G4629" s="1" t="str">
        <f>TEXT(IF($B4629 = "Retail Item", IF((ROW($A4629) - 4504 - _xlfn.XMATCH($C4629, $C$4506:$C$5005, 0, 1)) &lt;= VLOOKUP($C4629, 'Instrument Table'!$B:$D, 3, FALSE), ROW($A4629) - 4504 - _xlfn.XMATCH($C4629, $C$4506:$C$5005, 0, 1), 0), 0), "00")</f>
        <v>19</v>
      </c>
      <c r="H4629" s="1" t="str">
        <f t="shared" si="433"/>
        <v>000</v>
      </c>
      <c r="I4629" s="1" t="str">
        <f t="shared" si="434"/>
        <v>32519-000</v>
      </c>
      <c r="J4629" s="1" t="str">
        <f t="shared" si="435"/>
        <v>Electric guitar model #19</v>
      </c>
      <c r="K4629" s="1" t="str">
        <f>IF(SUM(COUNTIFS(I:I, I4629)) &gt; 1, "DUPLICATE", "UNIQUE")</f>
        <v>UNIQUE</v>
      </c>
      <c r="L4629" s="18">
        <v>14</v>
      </c>
      <c r="M4629" s="28">
        <v>4865</v>
      </c>
      <c r="N4629" s="6">
        <v>33</v>
      </c>
      <c r="O4629" s="30">
        <f t="shared" si="436"/>
        <v>68110</v>
      </c>
      <c r="P4629" s="30">
        <f t="shared" si="437"/>
        <v>160545</v>
      </c>
      <c r="Q4629" s="1">
        <f>COUNTIFS($P:$P, "&gt;" &amp; $P4629) + 1</f>
        <v>321</v>
      </c>
      <c r="R4629" s="63">
        <f>(COUNTIFS($P:$P, "&gt;" &amp; $P4629) + 1) / (COUNTA($I:$I) - 1)</f>
        <v>6.4199999999999993E-2</v>
      </c>
      <c r="S4629" s="23">
        <f>SUMIFS($P:$P, $Q:$Q, "&lt;" &amp; $Q4629)</f>
        <v>133152200</v>
      </c>
    </row>
    <row r="4630" spans="1:19" x14ac:dyDescent="0.25">
      <c r="A4630" s="1">
        <v>4625</v>
      </c>
      <c r="B4630" s="1" t="s">
        <v>4</v>
      </c>
      <c r="C4630" s="1" t="str">
        <f>IF($B4630 = "Production Item", _xlfn.XLOOKUP($A4630, 'Instrument Table'!$J:$J, 'Instrument Table'!$B:$B, $C4629), IF($B4630 = "Service Item", _xlfn.XLOOKUP($A4630, 'Instrument Table'!$I:$I, 'Instrument Table'!$B:$B, $C4629), _xlfn.XLOOKUP($A4630, 'Instrument Table'!$H:$H, 'Instrument Table'!$B:$B, $C4629)))</f>
        <v>Electric Guitar</v>
      </c>
      <c r="D4630" s="1" t="str">
        <f>VLOOKUP($C4630, 'Instrument Table'!$B:$C, 2, FALSE)</f>
        <v>Strings</v>
      </c>
      <c r="E4630" s="1">
        <f t="shared" si="432"/>
        <v>3</v>
      </c>
      <c r="F4630" s="1">
        <f>_xlfn.XLOOKUP($C4630, 'Instrument Table'!$B:$B, 'Instrument Table'!$A:$A, "")</f>
        <v>25</v>
      </c>
      <c r="G4630" s="1" t="str">
        <f>TEXT(IF($B4630 = "Retail Item", IF((ROW($A4630) - 4504 - _xlfn.XMATCH($C4630, $C$4506:$C$5005, 0, 1)) &lt;= VLOOKUP($C4630, 'Instrument Table'!$B:$D, 3, FALSE), ROW($A4630) - 4504 - _xlfn.XMATCH($C4630, $C$4506:$C$5005, 0, 1), 0), 0), "00")</f>
        <v>20</v>
      </c>
      <c r="H4630" s="1" t="str">
        <f t="shared" si="433"/>
        <v>000</v>
      </c>
      <c r="I4630" s="1" t="str">
        <f t="shared" si="434"/>
        <v>32520-000</v>
      </c>
      <c r="J4630" s="1" t="str">
        <f t="shared" si="435"/>
        <v>Electric guitar model #20</v>
      </c>
      <c r="K4630" s="1" t="str">
        <f>IF(SUM(COUNTIFS(I:I, I4630)) &gt; 1, "DUPLICATE", "UNIQUE")</f>
        <v>UNIQUE</v>
      </c>
      <c r="L4630" s="18">
        <v>16</v>
      </c>
      <c r="M4630" s="28">
        <v>8406</v>
      </c>
      <c r="N4630" s="6">
        <v>46</v>
      </c>
      <c r="O4630" s="30">
        <f t="shared" si="436"/>
        <v>134496</v>
      </c>
      <c r="P4630" s="30">
        <f t="shared" si="437"/>
        <v>386676</v>
      </c>
      <c r="Q4630" s="1">
        <f>COUNTIFS($P:$P, "&gt;" &amp; $P4630) + 1</f>
        <v>147</v>
      </c>
      <c r="R4630" s="63">
        <f>(COUNTIFS($P:$P, "&gt;" &amp; $P4630) + 1) / (COUNTA($I:$I) - 1)</f>
        <v>2.9399999999999999E-2</v>
      </c>
      <c r="S4630" s="23">
        <f>SUMIFS($P:$P, $Q:$Q, "&lt;" &amp; $Q4630)</f>
        <v>86804428</v>
      </c>
    </row>
    <row r="4631" spans="1:19" x14ac:dyDescent="0.25">
      <c r="A4631" s="1">
        <v>4626</v>
      </c>
      <c r="B4631" s="1" t="s">
        <v>4</v>
      </c>
      <c r="C4631" s="1" t="str">
        <f>IF($B4631 = "Production Item", _xlfn.XLOOKUP($A4631, 'Instrument Table'!$J:$J, 'Instrument Table'!$B:$B, $C4630), IF($B4631 = "Service Item", _xlfn.XLOOKUP($A4631, 'Instrument Table'!$I:$I, 'Instrument Table'!$B:$B, $C4630), _xlfn.XLOOKUP($A4631, 'Instrument Table'!$H:$H, 'Instrument Table'!$B:$B, $C4630)))</f>
        <v>Electric Guitar</v>
      </c>
      <c r="D4631" s="1" t="str">
        <f>VLOOKUP($C4631, 'Instrument Table'!$B:$C, 2, FALSE)</f>
        <v>Strings</v>
      </c>
      <c r="E4631" s="1">
        <f t="shared" si="432"/>
        <v>3</v>
      </c>
      <c r="F4631" s="1">
        <f>_xlfn.XLOOKUP($C4631, 'Instrument Table'!$B:$B, 'Instrument Table'!$A:$A, "")</f>
        <v>25</v>
      </c>
      <c r="G4631" s="1" t="str">
        <f>TEXT(IF($B4631 = "Retail Item", IF((ROW($A4631) - 4504 - _xlfn.XMATCH($C4631, $C$4506:$C$5005, 0, 1)) &lt;= VLOOKUP($C4631, 'Instrument Table'!$B:$D, 3, FALSE), ROW($A4631) - 4504 - _xlfn.XMATCH($C4631, $C$4506:$C$5005, 0, 1), 0), 0), "00")</f>
        <v>21</v>
      </c>
      <c r="H4631" s="1" t="str">
        <f t="shared" si="433"/>
        <v>000</v>
      </c>
      <c r="I4631" s="1" t="str">
        <f t="shared" si="434"/>
        <v>32521-000</v>
      </c>
      <c r="J4631" s="1" t="str">
        <f t="shared" si="435"/>
        <v>Electric guitar model #21</v>
      </c>
      <c r="K4631" s="1" t="str">
        <f>IF(SUM(COUNTIFS(I:I, I4631)) &gt; 1, "DUPLICATE", "UNIQUE")</f>
        <v>UNIQUE</v>
      </c>
      <c r="L4631" s="18">
        <v>84</v>
      </c>
      <c r="M4631" s="28">
        <v>3542</v>
      </c>
      <c r="N4631" s="6">
        <v>60</v>
      </c>
      <c r="O4631" s="30">
        <f t="shared" si="436"/>
        <v>297528</v>
      </c>
      <c r="P4631" s="30">
        <f t="shared" si="437"/>
        <v>212520</v>
      </c>
      <c r="Q4631" s="1">
        <f>COUNTIFS($P:$P, "&gt;" &amp; $P4631) + 1</f>
        <v>279</v>
      </c>
      <c r="R4631" s="63">
        <f>(COUNTIFS($P:$P, "&gt;" &amp; $P4631) + 1) / (COUNTA($I:$I) - 1)</f>
        <v>5.5800000000000002E-2</v>
      </c>
      <c r="S4631" s="23">
        <f>SUMIFS($P:$P, $Q:$Q, "&lt;" &amp; $Q4631)</f>
        <v>125353343</v>
      </c>
    </row>
    <row r="4632" spans="1:19" x14ac:dyDescent="0.25">
      <c r="A4632" s="1">
        <v>4627</v>
      </c>
      <c r="B4632" s="1" t="s">
        <v>4</v>
      </c>
      <c r="C4632" s="1" t="str">
        <f>IF($B4632 = "Production Item", _xlfn.XLOOKUP($A4632, 'Instrument Table'!$J:$J, 'Instrument Table'!$B:$B, $C4631), IF($B4632 = "Service Item", _xlfn.XLOOKUP($A4632, 'Instrument Table'!$I:$I, 'Instrument Table'!$B:$B, $C4631), _xlfn.XLOOKUP($A4632, 'Instrument Table'!$H:$H, 'Instrument Table'!$B:$B, $C4631)))</f>
        <v>Electric Guitar</v>
      </c>
      <c r="D4632" s="1" t="str">
        <f>VLOOKUP($C4632, 'Instrument Table'!$B:$C, 2, FALSE)</f>
        <v>Strings</v>
      </c>
      <c r="E4632" s="1">
        <f t="shared" si="432"/>
        <v>3</v>
      </c>
      <c r="F4632" s="1">
        <f>_xlfn.XLOOKUP($C4632, 'Instrument Table'!$B:$B, 'Instrument Table'!$A:$A, "")</f>
        <v>25</v>
      </c>
      <c r="G4632" s="1" t="str">
        <f>TEXT(IF($B4632 = "Retail Item", IF((ROW($A4632) - 4504 - _xlfn.XMATCH($C4632, $C$4506:$C$5005, 0, 1)) &lt;= VLOOKUP($C4632, 'Instrument Table'!$B:$D, 3, FALSE), ROW($A4632) - 4504 - _xlfn.XMATCH($C4632, $C$4506:$C$5005, 0, 1), 0), 0), "00")</f>
        <v>22</v>
      </c>
      <c r="H4632" s="1" t="str">
        <f t="shared" si="433"/>
        <v>000</v>
      </c>
      <c r="I4632" s="1" t="str">
        <f t="shared" si="434"/>
        <v>32522-000</v>
      </c>
      <c r="J4632" s="1" t="str">
        <f t="shared" si="435"/>
        <v>Electric guitar model #22</v>
      </c>
      <c r="K4632" s="1" t="str">
        <f>IF(SUM(COUNTIFS(I:I, I4632)) &gt; 1, "DUPLICATE", "UNIQUE")</f>
        <v>UNIQUE</v>
      </c>
      <c r="L4632" s="18">
        <v>0</v>
      </c>
      <c r="M4632" s="28">
        <v>9167</v>
      </c>
      <c r="N4632" s="6">
        <v>17</v>
      </c>
      <c r="O4632" s="30">
        <f t="shared" si="436"/>
        <v>0</v>
      </c>
      <c r="P4632" s="30">
        <f t="shared" si="437"/>
        <v>155839</v>
      </c>
      <c r="Q4632" s="1">
        <f>COUNTIFS($P:$P, "&gt;" &amp; $P4632) + 1</f>
        <v>326</v>
      </c>
      <c r="R4632" s="63">
        <f>(COUNTIFS($P:$P, "&gt;" &amp; $P4632) + 1) / (COUNTA($I:$I) - 1)</f>
        <v>6.5199999999999994E-2</v>
      </c>
      <c r="S4632" s="23">
        <f>SUMIFS($P:$P, $Q:$Q, "&lt;" &amp; $Q4632)</f>
        <v>133942952</v>
      </c>
    </row>
    <row r="4633" spans="1:19" x14ac:dyDescent="0.25">
      <c r="A4633" s="1">
        <v>4628</v>
      </c>
      <c r="B4633" s="1" t="s">
        <v>4</v>
      </c>
      <c r="C4633" s="1" t="str">
        <f>IF($B4633 = "Production Item", _xlfn.XLOOKUP($A4633, 'Instrument Table'!$J:$J, 'Instrument Table'!$B:$B, $C4632), IF($B4633 = "Service Item", _xlfn.XLOOKUP($A4633, 'Instrument Table'!$I:$I, 'Instrument Table'!$B:$B, $C4632), _xlfn.XLOOKUP($A4633, 'Instrument Table'!$H:$H, 'Instrument Table'!$B:$B, $C4632)))</f>
        <v>Electric Guitar</v>
      </c>
      <c r="D4633" s="1" t="str">
        <f>VLOOKUP($C4633, 'Instrument Table'!$B:$C, 2, FALSE)</f>
        <v>Strings</v>
      </c>
      <c r="E4633" s="1">
        <f t="shared" si="432"/>
        <v>3</v>
      </c>
      <c r="F4633" s="1">
        <f>_xlfn.XLOOKUP($C4633, 'Instrument Table'!$B:$B, 'Instrument Table'!$A:$A, "")</f>
        <v>25</v>
      </c>
      <c r="G4633" s="1" t="str">
        <f>TEXT(IF($B4633 = "Retail Item", IF((ROW($A4633) - 4504 - _xlfn.XMATCH($C4633, $C$4506:$C$5005, 0, 1)) &lt;= VLOOKUP($C4633, 'Instrument Table'!$B:$D, 3, FALSE), ROW($A4633) - 4504 - _xlfn.XMATCH($C4633, $C$4506:$C$5005, 0, 1), 0), 0), "00")</f>
        <v>23</v>
      </c>
      <c r="H4633" s="1" t="str">
        <f t="shared" si="433"/>
        <v>000</v>
      </c>
      <c r="I4633" s="1" t="str">
        <f t="shared" si="434"/>
        <v>32523-000</v>
      </c>
      <c r="J4633" s="1" t="str">
        <f t="shared" si="435"/>
        <v>Electric guitar model #23</v>
      </c>
      <c r="K4633" s="1" t="str">
        <f>IF(SUM(COUNTIFS(I:I, I4633)) &gt; 1, "DUPLICATE", "UNIQUE")</f>
        <v>UNIQUE</v>
      </c>
      <c r="L4633" s="18">
        <v>53</v>
      </c>
      <c r="M4633" s="28">
        <v>2131</v>
      </c>
      <c r="N4633" s="6">
        <v>22</v>
      </c>
      <c r="O4633" s="30">
        <f t="shared" si="436"/>
        <v>112943</v>
      </c>
      <c r="P4633" s="30">
        <f t="shared" si="437"/>
        <v>46882</v>
      </c>
      <c r="Q4633" s="1">
        <f>COUNTIFS($P:$P, "&gt;" &amp; $P4633) + 1</f>
        <v>533</v>
      </c>
      <c r="R4633" s="63">
        <f>(COUNTIFS($P:$P, "&gt;" &amp; $P4633) + 1) / (COUNTA($I:$I) - 1)</f>
        <v>0.1066</v>
      </c>
      <c r="S4633" s="23">
        <f>SUMIFS($P:$P, $Q:$Q, "&lt;" &amp; $Q4633)</f>
        <v>153242849</v>
      </c>
    </row>
    <row r="4634" spans="1:19" x14ac:dyDescent="0.25">
      <c r="A4634" s="1">
        <v>4629</v>
      </c>
      <c r="B4634" s="1" t="s">
        <v>4</v>
      </c>
      <c r="C4634" s="1" t="str">
        <f>IF($B4634 = "Production Item", _xlfn.XLOOKUP($A4634, 'Instrument Table'!$J:$J, 'Instrument Table'!$B:$B, $C4633), IF($B4634 = "Service Item", _xlfn.XLOOKUP($A4634, 'Instrument Table'!$I:$I, 'Instrument Table'!$B:$B, $C4633), _xlfn.XLOOKUP($A4634, 'Instrument Table'!$H:$H, 'Instrument Table'!$B:$B, $C4633)))</f>
        <v>Electric Guitar</v>
      </c>
      <c r="D4634" s="1" t="str">
        <f>VLOOKUP($C4634, 'Instrument Table'!$B:$C, 2, FALSE)</f>
        <v>Strings</v>
      </c>
      <c r="E4634" s="1">
        <f t="shared" si="432"/>
        <v>3</v>
      </c>
      <c r="F4634" s="1">
        <f>_xlfn.XLOOKUP($C4634, 'Instrument Table'!$B:$B, 'Instrument Table'!$A:$A, "")</f>
        <v>25</v>
      </c>
      <c r="G4634" s="1" t="str">
        <f>TEXT(IF($B4634 = "Retail Item", IF((ROW($A4634) - 4504 - _xlfn.XMATCH($C4634, $C$4506:$C$5005, 0, 1)) &lt;= VLOOKUP($C4634, 'Instrument Table'!$B:$D, 3, FALSE), ROW($A4634) - 4504 - _xlfn.XMATCH($C4634, $C$4506:$C$5005, 0, 1), 0), 0), "00")</f>
        <v>24</v>
      </c>
      <c r="H4634" s="1" t="str">
        <f t="shared" si="433"/>
        <v>000</v>
      </c>
      <c r="I4634" s="1" t="str">
        <f t="shared" si="434"/>
        <v>32524-000</v>
      </c>
      <c r="J4634" s="1" t="str">
        <f t="shared" si="435"/>
        <v>Electric guitar model #24</v>
      </c>
      <c r="K4634" s="1" t="str">
        <f>IF(SUM(COUNTIFS(I:I, I4634)) &gt; 1, "DUPLICATE", "UNIQUE")</f>
        <v>UNIQUE</v>
      </c>
      <c r="L4634" s="18">
        <v>91</v>
      </c>
      <c r="M4634" s="28">
        <v>6186</v>
      </c>
      <c r="N4634" s="6">
        <v>59</v>
      </c>
      <c r="O4634" s="30">
        <f t="shared" si="436"/>
        <v>562926</v>
      </c>
      <c r="P4634" s="30">
        <f t="shared" si="437"/>
        <v>364974</v>
      </c>
      <c r="Q4634" s="1">
        <f>COUNTIFS($P:$P, "&gt;" &amp; $P4634) + 1</f>
        <v>159</v>
      </c>
      <c r="R4634" s="63">
        <f>(COUNTIFS($P:$P, "&gt;" &amp; $P4634) + 1) / (COUNTA($I:$I) - 1)</f>
        <v>3.1800000000000002E-2</v>
      </c>
      <c r="S4634" s="23">
        <f>SUMIFS($P:$P, $Q:$Q, "&lt;" &amp; $Q4634)</f>
        <v>91329901</v>
      </c>
    </row>
    <row r="4635" spans="1:19" x14ac:dyDescent="0.25">
      <c r="A4635" s="1">
        <v>4630</v>
      </c>
      <c r="B4635" s="1" t="s">
        <v>4</v>
      </c>
      <c r="C4635" s="1" t="str">
        <f>IF($B4635 = "Production Item", _xlfn.XLOOKUP($A4635, 'Instrument Table'!$J:$J, 'Instrument Table'!$B:$B, $C4634), IF($B4635 = "Service Item", _xlfn.XLOOKUP($A4635, 'Instrument Table'!$I:$I, 'Instrument Table'!$B:$B, $C4634), _xlfn.XLOOKUP($A4635, 'Instrument Table'!$H:$H, 'Instrument Table'!$B:$B, $C4634)))</f>
        <v>Electric Guitar</v>
      </c>
      <c r="D4635" s="1" t="str">
        <f>VLOOKUP($C4635, 'Instrument Table'!$B:$C, 2, FALSE)</f>
        <v>Strings</v>
      </c>
      <c r="E4635" s="1">
        <f t="shared" si="432"/>
        <v>3</v>
      </c>
      <c r="F4635" s="1">
        <f>_xlfn.XLOOKUP($C4635, 'Instrument Table'!$B:$B, 'Instrument Table'!$A:$A, "")</f>
        <v>25</v>
      </c>
      <c r="G4635" s="1" t="str">
        <f>TEXT(IF($B4635 = "Retail Item", IF((ROW($A4635) - 4504 - _xlfn.XMATCH($C4635, $C$4506:$C$5005, 0, 1)) &lt;= VLOOKUP($C4635, 'Instrument Table'!$B:$D, 3, FALSE), ROW($A4635) - 4504 - _xlfn.XMATCH($C4635, $C$4506:$C$5005, 0, 1), 0), 0), "00")</f>
        <v>25</v>
      </c>
      <c r="H4635" s="1" t="str">
        <f t="shared" si="433"/>
        <v>000</v>
      </c>
      <c r="I4635" s="1" t="str">
        <f t="shared" si="434"/>
        <v>32525-000</v>
      </c>
      <c r="J4635" s="1" t="str">
        <f t="shared" si="435"/>
        <v>Electric guitar model #25</v>
      </c>
      <c r="K4635" s="1" t="str">
        <f>IF(SUM(COUNTIFS(I:I, I4635)) &gt; 1, "DUPLICATE", "UNIQUE")</f>
        <v>UNIQUE</v>
      </c>
      <c r="L4635" s="18">
        <v>73</v>
      </c>
      <c r="M4635" s="28">
        <v>1185</v>
      </c>
      <c r="N4635" s="6">
        <v>98</v>
      </c>
      <c r="O4635" s="30">
        <f t="shared" si="436"/>
        <v>86505</v>
      </c>
      <c r="P4635" s="30">
        <f t="shared" si="437"/>
        <v>116130</v>
      </c>
      <c r="Q4635" s="1">
        <f>COUNTIFS($P:$P, "&gt;" &amp; $P4635) + 1</f>
        <v>380</v>
      </c>
      <c r="R4635" s="63">
        <f>(COUNTIFS($P:$P, "&gt;" &amp; $P4635) + 1) / (COUNTA($I:$I) - 1)</f>
        <v>7.5999999999999998E-2</v>
      </c>
      <c r="S4635" s="23">
        <f>SUMIFS($P:$P, $Q:$Q, "&lt;" &amp; $Q4635)</f>
        <v>141207539</v>
      </c>
    </row>
    <row r="4636" spans="1:19" x14ac:dyDescent="0.25">
      <c r="A4636" s="1">
        <v>4631</v>
      </c>
      <c r="B4636" s="1" t="s">
        <v>4</v>
      </c>
      <c r="C4636" s="1" t="str">
        <f>IF($B4636 = "Production Item", _xlfn.XLOOKUP($A4636, 'Instrument Table'!$J:$J, 'Instrument Table'!$B:$B, $C4635), IF($B4636 = "Service Item", _xlfn.XLOOKUP($A4636, 'Instrument Table'!$I:$I, 'Instrument Table'!$B:$B, $C4635), _xlfn.XLOOKUP($A4636, 'Instrument Table'!$H:$H, 'Instrument Table'!$B:$B, $C4635)))</f>
        <v>Electric Guitar</v>
      </c>
      <c r="D4636" s="1" t="str">
        <f>VLOOKUP($C4636, 'Instrument Table'!$B:$C, 2, FALSE)</f>
        <v>Strings</v>
      </c>
      <c r="E4636" s="1">
        <f t="shared" si="432"/>
        <v>3</v>
      </c>
      <c r="F4636" s="1">
        <f>_xlfn.XLOOKUP($C4636, 'Instrument Table'!$B:$B, 'Instrument Table'!$A:$A, "")</f>
        <v>25</v>
      </c>
      <c r="G4636" s="1" t="str">
        <f>TEXT(IF($B4636 = "Retail Item", IF((ROW($A4636) - 4504 - _xlfn.XMATCH($C4636, $C$4506:$C$5005, 0, 1)) &lt;= VLOOKUP($C4636, 'Instrument Table'!$B:$D, 3, FALSE), ROW($A4636) - 4504 - _xlfn.XMATCH($C4636, $C$4506:$C$5005, 0, 1), 0), 0), "00")</f>
        <v>00</v>
      </c>
      <c r="H4636" s="1" t="str">
        <f t="shared" si="433"/>
        <v>000</v>
      </c>
      <c r="I4636" s="1" t="str">
        <f t="shared" si="434"/>
        <v>32500-000</v>
      </c>
      <c r="J4636" s="1" t="str">
        <f t="shared" si="435"/>
        <v>Electric guitar retail item #000</v>
      </c>
      <c r="K4636" s="1" t="str">
        <f>IF(SUM(COUNTIFS(I:I, I4636)) &gt; 1, "DUPLICATE", "UNIQUE")</f>
        <v>UNIQUE</v>
      </c>
      <c r="L4636" s="18">
        <v>37</v>
      </c>
      <c r="M4636" s="28">
        <v>7888</v>
      </c>
      <c r="N4636" s="6">
        <v>7</v>
      </c>
      <c r="O4636" s="30">
        <f t="shared" si="436"/>
        <v>291856</v>
      </c>
      <c r="P4636" s="30">
        <f t="shared" si="437"/>
        <v>55216</v>
      </c>
      <c r="Q4636" s="1">
        <f>COUNTIFS($P:$P, "&gt;" &amp; $P4636) + 1</f>
        <v>512</v>
      </c>
      <c r="R4636" s="63">
        <f>(COUNTIFS($P:$P, "&gt;" &amp; $P4636) + 1) / (COUNTA($I:$I) - 1)</f>
        <v>0.1024</v>
      </c>
      <c r="S4636" s="23">
        <f>SUMIFS($P:$P, $Q:$Q, "&lt;" &amp; $Q4636)</f>
        <v>152156304</v>
      </c>
    </row>
    <row r="4637" spans="1:19" x14ac:dyDescent="0.25">
      <c r="A4637" s="1">
        <v>4632</v>
      </c>
      <c r="B4637" s="1" t="s">
        <v>4</v>
      </c>
      <c r="C4637" s="1" t="str">
        <f>IF($B4637 = "Production Item", _xlfn.XLOOKUP($A4637, 'Instrument Table'!$J:$J, 'Instrument Table'!$B:$B, $C4636), IF($B4637 = "Service Item", _xlfn.XLOOKUP($A4637, 'Instrument Table'!$I:$I, 'Instrument Table'!$B:$B, $C4636), _xlfn.XLOOKUP($A4637, 'Instrument Table'!$H:$H, 'Instrument Table'!$B:$B, $C4636)))</f>
        <v>Electric Guitar</v>
      </c>
      <c r="D4637" s="1" t="str">
        <f>VLOOKUP($C4637, 'Instrument Table'!$B:$C, 2, FALSE)</f>
        <v>Strings</v>
      </c>
      <c r="E4637" s="1">
        <f t="shared" si="432"/>
        <v>3</v>
      </c>
      <c r="F4637" s="1">
        <f>_xlfn.XLOOKUP($C4637, 'Instrument Table'!$B:$B, 'Instrument Table'!$A:$A, "")</f>
        <v>25</v>
      </c>
      <c r="G4637" s="1" t="str">
        <f>TEXT(IF($B4637 = "Retail Item", IF((ROW($A4637) - 4504 - _xlfn.XMATCH($C4637, $C$4506:$C$5005, 0, 1)) &lt;= VLOOKUP($C4637, 'Instrument Table'!$B:$D, 3, FALSE), ROW($A4637) - 4504 - _xlfn.XMATCH($C4637, $C$4506:$C$5005, 0, 1), 0), 0), "00")</f>
        <v>00</v>
      </c>
      <c r="H4637" s="1" t="str">
        <f t="shared" si="433"/>
        <v>001</v>
      </c>
      <c r="I4637" s="1" t="str">
        <f t="shared" si="434"/>
        <v>32500-001</v>
      </c>
      <c r="J4637" s="1" t="str">
        <f t="shared" si="435"/>
        <v>Electric guitar retail item #001</v>
      </c>
      <c r="K4637" s="1" t="str">
        <f>IF(SUM(COUNTIFS(I:I, I4637)) &gt; 1, "DUPLICATE", "UNIQUE")</f>
        <v>UNIQUE</v>
      </c>
      <c r="L4637" s="18">
        <v>76</v>
      </c>
      <c r="M4637" s="28">
        <v>8280</v>
      </c>
      <c r="N4637" s="6">
        <v>84</v>
      </c>
      <c r="O4637" s="30">
        <f t="shared" si="436"/>
        <v>629280</v>
      </c>
      <c r="P4637" s="30">
        <f t="shared" si="437"/>
        <v>695520</v>
      </c>
      <c r="Q4637" s="1">
        <f>COUNTIFS($P:$P, "&gt;" &amp; $P4637) + 1</f>
        <v>39</v>
      </c>
      <c r="R4637" s="63">
        <f>(COUNTIFS($P:$P, "&gt;" &amp; $P4637) + 1) / (COUNTA($I:$I) - 1)</f>
        <v>7.7999999999999996E-3</v>
      </c>
      <c r="S4637" s="23">
        <f>SUMIFS($P:$P, $Q:$Q, "&lt;" &amp; $Q4637)</f>
        <v>30631518</v>
      </c>
    </row>
    <row r="4638" spans="1:19" x14ac:dyDescent="0.25">
      <c r="A4638" s="1">
        <v>4633</v>
      </c>
      <c r="B4638" s="1" t="s">
        <v>4</v>
      </c>
      <c r="C4638" s="1" t="str">
        <f>IF($B4638 = "Production Item", _xlfn.XLOOKUP($A4638, 'Instrument Table'!$J:$J, 'Instrument Table'!$B:$B, $C4637), IF($B4638 = "Service Item", _xlfn.XLOOKUP($A4638, 'Instrument Table'!$I:$I, 'Instrument Table'!$B:$B, $C4637), _xlfn.XLOOKUP($A4638, 'Instrument Table'!$H:$H, 'Instrument Table'!$B:$B, $C4637)))</f>
        <v>Electric Guitar</v>
      </c>
      <c r="D4638" s="1" t="str">
        <f>VLOOKUP($C4638, 'Instrument Table'!$B:$C, 2, FALSE)</f>
        <v>Strings</v>
      </c>
      <c r="E4638" s="1">
        <f t="shared" si="432"/>
        <v>3</v>
      </c>
      <c r="F4638" s="1">
        <f>_xlfn.XLOOKUP($C4638, 'Instrument Table'!$B:$B, 'Instrument Table'!$A:$A, "")</f>
        <v>25</v>
      </c>
      <c r="G4638" s="1" t="str">
        <f>TEXT(IF($B4638 = "Retail Item", IF((ROW($A4638) - 4504 - _xlfn.XMATCH($C4638, $C$4506:$C$5005, 0, 1)) &lt;= VLOOKUP($C4638, 'Instrument Table'!$B:$D, 3, FALSE), ROW($A4638) - 4504 - _xlfn.XMATCH($C4638, $C$4506:$C$5005, 0, 1), 0), 0), "00")</f>
        <v>00</v>
      </c>
      <c r="H4638" s="1" t="str">
        <f t="shared" si="433"/>
        <v>002</v>
      </c>
      <c r="I4638" s="1" t="str">
        <f t="shared" si="434"/>
        <v>32500-002</v>
      </c>
      <c r="J4638" s="1" t="str">
        <f t="shared" si="435"/>
        <v>Electric guitar retail item #002</v>
      </c>
      <c r="K4638" s="1" t="str">
        <f>IF(SUM(COUNTIFS(I:I, I4638)) &gt; 1, "DUPLICATE", "UNIQUE")</f>
        <v>UNIQUE</v>
      </c>
      <c r="L4638" s="18">
        <v>76</v>
      </c>
      <c r="M4638" s="28">
        <v>5781</v>
      </c>
      <c r="N4638" s="6">
        <v>14</v>
      </c>
      <c r="O4638" s="30">
        <f t="shared" si="436"/>
        <v>439356</v>
      </c>
      <c r="P4638" s="30">
        <f t="shared" si="437"/>
        <v>80934</v>
      </c>
      <c r="Q4638" s="1">
        <f>COUNTIFS($P:$P, "&gt;" &amp; $P4638) + 1</f>
        <v>447</v>
      </c>
      <c r="R4638" s="63">
        <f>(COUNTIFS($P:$P, "&gt;" &amp; $P4638) + 1) / (COUNTA($I:$I) - 1)</f>
        <v>8.9399999999999993E-2</v>
      </c>
      <c r="S4638" s="23">
        <f>SUMIFS($P:$P, $Q:$Q, "&lt;" &amp; $Q4638)</f>
        <v>147779244</v>
      </c>
    </row>
    <row r="4639" spans="1:19" x14ac:dyDescent="0.25">
      <c r="A4639" s="1">
        <v>4634</v>
      </c>
      <c r="B4639" s="1" t="s">
        <v>4</v>
      </c>
      <c r="C4639" s="1" t="str">
        <f>IF($B4639 = "Production Item", _xlfn.XLOOKUP($A4639, 'Instrument Table'!$J:$J, 'Instrument Table'!$B:$B, $C4638), IF($B4639 = "Service Item", _xlfn.XLOOKUP($A4639, 'Instrument Table'!$I:$I, 'Instrument Table'!$B:$B, $C4638), _xlfn.XLOOKUP($A4639, 'Instrument Table'!$H:$H, 'Instrument Table'!$B:$B, $C4638)))</f>
        <v>Electric Guitar</v>
      </c>
      <c r="D4639" s="1" t="str">
        <f>VLOOKUP($C4639, 'Instrument Table'!$B:$C, 2, FALSE)</f>
        <v>Strings</v>
      </c>
      <c r="E4639" s="1">
        <f t="shared" si="432"/>
        <v>3</v>
      </c>
      <c r="F4639" s="1">
        <f>_xlfn.XLOOKUP($C4639, 'Instrument Table'!$B:$B, 'Instrument Table'!$A:$A, "")</f>
        <v>25</v>
      </c>
      <c r="G4639" s="1" t="str">
        <f>TEXT(IF($B4639 = "Retail Item", IF((ROW($A4639) - 4504 - _xlfn.XMATCH($C4639, $C$4506:$C$5005, 0, 1)) &lt;= VLOOKUP($C4639, 'Instrument Table'!$B:$D, 3, FALSE), ROW($A4639) - 4504 - _xlfn.XMATCH($C4639, $C$4506:$C$5005, 0, 1), 0), 0), "00")</f>
        <v>00</v>
      </c>
      <c r="H4639" s="1" t="str">
        <f t="shared" si="433"/>
        <v>003</v>
      </c>
      <c r="I4639" s="1" t="str">
        <f t="shared" si="434"/>
        <v>32500-003</v>
      </c>
      <c r="J4639" s="1" t="str">
        <f t="shared" si="435"/>
        <v>Electric guitar retail item #003</v>
      </c>
      <c r="K4639" s="1" t="str">
        <f>IF(SUM(COUNTIFS(I:I, I4639)) &gt; 1, "DUPLICATE", "UNIQUE")</f>
        <v>UNIQUE</v>
      </c>
      <c r="L4639" s="18">
        <v>11</v>
      </c>
      <c r="M4639" s="28">
        <v>6618</v>
      </c>
      <c r="N4639" s="6">
        <v>80</v>
      </c>
      <c r="O4639" s="30">
        <f t="shared" si="436"/>
        <v>72798</v>
      </c>
      <c r="P4639" s="30">
        <f t="shared" si="437"/>
        <v>529440</v>
      </c>
      <c r="Q4639" s="1">
        <f>COUNTIFS($P:$P, "&gt;" &amp; $P4639) + 1</f>
        <v>85</v>
      </c>
      <c r="R4639" s="63">
        <f>(COUNTIFS($P:$P, "&gt;" &amp; $P4639) + 1) / (COUNTA($I:$I) - 1)</f>
        <v>1.7000000000000001E-2</v>
      </c>
      <c r="S4639" s="23">
        <f>SUMIFS($P:$P, $Q:$Q, "&lt;" &amp; $Q4639)</f>
        <v>58461017</v>
      </c>
    </row>
    <row r="4640" spans="1:19" x14ac:dyDescent="0.25">
      <c r="A4640" s="1">
        <v>4635</v>
      </c>
      <c r="B4640" s="1" t="s">
        <v>4</v>
      </c>
      <c r="C4640" s="1" t="str">
        <f>IF($B4640 = "Production Item", _xlfn.XLOOKUP($A4640, 'Instrument Table'!$J:$J, 'Instrument Table'!$B:$B, $C4639), IF($B4640 = "Service Item", _xlfn.XLOOKUP($A4640, 'Instrument Table'!$I:$I, 'Instrument Table'!$B:$B, $C4639), _xlfn.XLOOKUP($A4640, 'Instrument Table'!$H:$H, 'Instrument Table'!$B:$B, $C4639)))</f>
        <v>Electric Guitar</v>
      </c>
      <c r="D4640" s="1" t="str">
        <f>VLOOKUP($C4640, 'Instrument Table'!$B:$C, 2, FALSE)</f>
        <v>Strings</v>
      </c>
      <c r="E4640" s="1">
        <f t="shared" si="432"/>
        <v>3</v>
      </c>
      <c r="F4640" s="1">
        <f>_xlfn.XLOOKUP($C4640, 'Instrument Table'!$B:$B, 'Instrument Table'!$A:$A, "")</f>
        <v>25</v>
      </c>
      <c r="G4640" s="1" t="str">
        <f>TEXT(IF($B4640 = "Retail Item", IF((ROW($A4640) - 4504 - _xlfn.XMATCH($C4640, $C$4506:$C$5005, 0, 1)) &lt;= VLOOKUP($C4640, 'Instrument Table'!$B:$D, 3, FALSE), ROW($A4640) - 4504 - _xlfn.XMATCH($C4640, $C$4506:$C$5005, 0, 1), 0), 0), "00")</f>
        <v>00</v>
      </c>
      <c r="H4640" s="1" t="str">
        <f t="shared" si="433"/>
        <v>004</v>
      </c>
      <c r="I4640" s="1" t="str">
        <f t="shared" si="434"/>
        <v>32500-004</v>
      </c>
      <c r="J4640" s="1" t="str">
        <f t="shared" si="435"/>
        <v>Electric guitar retail item #004</v>
      </c>
      <c r="K4640" s="1" t="str">
        <f>IF(SUM(COUNTIFS(I:I, I4640)) &gt; 1, "DUPLICATE", "UNIQUE")</f>
        <v>UNIQUE</v>
      </c>
      <c r="L4640" s="18">
        <v>27</v>
      </c>
      <c r="M4640" s="28">
        <v>7035</v>
      </c>
      <c r="N4640" s="6">
        <v>10</v>
      </c>
      <c r="O4640" s="30">
        <f t="shared" si="436"/>
        <v>189945</v>
      </c>
      <c r="P4640" s="30">
        <f t="shared" si="437"/>
        <v>70350</v>
      </c>
      <c r="Q4640" s="1">
        <f>COUNTIFS($P:$P, "&gt;" &amp; $P4640) + 1</f>
        <v>468</v>
      </c>
      <c r="R4640" s="63">
        <f>(COUNTIFS($P:$P, "&gt;" &amp; $P4640) + 1) / (COUNTA($I:$I) - 1)</f>
        <v>9.3600000000000003E-2</v>
      </c>
      <c r="S4640" s="23">
        <f>SUMIFS($P:$P, $Q:$Q, "&lt;" &amp; $Q4640)</f>
        <v>149367342</v>
      </c>
    </row>
    <row r="4641" spans="1:19" x14ac:dyDescent="0.25">
      <c r="A4641" s="1">
        <v>4636</v>
      </c>
      <c r="B4641" s="1" t="s">
        <v>4</v>
      </c>
      <c r="C4641" s="1" t="str">
        <f>IF($B4641 = "Production Item", _xlfn.XLOOKUP($A4641, 'Instrument Table'!$J:$J, 'Instrument Table'!$B:$B, $C4640), IF($B4641 = "Service Item", _xlfn.XLOOKUP($A4641, 'Instrument Table'!$I:$I, 'Instrument Table'!$B:$B, $C4640), _xlfn.XLOOKUP($A4641, 'Instrument Table'!$H:$H, 'Instrument Table'!$B:$B, $C4640)))</f>
        <v>Electric Guitar</v>
      </c>
      <c r="D4641" s="1" t="str">
        <f>VLOOKUP($C4641, 'Instrument Table'!$B:$C, 2, FALSE)</f>
        <v>Strings</v>
      </c>
      <c r="E4641" s="1">
        <f t="shared" si="432"/>
        <v>3</v>
      </c>
      <c r="F4641" s="1">
        <f>_xlfn.XLOOKUP($C4641, 'Instrument Table'!$B:$B, 'Instrument Table'!$A:$A, "")</f>
        <v>25</v>
      </c>
      <c r="G4641" s="1" t="str">
        <f>TEXT(IF($B4641 = "Retail Item", IF((ROW($A4641) - 4504 - _xlfn.XMATCH($C4641, $C$4506:$C$5005, 0, 1)) &lt;= VLOOKUP($C4641, 'Instrument Table'!$B:$D, 3, FALSE), ROW($A4641) - 4504 - _xlfn.XMATCH($C4641, $C$4506:$C$5005, 0, 1), 0), 0), "00")</f>
        <v>00</v>
      </c>
      <c r="H4641" s="1" t="str">
        <f t="shared" si="433"/>
        <v>005</v>
      </c>
      <c r="I4641" s="1" t="str">
        <f t="shared" si="434"/>
        <v>32500-005</v>
      </c>
      <c r="J4641" s="1" t="str">
        <f t="shared" si="435"/>
        <v>Electric guitar retail item #005</v>
      </c>
      <c r="K4641" s="1" t="str">
        <f>IF(SUM(COUNTIFS(I:I, I4641)) &gt; 1, "DUPLICATE", "UNIQUE")</f>
        <v>UNIQUE</v>
      </c>
      <c r="L4641" s="18">
        <v>89</v>
      </c>
      <c r="M4641" s="28">
        <v>2472</v>
      </c>
      <c r="N4641" s="6">
        <v>25</v>
      </c>
      <c r="O4641" s="30">
        <f t="shared" si="436"/>
        <v>220008</v>
      </c>
      <c r="P4641" s="30">
        <f t="shared" si="437"/>
        <v>61800</v>
      </c>
      <c r="Q4641" s="1">
        <f>COUNTIFS($P:$P, "&gt;" &amp; $P4641) + 1</f>
        <v>496</v>
      </c>
      <c r="R4641" s="63">
        <f>(COUNTIFS($P:$P, "&gt;" &amp; $P4641) + 1) / (COUNTA($I:$I) - 1)</f>
        <v>9.9199999999999997E-2</v>
      </c>
      <c r="S4641" s="23">
        <f>SUMIFS($P:$P, $Q:$Q, "&lt;" &amp; $Q4641)</f>
        <v>151221989</v>
      </c>
    </row>
    <row r="4642" spans="1:19" x14ac:dyDescent="0.25">
      <c r="A4642" s="1">
        <v>4637</v>
      </c>
      <c r="B4642" s="1" t="s">
        <v>4</v>
      </c>
      <c r="C4642" s="1" t="str">
        <f>IF($B4642 = "Production Item", _xlfn.XLOOKUP($A4642, 'Instrument Table'!$J:$J, 'Instrument Table'!$B:$B, $C4641), IF($B4642 = "Service Item", _xlfn.XLOOKUP($A4642, 'Instrument Table'!$I:$I, 'Instrument Table'!$B:$B, $C4641), _xlfn.XLOOKUP($A4642, 'Instrument Table'!$H:$H, 'Instrument Table'!$B:$B, $C4641)))</f>
        <v>Electric Guitar</v>
      </c>
      <c r="D4642" s="1" t="str">
        <f>VLOOKUP($C4642, 'Instrument Table'!$B:$C, 2, FALSE)</f>
        <v>Strings</v>
      </c>
      <c r="E4642" s="1">
        <f t="shared" si="432"/>
        <v>3</v>
      </c>
      <c r="F4642" s="1">
        <f>_xlfn.XLOOKUP($C4642, 'Instrument Table'!$B:$B, 'Instrument Table'!$A:$A, "")</f>
        <v>25</v>
      </c>
      <c r="G4642" s="1" t="str">
        <f>TEXT(IF($B4642 = "Retail Item", IF((ROW($A4642) - 4504 - _xlfn.XMATCH($C4642, $C$4506:$C$5005, 0, 1)) &lt;= VLOOKUP($C4642, 'Instrument Table'!$B:$D, 3, FALSE), ROW($A4642) - 4504 - _xlfn.XMATCH($C4642, $C$4506:$C$5005, 0, 1), 0), 0), "00")</f>
        <v>00</v>
      </c>
      <c r="H4642" s="1" t="str">
        <f t="shared" si="433"/>
        <v>006</v>
      </c>
      <c r="I4642" s="1" t="str">
        <f t="shared" si="434"/>
        <v>32500-006</v>
      </c>
      <c r="J4642" s="1" t="str">
        <f t="shared" si="435"/>
        <v>Electric guitar retail item #006</v>
      </c>
      <c r="K4642" s="1" t="str">
        <f>IF(SUM(COUNTIFS(I:I, I4642)) &gt; 1, "DUPLICATE", "UNIQUE")</f>
        <v>UNIQUE</v>
      </c>
      <c r="L4642" s="18">
        <v>89</v>
      </c>
      <c r="M4642" s="28">
        <v>9021</v>
      </c>
      <c r="N4642" s="6">
        <v>84</v>
      </c>
      <c r="O4642" s="30">
        <f t="shared" si="436"/>
        <v>802869</v>
      </c>
      <c r="P4642" s="30">
        <f t="shared" si="437"/>
        <v>757764</v>
      </c>
      <c r="Q4642" s="1">
        <f>COUNTIFS($P:$P, "&gt;" &amp; $P4642) + 1</f>
        <v>26</v>
      </c>
      <c r="R4642" s="63">
        <f>(COUNTIFS($P:$P, "&gt;" &amp; $P4642) + 1) / (COUNTA($I:$I) - 1)</f>
        <v>5.1999999999999998E-3</v>
      </c>
      <c r="S4642" s="23">
        <f>SUMIFS($P:$P, $Q:$Q, "&lt;" &amp; $Q4642)</f>
        <v>21158214</v>
      </c>
    </row>
    <row r="4643" spans="1:19" x14ac:dyDescent="0.25">
      <c r="A4643" s="1">
        <v>4638</v>
      </c>
      <c r="B4643" s="1" t="s">
        <v>4</v>
      </c>
      <c r="C4643" s="1" t="str">
        <f>IF($B4643 = "Production Item", _xlfn.XLOOKUP($A4643, 'Instrument Table'!$J:$J, 'Instrument Table'!$B:$B, $C4642), IF($B4643 = "Service Item", _xlfn.XLOOKUP($A4643, 'Instrument Table'!$I:$I, 'Instrument Table'!$B:$B, $C4642), _xlfn.XLOOKUP($A4643, 'Instrument Table'!$H:$H, 'Instrument Table'!$B:$B, $C4642)))</f>
        <v>Electric Guitar</v>
      </c>
      <c r="D4643" s="1" t="str">
        <f>VLOOKUP($C4643, 'Instrument Table'!$B:$C, 2, FALSE)</f>
        <v>Strings</v>
      </c>
      <c r="E4643" s="1">
        <f t="shared" si="432"/>
        <v>3</v>
      </c>
      <c r="F4643" s="1">
        <f>_xlfn.XLOOKUP($C4643, 'Instrument Table'!$B:$B, 'Instrument Table'!$A:$A, "")</f>
        <v>25</v>
      </c>
      <c r="G4643" s="1" t="str">
        <f>TEXT(IF($B4643 = "Retail Item", IF((ROW($A4643) - 4504 - _xlfn.XMATCH($C4643, $C$4506:$C$5005, 0, 1)) &lt;= VLOOKUP($C4643, 'Instrument Table'!$B:$D, 3, FALSE), ROW($A4643) - 4504 - _xlfn.XMATCH($C4643, $C$4506:$C$5005, 0, 1), 0), 0), "00")</f>
        <v>00</v>
      </c>
      <c r="H4643" s="1" t="str">
        <f t="shared" si="433"/>
        <v>007</v>
      </c>
      <c r="I4643" s="1" t="str">
        <f t="shared" si="434"/>
        <v>32500-007</v>
      </c>
      <c r="J4643" s="1" t="str">
        <f t="shared" si="435"/>
        <v>Electric guitar retail item #007</v>
      </c>
      <c r="K4643" s="1" t="str">
        <f>IF(SUM(COUNTIFS(I:I, I4643)) &gt; 1, "DUPLICATE", "UNIQUE")</f>
        <v>UNIQUE</v>
      </c>
      <c r="L4643" s="18">
        <v>3</v>
      </c>
      <c r="M4643" s="28">
        <v>4324</v>
      </c>
      <c r="N4643" s="6">
        <v>29</v>
      </c>
      <c r="O4643" s="30">
        <f t="shared" si="436"/>
        <v>12972</v>
      </c>
      <c r="P4643" s="30">
        <f t="shared" si="437"/>
        <v>125396</v>
      </c>
      <c r="Q4643" s="1">
        <f>COUNTIFS($P:$P, "&gt;" &amp; $P4643) + 1</f>
        <v>363</v>
      </c>
      <c r="R4643" s="63">
        <f>(COUNTIFS($P:$P, "&gt;" &amp; $P4643) + 1) / (COUNTA($I:$I) - 1)</f>
        <v>7.2599999999999998E-2</v>
      </c>
      <c r="S4643" s="23">
        <f>SUMIFS($P:$P, $Q:$Q, "&lt;" &amp; $Q4643)</f>
        <v>139152245</v>
      </c>
    </row>
    <row r="4644" spans="1:19" x14ac:dyDescent="0.25">
      <c r="A4644" s="1">
        <v>4639</v>
      </c>
      <c r="B4644" s="1" t="s">
        <v>4</v>
      </c>
      <c r="C4644" s="1" t="str">
        <f>IF($B4644 = "Production Item", _xlfn.XLOOKUP($A4644, 'Instrument Table'!$J:$J, 'Instrument Table'!$B:$B, $C4643), IF($B4644 = "Service Item", _xlfn.XLOOKUP($A4644, 'Instrument Table'!$I:$I, 'Instrument Table'!$B:$B, $C4643), _xlfn.XLOOKUP($A4644, 'Instrument Table'!$H:$H, 'Instrument Table'!$B:$B, $C4643)))</f>
        <v>Electric Guitar</v>
      </c>
      <c r="D4644" s="1" t="str">
        <f>VLOOKUP($C4644, 'Instrument Table'!$B:$C, 2, FALSE)</f>
        <v>Strings</v>
      </c>
      <c r="E4644" s="1">
        <f t="shared" si="432"/>
        <v>3</v>
      </c>
      <c r="F4644" s="1">
        <f>_xlfn.XLOOKUP($C4644, 'Instrument Table'!$B:$B, 'Instrument Table'!$A:$A, "")</f>
        <v>25</v>
      </c>
      <c r="G4644" s="1" t="str">
        <f>TEXT(IF($B4644 = "Retail Item", IF((ROW($A4644) - 4504 - _xlfn.XMATCH($C4644, $C$4506:$C$5005, 0, 1)) &lt;= VLOOKUP($C4644, 'Instrument Table'!$B:$D, 3, FALSE), ROW($A4644) - 4504 - _xlfn.XMATCH($C4644, $C$4506:$C$5005, 0, 1), 0), 0), "00")</f>
        <v>00</v>
      </c>
      <c r="H4644" s="1" t="str">
        <f t="shared" si="433"/>
        <v>008</v>
      </c>
      <c r="I4644" s="1" t="str">
        <f t="shared" si="434"/>
        <v>32500-008</v>
      </c>
      <c r="J4644" s="1" t="str">
        <f t="shared" si="435"/>
        <v>Electric guitar retail item #008</v>
      </c>
      <c r="K4644" s="1" t="str">
        <f>IF(SUM(COUNTIFS(I:I, I4644)) &gt; 1, "DUPLICATE", "UNIQUE")</f>
        <v>UNIQUE</v>
      </c>
      <c r="L4644" s="18">
        <v>69</v>
      </c>
      <c r="M4644" s="28">
        <v>9010</v>
      </c>
      <c r="N4644" s="6">
        <v>33</v>
      </c>
      <c r="O4644" s="30">
        <f t="shared" si="436"/>
        <v>621690</v>
      </c>
      <c r="P4644" s="30">
        <f t="shared" si="437"/>
        <v>297330</v>
      </c>
      <c r="Q4644" s="1">
        <f>COUNTIFS($P:$P, "&gt;" &amp; $P4644) + 1</f>
        <v>206</v>
      </c>
      <c r="R4644" s="63">
        <f>(COUNTIFS($P:$P, "&gt;" &amp; $P4644) + 1) / (COUNTA($I:$I) - 1)</f>
        <v>4.1200000000000001E-2</v>
      </c>
      <c r="S4644" s="23">
        <f>SUMIFS($P:$P, $Q:$Q, "&lt;" &amp; $Q4644)</f>
        <v>106733887</v>
      </c>
    </row>
    <row r="4645" spans="1:19" x14ac:dyDescent="0.25">
      <c r="A4645" s="1">
        <v>4640</v>
      </c>
      <c r="B4645" s="1" t="s">
        <v>4</v>
      </c>
      <c r="C4645" s="1" t="str">
        <f>IF($B4645 = "Production Item", _xlfn.XLOOKUP($A4645, 'Instrument Table'!$J:$J, 'Instrument Table'!$B:$B, $C4644), IF($B4645 = "Service Item", _xlfn.XLOOKUP($A4645, 'Instrument Table'!$I:$I, 'Instrument Table'!$B:$B, $C4644), _xlfn.XLOOKUP($A4645, 'Instrument Table'!$H:$H, 'Instrument Table'!$B:$B, $C4644)))</f>
        <v>Electric Guitar</v>
      </c>
      <c r="D4645" s="1" t="str">
        <f>VLOOKUP($C4645, 'Instrument Table'!$B:$C, 2, FALSE)</f>
        <v>Strings</v>
      </c>
      <c r="E4645" s="1">
        <f t="shared" si="432"/>
        <v>3</v>
      </c>
      <c r="F4645" s="1">
        <f>_xlfn.XLOOKUP($C4645, 'Instrument Table'!$B:$B, 'Instrument Table'!$A:$A, "")</f>
        <v>25</v>
      </c>
      <c r="G4645" s="1" t="str">
        <f>TEXT(IF($B4645 = "Retail Item", IF((ROW($A4645) - 4504 - _xlfn.XMATCH($C4645, $C$4506:$C$5005, 0, 1)) &lt;= VLOOKUP($C4645, 'Instrument Table'!$B:$D, 3, FALSE), ROW($A4645) - 4504 - _xlfn.XMATCH($C4645, $C$4506:$C$5005, 0, 1), 0), 0), "00")</f>
        <v>00</v>
      </c>
      <c r="H4645" s="1" t="str">
        <f t="shared" si="433"/>
        <v>009</v>
      </c>
      <c r="I4645" s="1" t="str">
        <f t="shared" si="434"/>
        <v>32500-009</v>
      </c>
      <c r="J4645" s="1" t="str">
        <f t="shared" si="435"/>
        <v>Electric guitar retail item #009</v>
      </c>
      <c r="K4645" s="1" t="str">
        <f>IF(SUM(COUNTIFS(I:I, I4645)) &gt; 1, "DUPLICATE", "UNIQUE")</f>
        <v>UNIQUE</v>
      </c>
      <c r="L4645" s="18">
        <v>25</v>
      </c>
      <c r="M4645" s="28">
        <v>6519</v>
      </c>
      <c r="N4645" s="6">
        <v>95</v>
      </c>
      <c r="O4645" s="30">
        <f t="shared" si="436"/>
        <v>162975</v>
      </c>
      <c r="P4645" s="30">
        <f t="shared" si="437"/>
        <v>619305</v>
      </c>
      <c r="Q4645" s="1">
        <f>COUNTIFS($P:$P, "&gt;" &amp; $P4645) + 1</f>
        <v>59</v>
      </c>
      <c r="R4645" s="63">
        <f>(COUNTIFS($P:$P, "&gt;" &amp; $P4645) + 1) / (COUNTA($I:$I) - 1)</f>
        <v>1.18E-2</v>
      </c>
      <c r="S4645" s="23">
        <f>SUMIFS($P:$P, $Q:$Q, "&lt;" &amp; $Q4645)</f>
        <v>43567121</v>
      </c>
    </row>
    <row r="4646" spans="1:19" x14ac:dyDescent="0.25">
      <c r="A4646" s="1">
        <v>4641</v>
      </c>
      <c r="B4646" s="1" t="s">
        <v>4</v>
      </c>
      <c r="C4646" s="1" t="str">
        <f>IF($B4646 = "Production Item", _xlfn.XLOOKUP($A4646, 'Instrument Table'!$J:$J, 'Instrument Table'!$B:$B, $C4645), IF($B4646 = "Service Item", _xlfn.XLOOKUP($A4646, 'Instrument Table'!$I:$I, 'Instrument Table'!$B:$B, $C4645), _xlfn.XLOOKUP($A4646, 'Instrument Table'!$H:$H, 'Instrument Table'!$B:$B, $C4645)))</f>
        <v>Clarinet</v>
      </c>
      <c r="D4646" s="1" t="str">
        <f>VLOOKUP($C4646, 'Instrument Table'!$B:$C, 2, FALSE)</f>
        <v>Woodwinds</v>
      </c>
      <c r="E4646" s="1">
        <f t="shared" si="432"/>
        <v>3</v>
      </c>
      <c r="F4646" s="1">
        <f>_xlfn.XLOOKUP($C4646, 'Instrument Table'!$B:$B, 'Instrument Table'!$A:$A, "")</f>
        <v>30</v>
      </c>
      <c r="G4646" s="1" t="str">
        <f>TEXT(IF($B4646 = "Retail Item", IF((ROW($A4646) - 4504 - _xlfn.XMATCH($C4646, $C$4506:$C$5005, 0, 1)) &lt;= VLOOKUP($C4646, 'Instrument Table'!$B:$D, 3, FALSE), ROW($A4646) - 4504 - _xlfn.XMATCH($C4646, $C$4506:$C$5005, 0, 1), 0), 0), "00")</f>
        <v>01</v>
      </c>
      <c r="H4646" s="1" t="str">
        <f t="shared" si="433"/>
        <v>000</v>
      </c>
      <c r="I4646" s="1" t="str">
        <f t="shared" si="434"/>
        <v>33001-000</v>
      </c>
      <c r="J4646" s="1" t="str">
        <f t="shared" si="435"/>
        <v>Clarinet model #01</v>
      </c>
      <c r="K4646" s="1" t="str">
        <f>IF(SUM(COUNTIFS(I:I, I4646)) &gt; 1, "DUPLICATE", "UNIQUE")</f>
        <v>UNIQUE</v>
      </c>
      <c r="L4646" s="18">
        <v>29</v>
      </c>
      <c r="M4646" s="28">
        <v>1672</v>
      </c>
      <c r="N4646" s="6">
        <v>47</v>
      </c>
      <c r="O4646" s="30">
        <f t="shared" si="436"/>
        <v>48488</v>
      </c>
      <c r="P4646" s="30">
        <f t="shared" si="437"/>
        <v>78584</v>
      </c>
      <c r="Q4646" s="1">
        <f>COUNTIFS($P:$P, "&gt;" &amp; $P4646) + 1</f>
        <v>452</v>
      </c>
      <c r="R4646" s="63">
        <f>(COUNTIFS($P:$P, "&gt;" &amp; $P4646) + 1) / (COUNTA($I:$I) - 1)</f>
        <v>9.0399999999999994E-2</v>
      </c>
      <c r="S4646" s="23">
        <f>SUMIFS($P:$P, $Q:$Q, "&lt;" &amp; $Q4646)</f>
        <v>148181941</v>
      </c>
    </row>
    <row r="4647" spans="1:19" x14ac:dyDescent="0.25">
      <c r="A4647" s="1">
        <v>4642</v>
      </c>
      <c r="B4647" s="1" t="s">
        <v>4</v>
      </c>
      <c r="C4647" s="1" t="str">
        <f>IF($B4647 = "Production Item", _xlfn.XLOOKUP($A4647, 'Instrument Table'!$J:$J, 'Instrument Table'!$B:$B, $C4646), IF($B4647 = "Service Item", _xlfn.XLOOKUP($A4647, 'Instrument Table'!$I:$I, 'Instrument Table'!$B:$B, $C4646), _xlfn.XLOOKUP($A4647, 'Instrument Table'!$H:$H, 'Instrument Table'!$B:$B, $C4646)))</f>
        <v>Clarinet</v>
      </c>
      <c r="D4647" s="1" t="str">
        <f>VLOOKUP($C4647, 'Instrument Table'!$B:$C, 2, FALSE)</f>
        <v>Woodwinds</v>
      </c>
      <c r="E4647" s="1">
        <f t="shared" si="432"/>
        <v>3</v>
      </c>
      <c r="F4647" s="1">
        <f>_xlfn.XLOOKUP($C4647, 'Instrument Table'!$B:$B, 'Instrument Table'!$A:$A, "")</f>
        <v>30</v>
      </c>
      <c r="G4647" s="1" t="str">
        <f>TEXT(IF($B4647 = "Retail Item", IF((ROW($A4647) - 4504 - _xlfn.XMATCH($C4647, $C$4506:$C$5005, 0, 1)) &lt;= VLOOKUP($C4647, 'Instrument Table'!$B:$D, 3, FALSE), ROW($A4647) - 4504 - _xlfn.XMATCH($C4647, $C$4506:$C$5005, 0, 1), 0), 0), "00")</f>
        <v>02</v>
      </c>
      <c r="H4647" s="1" t="str">
        <f t="shared" si="433"/>
        <v>000</v>
      </c>
      <c r="I4647" s="1" t="str">
        <f t="shared" si="434"/>
        <v>33002-000</v>
      </c>
      <c r="J4647" s="1" t="str">
        <f t="shared" si="435"/>
        <v>Clarinet model #02</v>
      </c>
      <c r="K4647" s="1" t="str">
        <f>IF(SUM(COUNTIFS(I:I, I4647)) &gt; 1, "DUPLICATE", "UNIQUE")</f>
        <v>UNIQUE</v>
      </c>
      <c r="L4647" s="18">
        <v>73</v>
      </c>
      <c r="M4647" s="28">
        <v>2637</v>
      </c>
      <c r="N4647" s="6">
        <v>57</v>
      </c>
      <c r="O4647" s="30">
        <f t="shared" si="436"/>
        <v>192501</v>
      </c>
      <c r="P4647" s="30">
        <f t="shared" si="437"/>
        <v>150309</v>
      </c>
      <c r="Q4647" s="1">
        <f>COUNTIFS($P:$P, "&gt;" &amp; $P4647) + 1</f>
        <v>334</v>
      </c>
      <c r="R4647" s="63">
        <f>(COUNTIFS($P:$P, "&gt;" &amp; $P4647) + 1) / (COUNTA($I:$I) - 1)</f>
        <v>6.6799999999999998E-2</v>
      </c>
      <c r="S4647" s="23">
        <f>SUMIFS($P:$P, $Q:$Q, "&lt;" &amp; $Q4647)</f>
        <v>135170812</v>
      </c>
    </row>
    <row r="4648" spans="1:19" x14ac:dyDescent="0.25">
      <c r="A4648" s="1">
        <v>4643</v>
      </c>
      <c r="B4648" s="1" t="s">
        <v>4</v>
      </c>
      <c r="C4648" s="1" t="str">
        <f>IF($B4648 = "Production Item", _xlfn.XLOOKUP($A4648, 'Instrument Table'!$J:$J, 'Instrument Table'!$B:$B, $C4647), IF($B4648 = "Service Item", _xlfn.XLOOKUP($A4648, 'Instrument Table'!$I:$I, 'Instrument Table'!$B:$B, $C4647), _xlfn.XLOOKUP($A4648, 'Instrument Table'!$H:$H, 'Instrument Table'!$B:$B, $C4647)))</f>
        <v>Clarinet</v>
      </c>
      <c r="D4648" s="1" t="str">
        <f>VLOOKUP($C4648, 'Instrument Table'!$B:$C, 2, FALSE)</f>
        <v>Woodwinds</v>
      </c>
      <c r="E4648" s="1">
        <f t="shared" si="432"/>
        <v>3</v>
      </c>
      <c r="F4648" s="1">
        <f>_xlfn.XLOOKUP($C4648, 'Instrument Table'!$B:$B, 'Instrument Table'!$A:$A, "")</f>
        <v>30</v>
      </c>
      <c r="G4648" s="1" t="str">
        <f>TEXT(IF($B4648 = "Retail Item", IF((ROW($A4648) - 4504 - _xlfn.XMATCH($C4648, $C$4506:$C$5005, 0, 1)) &lt;= VLOOKUP($C4648, 'Instrument Table'!$B:$D, 3, FALSE), ROW($A4648) - 4504 - _xlfn.XMATCH($C4648, $C$4506:$C$5005, 0, 1), 0), 0), "00")</f>
        <v>03</v>
      </c>
      <c r="H4648" s="1" t="str">
        <f t="shared" si="433"/>
        <v>000</v>
      </c>
      <c r="I4648" s="1" t="str">
        <f t="shared" si="434"/>
        <v>33003-000</v>
      </c>
      <c r="J4648" s="1" t="str">
        <f t="shared" si="435"/>
        <v>Clarinet model #03</v>
      </c>
      <c r="K4648" s="1" t="str">
        <f>IF(SUM(COUNTIFS(I:I, I4648)) &gt; 1, "DUPLICATE", "UNIQUE")</f>
        <v>UNIQUE</v>
      </c>
      <c r="L4648" s="18">
        <v>63</v>
      </c>
      <c r="M4648" s="28">
        <v>1508</v>
      </c>
      <c r="N4648" s="6">
        <v>54</v>
      </c>
      <c r="O4648" s="30">
        <f t="shared" si="436"/>
        <v>95004</v>
      </c>
      <c r="P4648" s="30">
        <f t="shared" si="437"/>
        <v>81432</v>
      </c>
      <c r="Q4648" s="1">
        <f>COUNTIFS($P:$P, "&gt;" &amp; $P4648) + 1</f>
        <v>445</v>
      </c>
      <c r="R4648" s="63">
        <f>(COUNTIFS($P:$P, "&gt;" &amp; $P4648) + 1) / (COUNTA($I:$I) - 1)</f>
        <v>8.8999999999999996E-2</v>
      </c>
      <c r="S4648" s="23">
        <f>SUMIFS($P:$P, $Q:$Q, "&lt;" &amp; $Q4648)</f>
        <v>147616875</v>
      </c>
    </row>
    <row r="4649" spans="1:19" x14ac:dyDescent="0.25">
      <c r="A4649" s="1">
        <v>4644</v>
      </c>
      <c r="B4649" s="1" t="s">
        <v>4</v>
      </c>
      <c r="C4649" s="1" t="str">
        <f>IF($B4649 = "Production Item", _xlfn.XLOOKUP($A4649, 'Instrument Table'!$J:$J, 'Instrument Table'!$B:$B, $C4648), IF($B4649 = "Service Item", _xlfn.XLOOKUP($A4649, 'Instrument Table'!$I:$I, 'Instrument Table'!$B:$B, $C4648), _xlfn.XLOOKUP($A4649, 'Instrument Table'!$H:$H, 'Instrument Table'!$B:$B, $C4648)))</f>
        <v>Clarinet</v>
      </c>
      <c r="D4649" s="1" t="str">
        <f>VLOOKUP($C4649, 'Instrument Table'!$B:$C, 2, FALSE)</f>
        <v>Woodwinds</v>
      </c>
      <c r="E4649" s="1">
        <f t="shared" si="432"/>
        <v>3</v>
      </c>
      <c r="F4649" s="1">
        <f>_xlfn.XLOOKUP($C4649, 'Instrument Table'!$B:$B, 'Instrument Table'!$A:$A, "")</f>
        <v>30</v>
      </c>
      <c r="G4649" s="1" t="str">
        <f>TEXT(IF($B4649 = "Retail Item", IF((ROW($A4649) - 4504 - _xlfn.XMATCH($C4649, $C$4506:$C$5005, 0, 1)) &lt;= VLOOKUP($C4649, 'Instrument Table'!$B:$D, 3, FALSE), ROW($A4649) - 4504 - _xlfn.XMATCH($C4649, $C$4506:$C$5005, 0, 1), 0), 0), "00")</f>
        <v>04</v>
      </c>
      <c r="H4649" s="1" t="str">
        <f t="shared" si="433"/>
        <v>000</v>
      </c>
      <c r="I4649" s="1" t="str">
        <f t="shared" si="434"/>
        <v>33004-000</v>
      </c>
      <c r="J4649" s="1" t="str">
        <f t="shared" si="435"/>
        <v>Clarinet model #04</v>
      </c>
      <c r="K4649" s="1" t="str">
        <f>IF(SUM(COUNTIFS(I:I, I4649)) &gt; 1, "DUPLICATE", "UNIQUE")</f>
        <v>UNIQUE</v>
      </c>
      <c r="L4649" s="18">
        <v>22</v>
      </c>
      <c r="M4649" s="28">
        <v>5674</v>
      </c>
      <c r="N4649" s="6">
        <v>69</v>
      </c>
      <c r="O4649" s="30">
        <f t="shared" si="436"/>
        <v>124828</v>
      </c>
      <c r="P4649" s="30">
        <f t="shared" si="437"/>
        <v>391506</v>
      </c>
      <c r="Q4649" s="1">
        <f>COUNTIFS($P:$P, "&gt;" &amp; $P4649) + 1</f>
        <v>142</v>
      </c>
      <c r="R4649" s="63">
        <f>(COUNTIFS($P:$P, "&gt;" &amp; $P4649) + 1) / (COUNTA($I:$I) - 1)</f>
        <v>2.8400000000000002E-2</v>
      </c>
      <c r="S4649" s="23">
        <f>SUMIFS($P:$P, $Q:$Q, "&lt;" &amp; $Q4649)</f>
        <v>84857714</v>
      </c>
    </row>
    <row r="4650" spans="1:19" x14ac:dyDescent="0.25">
      <c r="A4650" s="1">
        <v>4645</v>
      </c>
      <c r="B4650" s="1" t="s">
        <v>4</v>
      </c>
      <c r="C4650" s="1" t="str">
        <f>IF($B4650 = "Production Item", _xlfn.XLOOKUP($A4650, 'Instrument Table'!$J:$J, 'Instrument Table'!$B:$B, $C4649), IF($B4650 = "Service Item", _xlfn.XLOOKUP($A4650, 'Instrument Table'!$I:$I, 'Instrument Table'!$B:$B, $C4649), _xlfn.XLOOKUP($A4650, 'Instrument Table'!$H:$H, 'Instrument Table'!$B:$B, $C4649)))</f>
        <v>Clarinet</v>
      </c>
      <c r="D4650" s="1" t="str">
        <f>VLOOKUP($C4650, 'Instrument Table'!$B:$C, 2, FALSE)</f>
        <v>Woodwinds</v>
      </c>
      <c r="E4650" s="1">
        <f t="shared" si="432"/>
        <v>3</v>
      </c>
      <c r="F4650" s="1">
        <f>_xlfn.XLOOKUP($C4650, 'Instrument Table'!$B:$B, 'Instrument Table'!$A:$A, "")</f>
        <v>30</v>
      </c>
      <c r="G4650" s="1" t="str">
        <f>TEXT(IF($B4650 = "Retail Item", IF((ROW($A4650) - 4504 - _xlfn.XMATCH($C4650, $C$4506:$C$5005, 0, 1)) &lt;= VLOOKUP($C4650, 'Instrument Table'!$B:$D, 3, FALSE), ROW($A4650) - 4504 - _xlfn.XMATCH($C4650, $C$4506:$C$5005, 0, 1), 0), 0), "00")</f>
        <v>05</v>
      </c>
      <c r="H4650" s="1" t="str">
        <f t="shared" si="433"/>
        <v>000</v>
      </c>
      <c r="I4650" s="1" t="str">
        <f t="shared" si="434"/>
        <v>33005-000</v>
      </c>
      <c r="J4650" s="1" t="str">
        <f t="shared" si="435"/>
        <v>Clarinet model #05</v>
      </c>
      <c r="K4650" s="1" t="str">
        <f>IF(SUM(COUNTIFS(I:I, I4650)) &gt; 1, "DUPLICATE", "UNIQUE")</f>
        <v>UNIQUE</v>
      </c>
      <c r="L4650" s="18">
        <v>34</v>
      </c>
      <c r="M4650" s="28">
        <v>4208</v>
      </c>
      <c r="N4650" s="6">
        <v>98</v>
      </c>
      <c r="O4650" s="30">
        <f t="shared" si="436"/>
        <v>143072</v>
      </c>
      <c r="P4650" s="30">
        <f t="shared" si="437"/>
        <v>412384</v>
      </c>
      <c r="Q4650" s="1">
        <f>COUNTIFS($P:$P, "&gt;" &amp; $P4650) + 1</f>
        <v>136</v>
      </c>
      <c r="R4650" s="63">
        <f>(COUNTIFS($P:$P, "&gt;" &amp; $P4650) + 1) / (COUNTA($I:$I) - 1)</f>
        <v>2.7199999999999998E-2</v>
      </c>
      <c r="S4650" s="23">
        <f>SUMIFS($P:$P, $Q:$Q, "&lt;" &amp; $Q4650)</f>
        <v>82406209</v>
      </c>
    </row>
    <row r="4651" spans="1:19" x14ac:dyDescent="0.25">
      <c r="A4651" s="1">
        <v>4646</v>
      </c>
      <c r="B4651" s="1" t="s">
        <v>4</v>
      </c>
      <c r="C4651" s="1" t="str">
        <f>IF($B4651 = "Production Item", _xlfn.XLOOKUP($A4651, 'Instrument Table'!$J:$J, 'Instrument Table'!$B:$B, $C4650), IF($B4651 = "Service Item", _xlfn.XLOOKUP($A4651, 'Instrument Table'!$I:$I, 'Instrument Table'!$B:$B, $C4650), _xlfn.XLOOKUP($A4651, 'Instrument Table'!$H:$H, 'Instrument Table'!$B:$B, $C4650)))</f>
        <v>Clarinet</v>
      </c>
      <c r="D4651" s="1" t="str">
        <f>VLOOKUP($C4651, 'Instrument Table'!$B:$C, 2, FALSE)</f>
        <v>Woodwinds</v>
      </c>
      <c r="E4651" s="1">
        <f t="shared" si="432"/>
        <v>3</v>
      </c>
      <c r="F4651" s="1">
        <f>_xlfn.XLOOKUP($C4651, 'Instrument Table'!$B:$B, 'Instrument Table'!$A:$A, "")</f>
        <v>30</v>
      </c>
      <c r="G4651" s="1" t="str">
        <f>TEXT(IF($B4651 = "Retail Item", IF((ROW($A4651) - 4504 - _xlfn.XMATCH($C4651, $C$4506:$C$5005, 0, 1)) &lt;= VLOOKUP($C4651, 'Instrument Table'!$B:$D, 3, FALSE), ROW($A4651) - 4504 - _xlfn.XMATCH($C4651, $C$4506:$C$5005, 0, 1), 0), 0), "00")</f>
        <v>06</v>
      </c>
      <c r="H4651" s="1" t="str">
        <f t="shared" si="433"/>
        <v>000</v>
      </c>
      <c r="I4651" s="1" t="str">
        <f t="shared" si="434"/>
        <v>33006-000</v>
      </c>
      <c r="J4651" s="1" t="str">
        <f t="shared" si="435"/>
        <v>Clarinet model #06</v>
      </c>
      <c r="K4651" s="1" t="str">
        <f>IF(SUM(COUNTIFS(I:I, I4651)) &gt; 1, "DUPLICATE", "UNIQUE")</f>
        <v>UNIQUE</v>
      </c>
      <c r="L4651" s="18">
        <v>46</v>
      </c>
      <c r="M4651" s="28">
        <v>2528</v>
      </c>
      <c r="N4651" s="6">
        <v>6</v>
      </c>
      <c r="O4651" s="30">
        <f t="shared" si="436"/>
        <v>116288</v>
      </c>
      <c r="P4651" s="30">
        <f t="shared" si="437"/>
        <v>15168</v>
      </c>
      <c r="Q4651" s="1">
        <f>COUNTIFS($P:$P, "&gt;" &amp; $P4651) + 1</f>
        <v>1337</v>
      </c>
      <c r="R4651" s="63">
        <f>(COUNTIFS($P:$P, "&gt;" &amp; $P4651) + 1) / (COUNTA($I:$I) - 1)</f>
        <v>0.26740000000000003</v>
      </c>
      <c r="S4651" s="23">
        <f>SUMIFS($P:$P, $Q:$Q, "&lt;" &amp; $Q4651)</f>
        <v>172546528</v>
      </c>
    </row>
    <row r="4652" spans="1:19" x14ac:dyDescent="0.25">
      <c r="A4652" s="1">
        <v>4647</v>
      </c>
      <c r="B4652" s="1" t="s">
        <v>4</v>
      </c>
      <c r="C4652" s="1" t="str">
        <f>IF($B4652 = "Production Item", _xlfn.XLOOKUP($A4652, 'Instrument Table'!$J:$J, 'Instrument Table'!$B:$B, $C4651), IF($B4652 = "Service Item", _xlfn.XLOOKUP($A4652, 'Instrument Table'!$I:$I, 'Instrument Table'!$B:$B, $C4651), _xlfn.XLOOKUP($A4652, 'Instrument Table'!$H:$H, 'Instrument Table'!$B:$B, $C4651)))</f>
        <v>Clarinet</v>
      </c>
      <c r="D4652" s="1" t="str">
        <f>VLOOKUP($C4652, 'Instrument Table'!$B:$C, 2, FALSE)</f>
        <v>Woodwinds</v>
      </c>
      <c r="E4652" s="1">
        <f t="shared" si="432"/>
        <v>3</v>
      </c>
      <c r="F4652" s="1">
        <f>_xlfn.XLOOKUP($C4652, 'Instrument Table'!$B:$B, 'Instrument Table'!$A:$A, "")</f>
        <v>30</v>
      </c>
      <c r="G4652" s="1" t="str">
        <f>TEXT(IF($B4652 = "Retail Item", IF((ROW($A4652) - 4504 - _xlfn.XMATCH($C4652, $C$4506:$C$5005, 0, 1)) &lt;= VLOOKUP($C4652, 'Instrument Table'!$B:$D, 3, FALSE), ROW($A4652) - 4504 - _xlfn.XMATCH($C4652, $C$4506:$C$5005, 0, 1), 0), 0), "00")</f>
        <v>00</v>
      </c>
      <c r="H4652" s="1" t="str">
        <f t="shared" si="433"/>
        <v>000</v>
      </c>
      <c r="I4652" s="1" t="str">
        <f t="shared" si="434"/>
        <v>33000-000</v>
      </c>
      <c r="J4652" s="1" t="str">
        <f t="shared" si="435"/>
        <v>Clarinet retail item #000</v>
      </c>
      <c r="K4652" s="1" t="str">
        <f>IF(SUM(COUNTIFS(I:I, I4652)) &gt; 1, "DUPLICATE", "UNIQUE")</f>
        <v>UNIQUE</v>
      </c>
      <c r="L4652" s="18">
        <v>89</v>
      </c>
      <c r="M4652" s="28">
        <v>7364</v>
      </c>
      <c r="N4652" s="6">
        <v>94</v>
      </c>
      <c r="O4652" s="30">
        <f t="shared" si="436"/>
        <v>655396</v>
      </c>
      <c r="P4652" s="30">
        <f t="shared" si="437"/>
        <v>692216</v>
      </c>
      <c r="Q4652" s="1">
        <f>COUNTIFS($P:$P, "&gt;" &amp; $P4652) + 1</f>
        <v>40</v>
      </c>
      <c r="R4652" s="63">
        <f>(COUNTIFS($P:$P, "&gt;" &amp; $P4652) + 1) / (COUNTA($I:$I) - 1)</f>
        <v>8.0000000000000002E-3</v>
      </c>
      <c r="S4652" s="23">
        <f>SUMIFS($P:$P, $Q:$Q, "&lt;" &amp; $Q4652)</f>
        <v>31327038</v>
      </c>
    </row>
    <row r="4653" spans="1:19" x14ac:dyDescent="0.25">
      <c r="A4653" s="1">
        <v>4648</v>
      </c>
      <c r="B4653" s="1" t="s">
        <v>4</v>
      </c>
      <c r="C4653" s="1" t="str">
        <f>IF($B4653 = "Production Item", _xlfn.XLOOKUP($A4653, 'Instrument Table'!$J:$J, 'Instrument Table'!$B:$B, $C4652), IF($B4653 = "Service Item", _xlfn.XLOOKUP($A4653, 'Instrument Table'!$I:$I, 'Instrument Table'!$B:$B, $C4652), _xlfn.XLOOKUP($A4653, 'Instrument Table'!$H:$H, 'Instrument Table'!$B:$B, $C4652)))</f>
        <v>Clarinet</v>
      </c>
      <c r="D4653" s="1" t="str">
        <f>VLOOKUP($C4653, 'Instrument Table'!$B:$C, 2, FALSE)</f>
        <v>Woodwinds</v>
      </c>
      <c r="E4653" s="1">
        <f t="shared" si="432"/>
        <v>3</v>
      </c>
      <c r="F4653" s="1">
        <f>_xlfn.XLOOKUP($C4653, 'Instrument Table'!$B:$B, 'Instrument Table'!$A:$A, "")</f>
        <v>30</v>
      </c>
      <c r="G4653" s="1" t="str">
        <f>TEXT(IF($B4653 = "Retail Item", IF((ROW($A4653) - 4504 - _xlfn.XMATCH($C4653, $C$4506:$C$5005, 0, 1)) &lt;= VLOOKUP($C4653, 'Instrument Table'!$B:$D, 3, FALSE), ROW($A4653) - 4504 - _xlfn.XMATCH($C4653, $C$4506:$C$5005, 0, 1), 0), 0), "00")</f>
        <v>00</v>
      </c>
      <c r="H4653" s="1" t="str">
        <f t="shared" si="433"/>
        <v>001</v>
      </c>
      <c r="I4653" s="1" t="str">
        <f t="shared" si="434"/>
        <v>33000-001</v>
      </c>
      <c r="J4653" s="1" t="str">
        <f t="shared" si="435"/>
        <v>Clarinet retail item #001</v>
      </c>
      <c r="K4653" s="1" t="str">
        <f>IF(SUM(COUNTIFS(I:I, I4653)) &gt; 1, "DUPLICATE", "UNIQUE")</f>
        <v>UNIQUE</v>
      </c>
      <c r="L4653" s="18">
        <v>44</v>
      </c>
      <c r="M4653" s="28">
        <v>6560</v>
      </c>
      <c r="N4653" s="6">
        <v>95</v>
      </c>
      <c r="O4653" s="30">
        <f t="shared" si="436"/>
        <v>288640</v>
      </c>
      <c r="P4653" s="30">
        <f t="shared" si="437"/>
        <v>623200</v>
      </c>
      <c r="Q4653" s="1">
        <f>COUNTIFS($P:$P, "&gt;" &amp; $P4653) + 1</f>
        <v>54</v>
      </c>
      <c r="R4653" s="63">
        <f>(COUNTIFS($P:$P, "&gt;" &amp; $P4653) + 1) / (COUNTA($I:$I) - 1)</f>
        <v>1.0800000000000001E-2</v>
      </c>
      <c r="S4653" s="23">
        <f>SUMIFS($P:$P, $Q:$Q, "&lt;" &amp; $Q4653)</f>
        <v>40458300</v>
      </c>
    </row>
    <row r="4654" spans="1:19" x14ac:dyDescent="0.25">
      <c r="A4654" s="1">
        <v>4649</v>
      </c>
      <c r="B4654" s="1" t="s">
        <v>4</v>
      </c>
      <c r="C4654" s="1" t="str">
        <f>IF($B4654 = "Production Item", _xlfn.XLOOKUP($A4654, 'Instrument Table'!$J:$J, 'Instrument Table'!$B:$B, $C4653), IF($B4654 = "Service Item", _xlfn.XLOOKUP($A4654, 'Instrument Table'!$I:$I, 'Instrument Table'!$B:$B, $C4653), _xlfn.XLOOKUP($A4654, 'Instrument Table'!$H:$H, 'Instrument Table'!$B:$B, $C4653)))</f>
        <v>Clarinet</v>
      </c>
      <c r="D4654" s="1" t="str">
        <f>VLOOKUP($C4654, 'Instrument Table'!$B:$C, 2, FALSE)</f>
        <v>Woodwinds</v>
      </c>
      <c r="E4654" s="1">
        <f t="shared" si="432"/>
        <v>3</v>
      </c>
      <c r="F4654" s="1">
        <f>_xlfn.XLOOKUP($C4654, 'Instrument Table'!$B:$B, 'Instrument Table'!$A:$A, "")</f>
        <v>30</v>
      </c>
      <c r="G4654" s="1" t="str">
        <f>TEXT(IF($B4654 = "Retail Item", IF((ROW($A4654) - 4504 - _xlfn.XMATCH($C4654, $C$4506:$C$5005, 0, 1)) &lt;= VLOOKUP($C4654, 'Instrument Table'!$B:$D, 3, FALSE), ROW($A4654) - 4504 - _xlfn.XMATCH($C4654, $C$4506:$C$5005, 0, 1), 0), 0), "00")</f>
        <v>00</v>
      </c>
      <c r="H4654" s="1" t="str">
        <f t="shared" si="433"/>
        <v>002</v>
      </c>
      <c r="I4654" s="1" t="str">
        <f t="shared" si="434"/>
        <v>33000-002</v>
      </c>
      <c r="J4654" s="1" t="str">
        <f t="shared" si="435"/>
        <v>Clarinet retail item #002</v>
      </c>
      <c r="K4654" s="1" t="str">
        <f>IF(SUM(COUNTIFS(I:I, I4654)) &gt; 1, "DUPLICATE", "UNIQUE")</f>
        <v>UNIQUE</v>
      </c>
      <c r="L4654" s="18">
        <v>79</v>
      </c>
      <c r="M4654" s="28">
        <v>4887</v>
      </c>
      <c r="N4654" s="6">
        <v>5</v>
      </c>
      <c r="O4654" s="30">
        <f t="shared" si="436"/>
        <v>386073</v>
      </c>
      <c r="P4654" s="30">
        <f t="shared" si="437"/>
        <v>24435</v>
      </c>
      <c r="Q4654" s="1">
        <f>COUNTIFS($P:$P, "&gt;" &amp; $P4654) + 1</f>
        <v>857</v>
      </c>
      <c r="R4654" s="63">
        <f>(COUNTIFS($P:$P, "&gt;" &amp; $P4654) + 1) / (COUNTA($I:$I) - 1)</f>
        <v>0.1714</v>
      </c>
      <c r="S4654" s="23">
        <f>SUMIFS($P:$P, $Q:$Q, "&lt;" &amp; $Q4654)</f>
        <v>163255457</v>
      </c>
    </row>
    <row r="4655" spans="1:19" x14ac:dyDescent="0.25">
      <c r="A4655" s="1">
        <v>4650</v>
      </c>
      <c r="B4655" s="1" t="s">
        <v>4</v>
      </c>
      <c r="C4655" s="1" t="str">
        <f>IF($B4655 = "Production Item", _xlfn.XLOOKUP($A4655, 'Instrument Table'!$J:$J, 'Instrument Table'!$B:$B, $C4654), IF($B4655 = "Service Item", _xlfn.XLOOKUP($A4655, 'Instrument Table'!$I:$I, 'Instrument Table'!$B:$B, $C4654), _xlfn.XLOOKUP($A4655, 'Instrument Table'!$H:$H, 'Instrument Table'!$B:$B, $C4654)))</f>
        <v>Clarinet</v>
      </c>
      <c r="D4655" s="1" t="str">
        <f>VLOOKUP($C4655, 'Instrument Table'!$B:$C, 2, FALSE)</f>
        <v>Woodwinds</v>
      </c>
      <c r="E4655" s="1">
        <f t="shared" si="432"/>
        <v>3</v>
      </c>
      <c r="F4655" s="1">
        <f>_xlfn.XLOOKUP($C4655, 'Instrument Table'!$B:$B, 'Instrument Table'!$A:$A, "")</f>
        <v>30</v>
      </c>
      <c r="G4655" s="1" t="str">
        <f>TEXT(IF($B4655 = "Retail Item", IF((ROW($A4655) - 4504 - _xlfn.XMATCH($C4655, $C$4506:$C$5005, 0, 1)) &lt;= VLOOKUP($C4655, 'Instrument Table'!$B:$D, 3, FALSE), ROW($A4655) - 4504 - _xlfn.XMATCH($C4655, $C$4506:$C$5005, 0, 1), 0), 0), "00")</f>
        <v>00</v>
      </c>
      <c r="H4655" s="1" t="str">
        <f t="shared" si="433"/>
        <v>003</v>
      </c>
      <c r="I4655" s="1" t="str">
        <f t="shared" si="434"/>
        <v>33000-003</v>
      </c>
      <c r="J4655" s="1" t="str">
        <f t="shared" si="435"/>
        <v>Clarinet retail item #003</v>
      </c>
      <c r="K4655" s="1" t="str">
        <f>IF(SUM(COUNTIFS(I:I, I4655)) &gt; 1, "DUPLICATE", "UNIQUE")</f>
        <v>UNIQUE</v>
      </c>
      <c r="L4655" s="18">
        <v>94</v>
      </c>
      <c r="M4655" s="28">
        <v>9261</v>
      </c>
      <c r="N4655" s="6">
        <v>98</v>
      </c>
      <c r="O4655" s="30">
        <f t="shared" si="436"/>
        <v>870534</v>
      </c>
      <c r="P4655" s="30">
        <f t="shared" si="437"/>
        <v>907578</v>
      </c>
      <c r="Q4655" s="1">
        <f>COUNTIFS($P:$P, "&gt;" &amp; $P4655) + 1</f>
        <v>6</v>
      </c>
      <c r="R4655" s="63">
        <f>(COUNTIFS($P:$P, "&gt;" &amp; $P4655) + 1) / (COUNTA($I:$I) - 1)</f>
        <v>1.1999999999999999E-3</v>
      </c>
      <c r="S4655" s="23">
        <f>SUMIFS($P:$P, $Q:$Q, "&lt;" &amp; $Q4655)</f>
        <v>4702304</v>
      </c>
    </row>
    <row r="4656" spans="1:19" x14ac:dyDescent="0.25">
      <c r="A4656" s="1">
        <v>4651</v>
      </c>
      <c r="B4656" s="1" t="s">
        <v>4</v>
      </c>
      <c r="C4656" s="1" t="str">
        <f>IF($B4656 = "Production Item", _xlfn.XLOOKUP($A4656, 'Instrument Table'!$J:$J, 'Instrument Table'!$B:$B, $C4655), IF($B4656 = "Service Item", _xlfn.XLOOKUP($A4656, 'Instrument Table'!$I:$I, 'Instrument Table'!$B:$B, $C4655), _xlfn.XLOOKUP($A4656, 'Instrument Table'!$H:$H, 'Instrument Table'!$B:$B, $C4655)))</f>
        <v>Clarinet</v>
      </c>
      <c r="D4656" s="1" t="str">
        <f>VLOOKUP($C4656, 'Instrument Table'!$B:$C, 2, FALSE)</f>
        <v>Woodwinds</v>
      </c>
      <c r="E4656" s="1">
        <f t="shared" si="432"/>
        <v>3</v>
      </c>
      <c r="F4656" s="1">
        <f>_xlfn.XLOOKUP($C4656, 'Instrument Table'!$B:$B, 'Instrument Table'!$A:$A, "")</f>
        <v>30</v>
      </c>
      <c r="G4656" s="1" t="str">
        <f>TEXT(IF($B4656 = "Retail Item", IF((ROW($A4656) - 4504 - _xlfn.XMATCH($C4656, $C$4506:$C$5005, 0, 1)) &lt;= VLOOKUP($C4656, 'Instrument Table'!$B:$D, 3, FALSE), ROW($A4656) - 4504 - _xlfn.XMATCH($C4656, $C$4506:$C$5005, 0, 1), 0), 0), "00")</f>
        <v>00</v>
      </c>
      <c r="H4656" s="1" t="str">
        <f t="shared" si="433"/>
        <v>004</v>
      </c>
      <c r="I4656" s="1" t="str">
        <f t="shared" si="434"/>
        <v>33000-004</v>
      </c>
      <c r="J4656" s="1" t="str">
        <f t="shared" si="435"/>
        <v>Clarinet retail item #004</v>
      </c>
      <c r="K4656" s="1" t="str">
        <f>IF(SUM(COUNTIFS(I:I, I4656)) &gt; 1, "DUPLICATE", "UNIQUE")</f>
        <v>UNIQUE</v>
      </c>
      <c r="L4656" s="18">
        <v>25</v>
      </c>
      <c r="M4656" s="28">
        <v>3028</v>
      </c>
      <c r="N4656" s="6">
        <v>52</v>
      </c>
      <c r="O4656" s="30">
        <f t="shared" si="436"/>
        <v>75700</v>
      </c>
      <c r="P4656" s="30">
        <f t="shared" si="437"/>
        <v>157456</v>
      </c>
      <c r="Q4656" s="1">
        <f>COUNTIFS($P:$P, "&gt;" &amp; $P4656) + 1</f>
        <v>324</v>
      </c>
      <c r="R4656" s="63">
        <f>(COUNTIFS($P:$P, "&gt;" &amp; $P4656) + 1) / (COUNTA($I:$I) - 1)</f>
        <v>6.4799999999999996E-2</v>
      </c>
      <c r="S4656" s="23">
        <f>SUMIFS($P:$P, $Q:$Q, "&lt;" &amp; $Q4656)</f>
        <v>133629409</v>
      </c>
    </row>
    <row r="4657" spans="1:19" x14ac:dyDescent="0.25">
      <c r="A4657" s="1">
        <v>4652</v>
      </c>
      <c r="B4657" s="1" t="s">
        <v>4</v>
      </c>
      <c r="C4657" s="1" t="str">
        <f>IF($B4657 = "Production Item", _xlfn.XLOOKUP($A4657, 'Instrument Table'!$J:$J, 'Instrument Table'!$B:$B, $C4656), IF($B4657 = "Service Item", _xlfn.XLOOKUP($A4657, 'Instrument Table'!$I:$I, 'Instrument Table'!$B:$B, $C4656), _xlfn.XLOOKUP($A4657, 'Instrument Table'!$H:$H, 'Instrument Table'!$B:$B, $C4656)))</f>
        <v>Clarinet</v>
      </c>
      <c r="D4657" s="1" t="str">
        <f>VLOOKUP($C4657, 'Instrument Table'!$B:$C, 2, FALSE)</f>
        <v>Woodwinds</v>
      </c>
      <c r="E4657" s="1">
        <f t="shared" si="432"/>
        <v>3</v>
      </c>
      <c r="F4657" s="1">
        <f>_xlfn.XLOOKUP($C4657, 'Instrument Table'!$B:$B, 'Instrument Table'!$A:$A, "")</f>
        <v>30</v>
      </c>
      <c r="G4657" s="1" t="str">
        <f>TEXT(IF($B4657 = "Retail Item", IF((ROW($A4657) - 4504 - _xlfn.XMATCH($C4657, $C$4506:$C$5005, 0, 1)) &lt;= VLOOKUP($C4657, 'Instrument Table'!$B:$D, 3, FALSE), ROW($A4657) - 4504 - _xlfn.XMATCH($C4657, $C$4506:$C$5005, 0, 1), 0), 0), "00")</f>
        <v>00</v>
      </c>
      <c r="H4657" s="1" t="str">
        <f t="shared" si="433"/>
        <v>005</v>
      </c>
      <c r="I4657" s="1" t="str">
        <f t="shared" si="434"/>
        <v>33000-005</v>
      </c>
      <c r="J4657" s="1" t="str">
        <f t="shared" si="435"/>
        <v>Clarinet retail item #005</v>
      </c>
      <c r="K4657" s="1" t="str">
        <f>IF(SUM(COUNTIFS(I:I, I4657)) &gt; 1, "DUPLICATE", "UNIQUE")</f>
        <v>UNIQUE</v>
      </c>
      <c r="L4657" s="18">
        <v>75</v>
      </c>
      <c r="M4657" s="28">
        <v>7650</v>
      </c>
      <c r="N4657" s="6">
        <v>15</v>
      </c>
      <c r="O4657" s="30">
        <f t="shared" si="436"/>
        <v>573750</v>
      </c>
      <c r="P4657" s="30">
        <f t="shared" si="437"/>
        <v>114750</v>
      </c>
      <c r="Q4657" s="1">
        <f>COUNTIFS($P:$P, "&gt;" &amp; $P4657) + 1</f>
        <v>385</v>
      </c>
      <c r="R4657" s="63">
        <f>(COUNTIFS($P:$P, "&gt;" &amp; $P4657) + 1) / (COUNTA($I:$I) - 1)</f>
        <v>7.6999999999999999E-2</v>
      </c>
      <c r="S4657" s="23">
        <f>SUMIFS($P:$P, $Q:$Q, "&lt;" &amp; $Q4657)</f>
        <v>141786705</v>
      </c>
    </row>
    <row r="4658" spans="1:19" x14ac:dyDescent="0.25">
      <c r="A4658" s="1">
        <v>4653</v>
      </c>
      <c r="B4658" s="1" t="s">
        <v>4</v>
      </c>
      <c r="C4658" s="1" t="str">
        <f>IF($B4658 = "Production Item", _xlfn.XLOOKUP($A4658, 'Instrument Table'!$J:$J, 'Instrument Table'!$B:$B, $C4657), IF($B4658 = "Service Item", _xlfn.XLOOKUP($A4658, 'Instrument Table'!$I:$I, 'Instrument Table'!$B:$B, $C4657), _xlfn.XLOOKUP($A4658, 'Instrument Table'!$H:$H, 'Instrument Table'!$B:$B, $C4657)))</f>
        <v>Clarinet</v>
      </c>
      <c r="D4658" s="1" t="str">
        <f>VLOOKUP($C4658, 'Instrument Table'!$B:$C, 2, FALSE)</f>
        <v>Woodwinds</v>
      </c>
      <c r="E4658" s="1">
        <f t="shared" si="432"/>
        <v>3</v>
      </c>
      <c r="F4658" s="1">
        <f>_xlfn.XLOOKUP($C4658, 'Instrument Table'!$B:$B, 'Instrument Table'!$A:$A, "")</f>
        <v>30</v>
      </c>
      <c r="G4658" s="1" t="str">
        <f>TEXT(IF($B4658 = "Retail Item", IF((ROW($A4658) - 4504 - _xlfn.XMATCH($C4658, $C$4506:$C$5005, 0, 1)) &lt;= VLOOKUP($C4658, 'Instrument Table'!$B:$D, 3, FALSE), ROW($A4658) - 4504 - _xlfn.XMATCH($C4658, $C$4506:$C$5005, 0, 1), 0), 0), "00")</f>
        <v>00</v>
      </c>
      <c r="H4658" s="1" t="str">
        <f t="shared" si="433"/>
        <v>006</v>
      </c>
      <c r="I4658" s="1" t="str">
        <f t="shared" si="434"/>
        <v>33000-006</v>
      </c>
      <c r="J4658" s="1" t="str">
        <f t="shared" si="435"/>
        <v>Clarinet retail item #006</v>
      </c>
      <c r="K4658" s="1" t="str">
        <f>IF(SUM(COUNTIFS(I:I, I4658)) &gt; 1, "DUPLICATE", "UNIQUE")</f>
        <v>UNIQUE</v>
      </c>
      <c r="L4658" s="18">
        <v>18</v>
      </c>
      <c r="M4658" s="28">
        <v>2656</v>
      </c>
      <c r="N4658" s="6">
        <v>39</v>
      </c>
      <c r="O4658" s="30">
        <f t="shared" si="436"/>
        <v>47808</v>
      </c>
      <c r="P4658" s="30">
        <f t="shared" si="437"/>
        <v>103584</v>
      </c>
      <c r="Q4658" s="1">
        <f>COUNTIFS($P:$P, "&gt;" &amp; $P4658) + 1</f>
        <v>401</v>
      </c>
      <c r="R4658" s="63">
        <f>(COUNTIFS($P:$P, "&gt;" &amp; $P4658) + 1) / (COUNTA($I:$I) - 1)</f>
        <v>8.0199999999999994E-2</v>
      </c>
      <c r="S4658" s="23">
        <f>SUMIFS($P:$P, $Q:$Q, "&lt;" &amp; $Q4658)</f>
        <v>143545878</v>
      </c>
    </row>
    <row r="4659" spans="1:19" x14ac:dyDescent="0.25">
      <c r="A4659" s="1">
        <v>4654</v>
      </c>
      <c r="B4659" s="1" t="s">
        <v>4</v>
      </c>
      <c r="C4659" s="1" t="str">
        <f>IF($B4659 = "Production Item", _xlfn.XLOOKUP($A4659, 'Instrument Table'!$J:$J, 'Instrument Table'!$B:$B, $C4658), IF($B4659 = "Service Item", _xlfn.XLOOKUP($A4659, 'Instrument Table'!$I:$I, 'Instrument Table'!$B:$B, $C4658), _xlfn.XLOOKUP($A4659, 'Instrument Table'!$H:$H, 'Instrument Table'!$B:$B, $C4658)))</f>
        <v>Clarinet</v>
      </c>
      <c r="D4659" s="1" t="str">
        <f>VLOOKUP($C4659, 'Instrument Table'!$B:$C, 2, FALSE)</f>
        <v>Woodwinds</v>
      </c>
      <c r="E4659" s="1">
        <f t="shared" si="432"/>
        <v>3</v>
      </c>
      <c r="F4659" s="1">
        <f>_xlfn.XLOOKUP($C4659, 'Instrument Table'!$B:$B, 'Instrument Table'!$A:$A, "")</f>
        <v>30</v>
      </c>
      <c r="G4659" s="1" t="str">
        <f>TEXT(IF($B4659 = "Retail Item", IF((ROW($A4659) - 4504 - _xlfn.XMATCH($C4659, $C$4506:$C$5005, 0, 1)) &lt;= VLOOKUP($C4659, 'Instrument Table'!$B:$D, 3, FALSE), ROW($A4659) - 4504 - _xlfn.XMATCH($C4659, $C$4506:$C$5005, 0, 1), 0), 0), "00")</f>
        <v>00</v>
      </c>
      <c r="H4659" s="1" t="str">
        <f t="shared" si="433"/>
        <v>007</v>
      </c>
      <c r="I4659" s="1" t="str">
        <f t="shared" si="434"/>
        <v>33000-007</v>
      </c>
      <c r="J4659" s="1" t="str">
        <f t="shared" si="435"/>
        <v>Clarinet retail item #007</v>
      </c>
      <c r="K4659" s="1" t="str">
        <f>IF(SUM(COUNTIFS(I:I, I4659)) &gt; 1, "DUPLICATE", "UNIQUE")</f>
        <v>UNIQUE</v>
      </c>
      <c r="L4659" s="18">
        <v>1</v>
      </c>
      <c r="M4659" s="28">
        <v>5195</v>
      </c>
      <c r="N4659" s="6">
        <v>100</v>
      </c>
      <c r="O4659" s="30">
        <f t="shared" si="436"/>
        <v>5195</v>
      </c>
      <c r="P4659" s="30">
        <f t="shared" si="437"/>
        <v>519500</v>
      </c>
      <c r="Q4659" s="1">
        <f>COUNTIFS($P:$P, "&gt;" &amp; $P4659) + 1</f>
        <v>89</v>
      </c>
      <c r="R4659" s="63">
        <f>(COUNTIFS($P:$P, "&gt;" &amp; $P4659) + 1) / (COUNTA($I:$I) - 1)</f>
        <v>1.78E-2</v>
      </c>
      <c r="S4659" s="23">
        <f>SUMIFS($P:$P, $Q:$Q, "&lt;" &amp; $Q4659)</f>
        <v>60559175</v>
      </c>
    </row>
    <row r="4660" spans="1:19" x14ac:dyDescent="0.25">
      <c r="A4660" s="1">
        <v>4655</v>
      </c>
      <c r="B4660" s="1" t="s">
        <v>4</v>
      </c>
      <c r="C4660" s="1" t="str">
        <f>IF($B4660 = "Production Item", _xlfn.XLOOKUP($A4660, 'Instrument Table'!$J:$J, 'Instrument Table'!$B:$B, $C4659), IF($B4660 = "Service Item", _xlfn.XLOOKUP($A4660, 'Instrument Table'!$I:$I, 'Instrument Table'!$B:$B, $C4659), _xlfn.XLOOKUP($A4660, 'Instrument Table'!$H:$H, 'Instrument Table'!$B:$B, $C4659)))</f>
        <v>Clarinet</v>
      </c>
      <c r="D4660" s="1" t="str">
        <f>VLOOKUP($C4660, 'Instrument Table'!$B:$C, 2, FALSE)</f>
        <v>Woodwinds</v>
      </c>
      <c r="E4660" s="1">
        <f t="shared" si="432"/>
        <v>3</v>
      </c>
      <c r="F4660" s="1">
        <f>_xlfn.XLOOKUP($C4660, 'Instrument Table'!$B:$B, 'Instrument Table'!$A:$A, "")</f>
        <v>30</v>
      </c>
      <c r="G4660" s="1" t="str">
        <f>TEXT(IF($B4660 = "Retail Item", IF((ROW($A4660) - 4504 - _xlfn.XMATCH($C4660, $C$4506:$C$5005, 0, 1)) &lt;= VLOOKUP($C4660, 'Instrument Table'!$B:$D, 3, FALSE), ROW($A4660) - 4504 - _xlfn.XMATCH($C4660, $C$4506:$C$5005, 0, 1), 0), 0), "00")</f>
        <v>00</v>
      </c>
      <c r="H4660" s="1" t="str">
        <f t="shared" si="433"/>
        <v>008</v>
      </c>
      <c r="I4660" s="1" t="str">
        <f t="shared" si="434"/>
        <v>33000-008</v>
      </c>
      <c r="J4660" s="1" t="str">
        <f t="shared" si="435"/>
        <v>Clarinet retail item #008</v>
      </c>
      <c r="K4660" s="1" t="str">
        <f>IF(SUM(COUNTIFS(I:I, I4660)) &gt; 1, "DUPLICATE", "UNIQUE")</f>
        <v>UNIQUE</v>
      </c>
      <c r="L4660" s="18">
        <v>81</v>
      </c>
      <c r="M4660" s="28">
        <v>1105</v>
      </c>
      <c r="N4660" s="6">
        <v>50</v>
      </c>
      <c r="O4660" s="30">
        <f t="shared" si="436"/>
        <v>89505</v>
      </c>
      <c r="P4660" s="30">
        <f t="shared" si="437"/>
        <v>55250</v>
      </c>
      <c r="Q4660" s="1">
        <f>COUNTIFS($P:$P, "&gt;" &amp; $P4660) + 1</f>
        <v>511</v>
      </c>
      <c r="R4660" s="63">
        <f>(COUNTIFS($P:$P, "&gt;" &amp; $P4660) + 1) / (COUNTA($I:$I) - 1)</f>
        <v>0.1022</v>
      </c>
      <c r="S4660" s="23">
        <f>SUMIFS($P:$P, $Q:$Q, "&lt;" &amp; $Q4660)</f>
        <v>152101054</v>
      </c>
    </row>
    <row r="4661" spans="1:19" x14ac:dyDescent="0.25">
      <c r="A4661" s="1">
        <v>4656</v>
      </c>
      <c r="B4661" s="1" t="s">
        <v>4</v>
      </c>
      <c r="C4661" s="1" t="str">
        <f>IF($B4661 = "Production Item", _xlfn.XLOOKUP($A4661, 'Instrument Table'!$J:$J, 'Instrument Table'!$B:$B, $C4660), IF($B4661 = "Service Item", _xlfn.XLOOKUP($A4661, 'Instrument Table'!$I:$I, 'Instrument Table'!$B:$B, $C4660), _xlfn.XLOOKUP($A4661, 'Instrument Table'!$H:$H, 'Instrument Table'!$B:$B, $C4660)))</f>
        <v>Clarinet</v>
      </c>
      <c r="D4661" s="1" t="str">
        <f>VLOOKUP($C4661, 'Instrument Table'!$B:$C, 2, FALSE)</f>
        <v>Woodwinds</v>
      </c>
      <c r="E4661" s="1">
        <f t="shared" si="432"/>
        <v>3</v>
      </c>
      <c r="F4661" s="1">
        <f>_xlfn.XLOOKUP($C4661, 'Instrument Table'!$B:$B, 'Instrument Table'!$A:$A, "")</f>
        <v>30</v>
      </c>
      <c r="G4661" s="1" t="str">
        <f>TEXT(IF($B4661 = "Retail Item", IF((ROW($A4661) - 4504 - _xlfn.XMATCH($C4661, $C$4506:$C$5005, 0, 1)) &lt;= VLOOKUP($C4661, 'Instrument Table'!$B:$D, 3, FALSE), ROW($A4661) - 4504 - _xlfn.XMATCH($C4661, $C$4506:$C$5005, 0, 1), 0), 0), "00")</f>
        <v>00</v>
      </c>
      <c r="H4661" s="1" t="str">
        <f t="shared" si="433"/>
        <v>009</v>
      </c>
      <c r="I4661" s="1" t="str">
        <f t="shared" si="434"/>
        <v>33000-009</v>
      </c>
      <c r="J4661" s="1" t="str">
        <f t="shared" si="435"/>
        <v>Clarinet retail item #009</v>
      </c>
      <c r="K4661" s="1" t="str">
        <f>IF(SUM(COUNTIFS(I:I, I4661)) &gt; 1, "DUPLICATE", "UNIQUE")</f>
        <v>UNIQUE</v>
      </c>
      <c r="L4661" s="18">
        <v>69</v>
      </c>
      <c r="M4661" s="28">
        <v>4914</v>
      </c>
      <c r="N4661" s="6">
        <v>93</v>
      </c>
      <c r="O4661" s="30">
        <f t="shared" si="436"/>
        <v>339066</v>
      </c>
      <c r="P4661" s="30">
        <f t="shared" si="437"/>
        <v>457002</v>
      </c>
      <c r="Q4661" s="1">
        <f>COUNTIFS($P:$P, "&gt;" &amp; $P4661) + 1</f>
        <v>115</v>
      </c>
      <c r="R4661" s="63">
        <f>(COUNTIFS($P:$P, "&gt;" &amp; $P4661) + 1) / (COUNTA($I:$I) - 1)</f>
        <v>2.3E-2</v>
      </c>
      <c r="S4661" s="23">
        <f>SUMIFS($P:$P, $Q:$Q, "&lt;" &amp; $Q4661)</f>
        <v>73252646</v>
      </c>
    </row>
    <row r="4662" spans="1:19" x14ac:dyDescent="0.25">
      <c r="A4662" s="1">
        <v>4657</v>
      </c>
      <c r="B4662" s="1" t="s">
        <v>4</v>
      </c>
      <c r="C4662" s="1" t="str">
        <f>IF($B4662 = "Production Item", _xlfn.XLOOKUP($A4662, 'Instrument Table'!$J:$J, 'Instrument Table'!$B:$B, $C4661), IF($B4662 = "Service Item", _xlfn.XLOOKUP($A4662, 'Instrument Table'!$I:$I, 'Instrument Table'!$B:$B, $C4661), _xlfn.XLOOKUP($A4662, 'Instrument Table'!$H:$H, 'Instrument Table'!$B:$B, $C4661)))</f>
        <v>Saxophone</v>
      </c>
      <c r="D4662" s="1" t="str">
        <f>VLOOKUP($C4662, 'Instrument Table'!$B:$C, 2, FALSE)</f>
        <v>Woodwinds</v>
      </c>
      <c r="E4662" s="1">
        <f t="shared" si="432"/>
        <v>3</v>
      </c>
      <c r="F4662" s="1">
        <f>_xlfn.XLOOKUP($C4662, 'Instrument Table'!$B:$B, 'Instrument Table'!$A:$A, "")</f>
        <v>31</v>
      </c>
      <c r="G4662" s="1" t="str">
        <f>TEXT(IF($B4662 = "Retail Item", IF((ROW($A4662) - 4504 - _xlfn.XMATCH($C4662, $C$4506:$C$5005, 0, 1)) &lt;= VLOOKUP($C4662, 'Instrument Table'!$B:$D, 3, FALSE), ROW($A4662) - 4504 - _xlfn.XMATCH($C4662, $C$4506:$C$5005, 0, 1), 0), 0), "00")</f>
        <v>01</v>
      </c>
      <c r="H4662" s="1" t="str">
        <f t="shared" si="433"/>
        <v>000</v>
      </c>
      <c r="I4662" s="1" t="str">
        <f t="shared" si="434"/>
        <v>33101-000</v>
      </c>
      <c r="J4662" s="1" t="str">
        <f t="shared" si="435"/>
        <v>Saxophone model #01</v>
      </c>
      <c r="K4662" s="1" t="str">
        <f>IF(SUM(COUNTIFS(I:I, I4662)) &gt; 1, "DUPLICATE", "UNIQUE")</f>
        <v>UNIQUE</v>
      </c>
      <c r="L4662" s="18">
        <v>36</v>
      </c>
      <c r="M4662" s="28">
        <v>2961</v>
      </c>
      <c r="N4662" s="6">
        <v>16</v>
      </c>
      <c r="O4662" s="30">
        <f t="shared" si="436"/>
        <v>106596</v>
      </c>
      <c r="P4662" s="30">
        <f t="shared" si="437"/>
        <v>47376</v>
      </c>
      <c r="Q4662" s="1">
        <f>COUNTIFS($P:$P, "&gt;" &amp; $P4662) + 1</f>
        <v>531</v>
      </c>
      <c r="R4662" s="63">
        <f>(COUNTIFS($P:$P, "&gt;" &amp; $P4662) + 1) / (COUNTA($I:$I) - 1)</f>
        <v>0.1062</v>
      </c>
      <c r="S4662" s="23">
        <f>SUMIFS($P:$P, $Q:$Q, "&lt;" &amp; $Q4662)</f>
        <v>153148113</v>
      </c>
    </row>
    <row r="4663" spans="1:19" x14ac:dyDescent="0.25">
      <c r="A4663" s="1">
        <v>4658</v>
      </c>
      <c r="B4663" s="1" t="s">
        <v>4</v>
      </c>
      <c r="C4663" s="1" t="str">
        <f>IF($B4663 = "Production Item", _xlfn.XLOOKUP($A4663, 'Instrument Table'!$J:$J, 'Instrument Table'!$B:$B, $C4662), IF($B4663 = "Service Item", _xlfn.XLOOKUP($A4663, 'Instrument Table'!$I:$I, 'Instrument Table'!$B:$B, $C4662), _xlfn.XLOOKUP($A4663, 'Instrument Table'!$H:$H, 'Instrument Table'!$B:$B, $C4662)))</f>
        <v>Saxophone</v>
      </c>
      <c r="D4663" s="1" t="str">
        <f>VLOOKUP($C4663, 'Instrument Table'!$B:$C, 2, FALSE)</f>
        <v>Woodwinds</v>
      </c>
      <c r="E4663" s="1">
        <f t="shared" si="432"/>
        <v>3</v>
      </c>
      <c r="F4663" s="1">
        <f>_xlfn.XLOOKUP($C4663, 'Instrument Table'!$B:$B, 'Instrument Table'!$A:$A, "")</f>
        <v>31</v>
      </c>
      <c r="G4663" s="1" t="str">
        <f>TEXT(IF($B4663 = "Retail Item", IF((ROW($A4663) - 4504 - _xlfn.XMATCH($C4663, $C$4506:$C$5005, 0, 1)) &lt;= VLOOKUP($C4663, 'Instrument Table'!$B:$D, 3, FALSE), ROW($A4663) - 4504 - _xlfn.XMATCH($C4663, $C$4506:$C$5005, 0, 1), 0), 0), "00")</f>
        <v>02</v>
      </c>
      <c r="H4663" s="1" t="str">
        <f t="shared" si="433"/>
        <v>000</v>
      </c>
      <c r="I4663" s="1" t="str">
        <f t="shared" si="434"/>
        <v>33102-000</v>
      </c>
      <c r="J4663" s="1" t="str">
        <f t="shared" si="435"/>
        <v>Saxophone model #02</v>
      </c>
      <c r="K4663" s="1" t="str">
        <f>IF(SUM(COUNTIFS(I:I, I4663)) &gt; 1, "DUPLICATE", "UNIQUE")</f>
        <v>UNIQUE</v>
      </c>
      <c r="L4663" s="18">
        <v>64</v>
      </c>
      <c r="M4663" s="28">
        <v>9158</v>
      </c>
      <c r="N4663" s="6">
        <v>97</v>
      </c>
      <c r="O4663" s="30">
        <f t="shared" si="436"/>
        <v>586112</v>
      </c>
      <c r="P4663" s="30">
        <f t="shared" si="437"/>
        <v>888326</v>
      </c>
      <c r="Q4663" s="1">
        <f>COUNTIFS($P:$P, "&gt;" &amp; $P4663) + 1</f>
        <v>7</v>
      </c>
      <c r="R4663" s="63">
        <f>(COUNTIFS($P:$P, "&gt;" &amp; $P4663) + 1) / (COUNTA($I:$I) - 1)</f>
        <v>1.4E-3</v>
      </c>
      <c r="S4663" s="23">
        <f>SUMIFS($P:$P, $Q:$Q, "&lt;" &amp; $Q4663)</f>
        <v>5609882</v>
      </c>
    </row>
    <row r="4664" spans="1:19" x14ac:dyDescent="0.25">
      <c r="A4664" s="1">
        <v>4659</v>
      </c>
      <c r="B4664" s="1" t="s">
        <v>4</v>
      </c>
      <c r="C4664" s="1" t="str">
        <f>IF($B4664 = "Production Item", _xlfn.XLOOKUP($A4664, 'Instrument Table'!$J:$J, 'Instrument Table'!$B:$B, $C4663), IF($B4664 = "Service Item", _xlfn.XLOOKUP($A4664, 'Instrument Table'!$I:$I, 'Instrument Table'!$B:$B, $C4663), _xlfn.XLOOKUP($A4664, 'Instrument Table'!$H:$H, 'Instrument Table'!$B:$B, $C4663)))</f>
        <v>Saxophone</v>
      </c>
      <c r="D4664" s="1" t="str">
        <f>VLOOKUP($C4664, 'Instrument Table'!$B:$C, 2, FALSE)</f>
        <v>Woodwinds</v>
      </c>
      <c r="E4664" s="1">
        <f t="shared" si="432"/>
        <v>3</v>
      </c>
      <c r="F4664" s="1">
        <f>_xlfn.XLOOKUP($C4664, 'Instrument Table'!$B:$B, 'Instrument Table'!$A:$A, "")</f>
        <v>31</v>
      </c>
      <c r="G4664" s="1" t="str">
        <f>TEXT(IF($B4664 = "Retail Item", IF((ROW($A4664) - 4504 - _xlfn.XMATCH($C4664, $C$4506:$C$5005, 0, 1)) &lt;= VLOOKUP($C4664, 'Instrument Table'!$B:$D, 3, FALSE), ROW($A4664) - 4504 - _xlfn.XMATCH($C4664, $C$4506:$C$5005, 0, 1), 0), 0), "00")</f>
        <v>03</v>
      </c>
      <c r="H4664" s="1" t="str">
        <f t="shared" si="433"/>
        <v>000</v>
      </c>
      <c r="I4664" s="1" t="str">
        <f t="shared" si="434"/>
        <v>33103-000</v>
      </c>
      <c r="J4664" s="1" t="str">
        <f t="shared" si="435"/>
        <v>Saxophone model #03</v>
      </c>
      <c r="K4664" s="1" t="str">
        <f>IF(SUM(COUNTIFS(I:I, I4664)) &gt; 1, "DUPLICATE", "UNIQUE")</f>
        <v>UNIQUE</v>
      </c>
      <c r="L4664" s="18">
        <v>90</v>
      </c>
      <c r="M4664" s="28">
        <v>3316</v>
      </c>
      <c r="N4664" s="6">
        <v>50</v>
      </c>
      <c r="O4664" s="30">
        <f t="shared" si="436"/>
        <v>298440</v>
      </c>
      <c r="P4664" s="30">
        <f t="shared" si="437"/>
        <v>165800</v>
      </c>
      <c r="Q4664" s="1">
        <f>COUNTIFS($P:$P, "&gt;" &amp; $P4664) + 1</f>
        <v>316</v>
      </c>
      <c r="R4664" s="63">
        <f>(COUNTIFS($P:$P, "&gt;" &amp; $P4664) + 1) / (COUNTA($I:$I) - 1)</f>
        <v>6.3200000000000006E-2</v>
      </c>
      <c r="S4664" s="23">
        <f>SUMIFS($P:$P, $Q:$Q, "&lt;" &amp; $Q4664)</f>
        <v>132334576</v>
      </c>
    </row>
    <row r="4665" spans="1:19" x14ac:dyDescent="0.25">
      <c r="A4665" s="1">
        <v>4660</v>
      </c>
      <c r="B4665" s="1" t="s">
        <v>4</v>
      </c>
      <c r="C4665" s="1" t="str">
        <f>IF($B4665 = "Production Item", _xlfn.XLOOKUP($A4665, 'Instrument Table'!$J:$J, 'Instrument Table'!$B:$B, $C4664), IF($B4665 = "Service Item", _xlfn.XLOOKUP($A4665, 'Instrument Table'!$I:$I, 'Instrument Table'!$B:$B, $C4664), _xlfn.XLOOKUP($A4665, 'Instrument Table'!$H:$H, 'Instrument Table'!$B:$B, $C4664)))</f>
        <v>Saxophone</v>
      </c>
      <c r="D4665" s="1" t="str">
        <f>VLOOKUP($C4665, 'Instrument Table'!$B:$C, 2, FALSE)</f>
        <v>Woodwinds</v>
      </c>
      <c r="E4665" s="1">
        <f t="shared" si="432"/>
        <v>3</v>
      </c>
      <c r="F4665" s="1">
        <f>_xlfn.XLOOKUP($C4665, 'Instrument Table'!$B:$B, 'Instrument Table'!$A:$A, "")</f>
        <v>31</v>
      </c>
      <c r="G4665" s="1" t="str">
        <f>TEXT(IF($B4665 = "Retail Item", IF((ROW($A4665) - 4504 - _xlfn.XMATCH($C4665, $C$4506:$C$5005, 0, 1)) &lt;= VLOOKUP($C4665, 'Instrument Table'!$B:$D, 3, FALSE), ROW($A4665) - 4504 - _xlfn.XMATCH($C4665, $C$4506:$C$5005, 0, 1), 0), 0), "00")</f>
        <v>04</v>
      </c>
      <c r="H4665" s="1" t="str">
        <f t="shared" si="433"/>
        <v>000</v>
      </c>
      <c r="I4665" s="1" t="str">
        <f t="shared" si="434"/>
        <v>33104-000</v>
      </c>
      <c r="J4665" s="1" t="str">
        <f t="shared" si="435"/>
        <v>Saxophone model #04</v>
      </c>
      <c r="K4665" s="1" t="str">
        <f>IF(SUM(COUNTIFS(I:I, I4665)) &gt; 1, "DUPLICATE", "UNIQUE")</f>
        <v>UNIQUE</v>
      </c>
      <c r="L4665" s="18">
        <v>58</v>
      </c>
      <c r="M4665" s="28">
        <v>1754</v>
      </c>
      <c r="N4665" s="6">
        <v>28</v>
      </c>
      <c r="O4665" s="30">
        <f t="shared" si="436"/>
        <v>101732</v>
      </c>
      <c r="P4665" s="30">
        <f t="shared" si="437"/>
        <v>49112</v>
      </c>
      <c r="Q4665" s="1">
        <f>COUNTIFS($P:$P, "&gt;" &amp; $P4665) + 1</f>
        <v>528</v>
      </c>
      <c r="R4665" s="63">
        <f>(COUNTIFS($P:$P, "&gt;" &amp; $P4665) + 1) / (COUNTA($I:$I) - 1)</f>
        <v>0.1056</v>
      </c>
      <c r="S4665" s="23">
        <f>SUMIFS($P:$P, $Q:$Q, "&lt;" &amp; $Q4665)</f>
        <v>153002581</v>
      </c>
    </row>
    <row r="4666" spans="1:19" x14ac:dyDescent="0.25">
      <c r="A4666" s="1">
        <v>4661</v>
      </c>
      <c r="B4666" s="1" t="s">
        <v>4</v>
      </c>
      <c r="C4666" s="1" t="str">
        <f>IF($B4666 = "Production Item", _xlfn.XLOOKUP($A4666, 'Instrument Table'!$J:$J, 'Instrument Table'!$B:$B, $C4665), IF($B4666 = "Service Item", _xlfn.XLOOKUP($A4666, 'Instrument Table'!$I:$I, 'Instrument Table'!$B:$B, $C4665), _xlfn.XLOOKUP($A4666, 'Instrument Table'!$H:$H, 'Instrument Table'!$B:$B, $C4665)))</f>
        <v>Saxophone</v>
      </c>
      <c r="D4666" s="1" t="str">
        <f>VLOOKUP($C4666, 'Instrument Table'!$B:$C, 2, FALSE)</f>
        <v>Woodwinds</v>
      </c>
      <c r="E4666" s="1">
        <f t="shared" si="432"/>
        <v>3</v>
      </c>
      <c r="F4666" s="1">
        <f>_xlfn.XLOOKUP($C4666, 'Instrument Table'!$B:$B, 'Instrument Table'!$A:$A, "")</f>
        <v>31</v>
      </c>
      <c r="G4666" s="1" t="str">
        <f>TEXT(IF($B4666 = "Retail Item", IF((ROW($A4666) - 4504 - _xlfn.XMATCH($C4666, $C$4506:$C$5005, 0, 1)) &lt;= VLOOKUP($C4666, 'Instrument Table'!$B:$D, 3, FALSE), ROW($A4666) - 4504 - _xlfn.XMATCH($C4666, $C$4506:$C$5005, 0, 1), 0), 0), "00")</f>
        <v>05</v>
      </c>
      <c r="H4666" s="1" t="str">
        <f t="shared" si="433"/>
        <v>000</v>
      </c>
      <c r="I4666" s="1" t="str">
        <f t="shared" si="434"/>
        <v>33105-000</v>
      </c>
      <c r="J4666" s="1" t="str">
        <f t="shared" si="435"/>
        <v>Saxophone model #05</v>
      </c>
      <c r="K4666" s="1" t="str">
        <f>IF(SUM(COUNTIFS(I:I, I4666)) &gt; 1, "DUPLICATE", "UNIQUE")</f>
        <v>UNIQUE</v>
      </c>
      <c r="L4666" s="18">
        <v>33</v>
      </c>
      <c r="M4666" s="28">
        <v>7364</v>
      </c>
      <c r="N4666" s="6">
        <v>56</v>
      </c>
      <c r="O4666" s="30">
        <f t="shared" si="436"/>
        <v>243012</v>
      </c>
      <c r="P4666" s="30">
        <f t="shared" si="437"/>
        <v>412384</v>
      </c>
      <c r="Q4666" s="1">
        <f>COUNTIFS($P:$P, "&gt;" &amp; $P4666) + 1</f>
        <v>136</v>
      </c>
      <c r="R4666" s="63">
        <f>(COUNTIFS($P:$P, "&gt;" &amp; $P4666) + 1) / (COUNTA($I:$I) - 1)</f>
        <v>2.7199999999999998E-2</v>
      </c>
      <c r="S4666" s="23">
        <f>SUMIFS($P:$P, $Q:$Q, "&lt;" &amp; $Q4666)</f>
        <v>82406209</v>
      </c>
    </row>
    <row r="4667" spans="1:19" x14ac:dyDescent="0.25">
      <c r="A4667" s="1">
        <v>4662</v>
      </c>
      <c r="B4667" s="1" t="s">
        <v>4</v>
      </c>
      <c r="C4667" s="1" t="str">
        <f>IF($B4667 = "Production Item", _xlfn.XLOOKUP($A4667, 'Instrument Table'!$J:$J, 'Instrument Table'!$B:$B, $C4666), IF($B4667 = "Service Item", _xlfn.XLOOKUP($A4667, 'Instrument Table'!$I:$I, 'Instrument Table'!$B:$B, $C4666), _xlfn.XLOOKUP($A4667, 'Instrument Table'!$H:$H, 'Instrument Table'!$B:$B, $C4666)))</f>
        <v>Saxophone</v>
      </c>
      <c r="D4667" s="1" t="str">
        <f>VLOOKUP($C4667, 'Instrument Table'!$B:$C, 2, FALSE)</f>
        <v>Woodwinds</v>
      </c>
      <c r="E4667" s="1">
        <f t="shared" si="432"/>
        <v>3</v>
      </c>
      <c r="F4667" s="1">
        <f>_xlfn.XLOOKUP($C4667, 'Instrument Table'!$B:$B, 'Instrument Table'!$A:$A, "")</f>
        <v>31</v>
      </c>
      <c r="G4667" s="1" t="str">
        <f>TEXT(IF($B4667 = "Retail Item", IF((ROW($A4667) - 4504 - _xlfn.XMATCH($C4667, $C$4506:$C$5005, 0, 1)) &lt;= VLOOKUP($C4667, 'Instrument Table'!$B:$D, 3, FALSE), ROW($A4667) - 4504 - _xlfn.XMATCH($C4667, $C$4506:$C$5005, 0, 1), 0), 0), "00")</f>
        <v>06</v>
      </c>
      <c r="H4667" s="1" t="str">
        <f t="shared" si="433"/>
        <v>000</v>
      </c>
      <c r="I4667" s="1" t="str">
        <f t="shared" si="434"/>
        <v>33106-000</v>
      </c>
      <c r="J4667" s="1" t="str">
        <f t="shared" si="435"/>
        <v>Saxophone model #06</v>
      </c>
      <c r="K4667" s="1" t="str">
        <f>IF(SUM(COUNTIFS(I:I, I4667)) &gt; 1, "DUPLICATE", "UNIQUE")</f>
        <v>UNIQUE</v>
      </c>
      <c r="L4667" s="18">
        <v>83</v>
      </c>
      <c r="M4667" s="28">
        <v>9538</v>
      </c>
      <c r="N4667" s="6">
        <v>87</v>
      </c>
      <c r="O4667" s="30">
        <f t="shared" si="436"/>
        <v>791654</v>
      </c>
      <c r="P4667" s="30">
        <f t="shared" si="437"/>
        <v>829806</v>
      </c>
      <c r="Q4667" s="1">
        <f>COUNTIFS($P:$P, "&gt;" &amp; $P4667) + 1</f>
        <v>14</v>
      </c>
      <c r="R4667" s="63">
        <f>(COUNTIFS($P:$P, "&gt;" &amp; $P4667) + 1) / (COUNTA($I:$I) - 1)</f>
        <v>2.8E-3</v>
      </c>
      <c r="S4667" s="23">
        <f>SUMIFS($P:$P, $Q:$Q, "&lt;" &amp; $Q4667)</f>
        <v>11655168</v>
      </c>
    </row>
    <row r="4668" spans="1:19" x14ac:dyDescent="0.25">
      <c r="A4668" s="1">
        <v>4663</v>
      </c>
      <c r="B4668" s="1" t="s">
        <v>4</v>
      </c>
      <c r="C4668" s="1" t="str">
        <f>IF($B4668 = "Production Item", _xlfn.XLOOKUP($A4668, 'Instrument Table'!$J:$J, 'Instrument Table'!$B:$B, $C4667), IF($B4668 = "Service Item", _xlfn.XLOOKUP($A4668, 'Instrument Table'!$I:$I, 'Instrument Table'!$B:$B, $C4667), _xlfn.XLOOKUP($A4668, 'Instrument Table'!$H:$H, 'Instrument Table'!$B:$B, $C4667)))</f>
        <v>Saxophone</v>
      </c>
      <c r="D4668" s="1" t="str">
        <f>VLOOKUP($C4668, 'Instrument Table'!$B:$C, 2, FALSE)</f>
        <v>Woodwinds</v>
      </c>
      <c r="E4668" s="1">
        <f t="shared" si="432"/>
        <v>3</v>
      </c>
      <c r="F4668" s="1">
        <f>_xlfn.XLOOKUP($C4668, 'Instrument Table'!$B:$B, 'Instrument Table'!$A:$A, "")</f>
        <v>31</v>
      </c>
      <c r="G4668" s="1" t="str">
        <f>TEXT(IF($B4668 = "Retail Item", IF((ROW($A4668) - 4504 - _xlfn.XMATCH($C4668, $C$4506:$C$5005, 0, 1)) &lt;= VLOOKUP($C4668, 'Instrument Table'!$B:$D, 3, FALSE), ROW($A4668) - 4504 - _xlfn.XMATCH($C4668, $C$4506:$C$5005, 0, 1), 0), 0), "00")</f>
        <v>00</v>
      </c>
      <c r="H4668" s="1" t="str">
        <f t="shared" si="433"/>
        <v>000</v>
      </c>
      <c r="I4668" s="1" t="str">
        <f t="shared" si="434"/>
        <v>33100-000</v>
      </c>
      <c r="J4668" s="1" t="str">
        <f t="shared" si="435"/>
        <v>Saxophone retail item #000</v>
      </c>
      <c r="K4668" s="1" t="str">
        <f>IF(SUM(COUNTIFS(I:I, I4668)) &gt; 1, "DUPLICATE", "UNIQUE")</f>
        <v>UNIQUE</v>
      </c>
      <c r="L4668" s="18">
        <v>66</v>
      </c>
      <c r="M4668" s="28">
        <v>3491</v>
      </c>
      <c r="N4668" s="6">
        <v>22</v>
      </c>
      <c r="O4668" s="30">
        <f t="shared" si="436"/>
        <v>230406</v>
      </c>
      <c r="P4668" s="30">
        <f t="shared" si="437"/>
        <v>76802</v>
      </c>
      <c r="Q4668" s="1">
        <f>COUNTIFS($P:$P, "&gt;" &amp; $P4668) + 1</f>
        <v>454</v>
      </c>
      <c r="R4668" s="63">
        <f>(COUNTIFS($P:$P, "&gt;" &amp; $P4668) + 1) / (COUNTA($I:$I) - 1)</f>
        <v>9.0800000000000006E-2</v>
      </c>
      <c r="S4668" s="23">
        <f>SUMIFS($P:$P, $Q:$Q, "&lt;" &amp; $Q4668)</f>
        <v>148337349</v>
      </c>
    </row>
    <row r="4669" spans="1:19" x14ac:dyDescent="0.25">
      <c r="A4669" s="1">
        <v>4664</v>
      </c>
      <c r="B4669" s="1" t="s">
        <v>4</v>
      </c>
      <c r="C4669" s="1" t="str">
        <f>IF($B4669 = "Production Item", _xlfn.XLOOKUP($A4669, 'Instrument Table'!$J:$J, 'Instrument Table'!$B:$B, $C4668), IF($B4669 = "Service Item", _xlfn.XLOOKUP($A4669, 'Instrument Table'!$I:$I, 'Instrument Table'!$B:$B, $C4668), _xlfn.XLOOKUP($A4669, 'Instrument Table'!$H:$H, 'Instrument Table'!$B:$B, $C4668)))</f>
        <v>Saxophone</v>
      </c>
      <c r="D4669" s="1" t="str">
        <f>VLOOKUP($C4669, 'Instrument Table'!$B:$C, 2, FALSE)</f>
        <v>Woodwinds</v>
      </c>
      <c r="E4669" s="1">
        <f t="shared" si="432"/>
        <v>3</v>
      </c>
      <c r="F4669" s="1">
        <f>_xlfn.XLOOKUP($C4669, 'Instrument Table'!$B:$B, 'Instrument Table'!$A:$A, "")</f>
        <v>31</v>
      </c>
      <c r="G4669" s="1" t="str">
        <f>TEXT(IF($B4669 = "Retail Item", IF((ROW($A4669) - 4504 - _xlfn.XMATCH($C4669, $C$4506:$C$5005, 0, 1)) &lt;= VLOOKUP($C4669, 'Instrument Table'!$B:$D, 3, FALSE), ROW($A4669) - 4504 - _xlfn.XMATCH($C4669, $C$4506:$C$5005, 0, 1), 0), 0), "00")</f>
        <v>00</v>
      </c>
      <c r="H4669" s="1" t="str">
        <f t="shared" si="433"/>
        <v>001</v>
      </c>
      <c r="I4669" s="1" t="str">
        <f t="shared" si="434"/>
        <v>33100-001</v>
      </c>
      <c r="J4669" s="1" t="str">
        <f t="shared" si="435"/>
        <v>Saxophone retail item #001</v>
      </c>
      <c r="K4669" s="1" t="str">
        <f>IF(SUM(COUNTIFS(I:I, I4669)) &gt; 1, "DUPLICATE", "UNIQUE")</f>
        <v>UNIQUE</v>
      </c>
      <c r="L4669" s="18">
        <v>64</v>
      </c>
      <c r="M4669" s="28">
        <v>9386</v>
      </c>
      <c r="N4669" s="6">
        <v>93</v>
      </c>
      <c r="O4669" s="30">
        <f t="shared" si="436"/>
        <v>600704</v>
      </c>
      <c r="P4669" s="30">
        <f t="shared" si="437"/>
        <v>872898</v>
      </c>
      <c r="Q4669" s="1">
        <f>COUNTIFS($P:$P, "&gt;" &amp; $P4669) + 1</f>
        <v>8</v>
      </c>
      <c r="R4669" s="63">
        <f>(COUNTIFS($P:$P, "&gt;" &amp; $P4669) + 1) / (COUNTA($I:$I) - 1)</f>
        <v>1.6000000000000001E-3</v>
      </c>
      <c r="S4669" s="23">
        <f>SUMIFS($P:$P, $Q:$Q, "&lt;" &amp; $Q4669)</f>
        <v>6498208</v>
      </c>
    </row>
    <row r="4670" spans="1:19" x14ac:dyDescent="0.25">
      <c r="A4670" s="1">
        <v>4665</v>
      </c>
      <c r="B4670" s="1" t="s">
        <v>4</v>
      </c>
      <c r="C4670" s="1" t="str">
        <f>IF($B4670 = "Production Item", _xlfn.XLOOKUP($A4670, 'Instrument Table'!$J:$J, 'Instrument Table'!$B:$B, $C4669), IF($B4670 = "Service Item", _xlfn.XLOOKUP($A4670, 'Instrument Table'!$I:$I, 'Instrument Table'!$B:$B, $C4669), _xlfn.XLOOKUP($A4670, 'Instrument Table'!$H:$H, 'Instrument Table'!$B:$B, $C4669)))</f>
        <v>Saxophone</v>
      </c>
      <c r="D4670" s="1" t="str">
        <f>VLOOKUP($C4670, 'Instrument Table'!$B:$C, 2, FALSE)</f>
        <v>Woodwinds</v>
      </c>
      <c r="E4670" s="1">
        <f t="shared" si="432"/>
        <v>3</v>
      </c>
      <c r="F4670" s="1">
        <f>_xlfn.XLOOKUP($C4670, 'Instrument Table'!$B:$B, 'Instrument Table'!$A:$A, "")</f>
        <v>31</v>
      </c>
      <c r="G4670" s="1" t="str">
        <f>TEXT(IF($B4670 = "Retail Item", IF((ROW($A4670) - 4504 - _xlfn.XMATCH($C4670, $C$4506:$C$5005, 0, 1)) &lt;= VLOOKUP($C4670, 'Instrument Table'!$B:$D, 3, FALSE), ROW($A4670) - 4504 - _xlfn.XMATCH($C4670, $C$4506:$C$5005, 0, 1), 0), 0), "00")</f>
        <v>00</v>
      </c>
      <c r="H4670" s="1" t="str">
        <f t="shared" si="433"/>
        <v>002</v>
      </c>
      <c r="I4670" s="1" t="str">
        <f t="shared" si="434"/>
        <v>33100-002</v>
      </c>
      <c r="J4670" s="1" t="str">
        <f t="shared" si="435"/>
        <v>Saxophone retail item #002</v>
      </c>
      <c r="K4670" s="1" t="str">
        <f>IF(SUM(COUNTIFS(I:I, I4670)) &gt; 1, "DUPLICATE", "UNIQUE")</f>
        <v>UNIQUE</v>
      </c>
      <c r="L4670" s="18">
        <v>0</v>
      </c>
      <c r="M4670" s="28">
        <v>8931</v>
      </c>
      <c r="N4670" s="6">
        <v>29</v>
      </c>
      <c r="O4670" s="30">
        <f t="shared" si="436"/>
        <v>0</v>
      </c>
      <c r="P4670" s="30">
        <f t="shared" si="437"/>
        <v>258999</v>
      </c>
      <c r="Q4670" s="1">
        <f>COUNTIFS($P:$P, "&gt;" &amp; $P4670) + 1</f>
        <v>236</v>
      </c>
      <c r="R4670" s="63">
        <f>(COUNTIFS($P:$P, "&gt;" &amp; $P4670) + 1) / (COUNTA($I:$I) - 1)</f>
        <v>4.7199999999999999E-2</v>
      </c>
      <c r="S4670" s="23">
        <f>SUMIFS($P:$P, $Q:$Q, "&lt;" &amp; $Q4670)</f>
        <v>115135814</v>
      </c>
    </row>
    <row r="4671" spans="1:19" x14ac:dyDescent="0.25">
      <c r="A4671" s="1">
        <v>4666</v>
      </c>
      <c r="B4671" s="1" t="s">
        <v>4</v>
      </c>
      <c r="C4671" s="1" t="str">
        <f>IF($B4671 = "Production Item", _xlfn.XLOOKUP($A4671, 'Instrument Table'!$J:$J, 'Instrument Table'!$B:$B, $C4670), IF($B4671 = "Service Item", _xlfn.XLOOKUP($A4671, 'Instrument Table'!$I:$I, 'Instrument Table'!$B:$B, $C4670), _xlfn.XLOOKUP($A4671, 'Instrument Table'!$H:$H, 'Instrument Table'!$B:$B, $C4670)))</f>
        <v>Saxophone</v>
      </c>
      <c r="D4671" s="1" t="str">
        <f>VLOOKUP($C4671, 'Instrument Table'!$B:$C, 2, FALSE)</f>
        <v>Woodwinds</v>
      </c>
      <c r="E4671" s="1">
        <f t="shared" si="432"/>
        <v>3</v>
      </c>
      <c r="F4671" s="1">
        <f>_xlfn.XLOOKUP($C4671, 'Instrument Table'!$B:$B, 'Instrument Table'!$A:$A, "")</f>
        <v>31</v>
      </c>
      <c r="G4671" s="1" t="str">
        <f>TEXT(IF($B4671 = "Retail Item", IF((ROW($A4671) - 4504 - _xlfn.XMATCH($C4671, $C$4506:$C$5005, 0, 1)) &lt;= VLOOKUP($C4671, 'Instrument Table'!$B:$D, 3, FALSE), ROW($A4671) - 4504 - _xlfn.XMATCH($C4671, $C$4506:$C$5005, 0, 1), 0), 0), "00")</f>
        <v>00</v>
      </c>
      <c r="H4671" s="1" t="str">
        <f t="shared" si="433"/>
        <v>003</v>
      </c>
      <c r="I4671" s="1" t="str">
        <f t="shared" si="434"/>
        <v>33100-003</v>
      </c>
      <c r="J4671" s="1" t="str">
        <f t="shared" si="435"/>
        <v>Saxophone retail item #003</v>
      </c>
      <c r="K4671" s="1" t="str">
        <f>IF(SUM(COUNTIFS(I:I, I4671)) &gt; 1, "DUPLICATE", "UNIQUE")</f>
        <v>UNIQUE</v>
      </c>
      <c r="L4671" s="18">
        <v>56</v>
      </c>
      <c r="M4671" s="28">
        <v>6018</v>
      </c>
      <c r="N4671" s="6">
        <v>32</v>
      </c>
      <c r="O4671" s="30">
        <f t="shared" si="436"/>
        <v>337008</v>
      </c>
      <c r="P4671" s="30">
        <f t="shared" si="437"/>
        <v>192576</v>
      </c>
      <c r="Q4671" s="1">
        <f>COUNTIFS($P:$P, "&gt;" &amp; $P4671) + 1</f>
        <v>295</v>
      </c>
      <c r="R4671" s="63">
        <f>(COUNTIFS($P:$P, "&gt;" &amp; $P4671) + 1) / (COUNTA($I:$I) - 1)</f>
        <v>5.8999999999999997E-2</v>
      </c>
      <c r="S4671" s="23">
        <f>SUMIFS($P:$P, $Q:$Q, "&lt;" &amp; $Q4671)</f>
        <v>128590403</v>
      </c>
    </row>
    <row r="4672" spans="1:19" x14ac:dyDescent="0.25">
      <c r="A4672" s="1">
        <v>4667</v>
      </c>
      <c r="B4672" s="1" t="s">
        <v>4</v>
      </c>
      <c r="C4672" s="1" t="str">
        <f>IF($B4672 = "Production Item", _xlfn.XLOOKUP($A4672, 'Instrument Table'!$J:$J, 'Instrument Table'!$B:$B, $C4671), IF($B4672 = "Service Item", _xlfn.XLOOKUP($A4672, 'Instrument Table'!$I:$I, 'Instrument Table'!$B:$B, $C4671), _xlfn.XLOOKUP($A4672, 'Instrument Table'!$H:$H, 'Instrument Table'!$B:$B, $C4671)))</f>
        <v>Saxophone</v>
      </c>
      <c r="D4672" s="1" t="str">
        <f>VLOOKUP($C4672, 'Instrument Table'!$B:$C, 2, FALSE)</f>
        <v>Woodwinds</v>
      </c>
      <c r="E4672" s="1">
        <f t="shared" si="432"/>
        <v>3</v>
      </c>
      <c r="F4672" s="1">
        <f>_xlfn.XLOOKUP($C4672, 'Instrument Table'!$B:$B, 'Instrument Table'!$A:$A, "")</f>
        <v>31</v>
      </c>
      <c r="G4672" s="1" t="str">
        <f>TEXT(IF($B4672 = "Retail Item", IF((ROW($A4672) - 4504 - _xlfn.XMATCH($C4672, $C$4506:$C$5005, 0, 1)) &lt;= VLOOKUP($C4672, 'Instrument Table'!$B:$D, 3, FALSE), ROW($A4672) - 4504 - _xlfn.XMATCH($C4672, $C$4506:$C$5005, 0, 1), 0), 0), "00")</f>
        <v>00</v>
      </c>
      <c r="H4672" s="1" t="str">
        <f t="shared" si="433"/>
        <v>004</v>
      </c>
      <c r="I4672" s="1" t="str">
        <f t="shared" si="434"/>
        <v>33100-004</v>
      </c>
      <c r="J4672" s="1" t="str">
        <f t="shared" si="435"/>
        <v>Saxophone retail item #004</v>
      </c>
      <c r="K4672" s="1" t="str">
        <f>IF(SUM(COUNTIFS(I:I, I4672)) &gt; 1, "DUPLICATE", "UNIQUE")</f>
        <v>UNIQUE</v>
      </c>
      <c r="L4672" s="18">
        <v>80</v>
      </c>
      <c r="M4672" s="28">
        <v>4391</v>
      </c>
      <c r="N4672" s="6">
        <v>8</v>
      </c>
      <c r="O4672" s="30">
        <f t="shared" si="436"/>
        <v>351280</v>
      </c>
      <c r="P4672" s="30">
        <f t="shared" si="437"/>
        <v>35128</v>
      </c>
      <c r="Q4672" s="1">
        <f>COUNTIFS($P:$P, "&gt;" &amp; $P4672) + 1</f>
        <v>602</v>
      </c>
      <c r="R4672" s="63">
        <f>(COUNTIFS($P:$P, "&gt;" &amp; $P4672) + 1) / (COUNTA($I:$I) - 1)</f>
        <v>0.12039999999999999</v>
      </c>
      <c r="S4672" s="23">
        <f>SUMIFS($P:$P, $Q:$Q, "&lt;" &amp; $Q4672)</f>
        <v>155940841</v>
      </c>
    </row>
    <row r="4673" spans="1:19" x14ac:dyDescent="0.25">
      <c r="A4673" s="1">
        <v>4668</v>
      </c>
      <c r="B4673" s="1" t="s">
        <v>4</v>
      </c>
      <c r="C4673" s="1" t="str">
        <f>IF($B4673 = "Production Item", _xlfn.XLOOKUP($A4673, 'Instrument Table'!$J:$J, 'Instrument Table'!$B:$B, $C4672), IF($B4673 = "Service Item", _xlfn.XLOOKUP($A4673, 'Instrument Table'!$I:$I, 'Instrument Table'!$B:$B, $C4672), _xlfn.XLOOKUP($A4673, 'Instrument Table'!$H:$H, 'Instrument Table'!$B:$B, $C4672)))</f>
        <v>Saxophone</v>
      </c>
      <c r="D4673" s="1" t="str">
        <f>VLOOKUP($C4673, 'Instrument Table'!$B:$C, 2, FALSE)</f>
        <v>Woodwinds</v>
      </c>
      <c r="E4673" s="1">
        <f t="shared" si="432"/>
        <v>3</v>
      </c>
      <c r="F4673" s="1">
        <f>_xlfn.XLOOKUP($C4673, 'Instrument Table'!$B:$B, 'Instrument Table'!$A:$A, "")</f>
        <v>31</v>
      </c>
      <c r="G4673" s="1" t="str">
        <f>TEXT(IF($B4673 = "Retail Item", IF((ROW($A4673) - 4504 - _xlfn.XMATCH($C4673, $C$4506:$C$5005, 0, 1)) &lt;= VLOOKUP($C4673, 'Instrument Table'!$B:$D, 3, FALSE), ROW($A4673) - 4504 - _xlfn.XMATCH($C4673, $C$4506:$C$5005, 0, 1), 0), 0), "00")</f>
        <v>00</v>
      </c>
      <c r="H4673" s="1" t="str">
        <f t="shared" si="433"/>
        <v>005</v>
      </c>
      <c r="I4673" s="1" t="str">
        <f t="shared" si="434"/>
        <v>33100-005</v>
      </c>
      <c r="J4673" s="1" t="str">
        <f t="shared" si="435"/>
        <v>Saxophone retail item #005</v>
      </c>
      <c r="K4673" s="1" t="str">
        <f>IF(SUM(COUNTIFS(I:I, I4673)) &gt; 1, "DUPLICATE", "UNIQUE")</f>
        <v>UNIQUE</v>
      </c>
      <c r="L4673" s="18">
        <v>44</v>
      </c>
      <c r="M4673" s="28">
        <v>2438</v>
      </c>
      <c r="N4673" s="6">
        <v>72</v>
      </c>
      <c r="O4673" s="30">
        <f t="shared" si="436"/>
        <v>107272</v>
      </c>
      <c r="P4673" s="30">
        <f t="shared" si="437"/>
        <v>175536</v>
      </c>
      <c r="Q4673" s="1">
        <f>COUNTIFS($P:$P, "&gt;" &amp; $P4673) + 1</f>
        <v>307</v>
      </c>
      <c r="R4673" s="63">
        <f>(COUNTIFS($P:$P, "&gt;" &amp; $P4673) + 1) / (COUNTA($I:$I) - 1)</f>
        <v>6.1400000000000003E-2</v>
      </c>
      <c r="S4673" s="23">
        <f>SUMIFS($P:$P, $Q:$Q, "&lt;" &amp; $Q4673)</f>
        <v>130795315</v>
      </c>
    </row>
    <row r="4674" spans="1:19" x14ac:dyDescent="0.25">
      <c r="A4674" s="1">
        <v>4669</v>
      </c>
      <c r="B4674" s="1" t="s">
        <v>4</v>
      </c>
      <c r="C4674" s="1" t="str">
        <f>IF($B4674 = "Production Item", _xlfn.XLOOKUP($A4674, 'Instrument Table'!$J:$J, 'Instrument Table'!$B:$B, $C4673), IF($B4674 = "Service Item", _xlfn.XLOOKUP($A4674, 'Instrument Table'!$I:$I, 'Instrument Table'!$B:$B, $C4673), _xlfn.XLOOKUP($A4674, 'Instrument Table'!$H:$H, 'Instrument Table'!$B:$B, $C4673)))</f>
        <v>Saxophone</v>
      </c>
      <c r="D4674" s="1" t="str">
        <f>VLOOKUP($C4674, 'Instrument Table'!$B:$C, 2, FALSE)</f>
        <v>Woodwinds</v>
      </c>
      <c r="E4674" s="1">
        <f t="shared" si="432"/>
        <v>3</v>
      </c>
      <c r="F4674" s="1">
        <f>_xlfn.XLOOKUP($C4674, 'Instrument Table'!$B:$B, 'Instrument Table'!$A:$A, "")</f>
        <v>31</v>
      </c>
      <c r="G4674" s="1" t="str">
        <f>TEXT(IF($B4674 = "Retail Item", IF((ROW($A4674) - 4504 - _xlfn.XMATCH($C4674, $C$4506:$C$5005, 0, 1)) &lt;= VLOOKUP($C4674, 'Instrument Table'!$B:$D, 3, FALSE), ROW($A4674) - 4504 - _xlfn.XMATCH($C4674, $C$4506:$C$5005, 0, 1), 0), 0), "00")</f>
        <v>00</v>
      </c>
      <c r="H4674" s="1" t="str">
        <f t="shared" si="433"/>
        <v>006</v>
      </c>
      <c r="I4674" s="1" t="str">
        <f t="shared" si="434"/>
        <v>33100-006</v>
      </c>
      <c r="J4674" s="1" t="str">
        <f t="shared" si="435"/>
        <v>Saxophone retail item #006</v>
      </c>
      <c r="K4674" s="1" t="str">
        <f>IF(SUM(COUNTIFS(I:I, I4674)) &gt; 1, "DUPLICATE", "UNIQUE")</f>
        <v>UNIQUE</v>
      </c>
      <c r="L4674" s="18">
        <v>42</v>
      </c>
      <c r="M4674" s="28">
        <v>1212</v>
      </c>
      <c r="N4674" s="6">
        <v>62</v>
      </c>
      <c r="O4674" s="30">
        <f t="shared" si="436"/>
        <v>50904</v>
      </c>
      <c r="P4674" s="30">
        <f t="shared" si="437"/>
        <v>75144</v>
      </c>
      <c r="Q4674" s="1">
        <f>COUNTIFS($P:$P, "&gt;" &amp; $P4674) + 1</f>
        <v>457</v>
      </c>
      <c r="R4674" s="63">
        <f>(COUNTIFS($P:$P, "&gt;" &amp; $P4674) + 1) / (COUNTA($I:$I) - 1)</f>
        <v>9.1399999999999995E-2</v>
      </c>
      <c r="S4674" s="23">
        <f>SUMIFS($P:$P, $Q:$Q, "&lt;" &amp; $Q4674)</f>
        <v>148564899</v>
      </c>
    </row>
    <row r="4675" spans="1:19" x14ac:dyDescent="0.25">
      <c r="A4675" s="1">
        <v>4670</v>
      </c>
      <c r="B4675" s="1" t="s">
        <v>4</v>
      </c>
      <c r="C4675" s="1" t="str">
        <f>IF($B4675 = "Production Item", _xlfn.XLOOKUP($A4675, 'Instrument Table'!$J:$J, 'Instrument Table'!$B:$B, $C4674), IF($B4675 = "Service Item", _xlfn.XLOOKUP($A4675, 'Instrument Table'!$I:$I, 'Instrument Table'!$B:$B, $C4674), _xlfn.XLOOKUP($A4675, 'Instrument Table'!$H:$H, 'Instrument Table'!$B:$B, $C4674)))</f>
        <v>Saxophone</v>
      </c>
      <c r="D4675" s="1" t="str">
        <f>VLOOKUP($C4675, 'Instrument Table'!$B:$C, 2, FALSE)</f>
        <v>Woodwinds</v>
      </c>
      <c r="E4675" s="1">
        <f t="shared" si="432"/>
        <v>3</v>
      </c>
      <c r="F4675" s="1">
        <f>_xlfn.XLOOKUP($C4675, 'Instrument Table'!$B:$B, 'Instrument Table'!$A:$A, "")</f>
        <v>31</v>
      </c>
      <c r="G4675" s="1" t="str">
        <f>TEXT(IF($B4675 = "Retail Item", IF((ROW($A4675) - 4504 - _xlfn.XMATCH($C4675, $C$4506:$C$5005, 0, 1)) &lt;= VLOOKUP($C4675, 'Instrument Table'!$B:$D, 3, FALSE), ROW($A4675) - 4504 - _xlfn.XMATCH($C4675, $C$4506:$C$5005, 0, 1), 0), 0), "00")</f>
        <v>00</v>
      </c>
      <c r="H4675" s="1" t="str">
        <f t="shared" si="433"/>
        <v>007</v>
      </c>
      <c r="I4675" s="1" t="str">
        <f t="shared" si="434"/>
        <v>33100-007</v>
      </c>
      <c r="J4675" s="1" t="str">
        <f t="shared" si="435"/>
        <v>Saxophone retail item #007</v>
      </c>
      <c r="K4675" s="1" t="str">
        <f>IF(SUM(COUNTIFS(I:I, I4675)) &gt; 1, "DUPLICATE", "UNIQUE")</f>
        <v>UNIQUE</v>
      </c>
      <c r="L4675" s="18">
        <v>28</v>
      </c>
      <c r="M4675" s="28">
        <v>9871</v>
      </c>
      <c r="N4675" s="6">
        <v>75</v>
      </c>
      <c r="O4675" s="30">
        <f t="shared" si="436"/>
        <v>276388</v>
      </c>
      <c r="P4675" s="30">
        <f t="shared" si="437"/>
        <v>740325</v>
      </c>
      <c r="Q4675" s="1">
        <f>COUNTIFS($P:$P, "&gt;" &amp; $P4675) + 1</f>
        <v>29</v>
      </c>
      <c r="R4675" s="63">
        <f>(COUNTIFS($P:$P, "&gt;" &amp; $P4675) + 1) / (COUNTA($I:$I) - 1)</f>
        <v>5.7999999999999996E-3</v>
      </c>
      <c r="S4675" s="23">
        <f>SUMIFS($P:$P, $Q:$Q, "&lt;" &amp; $Q4675)</f>
        <v>23422816</v>
      </c>
    </row>
    <row r="4676" spans="1:19" x14ac:dyDescent="0.25">
      <c r="A4676" s="1">
        <v>4671</v>
      </c>
      <c r="B4676" s="1" t="s">
        <v>4</v>
      </c>
      <c r="C4676" s="1" t="str">
        <f>IF($B4676 = "Production Item", _xlfn.XLOOKUP($A4676, 'Instrument Table'!$J:$J, 'Instrument Table'!$B:$B, $C4675), IF($B4676 = "Service Item", _xlfn.XLOOKUP($A4676, 'Instrument Table'!$I:$I, 'Instrument Table'!$B:$B, $C4675), _xlfn.XLOOKUP($A4676, 'Instrument Table'!$H:$H, 'Instrument Table'!$B:$B, $C4675)))</f>
        <v>Saxophone</v>
      </c>
      <c r="D4676" s="1" t="str">
        <f>VLOOKUP($C4676, 'Instrument Table'!$B:$C, 2, FALSE)</f>
        <v>Woodwinds</v>
      </c>
      <c r="E4676" s="1">
        <f t="shared" si="432"/>
        <v>3</v>
      </c>
      <c r="F4676" s="1">
        <f>_xlfn.XLOOKUP($C4676, 'Instrument Table'!$B:$B, 'Instrument Table'!$A:$A, "")</f>
        <v>31</v>
      </c>
      <c r="G4676" s="1" t="str">
        <f>TEXT(IF($B4676 = "Retail Item", IF((ROW($A4676) - 4504 - _xlfn.XMATCH($C4676, $C$4506:$C$5005, 0, 1)) &lt;= VLOOKUP($C4676, 'Instrument Table'!$B:$D, 3, FALSE), ROW($A4676) - 4504 - _xlfn.XMATCH($C4676, $C$4506:$C$5005, 0, 1), 0), 0), "00")</f>
        <v>00</v>
      </c>
      <c r="H4676" s="1" t="str">
        <f t="shared" si="433"/>
        <v>008</v>
      </c>
      <c r="I4676" s="1" t="str">
        <f t="shared" si="434"/>
        <v>33100-008</v>
      </c>
      <c r="J4676" s="1" t="str">
        <f t="shared" si="435"/>
        <v>Saxophone retail item #008</v>
      </c>
      <c r="K4676" s="1" t="str">
        <f>IF(SUM(COUNTIFS(I:I, I4676)) &gt; 1, "DUPLICATE", "UNIQUE")</f>
        <v>UNIQUE</v>
      </c>
      <c r="L4676" s="18">
        <v>71</v>
      </c>
      <c r="M4676" s="28">
        <v>2972</v>
      </c>
      <c r="N4676" s="6">
        <v>13</v>
      </c>
      <c r="O4676" s="30">
        <f t="shared" si="436"/>
        <v>211012</v>
      </c>
      <c r="P4676" s="30">
        <f t="shared" si="437"/>
        <v>38636</v>
      </c>
      <c r="Q4676" s="1">
        <f>COUNTIFS($P:$P, "&gt;" &amp; $P4676) + 1</f>
        <v>567</v>
      </c>
      <c r="R4676" s="63">
        <f>(COUNTIFS($P:$P, "&gt;" &amp; $P4676) + 1) / (COUNTA($I:$I) - 1)</f>
        <v>0.1134</v>
      </c>
      <c r="S4676" s="23">
        <f>SUMIFS($P:$P, $Q:$Q, "&lt;" &amp; $Q4676)</f>
        <v>154652297</v>
      </c>
    </row>
    <row r="4677" spans="1:19" x14ac:dyDescent="0.25">
      <c r="A4677" s="1">
        <v>4672</v>
      </c>
      <c r="B4677" s="1" t="s">
        <v>4</v>
      </c>
      <c r="C4677" s="1" t="str">
        <f>IF($B4677 = "Production Item", _xlfn.XLOOKUP($A4677, 'Instrument Table'!$J:$J, 'Instrument Table'!$B:$B, $C4676), IF($B4677 = "Service Item", _xlfn.XLOOKUP($A4677, 'Instrument Table'!$I:$I, 'Instrument Table'!$B:$B, $C4676), _xlfn.XLOOKUP($A4677, 'Instrument Table'!$H:$H, 'Instrument Table'!$B:$B, $C4676)))</f>
        <v>Saxophone</v>
      </c>
      <c r="D4677" s="1" t="str">
        <f>VLOOKUP($C4677, 'Instrument Table'!$B:$C, 2, FALSE)</f>
        <v>Woodwinds</v>
      </c>
      <c r="E4677" s="1">
        <f t="shared" si="432"/>
        <v>3</v>
      </c>
      <c r="F4677" s="1">
        <f>_xlfn.XLOOKUP($C4677, 'Instrument Table'!$B:$B, 'Instrument Table'!$A:$A, "")</f>
        <v>31</v>
      </c>
      <c r="G4677" s="1" t="str">
        <f>TEXT(IF($B4677 = "Retail Item", IF((ROW($A4677) - 4504 - _xlfn.XMATCH($C4677, $C$4506:$C$5005, 0, 1)) &lt;= VLOOKUP($C4677, 'Instrument Table'!$B:$D, 3, FALSE), ROW($A4677) - 4504 - _xlfn.XMATCH($C4677, $C$4506:$C$5005, 0, 1), 0), 0), "00")</f>
        <v>00</v>
      </c>
      <c r="H4677" s="1" t="str">
        <f t="shared" si="433"/>
        <v>009</v>
      </c>
      <c r="I4677" s="1" t="str">
        <f t="shared" si="434"/>
        <v>33100-009</v>
      </c>
      <c r="J4677" s="1" t="str">
        <f t="shared" si="435"/>
        <v>Saxophone retail item #009</v>
      </c>
      <c r="K4677" s="1" t="str">
        <f>IF(SUM(COUNTIFS(I:I, I4677)) &gt; 1, "DUPLICATE", "UNIQUE")</f>
        <v>UNIQUE</v>
      </c>
      <c r="L4677" s="18">
        <v>21</v>
      </c>
      <c r="M4677" s="28">
        <v>2479</v>
      </c>
      <c r="N4677" s="6">
        <v>37</v>
      </c>
      <c r="O4677" s="30">
        <f t="shared" si="436"/>
        <v>52059</v>
      </c>
      <c r="P4677" s="30">
        <f t="shared" si="437"/>
        <v>91723</v>
      </c>
      <c r="Q4677" s="1">
        <f>COUNTIFS($P:$P, "&gt;" &amp; $P4677) + 1</f>
        <v>425</v>
      </c>
      <c r="R4677" s="63">
        <f>(COUNTIFS($P:$P, "&gt;" &amp; $P4677) + 1) / (COUNTA($I:$I) - 1)</f>
        <v>8.5000000000000006E-2</v>
      </c>
      <c r="S4677" s="23">
        <f>SUMIFS($P:$P, $Q:$Q, "&lt;" &amp; $Q4677)</f>
        <v>145888450</v>
      </c>
    </row>
    <row r="4678" spans="1:19" x14ac:dyDescent="0.25">
      <c r="A4678" s="1">
        <v>4673</v>
      </c>
      <c r="B4678" s="1" t="s">
        <v>4</v>
      </c>
      <c r="C4678" s="1" t="str">
        <f>IF($B4678 = "Production Item", _xlfn.XLOOKUP($A4678, 'Instrument Table'!$J:$J, 'Instrument Table'!$B:$B, $C4677), IF($B4678 = "Service Item", _xlfn.XLOOKUP($A4678, 'Instrument Table'!$I:$I, 'Instrument Table'!$B:$B, $C4677), _xlfn.XLOOKUP($A4678, 'Instrument Table'!$H:$H, 'Instrument Table'!$B:$B, $C4677)))</f>
        <v>Flute</v>
      </c>
      <c r="D4678" s="1" t="str">
        <f>VLOOKUP($C4678, 'Instrument Table'!$B:$C, 2, FALSE)</f>
        <v>Woodwinds</v>
      </c>
      <c r="E4678" s="1">
        <f t="shared" si="432"/>
        <v>3</v>
      </c>
      <c r="F4678" s="1">
        <f>_xlfn.XLOOKUP($C4678, 'Instrument Table'!$B:$B, 'Instrument Table'!$A:$A, "")</f>
        <v>32</v>
      </c>
      <c r="G4678" s="1" t="str">
        <f>TEXT(IF($B4678 = "Retail Item", IF((ROW($A4678) - 4504 - _xlfn.XMATCH($C4678, $C$4506:$C$5005, 0, 1)) &lt;= VLOOKUP($C4678, 'Instrument Table'!$B:$D, 3, FALSE), ROW($A4678) - 4504 - _xlfn.XMATCH($C4678, $C$4506:$C$5005, 0, 1), 0), 0), "00")</f>
        <v>01</v>
      </c>
      <c r="H4678" s="1" t="str">
        <f t="shared" si="433"/>
        <v>000</v>
      </c>
      <c r="I4678" s="1" t="str">
        <f t="shared" si="434"/>
        <v>33201-000</v>
      </c>
      <c r="J4678" s="1" t="str">
        <f t="shared" si="435"/>
        <v>Flute model #01</v>
      </c>
      <c r="K4678" s="1" t="str">
        <f>IF(SUM(COUNTIFS(I:I, I4678)) &gt; 1, "DUPLICATE", "UNIQUE")</f>
        <v>UNIQUE</v>
      </c>
      <c r="L4678" s="18">
        <v>73</v>
      </c>
      <c r="M4678" s="28">
        <v>1301</v>
      </c>
      <c r="N4678" s="6">
        <v>49</v>
      </c>
      <c r="O4678" s="30">
        <f t="shared" si="436"/>
        <v>94973</v>
      </c>
      <c r="P4678" s="30">
        <f t="shared" si="437"/>
        <v>63749</v>
      </c>
      <c r="Q4678" s="1">
        <f>COUNTIFS($P:$P, "&gt;" &amp; $P4678) + 1</f>
        <v>488</v>
      </c>
      <c r="R4678" s="63">
        <f>(COUNTIFS($P:$P, "&gt;" &amp; $P4678) + 1) / (COUNTA($I:$I) - 1)</f>
        <v>9.7600000000000006E-2</v>
      </c>
      <c r="S4678" s="23">
        <f>SUMIFS($P:$P, $Q:$Q, "&lt;" &amp; $Q4678)</f>
        <v>150718879</v>
      </c>
    </row>
    <row r="4679" spans="1:19" x14ac:dyDescent="0.25">
      <c r="A4679" s="1">
        <v>4674</v>
      </c>
      <c r="B4679" s="1" t="s">
        <v>4</v>
      </c>
      <c r="C4679" s="1" t="str">
        <f>IF($B4679 = "Production Item", _xlfn.XLOOKUP($A4679, 'Instrument Table'!$J:$J, 'Instrument Table'!$B:$B, $C4678), IF($B4679 = "Service Item", _xlfn.XLOOKUP($A4679, 'Instrument Table'!$I:$I, 'Instrument Table'!$B:$B, $C4678), _xlfn.XLOOKUP($A4679, 'Instrument Table'!$H:$H, 'Instrument Table'!$B:$B, $C4678)))</f>
        <v>Flute</v>
      </c>
      <c r="D4679" s="1" t="str">
        <f>VLOOKUP($C4679, 'Instrument Table'!$B:$C, 2, FALSE)</f>
        <v>Woodwinds</v>
      </c>
      <c r="E4679" s="1">
        <f t="shared" ref="E4679:E4742" si="438">IF($B4679 = "Production Item", 1, IF($B4679 = "Service Item", 2, IF($B4679 = "Retail Item", 3, "")))</f>
        <v>3</v>
      </c>
      <c r="F4679" s="1">
        <f>_xlfn.XLOOKUP($C4679, 'Instrument Table'!$B:$B, 'Instrument Table'!$A:$A, "")</f>
        <v>32</v>
      </c>
      <c r="G4679" s="1" t="str">
        <f>TEXT(IF($B4679 = "Retail Item", IF((ROW($A4679) - 4504 - _xlfn.XMATCH($C4679, $C$4506:$C$5005, 0, 1)) &lt;= VLOOKUP($C4679, 'Instrument Table'!$B:$D, 3, FALSE), ROW($A4679) - 4504 - _xlfn.XMATCH($C4679, $C$4506:$C$5005, 0, 1), 0), 0), "00")</f>
        <v>02</v>
      </c>
      <c r="H4679" s="1" t="str">
        <f t="shared" ref="H4679:H4742" si="439">TEXT(IF($E4679 &amp; $F4679 &amp; $G4679 = $E4678 &amp; $F4678 &amp; $G4678, 1 + H4678, 0), "000")</f>
        <v>000</v>
      </c>
      <c r="I4679" s="1" t="str">
        <f t="shared" ref="I4679:I4742" si="440" xml:space="preserve"> _xlfn.CONCAT($E4679, $F4679, $G4679, "-", H4679)</f>
        <v>33202-000</v>
      </c>
      <c r="J4679" s="1" t="str">
        <f t="shared" ref="J4679:J4742" si="441">LEFT($C4679, 1) &amp; LOWER(RIGHT($C4679, LEN($C4679) - 1)) &amp; IF(AND($G4679 &lt;&gt; "00", $B4679 = "Retail Item"), " model #" &amp; $G4679, " " &amp; LOWER($B4679) &amp; " #" &amp; $H4679)</f>
        <v>Flute model #02</v>
      </c>
      <c r="K4679" s="1" t="str">
        <f>IF(SUM(COUNTIFS(I:I, I4679)) &gt; 1, "DUPLICATE", "UNIQUE")</f>
        <v>UNIQUE</v>
      </c>
      <c r="L4679" s="18">
        <v>46</v>
      </c>
      <c r="M4679" s="28">
        <v>7176</v>
      </c>
      <c r="N4679" s="6">
        <v>65</v>
      </c>
      <c r="O4679" s="30">
        <f t="shared" ref="O4679:O4742" si="442">$L4679 * $M4679</f>
        <v>330096</v>
      </c>
      <c r="P4679" s="30">
        <f t="shared" ref="P4679:P4742" si="443">$N4679 * $M4679</f>
        <v>466440</v>
      </c>
      <c r="Q4679" s="1">
        <f>COUNTIFS($P:$P, "&gt;" &amp; $P4679) + 1</f>
        <v>110</v>
      </c>
      <c r="R4679" s="63">
        <f>(COUNTIFS($P:$P, "&gt;" &amp; $P4679) + 1) / (COUNTA($I:$I) - 1)</f>
        <v>2.1999999999999999E-2</v>
      </c>
      <c r="S4679" s="23">
        <f>SUMIFS($P:$P, $Q:$Q, "&lt;" &amp; $Q4679)</f>
        <v>70943842</v>
      </c>
    </row>
    <row r="4680" spans="1:19" x14ac:dyDescent="0.25">
      <c r="A4680" s="1">
        <v>4675</v>
      </c>
      <c r="B4680" s="1" t="s">
        <v>4</v>
      </c>
      <c r="C4680" s="1" t="str">
        <f>IF($B4680 = "Production Item", _xlfn.XLOOKUP($A4680, 'Instrument Table'!$J:$J, 'Instrument Table'!$B:$B, $C4679), IF($B4680 = "Service Item", _xlfn.XLOOKUP($A4680, 'Instrument Table'!$I:$I, 'Instrument Table'!$B:$B, $C4679), _xlfn.XLOOKUP($A4680, 'Instrument Table'!$H:$H, 'Instrument Table'!$B:$B, $C4679)))</f>
        <v>Flute</v>
      </c>
      <c r="D4680" s="1" t="str">
        <f>VLOOKUP($C4680, 'Instrument Table'!$B:$C, 2, FALSE)</f>
        <v>Woodwinds</v>
      </c>
      <c r="E4680" s="1">
        <f t="shared" si="438"/>
        <v>3</v>
      </c>
      <c r="F4680" s="1">
        <f>_xlfn.XLOOKUP($C4680, 'Instrument Table'!$B:$B, 'Instrument Table'!$A:$A, "")</f>
        <v>32</v>
      </c>
      <c r="G4680" s="1" t="str">
        <f>TEXT(IF($B4680 = "Retail Item", IF((ROW($A4680) - 4504 - _xlfn.XMATCH($C4680, $C$4506:$C$5005, 0, 1)) &lt;= VLOOKUP($C4680, 'Instrument Table'!$B:$D, 3, FALSE), ROW($A4680) - 4504 - _xlfn.XMATCH($C4680, $C$4506:$C$5005, 0, 1), 0), 0), "00")</f>
        <v>03</v>
      </c>
      <c r="H4680" s="1" t="str">
        <f t="shared" si="439"/>
        <v>000</v>
      </c>
      <c r="I4680" s="1" t="str">
        <f t="shared" si="440"/>
        <v>33203-000</v>
      </c>
      <c r="J4680" s="1" t="str">
        <f t="shared" si="441"/>
        <v>Flute model #03</v>
      </c>
      <c r="K4680" s="1" t="str">
        <f>IF(SUM(COUNTIFS(I:I, I4680)) &gt; 1, "DUPLICATE", "UNIQUE")</f>
        <v>UNIQUE</v>
      </c>
      <c r="L4680" s="18">
        <v>50</v>
      </c>
      <c r="M4680" s="28">
        <v>3807</v>
      </c>
      <c r="N4680" s="6">
        <v>84</v>
      </c>
      <c r="O4680" s="30">
        <f t="shared" si="442"/>
        <v>190350</v>
      </c>
      <c r="P4680" s="30">
        <f t="shared" si="443"/>
        <v>319788</v>
      </c>
      <c r="Q4680" s="1">
        <f>COUNTIFS($P:$P, "&gt;" &amp; $P4680) + 1</f>
        <v>187</v>
      </c>
      <c r="R4680" s="63">
        <f>(COUNTIFS($P:$P, "&gt;" &amp; $P4680) + 1) / (COUNTA($I:$I) - 1)</f>
        <v>3.7400000000000003E-2</v>
      </c>
      <c r="S4680" s="23">
        <f>SUMIFS($P:$P, $Q:$Q, "&lt;" &amp; $Q4680)</f>
        <v>100871995</v>
      </c>
    </row>
    <row r="4681" spans="1:19" x14ac:dyDescent="0.25">
      <c r="A4681" s="1">
        <v>4676</v>
      </c>
      <c r="B4681" s="1" t="s">
        <v>4</v>
      </c>
      <c r="C4681" s="1" t="str">
        <f>IF($B4681 = "Production Item", _xlfn.XLOOKUP($A4681, 'Instrument Table'!$J:$J, 'Instrument Table'!$B:$B, $C4680), IF($B4681 = "Service Item", _xlfn.XLOOKUP($A4681, 'Instrument Table'!$I:$I, 'Instrument Table'!$B:$B, $C4680), _xlfn.XLOOKUP($A4681, 'Instrument Table'!$H:$H, 'Instrument Table'!$B:$B, $C4680)))</f>
        <v>Flute</v>
      </c>
      <c r="D4681" s="1" t="str">
        <f>VLOOKUP($C4681, 'Instrument Table'!$B:$C, 2, FALSE)</f>
        <v>Woodwinds</v>
      </c>
      <c r="E4681" s="1">
        <f t="shared" si="438"/>
        <v>3</v>
      </c>
      <c r="F4681" s="1">
        <f>_xlfn.XLOOKUP($C4681, 'Instrument Table'!$B:$B, 'Instrument Table'!$A:$A, "")</f>
        <v>32</v>
      </c>
      <c r="G4681" s="1" t="str">
        <f>TEXT(IF($B4681 = "Retail Item", IF((ROW($A4681) - 4504 - _xlfn.XMATCH($C4681, $C$4506:$C$5005, 0, 1)) &lt;= VLOOKUP($C4681, 'Instrument Table'!$B:$D, 3, FALSE), ROW($A4681) - 4504 - _xlfn.XMATCH($C4681, $C$4506:$C$5005, 0, 1), 0), 0), "00")</f>
        <v>00</v>
      </c>
      <c r="H4681" s="1" t="str">
        <f t="shared" si="439"/>
        <v>000</v>
      </c>
      <c r="I4681" s="1" t="str">
        <f t="shared" si="440"/>
        <v>33200-000</v>
      </c>
      <c r="J4681" s="1" t="str">
        <f t="shared" si="441"/>
        <v>Flute retail item #000</v>
      </c>
      <c r="K4681" s="1" t="str">
        <f>IF(SUM(COUNTIFS(I:I, I4681)) &gt; 1, "DUPLICATE", "UNIQUE")</f>
        <v>UNIQUE</v>
      </c>
      <c r="L4681" s="18">
        <v>39</v>
      </c>
      <c r="M4681" s="28">
        <v>4436</v>
      </c>
      <c r="N4681" s="6">
        <v>98</v>
      </c>
      <c r="O4681" s="30">
        <f t="shared" si="442"/>
        <v>173004</v>
      </c>
      <c r="P4681" s="30">
        <f t="shared" si="443"/>
        <v>434728</v>
      </c>
      <c r="Q4681" s="1">
        <f>COUNTIFS($P:$P, "&gt;" &amp; $P4681) + 1</f>
        <v>126</v>
      </c>
      <c r="R4681" s="63">
        <f>(COUNTIFS($P:$P, "&gt;" &amp; $P4681) + 1) / (COUNTA($I:$I) - 1)</f>
        <v>2.52E-2</v>
      </c>
      <c r="S4681" s="23">
        <f>SUMIFS($P:$P, $Q:$Q, "&lt;" &amp; $Q4681)</f>
        <v>78171261</v>
      </c>
    </row>
    <row r="4682" spans="1:19" x14ac:dyDescent="0.25">
      <c r="A4682" s="1">
        <v>4677</v>
      </c>
      <c r="B4682" s="1" t="s">
        <v>4</v>
      </c>
      <c r="C4682" s="1" t="str">
        <f>IF($B4682 = "Production Item", _xlfn.XLOOKUP($A4682, 'Instrument Table'!$J:$J, 'Instrument Table'!$B:$B, $C4681), IF($B4682 = "Service Item", _xlfn.XLOOKUP($A4682, 'Instrument Table'!$I:$I, 'Instrument Table'!$B:$B, $C4681), _xlfn.XLOOKUP($A4682, 'Instrument Table'!$H:$H, 'Instrument Table'!$B:$B, $C4681)))</f>
        <v>Flute</v>
      </c>
      <c r="D4682" s="1" t="str">
        <f>VLOOKUP($C4682, 'Instrument Table'!$B:$C, 2, FALSE)</f>
        <v>Woodwinds</v>
      </c>
      <c r="E4682" s="1">
        <f t="shared" si="438"/>
        <v>3</v>
      </c>
      <c r="F4682" s="1">
        <f>_xlfn.XLOOKUP($C4682, 'Instrument Table'!$B:$B, 'Instrument Table'!$A:$A, "")</f>
        <v>32</v>
      </c>
      <c r="G4682" s="1" t="str">
        <f>TEXT(IF($B4682 = "Retail Item", IF((ROW($A4682) - 4504 - _xlfn.XMATCH($C4682, $C$4506:$C$5005, 0, 1)) &lt;= VLOOKUP($C4682, 'Instrument Table'!$B:$D, 3, FALSE), ROW($A4682) - 4504 - _xlfn.XMATCH($C4682, $C$4506:$C$5005, 0, 1), 0), 0), "00")</f>
        <v>00</v>
      </c>
      <c r="H4682" s="1" t="str">
        <f t="shared" si="439"/>
        <v>001</v>
      </c>
      <c r="I4682" s="1" t="str">
        <f t="shared" si="440"/>
        <v>33200-001</v>
      </c>
      <c r="J4682" s="1" t="str">
        <f t="shared" si="441"/>
        <v>Flute retail item #001</v>
      </c>
      <c r="K4682" s="1" t="str">
        <f>IF(SUM(COUNTIFS(I:I, I4682)) &gt; 1, "DUPLICATE", "UNIQUE")</f>
        <v>UNIQUE</v>
      </c>
      <c r="L4682" s="18">
        <v>29</v>
      </c>
      <c r="M4682" s="28">
        <v>9523</v>
      </c>
      <c r="N4682" s="6">
        <v>49</v>
      </c>
      <c r="O4682" s="30">
        <f t="shared" si="442"/>
        <v>276167</v>
      </c>
      <c r="P4682" s="30">
        <f t="shared" si="443"/>
        <v>466627</v>
      </c>
      <c r="Q4682" s="1">
        <f>COUNTIFS($P:$P, "&gt;" &amp; $P4682) + 1</f>
        <v>109</v>
      </c>
      <c r="R4682" s="63">
        <f>(COUNTIFS($P:$P, "&gt;" &amp; $P4682) + 1) / (COUNTA($I:$I) - 1)</f>
        <v>2.18E-2</v>
      </c>
      <c r="S4682" s="23">
        <f>SUMIFS($P:$P, $Q:$Q, "&lt;" &amp; $Q4682)</f>
        <v>70477215</v>
      </c>
    </row>
    <row r="4683" spans="1:19" x14ac:dyDescent="0.25">
      <c r="A4683" s="1">
        <v>4678</v>
      </c>
      <c r="B4683" s="1" t="s">
        <v>4</v>
      </c>
      <c r="C4683" s="1" t="str">
        <f>IF($B4683 = "Production Item", _xlfn.XLOOKUP($A4683, 'Instrument Table'!$J:$J, 'Instrument Table'!$B:$B, $C4682), IF($B4683 = "Service Item", _xlfn.XLOOKUP($A4683, 'Instrument Table'!$I:$I, 'Instrument Table'!$B:$B, $C4682), _xlfn.XLOOKUP($A4683, 'Instrument Table'!$H:$H, 'Instrument Table'!$B:$B, $C4682)))</f>
        <v>Flute</v>
      </c>
      <c r="D4683" s="1" t="str">
        <f>VLOOKUP($C4683, 'Instrument Table'!$B:$C, 2, FALSE)</f>
        <v>Woodwinds</v>
      </c>
      <c r="E4683" s="1">
        <f t="shared" si="438"/>
        <v>3</v>
      </c>
      <c r="F4683" s="1">
        <f>_xlfn.XLOOKUP($C4683, 'Instrument Table'!$B:$B, 'Instrument Table'!$A:$A, "")</f>
        <v>32</v>
      </c>
      <c r="G4683" s="1" t="str">
        <f>TEXT(IF($B4683 = "Retail Item", IF((ROW($A4683) - 4504 - _xlfn.XMATCH($C4683, $C$4506:$C$5005, 0, 1)) &lt;= VLOOKUP($C4683, 'Instrument Table'!$B:$D, 3, FALSE), ROW($A4683) - 4504 - _xlfn.XMATCH($C4683, $C$4506:$C$5005, 0, 1), 0), 0), "00")</f>
        <v>00</v>
      </c>
      <c r="H4683" s="1" t="str">
        <f t="shared" si="439"/>
        <v>002</v>
      </c>
      <c r="I4683" s="1" t="str">
        <f t="shared" si="440"/>
        <v>33200-002</v>
      </c>
      <c r="J4683" s="1" t="str">
        <f t="shared" si="441"/>
        <v>Flute retail item #002</v>
      </c>
      <c r="K4683" s="1" t="str">
        <f>IF(SUM(COUNTIFS(I:I, I4683)) &gt; 1, "DUPLICATE", "UNIQUE")</f>
        <v>UNIQUE</v>
      </c>
      <c r="L4683" s="18">
        <v>15</v>
      </c>
      <c r="M4683" s="28">
        <v>4334</v>
      </c>
      <c r="N4683" s="6">
        <v>82</v>
      </c>
      <c r="O4683" s="30">
        <f t="shared" si="442"/>
        <v>65010</v>
      </c>
      <c r="P4683" s="30">
        <f t="shared" si="443"/>
        <v>355388</v>
      </c>
      <c r="Q4683" s="1">
        <f>COUNTIFS($P:$P, "&gt;" &amp; $P4683) + 1</f>
        <v>165</v>
      </c>
      <c r="R4683" s="63">
        <f>(COUNTIFS($P:$P, "&gt;" &amp; $P4683) + 1) / (COUNTA($I:$I) - 1)</f>
        <v>3.3000000000000002E-2</v>
      </c>
      <c r="S4683" s="23">
        <f>SUMIFS($P:$P, $Q:$Q, "&lt;" &amp; $Q4683)</f>
        <v>93501063</v>
      </c>
    </row>
    <row r="4684" spans="1:19" x14ac:dyDescent="0.25">
      <c r="A4684" s="1">
        <v>4679</v>
      </c>
      <c r="B4684" s="1" t="s">
        <v>4</v>
      </c>
      <c r="C4684" s="1" t="str">
        <f>IF($B4684 = "Production Item", _xlfn.XLOOKUP($A4684, 'Instrument Table'!$J:$J, 'Instrument Table'!$B:$B, $C4683), IF($B4684 = "Service Item", _xlfn.XLOOKUP($A4684, 'Instrument Table'!$I:$I, 'Instrument Table'!$B:$B, $C4683), _xlfn.XLOOKUP($A4684, 'Instrument Table'!$H:$H, 'Instrument Table'!$B:$B, $C4683)))</f>
        <v>Flute</v>
      </c>
      <c r="D4684" s="1" t="str">
        <f>VLOOKUP($C4684, 'Instrument Table'!$B:$C, 2, FALSE)</f>
        <v>Woodwinds</v>
      </c>
      <c r="E4684" s="1">
        <f t="shared" si="438"/>
        <v>3</v>
      </c>
      <c r="F4684" s="1">
        <f>_xlfn.XLOOKUP($C4684, 'Instrument Table'!$B:$B, 'Instrument Table'!$A:$A, "")</f>
        <v>32</v>
      </c>
      <c r="G4684" s="1" t="str">
        <f>TEXT(IF($B4684 = "Retail Item", IF((ROW($A4684) - 4504 - _xlfn.XMATCH($C4684, $C$4506:$C$5005, 0, 1)) &lt;= VLOOKUP($C4684, 'Instrument Table'!$B:$D, 3, FALSE), ROW($A4684) - 4504 - _xlfn.XMATCH($C4684, $C$4506:$C$5005, 0, 1), 0), 0), "00")</f>
        <v>00</v>
      </c>
      <c r="H4684" s="1" t="str">
        <f t="shared" si="439"/>
        <v>003</v>
      </c>
      <c r="I4684" s="1" t="str">
        <f t="shared" si="440"/>
        <v>33200-003</v>
      </c>
      <c r="J4684" s="1" t="str">
        <f t="shared" si="441"/>
        <v>Flute retail item #003</v>
      </c>
      <c r="K4684" s="1" t="str">
        <f>IF(SUM(COUNTIFS(I:I, I4684)) &gt; 1, "DUPLICATE", "UNIQUE")</f>
        <v>UNIQUE</v>
      </c>
      <c r="L4684" s="18">
        <v>49</v>
      </c>
      <c r="M4684" s="28">
        <v>7030</v>
      </c>
      <c r="N4684" s="6">
        <v>32</v>
      </c>
      <c r="O4684" s="30">
        <f t="shared" si="442"/>
        <v>344470</v>
      </c>
      <c r="P4684" s="30">
        <f t="shared" si="443"/>
        <v>224960</v>
      </c>
      <c r="Q4684" s="1">
        <f>COUNTIFS($P:$P, "&gt;" &amp; $P4684) + 1</f>
        <v>272</v>
      </c>
      <c r="R4684" s="63">
        <f>(COUNTIFS($P:$P, "&gt;" &amp; $P4684) + 1) / (COUNTA($I:$I) - 1)</f>
        <v>5.4399999999999997E-2</v>
      </c>
      <c r="S4684" s="23">
        <f>SUMIFS($P:$P, $Q:$Q, "&lt;" &amp; $Q4684)</f>
        <v>123810009</v>
      </c>
    </row>
    <row r="4685" spans="1:19" x14ac:dyDescent="0.25">
      <c r="A4685" s="1">
        <v>4680</v>
      </c>
      <c r="B4685" s="1" t="s">
        <v>4</v>
      </c>
      <c r="C4685" s="1" t="str">
        <f>IF($B4685 = "Production Item", _xlfn.XLOOKUP($A4685, 'Instrument Table'!$J:$J, 'Instrument Table'!$B:$B, $C4684), IF($B4685 = "Service Item", _xlfn.XLOOKUP($A4685, 'Instrument Table'!$I:$I, 'Instrument Table'!$B:$B, $C4684), _xlfn.XLOOKUP($A4685, 'Instrument Table'!$H:$H, 'Instrument Table'!$B:$B, $C4684)))</f>
        <v>Flute</v>
      </c>
      <c r="D4685" s="1" t="str">
        <f>VLOOKUP($C4685, 'Instrument Table'!$B:$C, 2, FALSE)</f>
        <v>Woodwinds</v>
      </c>
      <c r="E4685" s="1">
        <f t="shared" si="438"/>
        <v>3</v>
      </c>
      <c r="F4685" s="1">
        <f>_xlfn.XLOOKUP($C4685, 'Instrument Table'!$B:$B, 'Instrument Table'!$A:$A, "")</f>
        <v>32</v>
      </c>
      <c r="G4685" s="1" t="str">
        <f>TEXT(IF($B4685 = "Retail Item", IF((ROW($A4685) - 4504 - _xlfn.XMATCH($C4685, $C$4506:$C$5005, 0, 1)) &lt;= VLOOKUP($C4685, 'Instrument Table'!$B:$D, 3, FALSE), ROW($A4685) - 4504 - _xlfn.XMATCH($C4685, $C$4506:$C$5005, 0, 1), 0), 0), "00")</f>
        <v>00</v>
      </c>
      <c r="H4685" s="1" t="str">
        <f t="shared" si="439"/>
        <v>004</v>
      </c>
      <c r="I4685" s="1" t="str">
        <f t="shared" si="440"/>
        <v>33200-004</v>
      </c>
      <c r="J4685" s="1" t="str">
        <f t="shared" si="441"/>
        <v>Flute retail item #004</v>
      </c>
      <c r="K4685" s="1" t="str">
        <f>IF(SUM(COUNTIFS(I:I, I4685)) &gt; 1, "DUPLICATE", "UNIQUE")</f>
        <v>UNIQUE</v>
      </c>
      <c r="L4685" s="18">
        <v>40</v>
      </c>
      <c r="M4685" s="28">
        <v>3745</v>
      </c>
      <c r="N4685" s="6">
        <v>79</v>
      </c>
      <c r="O4685" s="30">
        <f t="shared" si="442"/>
        <v>149800</v>
      </c>
      <c r="P4685" s="30">
        <f t="shared" si="443"/>
        <v>295855</v>
      </c>
      <c r="Q4685" s="1">
        <f>COUNTIFS($P:$P, "&gt;" &amp; $P4685) + 1</f>
        <v>208</v>
      </c>
      <c r="R4685" s="63">
        <f>(COUNTIFS($P:$P, "&gt;" &amp; $P4685) + 1) / (COUNTA($I:$I) - 1)</f>
        <v>4.1599999999999998E-2</v>
      </c>
      <c r="S4685" s="23">
        <f>SUMIFS($P:$P, $Q:$Q, "&lt;" &amp; $Q4685)</f>
        <v>107328007</v>
      </c>
    </row>
    <row r="4686" spans="1:19" x14ac:dyDescent="0.25">
      <c r="A4686" s="1">
        <v>4681</v>
      </c>
      <c r="B4686" s="1" t="s">
        <v>4</v>
      </c>
      <c r="C4686" s="1" t="str">
        <f>IF($B4686 = "Production Item", _xlfn.XLOOKUP($A4686, 'Instrument Table'!$J:$J, 'Instrument Table'!$B:$B, $C4685), IF($B4686 = "Service Item", _xlfn.XLOOKUP($A4686, 'Instrument Table'!$I:$I, 'Instrument Table'!$B:$B, $C4685), _xlfn.XLOOKUP($A4686, 'Instrument Table'!$H:$H, 'Instrument Table'!$B:$B, $C4685)))</f>
        <v>Piccolo</v>
      </c>
      <c r="D4686" s="1" t="str">
        <f>VLOOKUP($C4686, 'Instrument Table'!$B:$C, 2, FALSE)</f>
        <v>Woodwinds</v>
      </c>
      <c r="E4686" s="1">
        <f t="shared" si="438"/>
        <v>3</v>
      </c>
      <c r="F4686" s="1">
        <f>_xlfn.XLOOKUP($C4686, 'Instrument Table'!$B:$B, 'Instrument Table'!$A:$A, "")</f>
        <v>33</v>
      </c>
      <c r="G4686" s="1" t="str">
        <f>TEXT(IF($B4686 = "Retail Item", IF((ROW($A4686) - 4504 - _xlfn.XMATCH($C4686, $C$4506:$C$5005, 0, 1)) &lt;= VLOOKUP($C4686, 'Instrument Table'!$B:$D, 3, FALSE), ROW($A4686) - 4504 - _xlfn.XMATCH($C4686, $C$4506:$C$5005, 0, 1), 0), 0), "00")</f>
        <v>01</v>
      </c>
      <c r="H4686" s="1" t="str">
        <f t="shared" si="439"/>
        <v>000</v>
      </c>
      <c r="I4686" s="1" t="str">
        <f t="shared" si="440"/>
        <v>33301-000</v>
      </c>
      <c r="J4686" s="1" t="str">
        <f t="shared" si="441"/>
        <v>Piccolo model #01</v>
      </c>
      <c r="K4686" s="1" t="str">
        <f>IF(SUM(COUNTIFS(I:I, I4686)) &gt; 1, "DUPLICATE", "UNIQUE")</f>
        <v>UNIQUE</v>
      </c>
      <c r="L4686" s="18">
        <v>87</v>
      </c>
      <c r="M4686" s="28">
        <v>8430</v>
      </c>
      <c r="N4686" s="6">
        <v>54</v>
      </c>
      <c r="O4686" s="30">
        <f t="shared" si="442"/>
        <v>733410</v>
      </c>
      <c r="P4686" s="30">
        <f t="shared" si="443"/>
        <v>455220</v>
      </c>
      <c r="Q4686" s="1">
        <f>COUNTIFS($P:$P, "&gt;" &amp; $P4686) + 1</f>
        <v>116</v>
      </c>
      <c r="R4686" s="63">
        <f>(COUNTIFS($P:$P, "&gt;" &amp; $P4686) + 1) / (COUNTA($I:$I) - 1)</f>
        <v>2.3199999999999998E-2</v>
      </c>
      <c r="S4686" s="23">
        <f>SUMIFS($P:$P, $Q:$Q, "&lt;" &amp; $Q4686)</f>
        <v>73709648</v>
      </c>
    </row>
    <row r="4687" spans="1:19" x14ac:dyDescent="0.25">
      <c r="A4687" s="1">
        <v>4682</v>
      </c>
      <c r="B4687" s="1" t="s">
        <v>4</v>
      </c>
      <c r="C4687" s="1" t="str">
        <f>IF($B4687 = "Production Item", _xlfn.XLOOKUP($A4687, 'Instrument Table'!$J:$J, 'Instrument Table'!$B:$B, $C4686), IF($B4687 = "Service Item", _xlfn.XLOOKUP($A4687, 'Instrument Table'!$I:$I, 'Instrument Table'!$B:$B, $C4686), _xlfn.XLOOKUP($A4687, 'Instrument Table'!$H:$H, 'Instrument Table'!$B:$B, $C4686)))</f>
        <v>Piccolo</v>
      </c>
      <c r="D4687" s="1" t="str">
        <f>VLOOKUP($C4687, 'Instrument Table'!$B:$C, 2, FALSE)</f>
        <v>Woodwinds</v>
      </c>
      <c r="E4687" s="1">
        <f t="shared" si="438"/>
        <v>3</v>
      </c>
      <c r="F4687" s="1">
        <f>_xlfn.XLOOKUP($C4687, 'Instrument Table'!$B:$B, 'Instrument Table'!$A:$A, "")</f>
        <v>33</v>
      </c>
      <c r="G4687" s="1" t="str">
        <f>TEXT(IF($B4687 = "Retail Item", IF((ROW($A4687) - 4504 - _xlfn.XMATCH($C4687, $C$4506:$C$5005, 0, 1)) &lt;= VLOOKUP($C4687, 'Instrument Table'!$B:$D, 3, FALSE), ROW($A4687) - 4504 - _xlfn.XMATCH($C4687, $C$4506:$C$5005, 0, 1), 0), 0), "00")</f>
        <v>02</v>
      </c>
      <c r="H4687" s="1" t="str">
        <f t="shared" si="439"/>
        <v>000</v>
      </c>
      <c r="I4687" s="1" t="str">
        <f t="shared" si="440"/>
        <v>33302-000</v>
      </c>
      <c r="J4687" s="1" t="str">
        <f t="shared" si="441"/>
        <v>Piccolo model #02</v>
      </c>
      <c r="K4687" s="1" t="str">
        <f>IF(SUM(COUNTIFS(I:I, I4687)) &gt; 1, "DUPLICATE", "UNIQUE")</f>
        <v>UNIQUE</v>
      </c>
      <c r="L4687" s="18">
        <v>25</v>
      </c>
      <c r="M4687" s="28">
        <v>7213</v>
      </c>
      <c r="N4687" s="6">
        <v>5</v>
      </c>
      <c r="O4687" s="30">
        <f t="shared" si="442"/>
        <v>180325</v>
      </c>
      <c r="P4687" s="30">
        <f t="shared" si="443"/>
        <v>36065</v>
      </c>
      <c r="Q4687" s="1">
        <f>COUNTIFS($P:$P, "&gt;" &amp; $P4687) + 1</f>
        <v>591</v>
      </c>
      <c r="R4687" s="63">
        <f>(COUNTIFS($P:$P, "&gt;" &amp; $P4687) + 1) / (COUNTA($I:$I) - 1)</f>
        <v>0.1182</v>
      </c>
      <c r="S4687" s="23">
        <f>SUMIFS($P:$P, $Q:$Q, "&lt;" &amp; $Q4687)</f>
        <v>155548638</v>
      </c>
    </row>
    <row r="4688" spans="1:19" x14ac:dyDescent="0.25">
      <c r="A4688" s="1">
        <v>4683</v>
      </c>
      <c r="B4688" s="1" t="s">
        <v>4</v>
      </c>
      <c r="C4688" s="1" t="str">
        <f>IF($B4688 = "Production Item", _xlfn.XLOOKUP($A4688, 'Instrument Table'!$J:$J, 'Instrument Table'!$B:$B, $C4687), IF($B4688 = "Service Item", _xlfn.XLOOKUP($A4688, 'Instrument Table'!$I:$I, 'Instrument Table'!$B:$B, $C4687), _xlfn.XLOOKUP($A4688, 'Instrument Table'!$H:$H, 'Instrument Table'!$B:$B, $C4687)))</f>
        <v>Piccolo</v>
      </c>
      <c r="D4688" s="1" t="str">
        <f>VLOOKUP($C4688, 'Instrument Table'!$B:$C, 2, FALSE)</f>
        <v>Woodwinds</v>
      </c>
      <c r="E4688" s="1">
        <f t="shared" si="438"/>
        <v>3</v>
      </c>
      <c r="F4688" s="1">
        <f>_xlfn.XLOOKUP($C4688, 'Instrument Table'!$B:$B, 'Instrument Table'!$A:$A, "")</f>
        <v>33</v>
      </c>
      <c r="G4688" s="1" t="str">
        <f>TEXT(IF($B4688 = "Retail Item", IF((ROW($A4688) - 4504 - _xlfn.XMATCH($C4688, $C$4506:$C$5005, 0, 1)) &lt;= VLOOKUP($C4688, 'Instrument Table'!$B:$D, 3, FALSE), ROW($A4688) - 4504 - _xlfn.XMATCH($C4688, $C$4506:$C$5005, 0, 1), 0), 0), "00")</f>
        <v>03</v>
      </c>
      <c r="H4688" s="1" t="str">
        <f t="shared" si="439"/>
        <v>000</v>
      </c>
      <c r="I4688" s="1" t="str">
        <f t="shared" si="440"/>
        <v>33303-000</v>
      </c>
      <c r="J4688" s="1" t="str">
        <f t="shared" si="441"/>
        <v>Piccolo model #03</v>
      </c>
      <c r="K4688" s="1" t="str">
        <f>IF(SUM(COUNTIFS(I:I, I4688)) &gt; 1, "DUPLICATE", "UNIQUE")</f>
        <v>UNIQUE</v>
      </c>
      <c r="L4688" s="18">
        <v>66</v>
      </c>
      <c r="M4688" s="28">
        <v>2294</v>
      </c>
      <c r="N4688" s="6">
        <v>59</v>
      </c>
      <c r="O4688" s="30">
        <f t="shared" si="442"/>
        <v>151404</v>
      </c>
      <c r="P4688" s="30">
        <f t="shared" si="443"/>
        <v>135346</v>
      </c>
      <c r="Q4688" s="1">
        <f>COUNTIFS($P:$P, "&gt;" &amp; $P4688) + 1</f>
        <v>349</v>
      </c>
      <c r="R4688" s="63">
        <f>(COUNTIFS($P:$P, "&gt;" &amp; $P4688) + 1) / (COUNTA($I:$I) - 1)</f>
        <v>6.9800000000000001E-2</v>
      </c>
      <c r="S4688" s="23">
        <f>SUMIFS($P:$P, $Q:$Q, "&lt;" &amp; $Q4688)</f>
        <v>137327744</v>
      </c>
    </row>
    <row r="4689" spans="1:19" x14ac:dyDescent="0.25">
      <c r="A4689" s="1">
        <v>4684</v>
      </c>
      <c r="B4689" s="1" t="s">
        <v>4</v>
      </c>
      <c r="C4689" s="1" t="str">
        <f>IF($B4689 = "Production Item", _xlfn.XLOOKUP($A4689, 'Instrument Table'!$J:$J, 'Instrument Table'!$B:$B, $C4688), IF($B4689 = "Service Item", _xlfn.XLOOKUP($A4689, 'Instrument Table'!$I:$I, 'Instrument Table'!$B:$B, $C4688), _xlfn.XLOOKUP($A4689, 'Instrument Table'!$H:$H, 'Instrument Table'!$B:$B, $C4688)))</f>
        <v>Piccolo</v>
      </c>
      <c r="D4689" s="1" t="str">
        <f>VLOOKUP($C4689, 'Instrument Table'!$B:$C, 2, FALSE)</f>
        <v>Woodwinds</v>
      </c>
      <c r="E4689" s="1">
        <f t="shared" si="438"/>
        <v>3</v>
      </c>
      <c r="F4689" s="1">
        <f>_xlfn.XLOOKUP($C4689, 'Instrument Table'!$B:$B, 'Instrument Table'!$A:$A, "")</f>
        <v>33</v>
      </c>
      <c r="G4689" s="1" t="str">
        <f>TEXT(IF($B4689 = "Retail Item", IF((ROW($A4689) - 4504 - _xlfn.XMATCH($C4689, $C$4506:$C$5005, 0, 1)) &lt;= VLOOKUP($C4689, 'Instrument Table'!$B:$D, 3, FALSE), ROW($A4689) - 4504 - _xlfn.XMATCH($C4689, $C$4506:$C$5005, 0, 1), 0), 0), "00")</f>
        <v>00</v>
      </c>
      <c r="H4689" s="1" t="str">
        <f t="shared" si="439"/>
        <v>000</v>
      </c>
      <c r="I4689" s="1" t="str">
        <f t="shared" si="440"/>
        <v>33300-000</v>
      </c>
      <c r="J4689" s="1" t="str">
        <f t="shared" si="441"/>
        <v>Piccolo retail item #000</v>
      </c>
      <c r="K4689" s="1" t="str">
        <f>IF(SUM(COUNTIFS(I:I, I4689)) &gt; 1, "DUPLICATE", "UNIQUE")</f>
        <v>UNIQUE</v>
      </c>
      <c r="L4689" s="18">
        <v>61</v>
      </c>
      <c r="M4689" s="28">
        <v>9498</v>
      </c>
      <c r="N4689" s="6">
        <v>12</v>
      </c>
      <c r="O4689" s="30">
        <f t="shared" si="442"/>
        <v>579378</v>
      </c>
      <c r="P4689" s="30">
        <f t="shared" si="443"/>
        <v>113976</v>
      </c>
      <c r="Q4689" s="1">
        <f>COUNTIFS($P:$P, "&gt;" &amp; $P4689) + 1</f>
        <v>388</v>
      </c>
      <c r="R4689" s="63">
        <f>(COUNTIFS($P:$P, "&gt;" &amp; $P4689) + 1) / (COUNTA($I:$I) - 1)</f>
        <v>7.7600000000000002E-2</v>
      </c>
      <c r="S4689" s="23">
        <f>SUMIFS($P:$P, $Q:$Q, "&lt;" &amp; $Q4689)</f>
        <v>142130225</v>
      </c>
    </row>
    <row r="4690" spans="1:19" x14ac:dyDescent="0.25">
      <c r="A4690" s="1">
        <v>4685</v>
      </c>
      <c r="B4690" s="1" t="s">
        <v>4</v>
      </c>
      <c r="C4690" s="1" t="str">
        <f>IF($B4690 = "Production Item", _xlfn.XLOOKUP($A4690, 'Instrument Table'!$J:$J, 'Instrument Table'!$B:$B, $C4689), IF($B4690 = "Service Item", _xlfn.XLOOKUP($A4690, 'Instrument Table'!$I:$I, 'Instrument Table'!$B:$B, $C4689), _xlfn.XLOOKUP($A4690, 'Instrument Table'!$H:$H, 'Instrument Table'!$B:$B, $C4689)))</f>
        <v>Piccolo</v>
      </c>
      <c r="D4690" s="1" t="str">
        <f>VLOOKUP($C4690, 'Instrument Table'!$B:$C, 2, FALSE)</f>
        <v>Woodwinds</v>
      </c>
      <c r="E4690" s="1">
        <f t="shared" si="438"/>
        <v>3</v>
      </c>
      <c r="F4690" s="1">
        <f>_xlfn.XLOOKUP($C4690, 'Instrument Table'!$B:$B, 'Instrument Table'!$A:$A, "")</f>
        <v>33</v>
      </c>
      <c r="G4690" s="1" t="str">
        <f>TEXT(IF($B4690 = "Retail Item", IF((ROW($A4690) - 4504 - _xlfn.XMATCH($C4690, $C$4506:$C$5005, 0, 1)) &lt;= VLOOKUP($C4690, 'Instrument Table'!$B:$D, 3, FALSE), ROW($A4690) - 4504 - _xlfn.XMATCH($C4690, $C$4506:$C$5005, 0, 1), 0), 0), "00")</f>
        <v>00</v>
      </c>
      <c r="H4690" s="1" t="str">
        <f t="shared" si="439"/>
        <v>001</v>
      </c>
      <c r="I4690" s="1" t="str">
        <f t="shared" si="440"/>
        <v>33300-001</v>
      </c>
      <c r="J4690" s="1" t="str">
        <f t="shared" si="441"/>
        <v>Piccolo retail item #001</v>
      </c>
      <c r="K4690" s="1" t="str">
        <f>IF(SUM(COUNTIFS(I:I, I4690)) &gt; 1, "DUPLICATE", "UNIQUE")</f>
        <v>UNIQUE</v>
      </c>
      <c r="L4690" s="18">
        <v>93</v>
      </c>
      <c r="M4690" s="28">
        <v>3593</v>
      </c>
      <c r="N4690" s="6">
        <v>49</v>
      </c>
      <c r="O4690" s="30">
        <f t="shared" si="442"/>
        <v>334149</v>
      </c>
      <c r="P4690" s="30">
        <f t="shared" si="443"/>
        <v>176057</v>
      </c>
      <c r="Q4690" s="1">
        <f>COUNTIFS($P:$P, "&gt;" &amp; $P4690) + 1</f>
        <v>306</v>
      </c>
      <c r="R4690" s="63">
        <f>(COUNTIFS($P:$P, "&gt;" &amp; $P4690) + 1) / (COUNTA($I:$I) - 1)</f>
        <v>6.1199999999999997E-2</v>
      </c>
      <c r="S4690" s="23">
        <f>SUMIFS($P:$P, $Q:$Q, "&lt;" &amp; $Q4690)</f>
        <v>130619258</v>
      </c>
    </row>
    <row r="4691" spans="1:19" x14ac:dyDescent="0.25">
      <c r="A4691" s="1">
        <v>4686</v>
      </c>
      <c r="B4691" s="1" t="s">
        <v>4</v>
      </c>
      <c r="C4691" s="1" t="str">
        <f>IF($B4691 = "Production Item", _xlfn.XLOOKUP($A4691, 'Instrument Table'!$J:$J, 'Instrument Table'!$B:$B, $C4690), IF($B4691 = "Service Item", _xlfn.XLOOKUP($A4691, 'Instrument Table'!$I:$I, 'Instrument Table'!$B:$B, $C4690), _xlfn.XLOOKUP($A4691, 'Instrument Table'!$H:$H, 'Instrument Table'!$B:$B, $C4690)))</f>
        <v>Piccolo</v>
      </c>
      <c r="D4691" s="1" t="str">
        <f>VLOOKUP($C4691, 'Instrument Table'!$B:$C, 2, FALSE)</f>
        <v>Woodwinds</v>
      </c>
      <c r="E4691" s="1">
        <f t="shared" si="438"/>
        <v>3</v>
      </c>
      <c r="F4691" s="1">
        <f>_xlfn.XLOOKUP($C4691, 'Instrument Table'!$B:$B, 'Instrument Table'!$A:$A, "")</f>
        <v>33</v>
      </c>
      <c r="G4691" s="1" t="str">
        <f>TEXT(IF($B4691 = "Retail Item", IF((ROW($A4691) - 4504 - _xlfn.XMATCH($C4691, $C$4506:$C$5005, 0, 1)) &lt;= VLOOKUP($C4691, 'Instrument Table'!$B:$D, 3, FALSE), ROW($A4691) - 4504 - _xlfn.XMATCH($C4691, $C$4506:$C$5005, 0, 1), 0), 0), "00")</f>
        <v>00</v>
      </c>
      <c r="H4691" s="1" t="str">
        <f t="shared" si="439"/>
        <v>002</v>
      </c>
      <c r="I4691" s="1" t="str">
        <f t="shared" si="440"/>
        <v>33300-002</v>
      </c>
      <c r="J4691" s="1" t="str">
        <f t="shared" si="441"/>
        <v>Piccolo retail item #002</v>
      </c>
      <c r="K4691" s="1" t="str">
        <f>IF(SUM(COUNTIFS(I:I, I4691)) &gt; 1, "DUPLICATE", "UNIQUE")</f>
        <v>UNIQUE</v>
      </c>
      <c r="L4691" s="18">
        <v>23</v>
      </c>
      <c r="M4691" s="28">
        <v>7273</v>
      </c>
      <c r="N4691" s="6">
        <v>21</v>
      </c>
      <c r="O4691" s="30">
        <f t="shared" si="442"/>
        <v>167279</v>
      </c>
      <c r="P4691" s="30">
        <f t="shared" si="443"/>
        <v>152733</v>
      </c>
      <c r="Q4691" s="1">
        <f>COUNTIFS($P:$P, "&gt;" &amp; $P4691) + 1</f>
        <v>330</v>
      </c>
      <c r="R4691" s="63">
        <f>(COUNTIFS($P:$P, "&gt;" &amp; $P4691) + 1) / (COUNTA($I:$I) - 1)</f>
        <v>6.6000000000000003E-2</v>
      </c>
      <c r="S4691" s="23">
        <f>SUMIFS($P:$P, $Q:$Q, "&lt;" &amp; $Q4691)</f>
        <v>134561488</v>
      </c>
    </row>
    <row r="4692" spans="1:19" x14ac:dyDescent="0.25">
      <c r="A4692" s="1">
        <v>4687</v>
      </c>
      <c r="B4692" s="1" t="s">
        <v>4</v>
      </c>
      <c r="C4692" s="1" t="str">
        <f>IF($B4692 = "Production Item", _xlfn.XLOOKUP($A4692, 'Instrument Table'!$J:$J, 'Instrument Table'!$B:$B, $C4691), IF($B4692 = "Service Item", _xlfn.XLOOKUP($A4692, 'Instrument Table'!$I:$I, 'Instrument Table'!$B:$B, $C4691), _xlfn.XLOOKUP($A4692, 'Instrument Table'!$H:$H, 'Instrument Table'!$B:$B, $C4691)))</f>
        <v>Piccolo</v>
      </c>
      <c r="D4692" s="1" t="str">
        <f>VLOOKUP($C4692, 'Instrument Table'!$B:$C, 2, FALSE)</f>
        <v>Woodwinds</v>
      </c>
      <c r="E4692" s="1">
        <f t="shared" si="438"/>
        <v>3</v>
      </c>
      <c r="F4692" s="1">
        <f>_xlfn.XLOOKUP($C4692, 'Instrument Table'!$B:$B, 'Instrument Table'!$A:$A, "")</f>
        <v>33</v>
      </c>
      <c r="G4692" s="1" t="str">
        <f>TEXT(IF($B4692 = "Retail Item", IF((ROW($A4692) - 4504 - _xlfn.XMATCH($C4692, $C$4506:$C$5005, 0, 1)) &lt;= VLOOKUP($C4692, 'Instrument Table'!$B:$D, 3, FALSE), ROW($A4692) - 4504 - _xlfn.XMATCH($C4692, $C$4506:$C$5005, 0, 1), 0), 0), "00")</f>
        <v>00</v>
      </c>
      <c r="H4692" s="1" t="str">
        <f t="shared" si="439"/>
        <v>003</v>
      </c>
      <c r="I4692" s="1" t="str">
        <f t="shared" si="440"/>
        <v>33300-003</v>
      </c>
      <c r="J4692" s="1" t="str">
        <f t="shared" si="441"/>
        <v>Piccolo retail item #003</v>
      </c>
      <c r="K4692" s="1" t="str">
        <f>IF(SUM(COUNTIFS(I:I, I4692)) &gt; 1, "DUPLICATE", "UNIQUE")</f>
        <v>UNIQUE</v>
      </c>
      <c r="L4692" s="18">
        <v>27</v>
      </c>
      <c r="M4692" s="28">
        <v>9510</v>
      </c>
      <c r="N4692" s="6">
        <v>57</v>
      </c>
      <c r="O4692" s="30">
        <f t="shared" si="442"/>
        <v>256770</v>
      </c>
      <c r="P4692" s="30">
        <f t="shared" si="443"/>
        <v>542070</v>
      </c>
      <c r="Q4692" s="1">
        <f>COUNTIFS($P:$P, "&gt;" &amp; $P4692) + 1</f>
        <v>82</v>
      </c>
      <c r="R4692" s="63">
        <f>(COUNTIFS($P:$P, "&gt;" &amp; $P4692) + 1) / (COUNTA($I:$I) - 1)</f>
        <v>1.6400000000000001E-2</v>
      </c>
      <c r="S4692" s="23">
        <f>SUMIFS($P:$P, $Q:$Q, "&lt;" &amp; $Q4692)</f>
        <v>56856059</v>
      </c>
    </row>
    <row r="4693" spans="1:19" x14ac:dyDescent="0.25">
      <c r="A4693" s="1">
        <v>4688</v>
      </c>
      <c r="B4693" s="1" t="s">
        <v>4</v>
      </c>
      <c r="C4693" s="1" t="str">
        <f>IF($B4693 = "Production Item", _xlfn.XLOOKUP($A4693, 'Instrument Table'!$J:$J, 'Instrument Table'!$B:$B, $C4692), IF($B4693 = "Service Item", _xlfn.XLOOKUP($A4693, 'Instrument Table'!$I:$I, 'Instrument Table'!$B:$B, $C4692), _xlfn.XLOOKUP($A4693, 'Instrument Table'!$H:$H, 'Instrument Table'!$B:$B, $C4692)))</f>
        <v>Piccolo</v>
      </c>
      <c r="D4693" s="1" t="str">
        <f>VLOOKUP($C4693, 'Instrument Table'!$B:$C, 2, FALSE)</f>
        <v>Woodwinds</v>
      </c>
      <c r="E4693" s="1">
        <f t="shared" si="438"/>
        <v>3</v>
      </c>
      <c r="F4693" s="1">
        <f>_xlfn.XLOOKUP($C4693, 'Instrument Table'!$B:$B, 'Instrument Table'!$A:$A, "")</f>
        <v>33</v>
      </c>
      <c r="G4693" s="1" t="str">
        <f>TEXT(IF($B4693 = "Retail Item", IF((ROW($A4693) - 4504 - _xlfn.XMATCH($C4693, $C$4506:$C$5005, 0, 1)) &lt;= VLOOKUP($C4693, 'Instrument Table'!$B:$D, 3, FALSE), ROW($A4693) - 4504 - _xlfn.XMATCH($C4693, $C$4506:$C$5005, 0, 1), 0), 0), "00")</f>
        <v>00</v>
      </c>
      <c r="H4693" s="1" t="str">
        <f t="shared" si="439"/>
        <v>004</v>
      </c>
      <c r="I4693" s="1" t="str">
        <f t="shared" si="440"/>
        <v>33300-004</v>
      </c>
      <c r="J4693" s="1" t="str">
        <f t="shared" si="441"/>
        <v>Piccolo retail item #004</v>
      </c>
      <c r="K4693" s="1" t="str">
        <f>IF(SUM(COUNTIFS(I:I, I4693)) &gt; 1, "DUPLICATE", "UNIQUE")</f>
        <v>UNIQUE</v>
      </c>
      <c r="L4693" s="18">
        <v>44</v>
      </c>
      <c r="M4693" s="28">
        <v>7929</v>
      </c>
      <c r="N4693" s="6">
        <v>96</v>
      </c>
      <c r="O4693" s="30">
        <f t="shared" si="442"/>
        <v>348876</v>
      </c>
      <c r="P4693" s="30">
        <f t="shared" si="443"/>
        <v>761184</v>
      </c>
      <c r="Q4693" s="1">
        <f>COUNTIFS($P:$P, "&gt;" &amp; $P4693) + 1</f>
        <v>25</v>
      </c>
      <c r="R4693" s="63">
        <f>(COUNTIFS($P:$P, "&gt;" &amp; $P4693) + 1) / (COUNTA($I:$I) - 1)</f>
        <v>5.0000000000000001E-3</v>
      </c>
      <c r="S4693" s="23">
        <f>SUMIFS($P:$P, $Q:$Q, "&lt;" &amp; $Q4693)</f>
        <v>20397030</v>
      </c>
    </row>
    <row r="4694" spans="1:19" x14ac:dyDescent="0.25">
      <c r="A4694" s="1">
        <v>4689</v>
      </c>
      <c r="B4694" s="1" t="s">
        <v>4</v>
      </c>
      <c r="C4694" s="1" t="str">
        <f>IF($B4694 = "Production Item", _xlfn.XLOOKUP($A4694, 'Instrument Table'!$J:$J, 'Instrument Table'!$B:$B, $C4693), IF($B4694 = "Service Item", _xlfn.XLOOKUP($A4694, 'Instrument Table'!$I:$I, 'Instrument Table'!$B:$B, $C4693), _xlfn.XLOOKUP($A4694, 'Instrument Table'!$H:$H, 'Instrument Table'!$B:$B, $C4693)))</f>
        <v>Oboe</v>
      </c>
      <c r="D4694" s="1" t="str">
        <f>VLOOKUP($C4694, 'Instrument Table'!$B:$C, 2, FALSE)</f>
        <v>Woodwinds</v>
      </c>
      <c r="E4694" s="1">
        <f t="shared" si="438"/>
        <v>3</v>
      </c>
      <c r="F4694" s="1">
        <f>_xlfn.XLOOKUP($C4694, 'Instrument Table'!$B:$B, 'Instrument Table'!$A:$A, "")</f>
        <v>34</v>
      </c>
      <c r="G4694" s="1" t="str">
        <f>TEXT(IF($B4694 = "Retail Item", IF((ROW($A4694) - 4504 - _xlfn.XMATCH($C4694, $C$4506:$C$5005, 0, 1)) &lt;= VLOOKUP($C4694, 'Instrument Table'!$B:$D, 3, FALSE), ROW($A4694) - 4504 - _xlfn.XMATCH($C4694, $C$4506:$C$5005, 0, 1), 0), 0), "00")</f>
        <v>01</v>
      </c>
      <c r="H4694" s="1" t="str">
        <f t="shared" si="439"/>
        <v>000</v>
      </c>
      <c r="I4694" s="1" t="str">
        <f t="shared" si="440"/>
        <v>33401-000</v>
      </c>
      <c r="J4694" s="1" t="str">
        <f t="shared" si="441"/>
        <v>Oboe model #01</v>
      </c>
      <c r="K4694" s="1" t="str">
        <f>IF(SUM(COUNTIFS(I:I, I4694)) &gt; 1, "DUPLICATE", "UNIQUE")</f>
        <v>UNIQUE</v>
      </c>
      <c r="L4694" s="18">
        <v>65</v>
      </c>
      <c r="M4694" s="28">
        <v>6929</v>
      </c>
      <c r="N4694" s="6">
        <v>19</v>
      </c>
      <c r="O4694" s="30">
        <f t="shared" si="442"/>
        <v>450385</v>
      </c>
      <c r="P4694" s="30">
        <f t="shared" si="443"/>
        <v>131651</v>
      </c>
      <c r="Q4694" s="1">
        <f>COUNTIFS($P:$P, "&gt;" &amp; $P4694) + 1</f>
        <v>353</v>
      </c>
      <c r="R4694" s="63">
        <f>(COUNTIFS($P:$P, "&gt;" &amp; $P4694) + 1) / (COUNTA($I:$I) - 1)</f>
        <v>7.0599999999999996E-2</v>
      </c>
      <c r="S4694" s="23">
        <f>SUMIFS($P:$P, $Q:$Q, "&lt;" &amp; $Q4694)</f>
        <v>137863291</v>
      </c>
    </row>
    <row r="4695" spans="1:19" x14ac:dyDescent="0.25">
      <c r="A4695" s="1">
        <v>4690</v>
      </c>
      <c r="B4695" s="1" t="s">
        <v>4</v>
      </c>
      <c r="C4695" s="1" t="str">
        <f>IF($B4695 = "Production Item", _xlfn.XLOOKUP($A4695, 'Instrument Table'!$J:$J, 'Instrument Table'!$B:$B, $C4694), IF($B4695 = "Service Item", _xlfn.XLOOKUP($A4695, 'Instrument Table'!$I:$I, 'Instrument Table'!$B:$B, $C4694), _xlfn.XLOOKUP($A4695, 'Instrument Table'!$H:$H, 'Instrument Table'!$B:$B, $C4694)))</f>
        <v>Oboe</v>
      </c>
      <c r="D4695" s="1" t="str">
        <f>VLOOKUP($C4695, 'Instrument Table'!$B:$C, 2, FALSE)</f>
        <v>Woodwinds</v>
      </c>
      <c r="E4695" s="1">
        <f t="shared" si="438"/>
        <v>3</v>
      </c>
      <c r="F4695" s="1">
        <f>_xlfn.XLOOKUP($C4695, 'Instrument Table'!$B:$B, 'Instrument Table'!$A:$A, "")</f>
        <v>34</v>
      </c>
      <c r="G4695" s="1" t="str">
        <f>TEXT(IF($B4695 = "Retail Item", IF((ROW($A4695) - 4504 - _xlfn.XMATCH($C4695, $C$4506:$C$5005, 0, 1)) &lt;= VLOOKUP($C4695, 'Instrument Table'!$B:$D, 3, FALSE), ROW($A4695) - 4504 - _xlfn.XMATCH($C4695, $C$4506:$C$5005, 0, 1), 0), 0), "00")</f>
        <v>02</v>
      </c>
      <c r="H4695" s="1" t="str">
        <f t="shared" si="439"/>
        <v>000</v>
      </c>
      <c r="I4695" s="1" t="str">
        <f t="shared" si="440"/>
        <v>33402-000</v>
      </c>
      <c r="J4695" s="1" t="str">
        <f t="shared" si="441"/>
        <v>Oboe model #02</v>
      </c>
      <c r="K4695" s="1" t="str">
        <f>IF(SUM(COUNTIFS(I:I, I4695)) &gt; 1, "DUPLICATE", "UNIQUE")</f>
        <v>UNIQUE</v>
      </c>
      <c r="L4695" s="18">
        <v>78</v>
      </c>
      <c r="M4695" s="28">
        <v>6551</v>
      </c>
      <c r="N4695" s="6">
        <v>77</v>
      </c>
      <c r="O4695" s="30">
        <f t="shared" si="442"/>
        <v>510978</v>
      </c>
      <c r="P4695" s="30">
        <f t="shared" si="443"/>
        <v>504427</v>
      </c>
      <c r="Q4695" s="1">
        <f>COUNTIFS($P:$P, "&gt;" &amp; $P4695) + 1</f>
        <v>97</v>
      </c>
      <c r="R4695" s="63">
        <f>(COUNTIFS($P:$P, "&gt;" &amp; $P4695) + 1) / (COUNTA($I:$I) - 1)</f>
        <v>1.9400000000000001E-2</v>
      </c>
      <c r="S4695" s="23">
        <f>SUMIFS($P:$P, $Q:$Q, "&lt;" &amp; $Q4695)</f>
        <v>64650710</v>
      </c>
    </row>
    <row r="4696" spans="1:19" x14ac:dyDescent="0.25">
      <c r="A4696" s="1">
        <v>4691</v>
      </c>
      <c r="B4696" s="1" t="s">
        <v>4</v>
      </c>
      <c r="C4696" s="1" t="str">
        <f>IF($B4696 = "Production Item", _xlfn.XLOOKUP($A4696, 'Instrument Table'!$J:$J, 'Instrument Table'!$B:$B, $C4695), IF($B4696 = "Service Item", _xlfn.XLOOKUP($A4696, 'Instrument Table'!$I:$I, 'Instrument Table'!$B:$B, $C4695), _xlfn.XLOOKUP($A4696, 'Instrument Table'!$H:$H, 'Instrument Table'!$B:$B, $C4695)))</f>
        <v>Oboe</v>
      </c>
      <c r="D4696" s="1" t="str">
        <f>VLOOKUP($C4696, 'Instrument Table'!$B:$C, 2, FALSE)</f>
        <v>Woodwinds</v>
      </c>
      <c r="E4696" s="1">
        <f t="shared" si="438"/>
        <v>3</v>
      </c>
      <c r="F4696" s="1">
        <f>_xlfn.XLOOKUP($C4696, 'Instrument Table'!$B:$B, 'Instrument Table'!$A:$A, "")</f>
        <v>34</v>
      </c>
      <c r="G4696" s="1" t="str">
        <f>TEXT(IF($B4696 = "Retail Item", IF((ROW($A4696) - 4504 - _xlfn.XMATCH($C4696, $C$4506:$C$5005, 0, 1)) &lt;= VLOOKUP($C4696, 'Instrument Table'!$B:$D, 3, FALSE), ROW($A4696) - 4504 - _xlfn.XMATCH($C4696, $C$4506:$C$5005, 0, 1), 0), 0), "00")</f>
        <v>03</v>
      </c>
      <c r="H4696" s="1" t="str">
        <f t="shared" si="439"/>
        <v>000</v>
      </c>
      <c r="I4696" s="1" t="str">
        <f t="shared" si="440"/>
        <v>33403-000</v>
      </c>
      <c r="J4696" s="1" t="str">
        <f t="shared" si="441"/>
        <v>Oboe model #03</v>
      </c>
      <c r="K4696" s="1" t="str">
        <f>IF(SUM(COUNTIFS(I:I, I4696)) &gt; 1, "DUPLICATE", "UNIQUE")</f>
        <v>UNIQUE</v>
      </c>
      <c r="L4696" s="18">
        <v>86</v>
      </c>
      <c r="M4696" s="28">
        <v>9800</v>
      </c>
      <c r="N4696" s="6">
        <v>75</v>
      </c>
      <c r="O4696" s="30">
        <f t="shared" si="442"/>
        <v>842800</v>
      </c>
      <c r="P4696" s="30">
        <f t="shared" si="443"/>
        <v>735000</v>
      </c>
      <c r="Q4696" s="1">
        <f>COUNTIFS($P:$P, "&gt;" &amp; $P4696) + 1</f>
        <v>32</v>
      </c>
      <c r="R4696" s="63">
        <f>(COUNTIFS($P:$P, "&gt;" &amp; $P4696) + 1) / (COUNTA($I:$I) - 1)</f>
        <v>6.4000000000000003E-3</v>
      </c>
      <c r="S4696" s="23">
        <f>SUMIFS($P:$P, $Q:$Q, "&lt;" &amp; $Q4696)</f>
        <v>25637769</v>
      </c>
    </row>
    <row r="4697" spans="1:19" x14ac:dyDescent="0.25">
      <c r="A4697" s="1">
        <v>4692</v>
      </c>
      <c r="B4697" s="1" t="s">
        <v>4</v>
      </c>
      <c r="C4697" s="1" t="str">
        <f>IF($B4697 = "Production Item", _xlfn.XLOOKUP($A4697, 'Instrument Table'!$J:$J, 'Instrument Table'!$B:$B, $C4696), IF($B4697 = "Service Item", _xlfn.XLOOKUP($A4697, 'Instrument Table'!$I:$I, 'Instrument Table'!$B:$B, $C4696), _xlfn.XLOOKUP($A4697, 'Instrument Table'!$H:$H, 'Instrument Table'!$B:$B, $C4696)))</f>
        <v>Oboe</v>
      </c>
      <c r="D4697" s="1" t="str">
        <f>VLOOKUP($C4697, 'Instrument Table'!$B:$C, 2, FALSE)</f>
        <v>Woodwinds</v>
      </c>
      <c r="E4697" s="1">
        <f t="shared" si="438"/>
        <v>3</v>
      </c>
      <c r="F4697" s="1">
        <f>_xlfn.XLOOKUP($C4697, 'Instrument Table'!$B:$B, 'Instrument Table'!$A:$A, "")</f>
        <v>34</v>
      </c>
      <c r="G4697" s="1" t="str">
        <f>TEXT(IF($B4697 = "Retail Item", IF((ROW($A4697) - 4504 - _xlfn.XMATCH($C4697, $C$4506:$C$5005, 0, 1)) &lt;= VLOOKUP($C4697, 'Instrument Table'!$B:$D, 3, FALSE), ROW($A4697) - 4504 - _xlfn.XMATCH($C4697, $C$4506:$C$5005, 0, 1), 0), 0), "00")</f>
        <v>00</v>
      </c>
      <c r="H4697" s="1" t="str">
        <f t="shared" si="439"/>
        <v>000</v>
      </c>
      <c r="I4697" s="1" t="str">
        <f t="shared" si="440"/>
        <v>33400-000</v>
      </c>
      <c r="J4697" s="1" t="str">
        <f t="shared" si="441"/>
        <v>Oboe retail item #000</v>
      </c>
      <c r="K4697" s="1" t="str">
        <f>IF(SUM(COUNTIFS(I:I, I4697)) &gt; 1, "DUPLICATE", "UNIQUE")</f>
        <v>UNIQUE</v>
      </c>
      <c r="L4697" s="18">
        <v>27</v>
      </c>
      <c r="M4697" s="28">
        <v>1927</v>
      </c>
      <c r="N4697" s="6">
        <v>81</v>
      </c>
      <c r="O4697" s="30">
        <f t="shared" si="442"/>
        <v>52029</v>
      </c>
      <c r="P4697" s="30">
        <f t="shared" si="443"/>
        <v>156087</v>
      </c>
      <c r="Q4697" s="1">
        <f>COUNTIFS($P:$P, "&gt;" &amp; $P4697) + 1</f>
        <v>325</v>
      </c>
      <c r="R4697" s="63">
        <f>(COUNTIFS($P:$P, "&gt;" &amp; $P4697) + 1) / (COUNTA($I:$I) - 1)</f>
        <v>6.5000000000000002E-2</v>
      </c>
      <c r="S4697" s="23">
        <f>SUMIFS($P:$P, $Q:$Q, "&lt;" &amp; $Q4697)</f>
        <v>133786865</v>
      </c>
    </row>
    <row r="4698" spans="1:19" x14ac:dyDescent="0.25">
      <c r="A4698" s="1">
        <v>4693</v>
      </c>
      <c r="B4698" s="1" t="s">
        <v>4</v>
      </c>
      <c r="C4698" s="1" t="str">
        <f>IF($B4698 = "Production Item", _xlfn.XLOOKUP($A4698, 'Instrument Table'!$J:$J, 'Instrument Table'!$B:$B, $C4697), IF($B4698 = "Service Item", _xlfn.XLOOKUP($A4698, 'Instrument Table'!$I:$I, 'Instrument Table'!$B:$B, $C4697), _xlfn.XLOOKUP($A4698, 'Instrument Table'!$H:$H, 'Instrument Table'!$B:$B, $C4697)))</f>
        <v>Oboe</v>
      </c>
      <c r="D4698" s="1" t="str">
        <f>VLOOKUP($C4698, 'Instrument Table'!$B:$C, 2, FALSE)</f>
        <v>Woodwinds</v>
      </c>
      <c r="E4698" s="1">
        <f t="shared" si="438"/>
        <v>3</v>
      </c>
      <c r="F4698" s="1">
        <f>_xlfn.XLOOKUP($C4698, 'Instrument Table'!$B:$B, 'Instrument Table'!$A:$A, "")</f>
        <v>34</v>
      </c>
      <c r="G4698" s="1" t="str">
        <f>TEXT(IF($B4698 = "Retail Item", IF((ROW($A4698) - 4504 - _xlfn.XMATCH($C4698, $C$4506:$C$5005, 0, 1)) &lt;= VLOOKUP($C4698, 'Instrument Table'!$B:$D, 3, FALSE), ROW($A4698) - 4504 - _xlfn.XMATCH($C4698, $C$4506:$C$5005, 0, 1), 0), 0), "00")</f>
        <v>00</v>
      </c>
      <c r="H4698" s="1" t="str">
        <f t="shared" si="439"/>
        <v>001</v>
      </c>
      <c r="I4698" s="1" t="str">
        <f t="shared" si="440"/>
        <v>33400-001</v>
      </c>
      <c r="J4698" s="1" t="str">
        <f t="shared" si="441"/>
        <v>Oboe retail item #001</v>
      </c>
      <c r="K4698" s="1" t="str">
        <f>IF(SUM(COUNTIFS(I:I, I4698)) &gt; 1, "DUPLICATE", "UNIQUE")</f>
        <v>UNIQUE</v>
      </c>
      <c r="L4698" s="18">
        <v>63</v>
      </c>
      <c r="M4698" s="28">
        <v>7880</v>
      </c>
      <c r="N4698" s="6">
        <v>41</v>
      </c>
      <c r="O4698" s="30">
        <f t="shared" si="442"/>
        <v>496440</v>
      </c>
      <c r="P4698" s="30">
        <f t="shared" si="443"/>
        <v>323080</v>
      </c>
      <c r="Q4698" s="1">
        <f>COUNTIFS($P:$P, "&gt;" &amp; $P4698) + 1</f>
        <v>185</v>
      </c>
      <c r="R4698" s="63">
        <f>(COUNTIFS($P:$P, "&gt;" &amp; $P4698) + 1) / (COUNTA($I:$I) - 1)</f>
        <v>3.6999999999999998E-2</v>
      </c>
      <c r="S4698" s="23">
        <f>SUMIFS($P:$P, $Q:$Q, "&lt;" &amp; $Q4698)</f>
        <v>100228296</v>
      </c>
    </row>
    <row r="4699" spans="1:19" x14ac:dyDescent="0.25">
      <c r="A4699" s="1">
        <v>4694</v>
      </c>
      <c r="B4699" s="1" t="s">
        <v>4</v>
      </c>
      <c r="C4699" s="1" t="str">
        <f>IF($B4699 = "Production Item", _xlfn.XLOOKUP($A4699, 'Instrument Table'!$J:$J, 'Instrument Table'!$B:$B, $C4698), IF($B4699 = "Service Item", _xlfn.XLOOKUP($A4699, 'Instrument Table'!$I:$I, 'Instrument Table'!$B:$B, $C4698), _xlfn.XLOOKUP($A4699, 'Instrument Table'!$H:$H, 'Instrument Table'!$B:$B, $C4698)))</f>
        <v>Oboe</v>
      </c>
      <c r="D4699" s="1" t="str">
        <f>VLOOKUP($C4699, 'Instrument Table'!$B:$C, 2, FALSE)</f>
        <v>Woodwinds</v>
      </c>
      <c r="E4699" s="1">
        <f t="shared" si="438"/>
        <v>3</v>
      </c>
      <c r="F4699" s="1">
        <f>_xlfn.XLOOKUP($C4699, 'Instrument Table'!$B:$B, 'Instrument Table'!$A:$A, "")</f>
        <v>34</v>
      </c>
      <c r="G4699" s="1" t="str">
        <f>TEXT(IF($B4699 = "Retail Item", IF((ROW($A4699) - 4504 - _xlfn.XMATCH($C4699, $C$4506:$C$5005, 0, 1)) &lt;= VLOOKUP($C4699, 'Instrument Table'!$B:$D, 3, FALSE), ROW($A4699) - 4504 - _xlfn.XMATCH($C4699, $C$4506:$C$5005, 0, 1), 0), 0), "00")</f>
        <v>00</v>
      </c>
      <c r="H4699" s="1" t="str">
        <f t="shared" si="439"/>
        <v>002</v>
      </c>
      <c r="I4699" s="1" t="str">
        <f t="shared" si="440"/>
        <v>33400-002</v>
      </c>
      <c r="J4699" s="1" t="str">
        <f t="shared" si="441"/>
        <v>Oboe retail item #002</v>
      </c>
      <c r="K4699" s="1" t="str">
        <f>IF(SUM(COUNTIFS(I:I, I4699)) &gt; 1, "DUPLICATE", "UNIQUE")</f>
        <v>UNIQUE</v>
      </c>
      <c r="L4699" s="18">
        <v>71</v>
      </c>
      <c r="M4699" s="28">
        <v>3060</v>
      </c>
      <c r="N4699" s="6">
        <v>95</v>
      </c>
      <c r="O4699" s="30">
        <f t="shared" si="442"/>
        <v>217260</v>
      </c>
      <c r="P4699" s="30">
        <f t="shared" si="443"/>
        <v>290700</v>
      </c>
      <c r="Q4699" s="1">
        <f>COUNTIFS($P:$P, "&gt;" &amp; $P4699) + 1</f>
        <v>215</v>
      </c>
      <c r="R4699" s="63">
        <f>(COUNTIFS($P:$P, "&gt;" &amp; $P4699) + 1) / (COUNTA($I:$I) - 1)</f>
        <v>4.2999999999999997E-2</v>
      </c>
      <c r="S4699" s="23">
        <f>SUMIFS($P:$P, $Q:$Q, "&lt;" &amp; $Q4699)</f>
        <v>109381726</v>
      </c>
    </row>
    <row r="4700" spans="1:19" x14ac:dyDescent="0.25">
      <c r="A4700" s="1">
        <v>4695</v>
      </c>
      <c r="B4700" s="1" t="s">
        <v>4</v>
      </c>
      <c r="C4700" s="1" t="str">
        <f>IF($B4700 = "Production Item", _xlfn.XLOOKUP($A4700, 'Instrument Table'!$J:$J, 'Instrument Table'!$B:$B, $C4699), IF($B4700 = "Service Item", _xlfn.XLOOKUP($A4700, 'Instrument Table'!$I:$I, 'Instrument Table'!$B:$B, $C4699), _xlfn.XLOOKUP($A4700, 'Instrument Table'!$H:$H, 'Instrument Table'!$B:$B, $C4699)))</f>
        <v>Oboe</v>
      </c>
      <c r="D4700" s="1" t="str">
        <f>VLOOKUP($C4700, 'Instrument Table'!$B:$C, 2, FALSE)</f>
        <v>Woodwinds</v>
      </c>
      <c r="E4700" s="1">
        <f t="shared" si="438"/>
        <v>3</v>
      </c>
      <c r="F4700" s="1">
        <f>_xlfn.XLOOKUP($C4700, 'Instrument Table'!$B:$B, 'Instrument Table'!$A:$A, "")</f>
        <v>34</v>
      </c>
      <c r="G4700" s="1" t="str">
        <f>TEXT(IF($B4700 = "Retail Item", IF((ROW($A4700) - 4504 - _xlfn.XMATCH($C4700, $C$4506:$C$5005, 0, 1)) &lt;= VLOOKUP($C4700, 'Instrument Table'!$B:$D, 3, FALSE), ROW($A4700) - 4504 - _xlfn.XMATCH($C4700, $C$4506:$C$5005, 0, 1), 0), 0), "00")</f>
        <v>00</v>
      </c>
      <c r="H4700" s="1" t="str">
        <f t="shared" si="439"/>
        <v>003</v>
      </c>
      <c r="I4700" s="1" t="str">
        <f t="shared" si="440"/>
        <v>33400-003</v>
      </c>
      <c r="J4700" s="1" t="str">
        <f t="shared" si="441"/>
        <v>Oboe retail item #003</v>
      </c>
      <c r="K4700" s="1" t="str">
        <f>IF(SUM(COUNTIFS(I:I, I4700)) &gt; 1, "DUPLICATE", "UNIQUE")</f>
        <v>UNIQUE</v>
      </c>
      <c r="L4700" s="18">
        <v>56</v>
      </c>
      <c r="M4700" s="28">
        <v>2527</v>
      </c>
      <c r="N4700" s="6">
        <v>77</v>
      </c>
      <c r="O4700" s="30">
        <f t="shared" si="442"/>
        <v>141512</v>
      </c>
      <c r="P4700" s="30">
        <f t="shared" si="443"/>
        <v>194579</v>
      </c>
      <c r="Q4700" s="1">
        <f>COUNTIFS($P:$P, "&gt;" &amp; $P4700) + 1</f>
        <v>292</v>
      </c>
      <c r="R4700" s="63">
        <f>(COUNTIFS($P:$P, "&gt;" &amp; $P4700) + 1) / (COUNTA($I:$I) - 1)</f>
        <v>5.8400000000000001E-2</v>
      </c>
      <c r="S4700" s="23">
        <f>SUMIFS($P:$P, $Q:$Q, "&lt;" &amp; $Q4700)</f>
        <v>128008521</v>
      </c>
    </row>
    <row r="4701" spans="1:19" x14ac:dyDescent="0.25">
      <c r="A4701" s="1">
        <v>4696</v>
      </c>
      <c r="B4701" s="1" t="s">
        <v>4</v>
      </c>
      <c r="C4701" s="1" t="str">
        <f>IF($B4701 = "Production Item", _xlfn.XLOOKUP($A4701, 'Instrument Table'!$J:$J, 'Instrument Table'!$B:$B, $C4700), IF($B4701 = "Service Item", _xlfn.XLOOKUP($A4701, 'Instrument Table'!$I:$I, 'Instrument Table'!$B:$B, $C4700), _xlfn.XLOOKUP($A4701, 'Instrument Table'!$H:$H, 'Instrument Table'!$B:$B, $C4700)))</f>
        <v>Oboe</v>
      </c>
      <c r="D4701" s="1" t="str">
        <f>VLOOKUP($C4701, 'Instrument Table'!$B:$C, 2, FALSE)</f>
        <v>Woodwinds</v>
      </c>
      <c r="E4701" s="1">
        <f t="shared" si="438"/>
        <v>3</v>
      </c>
      <c r="F4701" s="1">
        <f>_xlfn.XLOOKUP($C4701, 'Instrument Table'!$B:$B, 'Instrument Table'!$A:$A, "")</f>
        <v>34</v>
      </c>
      <c r="G4701" s="1" t="str">
        <f>TEXT(IF($B4701 = "Retail Item", IF((ROW($A4701) - 4504 - _xlfn.XMATCH($C4701, $C$4506:$C$5005, 0, 1)) &lt;= VLOOKUP($C4701, 'Instrument Table'!$B:$D, 3, FALSE), ROW($A4701) - 4504 - _xlfn.XMATCH($C4701, $C$4506:$C$5005, 0, 1), 0), 0), "00")</f>
        <v>00</v>
      </c>
      <c r="H4701" s="1" t="str">
        <f t="shared" si="439"/>
        <v>004</v>
      </c>
      <c r="I4701" s="1" t="str">
        <f t="shared" si="440"/>
        <v>33400-004</v>
      </c>
      <c r="J4701" s="1" t="str">
        <f t="shared" si="441"/>
        <v>Oboe retail item #004</v>
      </c>
      <c r="K4701" s="1" t="str">
        <f>IF(SUM(COUNTIFS(I:I, I4701)) &gt; 1, "DUPLICATE", "UNIQUE")</f>
        <v>UNIQUE</v>
      </c>
      <c r="L4701" s="18">
        <v>86</v>
      </c>
      <c r="M4701" s="28">
        <v>3320</v>
      </c>
      <c r="N4701" s="6">
        <v>8</v>
      </c>
      <c r="O4701" s="30">
        <f t="shared" si="442"/>
        <v>285520</v>
      </c>
      <c r="P4701" s="30">
        <f t="shared" si="443"/>
        <v>26560</v>
      </c>
      <c r="Q4701" s="1">
        <f>COUNTIFS($P:$P, "&gt;" &amp; $P4701) + 1</f>
        <v>773</v>
      </c>
      <c r="R4701" s="63">
        <f>(COUNTIFS($P:$P, "&gt;" &amp; $P4701) + 1) / (COUNTA($I:$I) - 1)</f>
        <v>0.15459999999999999</v>
      </c>
      <c r="S4701" s="23">
        <f>SUMIFS($P:$P, $Q:$Q, "&lt;" &amp; $Q4701)</f>
        <v>161122886</v>
      </c>
    </row>
    <row r="4702" spans="1:19" x14ac:dyDescent="0.25">
      <c r="A4702" s="1">
        <v>4697</v>
      </c>
      <c r="B4702" s="1" t="s">
        <v>4</v>
      </c>
      <c r="C4702" s="1" t="str">
        <f>IF($B4702 = "Production Item", _xlfn.XLOOKUP($A4702, 'Instrument Table'!$J:$J, 'Instrument Table'!$B:$B, $C4701), IF($B4702 = "Service Item", _xlfn.XLOOKUP($A4702, 'Instrument Table'!$I:$I, 'Instrument Table'!$B:$B, $C4701), _xlfn.XLOOKUP($A4702, 'Instrument Table'!$H:$H, 'Instrument Table'!$B:$B, $C4701)))</f>
        <v>Oboe</v>
      </c>
      <c r="D4702" s="1" t="str">
        <f>VLOOKUP($C4702, 'Instrument Table'!$B:$C, 2, FALSE)</f>
        <v>Woodwinds</v>
      </c>
      <c r="E4702" s="1">
        <f t="shared" si="438"/>
        <v>3</v>
      </c>
      <c r="F4702" s="1">
        <f>_xlfn.XLOOKUP($C4702, 'Instrument Table'!$B:$B, 'Instrument Table'!$A:$A, "")</f>
        <v>34</v>
      </c>
      <c r="G4702" s="1" t="str">
        <f>TEXT(IF($B4702 = "Retail Item", IF((ROW($A4702) - 4504 - _xlfn.XMATCH($C4702, $C$4506:$C$5005, 0, 1)) &lt;= VLOOKUP($C4702, 'Instrument Table'!$B:$D, 3, FALSE), ROW($A4702) - 4504 - _xlfn.XMATCH($C4702, $C$4506:$C$5005, 0, 1), 0), 0), "00")</f>
        <v>00</v>
      </c>
      <c r="H4702" s="1" t="str">
        <f t="shared" si="439"/>
        <v>005</v>
      </c>
      <c r="I4702" s="1" t="str">
        <f t="shared" si="440"/>
        <v>33400-005</v>
      </c>
      <c r="J4702" s="1" t="str">
        <f t="shared" si="441"/>
        <v>Oboe retail item #005</v>
      </c>
      <c r="K4702" s="1" t="str">
        <f>IF(SUM(COUNTIFS(I:I, I4702)) &gt; 1, "DUPLICATE", "UNIQUE")</f>
        <v>UNIQUE</v>
      </c>
      <c r="L4702" s="18">
        <v>16</v>
      </c>
      <c r="M4702" s="28">
        <v>1241</v>
      </c>
      <c r="N4702" s="6">
        <v>5</v>
      </c>
      <c r="O4702" s="30">
        <f t="shared" si="442"/>
        <v>19856</v>
      </c>
      <c r="P4702" s="30">
        <f t="shared" si="443"/>
        <v>6205</v>
      </c>
      <c r="Q4702" s="1">
        <f>COUNTIFS($P:$P, "&gt;" &amp; $P4702) + 1</f>
        <v>2234</v>
      </c>
      <c r="R4702" s="63">
        <f>(COUNTIFS($P:$P, "&gt;" &amp; $P4702) + 1) / (COUNTA($I:$I) - 1)</f>
        <v>0.44679999999999997</v>
      </c>
      <c r="S4702" s="23">
        <f>SUMIFS($P:$P, $Q:$Q, "&lt;" &amp; $Q4702)</f>
        <v>181669111</v>
      </c>
    </row>
    <row r="4703" spans="1:19" x14ac:dyDescent="0.25">
      <c r="A4703" s="1">
        <v>4698</v>
      </c>
      <c r="B4703" s="1" t="s">
        <v>4</v>
      </c>
      <c r="C4703" s="1" t="str">
        <f>IF($B4703 = "Production Item", _xlfn.XLOOKUP($A4703, 'Instrument Table'!$J:$J, 'Instrument Table'!$B:$B, $C4702), IF($B4703 = "Service Item", _xlfn.XLOOKUP($A4703, 'Instrument Table'!$I:$I, 'Instrument Table'!$B:$B, $C4702), _xlfn.XLOOKUP($A4703, 'Instrument Table'!$H:$H, 'Instrument Table'!$B:$B, $C4702)))</f>
        <v>Oboe</v>
      </c>
      <c r="D4703" s="1" t="str">
        <f>VLOOKUP($C4703, 'Instrument Table'!$B:$C, 2, FALSE)</f>
        <v>Woodwinds</v>
      </c>
      <c r="E4703" s="1">
        <f t="shared" si="438"/>
        <v>3</v>
      </c>
      <c r="F4703" s="1">
        <f>_xlfn.XLOOKUP($C4703, 'Instrument Table'!$B:$B, 'Instrument Table'!$A:$A, "")</f>
        <v>34</v>
      </c>
      <c r="G4703" s="1" t="str">
        <f>TEXT(IF($B4703 = "Retail Item", IF((ROW($A4703) - 4504 - _xlfn.XMATCH($C4703, $C$4506:$C$5005, 0, 1)) &lt;= VLOOKUP($C4703, 'Instrument Table'!$B:$D, 3, FALSE), ROW($A4703) - 4504 - _xlfn.XMATCH($C4703, $C$4506:$C$5005, 0, 1), 0), 0), "00")</f>
        <v>00</v>
      </c>
      <c r="H4703" s="1" t="str">
        <f t="shared" si="439"/>
        <v>006</v>
      </c>
      <c r="I4703" s="1" t="str">
        <f t="shared" si="440"/>
        <v>33400-006</v>
      </c>
      <c r="J4703" s="1" t="str">
        <f t="shared" si="441"/>
        <v>Oboe retail item #006</v>
      </c>
      <c r="K4703" s="1" t="str">
        <f>IF(SUM(COUNTIFS(I:I, I4703)) &gt; 1, "DUPLICATE", "UNIQUE")</f>
        <v>UNIQUE</v>
      </c>
      <c r="L4703" s="18">
        <v>45</v>
      </c>
      <c r="M4703" s="28">
        <v>8267</v>
      </c>
      <c r="N4703" s="6">
        <v>66</v>
      </c>
      <c r="O4703" s="30">
        <f t="shared" si="442"/>
        <v>372015</v>
      </c>
      <c r="P4703" s="30">
        <f t="shared" si="443"/>
        <v>545622</v>
      </c>
      <c r="Q4703" s="1">
        <f>COUNTIFS($P:$P, "&gt;" &amp; $P4703) + 1</f>
        <v>80</v>
      </c>
      <c r="R4703" s="63">
        <f>(COUNTIFS($P:$P, "&gt;" &amp; $P4703) + 1) / (COUNTA($I:$I) - 1)</f>
        <v>1.6E-2</v>
      </c>
      <c r="S4703" s="23">
        <f>SUMIFS($P:$P, $Q:$Q, "&lt;" &amp; $Q4703)</f>
        <v>55767997</v>
      </c>
    </row>
    <row r="4704" spans="1:19" x14ac:dyDescent="0.25">
      <c r="A4704" s="1">
        <v>4699</v>
      </c>
      <c r="B4704" s="1" t="s">
        <v>4</v>
      </c>
      <c r="C4704" s="1" t="str">
        <f>IF($B4704 = "Production Item", _xlfn.XLOOKUP($A4704, 'Instrument Table'!$J:$J, 'Instrument Table'!$B:$B, $C4703), IF($B4704 = "Service Item", _xlfn.XLOOKUP($A4704, 'Instrument Table'!$I:$I, 'Instrument Table'!$B:$B, $C4703), _xlfn.XLOOKUP($A4704, 'Instrument Table'!$H:$H, 'Instrument Table'!$B:$B, $C4703)))</f>
        <v>Oboe</v>
      </c>
      <c r="D4704" s="1" t="str">
        <f>VLOOKUP($C4704, 'Instrument Table'!$B:$C, 2, FALSE)</f>
        <v>Woodwinds</v>
      </c>
      <c r="E4704" s="1">
        <f t="shared" si="438"/>
        <v>3</v>
      </c>
      <c r="F4704" s="1">
        <f>_xlfn.XLOOKUP($C4704, 'Instrument Table'!$B:$B, 'Instrument Table'!$A:$A, "")</f>
        <v>34</v>
      </c>
      <c r="G4704" s="1" t="str">
        <f>TEXT(IF($B4704 = "Retail Item", IF((ROW($A4704) - 4504 - _xlfn.XMATCH($C4704, $C$4506:$C$5005, 0, 1)) &lt;= VLOOKUP($C4704, 'Instrument Table'!$B:$D, 3, FALSE), ROW($A4704) - 4504 - _xlfn.XMATCH($C4704, $C$4506:$C$5005, 0, 1), 0), 0), "00")</f>
        <v>00</v>
      </c>
      <c r="H4704" s="1" t="str">
        <f t="shared" si="439"/>
        <v>007</v>
      </c>
      <c r="I4704" s="1" t="str">
        <f t="shared" si="440"/>
        <v>33400-007</v>
      </c>
      <c r="J4704" s="1" t="str">
        <f t="shared" si="441"/>
        <v>Oboe retail item #007</v>
      </c>
      <c r="K4704" s="1" t="str">
        <f>IF(SUM(COUNTIFS(I:I, I4704)) &gt; 1, "DUPLICATE", "UNIQUE")</f>
        <v>UNIQUE</v>
      </c>
      <c r="L4704" s="18">
        <v>24</v>
      </c>
      <c r="M4704" s="28">
        <v>9476</v>
      </c>
      <c r="N4704" s="6">
        <v>6</v>
      </c>
      <c r="O4704" s="30">
        <f t="shared" si="442"/>
        <v>227424</v>
      </c>
      <c r="P4704" s="30">
        <f t="shared" si="443"/>
        <v>56856</v>
      </c>
      <c r="Q4704" s="1">
        <f>COUNTIFS($P:$P, "&gt;" &amp; $P4704) + 1</f>
        <v>509</v>
      </c>
      <c r="R4704" s="63">
        <f>(COUNTIFS($P:$P, "&gt;" &amp; $P4704) + 1) / (COUNTA($I:$I) - 1)</f>
        <v>0.1018</v>
      </c>
      <c r="S4704" s="23">
        <f>SUMIFS($P:$P, $Q:$Q, "&lt;" &amp; $Q4704)</f>
        <v>151988582</v>
      </c>
    </row>
    <row r="4705" spans="1:19" x14ac:dyDescent="0.25">
      <c r="A4705" s="1">
        <v>4700</v>
      </c>
      <c r="B4705" s="1" t="s">
        <v>4</v>
      </c>
      <c r="C4705" s="1" t="str">
        <f>IF($B4705 = "Production Item", _xlfn.XLOOKUP($A4705, 'Instrument Table'!$J:$J, 'Instrument Table'!$B:$B, $C4704), IF($B4705 = "Service Item", _xlfn.XLOOKUP($A4705, 'Instrument Table'!$I:$I, 'Instrument Table'!$B:$B, $C4704), _xlfn.XLOOKUP($A4705, 'Instrument Table'!$H:$H, 'Instrument Table'!$B:$B, $C4704)))</f>
        <v>Oboe</v>
      </c>
      <c r="D4705" s="1" t="str">
        <f>VLOOKUP($C4705, 'Instrument Table'!$B:$C, 2, FALSE)</f>
        <v>Woodwinds</v>
      </c>
      <c r="E4705" s="1">
        <f t="shared" si="438"/>
        <v>3</v>
      </c>
      <c r="F4705" s="1">
        <f>_xlfn.XLOOKUP($C4705, 'Instrument Table'!$B:$B, 'Instrument Table'!$A:$A, "")</f>
        <v>34</v>
      </c>
      <c r="G4705" s="1" t="str">
        <f>TEXT(IF($B4705 = "Retail Item", IF((ROW($A4705) - 4504 - _xlfn.XMATCH($C4705, $C$4506:$C$5005, 0, 1)) &lt;= VLOOKUP($C4705, 'Instrument Table'!$B:$D, 3, FALSE), ROW($A4705) - 4504 - _xlfn.XMATCH($C4705, $C$4506:$C$5005, 0, 1), 0), 0), "00")</f>
        <v>00</v>
      </c>
      <c r="H4705" s="1" t="str">
        <f t="shared" si="439"/>
        <v>008</v>
      </c>
      <c r="I4705" s="1" t="str">
        <f t="shared" si="440"/>
        <v>33400-008</v>
      </c>
      <c r="J4705" s="1" t="str">
        <f t="shared" si="441"/>
        <v>Oboe retail item #008</v>
      </c>
      <c r="K4705" s="1" t="str">
        <f>IF(SUM(COUNTIFS(I:I, I4705)) &gt; 1, "DUPLICATE", "UNIQUE")</f>
        <v>UNIQUE</v>
      </c>
      <c r="L4705" s="18">
        <v>34</v>
      </c>
      <c r="M4705" s="28">
        <v>3976</v>
      </c>
      <c r="N4705" s="6">
        <v>34</v>
      </c>
      <c r="O4705" s="30">
        <f t="shared" si="442"/>
        <v>135184</v>
      </c>
      <c r="P4705" s="30">
        <f t="shared" si="443"/>
        <v>135184</v>
      </c>
      <c r="Q4705" s="1">
        <f>COUNTIFS($P:$P, "&gt;" &amp; $P4705) + 1</f>
        <v>350</v>
      </c>
      <c r="R4705" s="63">
        <f>(COUNTIFS($P:$P, "&gt;" &amp; $P4705) + 1) / (COUNTA($I:$I) - 1)</f>
        <v>7.0000000000000007E-2</v>
      </c>
      <c r="S4705" s="23">
        <f>SUMIFS($P:$P, $Q:$Q, "&lt;" &amp; $Q4705)</f>
        <v>137463090</v>
      </c>
    </row>
    <row r="4706" spans="1:19" x14ac:dyDescent="0.25">
      <c r="A4706" s="1">
        <v>4701</v>
      </c>
      <c r="B4706" s="1" t="s">
        <v>4</v>
      </c>
      <c r="C4706" s="1" t="str">
        <f>IF($B4706 = "Production Item", _xlfn.XLOOKUP($A4706, 'Instrument Table'!$J:$J, 'Instrument Table'!$B:$B, $C4705), IF($B4706 = "Service Item", _xlfn.XLOOKUP($A4706, 'Instrument Table'!$I:$I, 'Instrument Table'!$B:$B, $C4705), _xlfn.XLOOKUP($A4706, 'Instrument Table'!$H:$H, 'Instrument Table'!$B:$B, $C4705)))</f>
        <v>Oboe</v>
      </c>
      <c r="D4706" s="1" t="str">
        <f>VLOOKUP($C4706, 'Instrument Table'!$B:$C, 2, FALSE)</f>
        <v>Woodwinds</v>
      </c>
      <c r="E4706" s="1">
        <f t="shared" si="438"/>
        <v>3</v>
      </c>
      <c r="F4706" s="1">
        <f>_xlfn.XLOOKUP($C4706, 'Instrument Table'!$B:$B, 'Instrument Table'!$A:$A, "")</f>
        <v>34</v>
      </c>
      <c r="G4706" s="1" t="str">
        <f>TEXT(IF($B4706 = "Retail Item", IF((ROW($A4706) - 4504 - _xlfn.XMATCH($C4706, $C$4506:$C$5005, 0, 1)) &lt;= VLOOKUP($C4706, 'Instrument Table'!$B:$D, 3, FALSE), ROW($A4706) - 4504 - _xlfn.XMATCH($C4706, $C$4506:$C$5005, 0, 1), 0), 0), "00")</f>
        <v>00</v>
      </c>
      <c r="H4706" s="1" t="str">
        <f t="shared" si="439"/>
        <v>009</v>
      </c>
      <c r="I4706" s="1" t="str">
        <f t="shared" si="440"/>
        <v>33400-009</v>
      </c>
      <c r="J4706" s="1" t="str">
        <f t="shared" si="441"/>
        <v>Oboe retail item #009</v>
      </c>
      <c r="K4706" s="1" t="str">
        <f>IF(SUM(COUNTIFS(I:I, I4706)) &gt; 1, "DUPLICATE", "UNIQUE")</f>
        <v>UNIQUE</v>
      </c>
      <c r="L4706" s="18">
        <v>90</v>
      </c>
      <c r="M4706" s="28">
        <v>5327</v>
      </c>
      <c r="N4706" s="6">
        <v>31</v>
      </c>
      <c r="O4706" s="30">
        <f t="shared" si="442"/>
        <v>479430</v>
      </c>
      <c r="P4706" s="30">
        <f t="shared" si="443"/>
        <v>165137</v>
      </c>
      <c r="Q4706" s="1">
        <f>COUNTIFS($P:$P, "&gt;" &amp; $P4706) + 1</f>
        <v>317</v>
      </c>
      <c r="R4706" s="63">
        <f>(COUNTIFS($P:$P, "&gt;" &amp; $P4706) + 1) / (COUNTA($I:$I) - 1)</f>
        <v>6.3399999999999998E-2</v>
      </c>
      <c r="S4706" s="23">
        <f>SUMIFS($P:$P, $Q:$Q, "&lt;" &amp; $Q4706)</f>
        <v>132500376</v>
      </c>
    </row>
    <row r="4707" spans="1:19" x14ac:dyDescent="0.25">
      <c r="A4707" s="1">
        <v>4702</v>
      </c>
      <c r="B4707" s="1" t="s">
        <v>4</v>
      </c>
      <c r="C4707" s="1" t="str">
        <f>IF($B4707 = "Production Item", _xlfn.XLOOKUP($A4707, 'Instrument Table'!$J:$J, 'Instrument Table'!$B:$B, $C4706), IF($B4707 = "Service Item", _xlfn.XLOOKUP($A4707, 'Instrument Table'!$I:$I, 'Instrument Table'!$B:$B, $C4706), _xlfn.XLOOKUP($A4707, 'Instrument Table'!$H:$H, 'Instrument Table'!$B:$B, $C4706)))</f>
        <v>Bassoon</v>
      </c>
      <c r="D4707" s="1" t="str">
        <f>VLOOKUP($C4707, 'Instrument Table'!$B:$C, 2, FALSE)</f>
        <v>Woodwinds</v>
      </c>
      <c r="E4707" s="1">
        <f t="shared" si="438"/>
        <v>3</v>
      </c>
      <c r="F4707" s="1">
        <f>_xlfn.XLOOKUP($C4707, 'Instrument Table'!$B:$B, 'Instrument Table'!$A:$A, "")</f>
        <v>35</v>
      </c>
      <c r="G4707" s="1" t="str">
        <f>TEXT(IF($B4707 = "Retail Item", IF((ROW($A4707) - 4504 - _xlfn.XMATCH($C4707, $C$4506:$C$5005, 0, 1)) &lt;= VLOOKUP($C4707, 'Instrument Table'!$B:$D, 3, FALSE), ROW($A4707) - 4504 - _xlfn.XMATCH($C4707, $C$4506:$C$5005, 0, 1), 0), 0), "00")</f>
        <v>01</v>
      </c>
      <c r="H4707" s="1" t="str">
        <f t="shared" si="439"/>
        <v>000</v>
      </c>
      <c r="I4707" s="1" t="str">
        <f t="shared" si="440"/>
        <v>33501-000</v>
      </c>
      <c r="J4707" s="1" t="str">
        <f t="shared" si="441"/>
        <v>Bassoon model #01</v>
      </c>
      <c r="K4707" s="1" t="str">
        <f>IF(SUM(COUNTIFS(I:I, I4707)) &gt; 1, "DUPLICATE", "UNIQUE")</f>
        <v>UNIQUE</v>
      </c>
      <c r="L4707" s="18">
        <v>30</v>
      </c>
      <c r="M4707" s="28">
        <v>4821</v>
      </c>
      <c r="N4707" s="6">
        <v>56</v>
      </c>
      <c r="O4707" s="30">
        <f t="shared" si="442"/>
        <v>144630</v>
      </c>
      <c r="P4707" s="30">
        <f t="shared" si="443"/>
        <v>269976</v>
      </c>
      <c r="Q4707" s="1">
        <f>COUNTIFS($P:$P, "&gt;" &amp; $P4707) + 1</f>
        <v>228</v>
      </c>
      <c r="R4707" s="63">
        <f>(COUNTIFS($P:$P, "&gt;" &amp; $P4707) + 1) / (COUNTA($I:$I) - 1)</f>
        <v>4.5600000000000002E-2</v>
      </c>
      <c r="S4707" s="23">
        <f>SUMIFS($P:$P, $Q:$Q, "&lt;" &amp; $Q4707)</f>
        <v>113001097</v>
      </c>
    </row>
    <row r="4708" spans="1:19" x14ac:dyDescent="0.25">
      <c r="A4708" s="1">
        <v>4703</v>
      </c>
      <c r="B4708" s="1" t="s">
        <v>4</v>
      </c>
      <c r="C4708" s="1" t="str">
        <f>IF($B4708 = "Production Item", _xlfn.XLOOKUP($A4708, 'Instrument Table'!$J:$J, 'Instrument Table'!$B:$B, $C4707), IF($B4708 = "Service Item", _xlfn.XLOOKUP($A4708, 'Instrument Table'!$I:$I, 'Instrument Table'!$B:$B, $C4707), _xlfn.XLOOKUP($A4708, 'Instrument Table'!$H:$H, 'Instrument Table'!$B:$B, $C4707)))</f>
        <v>Bassoon</v>
      </c>
      <c r="D4708" s="1" t="str">
        <f>VLOOKUP($C4708, 'Instrument Table'!$B:$C, 2, FALSE)</f>
        <v>Woodwinds</v>
      </c>
      <c r="E4708" s="1">
        <f t="shared" si="438"/>
        <v>3</v>
      </c>
      <c r="F4708" s="1">
        <f>_xlfn.XLOOKUP($C4708, 'Instrument Table'!$B:$B, 'Instrument Table'!$A:$A, "")</f>
        <v>35</v>
      </c>
      <c r="G4708" s="1" t="str">
        <f>TEXT(IF($B4708 = "Retail Item", IF((ROW($A4708) - 4504 - _xlfn.XMATCH($C4708, $C$4506:$C$5005, 0, 1)) &lt;= VLOOKUP($C4708, 'Instrument Table'!$B:$D, 3, FALSE), ROW($A4708) - 4504 - _xlfn.XMATCH($C4708, $C$4506:$C$5005, 0, 1), 0), 0), "00")</f>
        <v>02</v>
      </c>
      <c r="H4708" s="1" t="str">
        <f t="shared" si="439"/>
        <v>000</v>
      </c>
      <c r="I4708" s="1" t="str">
        <f t="shared" si="440"/>
        <v>33502-000</v>
      </c>
      <c r="J4708" s="1" t="str">
        <f t="shared" si="441"/>
        <v>Bassoon model #02</v>
      </c>
      <c r="K4708" s="1" t="str">
        <f>IF(SUM(COUNTIFS(I:I, I4708)) &gt; 1, "DUPLICATE", "UNIQUE")</f>
        <v>UNIQUE</v>
      </c>
      <c r="L4708" s="18">
        <v>15</v>
      </c>
      <c r="M4708" s="28">
        <v>1746</v>
      </c>
      <c r="N4708" s="6">
        <v>44</v>
      </c>
      <c r="O4708" s="30">
        <f t="shared" si="442"/>
        <v>26190</v>
      </c>
      <c r="P4708" s="30">
        <f t="shared" si="443"/>
        <v>76824</v>
      </c>
      <c r="Q4708" s="1">
        <f>COUNTIFS($P:$P, "&gt;" &amp; $P4708) + 1</f>
        <v>453</v>
      </c>
      <c r="R4708" s="63">
        <f>(COUNTIFS($P:$P, "&gt;" &amp; $P4708) + 1) / (COUNTA($I:$I) - 1)</f>
        <v>9.06E-2</v>
      </c>
      <c r="S4708" s="23">
        <f>SUMIFS($P:$P, $Q:$Q, "&lt;" &amp; $Q4708)</f>
        <v>148260525</v>
      </c>
    </row>
    <row r="4709" spans="1:19" x14ac:dyDescent="0.25">
      <c r="A4709" s="1">
        <v>4704</v>
      </c>
      <c r="B4709" s="1" t="s">
        <v>4</v>
      </c>
      <c r="C4709" s="1" t="str">
        <f>IF($B4709 = "Production Item", _xlfn.XLOOKUP($A4709, 'Instrument Table'!$J:$J, 'Instrument Table'!$B:$B, $C4708), IF($B4709 = "Service Item", _xlfn.XLOOKUP($A4709, 'Instrument Table'!$I:$I, 'Instrument Table'!$B:$B, $C4708), _xlfn.XLOOKUP($A4709, 'Instrument Table'!$H:$H, 'Instrument Table'!$B:$B, $C4708)))</f>
        <v>Bassoon</v>
      </c>
      <c r="D4709" s="1" t="str">
        <f>VLOOKUP($C4709, 'Instrument Table'!$B:$C, 2, FALSE)</f>
        <v>Woodwinds</v>
      </c>
      <c r="E4709" s="1">
        <f t="shared" si="438"/>
        <v>3</v>
      </c>
      <c r="F4709" s="1">
        <f>_xlfn.XLOOKUP($C4709, 'Instrument Table'!$B:$B, 'Instrument Table'!$A:$A, "")</f>
        <v>35</v>
      </c>
      <c r="G4709" s="1" t="str">
        <f>TEXT(IF($B4709 = "Retail Item", IF((ROW($A4709) - 4504 - _xlfn.XMATCH($C4709, $C$4506:$C$5005, 0, 1)) &lt;= VLOOKUP($C4709, 'Instrument Table'!$B:$D, 3, FALSE), ROW($A4709) - 4504 - _xlfn.XMATCH($C4709, $C$4506:$C$5005, 0, 1), 0), 0), "00")</f>
        <v>03</v>
      </c>
      <c r="H4709" s="1" t="str">
        <f t="shared" si="439"/>
        <v>000</v>
      </c>
      <c r="I4709" s="1" t="str">
        <f t="shared" si="440"/>
        <v>33503-000</v>
      </c>
      <c r="J4709" s="1" t="str">
        <f t="shared" si="441"/>
        <v>Bassoon model #03</v>
      </c>
      <c r="K4709" s="1" t="str">
        <f>IF(SUM(COUNTIFS(I:I, I4709)) &gt; 1, "DUPLICATE", "UNIQUE")</f>
        <v>UNIQUE</v>
      </c>
      <c r="L4709" s="18">
        <v>15</v>
      </c>
      <c r="M4709" s="28">
        <v>6094</v>
      </c>
      <c r="N4709" s="6">
        <v>21</v>
      </c>
      <c r="O4709" s="30">
        <f t="shared" si="442"/>
        <v>91410</v>
      </c>
      <c r="P4709" s="30">
        <f t="shared" si="443"/>
        <v>127974</v>
      </c>
      <c r="Q4709" s="1">
        <f>COUNTIFS($P:$P, "&gt;" &amp; $P4709) + 1</f>
        <v>359</v>
      </c>
      <c r="R4709" s="63">
        <f>(COUNTIFS($P:$P, "&gt;" &amp; $P4709) + 1) / (COUNTA($I:$I) - 1)</f>
        <v>7.1800000000000003E-2</v>
      </c>
      <c r="S4709" s="23">
        <f>SUMIFS($P:$P, $Q:$Q, "&lt;" &amp; $Q4709)</f>
        <v>138644834</v>
      </c>
    </row>
    <row r="4710" spans="1:19" x14ac:dyDescent="0.25">
      <c r="A4710" s="1">
        <v>4705</v>
      </c>
      <c r="B4710" s="1" t="s">
        <v>4</v>
      </c>
      <c r="C4710" s="1" t="str">
        <f>IF($B4710 = "Production Item", _xlfn.XLOOKUP($A4710, 'Instrument Table'!$J:$J, 'Instrument Table'!$B:$B, $C4709), IF($B4710 = "Service Item", _xlfn.XLOOKUP($A4710, 'Instrument Table'!$I:$I, 'Instrument Table'!$B:$B, $C4709), _xlfn.XLOOKUP($A4710, 'Instrument Table'!$H:$H, 'Instrument Table'!$B:$B, $C4709)))</f>
        <v>Bassoon</v>
      </c>
      <c r="D4710" s="1" t="str">
        <f>VLOOKUP($C4710, 'Instrument Table'!$B:$C, 2, FALSE)</f>
        <v>Woodwinds</v>
      </c>
      <c r="E4710" s="1">
        <f t="shared" si="438"/>
        <v>3</v>
      </c>
      <c r="F4710" s="1">
        <f>_xlfn.XLOOKUP($C4710, 'Instrument Table'!$B:$B, 'Instrument Table'!$A:$A, "")</f>
        <v>35</v>
      </c>
      <c r="G4710" s="1" t="str">
        <f>TEXT(IF($B4710 = "Retail Item", IF((ROW($A4710) - 4504 - _xlfn.XMATCH($C4710, $C$4506:$C$5005, 0, 1)) &lt;= VLOOKUP($C4710, 'Instrument Table'!$B:$D, 3, FALSE), ROW($A4710) - 4504 - _xlfn.XMATCH($C4710, $C$4506:$C$5005, 0, 1), 0), 0), "00")</f>
        <v>00</v>
      </c>
      <c r="H4710" s="1" t="str">
        <f t="shared" si="439"/>
        <v>000</v>
      </c>
      <c r="I4710" s="1" t="str">
        <f t="shared" si="440"/>
        <v>33500-000</v>
      </c>
      <c r="J4710" s="1" t="str">
        <f t="shared" si="441"/>
        <v>Bassoon retail item #000</v>
      </c>
      <c r="K4710" s="1" t="str">
        <f>IF(SUM(COUNTIFS(I:I, I4710)) &gt; 1, "DUPLICATE", "UNIQUE")</f>
        <v>UNIQUE</v>
      </c>
      <c r="L4710" s="18">
        <v>46</v>
      </c>
      <c r="M4710" s="28">
        <v>3452</v>
      </c>
      <c r="N4710" s="6">
        <v>73</v>
      </c>
      <c r="O4710" s="30">
        <f t="shared" si="442"/>
        <v>158792</v>
      </c>
      <c r="P4710" s="30">
        <f t="shared" si="443"/>
        <v>251996</v>
      </c>
      <c r="Q4710" s="1">
        <f>COUNTIFS($P:$P, "&gt;" &amp; $P4710) + 1</f>
        <v>244</v>
      </c>
      <c r="R4710" s="63">
        <f>(COUNTIFS($P:$P, "&gt;" &amp; $P4710) + 1) / (COUNTA($I:$I) - 1)</f>
        <v>4.8800000000000003E-2</v>
      </c>
      <c r="S4710" s="23">
        <f>SUMIFS($P:$P, $Q:$Q, "&lt;" &amp; $Q4710)</f>
        <v>117185198</v>
      </c>
    </row>
    <row r="4711" spans="1:19" x14ac:dyDescent="0.25">
      <c r="A4711" s="1">
        <v>4706</v>
      </c>
      <c r="B4711" s="1" t="s">
        <v>4</v>
      </c>
      <c r="C4711" s="1" t="str">
        <f>IF($B4711 = "Production Item", _xlfn.XLOOKUP($A4711, 'Instrument Table'!$J:$J, 'Instrument Table'!$B:$B, $C4710), IF($B4711 = "Service Item", _xlfn.XLOOKUP($A4711, 'Instrument Table'!$I:$I, 'Instrument Table'!$B:$B, $C4710), _xlfn.XLOOKUP($A4711, 'Instrument Table'!$H:$H, 'Instrument Table'!$B:$B, $C4710)))</f>
        <v>Bassoon</v>
      </c>
      <c r="D4711" s="1" t="str">
        <f>VLOOKUP($C4711, 'Instrument Table'!$B:$C, 2, FALSE)</f>
        <v>Woodwinds</v>
      </c>
      <c r="E4711" s="1">
        <f t="shared" si="438"/>
        <v>3</v>
      </c>
      <c r="F4711" s="1">
        <f>_xlfn.XLOOKUP($C4711, 'Instrument Table'!$B:$B, 'Instrument Table'!$A:$A, "")</f>
        <v>35</v>
      </c>
      <c r="G4711" s="1" t="str">
        <f>TEXT(IF($B4711 = "Retail Item", IF((ROW($A4711) - 4504 - _xlfn.XMATCH($C4711, $C$4506:$C$5005, 0, 1)) &lt;= VLOOKUP($C4711, 'Instrument Table'!$B:$D, 3, FALSE), ROW($A4711) - 4504 - _xlfn.XMATCH($C4711, $C$4506:$C$5005, 0, 1), 0), 0), "00")</f>
        <v>00</v>
      </c>
      <c r="H4711" s="1" t="str">
        <f t="shared" si="439"/>
        <v>001</v>
      </c>
      <c r="I4711" s="1" t="str">
        <f t="shared" si="440"/>
        <v>33500-001</v>
      </c>
      <c r="J4711" s="1" t="str">
        <f t="shared" si="441"/>
        <v>Bassoon retail item #001</v>
      </c>
      <c r="K4711" s="1" t="str">
        <f>IF(SUM(COUNTIFS(I:I, I4711)) &gt; 1, "DUPLICATE", "UNIQUE")</f>
        <v>UNIQUE</v>
      </c>
      <c r="L4711" s="18">
        <v>88</v>
      </c>
      <c r="M4711" s="28">
        <v>5949</v>
      </c>
      <c r="N4711" s="6">
        <v>62</v>
      </c>
      <c r="O4711" s="30">
        <f t="shared" si="442"/>
        <v>523512</v>
      </c>
      <c r="P4711" s="30">
        <f t="shared" si="443"/>
        <v>368838</v>
      </c>
      <c r="Q4711" s="1">
        <f>COUNTIFS($P:$P, "&gt;" &amp; $P4711) + 1</f>
        <v>157</v>
      </c>
      <c r="R4711" s="63">
        <f>(COUNTIFS($P:$P, "&gt;" &amp; $P4711) + 1) / (COUNTA($I:$I) - 1)</f>
        <v>3.1399999999999997E-2</v>
      </c>
      <c r="S4711" s="23">
        <f>SUMIFS($P:$P, $Q:$Q, "&lt;" &amp; $Q4711)</f>
        <v>90595663</v>
      </c>
    </row>
    <row r="4712" spans="1:19" x14ac:dyDescent="0.25">
      <c r="A4712" s="1">
        <v>4707</v>
      </c>
      <c r="B4712" s="1" t="s">
        <v>4</v>
      </c>
      <c r="C4712" s="1" t="str">
        <f>IF($B4712 = "Production Item", _xlfn.XLOOKUP($A4712, 'Instrument Table'!$J:$J, 'Instrument Table'!$B:$B, $C4711), IF($B4712 = "Service Item", _xlfn.XLOOKUP($A4712, 'Instrument Table'!$I:$I, 'Instrument Table'!$B:$B, $C4711), _xlfn.XLOOKUP($A4712, 'Instrument Table'!$H:$H, 'Instrument Table'!$B:$B, $C4711)))</f>
        <v>Bassoon</v>
      </c>
      <c r="D4712" s="1" t="str">
        <f>VLOOKUP($C4712, 'Instrument Table'!$B:$C, 2, FALSE)</f>
        <v>Woodwinds</v>
      </c>
      <c r="E4712" s="1">
        <f t="shared" si="438"/>
        <v>3</v>
      </c>
      <c r="F4712" s="1">
        <f>_xlfn.XLOOKUP($C4712, 'Instrument Table'!$B:$B, 'Instrument Table'!$A:$A, "")</f>
        <v>35</v>
      </c>
      <c r="G4712" s="1" t="str">
        <f>TEXT(IF($B4712 = "Retail Item", IF((ROW($A4712) - 4504 - _xlfn.XMATCH($C4712, $C$4506:$C$5005, 0, 1)) &lt;= VLOOKUP($C4712, 'Instrument Table'!$B:$D, 3, FALSE), ROW($A4712) - 4504 - _xlfn.XMATCH($C4712, $C$4506:$C$5005, 0, 1), 0), 0), "00")</f>
        <v>00</v>
      </c>
      <c r="H4712" s="1" t="str">
        <f t="shared" si="439"/>
        <v>002</v>
      </c>
      <c r="I4712" s="1" t="str">
        <f t="shared" si="440"/>
        <v>33500-002</v>
      </c>
      <c r="J4712" s="1" t="str">
        <f t="shared" si="441"/>
        <v>Bassoon retail item #002</v>
      </c>
      <c r="K4712" s="1" t="str">
        <f>IF(SUM(COUNTIFS(I:I, I4712)) &gt; 1, "DUPLICATE", "UNIQUE")</f>
        <v>UNIQUE</v>
      </c>
      <c r="L4712" s="18">
        <v>64</v>
      </c>
      <c r="M4712" s="28">
        <v>2206</v>
      </c>
      <c r="N4712" s="6">
        <v>40</v>
      </c>
      <c r="O4712" s="30">
        <f t="shared" si="442"/>
        <v>141184</v>
      </c>
      <c r="P4712" s="30">
        <f t="shared" si="443"/>
        <v>88240</v>
      </c>
      <c r="Q4712" s="1">
        <f>COUNTIFS($P:$P, "&gt;" &amp; $P4712) + 1</f>
        <v>430</v>
      </c>
      <c r="R4712" s="63">
        <f>(COUNTIFS($P:$P, "&gt;" &amp; $P4712) + 1) / (COUNTA($I:$I) - 1)</f>
        <v>8.5999999999999993E-2</v>
      </c>
      <c r="S4712" s="23">
        <f>SUMIFS($P:$P, $Q:$Q, "&lt;" &amp; $Q4712)</f>
        <v>146341108</v>
      </c>
    </row>
    <row r="4713" spans="1:19" x14ac:dyDescent="0.25">
      <c r="A4713" s="1">
        <v>4708</v>
      </c>
      <c r="B4713" s="1" t="s">
        <v>4</v>
      </c>
      <c r="C4713" s="1" t="str">
        <f>IF($B4713 = "Production Item", _xlfn.XLOOKUP($A4713, 'Instrument Table'!$J:$J, 'Instrument Table'!$B:$B, $C4712), IF($B4713 = "Service Item", _xlfn.XLOOKUP($A4713, 'Instrument Table'!$I:$I, 'Instrument Table'!$B:$B, $C4712), _xlfn.XLOOKUP($A4713, 'Instrument Table'!$H:$H, 'Instrument Table'!$B:$B, $C4712)))</f>
        <v>Bassoon</v>
      </c>
      <c r="D4713" s="1" t="str">
        <f>VLOOKUP($C4713, 'Instrument Table'!$B:$C, 2, FALSE)</f>
        <v>Woodwinds</v>
      </c>
      <c r="E4713" s="1">
        <f t="shared" si="438"/>
        <v>3</v>
      </c>
      <c r="F4713" s="1">
        <f>_xlfn.XLOOKUP($C4713, 'Instrument Table'!$B:$B, 'Instrument Table'!$A:$A, "")</f>
        <v>35</v>
      </c>
      <c r="G4713" s="1" t="str">
        <f>TEXT(IF($B4713 = "Retail Item", IF((ROW($A4713) - 4504 - _xlfn.XMATCH($C4713, $C$4506:$C$5005, 0, 1)) &lt;= VLOOKUP($C4713, 'Instrument Table'!$B:$D, 3, FALSE), ROW($A4713) - 4504 - _xlfn.XMATCH($C4713, $C$4506:$C$5005, 0, 1), 0), 0), "00")</f>
        <v>00</v>
      </c>
      <c r="H4713" s="1" t="str">
        <f t="shared" si="439"/>
        <v>003</v>
      </c>
      <c r="I4713" s="1" t="str">
        <f t="shared" si="440"/>
        <v>33500-003</v>
      </c>
      <c r="J4713" s="1" t="str">
        <f t="shared" si="441"/>
        <v>Bassoon retail item #003</v>
      </c>
      <c r="K4713" s="1" t="str">
        <f>IF(SUM(COUNTIFS(I:I, I4713)) &gt; 1, "DUPLICATE", "UNIQUE")</f>
        <v>UNIQUE</v>
      </c>
      <c r="L4713" s="18">
        <v>31</v>
      </c>
      <c r="M4713" s="28">
        <v>5616</v>
      </c>
      <c r="N4713" s="6">
        <v>7</v>
      </c>
      <c r="O4713" s="30">
        <f t="shared" si="442"/>
        <v>174096</v>
      </c>
      <c r="P4713" s="30">
        <f t="shared" si="443"/>
        <v>39312</v>
      </c>
      <c r="Q4713" s="1">
        <f>COUNTIFS($P:$P, "&gt;" &amp; $P4713) + 1</f>
        <v>564</v>
      </c>
      <c r="R4713" s="63">
        <f>(COUNTIFS($P:$P, "&gt;" &amp; $P4713) + 1) / (COUNTA($I:$I) - 1)</f>
        <v>0.1128</v>
      </c>
      <c r="S4713" s="23">
        <f>SUMIFS($P:$P, $Q:$Q, "&lt;" &amp; $Q4713)</f>
        <v>154535209</v>
      </c>
    </row>
    <row r="4714" spans="1:19" x14ac:dyDescent="0.25">
      <c r="A4714" s="1">
        <v>4709</v>
      </c>
      <c r="B4714" s="1" t="s">
        <v>4</v>
      </c>
      <c r="C4714" s="1" t="str">
        <f>IF($B4714 = "Production Item", _xlfn.XLOOKUP($A4714, 'Instrument Table'!$J:$J, 'Instrument Table'!$B:$B, $C4713), IF($B4714 = "Service Item", _xlfn.XLOOKUP($A4714, 'Instrument Table'!$I:$I, 'Instrument Table'!$B:$B, $C4713), _xlfn.XLOOKUP($A4714, 'Instrument Table'!$H:$H, 'Instrument Table'!$B:$B, $C4713)))</f>
        <v>Bassoon</v>
      </c>
      <c r="D4714" s="1" t="str">
        <f>VLOOKUP($C4714, 'Instrument Table'!$B:$C, 2, FALSE)</f>
        <v>Woodwinds</v>
      </c>
      <c r="E4714" s="1">
        <f t="shared" si="438"/>
        <v>3</v>
      </c>
      <c r="F4714" s="1">
        <f>_xlfn.XLOOKUP($C4714, 'Instrument Table'!$B:$B, 'Instrument Table'!$A:$A, "")</f>
        <v>35</v>
      </c>
      <c r="G4714" s="1" t="str">
        <f>TEXT(IF($B4714 = "Retail Item", IF((ROW($A4714) - 4504 - _xlfn.XMATCH($C4714, $C$4506:$C$5005, 0, 1)) &lt;= VLOOKUP($C4714, 'Instrument Table'!$B:$D, 3, FALSE), ROW($A4714) - 4504 - _xlfn.XMATCH($C4714, $C$4506:$C$5005, 0, 1), 0), 0), "00")</f>
        <v>00</v>
      </c>
      <c r="H4714" s="1" t="str">
        <f t="shared" si="439"/>
        <v>004</v>
      </c>
      <c r="I4714" s="1" t="str">
        <f t="shared" si="440"/>
        <v>33500-004</v>
      </c>
      <c r="J4714" s="1" t="str">
        <f t="shared" si="441"/>
        <v>Bassoon retail item #004</v>
      </c>
      <c r="K4714" s="1" t="str">
        <f>IF(SUM(COUNTIFS(I:I, I4714)) &gt; 1, "DUPLICATE", "UNIQUE")</f>
        <v>UNIQUE</v>
      </c>
      <c r="L4714" s="18">
        <v>98</v>
      </c>
      <c r="M4714" s="28">
        <v>7273</v>
      </c>
      <c r="N4714" s="6">
        <v>41</v>
      </c>
      <c r="O4714" s="30">
        <f t="shared" si="442"/>
        <v>712754</v>
      </c>
      <c r="P4714" s="30">
        <f t="shared" si="443"/>
        <v>298193</v>
      </c>
      <c r="Q4714" s="1">
        <f>COUNTIFS($P:$P, "&gt;" &amp; $P4714) + 1</f>
        <v>204</v>
      </c>
      <c r="R4714" s="63">
        <f>(COUNTIFS($P:$P, "&gt;" &amp; $P4714) + 1) / (COUNTA($I:$I) - 1)</f>
        <v>4.0800000000000003E-2</v>
      </c>
      <c r="S4714" s="23">
        <f>SUMIFS($P:$P, $Q:$Q, "&lt;" &amp; $Q4714)</f>
        <v>106138099</v>
      </c>
    </row>
    <row r="4715" spans="1:19" x14ac:dyDescent="0.25">
      <c r="A4715" s="1">
        <v>4710</v>
      </c>
      <c r="B4715" s="1" t="s">
        <v>4</v>
      </c>
      <c r="C4715" s="1" t="str">
        <f>IF($B4715 = "Production Item", _xlfn.XLOOKUP($A4715, 'Instrument Table'!$J:$J, 'Instrument Table'!$B:$B, $C4714), IF($B4715 = "Service Item", _xlfn.XLOOKUP($A4715, 'Instrument Table'!$I:$I, 'Instrument Table'!$B:$B, $C4714), _xlfn.XLOOKUP($A4715, 'Instrument Table'!$H:$H, 'Instrument Table'!$B:$B, $C4714)))</f>
        <v>Bassoon</v>
      </c>
      <c r="D4715" s="1" t="str">
        <f>VLOOKUP($C4715, 'Instrument Table'!$B:$C, 2, FALSE)</f>
        <v>Woodwinds</v>
      </c>
      <c r="E4715" s="1">
        <f t="shared" si="438"/>
        <v>3</v>
      </c>
      <c r="F4715" s="1">
        <f>_xlfn.XLOOKUP($C4715, 'Instrument Table'!$B:$B, 'Instrument Table'!$A:$A, "")</f>
        <v>35</v>
      </c>
      <c r="G4715" s="1" t="str">
        <f>TEXT(IF($B4715 = "Retail Item", IF((ROW($A4715) - 4504 - _xlfn.XMATCH($C4715, $C$4506:$C$5005, 0, 1)) &lt;= VLOOKUP($C4715, 'Instrument Table'!$B:$D, 3, FALSE), ROW($A4715) - 4504 - _xlfn.XMATCH($C4715, $C$4506:$C$5005, 0, 1), 0), 0), "00")</f>
        <v>00</v>
      </c>
      <c r="H4715" s="1" t="str">
        <f t="shared" si="439"/>
        <v>005</v>
      </c>
      <c r="I4715" s="1" t="str">
        <f t="shared" si="440"/>
        <v>33500-005</v>
      </c>
      <c r="J4715" s="1" t="str">
        <f t="shared" si="441"/>
        <v>Bassoon retail item #005</v>
      </c>
      <c r="K4715" s="1" t="str">
        <f>IF(SUM(COUNTIFS(I:I, I4715)) &gt; 1, "DUPLICATE", "UNIQUE")</f>
        <v>UNIQUE</v>
      </c>
      <c r="L4715" s="18">
        <v>3</v>
      </c>
      <c r="M4715" s="28">
        <v>5805</v>
      </c>
      <c r="N4715" s="6">
        <v>75</v>
      </c>
      <c r="O4715" s="30">
        <f t="shared" si="442"/>
        <v>17415</v>
      </c>
      <c r="P4715" s="30">
        <f t="shared" si="443"/>
        <v>435375</v>
      </c>
      <c r="Q4715" s="1">
        <f>COUNTIFS($P:$P, "&gt;" &amp; $P4715) + 1</f>
        <v>125</v>
      </c>
      <c r="R4715" s="63">
        <f>(COUNTIFS($P:$P, "&gt;" &amp; $P4715) + 1) / (COUNTA($I:$I) - 1)</f>
        <v>2.5000000000000001E-2</v>
      </c>
      <c r="S4715" s="23">
        <f>SUMIFS($P:$P, $Q:$Q, "&lt;" &amp; $Q4715)</f>
        <v>77735886</v>
      </c>
    </row>
    <row r="4716" spans="1:19" x14ac:dyDescent="0.25">
      <c r="A4716" s="1">
        <v>4711</v>
      </c>
      <c r="B4716" s="1" t="s">
        <v>4</v>
      </c>
      <c r="C4716" s="1" t="str">
        <f>IF($B4716 = "Production Item", _xlfn.XLOOKUP($A4716, 'Instrument Table'!$J:$J, 'Instrument Table'!$B:$B, $C4715), IF($B4716 = "Service Item", _xlfn.XLOOKUP($A4716, 'Instrument Table'!$I:$I, 'Instrument Table'!$B:$B, $C4715), _xlfn.XLOOKUP($A4716, 'Instrument Table'!$H:$H, 'Instrument Table'!$B:$B, $C4715)))</f>
        <v>Bassoon</v>
      </c>
      <c r="D4716" s="1" t="str">
        <f>VLOOKUP($C4716, 'Instrument Table'!$B:$C, 2, FALSE)</f>
        <v>Woodwinds</v>
      </c>
      <c r="E4716" s="1">
        <f t="shared" si="438"/>
        <v>3</v>
      </c>
      <c r="F4716" s="1">
        <f>_xlfn.XLOOKUP($C4716, 'Instrument Table'!$B:$B, 'Instrument Table'!$A:$A, "")</f>
        <v>35</v>
      </c>
      <c r="G4716" s="1" t="str">
        <f>TEXT(IF($B4716 = "Retail Item", IF((ROW($A4716) - 4504 - _xlfn.XMATCH($C4716, $C$4506:$C$5005, 0, 1)) &lt;= VLOOKUP($C4716, 'Instrument Table'!$B:$D, 3, FALSE), ROW($A4716) - 4504 - _xlfn.XMATCH($C4716, $C$4506:$C$5005, 0, 1), 0), 0), "00")</f>
        <v>00</v>
      </c>
      <c r="H4716" s="1" t="str">
        <f t="shared" si="439"/>
        <v>006</v>
      </c>
      <c r="I4716" s="1" t="str">
        <f t="shared" si="440"/>
        <v>33500-006</v>
      </c>
      <c r="J4716" s="1" t="str">
        <f t="shared" si="441"/>
        <v>Bassoon retail item #006</v>
      </c>
      <c r="K4716" s="1" t="str">
        <f>IF(SUM(COUNTIFS(I:I, I4716)) &gt; 1, "DUPLICATE", "UNIQUE")</f>
        <v>UNIQUE</v>
      </c>
      <c r="L4716" s="18">
        <v>44</v>
      </c>
      <c r="M4716" s="28">
        <v>9933</v>
      </c>
      <c r="N4716" s="6">
        <v>7</v>
      </c>
      <c r="O4716" s="30">
        <f t="shared" si="442"/>
        <v>437052</v>
      </c>
      <c r="P4716" s="30">
        <f t="shared" si="443"/>
        <v>69531</v>
      </c>
      <c r="Q4716" s="1">
        <f>COUNTIFS($P:$P, "&gt;" &amp; $P4716) + 1</f>
        <v>469</v>
      </c>
      <c r="R4716" s="63">
        <f>(COUNTIFS($P:$P, "&gt;" &amp; $P4716) + 1) / (COUNTA($I:$I) - 1)</f>
        <v>9.3799999999999994E-2</v>
      </c>
      <c r="S4716" s="23">
        <f>SUMIFS($P:$P, $Q:$Q, "&lt;" &amp; $Q4716)</f>
        <v>149437692</v>
      </c>
    </row>
    <row r="4717" spans="1:19" x14ac:dyDescent="0.25">
      <c r="A4717" s="1">
        <v>4712</v>
      </c>
      <c r="B4717" s="1" t="s">
        <v>4</v>
      </c>
      <c r="C4717" s="1" t="str">
        <f>IF($B4717 = "Production Item", _xlfn.XLOOKUP($A4717, 'Instrument Table'!$J:$J, 'Instrument Table'!$B:$B, $C4716), IF($B4717 = "Service Item", _xlfn.XLOOKUP($A4717, 'Instrument Table'!$I:$I, 'Instrument Table'!$B:$B, $C4716), _xlfn.XLOOKUP($A4717, 'Instrument Table'!$H:$H, 'Instrument Table'!$B:$B, $C4716)))</f>
        <v>Bassoon</v>
      </c>
      <c r="D4717" s="1" t="str">
        <f>VLOOKUP($C4717, 'Instrument Table'!$B:$C, 2, FALSE)</f>
        <v>Woodwinds</v>
      </c>
      <c r="E4717" s="1">
        <f t="shared" si="438"/>
        <v>3</v>
      </c>
      <c r="F4717" s="1">
        <f>_xlfn.XLOOKUP($C4717, 'Instrument Table'!$B:$B, 'Instrument Table'!$A:$A, "")</f>
        <v>35</v>
      </c>
      <c r="G4717" s="1" t="str">
        <f>TEXT(IF($B4717 = "Retail Item", IF((ROW($A4717) - 4504 - _xlfn.XMATCH($C4717, $C$4506:$C$5005, 0, 1)) &lt;= VLOOKUP($C4717, 'Instrument Table'!$B:$D, 3, FALSE), ROW($A4717) - 4504 - _xlfn.XMATCH($C4717, $C$4506:$C$5005, 0, 1), 0), 0), "00")</f>
        <v>00</v>
      </c>
      <c r="H4717" s="1" t="str">
        <f t="shared" si="439"/>
        <v>007</v>
      </c>
      <c r="I4717" s="1" t="str">
        <f t="shared" si="440"/>
        <v>33500-007</v>
      </c>
      <c r="J4717" s="1" t="str">
        <f t="shared" si="441"/>
        <v>Bassoon retail item #007</v>
      </c>
      <c r="K4717" s="1" t="str">
        <f>IF(SUM(COUNTIFS(I:I, I4717)) &gt; 1, "DUPLICATE", "UNIQUE")</f>
        <v>UNIQUE</v>
      </c>
      <c r="L4717" s="18">
        <v>76</v>
      </c>
      <c r="M4717" s="28">
        <v>2359</v>
      </c>
      <c r="N4717" s="6">
        <v>40</v>
      </c>
      <c r="O4717" s="30">
        <f t="shared" si="442"/>
        <v>179284</v>
      </c>
      <c r="P4717" s="30">
        <f t="shared" si="443"/>
        <v>94360</v>
      </c>
      <c r="Q4717" s="1">
        <f>COUNTIFS($P:$P, "&gt;" &amp; $P4717) + 1</f>
        <v>418</v>
      </c>
      <c r="R4717" s="63">
        <f>(COUNTIFS($P:$P, "&gt;" &amp; $P4717) + 1) / (COUNTA($I:$I) - 1)</f>
        <v>8.3599999999999994E-2</v>
      </c>
      <c r="S4717" s="23">
        <f>SUMIFS($P:$P, $Q:$Q, "&lt;" &amp; $Q4717)</f>
        <v>145235585</v>
      </c>
    </row>
    <row r="4718" spans="1:19" x14ac:dyDescent="0.25">
      <c r="A4718" s="1">
        <v>4713</v>
      </c>
      <c r="B4718" s="1" t="s">
        <v>4</v>
      </c>
      <c r="C4718" s="1" t="str">
        <f>IF($B4718 = "Production Item", _xlfn.XLOOKUP($A4718, 'Instrument Table'!$J:$J, 'Instrument Table'!$B:$B, $C4717), IF($B4718 = "Service Item", _xlfn.XLOOKUP($A4718, 'Instrument Table'!$I:$I, 'Instrument Table'!$B:$B, $C4717), _xlfn.XLOOKUP($A4718, 'Instrument Table'!$H:$H, 'Instrument Table'!$B:$B, $C4717)))</f>
        <v>Bassoon</v>
      </c>
      <c r="D4718" s="1" t="str">
        <f>VLOOKUP($C4718, 'Instrument Table'!$B:$C, 2, FALSE)</f>
        <v>Woodwinds</v>
      </c>
      <c r="E4718" s="1">
        <f t="shared" si="438"/>
        <v>3</v>
      </c>
      <c r="F4718" s="1">
        <f>_xlfn.XLOOKUP($C4718, 'Instrument Table'!$B:$B, 'Instrument Table'!$A:$A, "")</f>
        <v>35</v>
      </c>
      <c r="G4718" s="1" t="str">
        <f>TEXT(IF($B4718 = "Retail Item", IF((ROW($A4718) - 4504 - _xlfn.XMATCH($C4718, $C$4506:$C$5005, 0, 1)) &lt;= VLOOKUP($C4718, 'Instrument Table'!$B:$D, 3, FALSE), ROW($A4718) - 4504 - _xlfn.XMATCH($C4718, $C$4506:$C$5005, 0, 1), 0), 0), "00")</f>
        <v>00</v>
      </c>
      <c r="H4718" s="1" t="str">
        <f t="shared" si="439"/>
        <v>008</v>
      </c>
      <c r="I4718" s="1" t="str">
        <f t="shared" si="440"/>
        <v>33500-008</v>
      </c>
      <c r="J4718" s="1" t="str">
        <f t="shared" si="441"/>
        <v>Bassoon retail item #008</v>
      </c>
      <c r="K4718" s="1" t="str">
        <f>IF(SUM(COUNTIFS(I:I, I4718)) &gt; 1, "DUPLICATE", "UNIQUE")</f>
        <v>UNIQUE</v>
      </c>
      <c r="L4718" s="18">
        <v>65</v>
      </c>
      <c r="M4718" s="28">
        <v>8040</v>
      </c>
      <c r="N4718" s="6">
        <v>55</v>
      </c>
      <c r="O4718" s="30">
        <f t="shared" si="442"/>
        <v>522600</v>
      </c>
      <c r="P4718" s="30">
        <f t="shared" si="443"/>
        <v>442200</v>
      </c>
      <c r="Q4718" s="1">
        <f>COUNTIFS($P:$P, "&gt;" &amp; $P4718) + 1</f>
        <v>122</v>
      </c>
      <c r="R4718" s="63">
        <f>(COUNTIFS($P:$P, "&gt;" &amp; $P4718) + 1) / (COUNTA($I:$I) - 1)</f>
        <v>2.4400000000000002E-2</v>
      </c>
      <c r="S4718" s="23">
        <f>SUMIFS($P:$P, $Q:$Q, "&lt;" &amp; $Q4718)</f>
        <v>76416929</v>
      </c>
    </row>
    <row r="4719" spans="1:19" x14ac:dyDescent="0.25">
      <c r="A4719" s="1">
        <v>4714</v>
      </c>
      <c r="B4719" s="1" t="s">
        <v>4</v>
      </c>
      <c r="C4719" s="1" t="str">
        <f>IF($B4719 = "Production Item", _xlfn.XLOOKUP($A4719, 'Instrument Table'!$J:$J, 'Instrument Table'!$B:$B, $C4718), IF($B4719 = "Service Item", _xlfn.XLOOKUP($A4719, 'Instrument Table'!$I:$I, 'Instrument Table'!$B:$B, $C4718), _xlfn.XLOOKUP($A4719, 'Instrument Table'!$H:$H, 'Instrument Table'!$B:$B, $C4718)))</f>
        <v>Bassoon</v>
      </c>
      <c r="D4719" s="1" t="str">
        <f>VLOOKUP($C4719, 'Instrument Table'!$B:$C, 2, FALSE)</f>
        <v>Woodwinds</v>
      </c>
      <c r="E4719" s="1">
        <f t="shared" si="438"/>
        <v>3</v>
      </c>
      <c r="F4719" s="1">
        <f>_xlfn.XLOOKUP($C4719, 'Instrument Table'!$B:$B, 'Instrument Table'!$A:$A, "")</f>
        <v>35</v>
      </c>
      <c r="G4719" s="1" t="str">
        <f>TEXT(IF($B4719 = "Retail Item", IF((ROW($A4719) - 4504 - _xlfn.XMATCH($C4719, $C$4506:$C$5005, 0, 1)) &lt;= VLOOKUP($C4719, 'Instrument Table'!$B:$D, 3, FALSE), ROW($A4719) - 4504 - _xlfn.XMATCH($C4719, $C$4506:$C$5005, 0, 1), 0), 0), "00")</f>
        <v>00</v>
      </c>
      <c r="H4719" s="1" t="str">
        <f t="shared" si="439"/>
        <v>009</v>
      </c>
      <c r="I4719" s="1" t="str">
        <f t="shared" si="440"/>
        <v>33500-009</v>
      </c>
      <c r="J4719" s="1" t="str">
        <f t="shared" si="441"/>
        <v>Bassoon retail item #009</v>
      </c>
      <c r="K4719" s="1" t="str">
        <f>IF(SUM(COUNTIFS(I:I, I4719)) &gt; 1, "DUPLICATE", "UNIQUE")</f>
        <v>UNIQUE</v>
      </c>
      <c r="L4719" s="18">
        <v>37</v>
      </c>
      <c r="M4719" s="28">
        <v>2960</v>
      </c>
      <c r="N4719" s="6">
        <v>39</v>
      </c>
      <c r="O4719" s="30">
        <f t="shared" si="442"/>
        <v>109520</v>
      </c>
      <c r="P4719" s="30">
        <f t="shared" si="443"/>
        <v>115440</v>
      </c>
      <c r="Q4719" s="1">
        <f>COUNTIFS($P:$P, "&gt;" &amp; $P4719) + 1</f>
        <v>384</v>
      </c>
      <c r="R4719" s="63">
        <f>(COUNTIFS($P:$P, "&gt;" &amp; $P4719) + 1) / (COUNTA($I:$I) - 1)</f>
        <v>7.6799999999999993E-2</v>
      </c>
      <c r="S4719" s="23">
        <f>SUMIFS($P:$P, $Q:$Q, "&lt;" &amp; $Q4719)</f>
        <v>141671265</v>
      </c>
    </row>
    <row r="4720" spans="1:19" x14ac:dyDescent="0.25">
      <c r="A4720" s="1">
        <v>4715</v>
      </c>
      <c r="B4720" s="1" t="s">
        <v>4</v>
      </c>
      <c r="C4720" s="1" t="str">
        <f>IF($B4720 = "Production Item", _xlfn.XLOOKUP($A4720, 'Instrument Table'!$J:$J, 'Instrument Table'!$B:$B, $C4719), IF($B4720 = "Service Item", _xlfn.XLOOKUP($A4720, 'Instrument Table'!$I:$I, 'Instrument Table'!$B:$B, $C4719), _xlfn.XLOOKUP($A4720, 'Instrument Table'!$H:$H, 'Instrument Table'!$B:$B, $C4719)))</f>
        <v>French Horn</v>
      </c>
      <c r="D4720" s="1" t="str">
        <f>VLOOKUP($C4720, 'Instrument Table'!$B:$C, 2, FALSE)</f>
        <v>Brass</v>
      </c>
      <c r="E4720" s="1">
        <f t="shared" si="438"/>
        <v>3</v>
      </c>
      <c r="F4720" s="1">
        <f>_xlfn.XLOOKUP($C4720, 'Instrument Table'!$B:$B, 'Instrument Table'!$A:$A, "")</f>
        <v>40</v>
      </c>
      <c r="G4720" s="1" t="str">
        <f>TEXT(IF($B4720 = "Retail Item", IF((ROW($A4720) - 4504 - _xlfn.XMATCH($C4720, $C$4506:$C$5005, 0, 1)) &lt;= VLOOKUP($C4720, 'Instrument Table'!$B:$D, 3, FALSE), ROW($A4720) - 4504 - _xlfn.XMATCH($C4720, $C$4506:$C$5005, 0, 1), 0), 0), "00")</f>
        <v>01</v>
      </c>
      <c r="H4720" s="1" t="str">
        <f t="shared" si="439"/>
        <v>000</v>
      </c>
      <c r="I4720" s="1" t="str">
        <f t="shared" si="440"/>
        <v>34001-000</v>
      </c>
      <c r="J4720" s="1" t="str">
        <f t="shared" si="441"/>
        <v>French horn model #01</v>
      </c>
      <c r="K4720" s="1" t="str">
        <f>IF(SUM(COUNTIFS(I:I, I4720)) &gt; 1, "DUPLICATE", "UNIQUE")</f>
        <v>UNIQUE</v>
      </c>
      <c r="L4720" s="18">
        <v>31</v>
      </c>
      <c r="M4720" s="28">
        <v>4558</v>
      </c>
      <c r="N4720" s="6">
        <v>84</v>
      </c>
      <c r="O4720" s="30">
        <f t="shared" si="442"/>
        <v>141298</v>
      </c>
      <c r="P4720" s="30">
        <f t="shared" si="443"/>
        <v>382872</v>
      </c>
      <c r="Q4720" s="1">
        <f>COUNTIFS($P:$P, "&gt;" &amp; $P4720) + 1</f>
        <v>149</v>
      </c>
      <c r="R4720" s="63">
        <f>(COUNTIFS($P:$P, "&gt;" &amp; $P4720) + 1) / (COUNTA($I:$I) - 1)</f>
        <v>2.98E-2</v>
      </c>
      <c r="S4720" s="23">
        <f>SUMIFS($P:$P, $Q:$Q, "&lt;" &amp; $Q4720)</f>
        <v>87575080</v>
      </c>
    </row>
    <row r="4721" spans="1:19" x14ac:dyDescent="0.25">
      <c r="A4721" s="1">
        <v>4716</v>
      </c>
      <c r="B4721" s="1" t="s">
        <v>4</v>
      </c>
      <c r="C4721" s="1" t="str">
        <f>IF($B4721 = "Production Item", _xlfn.XLOOKUP($A4721, 'Instrument Table'!$J:$J, 'Instrument Table'!$B:$B, $C4720), IF($B4721 = "Service Item", _xlfn.XLOOKUP($A4721, 'Instrument Table'!$I:$I, 'Instrument Table'!$B:$B, $C4720), _xlfn.XLOOKUP($A4721, 'Instrument Table'!$H:$H, 'Instrument Table'!$B:$B, $C4720)))</f>
        <v>French Horn</v>
      </c>
      <c r="D4721" s="1" t="str">
        <f>VLOOKUP($C4721, 'Instrument Table'!$B:$C, 2, FALSE)</f>
        <v>Brass</v>
      </c>
      <c r="E4721" s="1">
        <f t="shared" si="438"/>
        <v>3</v>
      </c>
      <c r="F4721" s="1">
        <f>_xlfn.XLOOKUP($C4721, 'Instrument Table'!$B:$B, 'Instrument Table'!$A:$A, "")</f>
        <v>40</v>
      </c>
      <c r="G4721" s="1" t="str">
        <f>TEXT(IF($B4721 = "Retail Item", IF((ROW($A4721) - 4504 - _xlfn.XMATCH($C4721, $C$4506:$C$5005, 0, 1)) &lt;= VLOOKUP($C4721, 'Instrument Table'!$B:$D, 3, FALSE), ROW($A4721) - 4504 - _xlfn.XMATCH($C4721, $C$4506:$C$5005, 0, 1), 0), 0), "00")</f>
        <v>02</v>
      </c>
      <c r="H4721" s="1" t="str">
        <f t="shared" si="439"/>
        <v>000</v>
      </c>
      <c r="I4721" s="1" t="str">
        <f t="shared" si="440"/>
        <v>34002-000</v>
      </c>
      <c r="J4721" s="1" t="str">
        <f t="shared" si="441"/>
        <v>French horn model #02</v>
      </c>
      <c r="K4721" s="1" t="str">
        <f>IF(SUM(COUNTIFS(I:I, I4721)) &gt; 1, "DUPLICATE", "UNIQUE")</f>
        <v>UNIQUE</v>
      </c>
      <c r="L4721" s="18">
        <v>2</v>
      </c>
      <c r="M4721" s="28">
        <v>8440</v>
      </c>
      <c r="N4721" s="6">
        <v>76</v>
      </c>
      <c r="O4721" s="30">
        <f t="shared" si="442"/>
        <v>16880</v>
      </c>
      <c r="P4721" s="30">
        <f t="shared" si="443"/>
        <v>641440</v>
      </c>
      <c r="Q4721" s="1">
        <f>COUNTIFS($P:$P, "&gt;" &amp; $P4721) + 1</f>
        <v>48</v>
      </c>
      <c r="R4721" s="63">
        <f>(COUNTIFS($P:$P, "&gt;" &amp; $P4721) + 1) / (COUNTA($I:$I) - 1)</f>
        <v>9.5999999999999992E-3</v>
      </c>
      <c r="S4721" s="23">
        <f>SUMIFS($P:$P, $Q:$Q, "&lt;" &amp; $Q4721)</f>
        <v>36638229</v>
      </c>
    </row>
    <row r="4722" spans="1:19" x14ac:dyDescent="0.25">
      <c r="A4722" s="1">
        <v>4717</v>
      </c>
      <c r="B4722" s="1" t="s">
        <v>4</v>
      </c>
      <c r="C4722" s="1" t="str">
        <f>IF($B4722 = "Production Item", _xlfn.XLOOKUP($A4722, 'Instrument Table'!$J:$J, 'Instrument Table'!$B:$B, $C4721), IF($B4722 = "Service Item", _xlfn.XLOOKUP($A4722, 'Instrument Table'!$I:$I, 'Instrument Table'!$B:$B, $C4721), _xlfn.XLOOKUP($A4722, 'Instrument Table'!$H:$H, 'Instrument Table'!$B:$B, $C4721)))</f>
        <v>French Horn</v>
      </c>
      <c r="D4722" s="1" t="str">
        <f>VLOOKUP($C4722, 'Instrument Table'!$B:$C, 2, FALSE)</f>
        <v>Brass</v>
      </c>
      <c r="E4722" s="1">
        <f t="shared" si="438"/>
        <v>3</v>
      </c>
      <c r="F4722" s="1">
        <f>_xlfn.XLOOKUP($C4722, 'Instrument Table'!$B:$B, 'Instrument Table'!$A:$A, "")</f>
        <v>40</v>
      </c>
      <c r="G4722" s="1" t="str">
        <f>TEXT(IF($B4722 = "Retail Item", IF((ROW($A4722) - 4504 - _xlfn.XMATCH($C4722, $C$4506:$C$5005, 0, 1)) &lt;= VLOOKUP($C4722, 'Instrument Table'!$B:$D, 3, FALSE), ROW($A4722) - 4504 - _xlfn.XMATCH($C4722, $C$4506:$C$5005, 0, 1), 0), 0), "00")</f>
        <v>00</v>
      </c>
      <c r="H4722" s="1" t="str">
        <f t="shared" si="439"/>
        <v>000</v>
      </c>
      <c r="I4722" s="1" t="str">
        <f t="shared" si="440"/>
        <v>34000-000</v>
      </c>
      <c r="J4722" s="1" t="str">
        <f t="shared" si="441"/>
        <v>French horn retail item #000</v>
      </c>
      <c r="K4722" s="1" t="str">
        <f>IF(SUM(COUNTIFS(I:I, I4722)) &gt; 1, "DUPLICATE", "UNIQUE")</f>
        <v>UNIQUE</v>
      </c>
      <c r="L4722" s="18">
        <v>70</v>
      </c>
      <c r="M4722" s="28">
        <v>3500</v>
      </c>
      <c r="N4722" s="6">
        <v>46</v>
      </c>
      <c r="O4722" s="30">
        <f t="shared" si="442"/>
        <v>245000</v>
      </c>
      <c r="P4722" s="30">
        <f t="shared" si="443"/>
        <v>161000</v>
      </c>
      <c r="Q4722" s="1">
        <f>COUNTIFS($P:$P, "&gt;" &amp; $P4722) + 1</f>
        <v>320</v>
      </c>
      <c r="R4722" s="63">
        <f>(COUNTIFS($P:$P, "&gt;" &amp; $P4722) + 1) / (COUNTA($I:$I) - 1)</f>
        <v>6.4000000000000001E-2</v>
      </c>
      <c r="S4722" s="23">
        <f>SUMIFS($P:$P, $Q:$Q, "&lt;" &amp; $Q4722)</f>
        <v>132991200</v>
      </c>
    </row>
    <row r="4723" spans="1:19" x14ac:dyDescent="0.25">
      <c r="A4723" s="1">
        <v>4718</v>
      </c>
      <c r="B4723" s="1" t="s">
        <v>4</v>
      </c>
      <c r="C4723" s="1" t="str">
        <f>IF($B4723 = "Production Item", _xlfn.XLOOKUP($A4723, 'Instrument Table'!$J:$J, 'Instrument Table'!$B:$B, $C4722), IF($B4723 = "Service Item", _xlfn.XLOOKUP($A4723, 'Instrument Table'!$I:$I, 'Instrument Table'!$B:$B, $C4722), _xlfn.XLOOKUP($A4723, 'Instrument Table'!$H:$H, 'Instrument Table'!$B:$B, $C4722)))</f>
        <v>French Horn</v>
      </c>
      <c r="D4723" s="1" t="str">
        <f>VLOOKUP($C4723, 'Instrument Table'!$B:$C, 2, FALSE)</f>
        <v>Brass</v>
      </c>
      <c r="E4723" s="1">
        <f t="shared" si="438"/>
        <v>3</v>
      </c>
      <c r="F4723" s="1">
        <f>_xlfn.XLOOKUP($C4723, 'Instrument Table'!$B:$B, 'Instrument Table'!$A:$A, "")</f>
        <v>40</v>
      </c>
      <c r="G4723" s="1" t="str">
        <f>TEXT(IF($B4723 = "Retail Item", IF((ROW($A4723) - 4504 - _xlfn.XMATCH($C4723, $C$4506:$C$5005, 0, 1)) &lt;= VLOOKUP($C4723, 'Instrument Table'!$B:$D, 3, FALSE), ROW($A4723) - 4504 - _xlfn.XMATCH($C4723, $C$4506:$C$5005, 0, 1), 0), 0), "00")</f>
        <v>00</v>
      </c>
      <c r="H4723" s="1" t="str">
        <f t="shared" si="439"/>
        <v>001</v>
      </c>
      <c r="I4723" s="1" t="str">
        <f t="shared" si="440"/>
        <v>34000-001</v>
      </c>
      <c r="J4723" s="1" t="str">
        <f t="shared" si="441"/>
        <v>French horn retail item #001</v>
      </c>
      <c r="K4723" s="1" t="str">
        <f>IF(SUM(COUNTIFS(I:I, I4723)) &gt; 1, "DUPLICATE", "UNIQUE")</f>
        <v>UNIQUE</v>
      </c>
      <c r="L4723" s="18">
        <v>91</v>
      </c>
      <c r="M4723" s="28">
        <v>3688</v>
      </c>
      <c r="N4723" s="6">
        <v>35</v>
      </c>
      <c r="O4723" s="30">
        <f t="shared" si="442"/>
        <v>335608</v>
      </c>
      <c r="P4723" s="30">
        <f t="shared" si="443"/>
        <v>129080</v>
      </c>
      <c r="Q4723" s="1">
        <f>COUNTIFS($P:$P, "&gt;" &amp; $P4723) + 1</f>
        <v>357</v>
      </c>
      <c r="R4723" s="63">
        <f>(COUNTIFS($P:$P, "&gt;" &amp; $P4723) + 1) / (COUNTA($I:$I) - 1)</f>
        <v>7.1400000000000005E-2</v>
      </c>
      <c r="S4723" s="23">
        <f>SUMIFS($P:$P, $Q:$Q, "&lt;" &amp; $Q4723)</f>
        <v>138386834</v>
      </c>
    </row>
    <row r="4724" spans="1:19" x14ac:dyDescent="0.25">
      <c r="A4724" s="1">
        <v>4719</v>
      </c>
      <c r="B4724" s="1" t="s">
        <v>4</v>
      </c>
      <c r="C4724" s="1" t="str">
        <f>IF($B4724 = "Production Item", _xlfn.XLOOKUP($A4724, 'Instrument Table'!$J:$J, 'Instrument Table'!$B:$B, $C4723), IF($B4724 = "Service Item", _xlfn.XLOOKUP($A4724, 'Instrument Table'!$I:$I, 'Instrument Table'!$B:$B, $C4723), _xlfn.XLOOKUP($A4724, 'Instrument Table'!$H:$H, 'Instrument Table'!$B:$B, $C4723)))</f>
        <v>French Horn</v>
      </c>
      <c r="D4724" s="1" t="str">
        <f>VLOOKUP($C4724, 'Instrument Table'!$B:$C, 2, FALSE)</f>
        <v>Brass</v>
      </c>
      <c r="E4724" s="1">
        <f t="shared" si="438"/>
        <v>3</v>
      </c>
      <c r="F4724" s="1">
        <f>_xlfn.XLOOKUP($C4724, 'Instrument Table'!$B:$B, 'Instrument Table'!$A:$A, "")</f>
        <v>40</v>
      </c>
      <c r="G4724" s="1" t="str">
        <f>TEXT(IF($B4724 = "Retail Item", IF((ROW($A4724) - 4504 - _xlfn.XMATCH($C4724, $C$4506:$C$5005, 0, 1)) &lt;= VLOOKUP($C4724, 'Instrument Table'!$B:$D, 3, FALSE), ROW($A4724) - 4504 - _xlfn.XMATCH($C4724, $C$4506:$C$5005, 0, 1), 0), 0), "00")</f>
        <v>00</v>
      </c>
      <c r="H4724" s="1" t="str">
        <f t="shared" si="439"/>
        <v>002</v>
      </c>
      <c r="I4724" s="1" t="str">
        <f t="shared" si="440"/>
        <v>34000-002</v>
      </c>
      <c r="J4724" s="1" t="str">
        <f t="shared" si="441"/>
        <v>French horn retail item #002</v>
      </c>
      <c r="K4724" s="1" t="str">
        <f>IF(SUM(COUNTIFS(I:I, I4724)) &gt; 1, "DUPLICATE", "UNIQUE")</f>
        <v>UNIQUE</v>
      </c>
      <c r="L4724" s="18">
        <v>37</v>
      </c>
      <c r="M4724" s="28">
        <v>7232</v>
      </c>
      <c r="N4724" s="6">
        <v>46</v>
      </c>
      <c r="O4724" s="30">
        <f t="shared" si="442"/>
        <v>267584</v>
      </c>
      <c r="P4724" s="30">
        <f t="shared" si="443"/>
        <v>332672</v>
      </c>
      <c r="Q4724" s="1">
        <f>COUNTIFS($P:$P, "&gt;" &amp; $P4724) + 1</f>
        <v>177</v>
      </c>
      <c r="R4724" s="63">
        <f>(COUNTIFS($P:$P, "&gt;" &amp; $P4724) + 1) / (COUNTA($I:$I) - 1)</f>
        <v>3.5400000000000001E-2</v>
      </c>
      <c r="S4724" s="23">
        <f>SUMIFS($P:$P, $Q:$Q, "&lt;" &amp; $Q4724)</f>
        <v>97607826</v>
      </c>
    </row>
    <row r="4725" spans="1:19" x14ac:dyDescent="0.25">
      <c r="A4725" s="1">
        <v>4720</v>
      </c>
      <c r="B4725" s="1" t="s">
        <v>4</v>
      </c>
      <c r="C4725" s="1" t="str">
        <f>IF($B4725 = "Production Item", _xlfn.XLOOKUP($A4725, 'Instrument Table'!$J:$J, 'Instrument Table'!$B:$B, $C4724), IF($B4725 = "Service Item", _xlfn.XLOOKUP($A4725, 'Instrument Table'!$I:$I, 'Instrument Table'!$B:$B, $C4724), _xlfn.XLOOKUP($A4725, 'Instrument Table'!$H:$H, 'Instrument Table'!$B:$B, $C4724)))</f>
        <v>French Horn</v>
      </c>
      <c r="D4725" s="1" t="str">
        <f>VLOOKUP($C4725, 'Instrument Table'!$B:$C, 2, FALSE)</f>
        <v>Brass</v>
      </c>
      <c r="E4725" s="1">
        <f t="shared" si="438"/>
        <v>3</v>
      </c>
      <c r="F4725" s="1">
        <f>_xlfn.XLOOKUP($C4725, 'Instrument Table'!$B:$B, 'Instrument Table'!$A:$A, "")</f>
        <v>40</v>
      </c>
      <c r="G4725" s="1" t="str">
        <f>TEXT(IF($B4725 = "Retail Item", IF((ROW($A4725) - 4504 - _xlfn.XMATCH($C4725, $C$4506:$C$5005, 0, 1)) &lt;= VLOOKUP($C4725, 'Instrument Table'!$B:$D, 3, FALSE), ROW($A4725) - 4504 - _xlfn.XMATCH($C4725, $C$4506:$C$5005, 0, 1), 0), 0), "00")</f>
        <v>00</v>
      </c>
      <c r="H4725" s="1" t="str">
        <f t="shared" si="439"/>
        <v>003</v>
      </c>
      <c r="I4725" s="1" t="str">
        <f t="shared" si="440"/>
        <v>34000-003</v>
      </c>
      <c r="J4725" s="1" t="str">
        <f t="shared" si="441"/>
        <v>French horn retail item #003</v>
      </c>
      <c r="K4725" s="1" t="str">
        <f>IF(SUM(COUNTIFS(I:I, I4725)) &gt; 1, "DUPLICATE", "UNIQUE")</f>
        <v>UNIQUE</v>
      </c>
      <c r="L4725" s="18">
        <v>19</v>
      </c>
      <c r="M4725" s="28">
        <v>8387</v>
      </c>
      <c r="N4725" s="6">
        <v>8</v>
      </c>
      <c r="O4725" s="30">
        <f t="shared" si="442"/>
        <v>159353</v>
      </c>
      <c r="P4725" s="30">
        <f t="shared" si="443"/>
        <v>67096</v>
      </c>
      <c r="Q4725" s="1">
        <f>COUNTIFS($P:$P, "&gt;" &amp; $P4725) + 1</f>
        <v>478</v>
      </c>
      <c r="R4725" s="63">
        <f>(COUNTIFS($P:$P, "&gt;" &amp; $P4725) + 1) / (COUNTA($I:$I) - 1)</f>
        <v>9.5600000000000004E-2</v>
      </c>
      <c r="S4725" s="23">
        <f>SUMIFS($P:$P, $Q:$Q, "&lt;" &amp; $Q4725)</f>
        <v>150054461</v>
      </c>
    </row>
    <row r="4726" spans="1:19" x14ac:dyDescent="0.25">
      <c r="A4726" s="1">
        <v>4721</v>
      </c>
      <c r="B4726" s="1" t="s">
        <v>4</v>
      </c>
      <c r="C4726" s="1" t="str">
        <f>IF($B4726 = "Production Item", _xlfn.XLOOKUP($A4726, 'Instrument Table'!$J:$J, 'Instrument Table'!$B:$B, $C4725), IF($B4726 = "Service Item", _xlfn.XLOOKUP($A4726, 'Instrument Table'!$I:$I, 'Instrument Table'!$B:$B, $C4725), _xlfn.XLOOKUP($A4726, 'Instrument Table'!$H:$H, 'Instrument Table'!$B:$B, $C4725)))</f>
        <v>French Horn</v>
      </c>
      <c r="D4726" s="1" t="str">
        <f>VLOOKUP($C4726, 'Instrument Table'!$B:$C, 2, FALSE)</f>
        <v>Brass</v>
      </c>
      <c r="E4726" s="1">
        <f t="shared" si="438"/>
        <v>3</v>
      </c>
      <c r="F4726" s="1">
        <f>_xlfn.XLOOKUP($C4726, 'Instrument Table'!$B:$B, 'Instrument Table'!$A:$A, "")</f>
        <v>40</v>
      </c>
      <c r="G4726" s="1" t="str">
        <f>TEXT(IF($B4726 = "Retail Item", IF((ROW($A4726) - 4504 - _xlfn.XMATCH($C4726, $C$4506:$C$5005, 0, 1)) &lt;= VLOOKUP($C4726, 'Instrument Table'!$B:$D, 3, FALSE), ROW($A4726) - 4504 - _xlfn.XMATCH($C4726, $C$4506:$C$5005, 0, 1), 0), 0), "00")</f>
        <v>00</v>
      </c>
      <c r="H4726" s="1" t="str">
        <f t="shared" si="439"/>
        <v>004</v>
      </c>
      <c r="I4726" s="1" t="str">
        <f t="shared" si="440"/>
        <v>34000-004</v>
      </c>
      <c r="J4726" s="1" t="str">
        <f t="shared" si="441"/>
        <v>French horn retail item #004</v>
      </c>
      <c r="K4726" s="1" t="str">
        <f>IF(SUM(COUNTIFS(I:I, I4726)) &gt; 1, "DUPLICATE", "UNIQUE")</f>
        <v>UNIQUE</v>
      </c>
      <c r="L4726" s="18">
        <v>75</v>
      </c>
      <c r="M4726" s="28">
        <v>1633</v>
      </c>
      <c r="N4726" s="6">
        <v>56</v>
      </c>
      <c r="O4726" s="30">
        <f t="shared" si="442"/>
        <v>122475</v>
      </c>
      <c r="P4726" s="30">
        <f t="shared" si="443"/>
        <v>91448</v>
      </c>
      <c r="Q4726" s="1">
        <f>COUNTIFS($P:$P, "&gt;" &amp; $P4726) + 1</f>
        <v>426</v>
      </c>
      <c r="R4726" s="63">
        <f>(COUNTIFS($P:$P, "&gt;" &amp; $P4726) + 1) / (COUNTA($I:$I) - 1)</f>
        <v>8.5199999999999998E-2</v>
      </c>
      <c r="S4726" s="23">
        <f>SUMIFS($P:$P, $Q:$Q, "&lt;" &amp; $Q4726)</f>
        <v>145980173</v>
      </c>
    </row>
    <row r="4727" spans="1:19" x14ac:dyDescent="0.25">
      <c r="A4727" s="1">
        <v>4722</v>
      </c>
      <c r="B4727" s="1" t="s">
        <v>4</v>
      </c>
      <c r="C4727" s="1" t="str">
        <f>IF($B4727 = "Production Item", _xlfn.XLOOKUP($A4727, 'Instrument Table'!$J:$J, 'Instrument Table'!$B:$B, $C4726), IF($B4727 = "Service Item", _xlfn.XLOOKUP($A4727, 'Instrument Table'!$I:$I, 'Instrument Table'!$B:$B, $C4726), _xlfn.XLOOKUP($A4727, 'Instrument Table'!$H:$H, 'Instrument Table'!$B:$B, $C4726)))</f>
        <v>Trumpet</v>
      </c>
      <c r="D4727" s="1" t="str">
        <f>VLOOKUP($C4727, 'Instrument Table'!$B:$C, 2, FALSE)</f>
        <v>Brass</v>
      </c>
      <c r="E4727" s="1">
        <f t="shared" si="438"/>
        <v>3</v>
      </c>
      <c r="F4727" s="1">
        <f>_xlfn.XLOOKUP($C4727, 'Instrument Table'!$B:$B, 'Instrument Table'!$A:$A, "")</f>
        <v>41</v>
      </c>
      <c r="G4727" s="1" t="str">
        <f>TEXT(IF($B4727 = "Retail Item", IF((ROW($A4727) - 4504 - _xlfn.XMATCH($C4727, $C$4506:$C$5005, 0, 1)) &lt;= VLOOKUP($C4727, 'Instrument Table'!$B:$D, 3, FALSE), ROW($A4727) - 4504 - _xlfn.XMATCH($C4727, $C$4506:$C$5005, 0, 1), 0), 0), "00")</f>
        <v>01</v>
      </c>
      <c r="H4727" s="1" t="str">
        <f t="shared" si="439"/>
        <v>000</v>
      </c>
      <c r="I4727" s="1" t="str">
        <f t="shared" si="440"/>
        <v>34101-000</v>
      </c>
      <c r="J4727" s="1" t="str">
        <f t="shared" si="441"/>
        <v>Trumpet model #01</v>
      </c>
      <c r="K4727" s="1" t="str">
        <f>IF(SUM(COUNTIFS(I:I, I4727)) &gt; 1, "DUPLICATE", "UNIQUE")</f>
        <v>UNIQUE</v>
      </c>
      <c r="L4727" s="18">
        <v>65</v>
      </c>
      <c r="M4727" s="28">
        <v>9425</v>
      </c>
      <c r="N4727" s="6">
        <v>68</v>
      </c>
      <c r="O4727" s="30">
        <f t="shared" si="442"/>
        <v>612625</v>
      </c>
      <c r="P4727" s="30">
        <f t="shared" si="443"/>
        <v>640900</v>
      </c>
      <c r="Q4727" s="1">
        <f>COUNTIFS($P:$P, "&gt;" &amp; $P4727) + 1</f>
        <v>49</v>
      </c>
      <c r="R4727" s="63">
        <f>(COUNTIFS($P:$P, "&gt;" &amp; $P4727) + 1) / (COUNTA($I:$I) - 1)</f>
        <v>9.7999999999999997E-3</v>
      </c>
      <c r="S4727" s="23">
        <f>SUMIFS($P:$P, $Q:$Q, "&lt;" &amp; $Q4727)</f>
        <v>37279669</v>
      </c>
    </row>
    <row r="4728" spans="1:19" x14ac:dyDescent="0.25">
      <c r="A4728" s="1">
        <v>4723</v>
      </c>
      <c r="B4728" s="1" t="s">
        <v>4</v>
      </c>
      <c r="C4728" s="1" t="str">
        <f>IF($B4728 = "Production Item", _xlfn.XLOOKUP($A4728, 'Instrument Table'!$J:$J, 'Instrument Table'!$B:$B, $C4727), IF($B4728 = "Service Item", _xlfn.XLOOKUP($A4728, 'Instrument Table'!$I:$I, 'Instrument Table'!$B:$B, $C4727), _xlfn.XLOOKUP($A4728, 'Instrument Table'!$H:$H, 'Instrument Table'!$B:$B, $C4727)))</f>
        <v>Trumpet</v>
      </c>
      <c r="D4728" s="1" t="str">
        <f>VLOOKUP($C4728, 'Instrument Table'!$B:$C, 2, FALSE)</f>
        <v>Brass</v>
      </c>
      <c r="E4728" s="1">
        <f t="shared" si="438"/>
        <v>3</v>
      </c>
      <c r="F4728" s="1">
        <f>_xlfn.XLOOKUP($C4728, 'Instrument Table'!$B:$B, 'Instrument Table'!$A:$A, "")</f>
        <v>41</v>
      </c>
      <c r="G4728" s="1" t="str">
        <f>TEXT(IF($B4728 = "Retail Item", IF((ROW($A4728) - 4504 - _xlfn.XMATCH($C4728, $C$4506:$C$5005, 0, 1)) &lt;= VLOOKUP($C4728, 'Instrument Table'!$B:$D, 3, FALSE), ROW($A4728) - 4504 - _xlfn.XMATCH($C4728, $C$4506:$C$5005, 0, 1), 0), 0), "00")</f>
        <v>02</v>
      </c>
      <c r="H4728" s="1" t="str">
        <f t="shared" si="439"/>
        <v>000</v>
      </c>
      <c r="I4728" s="1" t="str">
        <f t="shared" si="440"/>
        <v>34102-000</v>
      </c>
      <c r="J4728" s="1" t="str">
        <f t="shared" si="441"/>
        <v>Trumpet model #02</v>
      </c>
      <c r="K4728" s="1" t="str">
        <f>IF(SUM(COUNTIFS(I:I, I4728)) &gt; 1, "DUPLICATE", "UNIQUE")</f>
        <v>UNIQUE</v>
      </c>
      <c r="L4728" s="18">
        <v>49</v>
      </c>
      <c r="M4728" s="28">
        <v>1865</v>
      </c>
      <c r="N4728" s="6">
        <v>11</v>
      </c>
      <c r="O4728" s="30">
        <f t="shared" si="442"/>
        <v>91385</v>
      </c>
      <c r="P4728" s="30">
        <f t="shared" si="443"/>
        <v>20515</v>
      </c>
      <c r="Q4728" s="1">
        <f>COUNTIFS($P:$P, "&gt;" &amp; $P4728) + 1</f>
        <v>1030</v>
      </c>
      <c r="R4728" s="63">
        <f>(COUNTIFS($P:$P, "&gt;" &amp; $P4728) + 1) / (COUNTA($I:$I) - 1)</f>
        <v>0.20599999999999999</v>
      </c>
      <c r="S4728" s="23">
        <f>SUMIFS($P:$P, $Q:$Q, "&lt;" &amp; $Q4728)</f>
        <v>167115051</v>
      </c>
    </row>
    <row r="4729" spans="1:19" x14ac:dyDescent="0.25">
      <c r="A4729" s="1">
        <v>4724</v>
      </c>
      <c r="B4729" s="1" t="s">
        <v>4</v>
      </c>
      <c r="C4729" s="1" t="str">
        <f>IF($B4729 = "Production Item", _xlfn.XLOOKUP($A4729, 'Instrument Table'!$J:$J, 'Instrument Table'!$B:$B, $C4728), IF($B4729 = "Service Item", _xlfn.XLOOKUP($A4729, 'Instrument Table'!$I:$I, 'Instrument Table'!$B:$B, $C4728), _xlfn.XLOOKUP($A4729, 'Instrument Table'!$H:$H, 'Instrument Table'!$B:$B, $C4728)))</f>
        <v>Trumpet</v>
      </c>
      <c r="D4729" s="1" t="str">
        <f>VLOOKUP($C4729, 'Instrument Table'!$B:$C, 2, FALSE)</f>
        <v>Brass</v>
      </c>
      <c r="E4729" s="1">
        <f t="shared" si="438"/>
        <v>3</v>
      </c>
      <c r="F4729" s="1">
        <f>_xlfn.XLOOKUP($C4729, 'Instrument Table'!$B:$B, 'Instrument Table'!$A:$A, "")</f>
        <v>41</v>
      </c>
      <c r="G4729" s="1" t="str">
        <f>TEXT(IF($B4729 = "Retail Item", IF((ROW($A4729) - 4504 - _xlfn.XMATCH($C4729, $C$4506:$C$5005, 0, 1)) &lt;= VLOOKUP($C4729, 'Instrument Table'!$B:$D, 3, FALSE), ROW($A4729) - 4504 - _xlfn.XMATCH($C4729, $C$4506:$C$5005, 0, 1), 0), 0), "00")</f>
        <v>00</v>
      </c>
      <c r="H4729" s="1" t="str">
        <f t="shared" si="439"/>
        <v>000</v>
      </c>
      <c r="I4729" s="1" t="str">
        <f t="shared" si="440"/>
        <v>34100-000</v>
      </c>
      <c r="J4729" s="1" t="str">
        <f t="shared" si="441"/>
        <v>Trumpet retail item #000</v>
      </c>
      <c r="K4729" s="1" t="str">
        <f>IF(SUM(COUNTIFS(I:I, I4729)) &gt; 1, "DUPLICATE", "UNIQUE")</f>
        <v>UNIQUE</v>
      </c>
      <c r="L4729" s="18">
        <v>70</v>
      </c>
      <c r="M4729" s="28">
        <v>2443</v>
      </c>
      <c r="N4729" s="6">
        <v>17</v>
      </c>
      <c r="O4729" s="30">
        <f t="shared" si="442"/>
        <v>171010</v>
      </c>
      <c r="P4729" s="30">
        <f t="shared" si="443"/>
        <v>41531</v>
      </c>
      <c r="Q4729" s="1">
        <f>COUNTIFS($P:$P, "&gt;" &amp; $P4729) + 1</f>
        <v>547</v>
      </c>
      <c r="R4729" s="63">
        <f>(COUNTIFS($P:$P, "&gt;" &amp; $P4729) + 1) / (COUNTA($I:$I) - 1)</f>
        <v>0.1094</v>
      </c>
      <c r="S4729" s="23">
        <f>SUMIFS($P:$P, $Q:$Q, "&lt;" &amp; $Q4729)</f>
        <v>153854851</v>
      </c>
    </row>
    <row r="4730" spans="1:19" x14ac:dyDescent="0.25">
      <c r="A4730" s="1">
        <v>4725</v>
      </c>
      <c r="B4730" s="1" t="s">
        <v>4</v>
      </c>
      <c r="C4730" s="1" t="str">
        <f>IF($B4730 = "Production Item", _xlfn.XLOOKUP($A4730, 'Instrument Table'!$J:$J, 'Instrument Table'!$B:$B, $C4729), IF($B4730 = "Service Item", _xlfn.XLOOKUP($A4730, 'Instrument Table'!$I:$I, 'Instrument Table'!$B:$B, $C4729), _xlfn.XLOOKUP($A4730, 'Instrument Table'!$H:$H, 'Instrument Table'!$B:$B, $C4729)))</f>
        <v>Trumpet</v>
      </c>
      <c r="D4730" s="1" t="str">
        <f>VLOOKUP($C4730, 'Instrument Table'!$B:$C, 2, FALSE)</f>
        <v>Brass</v>
      </c>
      <c r="E4730" s="1">
        <f t="shared" si="438"/>
        <v>3</v>
      </c>
      <c r="F4730" s="1">
        <f>_xlfn.XLOOKUP($C4730, 'Instrument Table'!$B:$B, 'Instrument Table'!$A:$A, "")</f>
        <v>41</v>
      </c>
      <c r="G4730" s="1" t="str">
        <f>TEXT(IF($B4730 = "Retail Item", IF((ROW($A4730) - 4504 - _xlfn.XMATCH($C4730, $C$4506:$C$5005, 0, 1)) &lt;= VLOOKUP($C4730, 'Instrument Table'!$B:$D, 3, FALSE), ROW($A4730) - 4504 - _xlfn.XMATCH($C4730, $C$4506:$C$5005, 0, 1), 0), 0), "00")</f>
        <v>00</v>
      </c>
      <c r="H4730" s="1" t="str">
        <f t="shared" si="439"/>
        <v>001</v>
      </c>
      <c r="I4730" s="1" t="str">
        <f t="shared" si="440"/>
        <v>34100-001</v>
      </c>
      <c r="J4730" s="1" t="str">
        <f t="shared" si="441"/>
        <v>Trumpet retail item #001</v>
      </c>
      <c r="K4730" s="1" t="str">
        <f>IF(SUM(COUNTIFS(I:I, I4730)) &gt; 1, "DUPLICATE", "UNIQUE")</f>
        <v>UNIQUE</v>
      </c>
      <c r="L4730" s="18">
        <v>97</v>
      </c>
      <c r="M4730" s="28">
        <v>6662</v>
      </c>
      <c r="N4730" s="6">
        <v>5</v>
      </c>
      <c r="O4730" s="30">
        <f t="shared" si="442"/>
        <v>646214</v>
      </c>
      <c r="P4730" s="30">
        <f t="shared" si="443"/>
        <v>33310</v>
      </c>
      <c r="Q4730" s="1">
        <f>COUNTIFS($P:$P, "&gt;" &amp; $P4730) + 1</f>
        <v>626</v>
      </c>
      <c r="R4730" s="63">
        <f>(COUNTIFS($P:$P, "&gt;" &amp; $P4730) + 1) / (COUNTA($I:$I) - 1)</f>
        <v>0.12520000000000001</v>
      </c>
      <c r="S4730" s="23">
        <f>SUMIFS($P:$P, $Q:$Q, "&lt;" &amp; $Q4730)</f>
        <v>156764867</v>
      </c>
    </row>
    <row r="4731" spans="1:19" x14ac:dyDescent="0.25">
      <c r="A4731" s="1">
        <v>4726</v>
      </c>
      <c r="B4731" s="1" t="s">
        <v>4</v>
      </c>
      <c r="C4731" s="1" t="str">
        <f>IF($B4731 = "Production Item", _xlfn.XLOOKUP($A4731, 'Instrument Table'!$J:$J, 'Instrument Table'!$B:$B, $C4730), IF($B4731 = "Service Item", _xlfn.XLOOKUP($A4731, 'Instrument Table'!$I:$I, 'Instrument Table'!$B:$B, $C4730), _xlfn.XLOOKUP($A4731, 'Instrument Table'!$H:$H, 'Instrument Table'!$B:$B, $C4730)))</f>
        <v>Trumpet</v>
      </c>
      <c r="D4731" s="1" t="str">
        <f>VLOOKUP($C4731, 'Instrument Table'!$B:$C, 2, FALSE)</f>
        <v>Brass</v>
      </c>
      <c r="E4731" s="1">
        <f t="shared" si="438"/>
        <v>3</v>
      </c>
      <c r="F4731" s="1">
        <f>_xlfn.XLOOKUP($C4731, 'Instrument Table'!$B:$B, 'Instrument Table'!$A:$A, "")</f>
        <v>41</v>
      </c>
      <c r="G4731" s="1" t="str">
        <f>TEXT(IF($B4731 = "Retail Item", IF((ROW($A4731) - 4504 - _xlfn.XMATCH($C4731, $C$4506:$C$5005, 0, 1)) &lt;= VLOOKUP($C4731, 'Instrument Table'!$B:$D, 3, FALSE), ROW($A4731) - 4504 - _xlfn.XMATCH($C4731, $C$4506:$C$5005, 0, 1), 0), 0), "00")</f>
        <v>00</v>
      </c>
      <c r="H4731" s="1" t="str">
        <f t="shared" si="439"/>
        <v>002</v>
      </c>
      <c r="I4731" s="1" t="str">
        <f t="shared" si="440"/>
        <v>34100-002</v>
      </c>
      <c r="J4731" s="1" t="str">
        <f t="shared" si="441"/>
        <v>Trumpet retail item #002</v>
      </c>
      <c r="K4731" s="1" t="str">
        <f>IF(SUM(COUNTIFS(I:I, I4731)) &gt; 1, "DUPLICATE", "UNIQUE")</f>
        <v>UNIQUE</v>
      </c>
      <c r="L4731" s="18">
        <v>56</v>
      </c>
      <c r="M4731" s="28">
        <v>1650</v>
      </c>
      <c r="N4731" s="6">
        <v>40</v>
      </c>
      <c r="O4731" s="30">
        <f t="shared" si="442"/>
        <v>92400</v>
      </c>
      <c r="P4731" s="30">
        <f t="shared" si="443"/>
        <v>66000</v>
      </c>
      <c r="Q4731" s="1">
        <f>COUNTIFS($P:$P, "&gt;" &amp; $P4731) + 1</f>
        <v>486</v>
      </c>
      <c r="R4731" s="63">
        <f>(COUNTIFS($P:$P, "&gt;" &amp; $P4731) + 1) / (COUNTA($I:$I) - 1)</f>
        <v>9.7199999999999995E-2</v>
      </c>
      <c r="S4731" s="23">
        <f>SUMIFS($P:$P, $Q:$Q, "&lt;" &amp; $Q4731)</f>
        <v>150587044</v>
      </c>
    </row>
    <row r="4732" spans="1:19" x14ac:dyDescent="0.25">
      <c r="A4732" s="1">
        <v>4727</v>
      </c>
      <c r="B4732" s="1" t="s">
        <v>4</v>
      </c>
      <c r="C4732" s="1" t="str">
        <f>IF($B4732 = "Production Item", _xlfn.XLOOKUP($A4732, 'Instrument Table'!$J:$J, 'Instrument Table'!$B:$B, $C4731), IF($B4732 = "Service Item", _xlfn.XLOOKUP($A4732, 'Instrument Table'!$I:$I, 'Instrument Table'!$B:$B, $C4731), _xlfn.XLOOKUP($A4732, 'Instrument Table'!$H:$H, 'Instrument Table'!$B:$B, $C4731)))</f>
        <v>Trumpet</v>
      </c>
      <c r="D4732" s="1" t="str">
        <f>VLOOKUP($C4732, 'Instrument Table'!$B:$C, 2, FALSE)</f>
        <v>Brass</v>
      </c>
      <c r="E4732" s="1">
        <f t="shared" si="438"/>
        <v>3</v>
      </c>
      <c r="F4732" s="1">
        <f>_xlfn.XLOOKUP($C4732, 'Instrument Table'!$B:$B, 'Instrument Table'!$A:$A, "")</f>
        <v>41</v>
      </c>
      <c r="G4732" s="1" t="str">
        <f>TEXT(IF($B4732 = "Retail Item", IF((ROW($A4732) - 4504 - _xlfn.XMATCH($C4732, $C$4506:$C$5005, 0, 1)) &lt;= VLOOKUP($C4732, 'Instrument Table'!$B:$D, 3, FALSE), ROW($A4732) - 4504 - _xlfn.XMATCH($C4732, $C$4506:$C$5005, 0, 1), 0), 0), "00")</f>
        <v>00</v>
      </c>
      <c r="H4732" s="1" t="str">
        <f t="shared" si="439"/>
        <v>003</v>
      </c>
      <c r="I4732" s="1" t="str">
        <f t="shared" si="440"/>
        <v>34100-003</v>
      </c>
      <c r="J4732" s="1" t="str">
        <f t="shared" si="441"/>
        <v>Trumpet retail item #003</v>
      </c>
      <c r="K4732" s="1" t="str">
        <f>IF(SUM(COUNTIFS(I:I, I4732)) &gt; 1, "DUPLICATE", "UNIQUE")</f>
        <v>UNIQUE</v>
      </c>
      <c r="L4732" s="18">
        <v>32</v>
      </c>
      <c r="M4732" s="28">
        <v>7832</v>
      </c>
      <c r="N4732" s="6">
        <v>16</v>
      </c>
      <c r="O4732" s="30">
        <f t="shared" si="442"/>
        <v>250624</v>
      </c>
      <c r="P4732" s="30">
        <f t="shared" si="443"/>
        <v>125312</v>
      </c>
      <c r="Q4732" s="1">
        <f>COUNTIFS($P:$P, "&gt;" &amp; $P4732) + 1</f>
        <v>364</v>
      </c>
      <c r="R4732" s="63">
        <f>(COUNTIFS($P:$P, "&gt;" &amp; $P4732) + 1) / (COUNTA($I:$I) - 1)</f>
        <v>7.2800000000000004E-2</v>
      </c>
      <c r="S4732" s="23">
        <f>SUMIFS($P:$P, $Q:$Q, "&lt;" &amp; $Q4732)</f>
        <v>139277641</v>
      </c>
    </row>
    <row r="4733" spans="1:19" x14ac:dyDescent="0.25">
      <c r="A4733" s="1">
        <v>4728</v>
      </c>
      <c r="B4733" s="1" t="s">
        <v>4</v>
      </c>
      <c r="C4733" s="1" t="str">
        <f>IF($B4733 = "Production Item", _xlfn.XLOOKUP($A4733, 'Instrument Table'!$J:$J, 'Instrument Table'!$B:$B, $C4732), IF($B4733 = "Service Item", _xlfn.XLOOKUP($A4733, 'Instrument Table'!$I:$I, 'Instrument Table'!$B:$B, $C4732), _xlfn.XLOOKUP($A4733, 'Instrument Table'!$H:$H, 'Instrument Table'!$B:$B, $C4732)))</f>
        <v>Trumpet</v>
      </c>
      <c r="D4733" s="1" t="str">
        <f>VLOOKUP($C4733, 'Instrument Table'!$B:$C, 2, FALSE)</f>
        <v>Brass</v>
      </c>
      <c r="E4733" s="1">
        <f t="shared" si="438"/>
        <v>3</v>
      </c>
      <c r="F4733" s="1">
        <f>_xlfn.XLOOKUP($C4733, 'Instrument Table'!$B:$B, 'Instrument Table'!$A:$A, "")</f>
        <v>41</v>
      </c>
      <c r="G4733" s="1" t="str">
        <f>TEXT(IF($B4733 = "Retail Item", IF((ROW($A4733) - 4504 - _xlfn.XMATCH($C4733, $C$4506:$C$5005, 0, 1)) &lt;= VLOOKUP($C4733, 'Instrument Table'!$B:$D, 3, FALSE), ROW($A4733) - 4504 - _xlfn.XMATCH($C4733, $C$4506:$C$5005, 0, 1), 0), 0), "00")</f>
        <v>00</v>
      </c>
      <c r="H4733" s="1" t="str">
        <f t="shared" si="439"/>
        <v>004</v>
      </c>
      <c r="I4733" s="1" t="str">
        <f t="shared" si="440"/>
        <v>34100-004</v>
      </c>
      <c r="J4733" s="1" t="str">
        <f t="shared" si="441"/>
        <v>Trumpet retail item #004</v>
      </c>
      <c r="K4733" s="1" t="str">
        <f>IF(SUM(COUNTIFS(I:I, I4733)) &gt; 1, "DUPLICATE", "UNIQUE")</f>
        <v>UNIQUE</v>
      </c>
      <c r="L4733" s="18">
        <v>6</v>
      </c>
      <c r="M4733" s="28">
        <v>8328</v>
      </c>
      <c r="N4733" s="6">
        <v>38</v>
      </c>
      <c r="O4733" s="30">
        <f t="shared" si="442"/>
        <v>49968</v>
      </c>
      <c r="P4733" s="30">
        <f t="shared" si="443"/>
        <v>316464</v>
      </c>
      <c r="Q4733" s="1">
        <f>COUNTIFS($P:$P, "&gt;" &amp; $P4733) + 1</f>
        <v>192</v>
      </c>
      <c r="R4733" s="63">
        <f>(COUNTIFS($P:$P, "&gt;" &amp; $P4733) + 1) / (COUNTA($I:$I) - 1)</f>
        <v>3.8399999999999997E-2</v>
      </c>
      <c r="S4733" s="23">
        <f>SUMIFS($P:$P, $Q:$Q, "&lt;" &amp; $Q4733)</f>
        <v>102462383</v>
      </c>
    </row>
    <row r="4734" spans="1:19" x14ac:dyDescent="0.25">
      <c r="A4734" s="1">
        <v>4729</v>
      </c>
      <c r="B4734" s="1" t="s">
        <v>4</v>
      </c>
      <c r="C4734" s="1" t="str">
        <f>IF($B4734 = "Production Item", _xlfn.XLOOKUP($A4734, 'Instrument Table'!$J:$J, 'Instrument Table'!$B:$B, $C4733), IF($B4734 = "Service Item", _xlfn.XLOOKUP($A4734, 'Instrument Table'!$I:$I, 'Instrument Table'!$B:$B, $C4733), _xlfn.XLOOKUP($A4734, 'Instrument Table'!$H:$H, 'Instrument Table'!$B:$B, $C4733)))</f>
        <v>Trombone</v>
      </c>
      <c r="D4734" s="1" t="str">
        <f>VLOOKUP($C4734, 'Instrument Table'!$B:$C, 2, FALSE)</f>
        <v>Brass</v>
      </c>
      <c r="E4734" s="1">
        <f t="shared" si="438"/>
        <v>3</v>
      </c>
      <c r="F4734" s="1">
        <f>_xlfn.XLOOKUP($C4734, 'Instrument Table'!$B:$B, 'Instrument Table'!$A:$A, "")</f>
        <v>42</v>
      </c>
      <c r="G4734" s="1" t="str">
        <f>TEXT(IF($B4734 = "Retail Item", IF((ROW($A4734) - 4504 - _xlfn.XMATCH($C4734, $C$4506:$C$5005, 0, 1)) &lt;= VLOOKUP($C4734, 'Instrument Table'!$B:$D, 3, FALSE), ROW($A4734) - 4504 - _xlfn.XMATCH($C4734, $C$4506:$C$5005, 0, 1), 0), 0), "00")</f>
        <v>01</v>
      </c>
      <c r="H4734" s="1" t="str">
        <f t="shared" si="439"/>
        <v>000</v>
      </c>
      <c r="I4734" s="1" t="str">
        <f t="shared" si="440"/>
        <v>34201-000</v>
      </c>
      <c r="J4734" s="1" t="str">
        <f t="shared" si="441"/>
        <v>Trombone model #01</v>
      </c>
      <c r="K4734" s="1" t="str">
        <f>IF(SUM(COUNTIFS(I:I, I4734)) &gt; 1, "DUPLICATE", "UNIQUE")</f>
        <v>UNIQUE</v>
      </c>
      <c r="L4734" s="18">
        <v>40</v>
      </c>
      <c r="M4734" s="28">
        <v>6554</v>
      </c>
      <c r="N4734" s="6">
        <v>11</v>
      </c>
      <c r="O4734" s="30">
        <f t="shared" si="442"/>
        <v>262160</v>
      </c>
      <c r="P4734" s="30">
        <f t="shared" si="443"/>
        <v>72094</v>
      </c>
      <c r="Q4734" s="1">
        <f>COUNTIFS($P:$P, "&gt;" &amp; $P4734) + 1</f>
        <v>463</v>
      </c>
      <c r="R4734" s="63">
        <f>(COUNTIFS($P:$P, "&gt;" &amp; $P4734) + 1) / (COUNTA($I:$I) - 1)</f>
        <v>9.2600000000000002E-2</v>
      </c>
      <c r="S4734" s="23">
        <f>SUMIFS($P:$P, $Q:$Q, "&lt;" &amp; $Q4734)</f>
        <v>149011058</v>
      </c>
    </row>
    <row r="4735" spans="1:19" x14ac:dyDescent="0.25">
      <c r="A4735" s="1">
        <v>4730</v>
      </c>
      <c r="B4735" s="1" t="s">
        <v>4</v>
      </c>
      <c r="C4735" s="1" t="str">
        <f>IF($B4735 = "Production Item", _xlfn.XLOOKUP($A4735, 'Instrument Table'!$J:$J, 'Instrument Table'!$B:$B, $C4734), IF($B4735 = "Service Item", _xlfn.XLOOKUP($A4735, 'Instrument Table'!$I:$I, 'Instrument Table'!$B:$B, $C4734), _xlfn.XLOOKUP($A4735, 'Instrument Table'!$H:$H, 'Instrument Table'!$B:$B, $C4734)))</f>
        <v>Trombone</v>
      </c>
      <c r="D4735" s="1" t="str">
        <f>VLOOKUP($C4735, 'Instrument Table'!$B:$C, 2, FALSE)</f>
        <v>Brass</v>
      </c>
      <c r="E4735" s="1">
        <f t="shared" si="438"/>
        <v>3</v>
      </c>
      <c r="F4735" s="1">
        <f>_xlfn.XLOOKUP($C4735, 'Instrument Table'!$B:$B, 'Instrument Table'!$A:$A, "")</f>
        <v>42</v>
      </c>
      <c r="G4735" s="1" t="str">
        <f>TEXT(IF($B4735 = "Retail Item", IF((ROW($A4735) - 4504 - _xlfn.XMATCH($C4735, $C$4506:$C$5005, 0, 1)) &lt;= VLOOKUP($C4735, 'Instrument Table'!$B:$D, 3, FALSE), ROW($A4735) - 4504 - _xlfn.XMATCH($C4735, $C$4506:$C$5005, 0, 1), 0), 0), "00")</f>
        <v>02</v>
      </c>
      <c r="H4735" s="1" t="str">
        <f t="shared" si="439"/>
        <v>000</v>
      </c>
      <c r="I4735" s="1" t="str">
        <f t="shared" si="440"/>
        <v>34202-000</v>
      </c>
      <c r="J4735" s="1" t="str">
        <f t="shared" si="441"/>
        <v>Trombone model #02</v>
      </c>
      <c r="K4735" s="1" t="str">
        <f>IF(SUM(COUNTIFS(I:I, I4735)) &gt; 1, "DUPLICATE", "UNIQUE")</f>
        <v>UNIQUE</v>
      </c>
      <c r="L4735" s="18">
        <v>94</v>
      </c>
      <c r="M4735" s="28">
        <v>6757</v>
      </c>
      <c r="N4735" s="6">
        <v>71</v>
      </c>
      <c r="O4735" s="30">
        <f t="shared" si="442"/>
        <v>635158</v>
      </c>
      <c r="P4735" s="30">
        <f t="shared" si="443"/>
        <v>479747</v>
      </c>
      <c r="Q4735" s="1">
        <f>COUNTIFS($P:$P, "&gt;" &amp; $P4735) + 1</f>
        <v>105</v>
      </c>
      <c r="R4735" s="63">
        <f>(COUNTIFS($P:$P, "&gt;" &amp; $P4735) + 1) / (COUNTA($I:$I) - 1)</f>
        <v>2.1000000000000001E-2</v>
      </c>
      <c r="S4735" s="23">
        <f>SUMIFS($P:$P, $Q:$Q, "&lt;" &amp; $Q4735)</f>
        <v>68582913</v>
      </c>
    </row>
    <row r="4736" spans="1:19" x14ac:dyDescent="0.25">
      <c r="A4736" s="1">
        <v>4731</v>
      </c>
      <c r="B4736" s="1" t="s">
        <v>4</v>
      </c>
      <c r="C4736" s="1" t="str">
        <f>IF($B4736 = "Production Item", _xlfn.XLOOKUP($A4736, 'Instrument Table'!$J:$J, 'Instrument Table'!$B:$B, $C4735), IF($B4736 = "Service Item", _xlfn.XLOOKUP($A4736, 'Instrument Table'!$I:$I, 'Instrument Table'!$B:$B, $C4735), _xlfn.XLOOKUP($A4736, 'Instrument Table'!$H:$H, 'Instrument Table'!$B:$B, $C4735)))</f>
        <v>Trombone</v>
      </c>
      <c r="D4736" s="1" t="str">
        <f>VLOOKUP($C4736, 'Instrument Table'!$B:$C, 2, FALSE)</f>
        <v>Brass</v>
      </c>
      <c r="E4736" s="1">
        <f t="shared" si="438"/>
        <v>3</v>
      </c>
      <c r="F4736" s="1">
        <f>_xlfn.XLOOKUP($C4736, 'Instrument Table'!$B:$B, 'Instrument Table'!$A:$A, "")</f>
        <v>42</v>
      </c>
      <c r="G4736" s="1" t="str">
        <f>TEXT(IF($B4736 = "Retail Item", IF((ROW($A4736) - 4504 - _xlfn.XMATCH($C4736, $C$4506:$C$5005, 0, 1)) &lt;= VLOOKUP($C4736, 'Instrument Table'!$B:$D, 3, FALSE), ROW($A4736) - 4504 - _xlfn.XMATCH($C4736, $C$4506:$C$5005, 0, 1), 0), 0), "00")</f>
        <v>00</v>
      </c>
      <c r="H4736" s="1" t="str">
        <f t="shared" si="439"/>
        <v>000</v>
      </c>
      <c r="I4736" s="1" t="str">
        <f t="shared" si="440"/>
        <v>34200-000</v>
      </c>
      <c r="J4736" s="1" t="str">
        <f t="shared" si="441"/>
        <v>Trombone retail item #000</v>
      </c>
      <c r="K4736" s="1" t="str">
        <f>IF(SUM(COUNTIFS(I:I, I4736)) &gt; 1, "DUPLICATE", "UNIQUE")</f>
        <v>UNIQUE</v>
      </c>
      <c r="L4736" s="18">
        <v>63</v>
      </c>
      <c r="M4736" s="28">
        <v>1792</v>
      </c>
      <c r="N4736" s="6">
        <v>52</v>
      </c>
      <c r="O4736" s="30">
        <f t="shared" si="442"/>
        <v>112896</v>
      </c>
      <c r="P4736" s="30">
        <f t="shared" si="443"/>
        <v>93184</v>
      </c>
      <c r="Q4736" s="1">
        <f>COUNTIFS($P:$P, "&gt;" &amp; $P4736) + 1</f>
        <v>422</v>
      </c>
      <c r="R4736" s="63">
        <f>(COUNTIFS($P:$P, "&gt;" &amp; $P4736) + 1) / (COUNTA($I:$I) - 1)</f>
        <v>8.4400000000000003E-2</v>
      </c>
      <c r="S4736" s="23">
        <f>SUMIFS($P:$P, $Q:$Q, "&lt;" &amp; $Q4736)</f>
        <v>145609891</v>
      </c>
    </row>
    <row r="4737" spans="1:19" x14ac:dyDescent="0.25">
      <c r="A4737" s="1">
        <v>4732</v>
      </c>
      <c r="B4737" s="1" t="s">
        <v>4</v>
      </c>
      <c r="C4737" s="1" t="str">
        <f>IF($B4737 = "Production Item", _xlfn.XLOOKUP($A4737, 'Instrument Table'!$J:$J, 'Instrument Table'!$B:$B, $C4736), IF($B4737 = "Service Item", _xlfn.XLOOKUP($A4737, 'Instrument Table'!$I:$I, 'Instrument Table'!$B:$B, $C4736), _xlfn.XLOOKUP($A4737, 'Instrument Table'!$H:$H, 'Instrument Table'!$B:$B, $C4736)))</f>
        <v>Trombone</v>
      </c>
      <c r="D4737" s="1" t="str">
        <f>VLOOKUP($C4737, 'Instrument Table'!$B:$C, 2, FALSE)</f>
        <v>Brass</v>
      </c>
      <c r="E4737" s="1">
        <f t="shared" si="438"/>
        <v>3</v>
      </c>
      <c r="F4737" s="1">
        <f>_xlfn.XLOOKUP($C4737, 'Instrument Table'!$B:$B, 'Instrument Table'!$A:$A, "")</f>
        <v>42</v>
      </c>
      <c r="G4737" s="1" t="str">
        <f>TEXT(IF($B4737 = "Retail Item", IF((ROW($A4737) - 4504 - _xlfn.XMATCH($C4737, $C$4506:$C$5005, 0, 1)) &lt;= VLOOKUP($C4737, 'Instrument Table'!$B:$D, 3, FALSE), ROW($A4737) - 4504 - _xlfn.XMATCH($C4737, $C$4506:$C$5005, 0, 1), 0), 0), "00")</f>
        <v>00</v>
      </c>
      <c r="H4737" s="1" t="str">
        <f t="shared" si="439"/>
        <v>001</v>
      </c>
      <c r="I4737" s="1" t="str">
        <f t="shared" si="440"/>
        <v>34200-001</v>
      </c>
      <c r="J4737" s="1" t="str">
        <f t="shared" si="441"/>
        <v>Trombone retail item #001</v>
      </c>
      <c r="K4737" s="1" t="str">
        <f>IF(SUM(COUNTIFS(I:I, I4737)) &gt; 1, "DUPLICATE", "UNIQUE")</f>
        <v>UNIQUE</v>
      </c>
      <c r="L4737" s="18">
        <v>56</v>
      </c>
      <c r="M4737" s="28">
        <v>3110</v>
      </c>
      <c r="N4737" s="6">
        <v>10</v>
      </c>
      <c r="O4737" s="30">
        <f t="shared" si="442"/>
        <v>174160</v>
      </c>
      <c r="P4737" s="30">
        <f t="shared" si="443"/>
        <v>31100</v>
      </c>
      <c r="Q4737" s="1">
        <f>COUNTIFS($P:$P, "&gt;" &amp; $P4737) + 1</f>
        <v>670</v>
      </c>
      <c r="R4737" s="63">
        <f>(COUNTIFS($P:$P, "&gt;" &amp; $P4737) + 1) / (COUNTA($I:$I) - 1)</f>
        <v>0.13400000000000001</v>
      </c>
      <c r="S4737" s="23">
        <f>SUMIFS($P:$P, $Q:$Q, "&lt;" &amp; $Q4737)</f>
        <v>158176235</v>
      </c>
    </row>
    <row r="4738" spans="1:19" x14ac:dyDescent="0.25">
      <c r="A4738" s="1">
        <v>4733</v>
      </c>
      <c r="B4738" s="1" t="s">
        <v>4</v>
      </c>
      <c r="C4738" s="1" t="str">
        <f>IF($B4738 = "Production Item", _xlfn.XLOOKUP($A4738, 'Instrument Table'!$J:$J, 'Instrument Table'!$B:$B, $C4737), IF($B4738 = "Service Item", _xlfn.XLOOKUP($A4738, 'Instrument Table'!$I:$I, 'Instrument Table'!$B:$B, $C4737), _xlfn.XLOOKUP($A4738, 'Instrument Table'!$H:$H, 'Instrument Table'!$B:$B, $C4737)))</f>
        <v>Trombone</v>
      </c>
      <c r="D4738" s="1" t="str">
        <f>VLOOKUP($C4738, 'Instrument Table'!$B:$C, 2, FALSE)</f>
        <v>Brass</v>
      </c>
      <c r="E4738" s="1">
        <f t="shared" si="438"/>
        <v>3</v>
      </c>
      <c r="F4738" s="1">
        <f>_xlfn.XLOOKUP($C4738, 'Instrument Table'!$B:$B, 'Instrument Table'!$A:$A, "")</f>
        <v>42</v>
      </c>
      <c r="G4738" s="1" t="str">
        <f>TEXT(IF($B4738 = "Retail Item", IF((ROW($A4738) - 4504 - _xlfn.XMATCH($C4738, $C$4506:$C$5005, 0, 1)) &lt;= VLOOKUP($C4738, 'Instrument Table'!$B:$D, 3, FALSE), ROW($A4738) - 4504 - _xlfn.XMATCH($C4738, $C$4506:$C$5005, 0, 1), 0), 0), "00")</f>
        <v>00</v>
      </c>
      <c r="H4738" s="1" t="str">
        <f t="shared" si="439"/>
        <v>002</v>
      </c>
      <c r="I4738" s="1" t="str">
        <f t="shared" si="440"/>
        <v>34200-002</v>
      </c>
      <c r="J4738" s="1" t="str">
        <f t="shared" si="441"/>
        <v>Trombone retail item #002</v>
      </c>
      <c r="K4738" s="1" t="str">
        <f>IF(SUM(COUNTIFS(I:I, I4738)) &gt; 1, "DUPLICATE", "UNIQUE")</f>
        <v>UNIQUE</v>
      </c>
      <c r="L4738" s="18">
        <v>22</v>
      </c>
      <c r="M4738" s="28">
        <v>9936</v>
      </c>
      <c r="N4738" s="6">
        <v>56</v>
      </c>
      <c r="O4738" s="30">
        <f t="shared" si="442"/>
        <v>218592</v>
      </c>
      <c r="P4738" s="30">
        <f t="shared" si="443"/>
        <v>556416</v>
      </c>
      <c r="Q4738" s="1">
        <f>COUNTIFS($P:$P, "&gt;" &amp; $P4738) + 1</f>
        <v>76</v>
      </c>
      <c r="R4738" s="63">
        <f>(COUNTIFS($P:$P, "&gt;" &amp; $P4738) + 1) / (COUNTA($I:$I) - 1)</f>
        <v>1.52E-2</v>
      </c>
      <c r="S4738" s="23">
        <f>SUMIFS($P:$P, $Q:$Q, "&lt;" &amp; $Q4738)</f>
        <v>53562209</v>
      </c>
    </row>
    <row r="4739" spans="1:19" x14ac:dyDescent="0.25">
      <c r="A4739" s="1">
        <v>4734</v>
      </c>
      <c r="B4739" s="1" t="s">
        <v>4</v>
      </c>
      <c r="C4739" s="1" t="str">
        <f>IF($B4739 = "Production Item", _xlfn.XLOOKUP($A4739, 'Instrument Table'!$J:$J, 'Instrument Table'!$B:$B, $C4738), IF($B4739 = "Service Item", _xlfn.XLOOKUP($A4739, 'Instrument Table'!$I:$I, 'Instrument Table'!$B:$B, $C4738), _xlfn.XLOOKUP($A4739, 'Instrument Table'!$H:$H, 'Instrument Table'!$B:$B, $C4738)))</f>
        <v>Trombone</v>
      </c>
      <c r="D4739" s="1" t="str">
        <f>VLOOKUP($C4739, 'Instrument Table'!$B:$C, 2, FALSE)</f>
        <v>Brass</v>
      </c>
      <c r="E4739" s="1">
        <f t="shared" si="438"/>
        <v>3</v>
      </c>
      <c r="F4739" s="1">
        <f>_xlfn.XLOOKUP($C4739, 'Instrument Table'!$B:$B, 'Instrument Table'!$A:$A, "")</f>
        <v>42</v>
      </c>
      <c r="G4739" s="1" t="str">
        <f>TEXT(IF($B4739 = "Retail Item", IF((ROW($A4739) - 4504 - _xlfn.XMATCH($C4739, $C$4506:$C$5005, 0, 1)) &lt;= VLOOKUP($C4739, 'Instrument Table'!$B:$D, 3, FALSE), ROW($A4739) - 4504 - _xlfn.XMATCH($C4739, $C$4506:$C$5005, 0, 1), 0), 0), "00")</f>
        <v>00</v>
      </c>
      <c r="H4739" s="1" t="str">
        <f t="shared" si="439"/>
        <v>003</v>
      </c>
      <c r="I4739" s="1" t="str">
        <f t="shared" si="440"/>
        <v>34200-003</v>
      </c>
      <c r="J4739" s="1" t="str">
        <f t="shared" si="441"/>
        <v>Trombone retail item #003</v>
      </c>
      <c r="K4739" s="1" t="str">
        <f>IF(SUM(COUNTIFS(I:I, I4739)) &gt; 1, "DUPLICATE", "UNIQUE")</f>
        <v>UNIQUE</v>
      </c>
      <c r="L4739" s="18">
        <v>45</v>
      </c>
      <c r="M4739" s="28">
        <v>1973</v>
      </c>
      <c r="N4739" s="6">
        <v>10</v>
      </c>
      <c r="O4739" s="30">
        <f t="shared" si="442"/>
        <v>88785</v>
      </c>
      <c r="P4739" s="30">
        <f t="shared" si="443"/>
        <v>19730</v>
      </c>
      <c r="Q4739" s="1">
        <f>COUNTIFS($P:$P, "&gt;" &amp; $P4739) + 1</f>
        <v>1069</v>
      </c>
      <c r="R4739" s="63">
        <f>(COUNTIFS($P:$P, "&gt;" &amp; $P4739) + 1) / (COUNTA($I:$I) - 1)</f>
        <v>0.21379999999999999</v>
      </c>
      <c r="S4739" s="23">
        <f>SUMIFS($P:$P, $Q:$Q, "&lt;" &amp; $Q4739)</f>
        <v>167902039</v>
      </c>
    </row>
    <row r="4740" spans="1:19" x14ac:dyDescent="0.25">
      <c r="A4740" s="1">
        <v>4735</v>
      </c>
      <c r="B4740" s="1" t="s">
        <v>4</v>
      </c>
      <c r="C4740" s="1" t="str">
        <f>IF($B4740 = "Production Item", _xlfn.XLOOKUP($A4740, 'Instrument Table'!$J:$J, 'Instrument Table'!$B:$B, $C4739), IF($B4740 = "Service Item", _xlfn.XLOOKUP($A4740, 'Instrument Table'!$I:$I, 'Instrument Table'!$B:$B, $C4739), _xlfn.XLOOKUP($A4740, 'Instrument Table'!$H:$H, 'Instrument Table'!$B:$B, $C4739)))</f>
        <v>Trombone</v>
      </c>
      <c r="D4740" s="1" t="str">
        <f>VLOOKUP($C4740, 'Instrument Table'!$B:$C, 2, FALSE)</f>
        <v>Brass</v>
      </c>
      <c r="E4740" s="1">
        <f t="shared" si="438"/>
        <v>3</v>
      </c>
      <c r="F4740" s="1">
        <f>_xlfn.XLOOKUP($C4740, 'Instrument Table'!$B:$B, 'Instrument Table'!$A:$A, "")</f>
        <v>42</v>
      </c>
      <c r="G4740" s="1" t="str">
        <f>TEXT(IF($B4740 = "Retail Item", IF((ROW($A4740) - 4504 - _xlfn.XMATCH($C4740, $C$4506:$C$5005, 0, 1)) &lt;= VLOOKUP($C4740, 'Instrument Table'!$B:$D, 3, FALSE), ROW($A4740) - 4504 - _xlfn.XMATCH($C4740, $C$4506:$C$5005, 0, 1), 0), 0), "00")</f>
        <v>00</v>
      </c>
      <c r="H4740" s="1" t="str">
        <f t="shared" si="439"/>
        <v>004</v>
      </c>
      <c r="I4740" s="1" t="str">
        <f t="shared" si="440"/>
        <v>34200-004</v>
      </c>
      <c r="J4740" s="1" t="str">
        <f t="shared" si="441"/>
        <v>Trombone retail item #004</v>
      </c>
      <c r="K4740" s="1" t="str">
        <f>IF(SUM(COUNTIFS(I:I, I4740)) &gt; 1, "DUPLICATE", "UNIQUE")</f>
        <v>UNIQUE</v>
      </c>
      <c r="L4740" s="18">
        <v>25</v>
      </c>
      <c r="M4740" s="28">
        <v>6768</v>
      </c>
      <c r="N4740" s="6">
        <v>48</v>
      </c>
      <c r="O4740" s="30">
        <f t="shared" si="442"/>
        <v>169200</v>
      </c>
      <c r="P4740" s="30">
        <f t="shared" si="443"/>
        <v>324864</v>
      </c>
      <c r="Q4740" s="1">
        <f>COUNTIFS($P:$P, "&gt;" &amp; $P4740) + 1</f>
        <v>182</v>
      </c>
      <c r="R4740" s="63">
        <f>(COUNTIFS($P:$P, "&gt;" &amp; $P4740) + 1) / (COUNTA($I:$I) - 1)</f>
        <v>3.6400000000000002E-2</v>
      </c>
      <c r="S4740" s="23">
        <f>SUMIFS($P:$P, $Q:$Q, "&lt;" &amp; $Q4740)</f>
        <v>99255890</v>
      </c>
    </row>
    <row r="4741" spans="1:19" x14ac:dyDescent="0.25">
      <c r="A4741" s="1">
        <v>4736</v>
      </c>
      <c r="B4741" s="1" t="s">
        <v>4</v>
      </c>
      <c r="C4741" s="1" t="str">
        <f>IF($B4741 = "Production Item", _xlfn.XLOOKUP($A4741, 'Instrument Table'!$J:$J, 'Instrument Table'!$B:$B, $C4740), IF($B4741 = "Service Item", _xlfn.XLOOKUP($A4741, 'Instrument Table'!$I:$I, 'Instrument Table'!$B:$B, $C4740), _xlfn.XLOOKUP($A4741, 'Instrument Table'!$H:$H, 'Instrument Table'!$B:$B, $C4740)))</f>
        <v>Tuba</v>
      </c>
      <c r="D4741" s="1" t="str">
        <f>VLOOKUP($C4741, 'Instrument Table'!$B:$C, 2, FALSE)</f>
        <v>Brass</v>
      </c>
      <c r="E4741" s="1">
        <f t="shared" si="438"/>
        <v>3</v>
      </c>
      <c r="F4741" s="1">
        <f>_xlfn.XLOOKUP($C4741, 'Instrument Table'!$B:$B, 'Instrument Table'!$A:$A, "")</f>
        <v>43</v>
      </c>
      <c r="G4741" s="1" t="str">
        <f>TEXT(IF($B4741 = "Retail Item", IF((ROW($A4741) - 4504 - _xlfn.XMATCH($C4741, $C$4506:$C$5005, 0, 1)) &lt;= VLOOKUP($C4741, 'Instrument Table'!$B:$D, 3, FALSE), ROW($A4741) - 4504 - _xlfn.XMATCH($C4741, $C$4506:$C$5005, 0, 1), 0), 0), "00")</f>
        <v>01</v>
      </c>
      <c r="H4741" s="1" t="str">
        <f t="shared" si="439"/>
        <v>000</v>
      </c>
      <c r="I4741" s="1" t="str">
        <f t="shared" si="440"/>
        <v>34301-000</v>
      </c>
      <c r="J4741" s="1" t="str">
        <f t="shared" si="441"/>
        <v>Tuba model #01</v>
      </c>
      <c r="K4741" s="1" t="str">
        <f>IF(SUM(COUNTIFS(I:I, I4741)) &gt; 1, "DUPLICATE", "UNIQUE")</f>
        <v>UNIQUE</v>
      </c>
      <c r="L4741" s="18">
        <v>5</v>
      </c>
      <c r="M4741" s="28">
        <v>6442</v>
      </c>
      <c r="N4741" s="6">
        <v>32</v>
      </c>
      <c r="O4741" s="30">
        <f t="shared" si="442"/>
        <v>32210</v>
      </c>
      <c r="P4741" s="30">
        <f t="shared" si="443"/>
        <v>206144</v>
      </c>
      <c r="Q4741" s="1">
        <f>COUNTIFS($P:$P, "&gt;" &amp; $P4741) + 1</f>
        <v>285</v>
      </c>
      <c r="R4741" s="63">
        <f>(COUNTIFS($P:$P, "&gt;" &amp; $P4741) + 1) / (COUNTA($I:$I) - 1)</f>
        <v>5.7000000000000002E-2</v>
      </c>
      <c r="S4741" s="23">
        <f>SUMIFS($P:$P, $Q:$Q, "&lt;" &amp; $Q4741)</f>
        <v>126605643</v>
      </c>
    </row>
    <row r="4742" spans="1:19" x14ac:dyDescent="0.25">
      <c r="A4742" s="1">
        <v>4737</v>
      </c>
      <c r="B4742" s="1" t="s">
        <v>4</v>
      </c>
      <c r="C4742" s="1" t="str">
        <f>IF($B4742 = "Production Item", _xlfn.XLOOKUP($A4742, 'Instrument Table'!$J:$J, 'Instrument Table'!$B:$B, $C4741), IF($B4742 = "Service Item", _xlfn.XLOOKUP($A4742, 'Instrument Table'!$I:$I, 'Instrument Table'!$B:$B, $C4741), _xlfn.XLOOKUP($A4742, 'Instrument Table'!$H:$H, 'Instrument Table'!$B:$B, $C4741)))</f>
        <v>Tuba</v>
      </c>
      <c r="D4742" s="1" t="str">
        <f>VLOOKUP($C4742, 'Instrument Table'!$B:$C, 2, FALSE)</f>
        <v>Brass</v>
      </c>
      <c r="E4742" s="1">
        <f t="shared" si="438"/>
        <v>3</v>
      </c>
      <c r="F4742" s="1">
        <f>_xlfn.XLOOKUP($C4742, 'Instrument Table'!$B:$B, 'Instrument Table'!$A:$A, "")</f>
        <v>43</v>
      </c>
      <c r="G4742" s="1" t="str">
        <f>TEXT(IF($B4742 = "Retail Item", IF((ROW($A4742) - 4504 - _xlfn.XMATCH($C4742, $C$4506:$C$5005, 0, 1)) &lt;= VLOOKUP($C4742, 'Instrument Table'!$B:$D, 3, FALSE), ROW($A4742) - 4504 - _xlfn.XMATCH($C4742, $C$4506:$C$5005, 0, 1), 0), 0), "00")</f>
        <v>02</v>
      </c>
      <c r="H4742" s="1" t="str">
        <f t="shared" si="439"/>
        <v>000</v>
      </c>
      <c r="I4742" s="1" t="str">
        <f t="shared" si="440"/>
        <v>34302-000</v>
      </c>
      <c r="J4742" s="1" t="str">
        <f t="shared" si="441"/>
        <v>Tuba model #02</v>
      </c>
      <c r="K4742" s="1" t="str">
        <f>IF(SUM(COUNTIFS(I:I, I4742)) &gt; 1, "DUPLICATE", "UNIQUE")</f>
        <v>UNIQUE</v>
      </c>
      <c r="L4742" s="18">
        <v>43</v>
      </c>
      <c r="M4742" s="28">
        <v>6788</v>
      </c>
      <c r="N4742" s="6">
        <v>65</v>
      </c>
      <c r="O4742" s="30">
        <f t="shared" si="442"/>
        <v>291884</v>
      </c>
      <c r="P4742" s="30">
        <f t="shared" si="443"/>
        <v>441220</v>
      </c>
      <c r="Q4742" s="1">
        <f>COUNTIFS($P:$P, "&gt;" &amp; $P4742) + 1</f>
        <v>123</v>
      </c>
      <c r="R4742" s="63">
        <f>(COUNTIFS($P:$P, "&gt;" &amp; $P4742) + 1) / (COUNTA($I:$I) - 1)</f>
        <v>2.46E-2</v>
      </c>
      <c r="S4742" s="23">
        <f>SUMIFS($P:$P, $Q:$Q, "&lt;" &amp; $Q4742)</f>
        <v>76859129</v>
      </c>
    </row>
    <row r="4743" spans="1:19" x14ac:dyDescent="0.25">
      <c r="A4743" s="1">
        <v>4738</v>
      </c>
      <c r="B4743" s="1" t="s">
        <v>4</v>
      </c>
      <c r="C4743" s="1" t="str">
        <f>IF($B4743 = "Production Item", _xlfn.XLOOKUP($A4743, 'Instrument Table'!$J:$J, 'Instrument Table'!$B:$B, $C4742), IF($B4743 = "Service Item", _xlfn.XLOOKUP($A4743, 'Instrument Table'!$I:$I, 'Instrument Table'!$B:$B, $C4742), _xlfn.XLOOKUP($A4743, 'Instrument Table'!$H:$H, 'Instrument Table'!$B:$B, $C4742)))</f>
        <v>Tuba</v>
      </c>
      <c r="D4743" s="1" t="str">
        <f>VLOOKUP($C4743, 'Instrument Table'!$B:$C, 2, FALSE)</f>
        <v>Brass</v>
      </c>
      <c r="E4743" s="1">
        <f t="shared" ref="E4743:E4806" si="444">IF($B4743 = "Production Item", 1, IF($B4743 = "Service Item", 2, IF($B4743 = "Retail Item", 3, "")))</f>
        <v>3</v>
      </c>
      <c r="F4743" s="1">
        <f>_xlfn.XLOOKUP($C4743, 'Instrument Table'!$B:$B, 'Instrument Table'!$A:$A, "")</f>
        <v>43</v>
      </c>
      <c r="G4743" s="1" t="str">
        <f>TEXT(IF($B4743 = "Retail Item", IF((ROW($A4743) - 4504 - _xlfn.XMATCH($C4743, $C$4506:$C$5005, 0, 1)) &lt;= VLOOKUP($C4743, 'Instrument Table'!$B:$D, 3, FALSE), ROW($A4743) - 4504 - _xlfn.XMATCH($C4743, $C$4506:$C$5005, 0, 1), 0), 0), "00")</f>
        <v>00</v>
      </c>
      <c r="H4743" s="1" t="str">
        <f t="shared" ref="H4743:H4806" si="445">TEXT(IF($E4743 &amp; $F4743 &amp; $G4743 = $E4742 &amp; $F4742 &amp; $G4742, 1 + H4742, 0), "000")</f>
        <v>000</v>
      </c>
      <c r="I4743" s="1" t="str">
        <f t="shared" ref="I4743:I4806" si="446" xml:space="preserve"> _xlfn.CONCAT($E4743, $F4743, $G4743, "-", H4743)</f>
        <v>34300-000</v>
      </c>
      <c r="J4743" s="1" t="str">
        <f t="shared" ref="J4743:J4806" si="447">LEFT($C4743, 1) &amp; LOWER(RIGHT($C4743, LEN($C4743) - 1)) &amp; IF(AND($G4743 &lt;&gt; "00", $B4743 = "Retail Item"), " model #" &amp; $G4743, " " &amp; LOWER($B4743) &amp; " #" &amp; $H4743)</f>
        <v>Tuba retail item #000</v>
      </c>
      <c r="K4743" s="1" t="str">
        <f>IF(SUM(COUNTIFS(I:I, I4743)) &gt; 1, "DUPLICATE", "UNIQUE")</f>
        <v>UNIQUE</v>
      </c>
      <c r="L4743" s="18">
        <v>96</v>
      </c>
      <c r="M4743" s="28">
        <v>7961</v>
      </c>
      <c r="N4743" s="6">
        <v>12</v>
      </c>
      <c r="O4743" s="30">
        <f t="shared" ref="O4743:O4806" si="448">$L4743 * $M4743</f>
        <v>764256</v>
      </c>
      <c r="P4743" s="30">
        <f t="shared" ref="P4743:P4806" si="449">$N4743 * $M4743</f>
        <v>95532</v>
      </c>
      <c r="Q4743" s="1">
        <f>COUNTIFS($P:$P, "&gt;" &amp; $P4743) + 1</f>
        <v>415</v>
      </c>
      <c r="R4743" s="63">
        <f>(COUNTIFS($P:$P, "&gt;" &amp; $P4743) + 1) / (COUNTA($I:$I) - 1)</f>
        <v>8.3000000000000004E-2</v>
      </c>
      <c r="S4743" s="23">
        <f>SUMIFS($P:$P, $Q:$Q, "&lt;" &amp; $Q4743)</f>
        <v>144950120</v>
      </c>
    </row>
    <row r="4744" spans="1:19" x14ac:dyDescent="0.25">
      <c r="A4744" s="1">
        <v>4739</v>
      </c>
      <c r="B4744" s="1" t="s">
        <v>4</v>
      </c>
      <c r="C4744" s="1" t="str">
        <f>IF($B4744 = "Production Item", _xlfn.XLOOKUP($A4744, 'Instrument Table'!$J:$J, 'Instrument Table'!$B:$B, $C4743), IF($B4744 = "Service Item", _xlfn.XLOOKUP($A4744, 'Instrument Table'!$I:$I, 'Instrument Table'!$B:$B, $C4743), _xlfn.XLOOKUP($A4744, 'Instrument Table'!$H:$H, 'Instrument Table'!$B:$B, $C4743)))</f>
        <v>Tuba</v>
      </c>
      <c r="D4744" s="1" t="str">
        <f>VLOOKUP($C4744, 'Instrument Table'!$B:$C, 2, FALSE)</f>
        <v>Brass</v>
      </c>
      <c r="E4744" s="1">
        <f t="shared" si="444"/>
        <v>3</v>
      </c>
      <c r="F4744" s="1">
        <f>_xlfn.XLOOKUP($C4744, 'Instrument Table'!$B:$B, 'Instrument Table'!$A:$A, "")</f>
        <v>43</v>
      </c>
      <c r="G4744" s="1" t="str">
        <f>TEXT(IF($B4744 = "Retail Item", IF((ROW($A4744) - 4504 - _xlfn.XMATCH($C4744, $C$4506:$C$5005, 0, 1)) &lt;= VLOOKUP($C4744, 'Instrument Table'!$B:$D, 3, FALSE), ROW($A4744) - 4504 - _xlfn.XMATCH($C4744, $C$4506:$C$5005, 0, 1), 0), 0), "00")</f>
        <v>00</v>
      </c>
      <c r="H4744" s="1" t="str">
        <f t="shared" si="445"/>
        <v>001</v>
      </c>
      <c r="I4744" s="1" t="str">
        <f t="shared" si="446"/>
        <v>34300-001</v>
      </c>
      <c r="J4744" s="1" t="str">
        <f t="shared" si="447"/>
        <v>Tuba retail item #001</v>
      </c>
      <c r="K4744" s="1" t="str">
        <f>IF(SUM(COUNTIFS(I:I, I4744)) &gt; 1, "DUPLICATE", "UNIQUE")</f>
        <v>UNIQUE</v>
      </c>
      <c r="L4744" s="18">
        <v>52</v>
      </c>
      <c r="M4744" s="28">
        <v>2540</v>
      </c>
      <c r="N4744" s="6">
        <v>41</v>
      </c>
      <c r="O4744" s="30">
        <f t="shared" si="448"/>
        <v>132080</v>
      </c>
      <c r="P4744" s="30">
        <f t="shared" si="449"/>
        <v>104140</v>
      </c>
      <c r="Q4744" s="1">
        <f>COUNTIFS($P:$P, "&gt;" &amp; $P4744) + 1</f>
        <v>398</v>
      </c>
      <c r="R4744" s="63">
        <f>(COUNTIFS($P:$P, "&gt;" &amp; $P4744) + 1) / (COUNTA($I:$I) - 1)</f>
        <v>7.9600000000000004E-2</v>
      </c>
      <c r="S4744" s="23">
        <f>SUMIFS($P:$P, $Q:$Q, "&lt;" &amp; $Q4744)</f>
        <v>143234048</v>
      </c>
    </row>
    <row r="4745" spans="1:19" x14ac:dyDescent="0.25">
      <c r="A4745" s="1">
        <v>4740</v>
      </c>
      <c r="B4745" s="1" t="s">
        <v>4</v>
      </c>
      <c r="C4745" s="1" t="str">
        <f>IF($B4745 = "Production Item", _xlfn.XLOOKUP($A4745, 'Instrument Table'!$J:$J, 'Instrument Table'!$B:$B, $C4744), IF($B4745 = "Service Item", _xlfn.XLOOKUP($A4745, 'Instrument Table'!$I:$I, 'Instrument Table'!$B:$B, $C4744), _xlfn.XLOOKUP($A4745, 'Instrument Table'!$H:$H, 'Instrument Table'!$B:$B, $C4744)))</f>
        <v>Tuba</v>
      </c>
      <c r="D4745" s="1" t="str">
        <f>VLOOKUP($C4745, 'Instrument Table'!$B:$C, 2, FALSE)</f>
        <v>Brass</v>
      </c>
      <c r="E4745" s="1">
        <f t="shared" si="444"/>
        <v>3</v>
      </c>
      <c r="F4745" s="1">
        <f>_xlfn.XLOOKUP($C4745, 'Instrument Table'!$B:$B, 'Instrument Table'!$A:$A, "")</f>
        <v>43</v>
      </c>
      <c r="G4745" s="1" t="str">
        <f>TEXT(IF($B4745 = "Retail Item", IF((ROW($A4745) - 4504 - _xlfn.XMATCH($C4745, $C$4506:$C$5005, 0, 1)) &lt;= VLOOKUP($C4745, 'Instrument Table'!$B:$D, 3, FALSE), ROW($A4745) - 4504 - _xlfn.XMATCH($C4745, $C$4506:$C$5005, 0, 1), 0), 0), "00")</f>
        <v>00</v>
      </c>
      <c r="H4745" s="1" t="str">
        <f t="shared" si="445"/>
        <v>002</v>
      </c>
      <c r="I4745" s="1" t="str">
        <f t="shared" si="446"/>
        <v>34300-002</v>
      </c>
      <c r="J4745" s="1" t="str">
        <f t="shared" si="447"/>
        <v>Tuba retail item #002</v>
      </c>
      <c r="K4745" s="1" t="str">
        <f>IF(SUM(COUNTIFS(I:I, I4745)) &gt; 1, "DUPLICATE", "UNIQUE")</f>
        <v>UNIQUE</v>
      </c>
      <c r="L4745" s="18">
        <v>56</v>
      </c>
      <c r="M4745" s="28">
        <v>6834</v>
      </c>
      <c r="N4745" s="6">
        <v>51</v>
      </c>
      <c r="O4745" s="30">
        <f t="shared" si="448"/>
        <v>382704</v>
      </c>
      <c r="P4745" s="30">
        <f t="shared" si="449"/>
        <v>348534</v>
      </c>
      <c r="Q4745" s="1">
        <f>COUNTIFS($P:$P, "&gt;" &amp; $P4745) + 1</f>
        <v>166</v>
      </c>
      <c r="R4745" s="63">
        <f>(COUNTIFS($P:$P, "&gt;" &amp; $P4745) + 1) / (COUNTA($I:$I) - 1)</f>
        <v>3.32E-2</v>
      </c>
      <c r="S4745" s="23">
        <f>SUMIFS($P:$P, $Q:$Q, "&lt;" &amp; $Q4745)</f>
        <v>93856451</v>
      </c>
    </row>
    <row r="4746" spans="1:19" x14ac:dyDescent="0.25">
      <c r="A4746" s="1">
        <v>4741</v>
      </c>
      <c r="B4746" s="1" t="s">
        <v>4</v>
      </c>
      <c r="C4746" s="1" t="str">
        <f>IF($B4746 = "Production Item", _xlfn.XLOOKUP($A4746, 'Instrument Table'!$J:$J, 'Instrument Table'!$B:$B, $C4745), IF($B4746 = "Service Item", _xlfn.XLOOKUP($A4746, 'Instrument Table'!$I:$I, 'Instrument Table'!$B:$B, $C4745), _xlfn.XLOOKUP($A4746, 'Instrument Table'!$H:$H, 'Instrument Table'!$B:$B, $C4745)))</f>
        <v>Tuba</v>
      </c>
      <c r="D4746" s="1" t="str">
        <f>VLOOKUP($C4746, 'Instrument Table'!$B:$C, 2, FALSE)</f>
        <v>Brass</v>
      </c>
      <c r="E4746" s="1">
        <f t="shared" si="444"/>
        <v>3</v>
      </c>
      <c r="F4746" s="1">
        <f>_xlfn.XLOOKUP($C4746, 'Instrument Table'!$B:$B, 'Instrument Table'!$A:$A, "")</f>
        <v>43</v>
      </c>
      <c r="G4746" s="1" t="str">
        <f>TEXT(IF($B4746 = "Retail Item", IF((ROW($A4746) - 4504 - _xlfn.XMATCH($C4746, $C$4506:$C$5005, 0, 1)) &lt;= VLOOKUP($C4746, 'Instrument Table'!$B:$D, 3, FALSE), ROW($A4746) - 4504 - _xlfn.XMATCH($C4746, $C$4506:$C$5005, 0, 1), 0), 0), "00")</f>
        <v>00</v>
      </c>
      <c r="H4746" s="1" t="str">
        <f t="shared" si="445"/>
        <v>003</v>
      </c>
      <c r="I4746" s="1" t="str">
        <f t="shared" si="446"/>
        <v>34300-003</v>
      </c>
      <c r="J4746" s="1" t="str">
        <f t="shared" si="447"/>
        <v>Tuba retail item #003</v>
      </c>
      <c r="K4746" s="1" t="str">
        <f>IF(SUM(COUNTIFS(I:I, I4746)) &gt; 1, "DUPLICATE", "UNIQUE")</f>
        <v>UNIQUE</v>
      </c>
      <c r="L4746" s="18">
        <v>74</v>
      </c>
      <c r="M4746" s="28">
        <v>7467</v>
      </c>
      <c r="N4746" s="6">
        <v>94</v>
      </c>
      <c r="O4746" s="30">
        <f t="shared" si="448"/>
        <v>552558</v>
      </c>
      <c r="P4746" s="30">
        <f t="shared" si="449"/>
        <v>701898</v>
      </c>
      <c r="Q4746" s="1">
        <f>COUNTIFS($P:$P, "&gt;" &amp; $P4746) + 1</f>
        <v>37</v>
      </c>
      <c r="R4746" s="63">
        <f>(COUNTIFS($P:$P, "&gt;" &amp; $P4746) + 1) / (COUNTA($I:$I) - 1)</f>
        <v>7.4000000000000003E-3</v>
      </c>
      <c r="S4746" s="23">
        <f>SUMIFS($P:$P, $Q:$Q, "&lt;" &amp; $Q4746)</f>
        <v>29229704</v>
      </c>
    </row>
    <row r="4747" spans="1:19" x14ac:dyDescent="0.25">
      <c r="A4747" s="1">
        <v>4742</v>
      </c>
      <c r="B4747" s="1" t="s">
        <v>4</v>
      </c>
      <c r="C4747" s="1" t="str">
        <f>IF($B4747 = "Production Item", _xlfn.XLOOKUP($A4747, 'Instrument Table'!$J:$J, 'Instrument Table'!$B:$B, $C4746), IF($B4747 = "Service Item", _xlfn.XLOOKUP($A4747, 'Instrument Table'!$I:$I, 'Instrument Table'!$B:$B, $C4746), _xlfn.XLOOKUP($A4747, 'Instrument Table'!$H:$H, 'Instrument Table'!$B:$B, $C4746)))</f>
        <v>Tuba</v>
      </c>
      <c r="D4747" s="1" t="str">
        <f>VLOOKUP($C4747, 'Instrument Table'!$B:$C, 2, FALSE)</f>
        <v>Brass</v>
      </c>
      <c r="E4747" s="1">
        <f t="shared" si="444"/>
        <v>3</v>
      </c>
      <c r="F4747" s="1">
        <f>_xlfn.XLOOKUP($C4747, 'Instrument Table'!$B:$B, 'Instrument Table'!$A:$A, "")</f>
        <v>43</v>
      </c>
      <c r="G4747" s="1" t="str">
        <f>TEXT(IF($B4747 = "Retail Item", IF((ROW($A4747) - 4504 - _xlfn.XMATCH($C4747, $C$4506:$C$5005, 0, 1)) &lt;= VLOOKUP($C4747, 'Instrument Table'!$B:$D, 3, FALSE), ROW($A4747) - 4504 - _xlfn.XMATCH($C4747, $C$4506:$C$5005, 0, 1), 0), 0), "00")</f>
        <v>00</v>
      </c>
      <c r="H4747" s="1" t="str">
        <f t="shared" si="445"/>
        <v>004</v>
      </c>
      <c r="I4747" s="1" t="str">
        <f t="shared" si="446"/>
        <v>34300-004</v>
      </c>
      <c r="J4747" s="1" t="str">
        <f t="shared" si="447"/>
        <v>Tuba retail item #004</v>
      </c>
      <c r="K4747" s="1" t="str">
        <f>IF(SUM(COUNTIFS(I:I, I4747)) &gt; 1, "DUPLICATE", "UNIQUE")</f>
        <v>UNIQUE</v>
      </c>
      <c r="L4747" s="18">
        <v>59</v>
      </c>
      <c r="M4747" s="28">
        <v>4873</v>
      </c>
      <c r="N4747" s="6">
        <v>63</v>
      </c>
      <c r="O4747" s="30">
        <f t="shared" si="448"/>
        <v>287507</v>
      </c>
      <c r="P4747" s="30">
        <f t="shared" si="449"/>
        <v>306999</v>
      </c>
      <c r="Q4747" s="1">
        <f>COUNTIFS($P:$P, "&gt;" &amp; $P4747) + 1</f>
        <v>196</v>
      </c>
      <c r="R4747" s="63">
        <f>(COUNTIFS($P:$P, "&gt;" &amp; $P4747) + 1) / (COUNTA($I:$I) - 1)</f>
        <v>3.9199999999999999E-2</v>
      </c>
      <c r="S4747" s="23">
        <f>SUMIFS($P:$P, $Q:$Q, "&lt;" &amp; $Q4747)</f>
        <v>103708279</v>
      </c>
    </row>
    <row r="4748" spans="1:19" x14ac:dyDescent="0.25">
      <c r="A4748" s="1">
        <v>4743</v>
      </c>
      <c r="B4748" s="1" t="s">
        <v>4</v>
      </c>
      <c r="C4748" s="1" t="str">
        <f>IF($B4748 = "Production Item", _xlfn.XLOOKUP($A4748, 'Instrument Table'!$J:$J, 'Instrument Table'!$B:$B, $C4747), IF($B4748 = "Service Item", _xlfn.XLOOKUP($A4748, 'Instrument Table'!$I:$I, 'Instrument Table'!$B:$B, $C4747), _xlfn.XLOOKUP($A4748, 'Instrument Table'!$H:$H, 'Instrument Table'!$B:$B, $C4747)))</f>
        <v>Snare Drum</v>
      </c>
      <c r="D4748" s="1" t="str">
        <f>VLOOKUP($C4748, 'Instrument Table'!$B:$C, 2, FALSE)</f>
        <v>Percussion</v>
      </c>
      <c r="E4748" s="1">
        <f t="shared" si="444"/>
        <v>3</v>
      </c>
      <c r="F4748" s="1">
        <f>_xlfn.XLOOKUP($C4748, 'Instrument Table'!$B:$B, 'Instrument Table'!$A:$A, "")</f>
        <v>50</v>
      </c>
      <c r="G4748" s="1" t="str">
        <f>TEXT(IF($B4748 = "Retail Item", IF((ROW($A4748) - 4504 - _xlfn.XMATCH($C4748, $C$4506:$C$5005, 0, 1)) &lt;= VLOOKUP($C4748, 'Instrument Table'!$B:$D, 3, FALSE), ROW($A4748) - 4504 - _xlfn.XMATCH($C4748, $C$4506:$C$5005, 0, 1), 0), 0), "00")</f>
        <v>01</v>
      </c>
      <c r="H4748" s="1" t="str">
        <f t="shared" si="445"/>
        <v>000</v>
      </c>
      <c r="I4748" s="1" t="str">
        <f t="shared" si="446"/>
        <v>35001-000</v>
      </c>
      <c r="J4748" s="1" t="str">
        <f t="shared" si="447"/>
        <v>Snare drum model #01</v>
      </c>
      <c r="K4748" s="1" t="str">
        <f>IF(SUM(COUNTIFS(I:I, I4748)) &gt; 1, "DUPLICATE", "UNIQUE")</f>
        <v>UNIQUE</v>
      </c>
      <c r="L4748" s="18">
        <v>91</v>
      </c>
      <c r="M4748" s="28">
        <v>6844</v>
      </c>
      <c r="N4748" s="6">
        <v>33</v>
      </c>
      <c r="O4748" s="30">
        <f t="shared" si="448"/>
        <v>622804</v>
      </c>
      <c r="P4748" s="30">
        <f t="shared" si="449"/>
        <v>225852</v>
      </c>
      <c r="Q4748" s="1">
        <f>COUNTIFS($P:$P, "&gt;" &amp; $P4748) + 1</f>
        <v>270</v>
      </c>
      <c r="R4748" s="63">
        <f>(COUNTIFS($P:$P, "&gt;" &amp; $P4748) + 1) / (COUNTA($I:$I) - 1)</f>
        <v>5.3999999999999999E-2</v>
      </c>
      <c r="S4748" s="23">
        <f>SUMIFS($P:$P, $Q:$Q, "&lt;" &amp; $Q4748)</f>
        <v>123358441</v>
      </c>
    </row>
    <row r="4749" spans="1:19" x14ac:dyDescent="0.25">
      <c r="A4749" s="1">
        <v>4744</v>
      </c>
      <c r="B4749" s="1" t="s">
        <v>4</v>
      </c>
      <c r="C4749" s="1" t="str">
        <f>IF($B4749 = "Production Item", _xlfn.XLOOKUP($A4749, 'Instrument Table'!$J:$J, 'Instrument Table'!$B:$B, $C4748), IF($B4749 = "Service Item", _xlfn.XLOOKUP($A4749, 'Instrument Table'!$I:$I, 'Instrument Table'!$B:$B, $C4748), _xlfn.XLOOKUP($A4749, 'Instrument Table'!$H:$H, 'Instrument Table'!$B:$B, $C4748)))</f>
        <v>Snare Drum</v>
      </c>
      <c r="D4749" s="1" t="str">
        <f>VLOOKUP($C4749, 'Instrument Table'!$B:$C, 2, FALSE)</f>
        <v>Percussion</v>
      </c>
      <c r="E4749" s="1">
        <f t="shared" si="444"/>
        <v>3</v>
      </c>
      <c r="F4749" s="1">
        <f>_xlfn.XLOOKUP($C4749, 'Instrument Table'!$B:$B, 'Instrument Table'!$A:$A, "")</f>
        <v>50</v>
      </c>
      <c r="G4749" s="1" t="str">
        <f>TEXT(IF($B4749 = "Retail Item", IF((ROW($A4749) - 4504 - _xlfn.XMATCH($C4749, $C$4506:$C$5005, 0, 1)) &lt;= VLOOKUP($C4749, 'Instrument Table'!$B:$D, 3, FALSE), ROW($A4749) - 4504 - _xlfn.XMATCH($C4749, $C$4506:$C$5005, 0, 1), 0), 0), "00")</f>
        <v>02</v>
      </c>
      <c r="H4749" s="1" t="str">
        <f t="shared" si="445"/>
        <v>000</v>
      </c>
      <c r="I4749" s="1" t="str">
        <f t="shared" si="446"/>
        <v>35002-000</v>
      </c>
      <c r="J4749" s="1" t="str">
        <f t="shared" si="447"/>
        <v>Snare drum model #02</v>
      </c>
      <c r="K4749" s="1" t="str">
        <f>IF(SUM(COUNTIFS(I:I, I4749)) &gt; 1, "DUPLICATE", "UNIQUE")</f>
        <v>UNIQUE</v>
      </c>
      <c r="L4749" s="18">
        <v>31</v>
      </c>
      <c r="M4749" s="28">
        <v>7113</v>
      </c>
      <c r="N4749" s="6">
        <v>90</v>
      </c>
      <c r="O4749" s="30">
        <f t="shared" si="448"/>
        <v>220503</v>
      </c>
      <c r="P4749" s="30">
        <f t="shared" si="449"/>
        <v>640170</v>
      </c>
      <c r="Q4749" s="1">
        <f>COUNTIFS($P:$P, "&gt;" &amp; $P4749) + 1</f>
        <v>50</v>
      </c>
      <c r="R4749" s="63">
        <f>(COUNTIFS($P:$P, "&gt;" &amp; $P4749) + 1) / (COUNTA($I:$I) - 1)</f>
        <v>0.01</v>
      </c>
      <c r="S4749" s="23">
        <f>SUMIFS($P:$P, $Q:$Q, "&lt;" &amp; $Q4749)</f>
        <v>37920569</v>
      </c>
    </row>
    <row r="4750" spans="1:19" x14ac:dyDescent="0.25">
      <c r="A4750" s="1">
        <v>4745</v>
      </c>
      <c r="B4750" s="1" t="s">
        <v>4</v>
      </c>
      <c r="C4750" s="1" t="str">
        <f>IF($B4750 = "Production Item", _xlfn.XLOOKUP($A4750, 'Instrument Table'!$J:$J, 'Instrument Table'!$B:$B, $C4749), IF($B4750 = "Service Item", _xlfn.XLOOKUP($A4750, 'Instrument Table'!$I:$I, 'Instrument Table'!$B:$B, $C4749), _xlfn.XLOOKUP($A4750, 'Instrument Table'!$H:$H, 'Instrument Table'!$B:$B, $C4749)))</f>
        <v>Snare Drum</v>
      </c>
      <c r="D4750" s="1" t="str">
        <f>VLOOKUP($C4750, 'Instrument Table'!$B:$C, 2, FALSE)</f>
        <v>Percussion</v>
      </c>
      <c r="E4750" s="1">
        <f t="shared" si="444"/>
        <v>3</v>
      </c>
      <c r="F4750" s="1">
        <f>_xlfn.XLOOKUP($C4750, 'Instrument Table'!$B:$B, 'Instrument Table'!$A:$A, "")</f>
        <v>50</v>
      </c>
      <c r="G4750" s="1" t="str">
        <f>TEXT(IF($B4750 = "Retail Item", IF((ROW($A4750) - 4504 - _xlfn.XMATCH($C4750, $C$4506:$C$5005, 0, 1)) &lt;= VLOOKUP($C4750, 'Instrument Table'!$B:$D, 3, FALSE), ROW($A4750) - 4504 - _xlfn.XMATCH($C4750, $C$4506:$C$5005, 0, 1), 0), 0), "00")</f>
        <v>00</v>
      </c>
      <c r="H4750" s="1" t="str">
        <f t="shared" si="445"/>
        <v>000</v>
      </c>
      <c r="I4750" s="1" t="str">
        <f t="shared" si="446"/>
        <v>35000-000</v>
      </c>
      <c r="J4750" s="1" t="str">
        <f t="shared" si="447"/>
        <v>Snare drum retail item #000</v>
      </c>
      <c r="K4750" s="1" t="str">
        <f>IF(SUM(COUNTIFS(I:I, I4750)) &gt; 1, "DUPLICATE", "UNIQUE")</f>
        <v>UNIQUE</v>
      </c>
      <c r="L4750" s="18">
        <v>96</v>
      </c>
      <c r="M4750" s="28">
        <v>5897</v>
      </c>
      <c r="N4750" s="6">
        <v>5</v>
      </c>
      <c r="O4750" s="30">
        <f t="shared" si="448"/>
        <v>566112</v>
      </c>
      <c r="P4750" s="30">
        <f t="shared" si="449"/>
        <v>29485</v>
      </c>
      <c r="Q4750" s="1">
        <f>COUNTIFS($P:$P, "&gt;" &amp; $P4750) + 1</f>
        <v>705</v>
      </c>
      <c r="R4750" s="63">
        <f>(COUNTIFS($P:$P, "&gt;" &amp; $P4750) + 1) / (COUNTA($I:$I) - 1)</f>
        <v>0.14099999999999999</v>
      </c>
      <c r="S4750" s="23">
        <f>SUMIFS($P:$P, $Q:$Q, "&lt;" &amp; $Q4750)</f>
        <v>159234870</v>
      </c>
    </row>
    <row r="4751" spans="1:19" x14ac:dyDescent="0.25">
      <c r="A4751" s="1">
        <v>4746</v>
      </c>
      <c r="B4751" s="1" t="s">
        <v>4</v>
      </c>
      <c r="C4751" s="1" t="str">
        <f>IF($B4751 = "Production Item", _xlfn.XLOOKUP($A4751, 'Instrument Table'!$J:$J, 'Instrument Table'!$B:$B, $C4750), IF($B4751 = "Service Item", _xlfn.XLOOKUP($A4751, 'Instrument Table'!$I:$I, 'Instrument Table'!$B:$B, $C4750), _xlfn.XLOOKUP($A4751, 'Instrument Table'!$H:$H, 'Instrument Table'!$B:$B, $C4750)))</f>
        <v>Snare Drum</v>
      </c>
      <c r="D4751" s="1" t="str">
        <f>VLOOKUP($C4751, 'Instrument Table'!$B:$C, 2, FALSE)</f>
        <v>Percussion</v>
      </c>
      <c r="E4751" s="1">
        <f t="shared" si="444"/>
        <v>3</v>
      </c>
      <c r="F4751" s="1">
        <f>_xlfn.XLOOKUP($C4751, 'Instrument Table'!$B:$B, 'Instrument Table'!$A:$A, "")</f>
        <v>50</v>
      </c>
      <c r="G4751" s="1" t="str">
        <f>TEXT(IF($B4751 = "Retail Item", IF((ROW($A4751) - 4504 - _xlfn.XMATCH($C4751, $C$4506:$C$5005, 0, 1)) &lt;= VLOOKUP($C4751, 'Instrument Table'!$B:$D, 3, FALSE), ROW($A4751) - 4504 - _xlfn.XMATCH($C4751, $C$4506:$C$5005, 0, 1), 0), 0), "00")</f>
        <v>00</v>
      </c>
      <c r="H4751" s="1" t="str">
        <f t="shared" si="445"/>
        <v>001</v>
      </c>
      <c r="I4751" s="1" t="str">
        <f t="shared" si="446"/>
        <v>35000-001</v>
      </c>
      <c r="J4751" s="1" t="str">
        <f t="shared" si="447"/>
        <v>Snare drum retail item #001</v>
      </c>
      <c r="K4751" s="1" t="str">
        <f>IF(SUM(COUNTIFS(I:I, I4751)) &gt; 1, "DUPLICATE", "UNIQUE")</f>
        <v>UNIQUE</v>
      </c>
      <c r="L4751" s="18">
        <v>24</v>
      </c>
      <c r="M4751" s="28">
        <v>3661</v>
      </c>
      <c r="N4751" s="6">
        <v>49</v>
      </c>
      <c r="O4751" s="30">
        <f t="shared" si="448"/>
        <v>87864</v>
      </c>
      <c r="P4751" s="30">
        <f t="shared" si="449"/>
        <v>179389</v>
      </c>
      <c r="Q4751" s="1">
        <f>COUNTIFS($P:$P, "&gt;" &amp; $P4751) + 1</f>
        <v>303</v>
      </c>
      <c r="R4751" s="63">
        <f>(COUNTIFS($P:$P, "&gt;" &amp; $P4751) + 1) / (COUNTA($I:$I) - 1)</f>
        <v>6.0600000000000001E-2</v>
      </c>
      <c r="S4751" s="23">
        <f>SUMIFS($P:$P, $Q:$Q, "&lt;" &amp; $Q4751)</f>
        <v>130084755</v>
      </c>
    </row>
    <row r="4752" spans="1:19" x14ac:dyDescent="0.25">
      <c r="A4752" s="1">
        <v>4747</v>
      </c>
      <c r="B4752" s="1" t="s">
        <v>4</v>
      </c>
      <c r="C4752" s="1" t="str">
        <f>IF($B4752 = "Production Item", _xlfn.XLOOKUP($A4752, 'Instrument Table'!$J:$J, 'Instrument Table'!$B:$B, $C4751), IF($B4752 = "Service Item", _xlfn.XLOOKUP($A4752, 'Instrument Table'!$I:$I, 'Instrument Table'!$B:$B, $C4751), _xlfn.XLOOKUP($A4752, 'Instrument Table'!$H:$H, 'Instrument Table'!$B:$B, $C4751)))</f>
        <v>Snare Drum</v>
      </c>
      <c r="D4752" s="1" t="str">
        <f>VLOOKUP($C4752, 'Instrument Table'!$B:$C, 2, FALSE)</f>
        <v>Percussion</v>
      </c>
      <c r="E4752" s="1">
        <f t="shared" si="444"/>
        <v>3</v>
      </c>
      <c r="F4752" s="1">
        <f>_xlfn.XLOOKUP($C4752, 'Instrument Table'!$B:$B, 'Instrument Table'!$A:$A, "")</f>
        <v>50</v>
      </c>
      <c r="G4752" s="1" t="str">
        <f>TEXT(IF($B4752 = "Retail Item", IF((ROW($A4752) - 4504 - _xlfn.XMATCH($C4752, $C$4506:$C$5005, 0, 1)) &lt;= VLOOKUP($C4752, 'Instrument Table'!$B:$D, 3, FALSE), ROW($A4752) - 4504 - _xlfn.XMATCH($C4752, $C$4506:$C$5005, 0, 1), 0), 0), "00")</f>
        <v>00</v>
      </c>
      <c r="H4752" s="1" t="str">
        <f t="shared" si="445"/>
        <v>002</v>
      </c>
      <c r="I4752" s="1" t="str">
        <f t="shared" si="446"/>
        <v>35000-002</v>
      </c>
      <c r="J4752" s="1" t="str">
        <f t="shared" si="447"/>
        <v>Snare drum retail item #002</v>
      </c>
      <c r="K4752" s="1" t="str">
        <f>IF(SUM(COUNTIFS(I:I, I4752)) &gt; 1, "DUPLICATE", "UNIQUE")</f>
        <v>UNIQUE</v>
      </c>
      <c r="L4752" s="18">
        <v>16</v>
      </c>
      <c r="M4752" s="28">
        <v>7798</v>
      </c>
      <c r="N4752" s="6">
        <v>98</v>
      </c>
      <c r="O4752" s="30">
        <f t="shared" si="448"/>
        <v>124768</v>
      </c>
      <c r="P4752" s="30">
        <f t="shared" si="449"/>
        <v>764204</v>
      </c>
      <c r="Q4752" s="1">
        <f>COUNTIFS($P:$P, "&gt;" &amp; $P4752) + 1</f>
        <v>24</v>
      </c>
      <c r="R4752" s="63">
        <f>(COUNTIFS($P:$P, "&gt;" &amp; $P4752) + 1) / (COUNTA($I:$I) - 1)</f>
        <v>4.7999999999999996E-3</v>
      </c>
      <c r="S4752" s="23">
        <f>SUMIFS($P:$P, $Q:$Q, "&lt;" &amp; $Q4752)</f>
        <v>19632826</v>
      </c>
    </row>
    <row r="4753" spans="1:19" x14ac:dyDescent="0.25">
      <c r="A4753" s="1">
        <v>4748</v>
      </c>
      <c r="B4753" s="1" t="s">
        <v>4</v>
      </c>
      <c r="C4753" s="1" t="str">
        <f>IF($B4753 = "Production Item", _xlfn.XLOOKUP($A4753, 'Instrument Table'!$J:$J, 'Instrument Table'!$B:$B, $C4752), IF($B4753 = "Service Item", _xlfn.XLOOKUP($A4753, 'Instrument Table'!$I:$I, 'Instrument Table'!$B:$B, $C4752), _xlfn.XLOOKUP($A4753, 'Instrument Table'!$H:$H, 'Instrument Table'!$B:$B, $C4752)))</f>
        <v>Snare Drum</v>
      </c>
      <c r="D4753" s="1" t="str">
        <f>VLOOKUP($C4753, 'Instrument Table'!$B:$C, 2, FALSE)</f>
        <v>Percussion</v>
      </c>
      <c r="E4753" s="1">
        <f t="shared" si="444"/>
        <v>3</v>
      </c>
      <c r="F4753" s="1">
        <f>_xlfn.XLOOKUP($C4753, 'Instrument Table'!$B:$B, 'Instrument Table'!$A:$A, "")</f>
        <v>50</v>
      </c>
      <c r="G4753" s="1" t="str">
        <f>TEXT(IF($B4753 = "Retail Item", IF((ROW($A4753) - 4504 - _xlfn.XMATCH($C4753, $C$4506:$C$5005, 0, 1)) &lt;= VLOOKUP($C4753, 'Instrument Table'!$B:$D, 3, FALSE), ROW($A4753) - 4504 - _xlfn.XMATCH($C4753, $C$4506:$C$5005, 0, 1), 0), 0), "00")</f>
        <v>00</v>
      </c>
      <c r="H4753" s="1" t="str">
        <f t="shared" si="445"/>
        <v>003</v>
      </c>
      <c r="I4753" s="1" t="str">
        <f t="shared" si="446"/>
        <v>35000-003</v>
      </c>
      <c r="J4753" s="1" t="str">
        <f t="shared" si="447"/>
        <v>Snare drum retail item #003</v>
      </c>
      <c r="K4753" s="1" t="str">
        <f>IF(SUM(COUNTIFS(I:I, I4753)) &gt; 1, "DUPLICATE", "UNIQUE")</f>
        <v>UNIQUE</v>
      </c>
      <c r="L4753" s="18">
        <v>35</v>
      </c>
      <c r="M4753" s="28">
        <v>1709</v>
      </c>
      <c r="N4753" s="6">
        <v>91</v>
      </c>
      <c r="O4753" s="30">
        <f t="shared" si="448"/>
        <v>59815</v>
      </c>
      <c r="P4753" s="30">
        <f t="shared" si="449"/>
        <v>155519</v>
      </c>
      <c r="Q4753" s="1">
        <f>COUNTIFS($P:$P, "&gt;" &amp; $P4753) + 1</f>
        <v>327</v>
      </c>
      <c r="R4753" s="63">
        <f>(COUNTIFS($P:$P, "&gt;" &amp; $P4753) + 1) / (COUNTA($I:$I) - 1)</f>
        <v>6.54E-2</v>
      </c>
      <c r="S4753" s="23">
        <f>SUMIFS($P:$P, $Q:$Q, "&lt;" &amp; $Q4753)</f>
        <v>134098791</v>
      </c>
    </row>
    <row r="4754" spans="1:19" x14ac:dyDescent="0.25">
      <c r="A4754" s="1">
        <v>4749</v>
      </c>
      <c r="B4754" s="1" t="s">
        <v>4</v>
      </c>
      <c r="C4754" s="1" t="str">
        <f>IF($B4754 = "Production Item", _xlfn.XLOOKUP($A4754, 'Instrument Table'!$J:$J, 'Instrument Table'!$B:$B, $C4753), IF($B4754 = "Service Item", _xlfn.XLOOKUP($A4754, 'Instrument Table'!$I:$I, 'Instrument Table'!$B:$B, $C4753), _xlfn.XLOOKUP($A4754, 'Instrument Table'!$H:$H, 'Instrument Table'!$B:$B, $C4753)))</f>
        <v>Snare Drum</v>
      </c>
      <c r="D4754" s="1" t="str">
        <f>VLOOKUP($C4754, 'Instrument Table'!$B:$C, 2, FALSE)</f>
        <v>Percussion</v>
      </c>
      <c r="E4754" s="1">
        <f t="shared" si="444"/>
        <v>3</v>
      </c>
      <c r="F4754" s="1">
        <f>_xlfn.XLOOKUP($C4754, 'Instrument Table'!$B:$B, 'Instrument Table'!$A:$A, "")</f>
        <v>50</v>
      </c>
      <c r="G4754" s="1" t="str">
        <f>TEXT(IF($B4754 = "Retail Item", IF((ROW($A4754) - 4504 - _xlfn.XMATCH($C4754, $C$4506:$C$5005, 0, 1)) &lt;= VLOOKUP($C4754, 'Instrument Table'!$B:$D, 3, FALSE), ROW($A4754) - 4504 - _xlfn.XMATCH($C4754, $C$4506:$C$5005, 0, 1), 0), 0), "00")</f>
        <v>00</v>
      </c>
      <c r="H4754" s="1" t="str">
        <f t="shared" si="445"/>
        <v>004</v>
      </c>
      <c r="I4754" s="1" t="str">
        <f t="shared" si="446"/>
        <v>35000-004</v>
      </c>
      <c r="J4754" s="1" t="str">
        <f t="shared" si="447"/>
        <v>Snare drum retail item #004</v>
      </c>
      <c r="K4754" s="1" t="str">
        <f>IF(SUM(COUNTIFS(I:I, I4754)) &gt; 1, "DUPLICATE", "UNIQUE")</f>
        <v>UNIQUE</v>
      </c>
      <c r="L4754" s="18">
        <v>98</v>
      </c>
      <c r="M4754" s="28">
        <v>7972</v>
      </c>
      <c r="N4754" s="6">
        <v>31</v>
      </c>
      <c r="O4754" s="30">
        <f t="shared" si="448"/>
        <v>781256</v>
      </c>
      <c r="P4754" s="30">
        <f t="shared" si="449"/>
        <v>247132</v>
      </c>
      <c r="Q4754" s="1">
        <f>COUNTIFS($P:$P, "&gt;" &amp; $P4754) + 1</f>
        <v>249</v>
      </c>
      <c r="R4754" s="63">
        <f>(COUNTIFS($P:$P, "&gt;" &amp; $P4754) + 1) / (COUNTA($I:$I) - 1)</f>
        <v>4.9799999999999997E-2</v>
      </c>
      <c r="S4754" s="23">
        <f>SUMIFS($P:$P, $Q:$Q, "&lt;" &amp; $Q4754)</f>
        <v>118434593</v>
      </c>
    </row>
    <row r="4755" spans="1:19" x14ac:dyDescent="0.25">
      <c r="A4755" s="1">
        <v>4750</v>
      </c>
      <c r="B4755" s="1" t="s">
        <v>4</v>
      </c>
      <c r="C4755" s="1" t="str">
        <f>IF($B4755 = "Production Item", _xlfn.XLOOKUP($A4755, 'Instrument Table'!$J:$J, 'Instrument Table'!$B:$B, $C4754), IF($B4755 = "Service Item", _xlfn.XLOOKUP($A4755, 'Instrument Table'!$I:$I, 'Instrument Table'!$B:$B, $C4754), _xlfn.XLOOKUP($A4755, 'Instrument Table'!$H:$H, 'Instrument Table'!$B:$B, $C4754)))</f>
        <v>Snare Drum</v>
      </c>
      <c r="D4755" s="1" t="str">
        <f>VLOOKUP($C4755, 'Instrument Table'!$B:$C, 2, FALSE)</f>
        <v>Percussion</v>
      </c>
      <c r="E4755" s="1">
        <f t="shared" si="444"/>
        <v>3</v>
      </c>
      <c r="F4755" s="1">
        <f>_xlfn.XLOOKUP($C4755, 'Instrument Table'!$B:$B, 'Instrument Table'!$A:$A, "")</f>
        <v>50</v>
      </c>
      <c r="G4755" s="1" t="str">
        <f>TEXT(IF($B4755 = "Retail Item", IF((ROW($A4755) - 4504 - _xlfn.XMATCH($C4755, $C$4506:$C$5005, 0, 1)) &lt;= VLOOKUP($C4755, 'Instrument Table'!$B:$D, 3, FALSE), ROW($A4755) - 4504 - _xlfn.XMATCH($C4755, $C$4506:$C$5005, 0, 1), 0), 0), "00")</f>
        <v>00</v>
      </c>
      <c r="H4755" s="1" t="str">
        <f t="shared" si="445"/>
        <v>005</v>
      </c>
      <c r="I4755" s="1" t="str">
        <f t="shared" si="446"/>
        <v>35000-005</v>
      </c>
      <c r="J4755" s="1" t="str">
        <f t="shared" si="447"/>
        <v>Snare drum retail item #005</v>
      </c>
      <c r="K4755" s="1" t="str">
        <f>IF(SUM(COUNTIFS(I:I, I4755)) &gt; 1, "DUPLICATE", "UNIQUE")</f>
        <v>UNIQUE</v>
      </c>
      <c r="L4755" s="18">
        <v>36</v>
      </c>
      <c r="M4755" s="28">
        <v>8242</v>
      </c>
      <c r="N4755" s="6">
        <v>69</v>
      </c>
      <c r="O4755" s="30">
        <f t="shared" si="448"/>
        <v>296712</v>
      </c>
      <c r="P4755" s="30">
        <f t="shared" si="449"/>
        <v>568698</v>
      </c>
      <c r="Q4755" s="1">
        <f>COUNTIFS($P:$P, "&gt;" &amp; $P4755) + 1</f>
        <v>73</v>
      </c>
      <c r="R4755" s="63">
        <f>(COUNTIFS($P:$P, "&gt;" &amp; $P4755) + 1) / (COUNTA($I:$I) - 1)</f>
        <v>1.46E-2</v>
      </c>
      <c r="S4755" s="23">
        <f>SUMIFS($P:$P, $Q:$Q, "&lt;" &amp; $Q4755)</f>
        <v>51863064</v>
      </c>
    </row>
    <row r="4756" spans="1:19" x14ac:dyDescent="0.25">
      <c r="A4756" s="1">
        <v>4751</v>
      </c>
      <c r="B4756" s="1" t="s">
        <v>4</v>
      </c>
      <c r="C4756" s="1" t="str">
        <f>IF($B4756 = "Production Item", _xlfn.XLOOKUP($A4756, 'Instrument Table'!$J:$J, 'Instrument Table'!$B:$B, $C4755), IF($B4756 = "Service Item", _xlfn.XLOOKUP($A4756, 'Instrument Table'!$I:$I, 'Instrument Table'!$B:$B, $C4755), _xlfn.XLOOKUP($A4756, 'Instrument Table'!$H:$H, 'Instrument Table'!$B:$B, $C4755)))</f>
        <v>Snare Drum</v>
      </c>
      <c r="D4756" s="1" t="str">
        <f>VLOOKUP($C4756, 'Instrument Table'!$B:$C, 2, FALSE)</f>
        <v>Percussion</v>
      </c>
      <c r="E4756" s="1">
        <f t="shared" si="444"/>
        <v>3</v>
      </c>
      <c r="F4756" s="1">
        <f>_xlfn.XLOOKUP($C4756, 'Instrument Table'!$B:$B, 'Instrument Table'!$A:$A, "")</f>
        <v>50</v>
      </c>
      <c r="G4756" s="1" t="str">
        <f>TEXT(IF($B4756 = "Retail Item", IF((ROW($A4756) - 4504 - _xlfn.XMATCH($C4756, $C$4506:$C$5005, 0, 1)) &lt;= VLOOKUP($C4756, 'Instrument Table'!$B:$D, 3, FALSE), ROW($A4756) - 4504 - _xlfn.XMATCH($C4756, $C$4506:$C$5005, 0, 1), 0), 0), "00")</f>
        <v>00</v>
      </c>
      <c r="H4756" s="1" t="str">
        <f t="shared" si="445"/>
        <v>006</v>
      </c>
      <c r="I4756" s="1" t="str">
        <f t="shared" si="446"/>
        <v>35000-006</v>
      </c>
      <c r="J4756" s="1" t="str">
        <f t="shared" si="447"/>
        <v>Snare drum retail item #006</v>
      </c>
      <c r="K4756" s="1" t="str">
        <f>IF(SUM(COUNTIFS(I:I, I4756)) &gt; 1, "DUPLICATE", "UNIQUE")</f>
        <v>UNIQUE</v>
      </c>
      <c r="L4756" s="18">
        <v>35</v>
      </c>
      <c r="M4756" s="28">
        <v>9515</v>
      </c>
      <c r="N4756" s="6">
        <v>56</v>
      </c>
      <c r="O4756" s="30">
        <f t="shared" si="448"/>
        <v>333025</v>
      </c>
      <c r="P4756" s="30">
        <f t="shared" si="449"/>
        <v>532840</v>
      </c>
      <c r="Q4756" s="1">
        <f>COUNTIFS($P:$P, "&gt;" &amp; $P4756) + 1</f>
        <v>83</v>
      </c>
      <c r="R4756" s="63">
        <f>(COUNTIFS($P:$P, "&gt;" &amp; $P4756) + 1) / (COUNTA($I:$I) - 1)</f>
        <v>1.66E-2</v>
      </c>
      <c r="S4756" s="23">
        <f>SUMIFS($P:$P, $Q:$Q, "&lt;" &amp; $Q4756)</f>
        <v>57398129</v>
      </c>
    </row>
    <row r="4757" spans="1:19" x14ac:dyDescent="0.25">
      <c r="A4757" s="1">
        <v>4752</v>
      </c>
      <c r="B4757" s="1" t="s">
        <v>4</v>
      </c>
      <c r="C4757" s="1" t="str">
        <f>IF($B4757 = "Production Item", _xlfn.XLOOKUP($A4757, 'Instrument Table'!$J:$J, 'Instrument Table'!$B:$B, $C4756), IF($B4757 = "Service Item", _xlfn.XLOOKUP($A4757, 'Instrument Table'!$I:$I, 'Instrument Table'!$B:$B, $C4756), _xlfn.XLOOKUP($A4757, 'Instrument Table'!$H:$H, 'Instrument Table'!$B:$B, $C4756)))</f>
        <v>Snare Drum</v>
      </c>
      <c r="D4757" s="1" t="str">
        <f>VLOOKUP($C4757, 'Instrument Table'!$B:$C, 2, FALSE)</f>
        <v>Percussion</v>
      </c>
      <c r="E4757" s="1">
        <f t="shared" si="444"/>
        <v>3</v>
      </c>
      <c r="F4757" s="1">
        <f>_xlfn.XLOOKUP($C4757, 'Instrument Table'!$B:$B, 'Instrument Table'!$A:$A, "")</f>
        <v>50</v>
      </c>
      <c r="G4757" s="1" t="str">
        <f>TEXT(IF($B4757 = "Retail Item", IF((ROW($A4757) - 4504 - _xlfn.XMATCH($C4757, $C$4506:$C$5005, 0, 1)) &lt;= VLOOKUP($C4757, 'Instrument Table'!$B:$D, 3, FALSE), ROW($A4757) - 4504 - _xlfn.XMATCH($C4757, $C$4506:$C$5005, 0, 1), 0), 0), "00")</f>
        <v>00</v>
      </c>
      <c r="H4757" s="1" t="str">
        <f t="shared" si="445"/>
        <v>007</v>
      </c>
      <c r="I4757" s="1" t="str">
        <f t="shared" si="446"/>
        <v>35000-007</v>
      </c>
      <c r="J4757" s="1" t="str">
        <f t="shared" si="447"/>
        <v>Snare drum retail item #007</v>
      </c>
      <c r="K4757" s="1" t="str">
        <f>IF(SUM(COUNTIFS(I:I, I4757)) &gt; 1, "DUPLICATE", "UNIQUE")</f>
        <v>UNIQUE</v>
      </c>
      <c r="L4757" s="18">
        <v>43</v>
      </c>
      <c r="M4757" s="28">
        <v>7692</v>
      </c>
      <c r="N4757" s="6">
        <v>75</v>
      </c>
      <c r="O4757" s="30">
        <f t="shared" si="448"/>
        <v>330756</v>
      </c>
      <c r="P4757" s="30">
        <f t="shared" si="449"/>
        <v>576900</v>
      </c>
      <c r="Q4757" s="1">
        <f>COUNTIFS($P:$P, "&gt;" &amp; $P4757) + 1</f>
        <v>68</v>
      </c>
      <c r="R4757" s="63">
        <f>(COUNTIFS($P:$P, "&gt;" &amp; $P4757) + 1) / (COUNTA($I:$I) - 1)</f>
        <v>1.3599999999999999E-2</v>
      </c>
      <c r="S4757" s="23">
        <f>SUMIFS($P:$P, $Q:$Q, "&lt;" &amp; $Q4757)</f>
        <v>48991426</v>
      </c>
    </row>
    <row r="4758" spans="1:19" x14ac:dyDescent="0.25">
      <c r="A4758" s="1">
        <v>4753</v>
      </c>
      <c r="B4758" s="1" t="s">
        <v>4</v>
      </c>
      <c r="C4758" s="1" t="str">
        <f>IF($B4758 = "Production Item", _xlfn.XLOOKUP($A4758, 'Instrument Table'!$J:$J, 'Instrument Table'!$B:$B, $C4757), IF($B4758 = "Service Item", _xlfn.XLOOKUP($A4758, 'Instrument Table'!$I:$I, 'Instrument Table'!$B:$B, $C4757), _xlfn.XLOOKUP($A4758, 'Instrument Table'!$H:$H, 'Instrument Table'!$B:$B, $C4757)))</f>
        <v>Snare Drum</v>
      </c>
      <c r="D4758" s="1" t="str">
        <f>VLOOKUP($C4758, 'Instrument Table'!$B:$C, 2, FALSE)</f>
        <v>Percussion</v>
      </c>
      <c r="E4758" s="1">
        <f t="shared" si="444"/>
        <v>3</v>
      </c>
      <c r="F4758" s="1">
        <f>_xlfn.XLOOKUP($C4758, 'Instrument Table'!$B:$B, 'Instrument Table'!$A:$A, "")</f>
        <v>50</v>
      </c>
      <c r="G4758" s="1" t="str">
        <f>TEXT(IF($B4758 = "Retail Item", IF((ROW($A4758) - 4504 - _xlfn.XMATCH($C4758, $C$4506:$C$5005, 0, 1)) &lt;= VLOOKUP($C4758, 'Instrument Table'!$B:$D, 3, FALSE), ROW($A4758) - 4504 - _xlfn.XMATCH($C4758, $C$4506:$C$5005, 0, 1), 0), 0), "00")</f>
        <v>00</v>
      </c>
      <c r="H4758" s="1" t="str">
        <f t="shared" si="445"/>
        <v>008</v>
      </c>
      <c r="I4758" s="1" t="str">
        <f t="shared" si="446"/>
        <v>35000-008</v>
      </c>
      <c r="J4758" s="1" t="str">
        <f t="shared" si="447"/>
        <v>Snare drum retail item #008</v>
      </c>
      <c r="K4758" s="1" t="str">
        <f>IF(SUM(COUNTIFS(I:I, I4758)) &gt; 1, "DUPLICATE", "UNIQUE")</f>
        <v>UNIQUE</v>
      </c>
      <c r="L4758" s="18">
        <v>30</v>
      </c>
      <c r="M4758" s="28">
        <v>4521</v>
      </c>
      <c r="N4758" s="6">
        <v>51</v>
      </c>
      <c r="O4758" s="30">
        <f t="shared" si="448"/>
        <v>135630</v>
      </c>
      <c r="P4758" s="30">
        <f t="shared" si="449"/>
        <v>230571</v>
      </c>
      <c r="Q4758" s="1">
        <f>COUNTIFS($P:$P, "&gt;" &amp; $P4758) + 1</f>
        <v>261</v>
      </c>
      <c r="R4758" s="63">
        <f>(COUNTIFS($P:$P, "&gt;" &amp; $P4758) + 1) / (COUNTA($I:$I) - 1)</f>
        <v>5.2200000000000003E-2</v>
      </c>
      <c r="S4758" s="23">
        <f>SUMIFS($P:$P, $Q:$Q, "&lt;" &amp; $Q4758)</f>
        <v>121306501</v>
      </c>
    </row>
    <row r="4759" spans="1:19" x14ac:dyDescent="0.25">
      <c r="A4759" s="1">
        <v>4754</v>
      </c>
      <c r="B4759" s="1" t="s">
        <v>4</v>
      </c>
      <c r="C4759" s="1" t="str">
        <f>IF($B4759 = "Production Item", _xlfn.XLOOKUP($A4759, 'Instrument Table'!$J:$J, 'Instrument Table'!$B:$B, $C4758), IF($B4759 = "Service Item", _xlfn.XLOOKUP($A4759, 'Instrument Table'!$I:$I, 'Instrument Table'!$B:$B, $C4758), _xlfn.XLOOKUP($A4759, 'Instrument Table'!$H:$H, 'Instrument Table'!$B:$B, $C4758)))</f>
        <v>Snare Drum</v>
      </c>
      <c r="D4759" s="1" t="str">
        <f>VLOOKUP($C4759, 'Instrument Table'!$B:$C, 2, FALSE)</f>
        <v>Percussion</v>
      </c>
      <c r="E4759" s="1">
        <f t="shared" si="444"/>
        <v>3</v>
      </c>
      <c r="F4759" s="1">
        <f>_xlfn.XLOOKUP($C4759, 'Instrument Table'!$B:$B, 'Instrument Table'!$A:$A, "")</f>
        <v>50</v>
      </c>
      <c r="G4759" s="1" t="str">
        <f>TEXT(IF($B4759 = "Retail Item", IF((ROW($A4759) - 4504 - _xlfn.XMATCH($C4759, $C$4506:$C$5005, 0, 1)) &lt;= VLOOKUP($C4759, 'Instrument Table'!$B:$D, 3, FALSE), ROW($A4759) - 4504 - _xlfn.XMATCH($C4759, $C$4506:$C$5005, 0, 1), 0), 0), "00")</f>
        <v>00</v>
      </c>
      <c r="H4759" s="1" t="str">
        <f t="shared" si="445"/>
        <v>009</v>
      </c>
      <c r="I4759" s="1" t="str">
        <f t="shared" si="446"/>
        <v>35000-009</v>
      </c>
      <c r="J4759" s="1" t="str">
        <f t="shared" si="447"/>
        <v>Snare drum retail item #009</v>
      </c>
      <c r="K4759" s="1" t="str">
        <f>IF(SUM(COUNTIFS(I:I, I4759)) &gt; 1, "DUPLICATE", "UNIQUE")</f>
        <v>UNIQUE</v>
      </c>
      <c r="L4759" s="18">
        <v>70</v>
      </c>
      <c r="M4759" s="28">
        <v>2815</v>
      </c>
      <c r="N4759" s="6">
        <v>47</v>
      </c>
      <c r="O4759" s="30">
        <f t="shared" si="448"/>
        <v>197050</v>
      </c>
      <c r="P4759" s="30">
        <f t="shared" si="449"/>
        <v>132305</v>
      </c>
      <c r="Q4759" s="1">
        <f>COUNTIFS($P:$P, "&gt;" &amp; $P4759) + 1</f>
        <v>352</v>
      </c>
      <c r="R4759" s="63">
        <f>(COUNTIFS($P:$P, "&gt;" &amp; $P4759) + 1) / (COUNTA($I:$I) - 1)</f>
        <v>7.0400000000000004E-2</v>
      </c>
      <c r="S4759" s="23">
        <f>SUMIFS($P:$P, $Q:$Q, "&lt;" &amp; $Q4759)</f>
        <v>137730986</v>
      </c>
    </row>
    <row r="4760" spans="1:19" x14ac:dyDescent="0.25">
      <c r="A4760" s="1">
        <v>4755</v>
      </c>
      <c r="B4760" s="1" t="s">
        <v>4</v>
      </c>
      <c r="C4760" s="1" t="str">
        <f>IF($B4760 = "Production Item", _xlfn.XLOOKUP($A4760, 'Instrument Table'!$J:$J, 'Instrument Table'!$B:$B, $C4759), IF($B4760 = "Service Item", _xlfn.XLOOKUP($A4760, 'Instrument Table'!$I:$I, 'Instrument Table'!$B:$B, $C4759), _xlfn.XLOOKUP($A4760, 'Instrument Table'!$H:$H, 'Instrument Table'!$B:$B, $C4759)))</f>
        <v>Timpani</v>
      </c>
      <c r="D4760" s="1" t="str">
        <f>VLOOKUP($C4760, 'Instrument Table'!$B:$C, 2, FALSE)</f>
        <v>Percussion</v>
      </c>
      <c r="E4760" s="1">
        <f t="shared" si="444"/>
        <v>3</v>
      </c>
      <c r="F4760" s="1">
        <f>_xlfn.XLOOKUP($C4760, 'Instrument Table'!$B:$B, 'Instrument Table'!$A:$A, "")</f>
        <v>51</v>
      </c>
      <c r="G4760" s="1" t="str">
        <f>TEXT(IF($B4760 = "Retail Item", IF((ROW($A4760) - 4504 - _xlfn.XMATCH($C4760, $C$4506:$C$5005, 0, 1)) &lt;= VLOOKUP($C4760, 'Instrument Table'!$B:$D, 3, FALSE), ROW($A4760) - 4504 - _xlfn.XMATCH($C4760, $C$4506:$C$5005, 0, 1), 0), 0), "00")</f>
        <v>01</v>
      </c>
      <c r="H4760" s="1" t="str">
        <f t="shared" si="445"/>
        <v>000</v>
      </c>
      <c r="I4760" s="1" t="str">
        <f t="shared" si="446"/>
        <v>35101-000</v>
      </c>
      <c r="J4760" s="1" t="str">
        <f t="shared" si="447"/>
        <v>Timpani model #01</v>
      </c>
      <c r="K4760" s="1" t="str">
        <f>IF(SUM(COUNTIFS(I:I, I4760)) &gt; 1, "DUPLICATE", "UNIQUE")</f>
        <v>UNIQUE</v>
      </c>
      <c r="L4760" s="18">
        <v>85</v>
      </c>
      <c r="M4760" s="28">
        <v>3189</v>
      </c>
      <c r="N4760" s="6">
        <v>55</v>
      </c>
      <c r="O4760" s="30">
        <f t="shared" si="448"/>
        <v>271065</v>
      </c>
      <c r="P4760" s="30">
        <f t="shared" si="449"/>
        <v>175395</v>
      </c>
      <c r="Q4760" s="1">
        <f>COUNTIFS($P:$P, "&gt;" &amp; $P4760) + 1</f>
        <v>308</v>
      </c>
      <c r="R4760" s="63">
        <f>(COUNTIFS($P:$P, "&gt;" &amp; $P4760) + 1) / (COUNTA($I:$I) - 1)</f>
        <v>6.1600000000000002E-2</v>
      </c>
      <c r="S4760" s="23">
        <f>SUMIFS($P:$P, $Q:$Q, "&lt;" &amp; $Q4760)</f>
        <v>130970851</v>
      </c>
    </row>
    <row r="4761" spans="1:19" x14ac:dyDescent="0.25">
      <c r="A4761" s="1">
        <v>4756</v>
      </c>
      <c r="B4761" s="1" t="s">
        <v>4</v>
      </c>
      <c r="C4761" s="1" t="str">
        <f>IF($B4761 = "Production Item", _xlfn.XLOOKUP($A4761, 'Instrument Table'!$J:$J, 'Instrument Table'!$B:$B, $C4760), IF($B4761 = "Service Item", _xlfn.XLOOKUP($A4761, 'Instrument Table'!$I:$I, 'Instrument Table'!$B:$B, $C4760), _xlfn.XLOOKUP($A4761, 'Instrument Table'!$H:$H, 'Instrument Table'!$B:$B, $C4760)))</f>
        <v>Timpani</v>
      </c>
      <c r="D4761" s="1" t="str">
        <f>VLOOKUP($C4761, 'Instrument Table'!$B:$C, 2, FALSE)</f>
        <v>Percussion</v>
      </c>
      <c r="E4761" s="1">
        <f t="shared" si="444"/>
        <v>3</v>
      </c>
      <c r="F4761" s="1">
        <f>_xlfn.XLOOKUP($C4761, 'Instrument Table'!$B:$B, 'Instrument Table'!$A:$A, "")</f>
        <v>51</v>
      </c>
      <c r="G4761" s="1" t="str">
        <f>TEXT(IF($B4761 = "Retail Item", IF((ROW($A4761) - 4504 - _xlfn.XMATCH($C4761, $C$4506:$C$5005, 0, 1)) &lt;= VLOOKUP($C4761, 'Instrument Table'!$B:$D, 3, FALSE), ROW($A4761) - 4504 - _xlfn.XMATCH($C4761, $C$4506:$C$5005, 0, 1), 0), 0), "00")</f>
        <v>02</v>
      </c>
      <c r="H4761" s="1" t="str">
        <f t="shared" si="445"/>
        <v>000</v>
      </c>
      <c r="I4761" s="1" t="str">
        <f t="shared" si="446"/>
        <v>35102-000</v>
      </c>
      <c r="J4761" s="1" t="str">
        <f t="shared" si="447"/>
        <v>Timpani model #02</v>
      </c>
      <c r="K4761" s="1" t="str">
        <f>IF(SUM(COUNTIFS(I:I, I4761)) &gt; 1, "DUPLICATE", "UNIQUE")</f>
        <v>UNIQUE</v>
      </c>
      <c r="L4761" s="18">
        <v>92</v>
      </c>
      <c r="M4761" s="28">
        <v>3176</v>
      </c>
      <c r="N4761" s="6">
        <v>60</v>
      </c>
      <c r="O4761" s="30">
        <f t="shared" si="448"/>
        <v>292192</v>
      </c>
      <c r="P4761" s="30">
        <f t="shared" si="449"/>
        <v>190560</v>
      </c>
      <c r="Q4761" s="1">
        <f>COUNTIFS($P:$P, "&gt;" &amp; $P4761) + 1</f>
        <v>296</v>
      </c>
      <c r="R4761" s="63">
        <f>(COUNTIFS($P:$P, "&gt;" &amp; $P4761) + 1) / (COUNTA($I:$I) - 1)</f>
        <v>5.9200000000000003E-2</v>
      </c>
      <c r="S4761" s="23">
        <f>SUMIFS($P:$P, $Q:$Q, "&lt;" &amp; $Q4761)</f>
        <v>128782979</v>
      </c>
    </row>
    <row r="4762" spans="1:19" x14ac:dyDescent="0.25">
      <c r="A4762" s="1">
        <v>4757</v>
      </c>
      <c r="B4762" s="1" t="s">
        <v>4</v>
      </c>
      <c r="C4762" s="1" t="str">
        <f>IF($B4762 = "Production Item", _xlfn.XLOOKUP($A4762, 'Instrument Table'!$J:$J, 'Instrument Table'!$B:$B, $C4761), IF($B4762 = "Service Item", _xlfn.XLOOKUP($A4762, 'Instrument Table'!$I:$I, 'Instrument Table'!$B:$B, $C4761), _xlfn.XLOOKUP($A4762, 'Instrument Table'!$H:$H, 'Instrument Table'!$B:$B, $C4761)))</f>
        <v>Timpani</v>
      </c>
      <c r="D4762" s="1" t="str">
        <f>VLOOKUP($C4762, 'Instrument Table'!$B:$C, 2, FALSE)</f>
        <v>Percussion</v>
      </c>
      <c r="E4762" s="1">
        <f t="shared" si="444"/>
        <v>3</v>
      </c>
      <c r="F4762" s="1">
        <f>_xlfn.XLOOKUP($C4762, 'Instrument Table'!$B:$B, 'Instrument Table'!$A:$A, "")</f>
        <v>51</v>
      </c>
      <c r="G4762" s="1" t="str">
        <f>TEXT(IF($B4762 = "Retail Item", IF((ROW($A4762) - 4504 - _xlfn.XMATCH($C4762, $C$4506:$C$5005, 0, 1)) &lt;= VLOOKUP($C4762, 'Instrument Table'!$B:$D, 3, FALSE), ROW($A4762) - 4504 - _xlfn.XMATCH($C4762, $C$4506:$C$5005, 0, 1), 0), 0), "00")</f>
        <v>00</v>
      </c>
      <c r="H4762" s="1" t="str">
        <f t="shared" si="445"/>
        <v>000</v>
      </c>
      <c r="I4762" s="1" t="str">
        <f t="shared" si="446"/>
        <v>35100-000</v>
      </c>
      <c r="J4762" s="1" t="str">
        <f t="shared" si="447"/>
        <v>Timpani retail item #000</v>
      </c>
      <c r="K4762" s="1" t="str">
        <f>IF(SUM(COUNTIFS(I:I, I4762)) &gt; 1, "DUPLICATE", "UNIQUE")</f>
        <v>UNIQUE</v>
      </c>
      <c r="L4762" s="18">
        <v>91</v>
      </c>
      <c r="M4762" s="28">
        <v>6189</v>
      </c>
      <c r="N4762" s="6">
        <v>27</v>
      </c>
      <c r="O4762" s="30">
        <f t="shared" si="448"/>
        <v>563199</v>
      </c>
      <c r="P4762" s="30">
        <f t="shared" si="449"/>
        <v>167103</v>
      </c>
      <c r="Q4762" s="1">
        <f>COUNTIFS($P:$P, "&gt;" &amp; $P4762) + 1</f>
        <v>313</v>
      </c>
      <c r="R4762" s="63">
        <f>(COUNTIFS($P:$P, "&gt;" &amp; $P4762) + 1) / (COUNTA($I:$I) - 1)</f>
        <v>6.2600000000000003E-2</v>
      </c>
      <c r="S4762" s="23">
        <f>SUMIFS($P:$P, $Q:$Q, "&lt;" &amp; $Q4762)</f>
        <v>131834749</v>
      </c>
    </row>
    <row r="4763" spans="1:19" x14ac:dyDescent="0.25">
      <c r="A4763" s="1">
        <v>4758</v>
      </c>
      <c r="B4763" s="1" t="s">
        <v>4</v>
      </c>
      <c r="C4763" s="1" t="str">
        <f>IF($B4763 = "Production Item", _xlfn.XLOOKUP($A4763, 'Instrument Table'!$J:$J, 'Instrument Table'!$B:$B, $C4762), IF($B4763 = "Service Item", _xlfn.XLOOKUP($A4763, 'Instrument Table'!$I:$I, 'Instrument Table'!$B:$B, $C4762), _xlfn.XLOOKUP($A4763, 'Instrument Table'!$H:$H, 'Instrument Table'!$B:$B, $C4762)))</f>
        <v>Timpani</v>
      </c>
      <c r="D4763" s="1" t="str">
        <f>VLOOKUP($C4763, 'Instrument Table'!$B:$C, 2, FALSE)</f>
        <v>Percussion</v>
      </c>
      <c r="E4763" s="1">
        <f t="shared" si="444"/>
        <v>3</v>
      </c>
      <c r="F4763" s="1">
        <f>_xlfn.XLOOKUP($C4763, 'Instrument Table'!$B:$B, 'Instrument Table'!$A:$A, "")</f>
        <v>51</v>
      </c>
      <c r="G4763" s="1" t="str">
        <f>TEXT(IF($B4763 = "Retail Item", IF((ROW($A4763) - 4504 - _xlfn.XMATCH($C4763, $C$4506:$C$5005, 0, 1)) &lt;= VLOOKUP($C4763, 'Instrument Table'!$B:$D, 3, FALSE), ROW($A4763) - 4504 - _xlfn.XMATCH($C4763, $C$4506:$C$5005, 0, 1), 0), 0), "00")</f>
        <v>00</v>
      </c>
      <c r="H4763" s="1" t="str">
        <f t="shared" si="445"/>
        <v>001</v>
      </c>
      <c r="I4763" s="1" t="str">
        <f t="shared" si="446"/>
        <v>35100-001</v>
      </c>
      <c r="J4763" s="1" t="str">
        <f t="shared" si="447"/>
        <v>Timpani retail item #001</v>
      </c>
      <c r="K4763" s="1" t="str">
        <f>IF(SUM(COUNTIFS(I:I, I4763)) &gt; 1, "DUPLICATE", "UNIQUE")</f>
        <v>UNIQUE</v>
      </c>
      <c r="L4763" s="18">
        <v>27</v>
      </c>
      <c r="M4763" s="28">
        <v>3463</v>
      </c>
      <c r="N4763" s="6">
        <v>30</v>
      </c>
      <c r="O4763" s="30">
        <f t="shared" si="448"/>
        <v>93501</v>
      </c>
      <c r="P4763" s="30">
        <f t="shared" si="449"/>
        <v>103890</v>
      </c>
      <c r="Q4763" s="1">
        <f>COUNTIFS($P:$P, "&gt;" &amp; $P4763) + 1</f>
        <v>399</v>
      </c>
      <c r="R4763" s="63">
        <f>(COUNTIFS($P:$P, "&gt;" &amp; $P4763) + 1) / (COUNTA($I:$I) - 1)</f>
        <v>7.9799999999999996E-2</v>
      </c>
      <c r="S4763" s="23">
        <f>SUMIFS($P:$P, $Q:$Q, "&lt;" &amp; $Q4763)</f>
        <v>143338188</v>
      </c>
    </row>
    <row r="4764" spans="1:19" x14ac:dyDescent="0.25">
      <c r="A4764" s="1">
        <v>4759</v>
      </c>
      <c r="B4764" s="1" t="s">
        <v>4</v>
      </c>
      <c r="C4764" s="1" t="str">
        <f>IF($B4764 = "Production Item", _xlfn.XLOOKUP($A4764, 'Instrument Table'!$J:$J, 'Instrument Table'!$B:$B, $C4763), IF($B4764 = "Service Item", _xlfn.XLOOKUP($A4764, 'Instrument Table'!$I:$I, 'Instrument Table'!$B:$B, $C4763), _xlfn.XLOOKUP($A4764, 'Instrument Table'!$H:$H, 'Instrument Table'!$B:$B, $C4763)))</f>
        <v>Timpani</v>
      </c>
      <c r="D4764" s="1" t="str">
        <f>VLOOKUP($C4764, 'Instrument Table'!$B:$C, 2, FALSE)</f>
        <v>Percussion</v>
      </c>
      <c r="E4764" s="1">
        <f t="shared" si="444"/>
        <v>3</v>
      </c>
      <c r="F4764" s="1">
        <f>_xlfn.XLOOKUP($C4764, 'Instrument Table'!$B:$B, 'Instrument Table'!$A:$A, "")</f>
        <v>51</v>
      </c>
      <c r="G4764" s="1" t="str">
        <f>TEXT(IF($B4764 = "Retail Item", IF((ROW($A4764) - 4504 - _xlfn.XMATCH($C4764, $C$4506:$C$5005, 0, 1)) &lt;= VLOOKUP($C4764, 'Instrument Table'!$B:$D, 3, FALSE), ROW($A4764) - 4504 - _xlfn.XMATCH($C4764, $C$4506:$C$5005, 0, 1), 0), 0), "00")</f>
        <v>00</v>
      </c>
      <c r="H4764" s="1" t="str">
        <f t="shared" si="445"/>
        <v>002</v>
      </c>
      <c r="I4764" s="1" t="str">
        <f t="shared" si="446"/>
        <v>35100-002</v>
      </c>
      <c r="J4764" s="1" t="str">
        <f t="shared" si="447"/>
        <v>Timpani retail item #002</v>
      </c>
      <c r="K4764" s="1" t="str">
        <f>IF(SUM(COUNTIFS(I:I, I4764)) &gt; 1, "DUPLICATE", "UNIQUE")</f>
        <v>UNIQUE</v>
      </c>
      <c r="L4764" s="18">
        <v>70</v>
      </c>
      <c r="M4764" s="28">
        <v>3612</v>
      </c>
      <c r="N4764" s="6">
        <v>24</v>
      </c>
      <c r="O4764" s="30">
        <f t="shared" si="448"/>
        <v>252840</v>
      </c>
      <c r="P4764" s="30">
        <f t="shared" si="449"/>
        <v>86688</v>
      </c>
      <c r="Q4764" s="1">
        <f>COUNTIFS($P:$P, "&gt;" &amp; $P4764) + 1</f>
        <v>434</v>
      </c>
      <c r="R4764" s="63">
        <f>(COUNTIFS($P:$P, "&gt;" &amp; $P4764) + 1) / (COUNTA($I:$I) - 1)</f>
        <v>8.6800000000000002E-2</v>
      </c>
      <c r="S4764" s="23">
        <f>SUMIFS($P:$P, $Q:$Q, "&lt;" &amp; $Q4764)</f>
        <v>146692980</v>
      </c>
    </row>
    <row r="4765" spans="1:19" x14ac:dyDescent="0.25">
      <c r="A4765" s="1">
        <v>4760</v>
      </c>
      <c r="B4765" s="1" t="s">
        <v>4</v>
      </c>
      <c r="C4765" s="1" t="str">
        <f>IF($B4765 = "Production Item", _xlfn.XLOOKUP($A4765, 'Instrument Table'!$J:$J, 'Instrument Table'!$B:$B, $C4764), IF($B4765 = "Service Item", _xlfn.XLOOKUP($A4765, 'Instrument Table'!$I:$I, 'Instrument Table'!$B:$B, $C4764), _xlfn.XLOOKUP($A4765, 'Instrument Table'!$H:$H, 'Instrument Table'!$B:$B, $C4764)))</f>
        <v>Timpani</v>
      </c>
      <c r="D4765" s="1" t="str">
        <f>VLOOKUP($C4765, 'Instrument Table'!$B:$C, 2, FALSE)</f>
        <v>Percussion</v>
      </c>
      <c r="E4765" s="1">
        <f t="shared" si="444"/>
        <v>3</v>
      </c>
      <c r="F4765" s="1">
        <f>_xlfn.XLOOKUP($C4765, 'Instrument Table'!$B:$B, 'Instrument Table'!$A:$A, "")</f>
        <v>51</v>
      </c>
      <c r="G4765" s="1" t="str">
        <f>TEXT(IF($B4765 = "Retail Item", IF((ROW($A4765) - 4504 - _xlfn.XMATCH($C4765, $C$4506:$C$5005, 0, 1)) &lt;= VLOOKUP($C4765, 'Instrument Table'!$B:$D, 3, FALSE), ROW($A4765) - 4504 - _xlfn.XMATCH($C4765, $C$4506:$C$5005, 0, 1), 0), 0), "00")</f>
        <v>00</v>
      </c>
      <c r="H4765" s="1" t="str">
        <f t="shared" si="445"/>
        <v>003</v>
      </c>
      <c r="I4765" s="1" t="str">
        <f t="shared" si="446"/>
        <v>35100-003</v>
      </c>
      <c r="J4765" s="1" t="str">
        <f t="shared" si="447"/>
        <v>Timpani retail item #003</v>
      </c>
      <c r="K4765" s="1" t="str">
        <f>IF(SUM(COUNTIFS(I:I, I4765)) &gt; 1, "DUPLICATE", "UNIQUE")</f>
        <v>UNIQUE</v>
      </c>
      <c r="L4765" s="18">
        <v>48</v>
      </c>
      <c r="M4765" s="28">
        <v>5398</v>
      </c>
      <c r="N4765" s="6">
        <v>59</v>
      </c>
      <c r="O4765" s="30">
        <f t="shared" si="448"/>
        <v>259104</v>
      </c>
      <c r="P4765" s="30">
        <f t="shared" si="449"/>
        <v>318482</v>
      </c>
      <c r="Q4765" s="1">
        <f>COUNTIFS($P:$P, "&gt;" &amp; $P4765) + 1</f>
        <v>188</v>
      </c>
      <c r="R4765" s="63">
        <f>(COUNTIFS($P:$P, "&gt;" &amp; $P4765) + 1) / (COUNTA($I:$I) - 1)</f>
        <v>3.7600000000000001E-2</v>
      </c>
      <c r="S4765" s="23">
        <f>SUMIFS($P:$P, $Q:$Q, "&lt;" &amp; $Q4765)</f>
        <v>101191783</v>
      </c>
    </row>
    <row r="4766" spans="1:19" x14ac:dyDescent="0.25">
      <c r="A4766" s="1">
        <v>4761</v>
      </c>
      <c r="B4766" s="1" t="s">
        <v>4</v>
      </c>
      <c r="C4766" s="1" t="str">
        <f>IF($B4766 = "Production Item", _xlfn.XLOOKUP($A4766, 'Instrument Table'!$J:$J, 'Instrument Table'!$B:$B, $C4765), IF($B4766 = "Service Item", _xlfn.XLOOKUP($A4766, 'Instrument Table'!$I:$I, 'Instrument Table'!$B:$B, $C4765), _xlfn.XLOOKUP($A4766, 'Instrument Table'!$H:$H, 'Instrument Table'!$B:$B, $C4765)))</f>
        <v>Timpani</v>
      </c>
      <c r="D4766" s="1" t="str">
        <f>VLOOKUP($C4766, 'Instrument Table'!$B:$C, 2, FALSE)</f>
        <v>Percussion</v>
      </c>
      <c r="E4766" s="1">
        <f t="shared" si="444"/>
        <v>3</v>
      </c>
      <c r="F4766" s="1">
        <f>_xlfn.XLOOKUP($C4766, 'Instrument Table'!$B:$B, 'Instrument Table'!$A:$A, "")</f>
        <v>51</v>
      </c>
      <c r="G4766" s="1" t="str">
        <f>TEXT(IF($B4766 = "Retail Item", IF((ROW($A4766) - 4504 - _xlfn.XMATCH($C4766, $C$4506:$C$5005, 0, 1)) &lt;= VLOOKUP($C4766, 'Instrument Table'!$B:$D, 3, FALSE), ROW($A4766) - 4504 - _xlfn.XMATCH($C4766, $C$4506:$C$5005, 0, 1), 0), 0), "00")</f>
        <v>00</v>
      </c>
      <c r="H4766" s="1" t="str">
        <f t="shared" si="445"/>
        <v>004</v>
      </c>
      <c r="I4766" s="1" t="str">
        <f t="shared" si="446"/>
        <v>35100-004</v>
      </c>
      <c r="J4766" s="1" t="str">
        <f t="shared" si="447"/>
        <v>Timpani retail item #004</v>
      </c>
      <c r="K4766" s="1" t="str">
        <f>IF(SUM(COUNTIFS(I:I, I4766)) &gt; 1, "DUPLICATE", "UNIQUE")</f>
        <v>UNIQUE</v>
      </c>
      <c r="L4766" s="18">
        <v>12</v>
      </c>
      <c r="M4766" s="28">
        <v>9018</v>
      </c>
      <c r="N4766" s="6">
        <v>17</v>
      </c>
      <c r="O4766" s="30">
        <f t="shared" si="448"/>
        <v>108216</v>
      </c>
      <c r="P4766" s="30">
        <f t="shared" si="449"/>
        <v>153306</v>
      </c>
      <c r="Q4766" s="1">
        <f>COUNTIFS($P:$P, "&gt;" &amp; $P4766) + 1</f>
        <v>329</v>
      </c>
      <c r="R4766" s="63">
        <f>(COUNTIFS($P:$P, "&gt;" &amp; $P4766) + 1) / (COUNTA($I:$I) - 1)</f>
        <v>6.5799999999999997E-2</v>
      </c>
      <c r="S4766" s="23">
        <f>SUMIFS($P:$P, $Q:$Q, "&lt;" &amp; $Q4766)</f>
        <v>134408182</v>
      </c>
    </row>
    <row r="4767" spans="1:19" x14ac:dyDescent="0.25">
      <c r="A4767" s="1">
        <v>4762</v>
      </c>
      <c r="B4767" s="1" t="s">
        <v>4</v>
      </c>
      <c r="C4767" s="1" t="str">
        <f>IF($B4767 = "Production Item", _xlfn.XLOOKUP($A4767, 'Instrument Table'!$J:$J, 'Instrument Table'!$B:$B, $C4766), IF($B4767 = "Service Item", _xlfn.XLOOKUP($A4767, 'Instrument Table'!$I:$I, 'Instrument Table'!$B:$B, $C4766), _xlfn.XLOOKUP($A4767, 'Instrument Table'!$H:$H, 'Instrument Table'!$B:$B, $C4766)))</f>
        <v>Bass Drum</v>
      </c>
      <c r="D4767" s="1" t="str">
        <f>VLOOKUP($C4767, 'Instrument Table'!$B:$C, 2, FALSE)</f>
        <v>Percussion</v>
      </c>
      <c r="E4767" s="1">
        <f t="shared" si="444"/>
        <v>3</v>
      </c>
      <c r="F4767" s="1">
        <f>_xlfn.XLOOKUP($C4767, 'Instrument Table'!$B:$B, 'Instrument Table'!$A:$A, "")</f>
        <v>52</v>
      </c>
      <c r="G4767" s="1" t="str">
        <f>TEXT(IF($B4767 = "Retail Item", IF((ROW($A4767) - 4504 - _xlfn.XMATCH($C4767, $C$4506:$C$5005, 0, 1)) &lt;= VLOOKUP($C4767, 'Instrument Table'!$B:$D, 3, FALSE), ROW($A4767) - 4504 - _xlfn.XMATCH($C4767, $C$4506:$C$5005, 0, 1), 0), 0), "00")</f>
        <v>01</v>
      </c>
      <c r="H4767" s="1" t="str">
        <f t="shared" si="445"/>
        <v>000</v>
      </c>
      <c r="I4767" s="1" t="str">
        <f t="shared" si="446"/>
        <v>35201-000</v>
      </c>
      <c r="J4767" s="1" t="str">
        <f t="shared" si="447"/>
        <v>Bass drum model #01</v>
      </c>
      <c r="K4767" s="1" t="str">
        <f>IF(SUM(COUNTIFS(I:I, I4767)) &gt; 1, "DUPLICATE", "UNIQUE")</f>
        <v>UNIQUE</v>
      </c>
      <c r="L4767" s="18">
        <v>83</v>
      </c>
      <c r="M4767" s="28">
        <v>4997</v>
      </c>
      <c r="N4767" s="6">
        <v>36</v>
      </c>
      <c r="O4767" s="30">
        <f t="shared" si="448"/>
        <v>414751</v>
      </c>
      <c r="P4767" s="30">
        <f t="shared" si="449"/>
        <v>179892</v>
      </c>
      <c r="Q4767" s="1">
        <f>COUNTIFS($P:$P, "&gt;" &amp; $P4767) + 1</f>
        <v>302</v>
      </c>
      <c r="R4767" s="63">
        <f>(COUNTIFS($P:$P, "&gt;" &amp; $P4767) + 1) / (COUNTA($I:$I) - 1)</f>
        <v>6.0400000000000002E-2</v>
      </c>
      <c r="S4767" s="23">
        <f>SUMIFS($P:$P, $Q:$Q, "&lt;" &amp; $Q4767)</f>
        <v>129904863</v>
      </c>
    </row>
    <row r="4768" spans="1:19" x14ac:dyDescent="0.25">
      <c r="A4768" s="1">
        <v>4763</v>
      </c>
      <c r="B4768" s="1" t="s">
        <v>4</v>
      </c>
      <c r="C4768" s="1" t="str">
        <f>IF($B4768 = "Production Item", _xlfn.XLOOKUP($A4768, 'Instrument Table'!$J:$J, 'Instrument Table'!$B:$B, $C4767), IF($B4768 = "Service Item", _xlfn.XLOOKUP($A4768, 'Instrument Table'!$I:$I, 'Instrument Table'!$B:$B, $C4767), _xlfn.XLOOKUP($A4768, 'Instrument Table'!$H:$H, 'Instrument Table'!$B:$B, $C4767)))</f>
        <v>Bass Drum</v>
      </c>
      <c r="D4768" s="1" t="str">
        <f>VLOOKUP($C4768, 'Instrument Table'!$B:$C, 2, FALSE)</f>
        <v>Percussion</v>
      </c>
      <c r="E4768" s="1">
        <f t="shared" si="444"/>
        <v>3</v>
      </c>
      <c r="F4768" s="1">
        <f>_xlfn.XLOOKUP($C4768, 'Instrument Table'!$B:$B, 'Instrument Table'!$A:$A, "")</f>
        <v>52</v>
      </c>
      <c r="G4768" s="1" t="str">
        <f>TEXT(IF($B4768 = "Retail Item", IF((ROW($A4768) - 4504 - _xlfn.XMATCH($C4768, $C$4506:$C$5005, 0, 1)) &lt;= VLOOKUP($C4768, 'Instrument Table'!$B:$D, 3, FALSE), ROW($A4768) - 4504 - _xlfn.XMATCH($C4768, $C$4506:$C$5005, 0, 1), 0), 0), "00")</f>
        <v>02</v>
      </c>
      <c r="H4768" s="1" t="str">
        <f t="shared" si="445"/>
        <v>000</v>
      </c>
      <c r="I4768" s="1" t="str">
        <f t="shared" si="446"/>
        <v>35202-000</v>
      </c>
      <c r="J4768" s="1" t="str">
        <f t="shared" si="447"/>
        <v>Bass drum model #02</v>
      </c>
      <c r="K4768" s="1" t="str">
        <f>IF(SUM(COUNTIFS(I:I, I4768)) &gt; 1, "DUPLICATE", "UNIQUE")</f>
        <v>UNIQUE</v>
      </c>
      <c r="L4768" s="18">
        <v>51</v>
      </c>
      <c r="M4768" s="28">
        <v>3281</v>
      </c>
      <c r="N4768" s="6">
        <v>50</v>
      </c>
      <c r="O4768" s="30">
        <f t="shared" si="448"/>
        <v>167331</v>
      </c>
      <c r="P4768" s="30">
        <f t="shared" si="449"/>
        <v>164050</v>
      </c>
      <c r="Q4768" s="1">
        <f>COUNTIFS($P:$P, "&gt;" &amp; $P4768) + 1</f>
        <v>318</v>
      </c>
      <c r="R4768" s="63">
        <f>(COUNTIFS($P:$P, "&gt;" &amp; $P4768) + 1) / (COUNTA($I:$I) - 1)</f>
        <v>6.3600000000000004E-2</v>
      </c>
      <c r="S4768" s="23">
        <f>SUMIFS($P:$P, $Q:$Q, "&lt;" &amp; $Q4768)</f>
        <v>132665513</v>
      </c>
    </row>
    <row r="4769" spans="1:19" x14ac:dyDescent="0.25">
      <c r="A4769" s="1">
        <v>4764</v>
      </c>
      <c r="B4769" s="1" t="s">
        <v>4</v>
      </c>
      <c r="C4769" s="1" t="str">
        <f>IF($B4769 = "Production Item", _xlfn.XLOOKUP($A4769, 'Instrument Table'!$J:$J, 'Instrument Table'!$B:$B, $C4768), IF($B4769 = "Service Item", _xlfn.XLOOKUP($A4769, 'Instrument Table'!$I:$I, 'Instrument Table'!$B:$B, $C4768), _xlfn.XLOOKUP($A4769, 'Instrument Table'!$H:$H, 'Instrument Table'!$B:$B, $C4768)))</f>
        <v>Bass Drum</v>
      </c>
      <c r="D4769" s="1" t="str">
        <f>VLOOKUP($C4769, 'Instrument Table'!$B:$C, 2, FALSE)</f>
        <v>Percussion</v>
      </c>
      <c r="E4769" s="1">
        <f t="shared" si="444"/>
        <v>3</v>
      </c>
      <c r="F4769" s="1">
        <f>_xlfn.XLOOKUP($C4769, 'Instrument Table'!$B:$B, 'Instrument Table'!$A:$A, "")</f>
        <v>52</v>
      </c>
      <c r="G4769" s="1" t="str">
        <f>TEXT(IF($B4769 = "Retail Item", IF((ROW($A4769) - 4504 - _xlfn.XMATCH($C4769, $C$4506:$C$5005, 0, 1)) &lt;= VLOOKUP($C4769, 'Instrument Table'!$B:$D, 3, FALSE), ROW($A4769) - 4504 - _xlfn.XMATCH($C4769, $C$4506:$C$5005, 0, 1), 0), 0), "00")</f>
        <v>00</v>
      </c>
      <c r="H4769" s="1" t="str">
        <f t="shared" si="445"/>
        <v>000</v>
      </c>
      <c r="I4769" s="1" t="str">
        <f t="shared" si="446"/>
        <v>35200-000</v>
      </c>
      <c r="J4769" s="1" t="str">
        <f t="shared" si="447"/>
        <v>Bass drum retail item #000</v>
      </c>
      <c r="K4769" s="1" t="str">
        <f>IF(SUM(COUNTIFS(I:I, I4769)) &gt; 1, "DUPLICATE", "UNIQUE")</f>
        <v>UNIQUE</v>
      </c>
      <c r="L4769" s="18">
        <v>69</v>
      </c>
      <c r="M4769" s="28">
        <v>4651</v>
      </c>
      <c r="N4769" s="6">
        <v>49</v>
      </c>
      <c r="O4769" s="30">
        <f t="shared" si="448"/>
        <v>320919</v>
      </c>
      <c r="P4769" s="30">
        <f t="shared" si="449"/>
        <v>227899</v>
      </c>
      <c r="Q4769" s="1">
        <f>COUNTIFS($P:$P, "&gt;" &amp; $P4769) + 1</f>
        <v>265</v>
      </c>
      <c r="R4769" s="63">
        <f>(COUNTIFS($P:$P, "&gt;" &amp; $P4769) + 1) / (COUNTA($I:$I) - 1)</f>
        <v>5.2999999999999999E-2</v>
      </c>
      <c r="S4769" s="23">
        <f>SUMIFS($P:$P, $Q:$Q, "&lt;" &amp; $Q4769)</f>
        <v>122223985</v>
      </c>
    </row>
    <row r="4770" spans="1:19" x14ac:dyDescent="0.25">
      <c r="A4770" s="1">
        <v>4765</v>
      </c>
      <c r="B4770" s="1" t="s">
        <v>4</v>
      </c>
      <c r="C4770" s="1" t="str">
        <f>IF($B4770 = "Production Item", _xlfn.XLOOKUP($A4770, 'Instrument Table'!$J:$J, 'Instrument Table'!$B:$B, $C4769), IF($B4770 = "Service Item", _xlfn.XLOOKUP($A4770, 'Instrument Table'!$I:$I, 'Instrument Table'!$B:$B, $C4769), _xlfn.XLOOKUP($A4770, 'Instrument Table'!$H:$H, 'Instrument Table'!$B:$B, $C4769)))</f>
        <v>Bass Drum</v>
      </c>
      <c r="D4770" s="1" t="str">
        <f>VLOOKUP($C4770, 'Instrument Table'!$B:$C, 2, FALSE)</f>
        <v>Percussion</v>
      </c>
      <c r="E4770" s="1">
        <f t="shared" si="444"/>
        <v>3</v>
      </c>
      <c r="F4770" s="1">
        <f>_xlfn.XLOOKUP($C4770, 'Instrument Table'!$B:$B, 'Instrument Table'!$A:$A, "")</f>
        <v>52</v>
      </c>
      <c r="G4770" s="1" t="str">
        <f>TEXT(IF($B4770 = "Retail Item", IF((ROW($A4770) - 4504 - _xlfn.XMATCH($C4770, $C$4506:$C$5005, 0, 1)) &lt;= VLOOKUP($C4770, 'Instrument Table'!$B:$D, 3, FALSE), ROW($A4770) - 4504 - _xlfn.XMATCH($C4770, $C$4506:$C$5005, 0, 1), 0), 0), "00")</f>
        <v>00</v>
      </c>
      <c r="H4770" s="1" t="str">
        <f t="shared" si="445"/>
        <v>001</v>
      </c>
      <c r="I4770" s="1" t="str">
        <f t="shared" si="446"/>
        <v>35200-001</v>
      </c>
      <c r="J4770" s="1" t="str">
        <f t="shared" si="447"/>
        <v>Bass drum retail item #001</v>
      </c>
      <c r="K4770" s="1" t="str">
        <f>IF(SUM(COUNTIFS(I:I, I4770)) &gt; 1, "DUPLICATE", "UNIQUE")</f>
        <v>UNIQUE</v>
      </c>
      <c r="L4770" s="18">
        <v>32</v>
      </c>
      <c r="M4770" s="28">
        <v>7172</v>
      </c>
      <c r="N4770" s="6">
        <v>67</v>
      </c>
      <c r="O4770" s="30">
        <f t="shared" si="448"/>
        <v>229504</v>
      </c>
      <c r="P4770" s="30">
        <f t="shared" si="449"/>
        <v>480524</v>
      </c>
      <c r="Q4770" s="1">
        <f>COUNTIFS($P:$P, "&gt;" &amp; $P4770) + 1</f>
        <v>104</v>
      </c>
      <c r="R4770" s="63">
        <f>(COUNTIFS($P:$P, "&gt;" &amp; $P4770) + 1) / (COUNTA($I:$I) - 1)</f>
        <v>2.0799999999999999E-2</v>
      </c>
      <c r="S4770" s="23">
        <f>SUMIFS($P:$P, $Q:$Q, "&lt;" &amp; $Q4770)</f>
        <v>68102389</v>
      </c>
    </row>
    <row r="4771" spans="1:19" x14ac:dyDescent="0.25">
      <c r="A4771" s="1">
        <v>4766</v>
      </c>
      <c r="B4771" s="1" t="s">
        <v>4</v>
      </c>
      <c r="C4771" s="1" t="str">
        <f>IF($B4771 = "Production Item", _xlfn.XLOOKUP($A4771, 'Instrument Table'!$J:$J, 'Instrument Table'!$B:$B, $C4770), IF($B4771 = "Service Item", _xlfn.XLOOKUP($A4771, 'Instrument Table'!$I:$I, 'Instrument Table'!$B:$B, $C4770), _xlfn.XLOOKUP($A4771, 'Instrument Table'!$H:$H, 'Instrument Table'!$B:$B, $C4770)))</f>
        <v>Bass Drum</v>
      </c>
      <c r="D4771" s="1" t="str">
        <f>VLOOKUP($C4771, 'Instrument Table'!$B:$C, 2, FALSE)</f>
        <v>Percussion</v>
      </c>
      <c r="E4771" s="1">
        <f t="shared" si="444"/>
        <v>3</v>
      </c>
      <c r="F4771" s="1">
        <f>_xlfn.XLOOKUP($C4771, 'Instrument Table'!$B:$B, 'Instrument Table'!$A:$A, "")</f>
        <v>52</v>
      </c>
      <c r="G4771" s="1" t="str">
        <f>TEXT(IF($B4771 = "Retail Item", IF((ROW($A4771) - 4504 - _xlfn.XMATCH($C4771, $C$4506:$C$5005, 0, 1)) &lt;= VLOOKUP($C4771, 'Instrument Table'!$B:$D, 3, FALSE), ROW($A4771) - 4504 - _xlfn.XMATCH($C4771, $C$4506:$C$5005, 0, 1), 0), 0), "00")</f>
        <v>00</v>
      </c>
      <c r="H4771" s="1" t="str">
        <f t="shared" si="445"/>
        <v>002</v>
      </c>
      <c r="I4771" s="1" t="str">
        <f t="shared" si="446"/>
        <v>35200-002</v>
      </c>
      <c r="J4771" s="1" t="str">
        <f t="shared" si="447"/>
        <v>Bass drum retail item #002</v>
      </c>
      <c r="K4771" s="1" t="str">
        <f>IF(SUM(COUNTIFS(I:I, I4771)) &gt; 1, "DUPLICATE", "UNIQUE")</f>
        <v>UNIQUE</v>
      </c>
      <c r="L4771" s="18">
        <v>93</v>
      </c>
      <c r="M4771" s="28">
        <v>6409</v>
      </c>
      <c r="N4771" s="6">
        <v>9</v>
      </c>
      <c r="O4771" s="30">
        <f t="shared" si="448"/>
        <v>596037</v>
      </c>
      <c r="P4771" s="30">
        <f t="shared" si="449"/>
        <v>57681</v>
      </c>
      <c r="Q4771" s="1">
        <f>COUNTIFS($P:$P, "&gt;" &amp; $P4771) + 1</f>
        <v>505</v>
      </c>
      <c r="R4771" s="63">
        <f>(COUNTIFS($P:$P, "&gt;" &amp; $P4771) + 1) / (COUNTA($I:$I) - 1)</f>
        <v>0.10100000000000001</v>
      </c>
      <c r="S4771" s="23">
        <f>SUMIFS($P:$P, $Q:$Q, "&lt;" &amp; $Q4771)</f>
        <v>151759189</v>
      </c>
    </row>
    <row r="4772" spans="1:19" x14ac:dyDescent="0.25">
      <c r="A4772" s="1">
        <v>4767</v>
      </c>
      <c r="B4772" s="1" t="s">
        <v>4</v>
      </c>
      <c r="C4772" s="1" t="str">
        <f>IF($B4772 = "Production Item", _xlfn.XLOOKUP($A4772, 'Instrument Table'!$J:$J, 'Instrument Table'!$B:$B, $C4771), IF($B4772 = "Service Item", _xlfn.XLOOKUP($A4772, 'Instrument Table'!$I:$I, 'Instrument Table'!$B:$B, $C4771), _xlfn.XLOOKUP($A4772, 'Instrument Table'!$H:$H, 'Instrument Table'!$B:$B, $C4771)))</f>
        <v>Bass Drum</v>
      </c>
      <c r="D4772" s="1" t="str">
        <f>VLOOKUP($C4772, 'Instrument Table'!$B:$C, 2, FALSE)</f>
        <v>Percussion</v>
      </c>
      <c r="E4772" s="1">
        <f t="shared" si="444"/>
        <v>3</v>
      </c>
      <c r="F4772" s="1">
        <f>_xlfn.XLOOKUP($C4772, 'Instrument Table'!$B:$B, 'Instrument Table'!$A:$A, "")</f>
        <v>52</v>
      </c>
      <c r="G4772" s="1" t="str">
        <f>TEXT(IF($B4772 = "Retail Item", IF((ROW($A4772) - 4504 - _xlfn.XMATCH($C4772, $C$4506:$C$5005, 0, 1)) &lt;= VLOOKUP($C4772, 'Instrument Table'!$B:$D, 3, FALSE), ROW($A4772) - 4504 - _xlfn.XMATCH($C4772, $C$4506:$C$5005, 0, 1), 0), 0), "00")</f>
        <v>00</v>
      </c>
      <c r="H4772" s="1" t="str">
        <f t="shared" si="445"/>
        <v>003</v>
      </c>
      <c r="I4772" s="1" t="str">
        <f t="shared" si="446"/>
        <v>35200-003</v>
      </c>
      <c r="J4772" s="1" t="str">
        <f t="shared" si="447"/>
        <v>Bass drum retail item #003</v>
      </c>
      <c r="K4772" s="1" t="str">
        <f>IF(SUM(COUNTIFS(I:I, I4772)) &gt; 1, "DUPLICATE", "UNIQUE")</f>
        <v>UNIQUE</v>
      </c>
      <c r="L4772" s="18">
        <v>29</v>
      </c>
      <c r="M4772" s="28">
        <v>8851</v>
      </c>
      <c r="N4772" s="6">
        <v>28</v>
      </c>
      <c r="O4772" s="30">
        <f t="shared" si="448"/>
        <v>256679</v>
      </c>
      <c r="P4772" s="30">
        <f t="shared" si="449"/>
        <v>247828</v>
      </c>
      <c r="Q4772" s="1">
        <f>COUNTIFS($P:$P, "&gt;" &amp; $P4772) + 1</f>
        <v>248</v>
      </c>
      <c r="R4772" s="63">
        <f>(COUNTIFS($P:$P, "&gt;" &amp; $P4772) + 1) / (COUNTA($I:$I) - 1)</f>
        <v>4.9599999999999998E-2</v>
      </c>
      <c r="S4772" s="23">
        <f>SUMIFS($P:$P, $Q:$Q, "&lt;" &amp; $Q4772)</f>
        <v>118186765</v>
      </c>
    </row>
    <row r="4773" spans="1:19" x14ac:dyDescent="0.25">
      <c r="A4773" s="1">
        <v>4768</v>
      </c>
      <c r="B4773" s="1" t="s">
        <v>4</v>
      </c>
      <c r="C4773" s="1" t="str">
        <f>IF($B4773 = "Production Item", _xlfn.XLOOKUP($A4773, 'Instrument Table'!$J:$J, 'Instrument Table'!$B:$B, $C4772), IF($B4773 = "Service Item", _xlfn.XLOOKUP($A4773, 'Instrument Table'!$I:$I, 'Instrument Table'!$B:$B, $C4772), _xlfn.XLOOKUP($A4773, 'Instrument Table'!$H:$H, 'Instrument Table'!$B:$B, $C4772)))</f>
        <v>Bass Drum</v>
      </c>
      <c r="D4773" s="1" t="str">
        <f>VLOOKUP($C4773, 'Instrument Table'!$B:$C, 2, FALSE)</f>
        <v>Percussion</v>
      </c>
      <c r="E4773" s="1">
        <f t="shared" si="444"/>
        <v>3</v>
      </c>
      <c r="F4773" s="1">
        <f>_xlfn.XLOOKUP($C4773, 'Instrument Table'!$B:$B, 'Instrument Table'!$A:$A, "")</f>
        <v>52</v>
      </c>
      <c r="G4773" s="1" t="str">
        <f>TEXT(IF($B4773 = "Retail Item", IF((ROW($A4773) - 4504 - _xlfn.XMATCH($C4773, $C$4506:$C$5005, 0, 1)) &lt;= VLOOKUP($C4773, 'Instrument Table'!$B:$D, 3, FALSE), ROW($A4773) - 4504 - _xlfn.XMATCH($C4773, $C$4506:$C$5005, 0, 1), 0), 0), "00")</f>
        <v>00</v>
      </c>
      <c r="H4773" s="1" t="str">
        <f t="shared" si="445"/>
        <v>004</v>
      </c>
      <c r="I4773" s="1" t="str">
        <f t="shared" si="446"/>
        <v>35200-004</v>
      </c>
      <c r="J4773" s="1" t="str">
        <f t="shared" si="447"/>
        <v>Bass drum retail item #004</v>
      </c>
      <c r="K4773" s="1" t="str">
        <f>IF(SUM(COUNTIFS(I:I, I4773)) &gt; 1, "DUPLICATE", "UNIQUE")</f>
        <v>UNIQUE</v>
      </c>
      <c r="L4773" s="18">
        <v>34</v>
      </c>
      <c r="M4773" s="28">
        <v>8378</v>
      </c>
      <c r="N4773" s="6">
        <v>59</v>
      </c>
      <c r="O4773" s="30">
        <f t="shared" si="448"/>
        <v>284852</v>
      </c>
      <c r="P4773" s="30">
        <f t="shared" si="449"/>
        <v>494302</v>
      </c>
      <c r="Q4773" s="1">
        <f>COUNTIFS($P:$P, "&gt;" &amp; $P4773) + 1</f>
        <v>99</v>
      </c>
      <c r="R4773" s="63">
        <f>(COUNTIFS($P:$P, "&gt;" &amp; $P4773) + 1) / (COUNTA($I:$I) - 1)</f>
        <v>1.9800000000000002E-2</v>
      </c>
      <c r="S4773" s="23">
        <f>SUMIFS($P:$P, $Q:$Q, "&lt;" &amp; $Q4773)</f>
        <v>65652420</v>
      </c>
    </row>
    <row r="4774" spans="1:19" x14ac:dyDescent="0.25">
      <c r="A4774" s="1">
        <v>4769</v>
      </c>
      <c r="B4774" s="1" t="s">
        <v>4</v>
      </c>
      <c r="C4774" s="1" t="str">
        <f>IF($B4774 = "Production Item", _xlfn.XLOOKUP($A4774, 'Instrument Table'!$J:$J, 'Instrument Table'!$B:$B, $C4773), IF($B4774 = "Service Item", _xlfn.XLOOKUP($A4774, 'Instrument Table'!$I:$I, 'Instrument Table'!$B:$B, $C4773), _xlfn.XLOOKUP($A4774, 'Instrument Table'!$H:$H, 'Instrument Table'!$B:$B, $C4773)))</f>
        <v>Cymbal</v>
      </c>
      <c r="D4774" s="1" t="str">
        <f>VLOOKUP($C4774, 'Instrument Table'!$B:$C, 2, FALSE)</f>
        <v>Percussion</v>
      </c>
      <c r="E4774" s="1">
        <f t="shared" si="444"/>
        <v>3</v>
      </c>
      <c r="F4774" s="1">
        <f>_xlfn.XLOOKUP($C4774, 'Instrument Table'!$B:$B, 'Instrument Table'!$A:$A, "")</f>
        <v>53</v>
      </c>
      <c r="G4774" s="1" t="str">
        <f>TEXT(IF($B4774 = "Retail Item", IF((ROW($A4774) - 4504 - _xlfn.XMATCH($C4774, $C$4506:$C$5005, 0, 1)) &lt;= VLOOKUP($C4774, 'Instrument Table'!$B:$D, 3, FALSE), ROW($A4774) - 4504 - _xlfn.XMATCH($C4774, $C$4506:$C$5005, 0, 1), 0), 0), "00")</f>
        <v>01</v>
      </c>
      <c r="H4774" s="1" t="str">
        <f t="shared" si="445"/>
        <v>000</v>
      </c>
      <c r="I4774" s="1" t="str">
        <f t="shared" si="446"/>
        <v>35301-000</v>
      </c>
      <c r="J4774" s="1" t="str">
        <f t="shared" si="447"/>
        <v>Cymbal model #01</v>
      </c>
      <c r="K4774" s="1" t="str">
        <f>IF(SUM(COUNTIFS(I:I, I4774)) &gt; 1, "DUPLICATE", "UNIQUE")</f>
        <v>UNIQUE</v>
      </c>
      <c r="L4774" s="18">
        <v>76</v>
      </c>
      <c r="M4774" s="28">
        <v>1610</v>
      </c>
      <c r="N4774" s="6">
        <v>58</v>
      </c>
      <c r="O4774" s="30">
        <f t="shared" si="448"/>
        <v>122360</v>
      </c>
      <c r="P4774" s="30">
        <f t="shared" si="449"/>
        <v>93380</v>
      </c>
      <c r="Q4774" s="1">
        <f>COUNTIFS($P:$P, "&gt;" &amp; $P4774) + 1</f>
        <v>419</v>
      </c>
      <c r="R4774" s="63">
        <f>(COUNTIFS($P:$P, "&gt;" &amp; $P4774) + 1) / (COUNTA($I:$I) - 1)</f>
        <v>8.3799999999999999E-2</v>
      </c>
      <c r="S4774" s="23">
        <f>SUMIFS($P:$P, $Q:$Q, "&lt;" &amp; $Q4774)</f>
        <v>145329945</v>
      </c>
    </row>
    <row r="4775" spans="1:19" x14ac:dyDescent="0.25">
      <c r="A4775" s="1">
        <v>4770</v>
      </c>
      <c r="B4775" s="1" t="s">
        <v>4</v>
      </c>
      <c r="C4775" s="1" t="str">
        <f>IF($B4775 = "Production Item", _xlfn.XLOOKUP($A4775, 'Instrument Table'!$J:$J, 'Instrument Table'!$B:$B, $C4774), IF($B4775 = "Service Item", _xlfn.XLOOKUP($A4775, 'Instrument Table'!$I:$I, 'Instrument Table'!$B:$B, $C4774), _xlfn.XLOOKUP($A4775, 'Instrument Table'!$H:$H, 'Instrument Table'!$B:$B, $C4774)))</f>
        <v>Cymbal</v>
      </c>
      <c r="D4775" s="1" t="str">
        <f>VLOOKUP($C4775, 'Instrument Table'!$B:$C, 2, FALSE)</f>
        <v>Percussion</v>
      </c>
      <c r="E4775" s="1">
        <f t="shared" si="444"/>
        <v>3</v>
      </c>
      <c r="F4775" s="1">
        <f>_xlfn.XLOOKUP($C4775, 'Instrument Table'!$B:$B, 'Instrument Table'!$A:$A, "")</f>
        <v>53</v>
      </c>
      <c r="G4775" s="1" t="str">
        <f>TEXT(IF($B4775 = "Retail Item", IF((ROW($A4775) - 4504 - _xlfn.XMATCH($C4775, $C$4506:$C$5005, 0, 1)) &lt;= VLOOKUP($C4775, 'Instrument Table'!$B:$D, 3, FALSE), ROW($A4775) - 4504 - _xlfn.XMATCH($C4775, $C$4506:$C$5005, 0, 1), 0), 0), "00")</f>
        <v>02</v>
      </c>
      <c r="H4775" s="1" t="str">
        <f t="shared" si="445"/>
        <v>000</v>
      </c>
      <c r="I4775" s="1" t="str">
        <f t="shared" si="446"/>
        <v>35302-000</v>
      </c>
      <c r="J4775" s="1" t="str">
        <f t="shared" si="447"/>
        <v>Cymbal model #02</v>
      </c>
      <c r="K4775" s="1" t="str">
        <f>IF(SUM(COUNTIFS(I:I, I4775)) &gt; 1, "DUPLICATE", "UNIQUE")</f>
        <v>UNIQUE</v>
      </c>
      <c r="L4775" s="18">
        <v>75</v>
      </c>
      <c r="M4775" s="28">
        <v>7334</v>
      </c>
      <c r="N4775" s="6">
        <v>96</v>
      </c>
      <c r="O4775" s="30">
        <f t="shared" si="448"/>
        <v>550050</v>
      </c>
      <c r="P4775" s="30">
        <f t="shared" si="449"/>
        <v>704064</v>
      </c>
      <c r="Q4775" s="1">
        <f>COUNTIFS($P:$P, "&gt;" &amp; $P4775) + 1</f>
        <v>36</v>
      </c>
      <c r="R4775" s="63">
        <f>(COUNTIFS($P:$P, "&gt;" &amp; $P4775) + 1) / (COUNTA($I:$I) - 1)</f>
        <v>7.1999999999999998E-3</v>
      </c>
      <c r="S4775" s="23">
        <f>SUMIFS($P:$P, $Q:$Q, "&lt;" &amp; $Q4775)</f>
        <v>28525640</v>
      </c>
    </row>
    <row r="4776" spans="1:19" x14ac:dyDescent="0.25">
      <c r="A4776" s="1">
        <v>4771</v>
      </c>
      <c r="B4776" s="1" t="s">
        <v>4</v>
      </c>
      <c r="C4776" s="1" t="str">
        <f>IF($B4776 = "Production Item", _xlfn.XLOOKUP($A4776, 'Instrument Table'!$J:$J, 'Instrument Table'!$B:$B, $C4775), IF($B4776 = "Service Item", _xlfn.XLOOKUP($A4776, 'Instrument Table'!$I:$I, 'Instrument Table'!$B:$B, $C4775), _xlfn.XLOOKUP($A4776, 'Instrument Table'!$H:$H, 'Instrument Table'!$B:$B, $C4775)))</f>
        <v>Cymbal</v>
      </c>
      <c r="D4776" s="1" t="str">
        <f>VLOOKUP($C4776, 'Instrument Table'!$B:$C, 2, FALSE)</f>
        <v>Percussion</v>
      </c>
      <c r="E4776" s="1">
        <f t="shared" si="444"/>
        <v>3</v>
      </c>
      <c r="F4776" s="1">
        <f>_xlfn.XLOOKUP($C4776, 'Instrument Table'!$B:$B, 'Instrument Table'!$A:$A, "")</f>
        <v>53</v>
      </c>
      <c r="G4776" s="1" t="str">
        <f>TEXT(IF($B4776 = "Retail Item", IF((ROW($A4776) - 4504 - _xlfn.XMATCH($C4776, $C$4506:$C$5005, 0, 1)) &lt;= VLOOKUP($C4776, 'Instrument Table'!$B:$D, 3, FALSE), ROW($A4776) - 4504 - _xlfn.XMATCH($C4776, $C$4506:$C$5005, 0, 1), 0), 0), "00")</f>
        <v>03</v>
      </c>
      <c r="H4776" s="1" t="str">
        <f t="shared" si="445"/>
        <v>000</v>
      </c>
      <c r="I4776" s="1" t="str">
        <f t="shared" si="446"/>
        <v>35303-000</v>
      </c>
      <c r="J4776" s="1" t="str">
        <f t="shared" si="447"/>
        <v>Cymbal model #03</v>
      </c>
      <c r="K4776" s="1" t="str">
        <f>IF(SUM(COUNTIFS(I:I, I4776)) &gt; 1, "DUPLICATE", "UNIQUE")</f>
        <v>UNIQUE</v>
      </c>
      <c r="L4776" s="18">
        <v>86</v>
      </c>
      <c r="M4776" s="28">
        <v>3431</v>
      </c>
      <c r="N4776" s="6">
        <v>90</v>
      </c>
      <c r="O4776" s="30">
        <f t="shared" si="448"/>
        <v>295066</v>
      </c>
      <c r="P4776" s="30">
        <f t="shared" si="449"/>
        <v>308790</v>
      </c>
      <c r="Q4776" s="1">
        <f>COUNTIFS($P:$P, "&gt;" &amp; $P4776) + 1</f>
        <v>194</v>
      </c>
      <c r="R4776" s="63">
        <f>(COUNTIFS($P:$P, "&gt;" &amp; $P4776) + 1) / (COUNTA($I:$I) - 1)</f>
        <v>3.8800000000000001E-2</v>
      </c>
      <c r="S4776" s="23">
        <f>SUMIFS($P:$P, $Q:$Q, "&lt;" &amp; $Q4776)</f>
        <v>103090739</v>
      </c>
    </row>
    <row r="4777" spans="1:19" x14ac:dyDescent="0.25">
      <c r="A4777" s="1">
        <v>4772</v>
      </c>
      <c r="B4777" s="1" t="s">
        <v>4</v>
      </c>
      <c r="C4777" s="1" t="str">
        <f>IF($B4777 = "Production Item", _xlfn.XLOOKUP($A4777, 'Instrument Table'!$J:$J, 'Instrument Table'!$B:$B, $C4776), IF($B4777 = "Service Item", _xlfn.XLOOKUP($A4777, 'Instrument Table'!$I:$I, 'Instrument Table'!$B:$B, $C4776), _xlfn.XLOOKUP($A4777, 'Instrument Table'!$H:$H, 'Instrument Table'!$B:$B, $C4776)))</f>
        <v>Cymbal</v>
      </c>
      <c r="D4777" s="1" t="str">
        <f>VLOOKUP($C4777, 'Instrument Table'!$B:$C, 2, FALSE)</f>
        <v>Percussion</v>
      </c>
      <c r="E4777" s="1">
        <f t="shared" si="444"/>
        <v>3</v>
      </c>
      <c r="F4777" s="1">
        <f>_xlfn.XLOOKUP($C4777, 'Instrument Table'!$B:$B, 'Instrument Table'!$A:$A, "")</f>
        <v>53</v>
      </c>
      <c r="G4777" s="1" t="str">
        <f>TEXT(IF($B4777 = "Retail Item", IF((ROW($A4777) - 4504 - _xlfn.XMATCH($C4777, $C$4506:$C$5005, 0, 1)) &lt;= VLOOKUP($C4777, 'Instrument Table'!$B:$D, 3, FALSE), ROW($A4777) - 4504 - _xlfn.XMATCH($C4777, $C$4506:$C$5005, 0, 1), 0), 0), "00")</f>
        <v>04</v>
      </c>
      <c r="H4777" s="1" t="str">
        <f t="shared" si="445"/>
        <v>000</v>
      </c>
      <c r="I4777" s="1" t="str">
        <f t="shared" si="446"/>
        <v>35304-000</v>
      </c>
      <c r="J4777" s="1" t="str">
        <f t="shared" si="447"/>
        <v>Cymbal model #04</v>
      </c>
      <c r="K4777" s="1" t="str">
        <f>IF(SUM(COUNTIFS(I:I, I4777)) &gt; 1, "DUPLICATE", "UNIQUE")</f>
        <v>UNIQUE</v>
      </c>
      <c r="L4777" s="18">
        <v>4</v>
      </c>
      <c r="M4777" s="28">
        <v>9441</v>
      </c>
      <c r="N4777" s="6">
        <v>86</v>
      </c>
      <c r="O4777" s="30">
        <f t="shared" si="448"/>
        <v>37764</v>
      </c>
      <c r="P4777" s="30">
        <f t="shared" si="449"/>
        <v>811926</v>
      </c>
      <c r="Q4777" s="1">
        <f>COUNTIFS($P:$P, "&gt;" &amp; $P4777) + 1</f>
        <v>16</v>
      </c>
      <c r="R4777" s="63">
        <f>(COUNTIFS($P:$P, "&gt;" &amp; $P4777) + 1) / (COUNTA($I:$I) - 1)</f>
        <v>3.2000000000000002E-3</v>
      </c>
      <c r="S4777" s="23">
        <f>SUMIFS($P:$P, $Q:$Q, "&lt;" &amp; $Q4777)</f>
        <v>13313511</v>
      </c>
    </row>
    <row r="4778" spans="1:19" x14ac:dyDescent="0.25">
      <c r="A4778" s="1">
        <v>4773</v>
      </c>
      <c r="B4778" s="1" t="s">
        <v>4</v>
      </c>
      <c r="C4778" s="1" t="str">
        <f>IF($B4778 = "Production Item", _xlfn.XLOOKUP($A4778, 'Instrument Table'!$J:$J, 'Instrument Table'!$B:$B, $C4777), IF($B4778 = "Service Item", _xlfn.XLOOKUP($A4778, 'Instrument Table'!$I:$I, 'Instrument Table'!$B:$B, $C4777), _xlfn.XLOOKUP($A4778, 'Instrument Table'!$H:$H, 'Instrument Table'!$B:$B, $C4777)))</f>
        <v>Cymbal</v>
      </c>
      <c r="D4778" s="1" t="str">
        <f>VLOOKUP($C4778, 'Instrument Table'!$B:$C, 2, FALSE)</f>
        <v>Percussion</v>
      </c>
      <c r="E4778" s="1">
        <f t="shared" si="444"/>
        <v>3</v>
      </c>
      <c r="F4778" s="1">
        <f>_xlfn.XLOOKUP($C4778, 'Instrument Table'!$B:$B, 'Instrument Table'!$A:$A, "")</f>
        <v>53</v>
      </c>
      <c r="G4778" s="1" t="str">
        <f>TEXT(IF($B4778 = "Retail Item", IF((ROW($A4778) - 4504 - _xlfn.XMATCH($C4778, $C$4506:$C$5005, 0, 1)) &lt;= VLOOKUP($C4778, 'Instrument Table'!$B:$D, 3, FALSE), ROW($A4778) - 4504 - _xlfn.XMATCH($C4778, $C$4506:$C$5005, 0, 1), 0), 0), "00")</f>
        <v>05</v>
      </c>
      <c r="H4778" s="1" t="str">
        <f t="shared" si="445"/>
        <v>000</v>
      </c>
      <c r="I4778" s="1" t="str">
        <f t="shared" si="446"/>
        <v>35305-000</v>
      </c>
      <c r="J4778" s="1" t="str">
        <f t="shared" si="447"/>
        <v>Cymbal model #05</v>
      </c>
      <c r="K4778" s="1" t="str">
        <f>IF(SUM(COUNTIFS(I:I, I4778)) &gt; 1, "DUPLICATE", "UNIQUE")</f>
        <v>UNIQUE</v>
      </c>
      <c r="L4778" s="18">
        <v>63</v>
      </c>
      <c r="M4778" s="28">
        <v>2693</v>
      </c>
      <c r="N4778" s="6">
        <v>9</v>
      </c>
      <c r="O4778" s="30">
        <f t="shared" si="448"/>
        <v>169659</v>
      </c>
      <c r="P4778" s="30">
        <f t="shared" si="449"/>
        <v>24237</v>
      </c>
      <c r="Q4778" s="1">
        <f>COUNTIFS($P:$P, "&gt;" &amp; $P4778) + 1</f>
        <v>866</v>
      </c>
      <c r="R4778" s="63">
        <f>(COUNTIFS($P:$P, "&gt;" &amp; $P4778) + 1) / (COUNTA($I:$I) - 1)</f>
        <v>0.17319999999999999</v>
      </c>
      <c r="S4778" s="23">
        <f>SUMIFS($P:$P, $Q:$Q, "&lt;" &amp; $Q4778)</f>
        <v>163474597</v>
      </c>
    </row>
    <row r="4779" spans="1:19" x14ac:dyDescent="0.25">
      <c r="A4779" s="1">
        <v>4774</v>
      </c>
      <c r="B4779" s="1" t="s">
        <v>4</v>
      </c>
      <c r="C4779" s="1" t="str">
        <f>IF($B4779 = "Production Item", _xlfn.XLOOKUP($A4779, 'Instrument Table'!$J:$J, 'Instrument Table'!$B:$B, $C4778), IF($B4779 = "Service Item", _xlfn.XLOOKUP($A4779, 'Instrument Table'!$I:$I, 'Instrument Table'!$B:$B, $C4778), _xlfn.XLOOKUP($A4779, 'Instrument Table'!$H:$H, 'Instrument Table'!$B:$B, $C4778)))</f>
        <v>Cymbal</v>
      </c>
      <c r="D4779" s="1" t="str">
        <f>VLOOKUP($C4779, 'Instrument Table'!$B:$C, 2, FALSE)</f>
        <v>Percussion</v>
      </c>
      <c r="E4779" s="1">
        <f t="shared" si="444"/>
        <v>3</v>
      </c>
      <c r="F4779" s="1">
        <f>_xlfn.XLOOKUP($C4779, 'Instrument Table'!$B:$B, 'Instrument Table'!$A:$A, "")</f>
        <v>53</v>
      </c>
      <c r="G4779" s="1" t="str">
        <f>TEXT(IF($B4779 = "Retail Item", IF((ROW($A4779) - 4504 - _xlfn.XMATCH($C4779, $C$4506:$C$5005, 0, 1)) &lt;= VLOOKUP($C4779, 'Instrument Table'!$B:$D, 3, FALSE), ROW($A4779) - 4504 - _xlfn.XMATCH($C4779, $C$4506:$C$5005, 0, 1), 0), 0), "00")</f>
        <v>00</v>
      </c>
      <c r="H4779" s="1" t="str">
        <f t="shared" si="445"/>
        <v>000</v>
      </c>
      <c r="I4779" s="1" t="str">
        <f t="shared" si="446"/>
        <v>35300-000</v>
      </c>
      <c r="J4779" s="1" t="str">
        <f t="shared" si="447"/>
        <v>Cymbal retail item #000</v>
      </c>
      <c r="K4779" s="1" t="str">
        <f>IF(SUM(COUNTIFS(I:I, I4779)) &gt; 1, "DUPLICATE", "UNIQUE")</f>
        <v>UNIQUE</v>
      </c>
      <c r="L4779" s="18">
        <v>51</v>
      </c>
      <c r="M4779" s="28">
        <v>5664</v>
      </c>
      <c r="N4779" s="6">
        <v>60</v>
      </c>
      <c r="O4779" s="30">
        <f t="shared" si="448"/>
        <v>288864</v>
      </c>
      <c r="P4779" s="30">
        <f t="shared" si="449"/>
        <v>339840</v>
      </c>
      <c r="Q4779" s="1">
        <f>COUNTIFS($P:$P, "&gt;" &amp; $P4779) + 1</f>
        <v>171</v>
      </c>
      <c r="R4779" s="63">
        <f>(COUNTIFS($P:$P, "&gt;" &amp; $P4779) + 1) / (COUNTA($I:$I) - 1)</f>
        <v>3.4200000000000001E-2</v>
      </c>
      <c r="S4779" s="23">
        <f>SUMIFS($P:$P, $Q:$Q, "&lt;" &amp; $Q4779)</f>
        <v>95585509</v>
      </c>
    </row>
    <row r="4780" spans="1:19" x14ac:dyDescent="0.25">
      <c r="A4780" s="1">
        <v>4775</v>
      </c>
      <c r="B4780" s="1" t="s">
        <v>4</v>
      </c>
      <c r="C4780" s="1" t="str">
        <f>IF($B4780 = "Production Item", _xlfn.XLOOKUP($A4780, 'Instrument Table'!$J:$J, 'Instrument Table'!$B:$B, $C4779), IF($B4780 = "Service Item", _xlfn.XLOOKUP($A4780, 'Instrument Table'!$I:$I, 'Instrument Table'!$B:$B, $C4779), _xlfn.XLOOKUP($A4780, 'Instrument Table'!$H:$H, 'Instrument Table'!$B:$B, $C4779)))</f>
        <v>Cymbal</v>
      </c>
      <c r="D4780" s="1" t="str">
        <f>VLOOKUP($C4780, 'Instrument Table'!$B:$C, 2, FALSE)</f>
        <v>Percussion</v>
      </c>
      <c r="E4780" s="1">
        <f t="shared" si="444"/>
        <v>3</v>
      </c>
      <c r="F4780" s="1">
        <f>_xlfn.XLOOKUP($C4780, 'Instrument Table'!$B:$B, 'Instrument Table'!$A:$A, "")</f>
        <v>53</v>
      </c>
      <c r="G4780" s="1" t="str">
        <f>TEXT(IF($B4780 = "Retail Item", IF((ROW($A4780) - 4504 - _xlfn.XMATCH($C4780, $C$4506:$C$5005, 0, 1)) &lt;= VLOOKUP($C4780, 'Instrument Table'!$B:$D, 3, FALSE), ROW($A4780) - 4504 - _xlfn.XMATCH($C4780, $C$4506:$C$5005, 0, 1), 0), 0), "00")</f>
        <v>00</v>
      </c>
      <c r="H4780" s="1" t="str">
        <f t="shared" si="445"/>
        <v>001</v>
      </c>
      <c r="I4780" s="1" t="str">
        <f t="shared" si="446"/>
        <v>35300-001</v>
      </c>
      <c r="J4780" s="1" t="str">
        <f t="shared" si="447"/>
        <v>Cymbal retail item #001</v>
      </c>
      <c r="K4780" s="1" t="str">
        <f>IF(SUM(COUNTIFS(I:I, I4780)) &gt; 1, "DUPLICATE", "UNIQUE")</f>
        <v>UNIQUE</v>
      </c>
      <c r="L4780" s="18">
        <v>9</v>
      </c>
      <c r="M4780" s="28">
        <v>9607</v>
      </c>
      <c r="N4780" s="6">
        <v>47</v>
      </c>
      <c r="O4780" s="30">
        <f t="shared" si="448"/>
        <v>86463</v>
      </c>
      <c r="P4780" s="30">
        <f t="shared" si="449"/>
        <v>451529</v>
      </c>
      <c r="Q4780" s="1">
        <f>COUNTIFS($P:$P, "&gt;" &amp; $P4780) + 1</f>
        <v>118</v>
      </c>
      <c r="R4780" s="63">
        <f>(COUNTIFS($P:$P, "&gt;" &amp; $P4780) + 1) / (COUNTA($I:$I) - 1)</f>
        <v>2.3599999999999999E-2</v>
      </c>
      <c r="S4780" s="23">
        <f>SUMIFS($P:$P, $Q:$Q, "&lt;" &amp; $Q4780)</f>
        <v>74617748</v>
      </c>
    </row>
    <row r="4781" spans="1:19" x14ac:dyDescent="0.25">
      <c r="A4781" s="1">
        <v>4776</v>
      </c>
      <c r="B4781" s="1" t="s">
        <v>4</v>
      </c>
      <c r="C4781" s="1" t="str">
        <f>IF($B4781 = "Production Item", _xlfn.XLOOKUP($A4781, 'Instrument Table'!$J:$J, 'Instrument Table'!$B:$B, $C4780), IF($B4781 = "Service Item", _xlfn.XLOOKUP($A4781, 'Instrument Table'!$I:$I, 'Instrument Table'!$B:$B, $C4780), _xlfn.XLOOKUP($A4781, 'Instrument Table'!$H:$H, 'Instrument Table'!$B:$B, $C4780)))</f>
        <v>Cymbal</v>
      </c>
      <c r="D4781" s="1" t="str">
        <f>VLOOKUP($C4781, 'Instrument Table'!$B:$C, 2, FALSE)</f>
        <v>Percussion</v>
      </c>
      <c r="E4781" s="1">
        <f t="shared" si="444"/>
        <v>3</v>
      </c>
      <c r="F4781" s="1">
        <f>_xlfn.XLOOKUP($C4781, 'Instrument Table'!$B:$B, 'Instrument Table'!$A:$A, "")</f>
        <v>53</v>
      </c>
      <c r="G4781" s="1" t="str">
        <f>TEXT(IF($B4781 = "Retail Item", IF((ROW($A4781) - 4504 - _xlfn.XMATCH($C4781, $C$4506:$C$5005, 0, 1)) &lt;= VLOOKUP($C4781, 'Instrument Table'!$B:$D, 3, FALSE), ROW($A4781) - 4504 - _xlfn.XMATCH($C4781, $C$4506:$C$5005, 0, 1), 0), 0), "00")</f>
        <v>00</v>
      </c>
      <c r="H4781" s="1" t="str">
        <f t="shared" si="445"/>
        <v>002</v>
      </c>
      <c r="I4781" s="1" t="str">
        <f t="shared" si="446"/>
        <v>35300-002</v>
      </c>
      <c r="J4781" s="1" t="str">
        <f t="shared" si="447"/>
        <v>Cymbal retail item #002</v>
      </c>
      <c r="K4781" s="1" t="str">
        <f>IF(SUM(COUNTIFS(I:I, I4781)) &gt; 1, "DUPLICATE", "UNIQUE")</f>
        <v>UNIQUE</v>
      </c>
      <c r="L4781" s="18">
        <v>50</v>
      </c>
      <c r="M4781" s="28">
        <v>3887</v>
      </c>
      <c r="N4781" s="6">
        <v>66</v>
      </c>
      <c r="O4781" s="30">
        <f t="shared" si="448"/>
        <v>194350</v>
      </c>
      <c r="P4781" s="30">
        <f t="shared" si="449"/>
        <v>256542</v>
      </c>
      <c r="Q4781" s="1">
        <f>COUNTIFS($P:$P, "&gt;" &amp; $P4781) + 1</f>
        <v>238</v>
      </c>
      <c r="R4781" s="63">
        <f>(COUNTIFS($P:$P, "&gt;" &amp; $P4781) + 1) / (COUNTA($I:$I) - 1)</f>
        <v>4.7600000000000003E-2</v>
      </c>
      <c r="S4781" s="23">
        <f>SUMIFS($P:$P, $Q:$Q, "&lt;" &amp; $Q4781)</f>
        <v>115651480</v>
      </c>
    </row>
    <row r="4782" spans="1:19" x14ac:dyDescent="0.25">
      <c r="A4782" s="1">
        <v>4777</v>
      </c>
      <c r="B4782" s="1" t="s">
        <v>4</v>
      </c>
      <c r="C4782" s="1" t="str">
        <f>IF($B4782 = "Production Item", _xlfn.XLOOKUP($A4782, 'Instrument Table'!$J:$J, 'Instrument Table'!$B:$B, $C4781), IF($B4782 = "Service Item", _xlfn.XLOOKUP($A4782, 'Instrument Table'!$I:$I, 'Instrument Table'!$B:$B, $C4781), _xlfn.XLOOKUP($A4782, 'Instrument Table'!$H:$H, 'Instrument Table'!$B:$B, $C4781)))</f>
        <v>Cymbal</v>
      </c>
      <c r="D4782" s="1" t="str">
        <f>VLOOKUP($C4782, 'Instrument Table'!$B:$C, 2, FALSE)</f>
        <v>Percussion</v>
      </c>
      <c r="E4782" s="1">
        <f t="shared" si="444"/>
        <v>3</v>
      </c>
      <c r="F4782" s="1">
        <f>_xlfn.XLOOKUP($C4782, 'Instrument Table'!$B:$B, 'Instrument Table'!$A:$A, "")</f>
        <v>53</v>
      </c>
      <c r="G4782" s="1" t="str">
        <f>TEXT(IF($B4782 = "Retail Item", IF((ROW($A4782) - 4504 - _xlfn.XMATCH($C4782, $C$4506:$C$5005, 0, 1)) &lt;= VLOOKUP($C4782, 'Instrument Table'!$B:$D, 3, FALSE), ROW($A4782) - 4504 - _xlfn.XMATCH($C4782, $C$4506:$C$5005, 0, 1), 0), 0), "00")</f>
        <v>00</v>
      </c>
      <c r="H4782" s="1" t="str">
        <f t="shared" si="445"/>
        <v>003</v>
      </c>
      <c r="I4782" s="1" t="str">
        <f t="shared" si="446"/>
        <v>35300-003</v>
      </c>
      <c r="J4782" s="1" t="str">
        <f t="shared" si="447"/>
        <v>Cymbal retail item #003</v>
      </c>
      <c r="K4782" s="1" t="str">
        <f>IF(SUM(COUNTIFS(I:I, I4782)) &gt; 1, "DUPLICATE", "UNIQUE")</f>
        <v>UNIQUE</v>
      </c>
      <c r="L4782" s="18">
        <v>76</v>
      </c>
      <c r="M4782" s="28">
        <v>6754</v>
      </c>
      <c r="N4782" s="6">
        <v>93</v>
      </c>
      <c r="O4782" s="30">
        <f t="shared" si="448"/>
        <v>513304</v>
      </c>
      <c r="P4782" s="30">
        <f t="shared" si="449"/>
        <v>628122</v>
      </c>
      <c r="Q4782" s="1">
        <f>COUNTIFS($P:$P, "&gt;" &amp; $P4782) + 1</f>
        <v>53</v>
      </c>
      <c r="R4782" s="63">
        <f>(COUNTIFS($P:$P, "&gt;" &amp; $P4782) + 1) / (COUNTA($I:$I) - 1)</f>
        <v>1.06E-2</v>
      </c>
      <c r="S4782" s="23">
        <f>SUMIFS($P:$P, $Q:$Q, "&lt;" &amp; $Q4782)</f>
        <v>39830178</v>
      </c>
    </row>
    <row r="4783" spans="1:19" x14ac:dyDescent="0.25">
      <c r="A4783" s="1">
        <v>4778</v>
      </c>
      <c r="B4783" s="1" t="s">
        <v>4</v>
      </c>
      <c r="C4783" s="1" t="str">
        <f>IF($B4783 = "Production Item", _xlfn.XLOOKUP($A4783, 'Instrument Table'!$J:$J, 'Instrument Table'!$B:$B, $C4782), IF($B4783 = "Service Item", _xlfn.XLOOKUP($A4783, 'Instrument Table'!$I:$I, 'Instrument Table'!$B:$B, $C4782), _xlfn.XLOOKUP($A4783, 'Instrument Table'!$H:$H, 'Instrument Table'!$B:$B, $C4782)))</f>
        <v>Cymbal</v>
      </c>
      <c r="D4783" s="1" t="str">
        <f>VLOOKUP($C4783, 'Instrument Table'!$B:$C, 2, FALSE)</f>
        <v>Percussion</v>
      </c>
      <c r="E4783" s="1">
        <f t="shared" si="444"/>
        <v>3</v>
      </c>
      <c r="F4783" s="1">
        <f>_xlfn.XLOOKUP($C4783, 'Instrument Table'!$B:$B, 'Instrument Table'!$A:$A, "")</f>
        <v>53</v>
      </c>
      <c r="G4783" s="1" t="str">
        <f>TEXT(IF($B4783 = "Retail Item", IF((ROW($A4783) - 4504 - _xlfn.XMATCH($C4783, $C$4506:$C$5005, 0, 1)) &lt;= VLOOKUP($C4783, 'Instrument Table'!$B:$D, 3, FALSE), ROW($A4783) - 4504 - _xlfn.XMATCH($C4783, $C$4506:$C$5005, 0, 1), 0), 0), "00")</f>
        <v>00</v>
      </c>
      <c r="H4783" s="1" t="str">
        <f t="shared" si="445"/>
        <v>004</v>
      </c>
      <c r="I4783" s="1" t="str">
        <f t="shared" si="446"/>
        <v>35300-004</v>
      </c>
      <c r="J4783" s="1" t="str">
        <f t="shared" si="447"/>
        <v>Cymbal retail item #004</v>
      </c>
      <c r="K4783" s="1" t="str">
        <f>IF(SUM(COUNTIFS(I:I, I4783)) &gt; 1, "DUPLICATE", "UNIQUE")</f>
        <v>UNIQUE</v>
      </c>
      <c r="L4783" s="18">
        <v>94</v>
      </c>
      <c r="M4783" s="28">
        <v>2300</v>
      </c>
      <c r="N4783" s="6">
        <v>5</v>
      </c>
      <c r="O4783" s="30">
        <f t="shared" si="448"/>
        <v>216200</v>
      </c>
      <c r="P4783" s="30">
        <f t="shared" si="449"/>
        <v>11500</v>
      </c>
      <c r="Q4783" s="1">
        <f>COUNTIFS($P:$P, "&gt;" &amp; $P4783) + 1</f>
        <v>1640</v>
      </c>
      <c r="R4783" s="63">
        <f>(COUNTIFS($P:$P, "&gt;" &amp; $P4783) + 1) / (COUNTA($I:$I) - 1)</f>
        <v>0.32800000000000001</v>
      </c>
      <c r="S4783" s="23">
        <f>SUMIFS($P:$P, $Q:$Q, "&lt;" &amp; $Q4783)</f>
        <v>176543595</v>
      </c>
    </row>
    <row r="4784" spans="1:19" x14ac:dyDescent="0.25">
      <c r="A4784" s="1">
        <v>4779</v>
      </c>
      <c r="B4784" s="1" t="s">
        <v>4</v>
      </c>
      <c r="C4784" s="1" t="str">
        <f>IF($B4784 = "Production Item", _xlfn.XLOOKUP($A4784, 'Instrument Table'!$J:$J, 'Instrument Table'!$B:$B, $C4783), IF($B4784 = "Service Item", _xlfn.XLOOKUP($A4784, 'Instrument Table'!$I:$I, 'Instrument Table'!$B:$B, $C4783), _xlfn.XLOOKUP($A4784, 'Instrument Table'!$H:$H, 'Instrument Table'!$B:$B, $C4783)))</f>
        <v>Theremin</v>
      </c>
      <c r="D4784" s="1" t="str">
        <f>VLOOKUP($C4784, 'Instrument Table'!$B:$C, 2, FALSE)</f>
        <v>Other</v>
      </c>
      <c r="E4784" s="1">
        <f t="shared" si="444"/>
        <v>3</v>
      </c>
      <c r="F4784" s="1">
        <f>_xlfn.XLOOKUP($C4784, 'Instrument Table'!$B:$B, 'Instrument Table'!$A:$A, "")</f>
        <v>60</v>
      </c>
      <c r="G4784" s="1" t="str">
        <f>TEXT(IF($B4784 = "Retail Item", IF((ROW($A4784) - 4504 - _xlfn.XMATCH($C4784, $C$4506:$C$5005, 0, 1)) &lt;= VLOOKUP($C4784, 'Instrument Table'!$B:$D, 3, FALSE), ROW($A4784) - 4504 - _xlfn.XMATCH($C4784, $C$4506:$C$5005, 0, 1), 0), 0), "00")</f>
        <v>01</v>
      </c>
      <c r="H4784" s="1" t="str">
        <f t="shared" si="445"/>
        <v>000</v>
      </c>
      <c r="I4784" s="1" t="str">
        <f t="shared" si="446"/>
        <v>36001-000</v>
      </c>
      <c r="J4784" s="1" t="str">
        <f t="shared" si="447"/>
        <v>Theremin model #01</v>
      </c>
      <c r="K4784" s="1" t="str">
        <f>IF(SUM(COUNTIFS(I:I, I4784)) &gt; 1, "DUPLICATE", "UNIQUE")</f>
        <v>UNIQUE</v>
      </c>
      <c r="L4784" s="18">
        <v>61</v>
      </c>
      <c r="M4784" s="28">
        <v>9014</v>
      </c>
      <c r="N4784" s="6">
        <v>84</v>
      </c>
      <c r="O4784" s="30">
        <f t="shared" si="448"/>
        <v>549854</v>
      </c>
      <c r="P4784" s="30">
        <f t="shared" si="449"/>
        <v>757176</v>
      </c>
      <c r="Q4784" s="1">
        <f>COUNTIFS($P:$P, "&gt;" &amp; $P4784) + 1</f>
        <v>27</v>
      </c>
      <c r="R4784" s="63">
        <f>(COUNTIFS($P:$P, "&gt;" &amp; $P4784) + 1) / (COUNTA($I:$I) - 1)</f>
        <v>5.4000000000000003E-3</v>
      </c>
      <c r="S4784" s="23">
        <f>SUMIFS($P:$P, $Q:$Q, "&lt;" &amp; $Q4784)</f>
        <v>21915978</v>
      </c>
    </row>
    <row r="4785" spans="1:19" x14ac:dyDescent="0.25">
      <c r="A4785" s="1">
        <v>4780</v>
      </c>
      <c r="B4785" s="1" t="s">
        <v>4</v>
      </c>
      <c r="C4785" s="1" t="str">
        <f>IF($B4785 = "Production Item", _xlfn.XLOOKUP($A4785, 'Instrument Table'!$J:$J, 'Instrument Table'!$B:$B, $C4784), IF($B4785 = "Service Item", _xlfn.XLOOKUP($A4785, 'Instrument Table'!$I:$I, 'Instrument Table'!$B:$B, $C4784), _xlfn.XLOOKUP($A4785, 'Instrument Table'!$H:$H, 'Instrument Table'!$B:$B, $C4784)))</f>
        <v>Theremin</v>
      </c>
      <c r="D4785" s="1" t="str">
        <f>VLOOKUP($C4785, 'Instrument Table'!$B:$C, 2, FALSE)</f>
        <v>Other</v>
      </c>
      <c r="E4785" s="1">
        <f t="shared" si="444"/>
        <v>3</v>
      </c>
      <c r="F4785" s="1">
        <f>_xlfn.XLOOKUP($C4785, 'Instrument Table'!$B:$B, 'Instrument Table'!$A:$A, "")</f>
        <v>60</v>
      </c>
      <c r="G4785" s="1" t="str">
        <f>TEXT(IF($B4785 = "Retail Item", IF((ROW($A4785) - 4504 - _xlfn.XMATCH($C4785, $C$4506:$C$5005, 0, 1)) &lt;= VLOOKUP($C4785, 'Instrument Table'!$B:$D, 3, FALSE), ROW($A4785) - 4504 - _xlfn.XMATCH($C4785, $C$4506:$C$5005, 0, 1), 0), 0), "00")</f>
        <v>00</v>
      </c>
      <c r="H4785" s="1" t="str">
        <f t="shared" si="445"/>
        <v>000</v>
      </c>
      <c r="I4785" s="1" t="str">
        <f t="shared" si="446"/>
        <v>36000-000</v>
      </c>
      <c r="J4785" s="1" t="str">
        <f t="shared" si="447"/>
        <v>Theremin retail item #000</v>
      </c>
      <c r="K4785" s="1" t="str">
        <f>IF(SUM(COUNTIFS(I:I, I4785)) &gt; 1, "DUPLICATE", "UNIQUE")</f>
        <v>UNIQUE</v>
      </c>
      <c r="L4785" s="18">
        <v>64</v>
      </c>
      <c r="M4785" s="28">
        <v>7351</v>
      </c>
      <c r="N4785" s="6">
        <v>10</v>
      </c>
      <c r="O4785" s="30">
        <f t="shared" si="448"/>
        <v>470464</v>
      </c>
      <c r="P4785" s="30">
        <f t="shared" si="449"/>
        <v>73510</v>
      </c>
      <c r="Q4785" s="1">
        <f>COUNTIFS($P:$P, "&gt;" &amp; $P4785) + 1</f>
        <v>462</v>
      </c>
      <c r="R4785" s="63">
        <f>(COUNTIFS($P:$P, "&gt;" &amp; $P4785) + 1) / (COUNTA($I:$I) - 1)</f>
        <v>9.2399999999999996E-2</v>
      </c>
      <c r="S4785" s="23">
        <f>SUMIFS($P:$P, $Q:$Q, "&lt;" &amp; $Q4785)</f>
        <v>148937548</v>
      </c>
    </row>
    <row r="4786" spans="1:19" x14ac:dyDescent="0.25">
      <c r="A4786" s="1">
        <v>4781</v>
      </c>
      <c r="B4786" s="1" t="s">
        <v>4</v>
      </c>
      <c r="C4786" s="1" t="str">
        <f>IF($B4786 = "Production Item", _xlfn.XLOOKUP($A4786, 'Instrument Table'!$J:$J, 'Instrument Table'!$B:$B, $C4785), IF($B4786 = "Service Item", _xlfn.XLOOKUP($A4786, 'Instrument Table'!$I:$I, 'Instrument Table'!$B:$B, $C4785), _xlfn.XLOOKUP($A4786, 'Instrument Table'!$H:$H, 'Instrument Table'!$B:$B, $C4785)))</f>
        <v>Theremin</v>
      </c>
      <c r="D4786" s="1" t="str">
        <f>VLOOKUP($C4786, 'Instrument Table'!$B:$C, 2, FALSE)</f>
        <v>Other</v>
      </c>
      <c r="E4786" s="1">
        <f t="shared" si="444"/>
        <v>3</v>
      </c>
      <c r="F4786" s="1">
        <f>_xlfn.XLOOKUP($C4786, 'Instrument Table'!$B:$B, 'Instrument Table'!$A:$A, "")</f>
        <v>60</v>
      </c>
      <c r="G4786" s="1" t="str">
        <f>TEXT(IF($B4786 = "Retail Item", IF((ROW($A4786) - 4504 - _xlfn.XMATCH($C4786, $C$4506:$C$5005, 0, 1)) &lt;= VLOOKUP($C4786, 'Instrument Table'!$B:$D, 3, FALSE), ROW($A4786) - 4504 - _xlfn.XMATCH($C4786, $C$4506:$C$5005, 0, 1), 0), 0), "00")</f>
        <v>00</v>
      </c>
      <c r="H4786" s="1" t="str">
        <f t="shared" si="445"/>
        <v>001</v>
      </c>
      <c r="I4786" s="1" t="str">
        <f t="shared" si="446"/>
        <v>36000-001</v>
      </c>
      <c r="J4786" s="1" t="str">
        <f t="shared" si="447"/>
        <v>Theremin retail item #001</v>
      </c>
      <c r="K4786" s="1" t="str">
        <f>IF(SUM(COUNTIFS(I:I, I4786)) &gt; 1, "DUPLICATE", "UNIQUE")</f>
        <v>UNIQUE</v>
      </c>
      <c r="L4786" s="18">
        <v>76</v>
      </c>
      <c r="M4786" s="28">
        <v>4351</v>
      </c>
      <c r="N4786" s="6">
        <v>56</v>
      </c>
      <c r="O4786" s="30">
        <f t="shared" si="448"/>
        <v>330676</v>
      </c>
      <c r="P4786" s="30">
        <f t="shared" si="449"/>
        <v>243656</v>
      </c>
      <c r="Q4786" s="1">
        <f>COUNTIFS($P:$P, "&gt;" &amp; $P4786) + 1</f>
        <v>250</v>
      </c>
      <c r="R4786" s="63">
        <f>(COUNTIFS($P:$P, "&gt;" &amp; $P4786) + 1) / (COUNTA($I:$I) - 1)</f>
        <v>0.05</v>
      </c>
      <c r="S4786" s="23">
        <f>SUMIFS($P:$P, $Q:$Q, "&lt;" &amp; $Q4786)</f>
        <v>118681725</v>
      </c>
    </row>
    <row r="4787" spans="1:19" x14ac:dyDescent="0.25">
      <c r="A4787" s="1">
        <v>4782</v>
      </c>
      <c r="B4787" s="1" t="s">
        <v>4</v>
      </c>
      <c r="C4787" s="1" t="str">
        <f>IF($B4787 = "Production Item", _xlfn.XLOOKUP($A4787, 'Instrument Table'!$J:$J, 'Instrument Table'!$B:$B, $C4786), IF($B4787 = "Service Item", _xlfn.XLOOKUP($A4787, 'Instrument Table'!$I:$I, 'Instrument Table'!$B:$B, $C4786), _xlfn.XLOOKUP($A4787, 'Instrument Table'!$H:$H, 'Instrument Table'!$B:$B, $C4786)))</f>
        <v>Theremin</v>
      </c>
      <c r="D4787" s="1" t="str">
        <f>VLOOKUP($C4787, 'Instrument Table'!$B:$C, 2, FALSE)</f>
        <v>Other</v>
      </c>
      <c r="E4787" s="1">
        <f t="shared" si="444"/>
        <v>3</v>
      </c>
      <c r="F4787" s="1">
        <f>_xlfn.XLOOKUP($C4787, 'Instrument Table'!$B:$B, 'Instrument Table'!$A:$A, "")</f>
        <v>60</v>
      </c>
      <c r="G4787" s="1" t="str">
        <f>TEXT(IF($B4787 = "Retail Item", IF((ROW($A4787) - 4504 - _xlfn.XMATCH($C4787, $C$4506:$C$5005, 0, 1)) &lt;= VLOOKUP($C4787, 'Instrument Table'!$B:$D, 3, FALSE), ROW($A4787) - 4504 - _xlfn.XMATCH($C4787, $C$4506:$C$5005, 0, 1), 0), 0), "00")</f>
        <v>00</v>
      </c>
      <c r="H4787" s="1" t="str">
        <f t="shared" si="445"/>
        <v>002</v>
      </c>
      <c r="I4787" s="1" t="str">
        <f t="shared" si="446"/>
        <v>36000-002</v>
      </c>
      <c r="J4787" s="1" t="str">
        <f t="shared" si="447"/>
        <v>Theremin retail item #002</v>
      </c>
      <c r="K4787" s="1" t="str">
        <f>IF(SUM(COUNTIFS(I:I, I4787)) &gt; 1, "DUPLICATE", "UNIQUE")</f>
        <v>UNIQUE</v>
      </c>
      <c r="L4787" s="18">
        <v>56</v>
      </c>
      <c r="M4787" s="28">
        <v>9198</v>
      </c>
      <c r="N4787" s="6">
        <v>65</v>
      </c>
      <c r="O4787" s="30">
        <f t="shared" si="448"/>
        <v>515088</v>
      </c>
      <c r="P4787" s="30">
        <f t="shared" si="449"/>
        <v>597870</v>
      </c>
      <c r="Q4787" s="1">
        <f>COUNTIFS($P:$P, "&gt;" &amp; $P4787) + 1</f>
        <v>64</v>
      </c>
      <c r="R4787" s="63">
        <f>(COUNTIFS($P:$P, "&gt;" &amp; $P4787) + 1) / (COUNTA($I:$I) - 1)</f>
        <v>1.2800000000000001E-2</v>
      </c>
      <c r="S4787" s="23">
        <f>SUMIFS($P:$P, $Q:$Q, "&lt;" &amp; $Q4787)</f>
        <v>46637660</v>
      </c>
    </row>
    <row r="4788" spans="1:19" x14ac:dyDescent="0.25">
      <c r="A4788" s="1">
        <v>4783</v>
      </c>
      <c r="B4788" s="1" t="s">
        <v>4</v>
      </c>
      <c r="C4788" s="1" t="str">
        <f>IF($B4788 = "Production Item", _xlfn.XLOOKUP($A4788, 'Instrument Table'!$J:$J, 'Instrument Table'!$B:$B, $C4787), IF($B4788 = "Service Item", _xlfn.XLOOKUP($A4788, 'Instrument Table'!$I:$I, 'Instrument Table'!$B:$B, $C4787), _xlfn.XLOOKUP($A4788, 'Instrument Table'!$H:$H, 'Instrument Table'!$B:$B, $C4787)))</f>
        <v>Theremin</v>
      </c>
      <c r="D4788" s="1" t="str">
        <f>VLOOKUP($C4788, 'Instrument Table'!$B:$C, 2, FALSE)</f>
        <v>Other</v>
      </c>
      <c r="E4788" s="1">
        <f t="shared" si="444"/>
        <v>3</v>
      </c>
      <c r="F4788" s="1">
        <f>_xlfn.XLOOKUP($C4788, 'Instrument Table'!$B:$B, 'Instrument Table'!$A:$A, "")</f>
        <v>60</v>
      </c>
      <c r="G4788" s="1" t="str">
        <f>TEXT(IF($B4788 = "Retail Item", IF((ROW($A4788) - 4504 - _xlfn.XMATCH($C4788, $C$4506:$C$5005, 0, 1)) &lt;= VLOOKUP($C4788, 'Instrument Table'!$B:$D, 3, FALSE), ROW($A4788) - 4504 - _xlfn.XMATCH($C4788, $C$4506:$C$5005, 0, 1), 0), 0), "00")</f>
        <v>00</v>
      </c>
      <c r="H4788" s="1" t="str">
        <f t="shared" si="445"/>
        <v>003</v>
      </c>
      <c r="I4788" s="1" t="str">
        <f t="shared" si="446"/>
        <v>36000-003</v>
      </c>
      <c r="J4788" s="1" t="str">
        <f t="shared" si="447"/>
        <v>Theremin retail item #003</v>
      </c>
      <c r="K4788" s="1" t="str">
        <f>IF(SUM(COUNTIFS(I:I, I4788)) &gt; 1, "DUPLICATE", "UNIQUE")</f>
        <v>UNIQUE</v>
      </c>
      <c r="L4788" s="18">
        <v>4</v>
      </c>
      <c r="M4788" s="28">
        <v>4455</v>
      </c>
      <c r="N4788" s="6">
        <v>15</v>
      </c>
      <c r="O4788" s="30">
        <f t="shared" si="448"/>
        <v>17820</v>
      </c>
      <c r="P4788" s="30">
        <f t="shared" si="449"/>
        <v>66825</v>
      </c>
      <c r="Q4788" s="1">
        <f>COUNTIFS($P:$P, "&gt;" &amp; $P4788) + 1</f>
        <v>480</v>
      </c>
      <c r="R4788" s="63">
        <f>(COUNTIFS($P:$P, "&gt;" &amp; $P4788) + 1) / (COUNTA($I:$I) - 1)</f>
        <v>9.6000000000000002E-2</v>
      </c>
      <c r="S4788" s="23">
        <f>SUMIFS($P:$P, $Q:$Q, "&lt;" &amp; $Q4788)</f>
        <v>150188390</v>
      </c>
    </row>
    <row r="4789" spans="1:19" x14ac:dyDescent="0.25">
      <c r="A4789" s="1">
        <v>4784</v>
      </c>
      <c r="B4789" s="1" t="s">
        <v>4</v>
      </c>
      <c r="C4789" s="1" t="str">
        <f>IF($B4789 = "Production Item", _xlfn.XLOOKUP($A4789, 'Instrument Table'!$J:$J, 'Instrument Table'!$B:$B, $C4788), IF($B4789 = "Service Item", _xlfn.XLOOKUP($A4789, 'Instrument Table'!$I:$I, 'Instrument Table'!$B:$B, $C4788), _xlfn.XLOOKUP($A4789, 'Instrument Table'!$H:$H, 'Instrument Table'!$B:$B, $C4788)))</f>
        <v>Theremin</v>
      </c>
      <c r="D4789" s="1" t="str">
        <f>VLOOKUP($C4789, 'Instrument Table'!$B:$C, 2, FALSE)</f>
        <v>Other</v>
      </c>
      <c r="E4789" s="1">
        <f t="shared" si="444"/>
        <v>3</v>
      </c>
      <c r="F4789" s="1">
        <f>_xlfn.XLOOKUP($C4789, 'Instrument Table'!$B:$B, 'Instrument Table'!$A:$A, "")</f>
        <v>60</v>
      </c>
      <c r="G4789" s="1" t="str">
        <f>TEXT(IF($B4789 = "Retail Item", IF((ROW($A4789) - 4504 - _xlfn.XMATCH($C4789, $C$4506:$C$5005, 0, 1)) &lt;= VLOOKUP($C4789, 'Instrument Table'!$B:$D, 3, FALSE), ROW($A4789) - 4504 - _xlfn.XMATCH($C4789, $C$4506:$C$5005, 0, 1), 0), 0), "00")</f>
        <v>00</v>
      </c>
      <c r="H4789" s="1" t="str">
        <f t="shared" si="445"/>
        <v>004</v>
      </c>
      <c r="I4789" s="1" t="str">
        <f t="shared" si="446"/>
        <v>36000-004</v>
      </c>
      <c r="J4789" s="1" t="str">
        <f t="shared" si="447"/>
        <v>Theremin retail item #004</v>
      </c>
      <c r="K4789" s="1" t="str">
        <f>IF(SUM(COUNTIFS(I:I, I4789)) &gt; 1, "DUPLICATE", "UNIQUE")</f>
        <v>UNIQUE</v>
      </c>
      <c r="L4789" s="18">
        <v>42</v>
      </c>
      <c r="M4789" s="28">
        <v>4260</v>
      </c>
      <c r="N4789" s="6">
        <v>48</v>
      </c>
      <c r="O4789" s="30">
        <f t="shared" si="448"/>
        <v>178920</v>
      </c>
      <c r="P4789" s="30">
        <f t="shared" si="449"/>
        <v>204480</v>
      </c>
      <c r="Q4789" s="1">
        <f>COUNTIFS($P:$P, "&gt;" &amp; $P4789) + 1</f>
        <v>286</v>
      </c>
      <c r="R4789" s="63">
        <f>(COUNTIFS($P:$P, "&gt;" &amp; $P4789) + 1) / (COUNTA($I:$I) - 1)</f>
        <v>5.7200000000000001E-2</v>
      </c>
      <c r="S4789" s="23">
        <f>SUMIFS($P:$P, $Q:$Q, "&lt;" &amp; $Q4789)</f>
        <v>126811787</v>
      </c>
    </row>
    <row r="4790" spans="1:19" x14ac:dyDescent="0.25">
      <c r="A4790" s="1">
        <v>4785</v>
      </c>
      <c r="B4790" s="1" t="s">
        <v>4</v>
      </c>
      <c r="C4790" s="1" t="str">
        <f>IF($B4790 = "Production Item", _xlfn.XLOOKUP($A4790, 'Instrument Table'!$J:$J, 'Instrument Table'!$B:$B, $C4789), IF($B4790 = "Service Item", _xlfn.XLOOKUP($A4790, 'Instrument Table'!$I:$I, 'Instrument Table'!$B:$B, $C4789), _xlfn.XLOOKUP($A4790, 'Instrument Table'!$H:$H, 'Instrument Table'!$B:$B, $C4789)))</f>
        <v>Theremin</v>
      </c>
      <c r="D4790" s="1" t="str">
        <f>VLOOKUP($C4790, 'Instrument Table'!$B:$C, 2, FALSE)</f>
        <v>Other</v>
      </c>
      <c r="E4790" s="1">
        <f t="shared" si="444"/>
        <v>3</v>
      </c>
      <c r="F4790" s="1">
        <f>_xlfn.XLOOKUP($C4790, 'Instrument Table'!$B:$B, 'Instrument Table'!$A:$A, "")</f>
        <v>60</v>
      </c>
      <c r="G4790" s="1" t="str">
        <f>TEXT(IF($B4790 = "Retail Item", IF((ROW($A4790) - 4504 - _xlfn.XMATCH($C4790, $C$4506:$C$5005, 0, 1)) &lt;= VLOOKUP($C4790, 'Instrument Table'!$B:$D, 3, FALSE), ROW($A4790) - 4504 - _xlfn.XMATCH($C4790, $C$4506:$C$5005, 0, 1), 0), 0), "00")</f>
        <v>00</v>
      </c>
      <c r="H4790" s="1" t="str">
        <f t="shared" si="445"/>
        <v>005</v>
      </c>
      <c r="I4790" s="1" t="str">
        <f t="shared" si="446"/>
        <v>36000-005</v>
      </c>
      <c r="J4790" s="1" t="str">
        <f t="shared" si="447"/>
        <v>Theremin retail item #005</v>
      </c>
      <c r="K4790" s="1" t="str">
        <f>IF(SUM(COUNTIFS(I:I, I4790)) &gt; 1, "DUPLICATE", "UNIQUE")</f>
        <v>UNIQUE</v>
      </c>
      <c r="L4790" s="18">
        <v>32</v>
      </c>
      <c r="M4790" s="28">
        <v>2234</v>
      </c>
      <c r="N4790" s="6">
        <v>75</v>
      </c>
      <c r="O4790" s="30">
        <f t="shared" si="448"/>
        <v>71488</v>
      </c>
      <c r="P4790" s="30">
        <f t="shared" si="449"/>
        <v>167550</v>
      </c>
      <c r="Q4790" s="1">
        <f>COUNTIFS($P:$P, "&gt;" &amp; $P4790) + 1</f>
        <v>312</v>
      </c>
      <c r="R4790" s="63">
        <f>(COUNTIFS($P:$P, "&gt;" &amp; $P4790) + 1) / (COUNTA($I:$I) - 1)</f>
        <v>6.2399999999999997E-2</v>
      </c>
      <c r="S4790" s="23">
        <f>SUMIFS($P:$P, $Q:$Q, "&lt;" &amp; $Q4790)</f>
        <v>131667199</v>
      </c>
    </row>
    <row r="4791" spans="1:19" x14ac:dyDescent="0.25">
      <c r="A4791" s="1">
        <v>4786</v>
      </c>
      <c r="B4791" s="1" t="s">
        <v>4</v>
      </c>
      <c r="C4791" s="1" t="str">
        <f>IF($B4791 = "Production Item", _xlfn.XLOOKUP($A4791, 'Instrument Table'!$J:$J, 'Instrument Table'!$B:$B, $C4790), IF($B4791 = "Service Item", _xlfn.XLOOKUP($A4791, 'Instrument Table'!$I:$I, 'Instrument Table'!$B:$B, $C4790), _xlfn.XLOOKUP($A4791, 'Instrument Table'!$H:$H, 'Instrument Table'!$B:$B, $C4790)))</f>
        <v>Theremin</v>
      </c>
      <c r="D4791" s="1" t="str">
        <f>VLOOKUP($C4791, 'Instrument Table'!$B:$C, 2, FALSE)</f>
        <v>Other</v>
      </c>
      <c r="E4791" s="1">
        <f t="shared" si="444"/>
        <v>3</v>
      </c>
      <c r="F4791" s="1">
        <f>_xlfn.XLOOKUP($C4791, 'Instrument Table'!$B:$B, 'Instrument Table'!$A:$A, "")</f>
        <v>60</v>
      </c>
      <c r="G4791" s="1" t="str">
        <f>TEXT(IF($B4791 = "Retail Item", IF((ROW($A4791) - 4504 - _xlfn.XMATCH($C4791, $C$4506:$C$5005, 0, 1)) &lt;= VLOOKUP($C4791, 'Instrument Table'!$B:$D, 3, FALSE), ROW($A4791) - 4504 - _xlfn.XMATCH($C4791, $C$4506:$C$5005, 0, 1), 0), 0), "00")</f>
        <v>00</v>
      </c>
      <c r="H4791" s="1" t="str">
        <f t="shared" si="445"/>
        <v>006</v>
      </c>
      <c r="I4791" s="1" t="str">
        <f t="shared" si="446"/>
        <v>36000-006</v>
      </c>
      <c r="J4791" s="1" t="str">
        <f t="shared" si="447"/>
        <v>Theremin retail item #006</v>
      </c>
      <c r="K4791" s="1" t="str">
        <f>IF(SUM(COUNTIFS(I:I, I4791)) &gt; 1, "DUPLICATE", "UNIQUE")</f>
        <v>UNIQUE</v>
      </c>
      <c r="L4791" s="18">
        <v>39</v>
      </c>
      <c r="M4791" s="28">
        <v>6122</v>
      </c>
      <c r="N4791" s="6">
        <v>44</v>
      </c>
      <c r="O4791" s="30">
        <f t="shared" si="448"/>
        <v>238758</v>
      </c>
      <c r="P4791" s="30">
        <f t="shared" si="449"/>
        <v>269368</v>
      </c>
      <c r="Q4791" s="1">
        <f>COUNTIFS($P:$P, "&gt;" &amp; $P4791) + 1</f>
        <v>229</v>
      </c>
      <c r="R4791" s="63">
        <f>(COUNTIFS($P:$P, "&gt;" &amp; $P4791) + 1) / (COUNTA($I:$I) - 1)</f>
        <v>4.58E-2</v>
      </c>
      <c r="S4791" s="23">
        <f>SUMIFS($P:$P, $Q:$Q, "&lt;" &amp; $Q4791)</f>
        <v>113271073</v>
      </c>
    </row>
    <row r="4792" spans="1:19" x14ac:dyDescent="0.25">
      <c r="A4792" s="1">
        <v>4787</v>
      </c>
      <c r="B4792" s="1" t="s">
        <v>4</v>
      </c>
      <c r="C4792" s="1" t="str">
        <f>IF($B4792 = "Production Item", _xlfn.XLOOKUP($A4792, 'Instrument Table'!$J:$J, 'Instrument Table'!$B:$B, $C4791), IF($B4792 = "Service Item", _xlfn.XLOOKUP($A4792, 'Instrument Table'!$I:$I, 'Instrument Table'!$B:$B, $C4791), _xlfn.XLOOKUP($A4792, 'Instrument Table'!$H:$H, 'Instrument Table'!$B:$B, $C4791)))</f>
        <v>Theremin</v>
      </c>
      <c r="D4792" s="1" t="str">
        <f>VLOOKUP($C4792, 'Instrument Table'!$B:$C, 2, FALSE)</f>
        <v>Other</v>
      </c>
      <c r="E4792" s="1">
        <f t="shared" si="444"/>
        <v>3</v>
      </c>
      <c r="F4792" s="1">
        <f>_xlfn.XLOOKUP($C4792, 'Instrument Table'!$B:$B, 'Instrument Table'!$A:$A, "")</f>
        <v>60</v>
      </c>
      <c r="G4792" s="1" t="str">
        <f>TEXT(IF($B4792 = "Retail Item", IF((ROW($A4792) - 4504 - _xlfn.XMATCH($C4792, $C$4506:$C$5005, 0, 1)) &lt;= VLOOKUP($C4792, 'Instrument Table'!$B:$D, 3, FALSE), ROW($A4792) - 4504 - _xlfn.XMATCH($C4792, $C$4506:$C$5005, 0, 1), 0), 0), "00")</f>
        <v>00</v>
      </c>
      <c r="H4792" s="1" t="str">
        <f t="shared" si="445"/>
        <v>007</v>
      </c>
      <c r="I4792" s="1" t="str">
        <f t="shared" si="446"/>
        <v>36000-007</v>
      </c>
      <c r="J4792" s="1" t="str">
        <f t="shared" si="447"/>
        <v>Theremin retail item #007</v>
      </c>
      <c r="K4792" s="1" t="str">
        <f>IF(SUM(COUNTIFS(I:I, I4792)) &gt; 1, "DUPLICATE", "UNIQUE")</f>
        <v>UNIQUE</v>
      </c>
      <c r="L4792" s="18">
        <v>23</v>
      </c>
      <c r="M4792" s="28">
        <v>6148</v>
      </c>
      <c r="N4792" s="6">
        <v>23</v>
      </c>
      <c r="O4792" s="30">
        <f t="shared" si="448"/>
        <v>141404</v>
      </c>
      <c r="P4792" s="30">
        <f t="shared" si="449"/>
        <v>141404</v>
      </c>
      <c r="Q4792" s="1">
        <f>COUNTIFS($P:$P, "&gt;" &amp; $P4792) + 1</f>
        <v>344</v>
      </c>
      <c r="R4792" s="63">
        <f>(COUNTIFS($P:$P, "&gt;" &amp; $P4792) + 1) / (COUNTA($I:$I) - 1)</f>
        <v>6.88E-2</v>
      </c>
      <c r="S4792" s="23">
        <f>SUMIFS($P:$P, $Q:$Q, "&lt;" &amp; $Q4792)</f>
        <v>136631741</v>
      </c>
    </row>
    <row r="4793" spans="1:19" x14ac:dyDescent="0.25">
      <c r="A4793" s="1">
        <v>4788</v>
      </c>
      <c r="B4793" s="1" t="s">
        <v>4</v>
      </c>
      <c r="C4793" s="1" t="str">
        <f>IF($B4793 = "Production Item", _xlfn.XLOOKUP($A4793, 'Instrument Table'!$J:$J, 'Instrument Table'!$B:$B, $C4792), IF($B4793 = "Service Item", _xlfn.XLOOKUP($A4793, 'Instrument Table'!$I:$I, 'Instrument Table'!$B:$B, $C4792), _xlfn.XLOOKUP($A4793, 'Instrument Table'!$H:$H, 'Instrument Table'!$B:$B, $C4792)))</f>
        <v>Theremin</v>
      </c>
      <c r="D4793" s="1" t="str">
        <f>VLOOKUP($C4793, 'Instrument Table'!$B:$C, 2, FALSE)</f>
        <v>Other</v>
      </c>
      <c r="E4793" s="1">
        <f t="shared" si="444"/>
        <v>3</v>
      </c>
      <c r="F4793" s="1">
        <f>_xlfn.XLOOKUP($C4793, 'Instrument Table'!$B:$B, 'Instrument Table'!$A:$A, "")</f>
        <v>60</v>
      </c>
      <c r="G4793" s="1" t="str">
        <f>TEXT(IF($B4793 = "Retail Item", IF((ROW($A4793) - 4504 - _xlfn.XMATCH($C4793, $C$4506:$C$5005, 0, 1)) &lt;= VLOOKUP($C4793, 'Instrument Table'!$B:$D, 3, FALSE), ROW($A4793) - 4504 - _xlfn.XMATCH($C4793, $C$4506:$C$5005, 0, 1), 0), 0), "00")</f>
        <v>00</v>
      </c>
      <c r="H4793" s="1" t="str">
        <f t="shared" si="445"/>
        <v>008</v>
      </c>
      <c r="I4793" s="1" t="str">
        <f t="shared" si="446"/>
        <v>36000-008</v>
      </c>
      <c r="J4793" s="1" t="str">
        <f t="shared" si="447"/>
        <v>Theremin retail item #008</v>
      </c>
      <c r="K4793" s="1" t="str">
        <f>IF(SUM(COUNTIFS(I:I, I4793)) &gt; 1, "DUPLICATE", "UNIQUE")</f>
        <v>UNIQUE</v>
      </c>
      <c r="L4793" s="18">
        <v>31</v>
      </c>
      <c r="M4793" s="28">
        <v>5800</v>
      </c>
      <c r="N4793" s="6">
        <v>63</v>
      </c>
      <c r="O4793" s="30">
        <f t="shared" si="448"/>
        <v>179800</v>
      </c>
      <c r="P4793" s="30">
        <f t="shared" si="449"/>
        <v>365400</v>
      </c>
      <c r="Q4793" s="1">
        <f>COUNTIFS($P:$P, "&gt;" &amp; $P4793) + 1</f>
        <v>158</v>
      </c>
      <c r="R4793" s="63">
        <f>(COUNTIFS($P:$P, "&gt;" &amp; $P4793) + 1) / (COUNTA($I:$I) - 1)</f>
        <v>3.1600000000000003E-2</v>
      </c>
      <c r="S4793" s="23">
        <f>SUMIFS($P:$P, $Q:$Q, "&lt;" &amp; $Q4793)</f>
        <v>90964501</v>
      </c>
    </row>
    <row r="4794" spans="1:19" x14ac:dyDescent="0.25">
      <c r="A4794" s="1">
        <v>4789</v>
      </c>
      <c r="B4794" s="1" t="s">
        <v>4</v>
      </c>
      <c r="C4794" s="1" t="str">
        <f>IF($B4794 = "Production Item", _xlfn.XLOOKUP($A4794, 'Instrument Table'!$J:$J, 'Instrument Table'!$B:$B, $C4793), IF($B4794 = "Service Item", _xlfn.XLOOKUP($A4794, 'Instrument Table'!$I:$I, 'Instrument Table'!$B:$B, $C4793), _xlfn.XLOOKUP($A4794, 'Instrument Table'!$H:$H, 'Instrument Table'!$B:$B, $C4793)))</f>
        <v>Theremin</v>
      </c>
      <c r="D4794" s="1" t="str">
        <f>VLOOKUP($C4794, 'Instrument Table'!$B:$C, 2, FALSE)</f>
        <v>Other</v>
      </c>
      <c r="E4794" s="1">
        <f t="shared" si="444"/>
        <v>3</v>
      </c>
      <c r="F4794" s="1">
        <f>_xlfn.XLOOKUP($C4794, 'Instrument Table'!$B:$B, 'Instrument Table'!$A:$A, "")</f>
        <v>60</v>
      </c>
      <c r="G4794" s="1" t="str">
        <f>TEXT(IF($B4794 = "Retail Item", IF((ROW($A4794) - 4504 - _xlfn.XMATCH($C4794, $C$4506:$C$5005, 0, 1)) &lt;= VLOOKUP($C4794, 'Instrument Table'!$B:$D, 3, FALSE), ROW($A4794) - 4504 - _xlfn.XMATCH($C4794, $C$4506:$C$5005, 0, 1), 0), 0), "00")</f>
        <v>00</v>
      </c>
      <c r="H4794" s="1" t="str">
        <f t="shared" si="445"/>
        <v>009</v>
      </c>
      <c r="I4794" s="1" t="str">
        <f t="shared" si="446"/>
        <v>36000-009</v>
      </c>
      <c r="J4794" s="1" t="str">
        <f t="shared" si="447"/>
        <v>Theremin retail item #009</v>
      </c>
      <c r="K4794" s="1" t="str">
        <f>IF(SUM(COUNTIFS(I:I, I4794)) &gt; 1, "DUPLICATE", "UNIQUE")</f>
        <v>UNIQUE</v>
      </c>
      <c r="L4794" s="18">
        <v>42</v>
      </c>
      <c r="M4794" s="28">
        <v>3722</v>
      </c>
      <c r="N4794" s="6">
        <v>41</v>
      </c>
      <c r="O4794" s="30">
        <f t="shared" si="448"/>
        <v>156324</v>
      </c>
      <c r="P4794" s="30">
        <f t="shared" si="449"/>
        <v>152602</v>
      </c>
      <c r="Q4794" s="1">
        <f>COUNTIFS($P:$P, "&gt;" &amp; $P4794) + 1</f>
        <v>331</v>
      </c>
      <c r="R4794" s="63">
        <f>(COUNTIFS($P:$P, "&gt;" &amp; $P4794) + 1) / (COUNTA($I:$I) - 1)</f>
        <v>6.6199999999999995E-2</v>
      </c>
      <c r="S4794" s="23">
        <f>SUMIFS($P:$P, $Q:$Q, "&lt;" &amp; $Q4794)</f>
        <v>134714221</v>
      </c>
    </row>
    <row r="4795" spans="1:19" x14ac:dyDescent="0.25">
      <c r="A4795" s="1">
        <v>4790</v>
      </c>
      <c r="B4795" s="1" t="s">
        <v>4</v>
      </c>
      <c r="C4795" s="1" t="str">
        <f>IF($B4795 = "Production Item", _xlfn.XLOOKUP($A4795, 'Instrument Table'!$J:$J, 'Instrument Table'!$B:$B, $C4794), IF($B4795 = "Service Item", _xlfn.XLOOKUP($A4795, 'Instrument Table'!$I:$I, 'Instrument Table'!$B:$B, $C4794), _xlfn.XLOOKUP($A4795, 'Instrument Table'!$H:$H, 'Instrument Table'!$B:$B, $C4794)))</f>
        <v>Theremin</v>
      </c>
      <c r="D4795" s="1" t="str">
        <f>VLOOKUP($C4795, 'Instrument Table'!$B:$C, 2, FALSE)</f>
        <v>Other</v>
      </c>
      <c r="E4795" s="1">
        <f t="shared" si="444"/>
        <v>3</v>
      </c>
      <c r="F4795" s="1">
        <f>_xlfn.XLOOKUP($C4795, 'Instrument Table'!$B:$B, 'Instrument Table'!$A:$A, "")</f>
        <v>60</v>
      </c>
      <c r="G4795" s="1" t="str">
        <f>TEXT(IF($B4795 = "Retail Item", IF((ROW($A4795) - 4504 - _xlfn.XMATCH($C4795, $C$4506:$C$5005, 0, 1)) &lt;= VLOOKUP($C4795, 'Instrument Table'!$B:$D, 3, FALSE), ROW($A4795) - 4504 - _xlfn.XMATCH($C4795, $C$4506:$C$5005, 0, 1), 0), 0), "00")</f>
        <v>00</v>
      </c>
      <c r="H4795" s="1" t="str">
        <f t="shared" si="445"/>
        <v>010</v>
      </c>
      <c r="I4795" s="1" t="str">
        <f t="shared" si="446"/>
        <v>36000-010</v>
      </c>
      <c r="J4795" s="1" t="str">
        <f t="shared" si="447"/>
        <v>Theremin retail item #010</v>
      </c>
      <c r="K4795" s="1" t="str">
        <f>IF(SUM(COUNTIFS(I:I, I4795)) &gt; 1, "DUPLICATE", "UNIQUE")</f>
        <v>UNIQUE</v>
      </c>
      <c r="L4795" s="18">
        <v>31</v>
      </c>
      <c r="M4795" s="28">
        <v>1343</v>
      </c>
      <c r="N4795" s="6">
        <v>23</v>
      </c>
      <c r="O4795" s="30">
        <f t="shared" si="448"/>
        <v>41633</v>
      </c>
      <c r="P4795" s="30">
        <f t="shared" si="449"/>
        <v>30889</v>
      </c>
      <c r="Q4795" s="1">
        <f>COUNTIFS($P:$P, "&gt;" &amp; $P4795) + 1</f>
        <v>675</v>
      </c>
      <c r="R4795" s="63">
        <f>(COUNTIFS($P:$P, "&gt;" &amp; $P4795) + 1) / (COUNTA($I:$I) - 1)</f>
        <v>0.13500000000000001</v>
      </c>
      <c r="S4795" s="23">
        <f>SUMIFS($P:$P, $Q:$Q, "&lt;" &amp; $Q4795)</f>
        <v>158331385</v>
      </c>
    </row>
    <row r="4796" spans="1:19" x14ac:dyDescent="0.25">
      <c r="A4796" s="1">
        <v>4791</v>
      </c>
      <c r="B4796" s="1" t="s">
        <v>4</v>
      </c>
      <c r="C4796" s="1" t="str">
        <f>IF($B4796 = "Production Item", _xlfn.XLOOKUP($A4796, 'Instrument Table'!$J:$J, 'Instrument Table'!$B:$B, $C4795), IF($B4796 = "Service Item", _xlfn.XLOOKUP($A4796, 'Instrument Table'!$I:$I, 'Instrument Table'!$B:$B, $C4795), _xlfn.XLOOKUP($A4796, 'Instrument Table'!$H:$H, 'Instrument Table'!$B:$B, $C4795)))</f>
        <v>Theremin</v>
      </c>
      <c r="D4796" s="1" t="str">
        <f>VLOOKUP($C4796, 'Instrument Table'!$B:$C, 2, FALSE)</f>
        <v>Other</v>
      </c>
      <c r="E4796" s="1">
        <f t="shared" si="444"/>
        <v>3</v>
      </c>
      <c r="F4796" s="1">
        <f>_xlfn.XLOOKUP($C4796, 'Instrument Table'!$B:$B, 'Instrument Table'!$A:$A, "")</f>
        <v>60</v>
      </c>
      <c r="G4796" s="1" t="str">
        <f>TEXT(IF($B4796 = "Retail Item", IF((ROW($A4796) - 4504 - _xlfn.XMATCH($C4796, $C$4506:$C$5005, 0, 1)) &lt;= VLOOKUP($C4796, 'Instrument Table'!$B:$D, 3, FALSE), ROW($A4796) - 4504 - _xlfn.XMATCH($C4796, $C$4506:$C$5005, 0, 1), 0), 0), "00")</f>
        <v>00</v>
      </c>
      <c r="H4796" s="1" t="str">
        <f t="shared" si="445"/>
        <v>011</v>
      </c>
      <c r="I4796" s="1" t="str">
        <f t="shared" si="446"/>
        <v>36000-011</v>
      </c>
      <c r="J4796" s="1" t="str">
        <f t="shared" si="447"/>
        <v>Theremin retail item #011</v>
      </c>
      <c r="K4796" s="1" t="str">
        <f>IF(SUM(COUNTIFS(I:I, I4796)) &gt; 1, "DUPLICATE", "UNIQUE")</f>
        <v>UNIQUE</v>
      </c>
      <c r="L4796" s="18">
        <v>87</v>
      </c>
      <c r="M4796" s="28">
        <v>8241</v>
      </c>
      <c r="N4796" s="6">
        <v>96</v>
      </c>
      <c r="O4796" s="30">
        <f t="shared" si="448"/>
        <v>716967</v>
      </c>
      <c r="P4796" s="30">
        <f t="shared" si="449"/>
        <v>791136</v>
      </c>
      <c r="Q4796" s="1">
        <f>COUNTIFS($P:$P, "&gt;" &amp; $P4796) + 1</f>
        <v>19</v>
      </c>
      <c r="R4796" s="63">
        <f>(COUNTIFS($P:$P, "&gt;" &amp; $P4796) + 1) / (COUNTA($I:$I) - 1)</f>
        <v>3.8E-3</v>
      </c>
      <c r="S4796" s="23">
        <f>SUMIFS($P:$P, $Q:$Q, "&lt;" &amp; $Q4796)</f>
        <v>15729243</v>
      </c>
    </row>
    <row r="4797" spans="1:19" x14ac:dyDescent="0.25">
      <c r="A4797" s="1">
        <v>4792</v>
      </c>
      <c r="B4797" s="1" t="s">
        <v>4</v>
      </c>
      <c r="C4797" s="1" t="str">
        <f>IF($B4797 = "Production Item", _xlfn.XLOOKUP($A4797, 'Instrument Table'!$J:$J, 'Instrument Table'!$B:$B, $C4796), IF($B4797 = "Service Item", _xlfn.XLOOKUP($A4797, 'Instrument Table'!$I:$I, 'Instrument Table'!$B:$B, $C4796), _xlfn.XLOOKUP($A4797, 'Instrument Table'!$H:$H, 'Instrument Table'!$B:$B, $C4796)))</f>
        <v>Theremin</v>
      </c>
      <c r="D4797" s="1" t="str">
        <f>VLOOKUP($C4797, 'Instrument Table'!$B:$C, 2, FALSE)</f>
        <v>Other</v>
      </c>
      <c r="E4797" s="1">
        <f t="shared" si="444"/>
        <v>3</v>
      </c>
      <c r="F4797" s="1">
        <f>_xlfn.XLOOKUP($C4797, 'Instrument Table'!$B:$B, 'Instrument Table'!$A:$A, "")</f>
        <v>60</v>
      </c>
      <c r="G4797" s="1" t="str">
        <f>TEXT(IF($B4797 = "Retail Item", IF((ROW($A4797) - 4504 - _xlfn.XMATCH($C4797, $C$4506:$C$5005, 0, 1)) &lt;= VLOOKUP($C4797, 'Instrument Table'!$B:$D, 3, FALSE), ROW($A4797) - 4504 - _xlfn.XMATCH($C4797, $C$4506:$C$5005, 0, 1), 0), 0), "00")</f>
        <v>00</v>
      </c>
      <c r="H4797" s="1" t="str">
        <f t="shared" si="445"/>
        <v>012</v>
      </c>
      <c r="I4797" s="1" t="str">
        <f t="shared" si="446"/>
        <v>36000-012</v>
      </c>
      <c r="J4797" s="1" t="str">
        <f t="shared" si="447"/>
        <v>Theremin retail item #012</v>
      </c>
      <c r="K4797" s="1" t="str">
        <f>IF(SUM(COUNTIFS(I:I, I4797)) &gt; 1, "DUPLICATE", "UNIQUE")</f>
        <v>UNIQUE</v>
      </c>
      <c r="L4797" s="18">
        <v>1</v>
      </c>
      <c r="M4797" s="28">
        <v>5397</v>
      </c>
      <c r="N4797" s="6">
        <v>60</v>
      </c>
      <c r="O4797" s="30">
        <f t="shared" si="448"/>
        <v>5397</v>
      </c>
      <c r="P4797" s="30">
        <f t="shared" si="449"/>
        <v>323820</v>
      </c>
      <c r="Q4797" s="1">
        <f>COUNTIFS($P:$P, "&gt;" &amp; $P4797) + 1</f>
        <v>183</v>
      </c>
      <c r="R4797" s="63">
        <f>(COUNTIFS($P:$P, "&gt;" &amp; $P4797) + 1) / (COUNTA($I:$I) - 1)</f>
        <v>3.6600000000000001E-2</v>
      </c>
      <c r="S4797" s="23">
        <f>SUMIFS($P:$P, $Q:$Q, "&lt;" &amp; $Q4797)</f>
        <v>99580754</v>
      </c>
    </row>
    <row r="4798" spans="1:19" x14ac:dyDescent="0.25">
      <c r="A4798" s="1">
        <v>4793</v>
      </c>
      <c r="B4798" s="1" t="s">
        <v>4</v>
      </c>
      <c r="C4798" s="1" t="str">
        <f>IF($B4798 = "Production Item", _xlfn.XLOOKUP($A4798, 'Instrument Table'!$J:$J, 'Instrument Table'!$B:$B, $C4797), IF($B4798 = "Service Item", _xlfn.XLOOKUP($A4798, 'Instrument Table'!$I:$I, 'Instrument Table'!$B:$B, $C4797), _xlfn.XLOOKUP($A4798, 'Instrument Table'!$H:$H, 'Instrument Table'!$B:$B, $C4797)))</f>
        <v>Theremin</v>
      </c>
      <c r="D4798" s="1" t="str">
        <f>VLOOKUP($C4798, 'Instrument Table'!$B:$C, 2, FALSE)</f>
        <v>Other</v>
      </c>
      <c r="E4798" s="1">
        <f t="shared" si="444"/>
        <v>3</v>
      </c>
      <c r="F4798" s="1">
        <f>_xlfn.XLOOKUP($C4798, 'Instrument Table'!$B:$B, 'Instrument Table'!$A:$A, "")</f>
        <v>60</v>
      </c>
      <c r="G4798" s="1" t="str">
        <f>TEXT(IF($B4798 = "Retail Item", IF((ROW($A4798) - 4504 - _xlfn.XMATCH($C4798, $C$4506:$C$5005, 0, 1)) &lt;= VLOOKUP($C4798, 'Instrument Table'!$B:$D, 3, FALSE), ROW($A4798) - 4504 - _xlfn.XMATCH($C4798, $C$4506:$C$5005, 0, 1), 0), 0), "00")</f>
        <v>00</v>
      </c>
      <c r="H4798" s="1" t="str">
        <f t="shared" si="445"/>
        <v>013</v>
      </c>
      <c r="I4798" s="1" t="str">
        <f t="shared" si="446"/>
        <v>36000-013</v>
      </c>
      <c r="J4798" s="1" t="str">
        <f t="shared" si="447"/>
        <v>Theremin retail item #013</v>
      </c>
      <c r="K4798" s="1" t="str">
        <f>IF(SUM(COUNTIFS(I:I, I4798)) &gt; 1, "DUPLICATE", "UNIQUE")</f>
        <v>UNIQUE</v>
      </c>
      <c r="L4798" s="18">
        <v>37</v>
      </c>
      <c r="M4798" s="28">
        <v>9213</v>
      </c>
      <c r="N4798" s="6">
        <v>87</v>
      </c>
      <c r="O4798" s="30">
        <f t="shared" si="448"/>
        <v>340881</v>
      </c>
      <c r="P4798" s="30">
        <f t="shared" si="449"/>
        <v>801531</v>
      </c>
      <c r="Q4798" s="1">
        <f>COUNTIFS($P:$P, "&gt;" &amp; $P4798) + 1</f>
        <v>18</v>
      </c>
      <c r="R4798" s="63">
        <f>(COUNTIFS($P:$P, "&gt;" &amp; $P4798) + 1) / (COUNTA($I:$I) - 1)</f>
        <v>3.5999999999999999E-3</v>
      </c>
      <c r="S4798" s="23">
        <f>SUMIFS($P:$P, $Q:$Q, "&lt;" &amp; $Q4798)</f>
        <v>14927712</v>
      </c>
    </row>
    <row r="4799" spans="1:19" x14ac:dyDescent="0.25">
      <c r="A4799" s="1">
        <v>4794</v>
      </c>
      <c r="B4799" s="1" t="s">
        <v>4</v>
      </c>
      <c r="C4799" s="1" t="str">
        <f>IF($B4799 = "Production Item", _xlfn.XLOOKUP($A4799, 'Instrument Table'!$J:$J, 'Instrument Table'!$B:$B, $C4798), IF($B4799 = "Service Item", _xlfn.XLOOKUP($A4799, 'Instrument Table'!$I:$I, 'Instrument Table'!$B:$B, $C4798), _xlfn.XLOOKUP($A4799, 'Instrument Table'!$H:$H, 'Instrument Table'!$B:$B, $C4798)))</f>
        <v>Theremin</v>
      </c>
      <c r="D4799" s="1" t="str">
        <f>VLOOKUP($C4799, 'Instrument Table'!$B:$C, 2, FALSE)</f>
        <v>Other</v>
      </c>
      <c r="E4799" s="1">
        <f t="shared" si="444"/>
        <v>3</v>
      </c>
      <c r="F4799" s="1">
        <f>_xlfn.XLOOKUP($C4799, 'Instrument Table'!$B:$B, 'Instrument Table'!$A:$A, "")</f>
        <v>60</v>
      </c>
      <c r="G4799" s="1" t="str">
        <f>TEXT(IF($B4799 = "Retail Item", IF((ROW($A4799) - 4504 - _xlfn.XMATCH($C4799, $C$4506:$C$5005, 0, 1)) &lt;= VLOOKUP($C4799, 'Instrument Table'!$B:$D, 3, FALSE), ROW($A4799) - 4504 - _xlfn.XMATCH($C4799, $C$4506:$C$5005, 0, 1), 0), 0), "00")</f>
        <v>00</v>
      </c>
      <c r="H4799" s="1" t="str">
        <f t="shared" si="445"/>
        <v>014</v>
      </c>
      <c r="I4799" s="1" t="str">
        <f t="shared" si="446"/>
        <v>36000-014</v>
      </c>
      <c r="J4799" s="1" t="str">
        <f t="shared" si="447"/>
        <v>Theremin retail item #014</v>
      </c>
      <c r="K4799" s="1" t="str">
        <f>IF(SUM(COUNTIFS(I:I, I4799)) &gt; 1, "DUPLICATE", "UNIQUE")</f>
        <v>UNIQUE</v>
      </c>
      <c r="L4799" s="18">
        <v>17</v>
      </c>
      <c r="M4799" s="28">
        <v>7906</v>
      </c>
      <c r="N4799" s="6">
        <v>90</v>
      </c>
      <c r="O4799" s="30">
        <f t="shared" si="448"/>
        <v>134402</v>
      </c>
      <c r="P4799" s="30">
        <f t="shared" si="449"/>
        <v>711540</v>
      </c>
      <c r="Q4799" s="1">
        <f>COUNTIFS($P:$P, "&gt;" &amp; $P4799) + 1</f>
        <v>35</v>
      </c>
      <c r="R4799" s="63">
        <f>(COUNTIFS($P:$P, "&gt;" &amp; $P4799) + 1) / (COUNTA($I:$I) - 1)</f>
        <v>7.0000000000000001E-3</v>
      </c>
      <c r="S4799" s="23">
        <f>SUMIFS($P:$P, $Q:$Q, "&lt;" &amp; $Q4799)</f>
        <v>27814100</v>
      </c>
    </row>
    <row r="4800" spans="1:19" x14ac:dyDescent="0.25">
      <c r="A4800" s="1">
        <v>4795</v>
      </c>
      <c r="B4800" s="1" t="s">
        <v>4</v>
      </c>
      <c r="C4800" s="1" t="str">
        <f>IF($B4800 = "Production Item", _xlfn.XLOOKUP($A4800, 'Instrument Table'!$J:$J, 'Instrument Table'!$B:$B, $C4799), IF($B4800 = "Service Item", _xlfn.XLOOKUP($A4800, 'Instrument Table'!$I:$I, 'Instrument Table'!$B:$B, $C4799), _xlfn.XLOOKUP($A4800, 'Instrument Table'!$H:$H, 'Instrument Table'!$B:$B, $C4799)))</f>
        <v>Theremin</v>
      </c>
      <c r="D4800" s="1" t="str">
        <f>VLOOKUP($C4800, 'Instrument Table'!$B:$C, 2, FALSE)</f>
        <v>Other</v>
      </c>
      <c r="E4800" s="1">
        <f t="shared" si="444"/>
        <v>3</v>
      </c>
      <c r="F4800" s="1">
        <f>_xlfn.XLOOKUP($C4800, 'Instrument Table'!$B:$B, 'Instrument Table'!$A:$A, "")</f>
        <v>60</v>
      </c>
      <c r="G4800" s="1" t="str">
        <f>TEXT(IF($B4800 = "Retail Item", IF((ROW($A4800) - 4504 - _xlfn.XMATCH($C4800, $C$4506:$C$5005, 0, 1)) &lt;= VLOOKUP($C4800, 'Instrument Table'!$B:$D, 3, FALSE), ROW($A4800) - 4504 - _xlfn.XMATCH($C4800, $C$4506:$C$5005, 0, 1), 0), 0), "00")</f>
        <v>00</v>
      </c>
      <c r="H4800" s="1" t="str">
        <f t="shared" si="445"/>
        <v>015</v>
      </c>
      <c r="I4800" s="1" t="str">
        <f t="shared" si="446"/>
        <v>36000-015</v>
      </c>
      <c r="J4800" s="1" t="str">
        <f t="shared" si="447"/>
        <v>Theremin retail item #015</v>
      </c>
      <c r="K4800" s="1" t="str">
        <f>IF(SUM(COUNTIFS(I:I, I4800)) &gt; 1, "DUPLICATE", "UNIQUE")</f>
        <v>UNIQUE</v>
      </c>
      <c r="L4800" s="18">
        <v>57</v>
      </c>
      <c r="M4800" s="28">
        <v>1806</v>
      </c>
      <c r="N4800" s="6">
        <v>97</v>
      </c>
      <c r="O4800" s="30">
        <f t="shared" si="448"/>
        <v>102942</v>
      </c>
      <c r="P4800" s="30">
        <f t="shared" si="449"/>
        <v>175182</v>
      </c>
      <c r="Q4800" s="1">
        <f>COUNTIFS($P:$P, "&gt;" &amp; $P4800) + 1</f>
        <v>310</v>
      </c>
      <c r="R4800" s="63">
        <f>(COUNTIFS($P:$P, "&gt;" &amp; $P4800) + 1) / (COUNTA($I:$I) - 1)</f>
        <v>6.2E-2</v>
      </c>
      <c r="S4800" s="23">
        <f>SUMIFS($P:$P, $Q:$Q, "&lt;" &amp; $Q4800)</f>
        <v>131321521</v>
      </c>
    </row>
    <row r="4801" spans="1:19" x14ac:dyDescent="0.25">
      <c r="A4801" s="1">
        <v>4796</v>
      </c>
      <c r="B4801" s="1" t="s">
        <v>4</v>
      </c>
      <c r="C4801" s="1" t="str">
        <f>IF($B4801 = "Production Item", _xlfn.XLOOKUP($A4801, 'Instrument Table'!$J:$J, 'Instrument Table'!$B:$B, $C4800), IF($B4801 = "Service Item", _xlfn.XLOOKUP($A4801, 'Instrument Table'!$I:$I, 'Instrument Table'!$B:$B, $C4800), _xlfn.XLOOKUP($A4801, 'Instrument Table'!$H:$H, 'Instrument Table'!$B:$B, $C4800)))</f>
        <v>Theremin</v>
      </c>
      <c r="D4801" s="1" t="str">
        <f>VLOOKUP($C4801, 'Instrument Table'!$B:$C, 2, FALSE)</f>
        <v>Other</v>
      </c>
      <c r="E4801" s="1">
        <f t="shared" si="444"/>
        <v>3</v>
      </c>
      <c r="F4801" s="1">
        <f>_xlfn.XLOOKUP($C4801, 'Instrument Table'!$B:$B, 'Instrument Table'!$A:$A, "")</f>
        <v>60</v>
      </c>
      <c r="G4801" s="1" t="str">
        <f>TEXT(IF($B4801 = "Retail Item", IF((ROW($A4801) - 4504 - _xlfn.XMATCH($C4801, $C$4506:$C$5005, 0, 1)) &lt;= VLOOKUP($C4801, 'Instrument Table'!$B:$D, 3, FALSE), ROW($A4801) - 4504 - _xlfn.XMATCH($C4801, $C$4506:$C$5005, 0, 1), 0), 0), "00")</f>
        <v>00</v>
      </c>
      <c r="H4801" s="1" t="str">
        <f t="shared" si="445"/>
        <v>016</v>
      </c>
      <c r="I4801" s="1" t="str">
        <f t="shared" si="446"/>
        <v>36000-016</v>
      </c>
      <c r="J4801" s="1" t="str">
        <f t="shared" si="447"/>
        <v>Theremin retail item #016</v>
      </c>
      <c r="K4801" s="1" t="str">
        <f>IF(SUM(COUNTIFS(I:I, I4801)) &gt; 1, "DUPLICATE", "UNIQUE")</f>
        <v>UNIQUE</v>
      </c>
      <c r="L4801" s="18">
        <v>71</v>
      </c>
      <c r="M4801" s="28">
        <v>3250</v>
      </c>
      <c r="N4801" s="6">
        <v>95</v>
      </c>
      <c r="O4801" s="30">
        <f t="shared" si="448"/>
        <v>230750</v>
      </c>
      <c r="P4801" s="30">
        <f t="shared" si="449"/>
        <v>308750</v>
      </c>
      <c r="Q4801" s="1">
        <f>COUNTIFS($P:$P, "&gt;" &amp; $P4801) + 1</f>
        <v>195</v>
      </c>
      <c r="R4801" s="63">
        <f>(COUNTIFS($P:$P, "&gt;" &amp; $P4801) + 1) / (COUNTA($I:$I) - 1)</f>
        <v>3.9E-2</v>
      </c>
      <c r="S4801" s="23">
        <f>SUMIFS($P:$P, $Q:$Q, "&lt;" &amp; $Q4801)</f>
        <v>103399529</v>
      </c>
    </row>
    <row r="4802" spans="1:19" x14ac:dyDescent="0.25">
      <c r="A4802" s="1">
        <v>4797</v>
      </c>
      <c r="B4802" s="1" t="s">
        <v>4</v>
      </c>
      <c r="C4802" s="1" t="str">
        <f>IF($B4802 = "Production Item", _xlfn.XLOOKUP($A4802, 'Instrument Table'!$J:$J, 'Instrument Table'!$B:$B, $C4801), IF($B4802 = "Service Item", _xlfn.XLOOKUP($A4802, 'Instrument Table'!$I:$I, 'Instrument Table'!$B:$B, $C4801), _xlfn.XLOOKUP($A4802, 'Instrument Table'!$H:$H, 'Instrument Table'!$B:$B, $C4801)))</f>
        <v>Theremin</v>
      </c>
      <c r="D4802" s="1" t="str">
        <f>VLOOKUP($C4802, 'Instrument Table'!$B:$C, 2, FALSE)</f>
        <v>Other</v>
      </c>
      <c r="E4802" s="1">
        <f t="shared" si="444"/>
        <v>3</v>
      </c>
      <c r="F4802" s="1">
        <f>_xlfn.XLOOKUP($C4802, 'Instrument Table'!$B:$B, 'Instrument Table'!$A:$A, "")</f>
        <v>60</v>
      </c>
      <c r="G4802" s="1" t="str">
        <f>TEXT(IF($B4802 = "Retail Item", IF((ROW($A4802) - 4504 - _xlfn.XMATCH($C4802, $C$4506:$C$5005, 0, 1)) &lt;= VLOOKUP($C4802, 'Instrument Table'!$B:$D, 3, FALSE), ROW($A4802) - 4504 - _xlfn.XMATCH($C4802, $C$4506:$C$5005, 0, 1), 0), 0), "00")</f>
        <v>00</v>
      </c>
      <c r="H4802" s="1" t="str">
        <f t="shared" si="445"/>
        <v>017</v>
      </c>
      <c r="I4802" s="1" t="str">
        <f t="shared" si="446"/>
        <v>36000-017</v>
      </c>
      <c r="J4802" s="1" t="str">
        <f t="shared" si="447"/>
        <v>Theremin retail item #017</v>
      </c>
      <c r="K4802" s="1" t="str">
        <f>IF(SUM(COUNTIFS(I:I, I4802)) &gt; 1, "DUPLICATE", "UNIQUE")</f>
        <v>UNIQUE</v>
      </c>
      <c r="L4802" s="18">
        <v>89</v>
      </c>
      <c r="M4802" s="28">
        <v>9052</v>
      </c>
      <c r="N4802" s="6">
        <v>25</v>
      </c>
      <c r="O4802" s="30">
        <f t="shared" si="448"/>
        <v>805628</v>
      </c>
      <c r="P4802" s="30">
        <f t="shared" si="449"/>
        <v>226300</v>
      </c>
      <c r="Q4802" s="1">
        <f>COUNTIFS($P:$P, "&gt;" &amp; $P4802) + 1</f>
        <v>268</v>
      </c>
      <c r="R4802" s="63">
        <f>(COUNTIFS($P:$P, "&gt;" &amp; $P4802) + 1) / (COUNTA($I:$I) - 1)</f>
        <v>5.3600000000000002E-2</v>
      </c>
      <c r="S4802" s="23">
        <f>SUMIFS($P:$P, $Q:$Q, "&lt;" &amp; $Q4802)</f>
        <v>122905866</v>
      </c>
    </row>
    <row r="4803" spans="1:19" x14ac:dyDescent="0.25">
      <c r="A4803" s="1">
        <v>4798</v>
      </c>
      <c r="B4803" s="1" t="s">
        <v>4</v>
      </c>
      <c r="C4803" s="1" t="str">
        <f>IF($B4803 = "Production Item", _xlfn.XLOOKUP($A4803, 'Instrument Table'!$J:$J, 'Instrument Table'!$B:$B, $C4802), IF($B4803 = "Service Item", _xlfn.XLOOKUP($A4803, 'Instrument Table'!$I:$I, 'Instrument Table'!$B:$B, $C4802), _xlfn.XLOOKUP($A4803, 'Instrument Table'!$H:$H, 'Instrument Table'!$B:$B, $C4802)))</f>
        <v>Theremin</v>
      </c>
      <c r="D4803" s="1" t="str">
        <f>VLOOKUP($C4803, 'Instrument Table'!$B:$C, 2, FALSE)</f>
        <v>Other</v>
      </c>
      <c r="E4803" s="1">
        <f t="shared" si="444"/>
        <v>3</v>
      </c>
      <c r="F4803" s="1">
        <f>_xlfn.XLOOKUP($C4803, 'Instrument Table'!$B:$B, 'Instrument Table'!$A:$A, "")</f>
        <v>60</v>
      </c>
      <c r="G4803" s="1" t="str">
        <f>TEXT(IF($B4803 = "Retail Item", IF((ROW($A4803) - 4504 - _xlfn.XMATCH($C4803, $C$4506:$C$5005, 0, 1)) &lt;= VLOOKUP($C4803, 'Instrument Table'!$B:$D, 3, FALSE), ROW($A4803) - 4504 - _xlfn.XMATCH($C4803, $C$4506:$C$5005, 0, 1), 0), 0), "00")</f>
        <v>00</v>
      </c>
      <c r="H4803" s="1" t="str">
        <f t="shared" si="445"/>
        <v>018</v>
      </c>
      <c r="I4803" s="1" t="str">
        <f t="shared" si="446"/>
        <v>36000-018</v>
      </c>
      <c r="J4803" s="1" t="str">
        <f t="shared" si="447"/>
        <v>Theremin retail item #018</v>
      </c>
      <c r="K4803" s="1" t="str">
        <f>IF(SUM(COUNTIFS(I:I, I4803)) &gt; 1, "DUPLICATE", "UNIQUE")</f>
        <v>UNIQUE</v>
      </c>
      <c r="L4803" s="18">
        <v>99</v>
      </c>
      <c r="M4803" s="28">
        <v>2518</v>
      </c>
      <c r="N4803" s="6">
        <v>94</v>
      </c>
      <c r="O4803" s="30">
        <f t="shared" si="448"/>
        <v>249282</v>
      </c>
      <c r="P4803" s="30">
        <f t="shared" si="449"/>
        <v>236692</v>
      </c>
      <c r="Q4803" s="1">
        <f>COUNTIFS($P:$P, "&gt;" &amp; $P4803) + 1</f>
        <v>257</v>
      </c>
      <c r="R4803" s="63">
        <f>(COUNTIFS($P:$P, "&gt;" &amp; $P4803) + 1) / (COUNTA($I:$I) - 1)</f>
        <v>5.1400000000000001E-2</v>
      </c>
      <c r="S4803" s="23">
        <f>SUMIFS($P:$P, $Q:$Q, "&lt;" &amp; $Q4803)</f>
        <v>120370239</v>
      </c>
    </row>
    <row r="4804" spans="1:19" x14ac:dyDescent="0.25">
      <c r="A4804" s="1">
        <v>4799</v>
      </c>
      <c r="B4804" s="1" t="s">
        <v>4</v>
      </c>
      <c r="C4804" s="1" t="str">
        <f>IF($B4804 = "Production Item", _xlfn.XLOOKUP($A4804, 'Instrument Table'!$J:$J, 'Instrument Table'!$B:$B, $C4803), IF($B4804 = "Service Item", _xlfn.XLOOKUP($A4804, 'Instrument Table'!$I:$I, 'Instrument Table'!$B:$B, $C4803), _xlfn.XLOOKUP($A4804, 'Instrument Table'!$H:$H, 'Instrument Table'!$B:$B, $C4803)))</f>
        <v>Theremin</v>
      </c>
      <c r="D4804" s="1" t="str">
        <f>VLOOKUP($C4804, 'Instrument Table'!$B:$C, 2, FALSE)</f>
        <v>Other</v>
      </c>
      <c r="E4804" s="1">
        <f t="shared" si="444"/>
        <v>3</v>
      </c>
      <c r="F4804" s="1">
        <f>_xlfn.XLOOKUP($C4804, 'Instrument Table'!$B:$B, 'Instrument Table'!$A:$A, "")</f>
        <v>60</v>
      </c>
      <c r="G4804" s="1" t="str">
        <f>TEXT(IF($B4804 = "Retail Item", IF((ROW($A4804) - 4504 - _xlfn.XMATCH($C4804, $C$4506:$C$5005, 0, 1)) &lt;= VLOOKUP($C4804, 'Instrument Table'!$B:$D, 3, FALSE), ROW($A4804) - 4504 - _xlfn.XMATCH($C4804, $C$4506:$C$5005, 0, 1), 0), 0), "00")</f>
        <v>00</v>
      </c>
      <c r="H4804" s="1" t="str">
        <f t="shared" si="445"/>
        <v>019</v>
      </c>
      <c r="I4804" s="1" t="str">
        <f t="shared" si="446"/>
        <v>36000-019</v>
      </c>
      <c r="J4804" s="1" t="str">
        <f t="shared" si="447"/>
        <v>Theremin retail item #019</v>
      </c>
      <c r="K4804" s="1" t="str">
        <f>IF(SUM(COUNTIFS(I:I, I4804)) &gt; 1, "DUPLICATE", "UNIQUE")</f>
        <v>UNIQUE</v>
      </c>
      <c r="L4804" s="18">
        <v>84</v>
      </c>
      <c r="M4804" s="28">
        <v>7350</v>
      </c>
      <c r="N4804" s="6">
        <v>11</v>
      </c>
      <c r="O4804" s="30">
        <f t="shared" si="448"/>
        <v>617400</v>
      </c>
      <c r="P4804" s="30">
        <f t="shared" si="449"/>
        <v>80850</v>
      </c>
      <c r="Q4804" s="1">
        <f>COUNTIFS($P:$P, "&gt;" &amp; $P4804) + 1</f>
        <v>449</v>
      </c>
      <c r="R4804" s="63">
        <f>(COUNTIFS($P:$P, "&gt;" &amp; $P4804) + 1) / (COUNTA($I:$I) - 1)</f>
        <v>8.9800000000000005E-2</v>
      </c>
      <c r="S4804" s="23">
        <f>SUMIFS($P:$P, $Q:$Q, "&lt;" &amp; $Q4804)</f>
        <v>147941053</v>
      </c>
    </row>
    <row r="4805" spans="1:19" x14ac:dyDescent="0.25">
      <c r="A4805" s="1">
        <v>4800</v>
      </c>
      <c r="B4805" s="1" t="s">
        <v>4</v>
      </c>
      <c r="C4805" s="1" t="str">
        <f>IF($B4805 = "Production Item", _xlfn.XLOOKUP($A4805, 'Instrument Table'!$J:$J, 'Instrument Table'!$B:$B, $C4804), IF($B4805 = "Service Item", _xlfn.XLOOKUP($A4805, 'Instrument Table'!$I:$I, 'Instrument Table'!$B:$B, $C4804), _xlfn.XLOOKUP($A4805, 'Instrument Table'!$H:$H, 'Instrument Table'!$B:$B, $C4804)))</f>
        <v>Synthesizer</v>
      </c>
      <c r="D4805" s="1" t="str">
        <f>VLOOKUP($C4805, 'Instrument Table'!$B:$C, 2, FALSE)</f>
        <v>Other</v>
      </c>
      <c r="E4805" s="1">
        <f t="shared" si="444"/>
        <v>3</v>
      </c>
      <c r="F4805" s="1">
        <f>_xlfn.XLOOKUP($C4805, 'Instrument Table'!$B:$B, 'Instrument Table'!$A:$A, "")</f>
        <v>61</v>
      </c>
      <c r="G4805" s="1" t="str">
        <f>TEXT(IF($B4805 = "Retail Item", IF((ROW($A4805) - 4504 - _xlfn.XMATCH($C4805, $C$4506:$C$5005, 0, 1)) &lt;= VLOOKUP($C4805, 'Instrument Table'!$B:$D, 3, FALSE), ROW($A4805) - 4504 - _xlfn.XMATCH($C4805, $C$4506:$C$5005, 0, 1), 0), 0), "00")</f>
        <v>01</v>
      </c>
      <c r="H4805" s="1" t="str">
        <f t="shared" si="445"/>
        <v>000</v>
      </c>
      <c r="I4805" s="1" t="str">
        <f t="shared" si="446"/>
        <v>36101-000</v>
      </c>
      <c r="J4805" s="1" t="str">
        <f t="shared" si="447"/>
        <v>Synthesizer model #01</v>
      </c>
      <c r="K4805" s="1" t="str">
        <f>IF(SUM(COUNTIFS(I:I, I4805)) &gt; 1, "DUPLICATE", "UNIQUE")</f>
        <v>UNIQUE</v>
      </c>
      <c r="L4805" s="18">
        <v>93</v>
      </c>
      <c r="M4805" s="28">
        <v>4577</v>
      </c>
      <c r="N4805" s="6">
        <v>63</v>
      </c>
      <c r="O4805" s="30">
        <f t="shared" si="448"/>
        <v>425661</v>
      </c>
      <c r="P4805" s="30">
        <f t="shared" si="449"/>
        <v>288351</v>
      </c>
      <c r="Q4805" s="1">
        <f>COUNTIFS($P:$P, "&gt;" &amp; $P4805) + 1</f>
        <v>217</v>
      </c>
      <c r="R4805" s="63">
        <f>(COUNTIFS($P:$P, "&gt;" &amp; $P4805) + 1) / (COUNTA($I:$I) - 1)</f>
        <v>4.3400000000000001E-2</v>
      </c>
      <c r="S4805" s="23">
        <f>SUMIFS($P:$P, $Q:$Q, "&lt;" &amp; $Q4805)</f>
        <v>109961596</v>
      </c>
    </row>
    <row r="4806" spans="1:19" x14ac:dyDescent="0.25">
      <c r="A4806" s="1">
        <v>4801</v>
      </c>
      <c r="B4806" s="1" t="s">
        <v>4</v>
      </c>
      <c r="C4806" s="1" t="str">
        <f>IF($B4806 = "Production Item", _xlfn.XLOOKUP($A4806, 'Instrument Table'!$J:$J, 'Instrument Table'!$B:$B, $C4805), IF($B4806 = "Service Item", _xlfn.XLOOKUP($A4806, 'Instrument Table'!$I:$I, 'Instrument Table'!$B:$B, $C4805), _xlfn.XLOOKUP($A4806, 'Instrument Table'!$H:$H, 'Instrument Table'!$B:$B, $C4805)))</f>
        <v>Synthesizer</v>
      </c>
      <c r="D4806" s="1" t="str">
        <f>VLOOKUP($C4806, 'Instrument Table'!$B:$C, 2, FALSE)</f>
        <v>Other</v>
      </c>
      <c r="E4806" s="1">
        <f t="shared" si="444"/>
        <v>3</v>
      </c>
      <c r="F4806" s="1">
        <f>_xlfn.XLOOKUP($C4806, 'Instrument Table'!$B:$B, 'Instrument Table'!$A:$A, "")</f>
        <v>61</v>
      </c>
      <c r="G4806" s="1" t="str">
        <f>TEXT(IF($B4806 = "Retail Item", IF((ROW($A4806) - 4504 - _xlfn.XMATCH($C4806, $C$4506:$C$5005, 0, 1)) &lt;= VLOOKUP($C4806, 'Instrument Table'!$B:$D, 3, FALSE), ROW($A4806) - 4504 - _xlfn.XMATCH($C4806, $C$4506:$C$5005, 0, 1), 0), 0), "00")</f>
        <v>00</v>
      </c>
      <c r="H4806" s="1" t="str">
        <f t="shared" si="445"/>
        <v>000</v>
      </c>
      <c r="I4806" s="1" t="str">
        <f t="shared" si="446"/>
        <v>36100-000</v>
      </c>
      <c r="J4806" s="1" t="str">
        <f t="shared" si="447"/>
        <v>Synthesizer retail item #000</v>
      </c>
      <c r="K4806" s="1" t="str">
        <f>IF(SUM(COUNTIFS(I:I, I4806)) &gt; 1, "DUPLICATE", "UNIQUE")</f>
        <v>UNIQUE</v>
      </c>
      <c r="L4806" s="18">
        <v>84</v>
      </c>
      <c r="M4806" s="28">
        <v>8322</v>
      </c>
      <c r="N4806" s="6">
        <v>63</v>
      </c>
      <c r="O4806" s="30">
        <f t="shared" si="448"/>
        <v>699048</v>
      </c>
      <c r="P4806" s="30">
        <f t="shared" si="449"/>
        <v>524286</v>
      </c>
      <c r="Q4806" s="1">
        <f>COUNTIFS($P:$P, "&gt;" &amp; $P4806) + 1</f>
        <v>86</v>
      </c>
      <c r="R4806" s="63">
        <f>(COUNTIFS($P:$P, "&gt;" &amp; $P4806) + 1) / (COUNTA($I:$I) - 1)</f>
        <v>1.72E-2</v>
      </c>
      <c r="S4806" s="23">
        <f>SUMIFS($P:$P, $Q:$Q, "&lt;" &amp; $Q4806)</f>
        <v>58990457</v>
      </c>
    </row>
    <row r="4807" spans="1:19" x14ac:dyDescent="0.25">
      <c r="A4807" s="1">
        <v>4802</v>
      </c>
      <c r="B4807" s="1" t="s">
        <v>4</v>
      </c>
      <c r="C4807" s="1" t="str">
        <f>IF($B4807 = "Production Item", _xlfn.XLOOKUP($A4807, 'Instrument Table'!$J:$J, 'Instrument Table'!$B:$B, $C4806), IF($B4807 = "Service Item", _xlfn.XLOOKUP($A4807, 'Instrument Table'!$I:$I, 'Instrument Table'!$B:$B, $C4806), _xlfn.XLOOKUP($A4807, 'Instrument Table'!$H:$H, 'Instrument Table'!$B:$B, $C4806)))</f>
        <v>Synthesizer</v>
      </c>
      <c r="D4807" s="1" t="str">
        <f>VLOOKUP($C4807, 'Instrument Table'!$B:$C, 2, FALSE)</f>
        <v>Other</v>
      </c>
      <c r="E4807" s="1">
        <f t="shared" ref="E4807:E4870" si="450">IF($B4807 = "Production Item", 1, IF($B4807 = "Service Item", 2, IF($B4807 = "Retail Item", 3, "")))</f>
        <v>3</v>
      </c>
      <c r="F4807" s="1">
        <f>_xlfn.XLOOKUP($C4807, 'Instrument Table'!$B:$B, 'Instrument Table'!$A:$A, "")</f>
        <v>61</v>
      </c>
      <c r="G4807" s="1" t="str">
        <f>TEXT(IF($B4807 = "Retail Item", IF((ROW($A4807) - 4504 - _xlfn.XMATCH($C4807, $C$4506:$C$5005, 0, 1)) &lt;= VLOOKUP($C4807, 'Instrument Table'!$B:$D, 3, FALSE), ROW($A4807) - 4504 - _xlfn.XMATCH($C4807, $C$4506:$C$5005, 0, 1), 0), 0), "00")</f>
        <v>00</v>
      </c>
      <c r="H4807" s="1" t="str">
        <f t="shared" ref="H4807:H4870" si="451">TEXT(IF($E4807 &amp; $F4807 &amp; $G4807 = $E4806 &amp; $F4806 &amp; $G4806, 1 + H4806, 0), "000")</f>
        <v>001</v>
      </c>
      <c r="I4807" s="1" t="str">
        <f t="shared" ref="I4807:I4870" si="452" xml:space="preserve"> _xlfn.CONCAT($E4807, $F4807, $G4807, "-", H4807)</f>
        <v>36100-001</v>
      </c>
      <c r="J4807" s="1" t="str">
        <f t="shared" ref="J4807:J4870" si="453">LEFT($C4807, 1) &amp; LOWER(RIGHT($C4807, LEN($C4807) - 1)) &amp; IF(AND($G4807 &lt;&gt; "00", $B4807 = "Retail Item"), " model #" &amp; $G4807, " " &amp; LOWER($B4807) &amp; " #" &amp; $H4807)</f>
        <v>Synthesizer retail item #001</v>
      </c>
      <c r="K4807" s="1" t="str">
        <f>IF(SUM(COUNTIFS(I:I, I4807)) &gt; 1, "DUPLICATE", "UNIQUE")</f>
        <v>UNIQUE</v>
      </c>
      <c r="L4807" s="18">
        <v>91</v>
      </c>
      <c r="M4807" s="28">
        <v>7137</v>
      </c>
      <c r="N4807" s="6">
        <v>66</v>
      </c>
      <c r="O4807" s="30">
        <f t="shared" ref="O4807:O4870" si="454">$L4807 * $M4807</f>
        <v>649467</v>
      </c>
      <c r="P4807" s="30">
        <f t="shared" ref="P4807:P4870" si="455">$N4807 * $M4807</f>
        <v>471042</v>
      </c>
      <c r="Q4807" s="1">
        <f>COUNTIFS($P:$P, "&gt;" &amp; $P4807) + 1</f>
        <v>107</v>
      </c>
      <c r="R4807" s="63">
        <f>(COUNTIFS($P:$P, "&gt;" &amp; $P4807) + 1) / (COUNTA($I:$I) - 1)</f>
        <v>2.1399999999999999E-2</v>
      </c>
      <c r="S4807" s="23">
        <f>SUMIFS($P:$P, $Q:$Q, "&lt;" &amp; $Q4807)</f>
        <v>69539183</v>
      </c>
    </row>
    <row r="4808" spans="1:19" x14ac:dyDescent="0.25">
      <c r="A4808" s="1">
        <v>4803</v>
      </c>
      <c r="B4808" s="1" t="s">
        <v>4</v>
      </c>
      <c r="C4808" s="1" t="str">
        <f>IF($B4808 = "Production Item", _xlfn.XLOOKUP($A4808, 'Instrument Table'!$J:$J, 'Instrument Table'!$B:$B, $C4807), IF($B4808 = "Service Item", _xlfn.XLOOKUP($A4808, 'Instrument Table'!$I:$I, 'Instrument Table'!$B:$B, $C4807), _xlfn.XLOOKUP($A4808, 'Instrument Table'!$H:$H, 'Instrument Table'!$B:$B, $C4807)))</f>
        <v>Synthesizer</v>
      </c>
      <c r="D4808" s="1" t="str">
        <f>VLOOKUP($C4808, 'Instrument Table'!$B:$C, 2, FALSE)</f>
        <v>Other</v>
      </c>
      <c r="E4808" s="1">
        <f t="shared" si="450"/>
        <v>3</v>
      </c>
      <c r="F4808" s="1">
        <f>_xlfn.XLOOKUP($C4808, 'Instrument Table'!$B:$B, 'Instrument Table'!$A:$A, "")</f>
        <v>61</v>
      </c>
      <c r="G4808" s="1" t="str">
        <f>TEXT(IF($B4808 = "Retail Item", IF((ROW($A4808) - 4504 - _xlfn.XMATCH($C4808, $C$4506:$C$5005, 0, 1)) &lt;= VLOOKUP($C4808, 'Instrument Table'!$B:$D, 3, FALSE), ROW($A4808) - 4504 - _xlfn.XMATCH($C4808, $C$4506:$C$5005, 0, 1), 0), 0), "00")</f>
        <v>00</v>
      </c>
      <c r="H4808" s="1" t="str">
        <f t="shared" si="451"/>
        <v>002</v>
      </c>
      <c r="I4808" s="1" t="str">
        <f t="shared" si="452"/>
        <v>36100-002</v>
      </c>
      <c r="J4808" s="1" t="str">
        <f t="shared" si="453"/>
        <v>Synthesizer retail item #002</v>
      </c>
      <c r="K4808" s="1" t="str">
        <f>IF(SUM(COUNTIFS(I:I, I4808)) &gt; 1, "DUPLICATE", "UNIQUE")</f>
        <v>UNIQUE</v>
      </c>
      <c r="L4808" s="18">
        <v>59</v>
      </c>
      <c r="M4808" s="28">
        <v>5014</v>
      </c>
      <c r="N4808" s="6">
        <v>55</v>
      </c>
      <c r="O4808" s="30">
        <f t="shared" si="454"/>
        <v>295826</v>
      </c>
      <c r="P4808" s="30">
        <f t="shared" si="455"/>
        <v>275770</v>
      </c>
      <c r="Q4808" s="1">
        <f>COUNTIFS($P:$P, "&gt;" &amp; $P4808) + 1</f>
        <v>221</v>
      </c>
      <c r="R4808" s="63">
        <f>(COUNTIFS($P:$P, "&gt;" &amp; $P4808) + 1) / (COUNTA($I:$I) - 1)</f>
        <v>4.4200000000000003E-2</v>
      </c>
      <c r="S4808" s="23">
        <f>SUMIFS($P:$P, $Q:$Q, "&lt;" &amp; $Q4808)</f>
        <v>111088685</v>
      </c>
    </row>
    <row r="4809" spans="1:19" x14ac:dyDescent="0.25">
      <c r="A4809" s="1">
        <v>4804</v>
      </c>
      <c r="B4809" s="1" t="s">
        <v>4</v>
      </c>
      <c r="C4809" s="1" t="str">
        <f>IF($B4809 = "Production Item", _xlfn.XLOOKUP($A4809, 'Instrument Table'!$J:$J, 'Instrument Table'!$B:$B, $C4808), IF($B4809 = "Service Item", _xlfn.XLOOKUP($A4809, 'Instrument Table'!$I:$I, 'Instrument Table'!$B:$B, $C4808), _xlfn.XLOOKUP($A4809, 'Instrument Table'!$H:$H, 'Instrument Table'!$B:$B, $C4808)))</f>
        <v>Synthesizer</v>
      </c>
      <c r="D4809" s="1" t="str">
        <f>VLOOKUP($C4809, 'Instrument Table'!$B:$C, 2, FALSE)</f>
        <v>Other</v>
      </c>
      <c r="E4809" s="1">
        <f t="shared" si="450"/>
        <v>3</v>
      </c>
      <c r="F4809" s="1">
        <f>_xlfn.XLOOKUP($C4809, 'Instrument Table'!$B:$B, 'Instrument Table'!$A:$A, "")</f>
        <v>61</v>
      </c>
      <c r="G4809" s="1" t="str">
        <f>TEXT(IF($B4809 = "Retail Item", IF((ROW($A4809) - 4504 - _xlfn.XMATCH($C4809, $C$4506:$C$5005, 0, 1)) &lt;= VLOOKUP($C4809, 'Instrument Table'!$B:$D, 3, FALSE), ROW($A4809) - 4504 - _xlfn.XMATCH($C4809, $C$4506:$C$5005, 0, 1), 0), 0), "00")</f>
        <v>00</v>
      </c>
      <c r="H4809" s="1" t="str">
        <f t="shared" si="451"/>
        <v>003</v>
      </c>
      <c r="I4809" s="1" t="str">
        <f t="shared" si="452"/>
        <v>36100-003</v>
      </c>
      <c r="J4809" s="1" t="str">
        <f t="shared" si="453"/>
        <v>Synthesizer retail item #003</v>
      </c>
      <c r="K4809" s="1" t="str">
        <f>IF(SUM(COUNTIFS(I:I, I4809)) &gt; 1, "DUPLICATE", "UNIQUE")</f>
        <v>UNIQUE</v>
      </c>
      <c r="L4809" s="18">
        <v>14</v>
      </c>
      <c r="M4809" s="28">
        <v>2844</v>
      </c>
      <c r="N4809" s="6">
        <v>90</v>
      </c>
      <c r="O4809" s="30">
        <f t="shared" si="454"/>
        <v>39816</v>
      </c>
      <c r="P4809" s="30">
        <f t="shared" si="455"/>
        <v>255960</v>
      </c>
      <c r="Q4809" s="1">
        <f>COUNTIFS($P:$P, "&gt;" &amp; $P4809) + 1</f>
        <v>241</v>
      </c>
      <c r="R4809" s="63">
        <f>(COUNTIFS($P:$P, "&gt;" &amp; $P4809) + 1) / (COUNTA($I:$I) - 1)</f>
        <v>4.82E-2</v>
      </c>
      <c r="S4809" s="23">
        <f>SUMIFS($P:$P, $Q:$Q, "&lt;" &amp; $Q4809)</f>
        <v>116420818</v>
      </c>
    </row>
    <row r="4810" spans="1:19" x14ac:dyDescent="0.25">
      <c r="A4810" s="1">
        <v>4805</v>
      </c>
      <c r="B4810" s="1" t="s">
        <v>4</v>
      </c>
      <c r="C4810" s="1" t="str">
        <f>IF($B4810 = "Production Item", _xlfn.XLOOKUP($A4810, 'Instrument Table'!$J:$J, 'Instrument Table'!$B:$B, $C4809), IF($B4810 = "Service Item", _xlfn.XLOOKUP($A4810, 'Instrument Table'!$I:$I, 'Instrument Table'!$B:$B, $C4809), _xlfn.XLOOKUP($A4810, 'Instrument Table'!$H:$H, 'Instrument Table'!$B:$B, $C4809)))</f>
        <v>Synthesizer</v>
      </c>
      <c r="D4810" s="1" t="str">
        <f>VLOOKUP($C4810, 'Instrument Table'!$B:$C, 2, FALSE)</f>
        <v>Other</v>
      </c>
      <c r="E4810" s="1">
        <f t="shared" si="450"/>
        <v>3</v>
      </c>
      <c r="F4810" s="1">
        <f>_xlfn.XLOOKUP($C4810, 'Instrument Table'!$B:$B, 'Instrument Table'!$A:$A, "")</f>
        <v>61</v>
      </c>
      <c r="G4810" s="1" t="str">
        <f>TEXT(IF($B4810 = "Retail Item", IF((ROW($A4810) - 4504 - _xlfn.XMATCH($C4810, $C$4506:$C$5005, 0, 1)) &lt;= VLOOKUP($C4810, 'Instrument Table'!$B:$D, 3, FALSE), ROW($A4810) - 4504 - _xlfn.XMATCH($C4810, $C$4506:$C$5005, 0, 1), 0), 0), "00")</f>
        <v>00</v>
      </c>
      <c r="H4810" s="1" t="str">
        <f t="shared" si="451"/>
        <v>004</v>
      </c>
      <c r="I4810" s="1" t="str">
        <f t="shared" si="452"/>
        <v>36100-004</v>
      </c>
      <c r="J4810" s="1" t="str">
        <f t="shared" si="453"/>
        <v>Synthesizer retail item #004</v>
      </c>
      <c r="K4810" s="1" t="str">
        <f>IF(SUM(COUNTIFS(I:I, I4810)) &gt; 1, "DUPLICATE", "UNIQUE")</f>
        <v>UNIQUE</v>
      </c>
      <c r="L4810" s="18">
        <v>20</v>
      </c>
      <c r="M4810" s="28">
        <v>3759</v>
      </c>
      <c r="N4810" s="6">
        <v>43</v>
      </c>
      <c r="O4810" s="30">
        <f t="shared" si="454"/>
        <v>75180</v>
      </c>
      <c r="P4810" s="30">
        <f t="shared" si="455"/>
        <v>161637</v>
      </c>
      <c r="Q4810" s="1">
        <f>COUNTIFS($P:$P, "&gt;" &amp; $P4810) + 1</f>
        <v>319</v>
      </c>
      <c r="R4810" s="63">
        <f>(COUNTIFS($P:$P, "&gt;" &amp; $P4810) + 1) / (COUNTA($I:$I) - 1)</f>
        <v>6.3799999999999996E-2</v>
      </c>
      <c r="S4810" s="23">
        <f>SUMIFS($P:$P, $Q:$Q, "&lt;" &amp; $Q4810)</f>
        <v>132829563</v>
      </c>
    </row>
    <row r="4811" spans="1:19" x14ac:dyDescent="0.25">
      <c r="A4811" s="1">
        <v>4806</v>
      </c>
      <c r="B4811" s="1" t="s">
        <v>4</v>
      </c>
      <c r="C4811" s="1" t="str">
        <f>IF($B4811 = "Production Item", _xlfn.XLOOKUP($A4811, 'Instrument Table'!$J:$J, 'Instrument Table'!$B:$B, $C4810), IF($B4811 = "Service Item", _xlfn.XLOOKUP($A4811, 'Instrument Table'!$I:$I, 'Instrument Table'!$B:$B, $C4810), _xlfn.XLOOKUP($A4811, 'Instrument Table'!$H:$H, 'Instrument Table'!$B:$B, $C4810)))</f>
        <v>Synthesizer</v>
      </c>
      <c r="D4811" s="1" t="str">
        <f>VLOOKUP($C4811, 'Instrument Table'!$B:$C, 2, FALSE)</f>
        <v>Other</v>
      </c>
      <c r="E4811" s="1">
        <f t="shared" si="450"/>
        <v>3</v>
      </c>
      <c r="F4811" s="1">
        <f>_xlfn.XLOOKUP($C4811, 'Instrument Table'!$B:$B, 'Instrument Table'!$A:$A, "")</f>
        <v>61</v>
      </c>
      <c r="G4811" s="1" t="str">
        <f>TEXT(IF($B4811 = "Retail Item", IF((ROW($A4811) - 4504 - _xlfn.XMATCH($C4811, $C$4506:$C$5005, 0, 1)) &lt;= VLOOKUP($C4811, 'Instrument Table'!$B:$D, 3, FALSE), ROW($A4811) - 4504 - _xlfn.XMATCH($C4811, $C$4506:$C$5005, 0, 1), 0), 0), "00")</f>
        <v>00</v>
      </c>
      <c r="H4811" s="1" t="str">
        <f t="shared" si="451"/>
        <v>005</v>
      </c>
      <c r="I4811" s="1" t="str">
        <f t="shared" si="452"/>
        <v>36100-005</v>
      </c>
      <c r="J4811" s="1" t="str">
        <f t="shared" si="453"/>
        <v>Synthesizer retail item #005</v>
      </c>
      <c r="K4811" s="1" t="str">
        <f>IF(SUM(COUNTIFS(I:I, I4811)) &gt; 1, "DUPLICATE", "UNIQUE")</f>
        <v>UNIQUE</v>
      </c>
      <c r="L4811" s="18">
        <v>61</v>
      </c>
      <c r="M4811" s="28">
        <v>7751</v>
      </c>
      <c r="N4811" s="6">
        <v>53</v>
      </c>
      <c r="O4811" s="30">
        <f t="shared" si="454"/>
        <v>472811</v>
      </c>
      <c r="P4811" s="30">
        <f t="shared" si="455"/>
        <v>410803</v>
      </c>
      <c r="Q4811" s="1">
        <f>COUNTIFS($P:$P, "&gt;" &amp; $P4811) + 1</f>
        <v>138</v>
      </c>
      <c r="R4811" s="63">
        <f>(COUNTIFS($P:$P, "&gt;" &amp; $P4811) + 1) / (COUNTA($I:$I) - 1)</f>
        <v>2.76E-2</v>
      </c>
      <c r="S4811" s="23">
        <f>SUMIFS($P:$P, $Q:$Q, "&lt;" &amp; $Q4811)</f>
        <v>83230977</v>
      </c>
    </row>
    <row r="4812" spans="1:19" x14ac:dyDescent="0.25">
      <c r="A4812" s="1">
        <v>4807</v>
      </c>
      <c r="B4812" s="1" t="s">
        <v>4</v>
      </c>
      <c r="C4812" s="1" t="str">
        <f>IF($B4812 = "Production Item", _xlfn.XLOOKUP($A4812, 'Instrument Table'!$J:$J, 'Instrument Table'!$B:$B, $C4811), IF($B4812 = "Service Item", _xlfn.XLOOKUP($A4812, 'Instrument Table'!$I:$I, 'Instrument Table'!$B:$B, $C4811), _xlfn.XLOOKUP($A4812, 'Instrument Table'!$H:$H, 'Instrument Table'!$B:$B, $C4811)))</f>
        <v>Synthesizer</v>
      </c>
      <c r="D4812" s="1" t="str">
        <f>VLOOKUP($C4812, 'Instrument Table'!$B:$C, 2, FALSE)</f>
        <v>Other</v>
      </c>
      <c r="E4812" s="1">
        <f t="shared" si="450"/>
        <v>3</v>
      </c>
      <c r="F4812" s="1">
        <f>_xlfn.XLOOKUP($C4812, 'Instrument Table'!$B:$B, 'Instrument Table'!$A:$A, "")</f>
        <v>61</v>
      </c>
      <c r="G4812" s="1" t="str">
        <f>TEXT(IF($B4812 = "Retail Item", IF((ROW($A4812) - 4504 - _xlfn.XMATCH($C4812, $C$4506:$C$5005, 0, 1)) &lt;= VLOOKUP($C4812, 'Instrument Table'!$B:$D, 3, FALSE), ROW($A4812) - 4504 - _xlfn.XMATCH($C4812, $C$4506:$C$5005, 0, 1), 0), 0), "00")</f>
        <v>00</v>
      </c>
      <c r="H4812" s="1" t="str">
        <f t="shared" si="451"/>
        <v>006</v>
      </c>
      <c r="I4812" s="1" t="str">
        <f t="shared" si="452"/>
        <v>36100-006</v>
      </c>
      <c r="J4812" s="1" t="str">
        <f t="shared" si="453"/>
        <v>Synthesizer retail item #006</v>
      </c>
      <c r="K4812" s="1" t="str">
        <f>IF(SUM(COUNTIFS(I:I, I4812)) &gt; 1, "DUPLICATE", "UNIQUE")</f>
        <v>UNIQUE</v>
      </c>
      <c r="L4812" s="18">
        <v>83</v>
      </c>
      <c r="M4812" s="28">
        <v>7348</v>
      </c>
      <c r="N4812" s="6">
        <v>52</v>
      </c>
      <c r="O4812" s="30">
        <f t="shared" si="454"/>
        <v>609884</v>
      </c>
      <c r="P4812" s="30">
        <f t="shared" si="455"/>
        <v>382096</v>
      </c>
      <c r="Q4812" s="1">
        <f>COUNTIFS($P:$P, "&gt;" &amp; $P4812) + 1</f>
        <v>151</v>
      </c>
      <c r="R4812" s="63">
        <f>(COUNTIFS($P:$P, "&gt;" &amp; $P4812) + 1) / (COUNTA($I:$I) - 1)</f>
        <v>3.0200000000000001E-2</v>
      </c>
      <c r="S4812" s="23">
        <f>SUMIFS($P:$P, $Q:$Q, "&lt;" &amp; $Q4812)</f>
        <v>88340158</v>
      </c>
    </row>
    <row r="4813" spans="1:19" x14ac:dyDescent="0.25">
      <c r="A4813" s="1">
        <v>4808</v>
      </c>
      <c r="B4813" s="1" t="s">
        <v>4</v>
      </c>
      <c r="C4813" s="1" t="str">
        <f>IF($B4813 = "Production Item", _xlfn.XLOOKUP($A4813, 'Instrument Table'!$J:$J, 'Instrument Table'!$B:$B, $C4812), IF($B4813 = "Service Item", _xlfn.XLOOKUP($A4813, 'Instrument Table'!$I:$I, 'Instrument Table'!$B:$B, $C4812), _xlfn.XLOOKUP($A4813, 'Instrument Table'!$H:$H, 'Instrument Table'!$B:$B, $C4812)))</f>
        <v>Synthesizer</v>
      </c>
      <c r="D4813" s="1" t="str">
        <f>VLOOKUP($C4813, 'Instrument Table'!$B:$C, 2, FALSE)</f>
        <v>Other</v>
      </c>
      <c r="E4813" s="1">
        <f t="shared" si="450"/>
        <v>3</v>
      </c>
      <c r="F4813" s="1">
        <f>_xlfn.XLOOKUP($C4813, 'Instrument Table'!$B:$B, 'Instrument Table'!$A:$A, "")</f>
        <v>61</v>
      </c>
      <c r="G4813" s="1" t="str">
        <f>TEXT(IF($B4813 = "Retail Item", IF((ROW($A4813) - 4504 - _xlfn.XMATCH($C4813, $C$4506:$C$5005, 0, 1)) &lt;= VLOOKUP($C4813, 'Instrument Table'!$B:$D, 3, FALSE), ROW($A4813) - 4504 - _xlfn.XMATCH($C4813, $C$4506:$C$5005, 0, 1), 0), 0), "00")</f>
        <v>00</v>
      </c>
      <c r="H4813" s="1" t="str">
        <f t="shared" si="451"/>
        <v>007</v>
      </c>
      <c r="I4813" s="1" t="str">
        <f t="shared" si="452"/>
        <v>36100-007</v>
      </c>
      <c r="J4813" s="1" t="str">
        <f t="shared" si="453"/>
        <v>Synthesizer retail item #007</v>
      </c>
      <c r="K4813" s="1" t="str">
        <f>IF(SUM(COUNTIFS(I:I, I4813)) &gt; 1, "DUPLICATE", "UNIQUE")</f>
        <v>UNIQUE</v>
      </c>
      <c r="L4813" s="18">
        <v>9</v>
      </c>
      <c r="M4813" s="28">
        <v>8449</v>
      </c>
      <c r="N4813" s="6">
        <v>61</v>
      </c>
      <c r="O4813" s="30">
        <f t="shared" si="454"/>
        <v>76041</v>
      </c>
      <c r="P4813" s="30">
        <f t="shared" si="455"/>
        <v>515389</v>
      </c>
      <c r="Q4813" s="1">
        <f>COUNTIFS($P:$P, "&gt;" &amp; $P4813) + 1</f>
        <v>92</v>
      </c>
      <c r="R4813" s="63">
        <f>(COUNTIFS($P:$P, "&gt;" &amp; $P4813) + 1) / (COUNTA($I:$I) - 1)</f>
        <v>1.84E-2</v>
      </c>
      <c r="S4813" s="23">
        <f>SUMIFS($P:$P, $Q:$Q, "&lt;" &amp; $Q4813)</f>
        <v>62110032</v>
      </c>
    </row>
    <row r="4814" spans="1:19" x14ac:dyDescent="0.25">
      <c r="A4814" s="1">
        <v>4809</v>
      </c>
      <c r="B4814" s="1" t="s">
        <v>4</v>
      </c>
      <c r="C4814" s="1" t="str">
        <f>IF($B4814 = "Production Item", _xlfn.XLOOKUP($A4814, 'Instrument Table'!$J:$J, 'Instrument Table'!$B:$B, $C4813), IF($B4814 = "Service Item", _xlfn.XLOOKUP($A4814, 'Instrument Table'!$I:$I, 'Instrument Table'!$B:$B, $C4813), _xlfn.XLOOKUP($A4814, 'Instrument Table'!$H:$H, 'Instrument Table'!$B:$B, $C4813)))</f>
        <v>Synthesizer</v>
      </c>
      <c r="D4814" s="1" t="str">
        <f>VLOOKUP($C4814, 'Instrument Table'!$B:$C, 2, FALSE)</f>
        <v>Other</v>
      </c>
      <c r="E4814" s="1">
        <f t="shared" si="450"/>
        <v>3</v>
      </c>
      <c r="F4814" s="1">
        <f>_xlfn.XLOOKUP($C4814, 'Instrument Table'!$B:$B, 'Instrument Table'!$A:$A, "")</f>
        <v>61</v>
      </c>
      <c r="G4814" s="1" t="str">
        <f>TEXT(IF($B4814 = "Retail Item", IF((ROW($A4814) - 4504 - _xlfn.XMATCH($C4814, $C$4506:$C$5005, 0, 1)) &lt;= VLOOKUP($C4814, 'Instrument Table'!$B:$D, 3, FALSE), ROW($A4814) - 4504 - _xlfn.XMATCH($C4814, $C$4506:$C$5005, 0, 1), 0), 0), "00")</f>
        <v>00</v>
      </c>
      <c r="H4814" s="1" t="str">
        <f t="shared" si="451"/>
        <v>008</v>
      </c>
      <c r="I4814" s="1" t="str">
        <f t="shared" si="452"/>
        <v>36100-008</v>
      </c>
      <c r="J4814" s="1" t="str">
        <f t="shared" si="453"/>
        <v>Synthesizer retail item #008</v>
      </c>
      <c r="K4814" s="1" t="str">
        <f>IF(SUM(COUNTIFS(I:I, I4814)) &gt; 1, "DUPLICATE", "UNIQUE")</f>
        <v>UNIQUE</v>
      </c>
      <c r="L4814" s="18">
        <v>66</v>
      </c>
      <c r="M4814" s="28">
        <v>8601</v>
      </c>
      <c r="N4814" s="6">
        <v>34</v>
      </c>
      <c r="O4814" s="30">
        <f t="shared" si="454"/>
        <v>567666</v>
      </c>
      <c r="P4814" s="30">
        <f t="shared" si="455"/>
        <v>292434</v>
      </c>
      <c r="Q4814" s="1">
        <f>COUNTIFS($P:$P, "&gt;" &amp; $P4814) + 1</f>
        <v>212</v>
      </c>
      <c r="R4814" s="63">
        <f>(COUNTIFS($P:$P, "&gt;" &amp; $P4814) + 1) / (COUNTA($I:$I) - 1)</f>
        <v>4.24E-2</v>
      </c>
      <c r="S4814" s="23">
        <f>SUMIFS($P:$P, $Q:$Q, "&lt;" &amp; $Q4814)</f>
        <v>108505173</v>
      </c>
    </row>
    <row r="4815" spans="1:19" x14ac:dyDescent="0.25">
      <c r="A4815" s="1">
        <v>4810</v>
      </c>
      <c r="B4815" s="1" t="s">
        <v>4</v>
      </c>
      <c r="C4815" s="1" t="str">
        <f>IF($B4815 = "Production Item", _xlfn.XLOOKUP($A4815, 'Instrument Table'!$J:$J, 'Instrument Table'!$B:$B, $C4814), IF($B4815 = "Service Item", _xlfn.XLOOKUP($A4815, 'Instrument Table'!$I:$I, 'Instrument Table'!$B:$B, $C4814), _xlfn.XLOOKUP($A4815, 'Instrument Table'!$H:$H, 'Instrument Table'!$B:$B, $C4814)))</f>
        <v>Synthesizer</v>
      </c>
      <c r="D4815" s="1" t="str">
        <f>VLOOKUP($C4815, 'Instrument Table'!$B:$C, 2, FALSE)</f>
        <v>Other</v>
      </c>
      <c r="E4815" s="1">
        <f t="shared" si="450"/>
        <v>3</v>
      </c>
      <c r="F4815" s="1">
        <f>_xlfn.XLOOKUP($C4815, 'Instrument Table'!$B:$B, 'Instrument Table'!$A:$A, "")</f>
        <v>61</v>
      </c>
      <c r="G4815" s="1" t="str">
        <f>TEXT(IF($B4815 = "Retail Item", IF((ROW($A4815) - 4504 - _xlfn.XMATCH($C4815, $C$4506:$C$5005, 0, 1)) &lt;= VLOOKUP($C4815, 'Instrument Table'!$B:$D, 3, FALSE), ROW($A4815) - 4504 - _xlfn.XMATCH($C4815, $C$4506:$C$5005, 0, 1), 0), 0), "00")</f>
        <v>00</v>
      </c>
      <c r="H4815" s="1" t="str">
        <f t="shared" si="451"/>
        <v>009</v>
      </c>
      <c r="I4815" s="1" t="str">
        <f t="shared" si="452"/>
        <v>36100-009</v>
      </c>
      <c r="J4815" s="1" t="str">
        <f t="shared" si="453"/>
        <v>Synthesizer retail item #009</v>
      </c>
      <c r="K4815" s="1" t="str">
        <f>IF(SUM(COUNTIFS(I:I, I4815)) &gt; 1, "DUPLICATE", "UNIQUE")</f>
        <v>UNIQUE</v>
      </c>
      <c r="L4815" s="18">
        <v>70</v>
      </c>
      <c r="M4815" s="28">
        <v>3485</v>
      </c>
      <c r="N4815" s="6">
        <v>95</v>
      </c>
      <c r="O4815" s="30">
        <f t="shared" si="454"/>
        <v>243950</v>
      </c>
      <c r="P4815" s="30">
        <f t="shared" si="455"/>
        <v>331075</v>
      </c>
      <c r="Q4815" s="1">
        <f>COUNTIFS($P:$P, "&gt;" &amp; $P4815) + 1</f>
        <v>178</v>
      </c>
      <c r="R4815" s="63">
        <f>(COUNTIFS($P:$P, "&gt;" &amp; $P4815) + 1) / (COUNTA($I:$I) - 1)</f>
        <v>3.56E-2</v>
      </c>
      <c r="S4815" s="23">
        <f>SUMIFS($P:$P, $Q:$Q, "&lt;" &amp; $Q4815)</f>
        <v>97940498</v>
      </c>
    </row>
    <row r="4816" spans="1:19" x14ac:dyDescent="0.25">
      <c r="A4816" s="1">
        <v>4811</v>
      </c>
      <c r="B4816" s="1" t="s">
        <v>4</v>
      </c>
      <c r="C4816" s="1" t="str">
        <f>IF($B4816 = "Production Item", _xlfn.XLOOKUP($A4816, 'Instrument Table'!$J:$J, 'Instrument Table'!$B:$B, $C4815), IF($B4816 = "Service Item", _xlfn.XLOOKUP($A4816, 'Instrument Table'!$I:$I, 'Instrument Table'!$B:$B, $C4815), _xlfn.XLOOKUP($A4816, 'Instrument Table'!$H:$H, 'Instrument Table'!$B:$B, $C4815)))</f>
        <v>Synthesizer</v>
      </c>
      <c r="D4816" s="1" t="str">
        <f>VLOOKUP($C4816, 'Instrument Table'!$B:$C, 2, FALSE)</f>
        <v>Other</v>
      </c>
      <c r="E4816" s="1">
        <f t="shared" si="450"/>
        <v>3</v>
      </c>
      <c r="F4816" s="1">
        <f>_xlfn.XLOOKUP($C4816, 'Instrument Table'!$B:$B, 'Instrument Table'!$A:$A, "")</f>
        <v>61</v>
      </c>
      <c r="G4816" s="1" t="str">
        <f>TEXT(IF($B4816 = "Retail Item", IF((ROW($A4816) - 4504 - _xlfn.XMATCH($C4816, $C$4506:$C$5005, 0, 1)) &lt;= VLOOKUP($C4816, 'Instrument Table'!$B:$D, 3, FALSE), ROW($A4816) - 4504 - _xlfn.XMATCH($C4816, $C$4506:$C$5005, 0, 1), 0), 0), "00")</f>
        <v>00</v>
      </c>
      <c r="H4816" s="1" t="str">
        <f t="shared" si="451"/>
        <v>010</v>
      </c>
      <c r="I4816" s="1" t="str">
        <f t="shared" si="452"/>
        <v>36100-010</v>
      </c>
      <c r="J4816" s="1" t="str">
        <f t="shared" si="453"/>
        <v>Synthesizer retail item #010</v>
      </c>
      <c r="K4816" s="1" t="str">
        <f>IF(SUM(COUNTIFS(I:I, I4816)) &gt; 1, "DUPLICATE", "UNIQUE")</f>
        <v>UNIQUE</v>
      </c>
      <c r="L4816" s="18">
        <v>2</v>
      </c>
      <c r="M4816" s="28">
        <v>6150</v>
      </c>
      <c r="N4816" s="6">
        <v>96</v>
      </c>
      <c r="O4816" s="30">
        <f t="shared" si="454"/>
        <v>12300</v>
      </c>
      <c r="P4816" s="30">
        <f t="shared" si="455"/>
        <v>590400</v>
      </c>
      <c r="Q4816" s="1">
        <f>COUNTIFS($P:$P, "&gt;" &amp; $P4816) + 1</f>
        <v>65</v>
      </c>
      <c r="R4816" s="63">
        <f>(COUNTIFS($P:$P, "&gt;" &amp; $P4816) + 1) / (COUNTA($I:$I) - 1)</f>
        <v>1.2999999999999999E-2</v>
      </c>
      <c r="S4816" s="23">
        <f>SUMIFS($P:$P, $Q:$Q, "&lt;" &amp; $Q4816)</f>
        <v>47235530</v>
      </c>
    </row>
    <row r="4817" spans="1:19" x14ac:dyDescent="0.25">
      <c r="A4817" s="1">
        <v>4812</v>
      </c>
      <c r="B4817" s="1" t="s">
        <v>4</v>
      </c>
      <c r="C4817" s="1" t="str">
        <f>IF($B4817 = "Production Item", _xlfn.XLOOKUP($A4817, 'Instrument Table'!$J:$J, 'Instrument Table'!$B:$B, $C4816), IF($B4817 = "Service Item", _xlfn.XLOOKUP($A4817, 'Instrument Table'!$I:$I, 'Instrument Table'!$B:$B, $C4816), _xlfn.XLOOKUP($A4817, 'Instrument Table'!$H:$H, 'Instrument Table'!$B:$B, $C4816)))</f>
        <v>Synthesizer</v>
      </c>
      <c r="D4817" s="1" t="str">
        <f>VLOOKUP($C4817, 'Instrument Table'!$B:$C, 2, FALSE)</f>
        <v>Other</v>
      </c>
      <c r="E4817" s="1">
        <f t="shared" si="450"/>
        <v>3</v>
      </c>
      <c r="F4817" s="1">
        <f>_xlfn.XLOOKUP($C4817, 'Instrument Table'!$B:$B, 'Instrument Table'!$A:$A, "")</f>
        <v>61</v>
      </c>
      <c r="G4817" s="1" t="str">
        <f>TEXT(IF($B4817 = "Retail Item", IF((ROW($A4817) - 4504 - _xlfn.XMATCH($C4817, $C$4506:$C$5005, 0, 1)) &lt;= VLOOKUP($C4817, 'Instrument Table'!$B:$D, 3, FALSE), ROW($A4817) - 4504 - _xlfn.XMATCH($C4817, $C$4506:$C$5005, 0, 1), 0), 0), "00")</f>
        <v>00</v>
      </c>
      <c r="H4817" s="1" t="str">
        <f t="shared" si="451"/>
        <v>011</v>
      </c>
      <c r="I4817" s="1" t="str">
        <f t="shared" si="452"/>
        <v>36100-011</v>
      </c>
      <c r="J4817" s="1" t="str">
        <f t="shared" si="453"/>
        <v>Synthesizer retail item #011</v>
      </c>
      <c r="K4817" s="1" t="str">
        <f>IF(SUM(COUNTIFS(I:I, I4817)) &gt; 1, "DUPLICATE", "UNIQUE")</f>
        <v>UNIQUE</v>
      </c>
      <c r="L4817" s="18">
        <v>41</v>
      </c>
      <c r="M4817" s="28">
        <v>2196</v>
      </c>
      <c r="N4817" s="6">
        <v>24</v>
      </c>
      <c r="O4817" s="30">
        <f t="shared" si="454"/>
        <v>90036</v>
      </c>
      <c r="P4817" s="30">
        <f t="shared" si="455"/>
        <v>52704</v>
      </c>
      <c r="Q4817" s="1">
        <f>COUNTIFS($P:$P, "&gt;" &amp; $P4817) + 1</f>
        <v>520</v>
      </c>
      <c r="R4817" s="63">
        <f>(COUNTIFS($P:$P, "&gt;" &amp; $P4817) + 1) / (COUNTA($I:$I) - 1)</f>
        <v>0.104</v>
      </c>
      <c r="S4817" s="23">
        <f>SUMIFS($P:$P, $Q:$Q, "&lt;" &amp; $Q4817)</f>
        <v>152588533</v>
      </c>
    </row>
    <row r="4818" spans="1:19" x14ac:dyDescent="0.25">
      <c r="A4818" s="1">
        <v>4813</v>
      </c>
      <c r="B4818" s="1" t="s">
        <v>4</v>
      </c>
      <c r="C4818" s="1" t="str">
        <f>IF($B4818 = "Production Item", _xlfn.XLOOKUP($A4818, 'Instrument Table'!$J:$J, 'Instrument Table'!$B:$B, $C4817), IF($B4818 = "Service Item", _xlfn.XLOOKUP($A4818, 'Instrument Table'!$I:$I, 'Instrument Table'!$B:$B, $C4817), _xlfn.XLOOKUP($A4818, 'Instrument Table'!$H:$H, 'Instrument Table'!$B:$B, $C4817)))</f>
        <v>Synthesizer</v>
      </c>
      <c r="D4818" s="1" t="str">
        <f>VLOOKUP($C4818, 'Instrument Table'!$B:$C, 2, FALSE)</f>
        <v>Other</v>
      </c>
      <c r="E4818" s="1">
        <f t="shared" si="450"/>
        <v>3</v>
      </c>
      <c r="F4818" s="1">
        <f>_xlfn.XLOOKUP($C4818, 'Instrument Table'!$B:$B, 'Instrument Table'!$A:$A, "")</f>
        <v>61</v>
      </c>
      <c r="G4818" s="1" t="str">
        <f>TEXT(IF($B4818 = "Retail Item", IF((ROW($A4818) - 4504 - _xlfn.XMATCH($C4818, $C$4506:$C$5005, 0, 1)) &lt;= VLOOKUP($C4818, 'Instrument Table'!$B:$D, 3, FALSE), ROW($A4818) - 4504 - _xlfn.XMATCH($C4818, $C$4506:$C$5005, 0, 1), 0), 0), "00")</f>
        <v>00</v>
      </c>
      <c r="H4818" s="1" t="str">
        <f t="shared" si="451"/>
        <v>012</v>
      </c>
      <c r="I4818" s="1" t="str">
        <f t="shared" si="452"/>
        <v>36100-012</v>
      </c>
      <c r="J4818" s="1" t="str">
        <f t="shared" si="453"/>
        <v>Synthesizer retail item #012</v>
      </c>
      <c r="K4818" s="1" t="str">
        <f>IF(SUM(COUNTIFS(I:I, I4818)) &gt; 1, "DUPLICATE", "UNIQUE")</f>
        <v>UNIQUE</v>
      </c>
      <c r="L4818" s="18">
        <v>18</v>
      </c>
      <c r="M4818" s="28">
        <v>6931</v>
      </c>
      <c r="N4818" s="6">
        <v>17</v>
      </c>
      <c r="O4818" s="30">
        <f t="shared" si="454"/>
        <v>124758</v>
      </c>
      <c r="P4818" s="30">
        <f t="shared" si="455"/>
        <v>117827</v>
      </c>
      <c r="Q4818" s="1">
        <f>COUNTIFS($P:$P, "&gt;" &amp; $P4818) + 1</f>
        <v>374</v>
      </c>
      <c r="R4818" s="63">
        <f>(COUNTIFS($P:$P, "&gt;" &amp; $P4818) + 1) / (COUNTA($I:$I) - 1)</f>
        <v>7.4800000000000005E-2</v>
      </c>
      <c r="S4818" s="23">
        <f>SUMIFS($P:$P, $Q:$Q, "&lt;" &amp; $Q4818)</f>
        <v>140504050</v>
      </c>
    </row>
    <row r="4819" spans="1:19" x14ac:dyDescent="0.25">
      <c r="A4819" s="1">
        <v>4814</v>
      </c>
      <c r="B4819" s="1" t="s">
        <v>4</v>
      </c>
      <c r="C4819" s="1" t="str">
        <f>IF($B4819 = "Production Item", _xlfn.XLOOKUP($A4819, 'Instrument Table'!$J:$J, 'Instrument Table'!$B:$B, $C4818), IF($B4819 = "Service Item", _xlfn.XLOOKUP($A4819, 'Instrument Table'!$I:$I, 'Instrument Table'!$B:$B, $C4818), _xlfn.XLOOKUP($A4819, 'Instrument Table'!$H:$H, 'Instrument Table'!$B:$B, $C4818)))</f>
        <v>Synthesizer</v>
      </c>
      <c r="D4819" s="1" t="str">
        <f>VLOOKUP($C4819, 'Instrument Table'!$B:$C, 2, FALSE)</f>
        <v>Other</v>
      </c>
      <c r="E4819" s="1">
        <f t="shared" si="450"/>
        <v>3</v>
      </c>
      <c r="F4819" s="1">
        <f>_xlfn.XLOOKUP($C4819, 'Instrument Table'!$B:$B, 'Instrument Table'!$A:$A, "")</f>
        <v>61</v>
      </c>
      <c r="G4819" s="1" t="str">
        <f>TEXT(IF($B4819 = "Retail Item", IF((ROW($A4819) - 4504 - _xlfn.XMATCH($C4819, $C$4506:$C$5005, 0, 1)) &lt;= VLOOKUP($C4819, 'Instrument Table'!$B:$D, 3, FALSE), ROW($A4819) - 4504 - _xlfn.XMATCH($C4819, $C$4506:$C$5005, 0, 1), 0), 0), "00")</f>
        <v>00</v>
      </c>
      <c r="H4819" s="1" t="str">
        <f t="shared" si="451"/>
        <v>013</v>
      </c>
      <c r="I4819" s="1" t="str">
        <f t="shared" si="452"/>
        <v>36100-013</v>
      </c>
      <c r="J4819" s="1" t="str">
        <f t="shared" si="453"/>
        <v>Synthesizer retail item #013</v>
      </c>
      <c r="K4819" s="1" t="str">
        <f>IF(SUM(COUNTIFS(I:I, I4819)) &gt; 1, "DUPLICATE", "UNIQUE")</f>
        <v>UNIQUE</v>
      </c>
      <c r="L4819" s="18">
        <v>99</v>
      </c>
      <c r="M4819" s="28">
        <v>9293</v>
      </c>
      <c r="N4819" s="6">
        <v>68</v>
      </c>
      <c r="O4819" s="30">
        <f t="shared" si="454"/>
        <v>920007</v>
      </c>
      <c r="P4819" s="30">
        <f t="shared" si="455"/>
        <v>631924</v>
      </c>
      <c r="Q4819" s="1">
        <f>COUNTIFS($P:$P, "&gt;" &amp; $P4819) + 1</f>
        <v>52</v>
      </c>
      <c r="R4819" s="63">
        <f>(COUNTIFS($P:$P, "&gt;" &amp; $P4819) + 1) / (COUNTA($I:$I) - 1)</f>
        <v>1.04E-2</v>
      </c>
      <c r="S4819" s="23">
        <f>SUMIFS($P:$P, $Q:$Q, "&lt;" &amp; $Q4819)</f>
        <v>39198254</v>
      </c>
    </row>
    <row r="4820" spans="1:19" x14ac:dyDescent="0.25">
      <c r="A4820" s="1">
        <v>4815</v>
      </c>
      <c r="B4820" s="1" t="s">
        <v>4</v>
      </c>
      <c r="C4820" s="1" t="str">
        <f>IF($B4820 = "Production Item", _xlfn.XLOOKUP($A4820, 'Instrument Table'!$J:$J, 'Instrument Table'!$B:$B, $C4819), IF($B4820 = "Service Item", _xlfn.XLOOKUP($A4820, 'Instrument Table'!$I:$I, 'Instrument Table'!$B:$B, $C4819), _xlfn.XLOOKUP($A4820, 'Instrument Table'!$H:$H, 'Instrument Table'!$B:$B, $C4819)))</f>
        <v>Synthesizer</v>
      </c>
      <c r="D4820" s="1" t="str">
        <f>VLOOKUP($C4820, 'Instrument Table'!$B:$C, 2, FALSE)</f>
        <v>Other</v>
      </c>
      <c r="E4820" s="1">
        <f t="shared" si="450"/>
        <v>3</v>
      </c>
      <c r="F4820" s="1">
        <f>_xlfn.XLOOKUP($C4820, 'Instrument Table'!$B:$B, 'Instrument Table'!$A:$A, "")</f>
        <v>61</v>
      </c>
      <c r="G4820" s="1" t="str">
        <f>TEXT(IF($B4820 = "Retail Item", IF((ROW($A4820) - 4504 - _xlfn.XMATCH($C4820, $C$4506:$C$5005, 0, 1)) &lt;= VLOOKUP($C4820, 'Instrument Table'!$B:$D, 3, FALSE), ROW($A4820) - 4504 - _xlfn.XMATCH($C4820, $C$4506:$C$5005, 0, 1), 0), 0), "00")</f>
        <v>00</v>
      </c>
      <c r="H4820" s="1" t="str">
        <f t="shared" si="451"/>
        <v>014</v>
      </c>
      <c r="I4820" s="1" t="str">
        <f t="shared" si="452"/>
        <v>36100-014</v>
      </c>
      <c r="J4820" s="1" t="str">
        <f t="shared" si="453"/>
        <v>Synthesizer retail item #014</v>
      </c>
      <c r="K4820" s="1" t="str">
        <f>IF(SUM(COUNTIFS(I:I, I4820)) &gt; 1, "DUPLICATE", "UNIQUE")</f>
        <v>UNIQUE</v>
      </c>
      <c r="L4820" s="18">
        <v>61</v>
      </c>
      <c r="M4820" s="28">
        <v>6750</v>
      </c>
      <c r="N4820" s="6">
        <v>38</v>
      </c>
      <c r="O4820" s="30">
        <f t="shared" si="454"/>
        <v>411750</v>
      </c>
      <c r="P4820" s="30">
        <f t="shared" si="455"/>
        <v>256500</v>
      </c>
      <c r="Q4820" s="1">
        <f>COUNTIFS($P:$P, "&gt;" &amp; $P4820) + 1</f>
        <v>239</v>
      </c>
      <c r="R4820" s="63">
        <f>(COUNTIFS($P:$P, "&gt;" &amp; $P4820) + 1) / (COUNTA($I:$I) - 1)</f>
        <v>4.7800000000000002E-2</v>
      </c>
      <c r="S4820" s="23">
        <f>SUMIFS($P:$P, $Q:$Q, "&lt;" &amp; $Q4820)</f>
        <v>115908022</v>
      </c>
    </row>
    <row r="4821" spans="1:19" x14ac:dyDescent="0.25">
      <c r="A4821" s="1">
        <v>4816</v>
      </c>
      <c r="B4821" s="1" t="s">
        <v>4</v>
      </c>
      <c r="C4821" s="1" t="str">
        <f>IF($B4821 = "Production Item", _xlfn.XLOOKUP($A4821, 'Instrument Table'!$J:$J, 'Instrument Table'!$B:$B, $C4820), IF($B4821 = "Service Item", _xlfn.XLOOKUP($A4821, 'Instrument Table'!$I:$I, 'Instrument Table'!$B:$B, $C4820), _xlfn.XLOOKUP($A4821, 'Instrument Table'!$H:$H, 'Instrument Table'!$B:$B, $C4820)))</f>
        <v>Synthesizer</v>
      </c>
      <c r="D4821" s="1" t="str">
        <f>VLOOKUP($C4821, 'Instrument Table'!$B:$C, 2, FALSE)</f>
        <v>Other</v>
      </c>
      <c r="E4821" s="1">
        <f t="shared" si="450"/>
        <v>3</v>
      </c>
      <c r="F4821" s="1">
        <f>_xlfn.XLOOKUP($C4821, 'Instrument Table'!$B:$B, 'Instrument Table'!$A:$A, "")</f>
        <v>61</v>
      </c>
      <c r="G4821" s="1" t="str">
        <f>TEXT(IF($B4821 = "Retail Item", IF((ROW($A4821) - 4504 - _xlfn.XMATCH($C4821, $C$4506:$C$5005, 0, 1)) &lt;= VLOOKUP($C4821, 'Instrument Table'!$B:$D, 3, FALSE), ROW($A4821) - 4504 - _xlfn.XMATCH($C4821, $C$4506:$C$5005, 0, 1), 0), 0), "00")</f>
        <v>00</v>
      </c>
      <c r="H4821" s="1" t="str">
        <f t="shared" si="451"/>
        <v>015</v>
      </c>
      <c r="I4821" s="1" t="str">
        <f t="shared" si="452"/>
        <v>36100-015</v>
      </c>
      <c r="J4821" s="1" t="str">
        <f t="shared" si="453"/>
        <v>Synthesizer retail item #015</v>
      </c>
      <c r="K4821" s="1" t="str">
        <f>IF(SUM(COUNTIFS(I:I, I4821)) &gt; 1, "DUPLICATE", "UNIQUE")</f>
        <v>UNIQUE</v>
      </c>
      <c r="L4821" s="18">
        <v>75</v>
      </c>
      <c r="M4821" s="28">
        <v>3992</v>
      </c>
      <c r="N4821" s="6">
        <v>21</v>
      </c>
      <c r="O4821" s="30">
        <f t="shared" si="454"/>
        <v>299400</v>
      </c>
      <c r="P4821" s="30">
        <f t="shared" si="455"/>
        <v>83832</v>
      </c>
      <c r="Q4821" s="1">
        <f>COUNTIFS($P:$P, "&gt;" &amp; $P4821) + 1</f>
        <v>438</v>
      </c>
      <c r="R4821" s="63">
        <f>(COUNTIFS($P:$P, "&gt;" &amp; $P4821) + 1) / (COUNTA($I:$I) - 1)</f>
        <v>8.7599999999999997E-2</v>
      </c>
      <c r="S4821" s="23">
        <f>SUMIFS($P:$P, $Q:$Q, "&lt;" &amp; $Q4821)</f>
        <v>147034766</v>
      </c>
    </row>
    <row r="4822" spans="1:19" x14ac:dyDescent="0.25">
      <c r="A4822" s="1">
        <v>4817</v>
      </c>
      <c r="B4822" s="1" t="s">
        <v>4</v>
      </c>
      <c r="C4822" s="1" t="str">
        <f>IF($B4822 = "Production Item", _xlfn.XLOOKUP($A4822, 'Instrument Table'!$J:$J, 'Instrument Table'!$B:$B, $C4821), IF($B4822 = "Service Item", _xlfn.XLOOKUP($A4822, 'Instrument Table'!$I:$I, 'Instrument Table'!$B:$B, $C4821), _xlfn.XLOOKUP($A4822, 'Instrument Table'!$H:$H, 'Instrument Table'!$B:$B, $C4821)))</f>
        <v>Synthesizer</v>
      </c>
      <c r="D4822" s="1" t="str">
        <f>VLOOKUP($C4822, 'Instrument Table'!$B:$C, 2, FALSE)</f>
        <v>Other</v>
      </c>
      <c r="E4822" s="1">
        <f t="shared" si="450"/>
        <v>3</v>
      </c>
      <c r="F4822" s="1">
        <f>_xlfn.XLOOKUP($C4822, 'Instrument Table'!$B:$B, 'Instrument Table'!$A:$A, "")</f>
        <v>61</v>
      </c>
      <c r="G4822" s="1" t="str">
        <f>TEXT(IF($B4822 = "Retail Item", IF((ROW($A4822) - 4504 - _xlfn.XMATCH($C4822, $C$4506:$C$5005, 0, 1)) &lt;= VLOOKUP($C4822, 'Instrument Table'!$B:$D, 3, FALSE), ROW($A4822) - 4504 - _xlfn.XMATCH($C4822, $C$4506:$C$5005, 0, 1), 0), 0), "00")</f>
        <v>00</v>
      </c>
      <c r="H4822" s="1" t="str">
        <f t="shared" si="451"/>
        <v>016</v>
      </c>
      <c r="I4822" s="1" t="str">
        <f t="shared" si="452"/>
        <v>36100-016</v>
      </c>
      <c r="J4822" s="1" t="str">
        <f t="shared" si="453"/>
        <v>Synthesizer retail item #016</v>
      </c>
      <c r="K4822" s="1" t="str">
        <f>IF(SUM(COUNTIFS(I:I, I4822)) &gt; 1, "DUPLICATE", "UNIQUE")</f>
        <v>UNIQUE</v>
      </c>
      <c r="L4822" s="18">
        <v>56</v>
      </c>
      <c r="M4822" s="28">
        <v>2133</v>
      </c>
      <c r="N4822" s="6">
        <v>68</v>
      </c>
      <c r="O4822" s="30">
        <f t="shared" si="454"/>
        <v>119448</v>
      </c>
      <c r="P4822" s="30">
        <f t="shared" si="455"/>
        <v>145044</v>
      </c>
      <c r="Q4822" s="1">
        <f>COUNTIFS($P:$P, "&gt;" &amp; $P4822) + 1</f>
        <v>340</v>
      </c>
      <c r="R4822" s="63">
        <f>(COUNTIFS($P:$P, "&gt;" &amp; $P4822) + 1) / (COUNTA($I:$I) - 1)</f>
        <v>6.8000000000000005E-2</v>
      </c>
      <c r="S4822" s="23">
        <f>SUMIFS($P:$P, $Q:$Q, "&lt;" &amp; $Q4822)</f>
        <v>136056095</v>
      </c>
    </row>
    <row r="4823" spans="1:19" x14ac:dyDescent="0.25">
      <c r="A4823" s="1">
        <v>4818</v>
      </c>
      <c r="B4823" s="1" t="s">
        <v>4</v>
      </c>
      <c r="C4823" s="1" t="str">
        <f>IF($B4823 = "Production Item", _xlfn.XLOOKUP($A4823, 'Instrument Table'!$J:$J, 'Instrument Table'!$B:$B, $C4822), IF($B4823 = "Service Item", _xlfn.XLOOKUP($A4823, 'Instrument Table'!$I:$I, 'Instrument Table'!$B:$B, $C4822), _xlfn.XLOOKUP($A4823, 'Instrument Table'!$H:$H, 'Instrument Table'!$B:$B, $C4822)))</f>
        <v>Synthesizer</v>
      </c>
      <c r="D4823" s="1" t="str">
        <f>VLOOKUP($C4823, 'Instrument Table'!$B:$C, 2, FALSE)</f>
        <v>Other</v>
      </c>
      <c r="E4823" s="1">
        <f t="shared" si="450"/>
        <v>3</v>
      </c>
      <c r="F4823" s="1">
        <f>_xlfn.XLOOKUP($C4823, 'Instrument Table'!$B:$B, 'Instrument Table'!$A:$A, "")</f>
        <v>61</v>
      </c>
      <c r="G4823" s="1" t="str">
        <f>TEXT(IF($B4823 = "Retail Item", IF((ROW($A4823) - 4504 - _xlfn.XMATCH($C4823, $C$4506:$C$5005, 0, 1)) &lt;= VLOOKUP($C4823, 'Instrument Table'!$B:$D, 3, FALSE), ROW($A4823) - 4504 - _xlfn.XMATCH($C4823, $C$4506:$C$5005, 0, 1), 0), 0), "00")</f>
        <v>00</v>
      </c>
      <c r="H4823" s="1" t="str">
        <f t="shared" si="451"/>
        <v>017</v>
      </c>
      <c r="I4823" s="1" t="str">
        <f t="shared" si="452"/>
        <v>36100-017</v>
      </c>
      <c r="J4823" s="1" t="str">
        <f t="shared" si="453"/>
        <v>Synthesizer retail item #017</v>
      </c>
      <c r="K4823" s="1" t="str">
        <f>IF(SUM(COUNTIFS(I:I, I4823)) &gt; 1, "DUPLICATE", "UNIQUE")</f>
        <v>UNIQUE</v>
      </c>
      <c r="L4823" s="18">
        <v>74</v>
      </c>
      <c r="M4823" s="28">
        <v>5382</v>
      </c>
      <c r="N4823" s="6">
        <v>75</v>
      </c>
      <c r="O4823" s="30">
        <f t="shared" si="454"/>
        <v>398268</v>
      </c>
      <c r="P4823" s="30">
        <f t="shared" si="455"/>
        <v>403650</v>
      </c>
      <c r="Q4823" s="1">
        <f>COUNTIFS($P:$P, "&gt;" &amp; $P4823) + 1</f>
        <v>140</v>
      </c>
      <c r="R4823" s="63">
        <f>(COUNTIFS($P:$P, "&gt;" &amp; $P4823) + 1) / (COUNTA($I:$I) - 1)</f>
        <v>2.8000000000000001E-2</v>
      </c>
      <c r="S4823" s="23">
        <f>SUMIFS($P:$P, $Q:$Q, "&lt;" &amp; $Q4823)</f>
        <v>84050584</v>
      </c>
    </row>
    <row r="4824" spans="1:19" x14ac:dyDescent="0.25">
      <c r="A4824" s="1">
        <v>4819</v>
      </c>
      <c r="B4824" s="1" t="s">
        <v>4</v>
      </c>
      <c r="C4824" s="1" t="str">
        <f>IF($B4824 = "Production Item", _xlfn.XLOOKUP($A4824, 'Instrument Table'!$J:$J, 'Instrument Table'!$B:$B, $C4823), IF($B4824 = "Service Item", _xlfn.XLOOKUP($A4824, 'Instrument Table'!$I:$I, 'Instrument Table'!$B:$B, $C4823), _xlfn.XLOOKUP($A4824, 'Instrument Table'!$H:$H, 'Instrument Table'!$B:$B, $C4823)))</f>
        <v>Synthesizer</v>
      </c>
      <c r="D4824" s="1" t="str">
        <f>VLOOKUP($C4824, 'Instrument Table'!$B:$C, 2, FALSE)</f>
        <v>Other</v>
      </c>
      <c r="E4824" s="1">
        <f t="shared" si="450"/>
        <v>3</v>
      </c>
      <c r="F4824" s="1">
        <f>_xlfn.XLOOKUP($C4824, 'Instrument Table'!$B:$B, 'Instrument Table'!$A:$A, "")</f>
        <v>61</v>
      </c>
      <c r="G4824" s="1" t="str">
        <f>TEXT(IF($B4824 = "Retail Item", IF((ROW($A4824) - 4504 - _xlfn.XMATCH($C4824, $C$4506:$C$5005, 0, 1)) &lt;= VLOOKUP($C4824, 'Instrument Table'!$B:$D, 3, FALSE), ROW($A4824) - 4504 - _xlfn.XMATCH($C4824, $C$4506:$C$5005, 0, 1), 0), 0), "00")</f>
        <v>00</v>
      </c>
      <c r="H4824" s="1" t="str">
        <f t="shared" si="451"/>
        <v>018</v>
      </c>
      <c r="I4824" s="1" t="str">
        <f t="shared" si="452"/>
        <v>36100-018</v>
      </c>
      <c r="J4824" s="1" t="str">
        <f t="shared" si="453"/>
        <v>Synthesizer retail item #018</v>
      </c>
      <c r="K4824" s="1" t="str">
        <f>IF(SUM(COUNTIFS(I:I, I4824)) &gt; 1, "DUPLICATE", "UNIQUE")</f>
        <v>UNIQUE</v>
      </c>
      <c r="L4824" s="18">
        <v>25</v>
      </c>
      <c r="M4824" s="28">
        <v>8717</v>
      </c>
      <c r="N4824" s="6">
        <v>86</v>
      </c>
      <c r="O4824" s="30">
        <f t="shared" si="454"/>
        <v>217925</v>
      </c>
      <c r="P4824" s="30">
        <f t="shared" si="455"/>
        <v>749662</v>
      </c>
      <c r="Q4824" s="1">
        <f>COUNTIFS($P:$P, "&gt;" &amp; $P4824) + 1</f>
        <v>28</v>
      </c>
      <c r="R4824" s="63">
        <f>(COUNTIFS($P:$P, "&gt;" &amp; $P4824) + 1) / (COUNTA($I:$I) - 1)</f>
        <v>5.5999999999999999E-3</v>
      </c>
      <c r="S4824" s="23">
        <f>SUMIFS($P:$P, $Q:$Q, "&lt;" &amp; $Q4824)</f>
        <v>22673154</v>
      </c>
    </row>
    <row r="4825" spans="1:19" x14ac:dyDescent="0.25">
      <c r="A4825" s="1">
        <v>4820</v>
      </c>
      <c r="B4825" s="1" t="s">
        <v>4</v>
      </c>
      <c r="C4825" s="1" t="str">
        <f>IF($B4825 = "Production Item", _xlfn.XLOOKUP($A4825, 'Instrument Table'!$J:$J, 'Instrument Table'!$B:$B, $C4824), IF($B4825 = "Service Item", _xlfn.XLOOKUP($A4825, 'Instrument Table'!$I:$I, 'Instrument Table'!$B:$B, $C4824), _xlfn.XLOOKUP($A4825, 'Instrument Table'!$H:$H, 'Instrument Table'!$B:$B, $C4824)))</f>
        <v>Synthesizer</v>
      </c>
      <c r="D4825" s="1" t="str">
        <f>VLOOKUP($C4825, 'Instrument Table'!$B:$C, 2, FALSE)</f>
        <v>Other</v>
      </c>
      <c r="E4825" s="1">
        <f t="shared" si="450"/>
        <v>3</v>
      </c>
      <c r="F4825" s="1">
        <f>_xlfn.XLOOKUP($C4825, 'Instrument Table'!$B:$B, 'Instrument Table'!$A:$A, "")</f>
        <v>61</v>
      </c>
      <c r="G4825" s="1" t="str">
        <f>TEXT(IF($B4825 = "Retail Item", IF((ROW($A4825) - 4504 - _xlfn.XMATCH($C4825, $C$4506:$C$5005, 0, 1)) &lt;= VLOOKUP($C4825, 'Instrument Table'!$B:$D, 3, FALSE), ROW($A4825) - 4504 - _xlfn.XMATCH($C4825, $C$4506:$C$5005, 0, 1), 0), 0), "00")</f>
        <v>00</v>
      </c>
      <c r="H4825" s="1" t="str">
        <f t="shared" si="451"/>
        <v>019</v>
      </c>
      <c r="I4825" s="1" t="str">
        <f t="shared" si="452"/>
        <v>36100-019</v>
      </c>
      <c r="J4825" s="1" t="str">
        <f t="shared" si="453"/>
        <v>Synthesizer retail item #019</v>
      </c>
      <c r="K4825" s="1" t="str">
        <f>IF(SUM(COUNTIFS(I:I, I4825)) &gt; 1, "DUPLICATE", "UNIQUE")</f>
        <v>UNIQUE</v>
      </c>
      <c r="L4825" s="18">
        <v>34</v>
      </c>
      <c r="M4825" s="28">
        <v>1201</v>
      </c>
      <c r="N4825" s="6">
        <v>37</v>
      </c>
      <c r="O4825" s="30">
        <f t="shared" si="454"/>
        <v>40834</v>
      </c>
      <c r="P4825" s="30">
        <f t="shared" si="455"/>
        <v>44437</v>
      </c>
      <c r="Q4825" s="1">
        <f>COUNTIFS($P:$P, "&gt;" &amp; $P4825) + 1</f>
        <v>537</v>
      </c>
      <c r="R4825" s="63">
        <f>(COUNTIFS($P:$P, "&gt;" &amp; $P4825) + 1) / (COUNTA($I:$I) - 1)</f>
        <v>0.1074</v>
      </c>
      <c r="S4825" s="23">
        <f>SUMIFS($P:$P, $Q:$Q, "&lt;" &amp; $Q4825)</f>
        <v>153426473</v>
      </c>
    </row>
    <row r="4826" spans="1:19" x14ac:dyDescent="0.25">
      <c r="A4826" s="1">
        <v>4821</v>
      </c>
      <c r="B4826" s="1" t="s">
        <v>4</v>
      </c>
      <c r="C4826" s="1" t="str">
        <f>IF($B4826 = "Production Item", _xlfn.XLOOKUP($A4826, 'Instrument Table'!$J:$J, 'Instrument Table'!$B:$B, $C4825), IF($B4826 = "Service Item", _xlfn.XLOOKUP($A4826, 'Instrument Table'!$I:$I, 'Instrument Table'!$B:$B, $C4825), _xlfn.XLOOKUP($A4826, 'Instrument Table'!$H:$H, 'Instrument Table'!$B:$B, $C4825)))</f>
        <v>Software</v>
      </c>
      <c r="D4826" s="1" t="str">
        <f>VLOOKUP($C4826, 'Instrument Table'!$B:$C, 2, FALSE)</f>
        <v>Other</v>
      </c>
      <c r="E4826" s="1">
        <f t="shared" si="450"/>
        <v>3</v>
      </c>
      <c r="F4826" s="1">
        <f>_xlfn.XLOOKUP($C4826, 'Instrument Table'!$B:$B, 'Instrument Table'!$A:$A, "")</f>
        <v>62</v>
      </c>
      <c r="G4826" s="1" t="str">
        <f>TEXT(IF($B4826 = "Retail Item", IF((ROW($A4826) - 4504 - _xlfn.XMATCH($C4826, $C$4506:$C$5005, 0, 1)) &lt;= VLOOKUP($C4826, 'Instrument Table'!$B:$D, 3, FALSE), ROW($A4826) - 4504 - _xlfn.XMATCH($C4826, $C$4506:$C$5005, 0, 1), 0), 0), "00")</f>
        <v>01</v>
      </c>
      <c r="H4826" s="1" t="str">
        <f t="shared" si="451"/>
        <v>000</v>
      </c>
      <c r="I4826" s="1" t="str">
        <f t="shared" si="452"/>
        <v>36201-000</v>
      </c>
      <c r="J4826" s="1" t="str">
        <f t="shared" si="453"/>
        <v>Software model #01</v>
      </c>
      <c r="K4826" s="1" t="str">
        <f>IF(SUM(COUNTIFS(I:I, I4826)) &gt; 1, "DUPLICATE", "UNIQUE")</f>
        <v>UNIQUE</v>
      </c>
      <c r="L4826" s="18">
        <v>12</v>
      </c>
      <c r="M4826" s="28">
        <v>1645</v>
      </c>
      <c r="N4826" s="6">
        <v>72</v>
      </c>
      <c r="O4826" s="30">
        <f t="shared" si="454"/>
        <v>19740</v>
      </c>
      <c r="P4826" s="30">
        <f t="shared" si="455"/>
        <v>118440</v>
      </c>
      <c r="Q4826" s="1">
        <f>COUNTIFS($P:$P, "&gt;" &amp; $P4826) + 1</f>
        <v>373</v>
      </c>
      <c r="R4826" s="63">
        <f>(COUNTIFS($P:$P, "&gt;" &amp; $P4826) + 1) / (COUNTA($I:$I) - 1)</f>
        <v>7.46E-2</v>
      </c>
      <c r="S4826" s="23">
        <f>SUMIFS($P:$P, $Q:$Q, "&lt;" &amp; $Q4826)</f>
        <v>140385610</v>
      </c>
    </row>
    <row r="4827" spans="1:19" x14ac:dyDescent="0.25">
      <c r="A4827" s="1">
        <v>4822</v>
      </c>
      <c r="B4827" s="1" t="s">
        <v>4</v>
      </c>
      <c r="C4827" s="1" t="str">
        <f>IF($B4827 = "Production Item", _xlfn.XLOOKUP($A4827, 'Instrument Table'!$J:$J, 'Instrument Table'!$B:$B, $C4826), IF($B4827 = "Service Item", _xlfn.XLOOKUP($A4827, 'Instrument Table'!$I:$I, 'Instrument Table'!$B:$B, $C4826), _xlfn.XLOOKUP($A4827, 'Instrument Table'!$H:$H, 'Instrument Table'!$B:$B, $C4826)))</f>
        <v>Software</v>
      </c>
      <c r="D4827" s="1" t="str">
        <f>VLOOKUP($C4827, 'Instrument Table'!$B:$C, 2, FALSE)</f>
        <v>Other</v>
      </c>
      <c r="E4827" s="1">
        <f t="shared" si="450"/>
        <v>3</v>
      </c>
      <c r="F4827" s="1">
        <f>_xlfn.XLOOKUP($C4827, 'Instrument Table'!$B:$B, 'Instrument Table'!$A:$A, "")</f>
        <v>62</v>
      </c>
      <c r="G4827" s="1" t="str">
        <f>TEXT(IF($B4827 = "Retail Item", IF((ROW($A4827) - 4504 - _xlfn.XMATCH($C4827, $C$4506:$C$5005, 0, 1)) &lt;= VLOOKUP($C4827, 'Instrument Table'!$B:$D, 3, FALSE), ROW($A4827) - 4504 - _xlfn.XMATCH($C4827, $C$4506:$C$5005, 0, 1), 0), 0), "00")</f>
        <v>02</v>
      </c>
      <c r="H4827" s="1" t="str">
        <f t="shared" si="451"/>
        <v>000</v>
      </c>
      <c r="I4827" s="1" t="str">
        <f t="shared" si="452"/>
        <v>36202-000</v>
      </c>
      <c r="J4827" s="1" t="str">
        <f t="shared" si="453"/>
        <v>Software model #02</v>
      </c>
      <c r="K4827" s="1" t="str">
        <f>IF(SUM(COUNTIFS(I:I, I4827)) &gt; 1, "DUPLICATE", "UNIQUE")</f>
        <v>UNIQUE</v>
      </c>
      <c r="L4827" s="18">
        <v>74</v>
      </c>
      <c r="M4827" s="28">
        <v>7529</v>
      </c>
      <c r="N4827" s="6">
        <v>32</v>
      </c>
      <c r="O4827" s="30">
        <f t="shared" si="454"/>
        <v>557146</v>
      </c>
      <c r="P4827" s="30">
        <f t="shared" si="455"/>
        <v>240928</v>
      </c>
      <c r="Q4827" s="1">
        <f>COUNTIFS($P:$P, "&gt;" &amp; $P4827) + 1</f>
        <v>254</v>
      </c>
      <c r="R4827" s="63">
        <f>(COUNTIFS($P:$P, "&gt;" &amp; $P4827) + 1) / (COUNTA($I:$I) - 1)</f>
        <v>5.0799999999999998E-2</v>
      </c>
      <c r="S4827" s="23">
        <f>SUMIFS($P:$P, $Q:$Q, "&lt;" &amp; $Q4827)</f>
        <v>119650535</v>
      </c>
    </row>
    <row r="4828" spans="1:19" x14ac:dyDescent="0.25">
      <c r="A4828" s="1">
        <v>4823</v>
      </c>
      <c r="B4828" s="1" t="s">
        <v>4</v>
      </c>
      <c r="C4828" s="1" t="str">
        <f>IF($B4828 = "Production Item", _xlfn.XLOOKUP($A4828, 'Instrument Table'!$J:$J, 'Instrument Table'!$B:$B, $C4827), IF($B4828 = "Service Item", _xlfn.XLOOKUP($A4828, 'Instrument Table'!$I:$I, 'Instrument Table'!$B:$B, $C4827), _xlfn.XLOOKUP($A4828, 'Instrument Table'!$H:$H, 'Instrument Table'!$B:$B, $C4827)))</f>
        <v>Software</v>
      </c>
      <c r="D4828" s="1" t="str">
        <f>VLOOKUP($C4828, 'Instrument Table'!$B:$C, 2, FALSE)</f>
        <v>Other</v>
      </c>
      <c r="E4828" s="1">
        <f t="shared" si="450"/>
        <v>3</v>
      </c>
      <c r="F4828" s="1">
        <f>_xlfn.XLOOKUP($C4828, 'Instrument Table'!$B:$B, 'Instrument Table'!$A:$A, "")</f>
        <v>62</v>
      </c>
      <c r="G4828" s="1" t="str">
        <f>TEXT(IF($B4828 = "Retail Item", IF((ROW($A4828) - 4504 - _xlfn.XMATCH($C4828, $C$4506:$C$5005, 0, 1)) &lt;= VLOOKUP($C4828, 'Instrument Table'!$B:$D, 3, FALSE), ROW($A4828) - 4504 - _xlfn.XMATCH($C4828, $C$4506:$C$5005, 0, 1), 0), 0), "00")</f>
        <v>03</v>
      </c>
      <c r="H4828" s="1" t="str">
        <f t="shared" si="451"/>
        <v>000</v>
      </c>
      <c r="I4828" s="1" t="str">
        <f t="shared" si="452"/>
        <v>36203-000</v>
      </c>
      <c r="J4828" s="1" t="str">
        <f t="shared" si="453"/>
        <v>Software model #03</v>
      </c>
      <c r="K4828" s="1" t="str">
        <f>IF(SUM(COUNTIFS(I:I, I4828)) &gt; 1, "DUPLICATE", "UNIQUE")</f>
        <v>UNIQUE</v>
      </c>
      <c r="L4828" s="18">
        <v>1</v>
      </c>
      <c r="M4828" s="28">
        <v>4744</v>
      </c>
      <c r="N4828" s="6">
        <v>19</v>
      </c>
      <c r="O4828" s="30">
        <f t="shared" si="454"/>
        <v>4744</v>
      </c>
      <c r="P4828" s="30">
        <f t="shared" si="455"/>
        <v>90136</v>
      </c>
      <c r="Q4828" s="1">
        <f>COUNTIFS($P:$P, "&gt;" &amp; $P4828) + 1</f>
        <v>427</v>
      </c>
      <c r="R4828" s="63">
        <f>(COUNTIFS($P:$P, "&gt;" &amp; $P4828) + 1) / (COUNTA($I:$I) - 1)</f>
        <v>8.5400000000000004E-2</v>
      </c>
      <c r="S4828" s="23">
        <f>SUMIFS($P:$P, $Q:$Q, "&lt;" &amp; $Q4828)</f>
        <v>146071621</v>
      </c>
    </row>
    <row r="4829" spans="1:19" x14ac:dyDescent="0.25">
      <c r="A4829" s="1">
        <v>4824</v>
      </c>
      <c r="B4829" s="1" t="s">
        <v>4</v>
      </c>
      <c r="C4829" s="1" t="str">
        <f>IF($B4829 = "Production Item", _xlfn.XLOOKUP($A4829, 'Instrument Table'!$J:$J, 'Instrument Table'!$B:$B, $C4828), IF($B4829 = "Service Item", _xlfn.XLOOKUP($A4829, 'Instrument Table'!$I:$I, 'Instrument Table'!$B:$B, $C4828), _xlfn.XLOOKUP($A4829, 'Instrument Table'!$H:$H, 'Instrument Table'!$B:$B, $C4828)))</f>
        <v>Software</v>
      </c>
      <c r="D4829" s="1" t="str">
        <f>VLOOKUP($C4829, 'Instrument Table'!$B:$C, 2, FALSE)</f>
        <v>Other</v>
      </c>
      <c r="E4829" s="1">
        <f t="shared" si="450"/>
        <v>3</v>
      </c>
      <c r="F4829" s="1">
        <f>_xlfn.XLOOKUP($C4829, 'Instrument Table'!$B:$B, 'Instrument Table'!$A:$A, "")</f>
        <v>62</v>
      </c>
      <c r="G4829" s="1" t="str">
        <f>TEXT(IF($B4829 = "Retail Item", IF((ROW($A4829) - 4504 - _xlfn.XMATCH($C4829, $C$4506:$C$5005, 0, 1)) &lt;= VLOOKUP($C4829, 'Instrument Table'!$B:$D, 3, FALSE), ROW($A4829) - 4504 - _xlfn.XMATCH($C4829, $C$4506:$C$5005, 0, 1), 0), 0), "00")</f>
        <v>04</v>
      </c>
      <c r="H4829" s="1" t="str">
        <f t="shared" si="451"/>
        <v>000</v>
      </c>
      <c r="I4829" s="1" t="str">
        <f t="shared" si="452"/>
        <v>36204-000</v>
      </c>
      <c r="J4829" s="1" t="str">
        <f t="shared" si="453"/>
        <v>Software model #04</v>
      </c>
      <c r="K4829" s="1" t="str">
        <f>IF(SUM(COUNTIFS(I:I, I4829)) &gt; 1, "DUPLICATE", "UNIQUE")</f>
        <v>UNIQUE</v>
      </c>
      <c r="L4829" s="18">
        <v>17</v>
      </c>
      <c r="M4829" s="28">
        <v>2344</v>
      </c>
      <c r="N4829" s="6">
        <v>55</v>
      </c>
      <c r="O4829" s="30">
        <f t="shared" si="454"/>
        <v>39848</v>
      </c>
      <c r="P4829" s="30">
        <f t="shared" si="455"/>
        <v>128920</v>
      </c>
      <c r="Q4829" s="1">
        <f>COUNTIFS($P:$P, "&gt;" &amp; $P4829) + 1</f>
        <v>358</v>
      </c>
      <c r="R4829" s="63">
        <f>(COUNTIFS($P:$P, "&gt;" &amp; $P4829) + 1) / (COUNTA($I:$I) - 1)</f>
        <v>7.1599999999999997E-2</v>
      </c>
      <c r="S4829" s="23">
        <f>SUMIFS($P:$P, $Q:$Q, "&lt;" &amp; $Q4829)</f>
        <v>138515914</v>
      </c>
    </row>
    <row r="4830" spans="1:19" x14ac:dyDescent="0.25">
      <c r="A4830" s="1">
        <v>4825</v>
      </c>
      <c r="B4830" s="1" t="s">
        <v>4</v>
      </c>
      <c r="C4830" s="1" t="str">
        <f>IF($B4830 = "Production Item", _xlfn.XLOOKUP($A4830, 'Instrument Table'!$J:$J, 'Instrument Table'!$B:$B, $C4829), IF($B4830 = "Service Item", _xlfn.XLOOKUP($A4830, 'Instrument Table'!$I:$I, 'Instrument Table'!$B:$B, $C4829), _xlfn.XLOOKUP($A4830, 'Instrument Table'!$H:$H, 'Instrument Table'!$B:$B, $C4829)))</f>
        <v>Software</v>
      </c>
      <c r="D4830" s="1" t="str">
        <f>VLOOKUP($C4830, 'Instrument Table'!$B:$C, 2, FALSE)</f>
        <v>Other</v>
      </c>
      <c r="E4830" s="1">
        <f t="shared" si="450"/>
        <v>3</v>
      </c>
      <c r="F4830" s="1">
        <f>_xlfn.XLOOKUP($C4830, 'Instrument Table'!$B:$B, 'Instrument Table'!$A:$A, "")</f>
        <v>62</v>
      </c>
      <c r="G4830" s="1" t="str">
        <f>TEXT(IF($B4830 = "Retail Item", IF((ROW($A4830) - 4504 - _xlfn.XMATCH($C4830, $C$4506:$C$5005, 0, 1)) &lt;= VLOOKUP($C4830, 'Instrument Table'!$B:$D, 3, FALSE), ROW($A4830) - 4504 - _xlfn.XMATCH($C4830, $C$4506:$C$5005, 0, 1), 0), 0), "00")</f>
        <v>05</v>
      </c>
      <c r="H4830" s="1" t="str">
        <f t="shared" si="451"/>
        <v>000</v>
      </c>
      <c r="I4830" s="1" t="str">
        <f t="shared" si="452"/>
        <v>36205-000</v>
      </c>
      <c r="J4830" s="1" t="str">
        <f t="shared" si="453"/>
        <v>Software model #05</v>
      </c>
      <c r="K4830" s="1" t="str">
        <f>IF(SUM(COUNTIFS(I:I, I4830)) &gt; 1, "DUPLICATE", "UNIQUE")</f>
        <v>UNIQUE</v>
      </c>
      <c r="L4830" s="18">
        <v>47</v>
      </c>
      <c r="M4830" s="28">
        <v>6222</v>
      </c>
      <c r="N4830" s="6">
        <v>56</v>
      </c>
      <c r="O4830" s="30">
        <f t="shared" si="454"/>
        <v>292434</v>
      </c>
      <c r="P4830" s="30">
        <f t="shared" si="455"/>
        <v>348432</v>
      </c>
      <c r="Q4830" s="1">
        <f>COUNTIFS($P:$P, "&gt;" &amp; $P4830) + 1</f>
        <v>167</v>
      </c>
      <c r="R4830" s="63">
        <f>(COUNTIFS($P:$P, "&gt;" &amp; $P4830) + 1) / (COUNTA($I:$I) - 1)</f>
        <v>3.3399999999999999E-2</v>
      </c>
      <c r="S4830" s="23">
        <f>SUMIFS($P:$P, $Q:$Q, "&lt;" &amp; $Q4830)</f>
        <v>94204985</v>
      </c>
    </row>
    <row r="4831" spans="1:19" x14ac:dyDescent="0.25">
      <c r="A4831" s="1">
        <v>4826</v>
      </c>
      <c r="B4831" s="1" t="s">
        <v>4</v>
      </c>
      <c r="C4831" s="1" t="str">
        <f>IF($B4831 = "Production Item", _xlfn.XLOOKUP($A4831, 'Instrument Table'!$J:$J, 'Instrument Table'!$B:$B, $C4830), IF($B4831 = "Service Item", _xlfn.XLOOKUP($A4831, 'Instrument Table'!$I:$I, 'Instrument Table'!$B:$B, $C4830), _xlfn.XLOOKUP($A4831, 'Instrument Table'!$H:$H, 'Instrument Table'!$B:$B, $C4830)))</f>
        <v>Software</v>
      </c>
      <c r="D4831" s="1" t="str">
        <f>VLOOKUP($C4831, 'Instrument Table'!$B:$C, 2, FALSE)</f>
        <v>Other</v>
      </c>
      <c r="E4831" s="1">
        <f t="shared" si="450"/>
        <v>3</v>
      </c>
      <c r="F4831" s="1">
        <f>_xlfn.XLOOKUP($C4831, 'Instrument Table'!$B:$B, 'Instrument Table'!$A:$A, "")</f>
        <v>62</v>
      </c>
      <c r="G4831" s="1" t="str">
        <f>TEXT(IF($B4831 = "Retail Item", IF((ROW($A4831) - 4504 - _xlfn.XMATCH($C4831, $C$4506:$C$5005, 0, 1)) &lt;= VLOOKUP($C4831, 'Instrument Table'!$B:$D, 3, FALSE), ROW($A4831) - 4504 - _xlfn.XMATCH($C4831, $C$4506:$C$5005, 0, 1), 0), 0), "00")</f>
        <v>06</v>
      </c>
      <c r="H4831" s="1" t="str">
        <f t="shared" si="451"/>
        <v>000</v>
      </c>
      <c r="I4831" s="1" t="str">
        <f t="shared" si="452"/>
        <v>36206-000</v>
      </c>
      <c r="J4831" s="1" t="str">
        <f t="shared" si="453"/>
        <v>Software model #06</v>
      </c>
      <c r="K4831" s="1" t="str">
        <f>IF(SUM(COUNTIFS(I:I, I4831)) &gt; 1, "DUPLICATE", "UNIQUE")</f>
        <v>UNIQUE</v>
      </c>
      <c r="L4831" s="18">
        <v>39</v>
      </c>
      <c r="M4831" s="28">
        <v>5921</v>
      </c>
      <c r="N4831" s="6">
        <v>76</v>
      </c>
      <c r="O4831" s="30">
        <f t="shared" si="454"/>
        <v>230919</v>
      </c>
      <c r="P4831" s="30">
        <f t="shared" si="455"/>
        <v>449996</v>
      </c>
      <c r="Q4831" s="1">
        <f>COUNTIFS($P:$P, "&gt;" &amp; $P4831) + 1</f>
        <v>119</v>
      </c>
      <c r="R4831" s="63">
        <f>(COUNTIFS($P:$P, "&gt;" &amp; $P4831) + 1) / (COUNTA($I:$I) - 1)</f>
        <v>2.3800000000000002E-2</v>
      </c>
      <c r="S4831" s="23">
        <f>SUMIFS($P:$P, $Q:$Q, "&lt;" &amp; $Q4831)</f>
        <v>75069277</v>
      </c>
    </row>
    <row r="4832" spans="1:19" x14ac:dyDescent="0.25">
      <c r="A4832" s="1">
        <v>4827</v>
      </c>
      <c r="B4832" s="1" t="s">
        <v>4</v>
      </c>
      <c r="C4832" s="1" t="str">
        <f>IF($B4832 = "Production Item", _xlfn.XLOOKUP($A4832, 'Instrument Table'!$J:$J, 'Instrument Table'!$B:$B, $C4831), IF($B4832 = "Service Item", _xlfn.XLOOKUP($A4832, 'Instrument Table'!$I:$I, 'Instrument Table'!$B:$B, $C4831), _xlfn.XLOOKUP($A4832, 'Instrument Table'!$H:$H, 'Instrument Table'!$B:$B, $C4831)))</f>
        <v>Software</v>
      </c>
      <c r="D4832" s="1" t="str">
        <f>VLOOKUP($C4832, 'Instrument Table'!$B:$C, 2, FALSE)</f>
        <v>Other</v>
      </c>
      <c r="E4832" s="1">
        <f t="shared" si="450"/>
        <v>3</v>
      </c>
      <c r="F4832" s="1">
        <f>_xlfn.XLOOKUP($C4832, 'Instrument Table'!$B:$B, 'Instrument Table'!$A:$A, "")</f>
        <v>62</v>
      </c>
      <c r="G4832" s="1" t="str">
        <f>TEXT(IF($B4832 = "Retail Item", IF((ROW($A4832) - 4504 - _xlfn.XMATCH($C4832, $C$4506:$C$5005, 0, 1)) &lt;= VLOOKUP($C4832, 'Instrument Table'!$B:$D, 3, FALSE), ROW($A4832) - 4504 - _xlfn.XMATCH($C4832, $C$4506:$C$5005, 0, 1), 0), 0), "00")</f>
        <v>07</v>
      </c>
      <c r="H4832" s="1" t="str">
        <f t="shared" si="451"/>
        <v>000</v>
      </c>
      <c r="I4832" s="1" t="str">
        <f t="shared" si="452"/>
        <v>36207-000</v>
      </c>
      <c r="J4832" s="1" t="str">
        <f t="shared" si="453"/>
        <v>Software model #07</v>
      </c>
      <c r="K4832" s="1" t="str">
        <f>IF(SUM(COUNTIFS(I:I, I4832)) &gt; 1, "DUPLICATE", "UNIQUE")</f>
        <v>UNIQUE</v>
      </c>
      <c r="L4832" s="18">
        <v>36</v>
      </c>
      <c r="M4832" s="28">
        <v>2570</v>
      </c>
      <c r="N4832" s="6">
        <v>47</v>
      </c>
      <c r="O4832" s="30">
        <f t="shared" si="454"/>
        <v>92520</v>
      </c>
      <c r="P4832" s="30">
        <f t="shared" si="455"/>
        <v>120790</v>
      </c>
      <c r="Q4832" s="1">
        <f>COUNTIFS($P:$P, "&gt;" &amp; $P4832) + 1</f>
        <v>372</v>
      </c>
      <c r="R4832" s="63">
        <f>(COUNTIFS($P:$P, "&gt;" &amp; $P4832) + 1) / (COUNTA($I:$I) - 1)</f>
        <v>7.4399999999999994E-2</v>
      </c>
      <c r="S4832" s="23">
        <f>SUMIFS($P:$P, $Q:$Q, "&lt;" &amp; $Q4832)</f>
        <v>140264820</v>
      </c>
    </row>
    <row r="4833" spans="1:19" x14ac:dyDescent="0.25">
      <c r="A4833" s="1">
        <v>4828</v>
      </c>
      <c r="B4833" s="1" t="s">
        <v>4</v>
      </c>
      <c r="C4833" s="1" t="str">
        <f>IF($B4833 = "Production Item", _xlfn.XLOOKUP($A4833, 'Instrument Table'!$J:$J, 'Instrument Table'!$B:$B, $C4832), IF($B4833 = "Service Item", _xlfn.XLOOKUP($A4833, 'Instrument Table'!$I:$I, 'Instrument Table'!$B:$B, $C4832), _xlfn.XLOOKUP($A4833, 'Instrument Table'!$H:$H, 'Instrument Table'!$B:$B, $C4832)))</f>
        <v>Software</v>
      </c>
      <c r="D4833" s="1" t="str">
        <f>VLOOKUP($C4833, 'Instrument Table'!$B:$C, 2, FALSE)</f>
        <v>Other</v>
      </c>
      <c r="E4833" s="1">
        <f t="shared" si="450"/>
        <v>3</v>
      </c>
      <c r="F4833" s="1">
        <f>_xlfn.XLOOKUP($C4833, 'Instrument Table'!$B:$B, 'Instrument Table'!$A:$A, "")</f>
        <v>62</v>
      </c>
      <c r="G4833" s="1" t="str">
        <f>TEXT(IF($B4833 = "Retail Item", IF((ROW($A4833) - 4504 - _xlfn.XMATCH($C4833, $C$4506:$C$5005, 0, 1)) &lt;= VLOOKUP($C4833, 'Instrument Table'!$B:$D, 3, FALSE), ROW($A4833) - 4504 - _xlfn.XMATCH($C4833, $C$4506:$C$5005, 0, 1), 0), 0), "00")</f>
        <v>08</v>
      </c>
      <c r="H4833" s="1" t="str">
        <f t="shared" si="451"/>
        <v>000</v>
      </c>
      <c r="I4833" s="1" t="str">
        <f t="shared" si="452"/>
        <v>36208-000</v>
      </c>
      <c r="J4833" s="1" t="str">
        <f t="shared" si="453"/>
        <v>Software model #08</v>
      </c>
      <c r="K4833" s="1" t="str">
        <f>IF(SUM(COUNTIFS(I:I, I4833)) &gt; 1, "DUPLICATE", "UNIQUE")</f>
        <v>UNIQUE</v>
      </c>
      <c r="L4833" s="18">
        <v>46</v>
      </c>
      <c r="M4833" s="28">
        <v>6462</v>
      </c>
      <c r="N4833" s="6">
        <v>86</v>
      </c>
      <c r="O4833" s="30">
        <f t="shared" si="454"/>
        <v>297252</v>
      </c>
      <c r="P4833" s="30">
        <f t="shared" si="455"/>
        <v>555732</v>
      </c>
      <c r="Q4833" s="1">
        <f>COUNTIFS($P:$P, "&gt;" &amp; $P4833) + 1</f>
        <v>77</v>
      </c>
      <c r="R4833" s="63">
        <f>(COUNTIFS($P:$P, "&gt;" &amp; $P4833) + 1) / (COUNTA($I:$I) - 1)</f>
        <v>1.54E-2</v>
      </c>
      <c r="S4833" s="23">
        <f>SUMIFS($P:$P, $Q:$Q, "&lt;" &amp; $Q4833)</f>
        <v>54118625</v>
      </c>
    </row>
    <row r="4834" spans="1:19" x14ac:dyDescent="0.25">
      <c r="A4834" s="1">
        <v>4829</v>
      </c>
      <c r="B4834" s="1" t="s">
        <v>4</v>
      </c>
      <c r="C4834" s="1" t="str">
        <f>IF($B4834 = "Production Item", _xlfn.XLOOKUP($A4834, 'Instrument Table'!$J:$J, 'Instrument Table'!$B:$B, $C4833), IF($B4834 = "Service Item", _xlfn.XLOOKUP($A4834, 'Instrument Table'!$I:$I, 'Instrument Table'!$B:$B, $C4833), _xlfn.XLOOKUP($A4834, 'Instrument Table'!$H:$H, 'Instrument Table'!$B:$B, $C4833)))</f>
        <v>Software</v>
      </c>
      <c r="D4834" s="1" t="str">
        <f>VLOOKUP($C4834, 'Instrument Table'!$B:$C, 2, FALSE)</f>
        <v>Other</v>
      </c>
      <c r="E4834" s="1">
        <f t="shared" si="450"/>
        <v>3</v>
      </c>
      <c r="F4834" s="1">
        <f>_xlfn.XLOOKUP($C4834, 'Instrument Table'!$B:$B, 'Instrument Table'!$A:$A, "")</f>
        <v>62</v>
      </c>
      <c r="G4834" s="1" t="str">
        <f>TEXT(IF($B4834 = "Retail Item", IF((ROW($A4834) - 4504 - _xlfn.XMATCH($C4834, $C$4506:$C$5005, 0, 1)) &lt;= VLOOKUP($C4834, 'Instrument Table'!$B:$D, 3, FALSE), ROW($A4834) - 4504 - _xlfn.XMATCH($C4834, $C$4506:$C$5005, 0, 1), 0), 0), "00")</f>
        <v>09</v>
      </c>
      <c r="H4834" s="1" t="str">
        <f t="shared" si="451"/>
        <v>000</v>
      </c>
      <c r="I4834" s="1" t="str">
        <f t="shared" si="452"/>
        <v>36209-000</v>
      </c>
      <c r="J4834" s="1" t="str">
        <f t="shared" si="453"/>
        <v>Software model #09</v>
      </c>
      <c r="K4834" s="1" t="str">
        <f>IF(SUM(COUNTIFS(I:I, I4834)) &gt; 1, "DUPLICATE", "UNIQUE")</f>
        <v>UNIQUE</v>
      </c>
      <c r="L4834" s="18">
        <v>8</v>
      </c>
      <c r="M4834" s="28">
        <v>9047</v>
      </c>
      <c r="N4834" s="6">
        <v>30</v>
      </c>
      <c r="O4834" s="30">
        <f t="shared" si="454"/>
        <v>72376</v>
      </c>
      <c r="P4834" s="30">
        <f t="shared" si="455"/>
        <v>271410</v>
      </c>
      <c r="Q4834" s="1">
        <f>COUNTIFS($P:$P, "&gt;" &amp; $P4834) + 1</f>
        <v>226</v>
      </c>
      <c r="R4834" s="63">
        <f>(COUNTIFS($P:$P, "&gt;" &amp; $P4834) + 1) / (COUNTA($I:$I) - 1)</f>
        <v>4.5199999999999997E-2</v>
      </c>
      <c r="S4834" s="23">
        <f>SUMIFS($P:$P, $Q:$Q, "&lt;" &amp; $Q4834)</f>
        <v>112459183</v>
      </c>
    </row>
    <row r="4835" spans="1:19" x14ac:dyDescent="0.25">
      <c r="A4835" s="1">
        <v>4830</v>
      </c>
      <c r="B4835" s="1" t="s">
        <v>4</v>
      </c>
      <c r="C4835" s="1" t="str">
        <f>IF($B4835 = "Production Item", _xlfn.XLOOKUP($A4835, 'Instrument Table'!$J:$J, 'Instrument Table'!$B:$B, $C4834), IF($B4835 = "Service Item", _xlfn.XLOOKUP($A4835, 'Instrument Table'!$I:$I, 'Instrument Table'!$B:$B, $C4834), _xlfn.XLOOKUP($A4835, 'Instrument Table'!$H:$H, 'Instrument Table'!$B:$B, $C4834)))</f>
        <v>Software</v>
      </c>
      <c r="D4835" s="1" t="str">
        <f>VLOOKUP($C4835, 'Instrument Table'!$B:$C, 2, FALSE)</f>
        <v>Other</v>
      </c>
      <c r="E4835" s="1">
        <f t="shared" si="450"/>
        <v>3</v>
      </c>
      <c r="F4835" s="1">
        <f>_xlfn.XLOOKUP($C4835, 'Instrument Table'!$B:$B, 'Instrument Table'!$A:$A, "")</f>
        <v>62</v>
      </c>
      <c r="G4835" s="1" t="str">
        <f>TEXT(IF($B4835 = "Retail Item", IF((ROW($A4835) - 4504 - _xlfn.XMATCH($C4835, $C$4506:$C$5005, 0, 1)) &lt;= VLOOKUP($C4835, 'Instrument Table'!$B:$D, 3, FALSE), ROW($A4835) - 4504 - _xlfn.XMATCH($C4835, $C$4506:$C$5005, 0, 1), 0), 0), "00")</f>
        <v>10</v>
      </c>
      <c r="H4835" s="1" t="str">
        <f t="shared" si="451"/>
        <v>000</v>
      </c>
      <c r="I4835" s="1" t="str">
        <f t="shared" si="452"/>
        <v>36210-000</v>
      </c>
      <c r="J4835" s="1" t="str">
        <f t="shared" si="453"/>
        <v>Software model #10</v>
      </c>
      <c r="K4835" s="1" t="str">
        <f>IF(SUM(COUNTIFS(I:I, I4835)) &gt; 1, "DUPLICATE", "UNIQUE")</f>
        <v>UNIQUE</v>
      </c>
      <c r="L4835" s="18">
        <v>76</v>
      </c>
      <c r="M4835" s="28">
        <v>3302</v>
      </c>
      <c r="N4835" s="6">
        <v>57</v>
      </c>
      <c r="O4835" s="30">
        <f t="shared" si="454"/>
        <v>250952</v>
      </c>
      <c r="P4835" s="30">
        <f t="shared" si="455"/>
        <v>188214</v>
      </c>
      <c r="Q4835" s="1">
        <f>COUNTIFS($P:$P, "&gt;" &amp; $P4835) + 1</f>
        <v>298</v>
      </c>
      <c r="R4835" s="63">
        <f>(COUNTIFS($P:$P, "&gt;" &amp; $P4835) + 1) / (COUNTA($I:$I) - 1)</f>
        <v>5.96E-2</v>
      </c>
      <c r="S4835" s="23">
        <f>SUMIFS($P:$P, $Q:$Q, "&lt;" &amp; $Q4835)</f>
        <v>129163389</v>
      </c>
    </row>
    <row r="4836" spans="1:19" x14ac:dyDescent="0.25">
      <c r="A4836" s="1">
        <v>4831</v>
      </c>
      <c r="B4836" s="1" t="s">
        <v>4</v>
      </c>
      <c r="C4836" s="1" t="str">
        <f>IF($B4836 = "Production Item", _xlfn.XLOOKUP($A4836, 'Instrument Table'!$J:$J, 'Instrument Table'!$B:$B, $C4835), IF($B4836 = "Service Item", _xlfn.XLOOKUP($A4836, 'Instrument Table'!$I:$I, 'Instrument Table'!$B:$B, $C4835), _xlfn.XLOOKUP($A4836, 'Instrument Table'!$H:$H, 'Instrument Table'!$B:$B, $C4835)))</f>
        <v>Software</v>
      </c>
      <c r="D4836" s="1" t="str">
        <f>VLOOKUP($C4836, 'Instrument Table'!$B:$C, 2, FALSE)</f>
        <v>Other</v>
      </c>
      <c r="E4836" s="1">
        <f t="shared" si="450"/>
        <v>3</v>
      </c>
      <c r="F4836" s="1">
        <f>_xlfn.XLOOKUP($C4836, 'Instrument Table'!$B:$B, 'Instrument Table'!$A:$A, "")</f>
        <v>62</v>
      </c>
      <c r="G4836" s="1" t="str">
        <f>TEXT(IF($B4836 = "Retail Item", IF((ROW($A4836) - 4504 - _xlfn.XMATCH($C4836, $C$4506:$C$5005, 0, 1)) &lt;= VLOOKUP($C4836, 'Instrument Table'!$B:$D, 3, FALSE), ROW($A4836) - 4504 - _xlfn.XMATCH($C4836, $C$4506:$C$5005, 0, 1), 0), 0), "00")</f>
        <v>11</v>
      </c>
      <c r="H4836" s="1" t="str">
        <f t="shared" si="451"/>
        <v>000</v>
      </c>
      <c r="I4836" s="1" t="str">
        <f t="shared" si="452"/>
        <v>36211-000</v>
      </c>
      <c r="J4836" s="1" t="str">
        <f t="shared" si="453"/>
        <v>Software model #11</v>
      </c>
      <c r="K4836" s="1" t="str">
        <f>IF(SUM(COUNTIFS(I:I, I4836)) &gt; 1, "DUPLICATE", "UNIQUE")</f>
        <v>UNIQUE</v>
      </c>
      <c r="L4836" s="18">
        <v>46</v>
      </c>
      <c r="M4836" s="28">
        <v>8607</v>
      </c>
      <c r="N4836" s="6">
        <v>13</v>
      </c>
      <c r="O4836" s="30">
        <f t="shared" si="454"/>
        <v>395922</v>
      </c>
      <c r="P4836" s="30">
        <f t="shared" si="455"/>
        <v>111891</v>
      </c>
      <c r="Q4836" s="1">
        <f>COUNTIFS($P:$P, "&gt;" &amp; $P4836) + 1</f>
        <v>390</v>
      </c>
      <c r="R4836" s="63">
        <f>(COUNTIFS($P:$P, "&gt;" &amp; $P4836) + 1) / (COUNTA($I:$I) - 1)</f>
        <v>7.8E-2</v>
      </c>
      <c r="S4836" s="23">
        <f>SUMIFS($P:$P, $Q:$Q, "&lt;" &amp; $Q4836)</f>
        <v>142357826</v>
      </c>
    </row>
    <row r="4837" spans="1:19" x14ac:dyDescent="0.25">
      <c r="A4837" s="1">
        <v>4832</v>
      </c>
      <c r="B4837" s="1" t="s">
        <v>4</v>
      </c>
      <c r="C4837" s="1" t="str">
        <f>IF($B4837 = "Production Item", _xlfn.XLOOKUP($A4837, 'Instrument Table'!$J:$J, 'Instrument Table'!$B:$B, $C4836), IF($B4837 = "Service Item", _xlfn.XLOOKUP($A4837, 'Instrument Table'!$I:$I, 'Instrument Table'!$B:$B, $C4836), _xlfn.XLOOKUP($A4837, 'Instrument Table'!$H:$H, 'Instrument Table'!$B:$B, $C4836)))</f>
        <v>Software</v>
      </c>
      <c r="D4837" s="1" t="str">
        <f>VLOOKUP($C4837, 'Instrument Table'!$B:$C, 2, FALSE)</f>
        <v>Other</v>
      </c>
      <c r="E4837" s="1">
        <f t="shared" si="450"/>
        <v>3</v>
      </c>
      <c r="F4837" s="1">
        <f>_xlfn.XLOOKUP($C4837, 'Instrument Table'!$B:$B, 'Instrument Table'!$A:$A, "")</f>
        <v>62</v>
      </c>
      <c r="G4837" s="1" t="str">
        <f>TEXT(IF($B4837 = "Retail Item", IF((ROW($A4837) - 4504 - _xlfn.XMATCH($C4837, $C$4506:$C$5005, 0, 1)) &lt;= VLOOKUP($C4837, 'Instrument Table'!$B:$D, 3, FALSE), ROW($A4837) - 4504 - _xlfn.XMATCH($C4837, $C$4506:$C$5005, 0, 1), 0), 0), "00")</f>
        <v>12</v>
      </c>
      <c r="H4837" s="1" t="str">
        <f t="shared" si="451"/>
        <v>000</v>
      </c>
      <c r="I4837" s="1" t="str">
        <f t="shared" si="452"/>
        <v>36212-000</v>
      </c>
      <c r="J4837" s="1" t="str">
        <f t="shared" si="453"/>
        <v>Software model #12</v>
      </c>
      <c r="K4837" s="1" t="str">
        <f>IF(SUM(COUNTIFS(I:I, I4837)) &gt; 1, "DUPLICATE", "UNIQUE")</f>
        <v>UNIQUE</v>
      </c>
      <c r="L4837" s="18">
        <v>70</v>
      </c>
      <c r="M4837" s="28">
        <v>1138</v>
      </c>
      <c r="N4837" s="6">
        <v>82</v>
      </c>
      <c r="O4837" s="30">
        <f t="shared" si="454"/>
        <v>79660</v>
      </c>
      <c r="P4837" s="30">
        <f t="shared" si="455"/>
        <v>93316</v>
      </c>
      <c r="Q4837" s="1">
        <f>COUNTIFS($P:$P, "&gt;" &amp; $P4837) + 1</f>
        <v>420</v>
      </c>
      <c r="R4837" s="63">
        <f>(COUNTIFS($P:$P, "&gt;" &amp; $P4837) + 1) / (COUNTA($I:$I) - 1)</f>
        <v>8.4000000000000005E-2</v>
      </c>
      <c r="S4837" s="23">
        <f>SUMIFS($P:$P, $Q:$Q, "&lt;" &amp; $Q4837)</f>
        <v>145423325</v>
      </c>
    </row>
    <row r="4838" spans="1:19" x14ac:dyDescent="0.25">
      <c r="A4838" s="1">
        <v>4833</v>
      </c>
      <c r="B4838" s="1" t="s">
        <v>4</v>
      </c>
      <c r="C4838" s="1" t="str">
        <f>IF($B4838 = "Production Item", _xlfn.XLOOKUP($A4838, 'Instrument Table'!$J:$J, 'Instrument Table'!$B:$B, $C4837), IF($B4838 = "Service Item", _xlfn.XLOOKUP($A4838, 'Instrument Table'!$I:$I, 'Instrument Table'!$B:$B, $C4837), _xlfn.XLOOKUP($A4838, 'Instrument Table'!$H:$H, 'Instrument Table'!$B:$B, $C4837)))</f>
        <v>Software</v>
      </c>
      <c r="D4838" s="1" t="str">
        <f>VLOOKUP($C4838, 'Instrument Table'!$B:$C, 2, FALSE)</f>
        <v>Other</v>
      </c>
      <c r="E4838" s="1">
        <f t="shared" si="450"/>
        <v>3</v>
      </c>
      <c r="F4838" s="1">
        <f>_xlfn.XLOOKUP($C4838, 'Instrument Table'!$B:$B, 'Instrument Table'!$A:$A, "")</f>
        <v>62</v>
      </c>
      <c r="G4838" s="1" t="str">
        <f>TEXT(IF($B4838 = "Retail Item", IF((ROW($A4838) - 4504 - _xlfn.XMATCH($C4838, $C$4506:$C$5005, 0, 1)) &lt;= VLOOKUP($C4838, 'Instrument Table'!$B:$D, 3, FALSE), ROW($A4838) - 4504 - _xlfn.XMATCH($C4838, $C$4506:$C$5005, 0, 1), 0), 0), "00")</f>
        <v>13</v>
      </c>
      <c r="H4838" s="1" t="str">
        <f t="shared" si="451"/>
        <v>000</v>
      </c>
      <c r="I4838" s="1" t="str">
        <f t="shared" si="452"/>
        <v>36213-000</v>
      </c>
      <c r="J4838" s="1" t="str">
        <f t="shared" si="453"/>
        <v>Software model #13</v>
      </c>
      <c r="K4838" s="1" t="str">
        <f>IF(SUM(COUNTIFS(I:I, I4838)) &gt; 1, "DUPLICATE", "UNIQUE")</f>
        <v>UNIQUE</v>
      </c>
      <c r="L4838" s="18">
        <v>31</v>
      </c>
      <c r="M4838" s="28">
        <v>9737</v>
      </c>
      <c r="N4838" s="6">
        <v>26</v>
      </c>
      <c r="O4838" s="30">
        <f t="shared" si="454"/>
        <v>301847</v>
      </c>
      <c r="P4838" s="30">
        <f t="shared" si="455"/>
        <v>253162</v>
      </c>
      <c r="Q4838" s="1">
        <f>COUNTIFS($P:$P, "&gt;" &amp; $P4838) + 1</f>
        <v>243</v>
      </c>
      <c r="R4838" s="63">
        <f>(COUNTIFS($P:$P, "&gt;" &amp; $P4838) + 1) / (COUNTA($I:$I) - 1)</f>
        <v>4.8599999999999997E-2</v>
      </c>
      <c r="S4838" s="23">
        <f>SUMIFS($P:$P, $Q:$Q, "&lt;" &amp; $Q4838)</f>
        <v>116932036</v>
      </c>
    </row>
    <row r="4839" spans="1:19" x14ac:dyDescent="0.25">
      <c r="A4839" s="1">
        <v>4834</v>
      </c>
      <c r="B4839" s="1" t="s">
        <v>4</v>
      </c>
      <c r="C4839" s="1" t="str">
        <f>IF($B4839 = "Production Item", _xlfn.XLOOKUP($A4839, 'Instrument Table'!$J:$J, 'Instrument Table'!$B:$B, $C4838), IF($B4839 = "Service Item", _xlfn.XLOOKUP($A4839, 'Instrument Table'!$I:$I, 'Instrument Table'!$B:$B, $C4838), _xlfn.XLOOKUP($A4839, 'Instrument Table'!$H:$H, 'Instrument Table'!$B:$B, $C4838)))</f>
        <v>Software</v>
      </c>
      <c r="D4839" s="1" t="str">
        <f>VLOOKUP($C4839, 'Instrument Table'!$B:$C, 2, FALSE)</f>
        <v>Other</v>
      </c>
      <c r="E4839" s="1">
        <f t="shared" si="450"/>
        <v>3</v>
      </c>
      <c r="F4839" s="1">
        <f>_xlfn.XLOOKUP($C4839, 'Instrument Table'!$B:$B, 'Instrument Table'!$A:$A, "")</f>
        <v>62</v>
      </c>
      <c r="G4839" s="1" t="str">
        <f>TEXT(IF($B4839 = "Retail Item", IF((ROW($A4839) - 4504 - _xlfn.XMATCH($C4839, $C$4506:$C$5005, 0, 1)) &lt;= VLOOKUP($C4839, 'Instrument Table'!$B:$D, 3, FALSE), ROW($A4839) - 4504 - _xlfn.XMATCH($C4839, $C$4506:$C$5005, 0, 1), 0), 0), "00")</f>
        <v>14</v>
      </c>
      <c r="H4839" s="1" t="str">
        <f t="shared" si="451"/>
        <v>000</v>
      </c>
      <c r="I4839" s="1" t="str">
        <f t="shared" si="452"/>
        <v>36214-000</v>
      </c>
      <c r="J4839" s="1" t="str">
        <f t="shared" si="453"/>
        <v>Software model #14</v>
      </c>
      <c r="K4839" s="1" t="str">
        <f>IF(SUM(COUNTIFS(I:I, I4839)) &gt; 1, "DUPLICATE", "UNIQUE")</f>
        <v>UNIQUE</v>
      </c>
      <c r="L4839" s="18">
        <v>5</v>
      </c>
      <c r="M4839" s="28">
        <v>2624</v>
      </c>
      <c r="N4839" s="6">
        <v>27</v>
      </c>
      <c r="O4839" s="30">
        <f t="shared" si="454"/>
        <v>13120</v>
      </c>
      <c r="P4839" s="30">
        <f t="shared" si="455"/>
        <v>70848</v>
      </c>
      <c r="Q4839" s="1">
        <f>COUNTIFS($P:$P, "&gt;" &amp; $P4839) + 1</f>
        <v>467</v>
      </c>
      <c r="R4839" s="63">
        <f>(COUNTIFS($P:$P, "&gt;" &amp; $P4839) + 1) / (COUNTA($I:$I) - 1)</f>
        <v>9.3399999999999997E-2</v>
      </c>
      <c r="S4839" s="23">
        <f>SUMIFS($P:$P, $Q:$Q, "&lt;" &amp; $Q4839)</f>
        <v>149296494</v>
      </c>
    </row>
    <row r="4840" spans="1:19" x14ac:dyDescent="0.25">
      <c r="A4840" s="1">
        <v>4835</v>
      </c>
      <c r="B4840" s="1" t="s">
        <v>4</v>
      </c>
      <c r="C4840" s="1" t="str">
        <f>IF($B4840 = "Production Item", _xlfn.XLOOKUP($A4840, 'Instrument Table'!$J:$J, 'Instrument Table'!$B:$B, $C4839), IF($B4840 = "Service Item", _xlfn.XLOOKUP($A4840, 'Instrument Table'!$I:$I, 'Instrument Table'!$B:$B, $C4839), _xlfn.XLOOKUP($A4840, 'Instrument Table'!$H:$H, 'Instrument Table'!$B:$B, $C4839)))</f>
        <v>Software</v>
      </c>
      <c r="D4840" s="1" t="str">
        <f>VLOOKUP($C4840, 'Instrument Table'!$B:$C, 2, FALSE)</f>
        <v>Other</v>
      </c>
      <c r="E4840" s="1">
        <f t="shared" si="450"/>
        <v>3</v>
      </c>
      <c r="F4840" s="1">
        <f>_xlfn.XLOOKUP($C4840, 'Instrument Table'!$B:$B, 'Instrument Table'!$A:$A, "")</f>
        <v>62</v>
      </c>
      <c r="G4840" s="1" t="str">
        <f>TEXT(IF($B4840 = "Retail Item", IF((ROW($A4840) - 4504 - _xlfn.XMATCH($C4840, $C$4506:$C$5005, 0, 1)) &lt;= VLOOKUP($C4840, 'Instrument Table'!$B:$D, 3, FALSE), ROW($A4840) - 4504 - _xlfn.XMATCH($C4840, $C$4506:$C$5005, 0, 1), 0), 0), "00")</f>
        <v>15</v>
      </c>
      <c r="H4840" s="1" t="str">
        <f t="shared" si="451"/>
        <v>000</v>
      </c>
      <c r="I4840" s="1" t="str">
        <f t="shared" si="452"/>
        <v>36215-000</v>
      </c>
      <c r="J4840" s="1" t="str">
        <f t="shared" si="453"/>
        <v>Software model #15</v>
      </c>
      <c r="K4840" s="1" t="str">
        <f>IF(SUM(COUNTIFS(I:I, I4840)) &gt; 1, "DUPLICATE", "UNIQUE")</f>
        <v>UNIQUE</v>
      </c>
      <c r="L4840" s="18">
        <v>100</v>
      </c>
      <c r="M4840" s="28">
        <v>6685</v>
      </c>
      <c r="N4840" s="6">
        <v>93</v>
      </c>
      <c r="O4840" s="30">
        <f t="shared" si="454"/>
        <v>668500</v>
      </c>
      <c r="P4840" s="30">
        <f t="shared" si="455"/>
        <v>621705</v>
      </c>
      <c r="Q4840" s="1">
        <f>COUNTIFS($P:$P, "&gt;" &amp; $P4840) + 1</f>
        <v>57</v>
      </c>
      <c r="R4840" s="63">
        <f>(COUNTIFS($P:$P, "&gt;" &amp; $P4840) + 1) / (COUNTA($I:$I) - 1)</f>
        <v>1.14E-2</v>
      </c>
      <c r="S4840" s="23">
        <f>SUMIFS($P:$P, $Q:$Q, "&lt;" &amp; $Q4840)</f>
        <v>42325786</v>
      </c>
    </row>
    <row r="4841" spans="1:19" x14ac:dyDescent="0.25">
      <c r="A4841" s="1">
        <v>4836</v>
      </c>
      <c r="B4841" s="1" t="s">
        <v>4</v>
      </c>
      <c r="C4841" s="1" t="str">
        <f>IF($B4841 = "Production Item", _xlfn.XLOOKUP($A4841, 'Instrument Table'!$J:$J, 'Instrument Table'!$B:$B, $C4840), IF($B4841 = "Service Item", _xlfn.XLOOKUP($A4841, 'Instrument Table'!$I:$I, 'Instrument Table'!$B:$B, $C4840), _xlfn.XLOOKUP($A4841, 'Instrument Table'!$H:$H, 'Instrument Table'!$B:$B, $C4840)))</f>
        <v>Software</v>
      </c>
      <c r="D4841" s="1" t="str">
        <f>VLOOKUP($C4841, 'Instrument Table'!$B:$C, 2, FALSE)</f>
        <v>Other</v>
      </c>
      <c r="E4841" s="1">
        <f t="shared" si="450"/>
        <v>3</v>
      </c>
      <c r="F4841" s="1">
        <f>_xlfn.XLOOKUP($C4841, 'Instrument Table'!$B:$B, 'Instrument Table'!$A:$A, "")</f>
        <v>62</v>
      </c>
      <c r="G4841" s="1" t="str">
        <f>TEXT(IF($B4841 = "Retail Item", IF((ROW($A4841) - 4504 - _xlfn.XMATCH($C4841, $C$4506:$C$5005, 0, 1)) &lt;= VLOOKUP($C4841, 'Instrument Table'!$B:$D, 3, FALSE), ROW($A4841) - 4504 - _xlfn.XMATCH($C4841, $C$4506:$C$5005, 0, 1), 0), 0), "00")</f>
        <v>16</v>
      </c>
      <c r="H4841" s="1" t="str">
        <f t="shared" si="451"/>
        <v>000</v>
      </c>
      <c r="I4841" s="1" t="str">
        <f t="shared" si="452"/>
        <v>36216-000</v>
      </c>
      <c r="J4841" s="1" t="str">
        <f t="shared" si="453"/>
        <v>Software model #16</v>
      </c>
      <c r="K4841" s="1" t="str">
        <f>IF(SUM(COUNTIFS(I:I, I4841)) &gt; 1, "DUPLICATE", "UNIQUE")</f>
        <v>UNIQUE</v>
      </c>
      <c r="L4841" s="18">
        <v>12</v>
      </c>
      <c r="M4841" s="28">
        <v>5075</v>
      </c>
      <c r="N4841" s="6">
        <v>30</v>
      </c>
      <c r="O4841" s="30">
        <f t="shared" si="454"/>
        <v>60900</v>
      </c>
      <c r="P4841" s="30">
        <f t="shared" si="455"/>
        <v>152250</v>
      </c>
      <c r="Q4841" s="1">
        <f>COUNTIFS($P:$P, "&gt;" &amp; $P4841) + 1</f>
        <v>332</v>
      </c>
      <c r="R4841" s="63">
        <f>(COUNTIFS($P:$P, "&gt;" &amp; $P4841) + 1) / (COUNTA($I:$I) - 1)</f>
        <v>6.6400000000000001E-2</v>
      </c>
      <c r="S4841" s="23">
        <f>SUMIFS($P:$P, $Q:$Q, "&lt;" &amp; $Q4841)</f>
        <v>134866823</v>
      </c>
    </row>
    <row r="4842" spans="1:19" x14ac:dyDescent="0.25">
      <c r="A4842" s="1">
        <v>4837</v>
      </c>
      <c r="B4842" s="1" t="s">
        <v>4</v>
      </c>
      <c r="C4842" s="1" t="str">
        <f>IF($B4842 = "Production Item", _xlfn.XLOOKUP($A4842, 'Instrument Table'!$J:$J, 'Instrument Table'!$B:$B, $C4841), IF($B4842 = "Service Item", _xlfn.XLOOKUP($A4842, 'Instrument Table'!$I:$I, 'Instrument Table'!$B:$B, $C4841), _xlfn.XLOOKUP($A4842, 'Instrument Table'!$H:$H, 'Instrument Table'!$B:$B, $C4841)))</f>
        <v>Software</v>
      </c>
      <c r="D4842" s="1" t="str">
        <f>VLOOKUP($C4842, 'Instrument Table'!$B:$C, 2, FALSE)</f>
        <v>Other</v>
      </c>
      <c r="E4842" s="1">
        <f t="shared" si="450"/>
        <v>3</v>
      </c>
      <c r="F4842" s="1">
        <f>_xlfn.XLOOKUP($C4842, 'Instrument Table'!$B:$B, 'Instrument Table'!$A:$A, "")</f>
        <v>62</v>
      </c>
      <c r="G4842" s="1" t="str">
        <f>TEXT(IF($B4842 = "Retail Item", IF((ROW($A4842) - 4504 - _xlfn.XMATCH($C4842, $C$4506:$C$5005, 0, 1)) &lt;= VLOOKUP($C4842, 'Instrument Table'!$B:$D, 3, FALSE), ROW($A4842) - 4504 - _xlfn.XMATCH($C4842, $C$4506:$C$5005, 0, 1), 0), 0), "00")</f>
        <v>17</v>
      </c>
      <c r="H4842" s="1" t="str">
        <f t="shared" si="451"/>
        <v>000</v>
      </c>
      <c r="I4842" s="1" t="str">
        <f t="shared" si="452"/>
        <v>36217-000</v>
      </c>
      <c r="J4842" s="1" t="str">
        <f t="shared" si="453"/>
        <v>Software model #17</v>
      </c>
      <c r="K4842" s="1" t="str">
        <f>IF(SUM(COUNTIFS(I:I, I4842)) &gt; 1, "DUPLICATE", "UNIQUE")</f>
        <v>UNIQUE</v>
      </c>
      <c r="L4842" s="18">
        <v>94</v>
      </c>
      <c r="M4842" s="28">
        <v>8342</v>
      </c>
      <c r="N4842" s="6">
        <v>78</v>
      </c>
      <c r="O4842" s="30">
        <f t="shared" si="454"/>
        <v>784148</v>
      </c>
      <c r="P4842" s="30">
        <f t="shared" si="455"/>
        <v>650676</v>
      </c>
      <c r="Q4842" s="1">
        <f>COUNTIFS($P:$P, "&gt;" &amp; $P4842) + 1</f>
        <v>47</v>
      </c>
      <c r="R4842" s="63">
        <f>(COUNTIFS($P:$P, "&gt;" &amp; $P4842) + 1) / (COUNTA($I:$I) - 1)</f>
        <v>9.4000000000000004E-3</v>
      </c>
      <c r="S4842" s="23">
        <f>SUMIFS($P:$P, $Q:$Q, "&lt;" &amp; $Q4842)</f>
        <v>35987553</v>
      </c>
    </row>
    <row r="4843" spans="1:19" x14ac:dyDescent="0.25">
      <c r="A4843" s="1">
        <v>4838</v>
      </c>
      <c r="B4843" s="1" t="s">
        <v>4</v>
      </c>
      <c r="C4843" s="1" t="str">
        <f>IF($B4843 = "Production Item", _xlfn.XLOOKUP($A4843, 'Instrument Table'!$J:$J, 'Instrument Table'!$B:$B, $C4842), IF($B4843 = "Service Item", _xlfn.XLOOKUP($A4843, 'Instrument Table'!$I:$I, 'Instrument Table'!$B:$B, $C4842), _xlfn.XLOOKUP($A4843, 'Instrument Table'!$H:$H, 'Instrument Table'!$B:$B, $C4842)))</f>
        <v>Software</v>
      </c>
      <c r="D4843" s="1" t="str">
        <f>VLOOKUP($C4843, 'Instrument Table'!$B:$C, 2, FALSE)</f>
        <v>Other</v>
      </c>
      <c r="E4843" s="1">
        <f t="shared" si="450"/>
        <v>3</v>
      </c>
      <c r="F4843" s="1">
        <f>_xlfn.XLOOKUP($C4843, 'Instrument Table'!$B:$B, 'Instrument Table'!$A:$A, "")</f>
        <v>62</v>
      </c>
      <c r="G4843" s="1" t="str">
        <f>TEXT(IF($B4843 = "Retail Item", IF((ROW($A4843) - 4504 - _xlfn.XMATCH($C4843, $C$4506:$C$5005, 0, 1)) &lt;= VLOOKUP($C4843, 'Instrument Table'!$B:$D, 3, FALSE), ROW($A4843) - 4504 - _xlfn.XMATCH($C4843, $C$4506:$C$5005, 0, 1), 0), 0), "00")</f>
        <v>18</v>
      </c>
      <c r="H4843" s="1" t="str">
        <f t="shared" si="451"/>
        <v>000</v>
      </c>
      <c r="I4843" s="1" t="str">
        <f t="shared" si="452"/>
        <v>36218-000</v>
      </c>
      <c r="J4843" s="1" t="str">
        <f t="shared" si="453"/>
        <v>Software model #18</v>
      </c>
      <c r="K4843" s="1" t="str">
        <f>IF(SUM(COUNTIFS(I:I, I4843)) &gt; 1, "DUPLICATE", "UNIQUE")</f>
        <v>UNIQUE</v>
      </c>
      <c r="L4843" s="18">
        <v>56</v>
      </c>
      <c r="M4843" s="28">
        <v>7281</v>
      </c>
      <c r="N4843" s="6">
        <v>92</v>
      </c>
      <c r="O4843" s="30">
        <f t="shared" si="454"/>
        <v>407736</v>
      </c>
      <c r="P4843" s="30">
        <f t="shared" si="455"/>
        <v>669852</v>
      </c>
      <c r="Q4843" s="1">
        <f>COUNTIFS($P:$P, "&gt;" &amp; $P4843) + 1</f>
        <v>41</v>
      </c>
      <c r="R4843" s="63">
        <f>(COUNTIFS($P:$P, "&gt;" &amp; $P4843) + 1) / (COUNTA($I:$I) - 1)</f>
        <v>8.2000000000000007E-3</v>
      </c>
      <c r="S4843" s="23">
        <f>SUMIFS($P:$P, $Q:$Q, "&lt;" &amp; $Q4843)</f>
        <v>32019254</v>
      </c>
    </row>
    <row r="4844" spans="1:19" x14ac:dyDescent="0.25">
      <c r="A4844" s="1">
        <v>4839</v>
      </c>
      <c r="B4844" s="1" t="s">
        <v>4</v>
      </c>
      <c r="C4844" s="1" t="str">
        <f>IF($B4844 = "Production Item", _xlfn.XLOOKUP($A4844, 'Instrument Table'!$J:$J, 'Instrument Table'!$B:$B, $C4843), IF($B4844 = "Service Item", _xlfn.XLOOKUP($A4844, 'Instrument Table'!$I:$I, 'Instrument Table'!$B:$B, $C4843), _xlfn.XLOOKUP($A4844, 'Instrument Table'!$H:$H, 'Instrument Table'!$B:$B, $C4843)))</f>
        <v>Software</v>
      </c>
      <c r="D4844" s="1" t="str">
        <f>VLOOKUP($C4844, 'Instrument Table'!$B:$C, 2, FALSE)</f>
        <v>Other</v>
      </c>
      <c r="E4844" s="1">
        <f t="shared" si="450"/>
        <v>3</v>
      </c>
      <c r="F4844" s="1">
        <f>_xlfn.XLOOKUP($C4844, 'Instrument Table'!$B:$B, 'Instrument Table'!$A:$A, "")</f>
        <v>62</v>
      </c>
      <c r="G4844" s="1" t="str">
        <f>TEXT(IF($B4844 = "Retail Item", IF((ROW($A4844) - 4504 - _xlfn.XMATCH($C4844, $C$4506:$C$5005, 0, 1)) &lt;= VLOOKUP($C4844, 'Instrument Table'!$B:$D, 3, FALSE), ROW($A4844) - 4504 - _xlfn.XMATCH($C4844, $C$4506:$C$5005, 0, 1), 0), 0), "00")</f>
        <v>19</v>
      </c>
      <c r="H4844" s="1" t="str">
        <f t="shared" si="451"/>
        <v>000</v>
      </c>
      <c r="I4844" s="1" t="str">
        <f t="shared" si="452"/>
        <v>36219-000</v>
      </c>
      <c r="J4844" s="1" t="str">
        <f t="shared" si="453"/>
        <v>Software model #19</v>
      </c>
      <c r="K4844" s="1" t="str">
        <f>IF(SUM(COUNTIFS(I:I, I4844)) &gt; 1, "DUPLICATE", "UNIQUE")</f>
        <v>UNIQUE</v>
      </c>
      <c r="L4844" s="18">
        <v>43</v>
      </c>
      <c r="M4844" s="28">
        <v>3538</v>
      </c>
      <c r="N4844" s="6">
        <v>63</v>
      </c>
      <c r="O4844" s="30">
        <f t="shared" si="454"/>
        <v>152134</v>
      </c>
      <c r="P4844" s="30">
        <f t="shared" si="455"/>
        <v>222894</v>
      </c>
      <c r="Q4844" s="1">
        <f>COUNTIFS($P:$P, "&gt;" &amp; $P4844) + 1</f>
        <v>274</v>
      </c>
      <c r="R4844" s="63">
        <f>(COUNTIFS($P:$P, "&gt;" &amp; $P4844) + 1) / (COUNTA($I:$I) - 1)</f>
        <v>5.4800000000000001E-2</v>
      </c>
      <c r="S4844" s="23">
        <f>SUMIFS($P:$P, $Q:$Q, "&lt;" &amp; $Q4844)</f>
        <v>124257919</v>
      </c>
    </row>
    <row r="4845" spans="1:19" x14ac:dyDescent="0.25">
      <c r="A4845" s="1">
        <v>4840</v>
      </c>
      <c r="B4845" s="1" t="s">
        <v>4</v>
      </c>
      <c r="C4845" s="1" t="str">
        <f>IF($B4845 = "Production Item", _xlfn.XLOOKUP($A4845, 'Instrument Table'!$J:$J, 'Instrument Table'!$B:$B, $C4844), IF($B4845 = "Service Item", _xlfn.XLOOKUP($A4845, 'Instrument Table'!$I:$I, 'Instrument Table'!$B:$B, $C4844), _xlfn.XLOOKUP($A4845, 'Instrument Table'!$H:$H, 'Instrument Table'!$B:$B, $C4844)))</f>
        <v>Software</v>
      </c>
      <c r="D4845" s="1" t="str">
        <f>VLOOKUP($C4845, 'Instrument Table'!$B:$C, 2, FALSE)</f>
        <v>Other</v>
      </c>
      <c r="E4845" s="1">
        <f t="shared" si="450"/>
        <v>3</v>
      </c>
      <c r="F4845" s="1">
        <f>_xlfn.XLOOKUP($C4845, 'Instrument Table'!$B:$B, 'Instrument Table'!$A:$A, "")</f>
        <v>62</v>
      </c>
      <c r="G4845" s="1" t="str">
        <f>TEXT(IF($B4845 = "Retail Item", IF((ROW($A4845) - 4504 - _xlfn.XMATCH($C4845, $C$4506:$C$5005, 0, 1)) &lt;= VLOOKUP($C4845, 'Instrument Table'!$B:$D, 3, FALSE), ROW($A4845) - 4504 - _xlfn.XMATCH($C4845, $C$4506:$C$5005, 0, 1), 0), 0), "00")</f>
        <v>20</v>
      </c>
      <c r="H4845" s="1" t="str">
        <f t="shared" si="451"/>
        <v>000</v>
      </c>
      <c r="I4845" s="1" t="str">
        <f t="shared" si="452"/>
        <v>36220-000</v>
      </c>
      <c r="J4845" s="1" t="str">
        <f t="shared" si="453"/>
        <v>Software model #20</v>
      </c>
      <c r="K4845" s="1" t="str">
        <f>IF(SUM(COUNTIFS(I:I, I4845)) &gt; 1, "DUPLICATE", "UNIQUE")</f>
        <v>UNIQUE</v>
      </c>
      <c r="L4845" s="18">
        <v>26</v>
      </c>
      <c r="M4845" s="28">
        <v>4838</v>
      </c>
      <c r="N4845" s="6">
        <v>63</v>
      </c>
      <c r="O4845" s="30">
        <f t="shared" si="454"/>
        <v>125788</v>
      </c>
      <c r="P4845" s="30">
        <f t="shared" si="455"/>
        <v>304794</v>
      </c>
      <c r="Q4845" s="1">
        <f>COUNTIFS($P:$P, "&gt;" &amp; $P4845) + 1</f>
        <v>198</v>
      </c>
      <c r="R4845" s="63">
        <f>(COUNTIFS($P:$P, "&gt;" &amp; $P4845) + 1) / (COUNTA($I:$I) - 1)</f>
        <v>3.9600000000000003E-2</v>
      </c>
      <c r="S4845" s="23">
        <f>SUMIFS($P:$P, $Q:$Q, "&lt;" &amp; $Q4845)</f>
        <v>104322214</v>
      </c>
    </row>
    <row r="4846" spans="1:19" x14ac:dyDescent="0.25">
      <c r="A4846" s="1">
        <v>4841</v>
      </c>
      <c r="B4846" s="1" t="s">
        <v>4</v>
      </c>
      <c r="C4846" s="1" t="str">
        <f>IF($B4846 = "Production Item", _xlfn.XLOOKUP($A4846, 'Instrument Table'!$J:$J, 'Instrument Table'!$B:$B, $C4845), IF($B4846 = "Service Item", _xlfn.XLOOKUP($A4846, 'Instrument Table'!$I:$I, 'Instrument Table'!$B:$B, $C4845), _xlfn.XLOOKUP($A4846, 'Instrument Table'!$H:$H, 'Instrument Table'!$B:$B, $C4845)))</f>
        <v>Software</v>
      </c>
      <c r="D4846" s="1" t="str">
        <f>VLOOKUP($C4846, 'Instrument Table'!$B:$C, 2, FALSE)</f>
        <v>Other</v>
      </c>
      <c r="E4846" s="1">
        <f t="shared" si="450"/>
        <v>3</v>
      </c>
      <c r="F4846" s="1">
        <f>_xlfn.XLOOKUP($C4846, 'Instrument Table'!$B:$B, 'Instrument Table'!$A:$A, "")</f>
        <v>62</v>
      </c>
      <c r="G4846" s="1" t="str">
        <f>TEXT(IF($B4846 = "Retail Item", IF((ROW($A4846) - 4504 - _xlfn.XMATCH($C4846, $C$4506:$C$5005, 0, 1)) &lt;= VLOOKUP($C4846, 'Instrument Table'!$B:$D, 3, FALSE), ROW($A4846) - 4504 - _xlfn.XMATCH($C4846, $C$4506:$C$5005, 0, 1), 0), 0), "00")</f>
        <v>21</v>
      </c>
      <c r="H4846" s="1" t="str">
        <f t="shared" si="451"/>
        <v>000</v>
      </c>
      <c r="I4846" s="1" t="str">
        <f t="shared" si="452"/>
        <v>36221-000</v>
      </c>
      <c r="J4846" s="1" t="str">
        <f t="shared" si="453"/>
        <v>Software model #21</v>
      </c>
      <c r="K4846" s="1" t="str">
        <f>IF(SUM(COUNTIFS(I:I, I4846)) &gt; 1, "DUPLICATE", "UNIQUE")</f>
        <v>UNIQUE</v>
      </c>
      <c r="L4846" s="18">
        <v>70</v>
      </c>
      <c r="M4846" s="28">
        <v>4352</v>
      </c>
      <c r="N4846" s="6">
        <v>70</v>
      </c>
      <c r="O4846" s="30">
        <f t="shared" si="454"/>
        <v>304640</v>
      </c>
      <c r="P4846" s="30">
        <f t="shared" si="455"/>
        <v>304640</v>
      </c>
      <c r="Q4846" s="1">
        <f>COUNTIFS($P:$P, "&gt;" &amp; $P4846) + 1</f>
        <v>199</v>
      </c>
      <c r="R4846" s="63">
        <f>(COUNTIFS($P:$P, "&gt;" &amp; $P4846) + 1) / (COUNTA($I:$I) - 1)</f>
        <v>3.9800000000000002E-2</v>
      </c>
      <c r="S4846" s="23">
        <f>SUMIFS($P:$P, $Q:$Q, "&lt;" &amp; $Q4846)</f>
        <v>104627008</v>
      </c>
    </row>
    <row r="4847" spans="1:19" x14ac:dyDescent="0.25">
      <c r="A4847" s="1">
        <v>4842</v>
      </c>
      <c r="B4847" s="1" t="s">
        <v>4</v>
      </c>
      <c r="C4847" s="1" t="str">
        <f>IF($B4847 = "Production Item", _xlfn.XLOOKUP($A4847, 'Instrument Table'!$J:$J, 'Instrument Table'!$B:$B, $C4846), IF($B4847 = "Service Item", _xlfn.XLOOKUP($A4847, 'Instrument Table'!$I:$I, 'Instrument Table'!$B:$B, $C4846), _xlfn.XLOOKUP($A4847, 'Instrument Table'!$H:$H, 'Instrument Table'!$B:$B, $C4846)))</f>
        <v>Software</v>
      </c>
      <c r="D4847" s="1" t="str">
        <f>VLOOKUP($C4847, 'Instrument Table'!$B:$C, 2, FALSE)</f>
        <v>Other</v>
      </c>
      <c r="E4847" s="1">
        <f t="shared" si="450"/>
        <v>3</v>
      </c>
      <c r="F4847" s="1">
        <f>_xlfn.XLOOKUP($C4847, 'Instrument Table'!$B:$B, 'Instrument Table'!$A:$A, "")</f>
        <v>62</v>
      </c>
      <c r="G4847" s="1" t="str">
        <f>TEXT(IF($B4847 = "Retail Item", IF((ROW($A4847) - 4504 - _xlfn.XMATCH($C4847, $C$4506:$C$5005, 0, 1)) &lt;= VLOOKUP($C4847, 'Instrument Table'!$B:$D, 3, FALSE), ROW($A4847) - 4504 - _xlfn.XMATCH($C4847, $C$4506:$C$5005, 0, 1), 0), 0), "00")</f>
        <v>22</v>
      </c>
      <c r="H4847" s="1" t="str">
        <f t="shared" si="451"/>
        <v>000</v>
      </c>
      <c r="I4847" s="1" t="str">
        <f t="shared" si="452"/>
        <v>36222-000</v>
      </c>
      <c r="J4847" s="1" t="str">
        <f t="shared" si="453"/>
        <v>Software model #22</v>
      </c>
      <c r="K4847" s="1" t="str">
        <f>IF(SUM(COUNTIFS(I:I, I4847)) &gt; 1, "DUPLICATE", "UNIQUE")</f>
        <v>UNIQUE</v>
      </c>
      <c r="L4847" s="18">
        <v>13</v>
      </c>
      <c r="M4847" s="28">
        <v>4695</v>
      </c>
      <c r="N4847" s="6">
        <v>38</v>
      </c>
      <c r="O4847" s="30">
        <f t="shared" si="454"/>
        <v>61035</v>
      </c>
      <c r="P4847" s="30">
        <f t="shared" si="455"/>
        <v>178410</v>
      </c>
      <c r="Q4847" s="1">
        <f>COUNTIFS($P:$P, "&gt;" &amp; $P4847) + 1</f>
        <v>304</v>
      </c>
      <c r="R4847" s="63">
        <f>(COUNTIFS($P:$P, "&gt;" &amp; $P4847) + 1) / (COUNTA($I:$I) - 1)</f>
        <v>6.08E-2</v>
      </c>
      <c r="S4847" s="23">
        <f>SUMIFS($P:$P, $Q:$Q, "&lt;" &amp; $Q4847)</f>
        <v>130264144</v>
      </c>
    </row>
    <row r="4848" spans="1:19" x14ac:dyDescent="0.25">
      <c r="A4848" s="1">
        <v>4843</v>
      </c>
      <c r="B4848" s="1" t="s">
        <v>4</v>
      </c>
      <c r="C4848" s="1" t="str">
        <f>IF($B4848 = "Production Item", _xlfn.XLOOKUP($A4848, 'Instrument Table'!$J:$J, 'Instrument Table'!$B:$B, $C4847), IF($B4848 = "Service Item", _xlfn.XLOOKUP($A4848, 'Instrument Table'!$I:$I, 'Instrument Table'!$B:$B, $C4847), _xlfn.XLOOKUP($A4848, 'Instrument Table'!$H:$H, 'Instrument Table'!$B:$B, $C4847)))</f>
        <v>Software</v>
      </c>
      <c r="D4848" s="1" t="str">
        <f>VLOOKUP($C4848, 'Instrument Table'!$B:$C, 2, FALSE)</f>
        <v>Other</v>
      </c>
      <c r="E4848" s="1">
        <f t="shared" si="450"/>
        <v>3</v>
      </c>
      <c r="F4848" s="1">
        <f>_xlfn.XLOOKUP($C4848, 'Instrument Table'!$B:$B, 'Instrument Table'!$A:$A, "")</f>
        <v>62</v>
      </c>
      <c r="G4848" s="1" t="str">
        <f>TEXT(IF($B4848 = "Retail Item", IF((ROW($A4848) - 4504 - _xlfn.XMATCH($C4848, $C$4506:$C$5005, 0, 1)) &lt;= VLOOKUP($C4848, 'Instrument Table'!$B:$D, 3, FALSE), ROW($A4848) - 4504 - _xlfn.XMATCH($C4848, $C$4506:$C$5005, 0, 1), 0), 0), "00")</f>
        <v>23</v>
      </c>
      <c r="H4848" s="1" t="str">
        <f t="shared" si="451"/>
        <v>000</v>
      </c>
      <c r="I4848" s="1" t="str">
        <f t="shared" si="452"/>
        <v>36223-000</v>
      </c>
      <c r="J4848" s="1" t="str">
        <f t="shared" si="453"/>
        <v>Software model #23</v>
      </c>
      <c r="K4848" s="1" t="str">
        <f>IF(SUM(COUNTIFS(I:I, I4848)) &gt; 1, "DUPLICATE", "UNIQUE")</f>
        <v>UNIQUE</v>
      </c>
      <c r="L4848" s="18">
        <v>6</v>
      </c>
      <c r="M4848" s="28">
        <v>5717</v>
      </c>
      <c r="N4848" s="6">
        <v>14</v>
      </c>
      <c r="O4848" s="30">
        <f t="shared" si="454"/>
        <v>34302</v>
      </c>
      <c r="P4848" s="30">
        <f t="shared" si="455"/>
        <v>80038</v>
      </c>
      <c r="Q4848" s="1">
        <f>COUNTIFS($P:$P, "&gt;" &amp; $P4848) + 1</f>
        <v>450</v>
      </c>
      <c r="R4848" s="63">
        <f>(COUNTIFS($P:$P, "&gt;" &amp; $P4848) + 1) / (COUNTA($I:$I) - 1)</f>
        <v>0.09</v>
      </c>
      <c r="S4848" s="23">
        <f>SUMIFS($P:$P, $Q:$Q, "&lt;" &amp; $Q4848)</f>
        <v>148021903</v>
      </c>
    </row>
    <row r="4849" spans="1:19" x14ac:dyDescent="0.25">
      <c r="A4849" s="1">
        <v>4844</v>
      </c>
      <c r="B4849" s="1" t="s">
        <v>4</v>
      </c>
      <c r="C4849" s="1" t="str">
        <f>IF($B4849 = "Production Item", _xlfn.XLOOKUP($A4849, 'Instrument Table'!$J:$J, 'Instrument Table'!$B:$B, $C4848), IF($B4849 = "Service Item", _xlfn.XLOOKUP($A4849, 'Instrument Table'!$I:$I, 'Instrument Table'!$B:$B, $C4848), _xlfn.XLOOKUP($A4849, 'Instrument Table'!$H:$H, 'Instrument Table'!$B:$B, $C4848)))</f>
        <v>Software</v>
      </c>
      <c r="D4849" s="1" t="str">
        <f>VLOOKUP($C4849, 'Instrument Table'!$B:$C, 2, FALSE)</f>
        <v>Other</v>
      </c>
      <c r="E4849" s="1">
        <f t="shared" si="450"/>
        <v>3</v>
      </c>
      <c r="F4849" s="1">
        <f>_xlfn.XLOOKUP($C4849, 'Instrument Table'!$B:$B, 'Instrument Table'!$A:$A, "")</f>
        <v>62</v>
      </c>
      <c r="G4849" s="1" t="str">
        <f>TEXT(IF($B4849 = "Retail Item", IF((ROW($A4849) - 4504 - _xlfn.XMATCH($C4849, $C$4506:$C$5005, 0, 1)) &lt;= VLOOKUP($C4849, 'Instrument Table'!$B:$D, 3, FALSE), ROW($A4849) - 4504 - _xlfn.XMATCH($C4849, $C$4506:$C$5005, 0, 1), 0), 0), "00")</f>
        <v>24</v>
      </c>
      <c r="H4849" s="1" t="str">
        <f t="shared" si="451"/>
        <v>000</v>
      </c>
      <c r="I4849" s="1" t="str">
        <f t="shared" si="452"/>
        <v>36224-000</v>
      </c>
      <c r="J4849" s="1" t="str">
        <f t="shared" si="453"/>
        <v>Software model #24</v>
      </c>
      <c r="K4849" s="1" t="str">
        <f>IF(SUM(COUNTIFS(I:I, I4849)) &gt; 1, "DUPLICATE", "UNIQUE")</f>
        <v>UNIQUE</v>
      </c>
      <c r="L4849" s="18">
        <v>8</v>
      </c>
      <c r="M4849" s="28">
        <v>1706</v>
      </c>
      <c r="N4849" s="6">
        <v>27</v>
      </c>
      <c r="O4849" s="30">
        <f t="shared" si="454"/>
        <v>13648</v>
      </c>
      <c r="P4849" s="30">
        <f t="shared" si="455"/>
        <v>46062</v>
      </c>
      <c r="Q4849" s="1">
        <f>COUNTIFS($P:$P, "&gt;" &amp; $P4849) + 1</f>
        <v>535</v>
      </c>
      <c r="R4849" s="63">
        <f>(COUNTIFS($P:$P, "&gt;" &amp; $P4849) + 1) / (COUNTA($I:$I) - 1)</f>
        <v>0.107</v>
      </c>
      <c r="S4849" s="23">
        <f>SUMIFS($P:$P, $Q:$Q, "&lt;" &amp; $Q4849)</f>
        <v>153335931</v>
      </c>
    </row>
    <row r="4850" spans="1:19" x14ac:dyDescent="0.25">
      <c r="A4850" s="1">
        <v>4845</v>
      </c>
      <c r="B4850" s="1" t="s">
        <v>4</v>
      </c>
      <c r="C4850" s="1" t="str">
        <f>IF($B4850 = "Production Item", _xlfn.XLOOKUP($A4850, 'Instrument Table'!$J:$J, 'Instrument Table'!$B:$B, $C4849), IF($B4850 = "Service Item", _xlfn.XLOOKUP($A4850, 'Instrument Table'!$I:$I, 'Instrument Table'!$B:$B, $C4849), _xlfn.XLOOKUP($A4850, 'Instrument Table'!$H:$H, 'Instrument Table'!$B:$B, $C4849)))</f>
        <v>Software</v>
      </c>
      <c r="D4850" s="1" t="str">
        <f>VLOOKUP($C4850, 'Instrument Table'!$B:$C, 2, FALSE)</f>
        <v>Other</v>
      </c>
      <c r="E4850" s="1">
        <f t="shared" si="450"/>
        <v>3</v>
      </c>
      <c r="F4850" s="1">
        <f>_xlfn.XLOOKUP($C4850, 'Instrument Table'!$B:$B, 'Instrument Table'!$A:$A, "")</f>
        <v>62</v>
      </c>
      <c r="G4850" s="1" t="str">
        <f>TEXT(IF($B4850 = "Retail Item", IF((ROW($A4850) - 4504 - _xlfn.XMATCH($C4850, $C$4506:$C$5005, 0, 1)) &lt;= VLOOKUP($C4850, 'Instrument Table'!$B:$D, 3, FALSE), ROW($A4850) - 4504 - _xlfn.XMATCH($C4850, $C$4506:$C$5005, 0, 1), 0), 0), "00")</f>
        <v>25</v>
      </c>
      <c r="H4850" s="1" t="str">
        <f t="shared" si="451"/>
        <v>000</v>
      </c>
      <c r="I4850" s="1" t="str">
        <f t="shared" si="452"/>
        <v>36225-000</v>
      </c>
      <c r="J4850" s="1" t="str">
        <f t="shared" si="453"/>
        <v>Software model #25</v>
      </c>
      <c r="K4850" s="1" t="str">
        <f>IF(SUM(COUNTIFS(I:I, I4850)) &gt; 1, "DUPLICATE", "UNIQUE")</f>
        <v>UNIQUE</v>
      </c>
      <c r="L4850" s="18">
        <v>61</v>
      </c>
      <c r="M4850" s="28">
        <v>1440</v>
      </c>
      <c r="N4850" s="6">
        <v>52</v>
      </c>
      <c r="O4850" s="30">
        <f t="shared" si="454"/>
        <v>87840</v>
      </c>
      <c r="P4850" s="30">
        <f t="shared" si="455"/>
        <v>74880</v>
      </c>
      <c r="Q4850" s="1">
        <f>COUNTIFS($P:$P, "&gt;" &amp; $P4850) + 1</f>
        <v>458</v>
      </c>
      <c r="R4850" s="63">
        <f>(COUNTIFS($P:$P, "&gt;" &amp; $P4850) + 1) / (COUNTA($I:$I) - 1)</f>
        <v>9.1600000000000001E-2</v>
      </c>
      <c r="S4850" s="23">
        <f>SUMIFS($P:$P, $Q:$Q, "&lt;" &amp; $Q4850)</f>
        <v>148640043</v>
      </c>
    </row>
    <row r="4851" spans="1:19" x14ac:dyDescent="0.25">
      <c r="A4851" s="1">
        <v>4846</v>
      </c>
      <c r="B4851" s="1" t="s">
        <v>4</v>
      </c>
      <c r="C4851" s="1" t="str">
        <f>IF($B4851 = "Production Item", _xlfn.XLOOKUP($A4851, 'Instrument Table'!$J:$J, 'Instrument Table'!$B:$B, $C4850), IF($B4851 = "Service Item", _xlfn.XLOOKUP($A4851, 'Instrument Table'!$I:$I, 'Instrument Table'!$B:$B, $C4850), _xlfn.XLOOKUP($A4851, 'Instrument Table'!$H:$H, 'Instrument Table'!$B:$B, $C4850)))</f>
        <v>Software</v>
      </c>
      <c r="D4851" s="1" t="str">
        <f>VLOOKUP($C4851, 'Instrument Table'!$B:$C, 2, FALSE)</f>
        <v>Other</v>
      </c>
      <c r="E4851" s="1">
        <f t="shared" si="450"/>
        <v>3</v>
      </c>
      <c r="F4851" s="1">
        <f>_xlfn.XLOOKUP($C4851, 'Instrument Table'!$B:$B, 'Instrument Table'!$A:$A, "")</f>
        <v>62</v>
      </c>
      <c r="G4851" s="1" t="str">
        <f>TEXT(IF($B4851 = "Retail Item", IF((ROW($A4851) - 4504 - _xlfn.XMATCH($C4851, $C$4506:$C$5005, 0, 1)) &lt;= VLOOKUP($C4851, 'Instrument Table'!$B:$D, 3, FALSE), ROW($A4851) - 4504 - _xlfn.XMATCH($C4851, $C$4506:$C$5005, 0, 1), 0), 0), "00")</f>
        <v>26</v>
      </c>
      <c r="H4851" s="1" t="str">
        <f t="shared" si="451"/>
        <v>000</v>
      </c>
      <c r="I4851" s="1" t="str">
        <f t="shared" si="452"/>
        <v>36226-000</v>
      </c>
      <c r="J4851" s="1" t="str">
        <f t="shared" si="453"/>
        <v>Software model #26</v>
      </c>
      <c r="K4851" s="1" t="str">
        <f>IF(SUM(COUNTIFS(I:I, I4851)) &gt; 1, "DUPLICATE", "UNIQUE")</f>
        <v>UNIQUE</v>
      </c>
      <c r="L4851" s="18">
        <v>99</v>
      </c>
      <c r="M4851" s="28">
        <v>9423</v>
      </c>
      <c r="N4851" s="6">
        <v>100</v>
      </c>
      <c r="O4851" s="30">
        <f t="shared" si="454"/>
        <v>932877</v>
      </c>
      <c r="P4851" s="30">
        <f t="shared" si="455"/>
        <v>942300</v>
      </c>
      <c r="Q4851" s="1">
        <f>COUNTIFS($P:$P, "&gt;" &amp; $P4851) + 1</f>
        <v>4</v>
      </c>
      <c r="R4851" s="63">
        <f>(COUNTIFS($P:$P, "&gt;" &amp; $P4851) + 1) / (COUNTA($I:$I) - 1)</f>
        <v>8.0000000000000004E-4</v>
      </c>
      <c r="S4851" s="23">
        <f>SUMIFS($P:$P, $Q:$Q, "&lt;" &amp; $Q4851)</f>
        <v>2851494</v>
      </c>
    </row>
    <row r="4852" spans="1:19" x14ac:dyDescent="0.25">
      <c r="A4852" s="1">
        <v>4847</v>
      </c>
      <c r="B4852" s="1" t="s">
        <v>4</v>
      </c>
      <c r="C4852" s="1" t="str">
        <f>IF($B4852 = "Production Item", _xlfn.XLOOKUP($A4852, 'Instrument Table'!$J:$J, 'Instrument Table'!$B:$B, $C4851), IF($B4852 = "Service Item", _xlfn.XLOOKUP($A4852, 'Instrument Table'!$I:$I, 'Instrument Table'!$B:$B, $C4851), _xlfn.XLOOKUP($A4852, 'Instrument Table'!$H:$H, 'Instrument Table'!$B:$B, $C4851)))</f>
        <v>Software</v>
      </c>
      <c r="D4852" s="1" t="str">
        <f>VLOOKUP($C4852, 'Instrument Table'!$B:$C, 2, FALSE)</f>
        <v>Other</v>
      </c>
      <c r="E4852" s="1">
        <f t="shared" si="450"/>
        <v>3</v>
      </c>
      <c r="F4852" s="1">
        <f>_xlfn.XLOOKUP($C4852, 'Instrument Table'!$B:$B, 'Instrument Table'!$A:$A, "")</f>
        <v>62</v>
      </c>
      <c r="G4852" s="1" t="str">
        <f>TEXT(IF($B4852 = "Retail Item", IF((ROW($A4852) - 4504 - _xlfn.XMATCH($C4852, $C$4506:$C$5005, 0, 1)) &lt;= VLOOKUP($C4852, 'Instrument Table'!$B:$D, 3, FALSE), ROW($A4852) - 4504 - _xlfn.XMATCH($C4852, $C$4506:$C$5005, 0, 1), 0), 0), "00")</f>
        <v>27</v>
      </c>
      <c r="H4852" s="1" t="str">
        <f t="shared" si="451"/>
        <v>000</v>
      </c>
      <c r="I4852" s="1" t="str">
        <f t="shared" si="452"/>
        <v>36227-000</v>
      </c>
      <c r="J4852" s="1" t="str">
        <f t="shared" si="453"/>
        <v>Software model #27</v>
      </c>
      <c r="K4852" s="1" t="str">
        <f>IF(SUM(COUNTIFS(I:I, I4852)) &gt; 1, "DUPLICATE", "UNIQUE")</f>
        <v>UNIQUE</v>
      </c>
      <c r="L4852" s="18">
        <v>91</v>
      </c>
      <c r="M4852" s="28">
        <v>9760</v>
      </c>
      <c r="N4852" s="6">
        <v>27</v>
      </c>
      <c r="O4852" s="30">
        <f t="shared" si="454"/>
        <v>888160</v>
      </c>
      <c r="P4852" s="30">
        <f t="shared" si="455"/>
        <v>263520</v>
      </c>
      <c r="Q4852" s="1">
        <f>COUNTIFS($P:$P, "&gt;" &amp; $P4852) + 1</f>
        <v>234</v>
      </c>
      <c r="R4852" s="63">
        <f>(COUNTIFS($P:$P, "&gt;" &amp; $P4852) + 1) / (COUNTA($I:$I) - 1)</f>
        <v>4.6800000000000001E-2</v>
      </c>
      <c r="S4852" s="23">
        <f>SUMIFS($P:$P, $Q:$Q, "&lt;" &amp; $Q4852)</f>
        <v>114611264</v>
      </c>
    </row>
    <row r="4853" spans="1:19" x14ac:dyDescent="0.25">
      <c r="A4853" s="1">
        <v>4848</v>
      </c>
      <c r="B4853" s="1" t="s">
        <v>4</v>
      </c>
      <c r="C4853" s="1" t="str">
        <f>IF($B4853 = "Production Item", _xlfn.XLOOKUP($A4853, 'Instrument Table'!$J:$J, 'Instrument Table'!$B:$B, $C4852), IF($B4853 = "Service Item", _xlfn.XLOOKUP($A4853, 'Instrument Table'!$I:$I, 'Instrument Table'!$B:$B, $C4852), _xlfn.XLOOKUP($A4853, 'Instrument Table'!$H:$H, 'Instrument Table'!$B:$B, $C4852)))</f>
        <v>Software</v>
      </c>
      <c r="D4853" s="1" t="str">
        <f>VLOOKUP($C4853, 'Instrument Table'!$B:$C, 2, FALSE)</f>
        <v>Other</v>
      </c>
      <c r="E4853" s="1">
        <f t="shared" si="450"/>
        <v>3</v>
      </c>
      <c r="F4853" s="1">
        <f>_xlfn.XLOOKUP($C4853, 'Instrument Table'!$B:$B, 'Instrument Table'!$A:$A, "")</f>
        <v>62</v>
      </c>
      <c r="G4853" s="1" t="str">
        <f>TEXT(IF($B4853 = "Retail Item", IF((ROW($A4853) - 4504 - _xlfn.XMATCH($C4853, $C$4506:$C$5005, 0, 1)) &lt;= VLOOKUP($C4853, 'Instrument Table'!$B:$D, 3, FALSE), ROW($A4853) - 4504 - _xlfn.XMATCH($C4853, $C$4506:$C$5005, 0, 1), 0), 0), "00")</f>
        <v>28</v>
      </c>
      <c r="H4853" s="1" t="str">
        <f t="shared" si="451"/>
        <v>000</v>
      </c>
      <c r="I4853" s="1" t="str">
        <f t="shared" si="452"/>
        <v>36228-000</v>
      </c>
      <c r="J4853" s="1" t="str">
        <f t="shared" si="453"/>
        <v>Software model #28</v>
      </c>
      <c r="K4853" s="1" t="str">
        <f>IF(SUM(COUNTIFS(I:I, I4853)) &gt; 1, "DUPLICATE", "UNIQUE")</f>
        <v>UNIQUE</v>
      </c>
      <c r="L4853" s="18">
        <v>90</v>
      </c>
      <c r="M4853" s="28">
        <v>9973</v>
      </c>
      <c r="N4853" s="6">
        <v>86</v>
      </c>
      <c r="O4853" s="30">
        <f t="shared" si="454"/>
        <v>897570</v>
      </c>
      <c r="P4853" s="30">
        <f t="shared" si="455"/>
        <v>857678</v>
      </c>
      <c r="Q4853" s="1">
        <f>COUNTIFS($P:$P, "&gt;" &amp; $P4853) + 1</f>
        <v>11</v>
      </c>
      <c r="R4853" s="63">
        <f>(COUNTIFS($P:$P, "&gt;" &amp; $P4853) + 1) / (COUNTA($I:$I) - 1)</f>
        <v>2.2000000000000001E-3</v>
      </c>
      <c r="S4853" s="23">
        <f>SUMIFS($P:$P, $Q:$Q, "&lt;" &amp; $Q4853)</f>
        <v>9102349</v>
      </c>
    </row>
    <row r="4854" spans="1:19" x14ac:dyDescent="0.25">
      <c r="A4854" s="1">
        <v>4849</v>
      </c>
      <c r="B4854" s="1" t="s">
        <v>4</v>
      </c>
      <c r="C4854" s="1" t="str">
        <f>IF($B4854 = "Production Item", _xlfn.XLOOKUP($A4854, 'Instrument Table'!$J:$J, 'Instrument Table'!$B:$B, $C4853), IF($B4854 = "Service Item", _xlfn.XLOOKUP($A4854, 'Instrument Table'!$I:$I, 'Instrument Table'!$B:$B, $C4853), _xlfn.XLOOKUP($A4854, 'Instrument Table'!$H:$H, 'Instrument Table'!$B:$B, $C4853)))</f>
        <v>Software</v>
      </c>
      <c r="D4854" s="1" t="str">
        <f>VLOOKUP($C4854, 'Instrument Table'!$B:$C, 2, FALSE)</f>
        <v>Other</v>
      </c>
      <c r="E4854" s="1">
        <f t="shared" si="450"/>
        <v>3</v>
      </c>
      <c r="F4854" s="1">
        <f>_xlfn.XLOOKUP($C4854, 'Instrument Table'!$B:$B, 'Instrument Table'!$A:$A, "")</f>
        <v>62</v>
      </c>
      <c r="G4854" s="1" t="str">
        <f>TEXT(IF($B4854 = "Retail Item", IF((ROW($A4854) - 4504 - _xlfn.XMATCH($C4854, $C$4506:$C$5005, 0, 1)) &lt;= VLOOKUP($C4854, 'Instrument Table'!$B:$D, 3, FALSE), ROW($A4854) - 4504 - _xlfn.XMATCH($C4854, $C$4506:$C$5005, 0, 1), 0), 0), "00")</f>
        <v>29</v>
      </c>
      <c r="H4854" s="1" t="str">
        <f t="shared" si="451"/>
        <v>000</v>
      </c>
      <c r="I4854" s="1" t="str">
        <f t="shared" si="452"/>
        <v>36229-000</v>
      </c>
      <c r="J4854" s="1" t="str">
        <f t="shared" si="453"/>
        <v>Software model #29</v>
      </c>
      <c r="K4854" s="1" t="str">
        <f>IF(SUM(COUNTIFS(I:I, I4854)) &gt; 1, "DUPLICATE", "UNIQUE")</f>
        <v>UNIQUE</v>
      </c>
      <c r="L4854" s="18">
        <v>95</v>
      </c>
      <c r="M4854" s="28">
        <v>3770</v>
      </c>
      <c r="N4854" s="6">
        <v>18</v>
      </c>
      <c r="O4854" s="30">
        <f t="shared" si="454"/>
        <v>358150</v>
      </c>
      <c r="P4854" s="30">
        <f t="shared" si="455"/>
        <v>67860</v>
      </c>
      <c r="Q4854" s="1">
        <f>COUNTIFS($P:$P, "&gt;" &amp; $P4854) + 1</f>
        <v>475</v>
      </c>
      <c r="R4854" s="63">
        <f>(COUNTIFS($P:$P, "&gt;" &amp; $P4854) + 1) / (COUNTA($I:$I) - 1)</f>
        <v>9.5000000000000001E-2</v>
      </c>
      <c r="S4854" s="23">
        <f>SUMIFS($P:$P, $Q:$Q, "&lt;" &amp; $Q4854)</f>
        <v>149851973</v>
      </c>
    </row>
    <row r="4855" spans="1:19" x14ac:dyDescent="0.25">
      <c r="A4855" s="1">
        <v>4850</v>
      </c>
      <c r="B4855" s="1" t="s">
        <v>4</v>
      </c>
      <c r="C4855" s="1" t="str">
        <f>IF($B4855 = "Production Item", _xlfn.XLOOKUP($A4855, 'Instrument Table'!$J:$J, 'Instrument Table'!$B:$B, $C4854), IF($B4855 = "Service Item", _xlfn.XLOOKUP($A4855, 'Instrument Table'!$I:$I, 'Instrument Table'!$B:$B, $C4854), _xlfn.XLOOKUP($A4855, 'Instrument Table'!$H:$H, 'Instrument Table'!$B:$B, $C4854)))</f>
        <v>Software</v>
      </c>
      <c r="D4855" s="1" t="str">
        <f>VLOOKUP($C4855, 'Instrument Table'!$B:$C, 2, FALSE)</f>
        <v>Other</v>
      </c>
      <c r="E4855" s="1">
        <f t="shared" si="450"/>
        <v>3</v>
      </c>
      <c r="F4855" s="1">
        <f>_xlfn.XLOOKUP($C4855, 'Instrument Table'!$B:$B, 'Instrument Table'!$A:$A, "")</f>
        <v>62</v>
      </c>
      <c r="G4855" s="1" t="str">
        <f>TEXT(IF($B4855 = "Retail Item", IF((ROW($A4855) - 4504 - _xlfn.XMATCH($C4855, $C$4506:$C$5005, 0, 1)) &lt;= VLOOKUP($C4855, 'Instrument Table'!$B:$D, 3, FALSE), ROW($A4855) - 4504 - _xlfn.XMATCH($C4855, $C$4506:$C$5005, 0, 1), 0), 0), "00")</f>
        <v>30</v>
      </c>
      <c r="H4855" s="1" t="str">
        <f t="shared" si="451"/>
        <v>000</v>
      </c>
      <c r="I4855" s="1" t="str">
        <f t="shared" si="452"/>
        <v>36230-000</v>
      </c>
      <c r="J4855" s="1" t="str">
        <f t="shared" si="453"/>
        <v>Software model #30</v>
      </c>
      <c r="K4855" s="1" t="str">
        <f>IF(SUM(COUNTIFS(I:I, I4855)) &gt; 1, "DUPLICATE", "UNIQUE")</f>
        <v>UNIQUE</v>
      </c>
      <c r="L4855" s="18">
        <v>70</v>
      </c>
      <c r="M4855" s="28">
        <v>7996</v>
      </c>
      <c r="N4855" s="6">
        <v>47</v>
      </c>
      <c r="O4855" s="30">
        <f t="shared" si="454"/>
        <v>559720</v>
      </c>
      <c r="P4855" s="30">
        <f t="shared" si="455"/>
        <v>375812</v>
      </c>
      <c r="Q4855" s="1">
        <f>COUNTIFS($P:$P, "&gt;" &amp; $P4855) + 1</f>
        <v>153</v>
      </c>
      <c r="R4855" s="63">
        <f>(COUNTIFS($P:$P, "&gt;" &amp; $P4855) + 1) / (COUNTA($I:$I) - 1)</f>
        <v>3.0599999999999999E-2</v>
      </c>
      <c r="S4855" s="23">
        <f>SUMIFS($P:$P, $Q:$Q, "&lt;" &amp; $Q4855)</f>
        <v>89098470</v>
      </c>
    </row>
    <row r="4856" spans="1:19" x14ac:dyDescent="0.25">
      <c r="A4856" s="1">
        <v>4851</v>
      </c>
      <c r="B4856" s="1" t="s">
        <v>4</v>
      </c>
      <c r="C4856" s="1" t="str">
        <f>IF($B4856 = "Production Item", _xlfn.XLOOKUP($A4856, 'Instrument Table'!$J:$J, 'Instrument Table'!$B:$B, $C4855), IF($B4856 = "Service Item", _xlfn.XLOOKUP($A4856, 'Instrument Table'!$I:$I, 'Instrument Table'!$B:$B, $C4855), _xlfn.XLOOKUP($A4856, 'Instrument Table'!$H:$H, 'Instrument Table'!$B:$B, $C4855)))</f>
        <v>Software</v>
      </c>
      <c r="D4856" s="1" t="str">
        <f>VLOOKUP($C4856, 'Instrument Table'!$B:$C, 2, FALSE)</f>
        <v>Other</v>
      </c>
      <c r="E4856" s="1">
        <f t="shared" si="450"/>
        <v>3</v>
      </c>
      <c r="F4856" s="1">
        <f>_xlfn.XLOOKUP($C4856, 'Instrument Table'!$B:$B, 'Instrument Table'!$A:$A, "")</f>
        <v>62</v>
      </c>
      <c r="G4856" s="1" t="str">
        <f>TEXT(IF($B4856 = "Retail Item", IF((ROW($A4856) - 4504 - _xlfn.XMATCH($C4856, $C$4506:$C$5005, 0, 1)) &lt;= VLOOKUP($C4856, 'Instrument Table'!$B:$D, 3, FALSE), ROW($A4856) - 4504 - _xlfn.XMATCH($C4856, $C$4506:$C$5005, 0, 1), 0), 0), "00")</f>
        <v>31</v>
      </c>
      <c r="H4856" s="1" t="str">
        <f t="shared" si="451"/>
        <v>000</v>
      </c>
      <c r="I4856" s="1" t="str">
        <f t="shared" si="452"/>
        <v>36231-000</v>
      </c>
      <c r="J4856" s="1" t="str">
        <f t="shared" si="453"/>
        <v>Software model #31</v>
      </c>
      <c r="K4856" s="1" t="str">
        <f>IF(SUM(COUNTIFS(I:I, I4856)) &gt; 1, "DUPLICATE", "UNIQUE")</f>
        <v>UNIQUE</v>
      </c>
      <c r="L4856" s="18">
        <v>96</v>
      </c>
      <c r="M4856" s="28">
        <v>8991</v>
      </c>
      <c r="N4856" s="6">
        <v>53</v>
      </c>
      <c r="O4856" s="30">
        <f t="shared" si="454"/>
        <v>863136</v>
      </c>
      <c r="P4856" s="30">
        <f t="shared" si="455"/>
        <v>476523</v>
      </c>
      <c r="Q4856" s="1">
        <f>COUNTIFS($P:$P, "&gt;" &amp; $P4856) + 1</f>
        <v>106</v>
      </c>
      <c r="R4856" s="63">
        <f>(COUNTIFS($P:$P, "&gt;" &amp; $P4856) + 1) / (COUNTA($I:$I) - 1)</f>
        <v>2.12E-2</v>
      </c>
      <c r="S4856" s="23">
        <f>SUMIFS($P:$P, $Q:$Q, "&lt;" &amp; $Q4856)</f>
        <v>69062660</v>
      </c>
    </row>
    <row r="4857" spans="1:19" x14ac:dyDescent="0.25">
      <c r="A4857" s="1">
        <v>4852</v>
      </c>
      <c r="B4857" s="1" t="s">
        <v>4</v>
      </c>
      <c r="C4857" s="1" t="str">
        <f>IF($B4857 = "Production Item", _xlfn.XLOOKUP($A4857, 'Instrument Table'!$J:$J, 'Instrument Table'!$B:$B, $C4856), IF($B4857 = "Service Item", _xlfn.XLOOKUP($A4857, 'Instrument Table'!$I:$I, 'Instrument Table'!$B:$B, $C4856), _xlfn.XLOOKUP($A4857, 'Instrument Table'!$H:$H, 'Instrument Table'!$B:$B, $C4856)))</f>
        <v>Software</v>
      </c>
      <c r="D4857" s="1" t="str">
        <f>VLOOKUP($C4857, 'Instrument Table'!$B:$C, 2, FALSE)</f>
        <v>Other</v>
      </c>
      <c r="E4857" s="1">
        <f t="shared" si="450"/>
        <v>3</v>
      </c>
      <c r="F4857" s="1">
        <f>_xlfn.XLOOKUP($C4857, 'Instrument Table'!$B:$B, 'Instrument Table'!$A:$A, "")</f>
        <v>62</v>
      </c>
      <c r="G4857" s="1" t="str">
        <f>TEXT(IF($B4857 = "Retail Item", IF((ROW($A4857) - 4504 - _xlfn.XMATCH($C4857, $C$4506:$C$5005, 0, 1)) &lt;= VLOOKUP($C4857, 'Instrument Table'!$B:$D, 3, FALSE), ROW($A4857) - 4504 - _xlfn.XMATCH($C4857, $C$4506:$C$5005, 0, 1), 0), 0), "00")</f>
        <v>32</v>
      </c>
      <c r="H4857" s="1" t="str">
        <f t="shared" si="451"/>
        <v>000</v>
      </c>
      <c r="I4857" s="1" t="str">
        <f t="shared" si="452"/>
        <v>36232-000</v>
      </c>
      <c r="J4857" s="1" t="str">
        <f t="shared" si="453"/>
        <v>Software model #32</v>
      </c>
      <c r="K4857" s="1" t="str">
        <f>IF(SUM(COUNTIFS(I:I, I4857)) &gt; 1, "DUPLICATE", "UNIQUE")</f>
        <v>UNIQUE</v>
      </c>
      <c r="L4857" s="18">
        <v>22</v>
      </c>
      <c r="M4857" s="28">
        <v>6725</v>
      </c>
      <c r="N4857" s="6">
        <v>53</v>
      </c>
      <c r="O4857" s="30">
        <f t="shared" si="454"/>
        <v>147950</v>
      </c>
      <c r="P4857" s="30">
        <f t="shared" si="455"/>
        <v>356425</v>
      </c>
      <c r="Q4857" s="1">
        <f>COUNTIFS($P:$P, "&gt;" &amp; $P4857) + 1</f>
        <v>164</v>
      </c>
      <c r="R4857" s="63">
        <f>(COUNTIFS($P:$P, "&gt;" &amp; $P4857) + 1) / (COUNTA($I:$I) - 1)</f>
        <v>3.2800000000000003E-2</v>
      </c>
      <c r="S4857" s="23">
        <f>SUMIFS($P:$P, $Q:$Q, "&lt;" &amp; $Q4857)</f>
        <v>93144638</v>
      </c>
    </row>
    <row r="4858" spans="1:19" x14ac:dyDescent="0.25">
      <c r="A4858" s="1">
        <v>4853</v>
      </c>
      <c r="B4858" s="1" t="s">
        <v>4</v>
      </c>
      <c r="C4858" s="1" t="str">
        <f>IF($B4858 = "Production Item", _xlfn.XLOOKUP($A4858, 'Instrument Table'!$J:$J, 'Instrument Table'!$B:$B, $C4857), IF($B4858 = "Service Item", _xlfn.XLOOKUP($A4858, 'Instrument Table'!$I:$I, 'Instrument Table'!$B:$B, $C4857), _xlfn.XLOOKUP($A4858, 'Instrument Table'!$H:$H, 'Instrument Table'!$B:$B, $C4857)))</f>
        <v>Software</v>
      </c>
      <c r="D4858" s="1" t="str">
        <f>VLOOKUP($C4858, 'Instrument Table'!$B:$C, 2, FALSE)</f>
        <v>Other</v>
      </c>
      <c r="E4858" s="1">
        <f t="shared" si="450"/>
        <v>3</v>
      </c>
      <c r="F4858" s="1">
        <f>_xlfn.XLOOKUP($C4858, 'Instrument Table'!$B:$B, 'Instrument Table'!$A:$A, "")</f>
        <v>62</v>
      </c>
      <c r="G4858" s="1" t="str">
        <f>TEXT(IF($B4858 = "Retail Item", IF((ROW($A4858) - 4504 - _xlfn.XMATCH($C4858, $C$4506:$C$5005, 0, 1)) &lt;= VLOOKUP($C4858, 'Instrument Table'!$B:$D, 3, FALSE), ROW($A4858) - 4504 - _xlfn.XMATCH($C4858, $C$4506:$C$5005, 0, 1), 0), 0), "00")</f>
        <v>33</v>
      </c>
      <c r="H4858" s="1" t="str">
        <f t="shared" si="451"/>
        <v>000</v>
      </c>
      <c r="I4858" s="1" t="str">
        <f t="shared" si="452"/>
        <v>36233-000</v>
      </c>
      <c r="J4858" s="1" t="str">
        <f t="shared" si="453"/>
        <v>Software model #33</v>
      </c>
      <c r="K4858" s="1" t="str">
        <f>IF(SUM(COUNTIFS(I:I, I4858)) &gt; 1, "DUPLICATE", "UNIQUE")</f>
        <v>UNIQUE</v>
      </c>
      <c r="L4858" s="18">
        <v>87</v>
      </c>
      <c r="M4858" s="28">
        <v>1440</v>
      </c>
      <c r="N4858" s="6">
        <v>22</v>
      </c>
      <c r="O4858" s="30">
        <f t="shared" si="454"/>
        <v>125280</v>
      </c>
      <c r="P4858" s="30">
        <f t="shared" si="455"/>
        <v>31680</v>
      </c>
      <c r="Q4858" s="1">
        <f>COUNTIFS($P:$P, "&gt;" &amp; $P4858) + 1</f>
        <v>657</v>
      </c>
      <c r="R4858" s="63">
        <f>(COUNTIFS($P:$P, "&gt;" &amp; $P4858) + 1) / (COUNTA($I:$I) - 1)</f>
        <v>0.13139999999999999</v>
      </c>
      <c r="S4858" s="23">
        <f>SUMIFS($P:$P, $Q:$Q, "&lt;" &amp; $Q4858)</f>
        <v>157768477</v>
      </c>
    </row>
    <row r="4859" spans="1:19" x14ac:dyDescent="0.25">
      <c r="A4859" s="1">
        <v>4854</v>
      </c>
      <c r="B4859" s="1" t="s">
        <v>4</v>
      </c>
      <c r="C4859" s="1" t="str">
        <f>IF($B4859 = "Production Item", _xlfn.XLOOKUP($A4859, 'Instrument Table'!$J:$J, 'Instrument Table'!$B:$B, $C4858), IF($B4859 = "Service Item", _xlfn.XLOOKUP($A4859, 'Instrument Table'!$I:$I, 'Instrument Table'!$B:$B, $C4858), _xlfn.XLOOKUP($A4859, 'Instrument Table'!$H:$H, 'Instrument Table'!$B:$B, $C4858)))</f>
        <v>Software</v>
      </c>
      <c r="D4859" s="1" t="str">
        <f>VLOOKUP($C4859, 'Instrument Table'!$B:$C, 2, FALSE)</f>
        <v>Other</v>
      </c>
      <c r="E4859" s="1">
        <f t="shared" si="450"/>
        <v>3</v>
      </c>
      <c r="F4859" s="1">
        <f>_xlfn.XLOOKUP($C4859, 'Instrument Table'!$B:$B, 'Instrument Table'!$A:$A, "")</f>
        <v>62</v>
      </c>
      <c r="G4859" s="1" t="str">
        <f>TEXT(IF($B4859 = "Retail Item", IF((ROW($A4859) - 4504 - _xlfn.XMATCH($C4859, $C$4506:$C$5005, 0, 1)) &lt;= VLOOKUP($C4859, 'Instrument Table'!$B:$D, 3, FALSE), ROW($A4859) - 4504 - _xlfn.XMATCH($C4859, $C$4506:$C$5005, 0, 1), 0), 0), "00")</f>
        <v>34</v>
      </c>
      <c r="H4859" s="1" t="str">
        <f t="shared" si="451"/>
        <v>000</v>
      </c>
      <c r="I4859" s="1" t="str">
        <f t="shared" si="452"/>
        <v>36234-000</v>
      </c>
      <c r="J4859" s="1" t="str">
        <f t="shared" si="453"/>
        <v>Software model #34</v>
      </c>
      <c r="K4859" s="1" t="str">
        <f>IF(SUM(COUNTIFS(I:I, I4859)) &gt; 1, "DUPLICATE", "UNIQUE")</f>
        <v>UNIQUE</v>
      </c>
      <c r="L4859" s="18">
        <v>36</v>
      </c>
      <c r="M4859" s="28">
        <v>9617</v>
      </c>
      <c r="N4859" s="6">
        <v>16</v>
      </c>
      <c r="O4859" s="30">
        <f t="shared" si="454"/>
        <v>346212</v>
      </c>
      <c r="P4859" s="30">
        <f t="shared" si="455"/>
        <v>153872</v>
      </c>
      <c r="Q4859" s="1">
        <f>COUNTIFS($P:$P, "&gt;" &amp; $P4859) + 1</f>
        <v>328</v>
      </c>
      <c r="R4859" s="63">
        <f>(COUNTIFS($P:$P, "&gt;" &amp; $P4859) + 1) / (COUNTA($I:$I) - 1)</f>
        <v>6.5600000000000006E-2</v>
      </c>
      <c r="S4859" s="23">
        <f>SUMIFS($P:$P, $Q:$Q, "&lt;" &amp; $Q4859)</f>
        <v>134254310</v>
      </c>
    </row>
    <row r="4860" spans="1:19" x14ac:dyDescent="0.25">
      <c r="A4860" s="1">
        <v>4855</v>
      </c>
      <c r="B4860" s="1" t="s">
        <v>4</v>
      </c>
      <c r="C4860" s="1" t="str">
        <f>IF($B4860 = "Production Item", _xlfn.XLOOKUP($A4860, 'Instrument Table'!$J:$J, 'Instrument Table'!$B:$B, $C4859), IF($B4860 = "Service Item", _xlfn.XLOOKUP($A4860, 'Instrument Table'!$I:$I, 'Instrument Table'!$B:$B, $C4859), _xlfn.XLOOKUP($A4860, 'Instrument Table'!$H:$H, 'Instrument Table'!$B:$B, $C4859)))</f>
        <v>Software</v>
      </c>
      <c r="D4860" s="1" t="str">
        <f>VLOOKUP($C4860, 'Instrument Table'!$B:$C, 2, FALSE)</f>
        <v>Other</v>
      </c>
      <c r="E4860" s="1">
        <f t="shared" si="450"/>
        <v>3</v>
      </c>
      <c r="F4860" s="1">
        <f>_xlfn.XLOOKUP($C4860, 'Instrument Table'!$B:$B, 'Instrument Table'!$A:$A, "")</f>
        <v>62</v>
      </c>
      <c r="G4860" s="1" t="str">
        <f>TEXT(IF($B4860 = "Retail Item", IF((ROW($A4860) - 4504 - _xlfn.XMATCH($C4860, $C$4506:$C$5005, 0, 1)) &lt;= VLOOKUP($C4860, 'Instrument Table'!$B:$D, 3, FALSE), ROW($A4860) - 4504 - _xlfn.XMATCH($C4860, $C$4506:$C$5005, 0, 1), 0), 0), "00")</f>
        <v>35</v>
      </c>
      <c r="H4860" s="1" t="str">
        <f t="shared" si="451"/>
        <v>000</v>
      </c>
      <c r="I4860" s="1" t="str">
        <f t="shared" si="452"/>
        <v>36235-000</v>
      </c>
      <c r="J4860" s="1" t="str">
        <f t="shared" si="453"/>
        <v>Software model #35</v>
      </c>
      <c r="K4860" s="1" t="str">
        <f>IF(SUM(COUNTIFS(I:I, I4860)) &gt; 1, "DUPLICATE", "UNIQUE")</f>
        <v>UNIQUE</v>
      </c>
      <c r="L4860" s="18">
        <v>33</v>
      </c>
      <c r="M4860" s="28">
        <v>9664</v>
      </c>
      <c r="N4860" s="6">
        <v>64</v>
      </c>
      <c r="O4860" s="30">
        <f t="shared" si="454"/>
        <v>318912</v>
      </c>
      <c r="P4860" s="30">
        <f t="shared" si="455"/>
        <v>618496</v>
      </c>
      <c r="Q4860" s="1">
        <f>COUNTIFS($P:$P, "&gt;" &amp; $P4860) + 1</f>
        <v>60</v>
      </c>
      <c r="R4860" s="63">
        <f>(COUNTIFS($P:$P, "&gt;" &amp; $P4860) + 1) / (COUNTA($I:$I) - 1)</f>
        <v>1.2E-2</v>
      </c>
      <c r="S4860" s="23">
        <f>SUMIFS($P:$P, $Q:$Q, "&lt;" &amp; $Q4860)</f>
        <v>44186426</v>
      </c>
    </row>
    <row r="4861" spans="1:19" x14ac:dyDescent="0.25">
      <c r="A4861" s="1">
        <v>4856</v>
      </c>
      <c r="B4861" s="1" t="s">
        <v>4</v>
      </c>
      <c r="C4861" s="1" t="str">
        <f>IF($B4861 = "Production Item", _xlfn.XLOOKUP($A4861, 'Instrument Table'!$J:$J, 'Instrument Table'!$B:$B, $C4860), IF($B4861 = "Service Item", _xlfn.XLOOKUP($A4861, 'Instrument Table'!$I:$I, 'Instrument Table'!$B:$B, $C4860), _xlfn.XLOOKUP($A4861, 'Instrument Table'!$H:$H, 'Instrument Table'!$B:$B, $C4860)))</f>
        <v>Software</v>
      </c>
      <c r="D4861" s="1" t="str">
        <f>VLOOKUP($C4861, 'Instrument Table'!$B:$C, 2, FALSE)</f>
        <v>Other</v>
      </c>
      <c r="E4861" s="1">
        <f t="shared" si="450"/>
        <v>3</v>
      </c>
      <c r="F4861" s="1">
        <f>_xlfn.XLOOKUP($C4861, 'Instrument Table'!$B:$B, 'Instrument Table'!$A:$A, "")</f>
        <v>62</v>
      </c>
      <c r="G4861" s="1" t="str">
        <f>TEXT(IF($B4861 = "Retail Item", IF((ROW($A4861) - 4504 - _xlfn.XMATCH($C4861, $C$4506:$C$5005, 0, 1)) &lt;= VLOOKUP($C4861, 'Instrument Table'!$B:$D, 3, FALSE), ROW($A4861) - 4504 - _xlfn.XMATCH($C4861, $C$4506:$C$5005, 0, 1), 0), 0), "00")</f>
        <v>36</v>
      </c>
      <c r="H4861" s="1" t="str">
        <f t="shared" si="451"/>
        <v>000</v>
      </c>
      <c r="I4861" s="1" t="str">
        <f t="shared" si="452"/>
        <v>36236-000</v>
      </c>
      <c r="J4861" s="1" t="str">
        <f t="shared" si="453"/>
        <v>Software model #36</v>
      </c>
      <c r="K4861" s="1" t="str">
        <f>IF(SUM(COUNTIFS(I:I, I4861)) &gt; 1, "DUPLICATE", "UNIQUE")</f>
        <v>UNIQUE</v>
      </c>
      <c r="L4861" s="18">
        <v>8</v>
      </c>
      <c r="M4861" s="28">
        <v>9796</v>
      </c>
      <c r="N4861" s="6">
        <v>31</v>
      </c>
      <c r="O4861" s="30">
        <f t="shared" si="454"/>
        <v>78368</v>
      </c>
      <c r="P4861" s="30">
        <f t="shared" si="455"/>
        <v>303676</v>
      </c>
      <c r="Q4861" s="1">
        <f>COUNTIFS($P:$P, "&gt;" &amp; $P4861) + 1</f>
        <v>200</v>
      </c>
      <c r="R4861" s="63">
        <f>(COUNTIFS($P:$P, "&gt;" &amp; $P4861) + 1) / (COUNTA($I:$I) - 1)</f>
        <v>0.04</v>
      </c>
      <c r="S4861" s="23">
        <f>SUMIFS($P:$P, $Q:$Q, "&lt;" &amp; $Q4861)</f>
        <v>104931648</v>
      </c>
    </row>
    <row r="4862" spans="1:19" x14ac:dyDescent="0.25">
      <c r="A4862" s="1">
        <v>4857</v>
      </c>
      <c r="B4862" s="1" t="s">
        <v>4</v>
      </c>
      <c r="C4862" s="1" t="str">
        <f>IF($B4862 = "Production Item", _xlfn.XLOOKUP($A4862, 'Instrument Table'!$J:$J, 'Instrument Table'!$B:$B, $C4861), IF($B4862 = "Service Item", _xlfn.XLOOKUP($A4862, 'Instrument Table'!$I:$I, 'Instrument Table'!$B:$B, $C4861), _xlfn.XLOOKUP($A4862, 'Instrument Table'!$H:$H, 'Instrument Table'!$B:$B, $C4861)))</f>
        <v>Software</v>
      </c>
      <c r="D4862" s="1" t="str">
        <f>VLOOKUP($C4862, 'Instrument Table'!$B:$C, 2, FALSE)</f>
        <v>Other</v>
      </c>
      <c r="E4862" s="1">
        <f t="shared" si="450"/>
        <v>3</v>
      </c>
      <c r="F4862" s="1">
        <f>_xlfn.XLOOKUP($C4862, 'Instrument Table'!$B:$B, 'Instrument Table'!$A:$A, "")</f>
        <v>62</v>
      </c>
      <c r="G4862" s="1" t="str">
        <f>TEXT(IF($B4862 = "Retail Item", IF((ROW($A4862) - 4504 - _xlfn.XMATCH($C4862, $C$4506:$C$5005, 0, 1)) &lt;= VLOOKUP($C4862, 'Instrument Table'!$B:$D, 3, FALSE), ROW($A4862) - 4504 - _xlfn.XMATCH($C4862, $C$4506:$C$5005, 0, 1), 0), 0), "00")</f>
        <v>37</v>
      </c>
      <c r="H4862" s="1" t="str">
        <f t="shared" si="451"/>
        <v>000</v>
      </c>
      <c r="I4862" s="1" t="str">
        <f t="shared" si="452"/>
        <v>36237-000</v>
      </c>
      <c r="J4862" s="1" t="str">
        <f t="shared" si="453"/>
        <v>Software model #37</v>
      </c>
      <c r="K4862" s="1" t="str">
        <f>IF(SUM(COUNTIFS(I:I, I4862)) &gt; 1, "DUPLICATE", "UNIQUE")</f>
        <v>UNIQUE</v>
      </c>
      <c r="L4862" s="18">
        <v>75</v>
      </c>
      <c r="M4862" s="28">
        <v>7268</v>
      </c>
      <c r="N4862" s="6">
        <v>37</v>
      </c>
      <c r="O4862" s="30">
        <f t="shared" si="454"/>
        <v>545100</v>
      </c>
      <c r="P4862" s="30">
        <f t="shared" si="455"/>
        <v>268916</v>
      </c>
      <c r="Q4862" s="1">
        <f>COUNTIFS($P:$P, "&gt;" &amp; $P4862) + 1</f>
        <v>230</v>
      </c>
      <c r="R4862" s="63">
        <f>(COUNTIFS($P:$P, "&gt;" &amp; $P4862) + 1) / (COUNTA($I:$I) - 1)</f>
        <v>4.5999999999999999E-2</v>
      </c>
      <c r="S4862" s="23">
        <f>SUMIFS($P:$P, $Q:$Q, "&lt;" &amp; $Q4862)</f>
        <v>113540441</v>
      </c>
    </row>
    <row r="4863" spans="1:19" x14ac:dyDescent="0.25">
      <c r="A4863" s="1">
        <v>4858</v>
      </c>
      <c r="B4863" s="1" t="s">
        <v>4</v>
      </c>
      <c r="C4863" s="1" t="str">
        <f>IF($B4863 = "Production Item", _xlfn.XLOOKUP($A4863, 'Instrument Table'!$J:$J, 'Instrument Table'!$B:$B, $C4862), IF($B4863 = "Service Item", _xlfn.XLOOKUP($A4863, 'Instrument Table'!$I:$I, 'Instrument Table'!$B:$B, $C4862), _xlfn.XLOOKUP($A4863, 'Instrument Table'!$H:$H, 'Instrument Table'!$B:$B, $C4862)))</f>
        <v>Software</v>
      </c>
      <c r="D4863" s="1" t="str">
        <f>VLOOKUP($C4863, 'Instrument Table'!$B:$C, 2, FALSE)</f>
        <v>Other</v>
      </c>
      <c r="E4863" s="1">
        <f t="shared" si="450"/>
        <v>3</v>
      </c>
      <c r="F4863" s="1">
        <f>_xlfn.XLOOKUP($C4863, 'Instrument Table'!$B:$B, 'Instrument Table'!$A:$A, "")</f>
        <v>62</v>
      </c>
      <c r="G4863" s="1" t="str">
        <f>TEXT(IF($B4863 = "Retail Item", IF((ROW($A4863) - 4504 - _xlfn.XMATCH($C4863, $C$4506:$C$5005, 0, 1)) &lt;= VLOOKUP($C4863, 'Instrument Table'!$B:$D, 3, FALSE), ROW($A4863) - 4504 - _xlfn.XMATCH($C4863, $C$4506:$C$5005, 0, 1), 0), 0), "00")</f>
        <v>38</v>
      </c>
      <c r="H4863" s="1" t="str">
        <f t="shared" si="451"/>
        <v>000</v>
      </c>
      <c r="I4863" s="1" t="str">
        <f t="shared" si="452"/>
        <v>36238-000</v>
      </c>
      <c r="J4863" s="1" t="str">
        <f t="shared" si="453"/>
        <v>Software model #38</v>
      </c>
      <c r="K4863" s="1" t="str">
        <f>IF(SUM(COUNTIFS(I:I, I4863)) &gt; 1, "DUPLICATE", "UNIQUE")</f>
        <v>UNIQUE</v>
      </c>
      <c r="L4863" s="18">
        <v>59</v>
      </c>
      <c r="M4863" s="28">
        <v>3300</v>
      </c>
      <c r="N4863" s="6">
        <v>14</v>
      </c>
      <c r="O4863" s="30">
        <f t="shared" si="454"/>
        <v>194700</v>
      </c>
      <c r="P4863" s="30">
        <f t="shared" si="455"/>
        <v>46200</v>
      </c>
      <c r="Q4863" s="1">
        <f>COUNTIFS($P:$P, "&gt;" &amp; $P4863) + 1</f>
        <v>534</v>
      </c>
      <c r="R4863" s="63">
        <f>(COUNTIFS($P:$P, "&gt;" &amp; $P4863) + 1) / (COUNTA($I:$I) - 1)</f>
        <v>0.10680000000000001</v>
      </c>
      <c r="S4863" s="23">
        <f>SUMIFS($P:$P, $Q:$Q, "&lt;" &amp; $Q4863)</f>
        <v>153289731</v>
      </c>
    </row>
    <row r="4864" spans="1:19" x14ac:dyDescent="0.25">
      <c r="A4864" s="1">
        <v>4859</v>
      </c>
      <c r="B4864" s="1" t="s">
        <v>4</v>
      </c>
      <c r="C4864" s="1" t="str">
        <f>IF($B4864 = "Production Item", _xlfn.XLOOKUP($A4864, 'Instrument Table'!$J:$J, 'Instrument Table'!$B:$B, $C4863), IF($B4864 = "Service Item", _xlfn.XLOOKUP($A4864, 'Instrument Table'!$I:$I, 'Instrument Table'!$B:$B, $C4863), _xlfn.XLOOKUP($A4864, 'Instrument Table'!$H:$H, 'Instrument Table'!$B:$B, $C4863)))</f>
        <v>Software</v>
      </c>
      <c r="D4864" s="1" t="str">
        <f>VLOOKUP($C4864, 'Instrument Table'!$B:$C, 2, FALSE)</f>
        <v>Other</v>
      </c>
      <c r="E4864" s="1">
        <f t="shared" si="450"/>
        <v>3</v>
      </c>
      <c r="F4864" s="1">
        <f>_xlfn.XLOOKUP($C4864, 'Instrument Table'!$B:$B, 'Instrument Table'!$A:$A, "")</f>
        <v>62</v>
      </c>
      <c r="G4864" s="1" t="str">
        <f>TEXT(IF($B4864 = "Retail Item", IF((ROW($A4864) - 4504 - _xlfn.XMATCH($C4864, $C$4506:$C$5005, 0, 1)) &lt;= VLOOKUP($C4864, 'Instrument Table'!$B:$D, 3, FALSE), ROW($A4864) - 4504 - _xlfn.XMATCH($C4864, $C$4506:$C$5005, 0, 1), 0), 0), "00")</f>
        <v>39</v>
      </c>
      <c r="H4864" s="1" t="str">
        <f t="shared" si="451"/>
        <v>000</v>
      </c>
      <c r="I4864" s="1" t="str">
        <f t="shared" si="452"/>
        <v>36239-000</v>
      </c>
      <c r="J4864" s="1" t="str">
        <f t="shared" si="453"/>
        <v>Software model #39</v>
      </c>
      <c r="K4864" s="1" t="str">
        <f>IF(SUM(COUNTIFS(I:I, I4864)) &gt; 1, "DUPLICATE", "UNIQUE")</f>
        <v>UNIQUE</v>
      </c>
      <c r="L4864" s="18">
        <v>27</v>
      </c>
      <c r="M4864" s="28">
        <v>8445</v>
      </c>
      <c r="N4864" s="6">
        <v>95</v>
      </c>
      <c r="O4864" s="30">
        <f t="shared" si="454"/>
        <v>228015</v>
      </c>
      <c r="P4864" s="30">
        <f t="shared" si="455"/>
        <v>802275</v>
      </c>
      <c r="Q4864" s="1">
        <f>COUNTIFS($P:$P, "&gt;" &amp; $P4864) + 1</f>
        <v>17</v>
      </c>
      <c r="R4864" s="63">
        <f>(COUNTIFS($P:$P, "&gt;" &amp; $P4864) + 1) / (COUNTA($I:$I) - 1)</f>
        <v>3.3999999999999998E-3</v>
      </c>
      <c r="S4864" s="23">
        <f>SUMIFS($P:$P, $Q:$Q, "&lt;" &amp; $Q4864)</f>
        <v>14125437</v>
      </c>
    </row>
    <row r="4865" spans="1:19" x14ac:dyDescent="0.25">
      <c r="A4865" s="1">
        <v>4860</v>
      </c>
      <c r="B4865" s="1" t="s">
        <v>4</v>
      </c>
      <c r="C4865" s="1" t="str">
        <f>IF($B4865 = "Production Item", _xlfn.XLOOKUP($A4865, 'Instrument Table'!$J:$J, 'Instrument Table'!$B:$B, $C4864), IF($B4865 = "Service Item", _xlfn.XLOOKUP($A4865, 'Instrument Table'!$I:$I, 'Instrument Table'!$B:$B, $C4864), _xlfn.XLOOKUP($A4865, 'Instrument Table'!$H:$H, 'Instrument Table'!$B:$B, $C4864)))</f>
        <v>Software</v>
      </c>
      <c r="D4865" s="1" t="str">
        <f>VLOOKUP($C4865, 'Instrument Table'!$B:$C, 2, FALSE)</f>
        <v>Other</v>
      </c>
      <c r="E4865" s="1">
        <f t="shared" si="450"/>
        <v>3</v>
      </c>
      <c r="F4865" s="1">
        <f>_xlfn.XLOOKUP($C4865, 'Instrument Table'!$B:$B, 'Instrument Table'!$A:$A, "")</f>
        <v>62</v>
      </c>
      <c r="G4865" s="1" t="str">
        <f>TEXT(IF($B4865 = "Retail Item", IF((ROW($A4865) - 4504 - _xlfn.XMATCH($C4865, $C$4506:$C$5005, 0, 1)) &lt;= VLOOKUP($C4865, 'Instrument Table'!$B:$D, 3, FALSE), ROW($A4865) - 4504 - _xlfn.XMATCH($C4865, $C$4506:$C$5005, 0, 1), 0), 0), "00")</f>
        <v>40</v>
      </c>
      <c r="H4865" s="1" t="str">
        <f t="shared" si="451"/>
        <v>000</v>
      </c>
      <c r="I4865" s="1" t="str">
        <f t="shared" si="452"/>
        <v>36240-000</v>
      </c>
      <c r="J4865" s="1" t="str">
        <f t="shared" si="453"/>
        <v>Software model #40</v>
      </c>
      <c r="K4865" s="1" t="str">
        <f>IF(SUM(COUNTIFS(I:I, I4865)) &gt; 1, "DUPLICATE", "UNIQUE")</f>
        <v>UNIQUE</v>
      </c>
      <c r="L4865" s="18">
        <v>94</v>
      </c>
      <c r="M4865" s="28">
        <v>4016</v>
      </c>
      <c r="N4865" s="6">
        <v>44</v>
      </c>
      <c r="O4865" s="30">
        <f t="shared" si="454"/>
        <v>377504</v>
      </c>
      <c r="P4865" s="30">
        <f t="shared" si="455"/>
        <v>176704</v>
      </c>
      <c r="Q4865" s="1">
        <f>COUNTIFS($P:$P, "&gt;" &amp; $P4865) + 1</f>
        <v>305</v>
      </c>
      <c r="R4865" s="63">
        <f>(COUNTIFS($P:$P, "&gt;" &amp; $P4865) + 1) / (COUNTA($I:$I) - 1)</f>
        <v>6.0999999999999999E-2</v>
      </c>
      <c r="S4865" s="23">
        <f>SUMIFS($P:$P, $Q:$Q, "&lt;" &amp; $Q4865)</f>
        <v>130442554</v>
      </c>
    </row>
    <row r="4866" spans="1:19" x14ac:dyDescent="0.25">
      <c r="A4866" s="1">
        <v>4861</v>
      </c>
      <c r="B4866" s="1" t="s">
        <v>4</v>
      </c>
      <c r="C4866" s="1" t="str">
        <f>IF($B4866 = "Production Item", _xlfn.XLOOKUP($A4866, 'Instrument Table'!$J:$J, 'Instrument Table'!$B:$B, $C4865), IF($B4866 = "Service Item", _xlfn.XLOOKUP($A4866, 'Instrument Table'!$I:$I, 'Instrument Table'!$B:$B, $C4865), _xlfn.XLOOKUP($A4866, 'Instrument Table'!$H:$H, 'Instrument Table'!$B:$B, $C4865)))</f>
        <v>Instructional Material</v>
      </c>
      <c r="D4866" s="1" t="str">
        <f>VLOOKUP($C4866, 'Instrument Table'!$B:$C, 2, FALSE)</f>
        <v>Other</v>
      </c>
      <c r="E4866" s="1">
        <f t="shared" si="450"/>
        <v>3</v>
      </c>
      <c r="F4866" s="1">
        <f>_xlfn.XLOOKUP($C4866, 'Instrument Table'!$B:$B, 'Instrument Table'!$A:$A, "")</f>
        <v>63</v>
      </c>
      <c r="G4866" s="1" t="str">
        <f>TEXT(IF($B4866 = "Retail Item", IF((ROW($A4866) - 4504 - _xlfn.XMATCH($C4866, $C$4506:$C$5005, 0, 1)) &lt;= VLOOKUP($C4866, 'Instrument Table'!$B:$D, 3, FALSE), ROW($A4866) - 4504 - _xlfn.XMATCH($C4866, $C$4506:$C$5005, 0, 1), 0), 0), "00")</f>
        <v>01</v>
      </c>
      <c r="H4866" s="1" t="str">
        <f t="shared" si="451"/>
        <v>000</v>
      </c>
      <c r="I4866" s="1" t="str">
        <f t="shared" si="452"/>
        <v>36301-000</v>
      </c>
      <c r="J4866" s="1" t="str">
        <f t="shared" si="453"/>
        <v>Instructional material model #01</v>
      </c>
      <c r="K4866" s="1" t="str">
        <f>IF(SUM(COUNTIFS(I:I, I4866)) &gt; 1, "DUPLICATE", "UNIQUE")</f>
        <v>UNIQUE</v>
      </c>
      <c r="L4866" s="18">
        <v>92</v>
      </c>
      <c r="M4866" s="28">
        <v>6003</v>
      </c>
      <c r="N4866" s="6">
        <v>96</v>
      </c>
      <c r="O4866" s="30">
        <f t="shared" si="454"/>
        <v>552276</v>
      </c>
      <c r="P4866" s="30">
        <f t="shared" si="455"/>
        <v>576288</v>
      </c>
      <c r="Q4866" s="1">
        <f>COUNTIFS($P:$P, "&gt;" &amp; $P4866) + 1</f>
        <v>70</v>
      </c>
      <c r="R4866" s="63">
        <f>(COUNTIFS($P:$P, "&gt;" &amp; $P4866) + 1) / (COUNTA($I:$I) - 1)</f>
        <v>1.4E-2</v>
      </c>
      <c r="S4866" s="23">
        <f>SUMIFS($P:$P, $Q:$Q, "&lt;" &amp; $Q4866)</f>
        <v>50144698</v>
      </c>
    </row>
    <row r="4867" spans="1:19" x14ac:dyDescent="0.25">
      <c r="A4867" s="1">
        <v>4862</v>
      </c>
      <c r="B4867" s="1" t="s">
        <v>4</v>
      </c>
      <c r="C4867" s="1" t="str">
        <f>IF($B4867 = "Production Item", _xlfn.XLOOKUP($A4867, 'Instrument Table'!$J:$J, 'Instrument Table'!$B:$B, $C4866), IF($B4867 = "Service Item", _xlfn.XLOOKUP($A4867, 'Instrument Table'!$I:$I, 'Instrument Table'!$B:$B, $C4866), _xlfn.XLOOKUP($A4867, 'Instrument Table'!$H:$H, 'Instrument Table'!$B:$B, $C4866)))</f>
        <v>Instructional Material</v>
      </c>
      <c r="D4867" s="1" t="str">
        <f>VLOOKUP($C4867, 'Instrument Table'!$B:$C, 2, FALSE)</f>
        <v>Other</v>
      </c>
      <c r="E4867" s="1">
        <f t="shared" si="450"/>
        <v>3</v>
      </c>
      <c r="F4867" s="1">
        <f>_xlfn.XLOOKUP($C4867, 'Instrument Table'!$B:$B, 'Instrument Table'!$A:$A, "")</f>
        <v>63</v>
      </c>
      <c r="G4867" s="1" t="str">
        <f>TEXT(IF($B4867 = "Retail Item", IF((ROW($A4867) - 4504 - _xlfn.XMATCH($C4867, $C$4506:$C$5005, 0, 1)) &lt;= VLOOKUP($C4867, 'Instrument Table'!$B:$D, 3, FALSE), ROW($A4867) - 4504 - _xlfn.XMATCH($C4867, $C$4506:$C$5005, 0, 1), 0), 0), "00")</f>
        <v>02</v>
      </c>
      <c r="H4867" s="1" t="str">
        <f t="shared" si="451"/>
        <v>000</v>
      </c>
      <c r="I4867" s="1" t="str">
        <f t="shared" si="452"/>
        <v>36302-000</v>
      </c>
      <c r="J4867" s="1" t="str">
        <f t="shared" si="453"/>
        <v>Instructional material model #02</v>
      </c>
      <c r="K4867" s="1" t="str">
        <f>IF(SUM(COUNTIFS(I:I, I4867)) &gt; 1, "DUPLICATE", "UNIQUE")</f>
        <v>UNIQUE</v>
      </c>
      <c r="L4867" s="18">
        <v>88</v>
      </c>
      <c r="M4867" s="28">
        <v>2036</v>
      </c>
      <c r="N4867" s="6">
        <v>35</v>
      </c>
      <c r="O4867" s="30">
        <f t="shared" si="454"/>
        <v>179168</v>
      </c>
      <c r="P4867" s="30">
        <f t="shared" si="455"/>
        <v>71260</v>
      </c>
      <c r="Q4867" s="1">
        <f>COUNTIFS($P:$P, "&gt;" &amp; $P4867) + 1</f>
        <v>464</v>
      </c>
      <c r="R4867" s="63">
        <f>(COUNTIFS($P:$P, "&gt;" &amp; $P4867) + 1) / (COUNTA($I:$I) - 1)</f>
        <v>9.2799999999999994E-2</v>
      </c>
      <c r="S4867" s="23">
        <f>SUMIFS($P:$P, $Q:$Q, "&lt;" &amp; $Q4867)</f>
        <v>149083152</v>
      </c>
    </row>
    <row r="4868" spans="1:19" x14ac:dyDescent="0.25">
      <c r="A4868" s="1">
        <v>4863</v>
      </c>
      <c r="B4868" s="1" t="s">
        <v>4</v>
      </c>
      <c r="C4868" s="1" t="str">
        <f>IF($B4868 = "Production Item", _xlfn.XLOOKUP($A4868, 'Instrument Table'!$J:$J, 'Instrument Table'!$B:$B, $C4867), IF($B4868 = "Service Item", _xlfn.XLOOKUP($A4868, 'Instrument Table'!$I:$I, 'Instrument Table'!$B:$B, $C4867), _xlfn.XLOOKUP($A4868, 'Instrument Table'!$H:$H, 'Instrument Table'!$B:$B, $C4867)))</f>
        <v>Instructional Material</v>
      </c>
      <c r="D4868" s="1" t="str">
        <f>VLOOKUP($C4868, 'Instrument Table'!$B:$C, 2, FALSE)</f>
        <v>Other</v>
      </c>
      <c r="E4868" s="1">
        <f t="shared" si="450"/>
        <v>3</v>
      </c>
      <c r="F4868" s="1">
        <f>_xlfn.XLOOKUP($C4868, 'Instrument Table'!$B:$B, 'Instrument Table'!$A:$A, "")</f>
        <v>63</v>
      </c>
      <c r="G4868" s="1" t="str">
        <f>TEXT(IF($B4868 = "Retail Item", IF((ROW($A4868) - 4504 - _xlfn.XMATCH($C4868, $C$4506:$C$5005, 0, 1)) &lt;= VLOOKUP($C4868, 'Instrument Table'!$B:$D, 3, FALSE), ROW($A4868) - 4504 - _xlfn.XMATCH($C4868, $C$4506:$C$5005, 0, 1), 0), 0), "00")</f>
        <v>03</v>
      </c>
      <c r="H4868" s="1" t="str">
        <f t="shared" si="451"/>
        <v>000</v>
      </c>
      <c r="I4868" s="1" t="str">
        <f t="shared" si="452"/>
        <v>36303-000</v>
      </c>
      <c r="J4868" s="1" t="str">
        <f t="shared" si="453"/>
        <v>Instructional material model #03</v>
      </c>
      <c r="K4868" s="1" t="str">
        <f>IF(SUM(COUNTIFS(I:I, I4868)) &gt; 1, "DUPLICATE", "UNIQUE")</f>
        <v>UNIQUE</v>
      </c>
      <c r="L4868" s="18">
        <v>33</v>
      </c>
      <c r="M4868" s="28">
        <v>8820</v>
      </c>
      <c r="N4868" s="6">
        <v>66</v>
      </c>
      <c r="O4868" s="30">
        <f t="shared" si="454"/>
        <v>291060</v>
      </c>
      <c r="P4868" s="30">
        <f t="shared" si="455"/>
        <v>582120</v>
      </c>
      <c r="Q4868" s="1">
        <f>COUNTIFS($P:$P, "&gt;" &amp; $P4868) + 1</f>
        <v>67</v>
      </c>
      <c r="R4868" s="63">
        <f>(COUNTIFS($P:$P, "&gt;" &amp; $P4868) + 1) / (COUNTA($I:$I) - 1)</f>
        <v>1.34E-2</v>
      </c>
      <c r="S4868" s="23">
        <f>SUMIFS($P:$P, $Q:$Q, "&lt;" &amp; $Q4868)</f>
        <v>48409306</v>
      </c>
    </row>
    <row r="4869" spans="1:19" x14ac:dyDescent="0.25">
      <c r="A4869" s="1">
        <v>4864</v>
      </c>
      <c r="B4869" s="1" t="s">
        <v>4</v>
      </c>
      <c r="C4869" s="1" t="str">
        <f>IF($B4869 = "Production Item", _xlfn.XLOOKUP($A4869, 'Instrument Table'!$J:$J, 'Instrument Table'!$B:$B, $C4868), IF($B4869 = "Service Item", _xlfn.XLOOKUP($A4869, 'Instrument Table'!$I:$I, 'Instrument Table'!$B:$B, $C4868), _xlfn.XLOOKUP($A4869, 'Instrument Table'!$H:$H, 'Instrument Table'!$B:$B, $C4868)))</f>
        <v>Instructional Material</v>
      </c>
      <c r="D4869" s="1" t="str">
        <f>VLOOKUP($C4869, 'Instrument Table'!$B:$C, 2, FALSE)</f>
        <v>Other</v>
      </c>
      <c r="E4869" s="1">
        <f t="shared" si="450"/>
        <v>3</v>
      </c>
      <c r="F4869" s="1">
        <f>_xlfn.XLOOKUP($C4869, 'Instrument Table'!$B:$B, 'Instrument Table'!$A:$A, "")</f>
        <v>63</v>
      </c>
      <c r="G4869" s="1" t="str">
        <f>TEXT(IF($B4869 = "Retail Item", IF((ROW($A4869) - 4504 - _xlfn.XMATCH($C4869, $C$4506:$C$5005, 0, 1)) &lt;= VLOOKUP($C4869, 'Instrument Table'!$B:$D, 3, FALSE), ROW($A4869) - 4504 - _xlfn.XMATCH($C4869, $C$4506:$C$5005, 0, 1), 0), 0), "00")</f>
        <v>04</v>
      </c>
      <c r="H4869" s="1" t="str">
        <f t="shared" si="451"/>
        <v>000</v>
      </c>
      <c r="I4869" s="1" t="str">
        <f t="shared" si="452"/>
        <v>36304-000</v>
      </c>
      <c r="J4869" s="1" t="str">
        <f t="shared" si="453"/>
        <v>Instructional material model #04</v>
      </c>
      <c r="K4869" s="1" t="str">
        <f>IF(SUM(COUNTIFS(I:I, I4869)) &gt; 1, "DUPLICATE", "UNIQUE")</f>
        <v>UNIQUE</v>
      </c>
      <c r="L4869" s="18">
        <v>81</v>
      </c>
      <c r="M4869" s="28">
        <v>2807</v>
      </c>
      <c r="N4869" s="6">
        <v>24</v>
      </c>
      <c r="O4869" s="30">
        <f t="shared" si="454"/>
        <v>227367</v>
      </c>
      <c r="P4869" s="30">
        <f t="shared" si="455"/>
        <v>67368</v>
      </c>
      <c r="Q4869" s="1">
        <f>COUNTIFS($P:$P, "&gt;" &amp; $P4869) + 1</f>
        <v>476</v>
      </c>
      <c r="R4869" s="63">
        <f>(COUNTIFS($P:$P, "&gt;" &amp; $P4869) + 1) / (COUNTA($I:$I) - 1)</f>
        <v>9.5200000000000007E-2</v>
      </c>
      <c r="S4869" s="23">
        <f>SUMIFS($P:$P, $Q:$Q, "&lt;" &amp; $Q4869)</f>
        <v>149919833</v>
      </c>
    </row>
    <row r="4870" spans="1:19" x14ac:dyDescent="0.25">
      <c r="A4870" s="1">
        <v>4865</v>
      </c>
      <c r="B4870" s="1" t="s">
        <v>4</v>
      </c>
      <c r="C4870" s="1" t="str">
        <f>IF($B4870 = "Production Item", _xlfn.XLOOKUP($A4870, 'Instrument Table'!$J:$J, 'Instrument Table'!$B:$B, $C4869), IF($B4870 = "Service Item", _xlfn.XLOOKUP($A4870, 'Instrument Table'!$I:$I, 'Instrument Table'!$B:$B, $C4869), _xlfn.XLOOKUP($A4870, 'Instrument Table'!$H:$H, 'Instrument Table'!$B:$B, $C4869)))</f>
        <v>Instructional Material</v>
      </c>
      <c r="D4870" s="1" t="str">
        <f>VLOOKUP($C4870, 'Instrument Table'!$B:$C, 2, FALSE)</f>
        <v>Other</v>
      </c>
      <c r="E4870" s="1">
        <f t="shared" si="450"/>
        <v>3</v>
      </c>
      <c r="F4870" s="1">
        <f>_xlfn.XLOOKUP($C4870, 'Instrument Table'!$B:$B, 'Instrument Table'!$A:$A, "")</f>
        <v>63</v>
      </c>
      <c r="G4870" s="1" t="str">
        <f>TEXT(IF($B4870 = "Retail Item", IF((ROW($A4870) - 4504 - _xlfn.XMATCH($C4870, $C$4506:$C$5005, 0, 1)) &lt;= VLOOKUP($C4870, 'Instrument Table'!$B:$D, 3, FALSE), ROW($A4870) - 4504 - _xlfn.XMATCH($C4870, $C$4506:$C$5005, 0, 1), 0), 0), "00")</f>
        <v>05</v>
      </c>
      <c r="H4870" s="1" t="str">
        <f t="shared" si="451"/>
        <v>000</v>
      </c>
      <c r="I4870" s="1" t="str">
        <f t="shared" si="452"/>
        <v>36305-000</v>
      </c>
      <c r="J4870" s="1" t="str">
        <f t="shared" si="453"/>
        <v>Instructional material model #05</v>
      </c>
      <c r="K4870" s="1" t="str">
        <f>IF(SUM(COUNTIFS(I:I, I4870)) &gt; 1, "DUPLICATE", "UNIQUE")</f>
        <v>UNIQUE</v>
      </c>
      <c r="L4870" s="18">
        <v>12</v>
      </c>
      <c r="M4870" s="28">
        <v>1253</v>
      </c>
      <c r="N4870" s="6">
        <v>16</v>
      </c>
      <c r="O4870" s="30">
        <f t="shared" si="454"/>
        <v>15036</v>
      </c>
      <c r="P4870" s="30">
        <f t="shared" si="455"/>
        <v>20048</v>
      </c>
      <c r="Q4870" s="1">
        <f>COUNTIFS($P:$P, "&gt;" &amp; $P4870) + 1</f>
        <v>1054</v>
      </c>
      <c r="R4870" s="63">
        <f>(COUNTIFS($P:$P, "&gt;" &amp; $P4870) + 1) / (COUNTA($I:$I) - 1)</f>
        <v>0.21079999999999999</v>
      </c>
      <c r="S4870" s="23">
        <f>SUMIFS($P:$P, $Q:$Q, "&lt;" &amp; $Q4870)</f>
        <v>167603148</v>
      </c>
    </row>
    <row r="4871" spans="1:19" x14ac:dyDescent="0.25">
      <c r="A4871" s="1">
        <v>4866</v>
      </c>
      <c r="B4871" s="1" t="s">
        <v>4</v>
      </c>
      <c r="C4871" s="1" t="str">
        <f>IF($B4871 = "Production Item", _xlfn.XLOOKUP($A4871, 'Instrument Table'!$J:$J, 'Instrument Table'!$B:$B, $C4870), IF($B4871 = "Service Item", _xlfn.XLOOKUP($A4871, 'Instrument Table'!$I:$I, 'Instrument Table'!$B:$B, $C4870), _xlfn.XLOOKUP($A4871, 'Instrument Table'!$H:$H, 'Instrument Table'!$B:$B, $C4870)))</f>
        <v>Instructional Material</v>
      </c>
      <c r="D4871" s="1" t="str">
        <f>VLOOKUP($C4871, 'Instrument Table'!$B:$C, 2, FALSE)</f>
        <v>Other</v>
      </c>
      <c r="E4871" s="1">
        <f t="shared" ref="E4871:E4934" si="456">IF($B4871 = "Production Item", 1, IF($B4871 = "Service Item", 2, IF($B4871 = "Retail Item", 3, "")))</f>
        <v>3</v>
      </c>
      <c r="F4871" s="1">
        <f>_xlfn.XLOOKUP($C4871, 'Instrument Table'!$B:$B, 'Instrument Table'!$A:$A, "")</f>
        <v>63</v>
      </c>
      <c r="G4871" s="1" t="str">
        <f>TEXT(IF($B4871 = "Retail Item", IF((ROW($A4871) - 4504 - _xlfn.XMATCH($C4871, $C$4506:$C$5005, 0, 1)) &lt;= VLOOKUP($C4871, 'Instrument Table'!$B:$D, 3, FALSE), ROW($A4871) - 4504 - _xlfn.XMATCH($C4871, $C$4506:$C$5005, 0, 1), 0), 0), "00")</f>
        <v>06</v>
      </c>
      <c r="H4871" s="1" t="str">
        <f t="shared" ref="H4871:H4934" si="457">TEXT(IF($E4871 &amp; $F4871 &amp; $G4871 = $E4870 &amp; $F4870 &amp; $G4870, 1 + H4870, 0), "000")</f>
        <v>000</v>
      </c>
      <c r="I4871" s="1" t="str">
        <f t="shared" ref="I4871:I4934" si="458" xml:space="preserve"> _xlfn.CONCAT($E4871, $F4871, $G4871, "-", H4871)</f>
        <v>36306-000</v>
      </c>
      <c r="J4871" s="1" t="str">
        <f t="shared" ref="J4871:J4934" si="459">LEFT($C4871, 1) &amp; LOWER(RIGHT($C4871, LEN($C4871) - 1)) &amp; IF(AND($G4871 &lt;&gt; "00", $B4871 = "Retail Item"), " model #" &amp; $G4871, " " &amp; LOWER($B4871) &amp; " #" &amp; $H4871)</f>
        <v>Instructional material model #06</v>
      </c>
      <c r="K4871" s="1" t="str">
        <f>IF(SUM(COUNTIFS(I:I, I4871)) &gt; 1, "DUPLICATE", "UNIQUE")</f>
        <v>UNIQUE</v>
      </c>
      <c r="L4871" s="18">
        <v>64</v>
      </c>
      <c r="M4871" s="28">
        <v>6919</v>
      </c>
      <c r="N4871" s="6">
        <v>24</v>
      </c>
      <c r="O4871" s="30">
        <f t="shared" ref="O4871:O4934" si="460">$L4871 * $M4871</f>
        <v>442816</v>
      </c>
      <c r="P4871" s="30">
        <f t="shared" ref="P4871:P4934" si="461">$N4871 * $M4871</f>
        <v>166056</v>
      </c>
      <c r="Q4871" s="1">
        <f>COUNTIFS($P:$P, "&gt;" &amp; $P4871) + 1</f>
        <v>315</v>
      </c>
      <c r="R4871" s="63">
        <f>(COUNTIFS($P:$P, "&gt;" &amp; $P4871) + 1) / (COUNTA($I:$I) - 1)</f>
        <v>6.3E-2</v>
      </c>
      <c r="S4871" s="23">
        <f>SUMIFS($P:$P, $Q:$Q, "&lt;" &amp; $Q4871)</f>
        <v>132168520</v>
      </c>
    </row>
    <row r="4872" spans="1:19" x14ac:dyDescent="0.25">
      <c r="A4872" s="1">
        <v>4867</v>
      </c>
      <c r="B4872" s="1" t="s">
        <v>4</v>
      </c>
      <c r="C4872" s="1" t="str">
        <f>IF($B4872 = "Production Item", _xlfn.XLOOKUP($A4872, 'Instrument Table'!$J:$J, 'Instrument Table'!$B:$B, $C4871), IF($B4872 = "Service Item", _xlfn.XLOOKUP($A4872, 'Instrument Table'!$I:$I, 'Instrument Table'!$B:$B, $C4871), _xlfn.XLOOKUP($A4872, 'Instrument Table'!$H:$H, 'Instrument Table'!$B:$B, $C4871)))</f>
        <v>Instructional Material</v>
      </c>
      <c r="D4872" s="1" t="str">
        <f>VLOOKUP($C4872, 'Instrument Table'!$B:$C, 2, FALSE)</f>
        <v>Other</v>
      </c>
      <c r="E4872" s="1">
        <f t="shared" si="456"/>
        <v>3</v>
      </c>
      <c r="F4872" s="1">
        <f>_xlfn.XLOOKUP($C4872, 'Instrument Table'!$B:$B, 'Instrument Table'!$A:$A, "")</f>
        <v>63</v>
      </c>
      <c r="G4872" s="1" t="str">
        <f>TEXT(IF($B4872 = "Retail Item", IF((ROW($A4872) - 4504 - _xlfn.XMATCH($C4872, $C$4506:$C$5005, 0, 1)) &lt;= VLOOKUP($C4872, 'Instrument Table'!$B:$D, 3, FALSE), ROW($A4872) - 4504 - _xlfn.XMATCH($C4872, $C$4506:$C$5005, 0, 1), 0), 0), "00")</f>
        <v>07</v>
      </c>
      <c r="H4872" s="1" t="str">
        <f t="shared" si="457"/>
        <v>000</v>
      </c>
      <c r="I4872" s="1" t="str">
        <f t="shared" si="458"/>
        <v>36307-000</v>
      </c>
      <c r="J4872" s="1" t="str">
        <f t="shared" si="459"/>
        <v>Instructional material model #07</v>
      </c>
      <c r="K4872" s="1" t="str">
        <f>IF(SUM(COUNTIFS(I:I, I4872)) &gt; 1, "DUPLICATE", "UNIQUE")</f>
        <v>UNIQUE</v>
      </c>
      <c r="L4872" s="18">
        <v>31</v>
      </c>
      <c r="M4872" s="28">
        <v>8221</v>
      </c>
      <c r="N4872" s="6">
        <v>39</v>
      </c>
      <c r="O4872" s="30">
        <f t="shared" si="460"/>
        <v>254851</v>
      </c>
      <c r="P4872" s="30">
        <f t="shared" si="461"/>
        <v>320619</v>
      </c>
      <c r="Q4872" s="1">
        <f>COUNTIFS($P:$P, "&gt;" &amp; $P4872) + 1</f>
        <v>186</v>
      </c>
      <c r="R4872" s="63">
        <f>(COUNTIFS($P:$P, "&gt;" &amp; $P4872) + 1) / (COUNTA($I:$I) - 1)</f>
        <v>3.7199999999999997E-2</v>
      </c>
      <c r="S4872" s="23">
        <f>SUMIFS($P:$P, $Q:$Q, "&lt;" &amp; $Q4872)</f>
        <v>100551376</v>
      </c>
    </row>
    <row r="4873" spans="1:19" x14ac:dyDescent="0.25">
      <c r="A4873" s="1">
        <v>4868</v>
      </c>
      <c r="B4873" s="1" t="s">
        <v>4</v>
      </c>
      <c r="C4873" s="1" t="str">
        <f>IF($B4873 = "Production Item", _xlfn.XLOOKUP($A4873, 'Instrument Table'!$J:$J, 'Instrument Table'!$B:$B, $C4872), IF($B4873 = "Service Item", _xlfn.XLOOKUP($A4873, 'Instrument Table'!$I:$I, 'Instrument Table'!$B:$B, $C4872), _xlfn.XLOOKUP($A4873, 'Instrument Table'!$H:$H, 'Instrument Table'!$B:$B, $C4872)))</f>
        <v>Instructional Material</v>
      </c>
      <c r="D4873" s="1" t="str">
        <f>VLOOKUP($C4873, 'Instrument Table'!$B:$C, 2, FALSE)</f>
        <v>Other</v>
      </c>
      <c r="E4873" s="1">
        <f t="shared" si="456"/>
        <v>3</v>
      </c>
      <c r="F4873" s="1">
        <f>_xlfn.XLOOKUP($C4873, 'Instrument Table'!$B:$B, 'Instrument Table'!$A:$A, "")</f>
        <v>63</v>
      </c>
      <c r="G4873" s="1" t="str">
        <f>TEXT(IF($B4873 = "Retail Item", IF((ROW($A4873) - 4504 - _xlfn.XMATCH($C4873, $C$4506:$C$5005, 0, 1)) &lt;= VLOOKUP($C4873, 'Instrument Table'!$B:$D, 3, FALSE), ROW($A4873) - 4504 - _xlfn.XMATCH($C4873, $C$4506:$C$5005, 0, 1), 0), 0), "00")</f>
        <v>08</v>
      </c>
      <c r="H4873" s="1" t="str">
        <f t="shared" si="457"/>
        <v>000</v>
      </c>
      <c r="I4873" s="1" t="str">
        <f t="shared" si="458"/>
        <v>36308-000</v>
      </c>
      <c r="J4873" s="1" t="str">
        <f t="shared" si="459"/>
        <v>Instructional material model #08</v>
      </c>
      <c r="K4873" s="1" t="str">
        <f>IF(SUM(COUNTIFS(I:I, I4873)) &gt; 1, "DUPLICATE", "UNIQUE")</f>
        <v>UNIQUE</v>
      </c>
      <c r="L4873" s="18">
        <v>50</v>
      </c>
      <c r="M4873" s="28">
        <v>5524</v>
      </c>
      <c r="N4873" s="6">
        <v>44</v>
      </c>
      <c r="O4873" s="30">
        <f t="shared" si="460"/>
        <v>276200</v>
      </c>
      <c r="P4873" s="30">
        <f t="shared" si="461"/>
        <v>243056</v>
      </c>
      <c r="Q4873" s="1">
        <f>COUNTIFS($P:$P, "&gt;" &amp; $P4873) + 1</f>
        <v>251</v>
      </c>
      <c r="R4873" s="63">
        <f>(COUNTIFS($P:$P, "&gt;" &amp; $P4873) + 1) / (COUNTA($I:$I) - 1)</f>
        <v>5.0200000000000002E-2</v>
      </c>
      <c r="S4873" s="23">
        <f>SUMIFS($P:$P, $Q:$Q, "&lt;" &amp; $Q4873)</f>
        <v>118925381</v>
      </c>
    </row>
    <row r="4874" spans="1:19" x14ac:dyDescent="0.25">
      <c r="A4874" s="1">
        <v>4869</v>
      </c>
      <c r="B4874" s="1" t="s">
        <v>4</v>
      </c>
      <c r="C4874" s="1" t="str">
        <f>IF($B4874 = "Production Item", _xlfn.XLOOKUP($A4874, 'Instrument Table'!$J:$J, 'Instrument Table'!$B:$B, $C4873), IF($B4874 = "Service Item", _xlfn.XLOOKUP($A4874, 'Instrument Table'!$I:$I, 'Instrument Table'!$B:$B, $C4873), _xlfn.XLOOKUP($A4874, 'Instrument Table'!$H:$H, 'Instrument Table'!$B:$B, $C4873)))</f>
        <v>Instructional Material</v>
      </c>
      <c r="D4874" s="1" t="str">
        <f>VLOOKUP($C4874, 'Instrument Table'!$B:$C, 2, FALSE)</f>
        <v>Other</v>
      </c>
      <c r="E4874" s="1">
        <f t="shared" si="456"/>
        <v>3</v>
      </c>
      <c r="F4874" s="1">
        <f>_xlfn.XLOOKUP($C4874, 'Instrument Table'!$B:$B, 'Instrument Table'!$A:$A, "")</f>
        <v>63</v>
      </c>
      <c r="G4874" s="1" t="str">
        <f>TEXT(IF($B4874 = "Retail Item", IF((ROW($A4874) - 4504 - _xlfn.XMATCH($C4874, $C$4506:$C$5005, 0, 1)) &lt;= VLOOKUP($C4874, 'Instrument Table'!$B:$D, 3, FALSE), ROW($A4874) - 4504 - _xlfn.XMATCH($C4874, $C$4506:$C$5005, 0, 1), 0), 0), "00")</f>
        <v>09</v>
      </c>
      <c r="H4874" s="1" t="str">
        <f t="shared" si="457"/>
        <v>000</v>
      </c>
      <c r="I4874" s="1" t="str">
        <f t="shared" si="458"/>
        <v>36309-000</v>
      </c>
      <c r="J4874" s="1" t="str">
        <f t="shared" si="459"/>
        <v>Instructional material model #09</v>
      </c>
      <c r="K4874" s="1" t="str">
        <f>IF(SUM(COUNTIFS(I:I, I4874)) &gt; 1, "DUPLICATE", "UNIQUE")</f>
        <v>UNIQUE</v>
      </c>
      <c r="L4874" s="18">
        <v>61</v>
      </c>
      <c r="M4874" s="28">
        <v>1179</v>
      </c>
      <c r="N4874" s="6">
        <v>53</v>
      </c>
      <c r="O4874" s="30">
        <f t="shared" si="460"/>
        <v>71919</v>
      </c>
      <c r="P4874" s="30">
        <f t="shared" si="461"/>
        <v>62487</v>
      </c>
      <c r="Q4874" s="1">
        <f>COUNTIFS($P:$P, "&gt;" &amp; $P4874) + 1</f>
        <v>493</v>
      </c>
      <c r="R4874" s="63">
        <f>(COUNTIFS($P:$P, "&gt;" &amp; $P4874) + 1) / (COUNTA($I:$I) - 1)</f>
        <v>9.8599999999999993E-2</v>
      </c>
      <c r="S4874" s="23">
        <f>SUMIFS($P:$P, $Q:$Q, "&lt;" &amp; $Q4874)</f>
        <v>151035252</v>
      </c>
    </row>
    <row r="4875" spans="1:19" x14ac:dyDescent="0.25">
      <c r="A4875" s="1">
        <v>4870</v>
      </c>
      <c r="B4875" s="1" t="s">
        <v>4</v>
      </c>
      <c r="C4875" s="1" t="str">
        <f>IF($B4875 = "Production Item", _xlfn.XLOOKUP($A4875, 'Instrument Table'!$J:$J, 'Instrument Table'!$B:$B, $C4874), IF($B4875 = "Service Item", _xlfn.XLOOKUP($A4875, 'Instrument Table'!$I:$I, 'Instrument Table'!$B:$B, $C4874), _xlfn.XLOOKUP($A4875, 'Instrument Table'!$H:$H, 'Instrument Table'!$B:$B, $C4874)))</f>
        <v>Instructional Material</v>
      </c>
      <c r="D4875" s="1" t="str">
        <f>VLOOKUP($C4875, 'Instrument Table'!$B:$C, 2, FALSE)</f>
        <v>Other</v>
      </c>
      <c r="E4875" s="1">
        <f t="shared" si="456"/>
        <v>3</v>
      </c>
      <c r="F4875" s="1">
        <f>_xlfn.XLOOKUP($C4875, 'Instrument Table'!$B:$B, 'Instrument Table'!$A:$A, "")</f>
        <v>63</v>
      </c>
      <c r="G4875" s="1" t="str">
        <f>TEXT(IF($B4875 = "Retail Item", IF((ROW($A4875) - 4504 - _xlfn.XMATCH($C4875, $C$4506:$C$5005, 0, 1)) &lt;= VLOOKUP($C4875, 'Instrument Table'!$B:$D, 3, FALSE), ROW($A4875) - 4504 - _xlfn.XMATCH($C4875, $C$4506:$C$5005, 0, 1), 0), 0), "00")</f>
        <v>10</v>
      </c>
      <c r="H4875" s="1" t="str">
        <f t="shared" si="457"/>
        <v>000</v>
      </c>
      <c r="I4875" s="1" t="str">
        <f t="shared" si="458"/>
        <v>36310-000</v>
      </c>
      <c r="J4875" s="1" t="str">
        <f t="shared" si="459"/>
        <v>Instructional material model #10</v>
      </c>
      <c r="K4875" s="1" t="str">
        <f>IF(SUM(COUNTIFS(I:I, I4875)) &gt; 1, "DUPLICATE", "UNIQUE")</f>
        <v>UNIQUE</v>
      </c>
      <c r="L4875" s="18">
        <v>80</v>
      </c>
      <c r="M4875" s="28">
        <v>6181</v>
      </c>
      <c r="N4875" s="6">
        <v>70</v>
      </c>
      <c r="O4875" s="30">
        <f t="shared" si="460"/>
        <v>494480</v>
      </c>
      <c r="P4875" s="30">
        <f t="shared" si="461"/>
        <v>432670</v>
      </c>
      <c r="Q4875" s="1">
        <f>COUNTIFS($P:$P, "&gt;" &amp; $P4875) + 1</f>
        <v>128</v>
      </c>
      <c r="R4875" s="63">
        <f>(COUNTIFS($P:$P, "&gt;" &amp; $P4875) + 1) / (COUNTA($I:$I) - 1)</f>
        <v>2.5600000000000001E-2</v>
      </c>
      <c r="S4875" s="23">
        <f>SUMIFS($P:$P, $Q:$Q, "&lt;" &amp; $Q4875)</f>
        <v>79039969</v>
      </c>
    </row>
    <row r="4876" spans="1:19" x14ac:dyDescent="0.25">
      <c r="A4876" s="1">
        <v>4871</v>
      </c>
      <c r="B4876" s="1" t="s">
        <v>4</v>
      </c>
      <c r="C4876" s="1" t="str">
        <f>IF($B4876 = "Production Item", _xlfn.XLOOKUP($A4876, 'Instrument Table'!$J:$J, 'Instrument Table'!$B:$B, $C4875), IF($B4876 = "Service Item", _xlfn.XLOOKUP($A4876, 'Instrument Table'!$I:$I, 'Instrument Table'!$B:$B, $C4875), _xlfn.XLOOKUP($A4876, 'Instrument Table'!$H:$H, 'Instrument Table'!$B:$B, $C4875)))</f>
        <v>Instructional Material</v>
      </c>
      <c r="D4876" s="1" t="str">
        <f>VLOOKUP($C4876, 'Instrument Table'!$B:$C, 2, FALSE)</f>
        <v>Other</v>
      </c>
      <c r="E4876" s="1">
        <f t="shared" si="456"/>
        <v>3</v>
      </c>
      <c r="F4876" s="1">
        <f>_xlfn.XLOOKUP($C4876, 'Instrument Table'!$B:$B, 'Instrument Table'!$A:$A, "")</f>
        <v>63</v>
      </c>
      <c r="G4876" s="1" t="str">
        <f>TEXT(IF($B4876 = "Retail Item", IF((ROW($A4876) - 4504 - _xlfn.XMATCH($C4876, $C$4506:$C$5005, 0, 1)) &lt;= VLOOKUP($C4876, 'Instrument Table'!$B:$D, 3, FALSE), ROW($A4876) - 4504 - _xlfn.XMATCH($C4876, $C$4506:$C$5005, 0, 1), 0), 0), "00")</f>
        <v>11</v>
      </c>
      <c r="H4876" s="1" t="str">
        <f t="shared" si="457"/>
        <v>000</v>
      </c>
      <c r="I4876" s="1" t="str">
        <f t="shared" si="458"/>
        <v>36311-000</v>
      </c>
      <c r="J4876" s="1" t="str">
        <f t="shared" si="459"/>
        <v>Instructional material model #11</v>
      </c>
      <c r="K4876" s="1" t="str">
        <f>IF(SUM(COUNTIFS(I:I, I4876)) &gt; 1, "DUPLICATE", "UNIQUE")</f>
        <v>UNIQUE</v>
      </c>
      <c r="L4876" s="18">
        <v>5</v>
      </c>
      <c r="M4876" s="28">
        <v>1781</v>
      </c>
      <c r="N4876" s="6">
        <v>66</v>
      </c>
      <c r="O4876" s="30">
        <f t="shared" si="460"/>
        <v>8905</v>
      </c>
      <c r="P4876" s="30">
        <f t="shared" si="461"/>
        <v>117546</v>
      </c>
      <c r="Q4876" s="1">
        <f>COUNTIFS($P:$P, "&gt;" &amp; $P4876) + 1</f>
        <v>376</v>
      </c>
      <c r="R4876" s="63">
        <f>(COUNTIFS($P:$P, "&gt;" &amp; $P4876) + 1) / (COUNTA($I:$I) - 1)</f>
        <v>7.5200000000000003E-2</v>
      </c>
      <c r="S4876" s="23">
        <f>SUMIFS($P:$P, $Q:$Q, "&lt;" &amp; $Q4876)</f>
        <v>140739445</v>
      </c>
    </row>
    <row r="4877" spans="1:19" x14ac:dyDescent="0.25">
      <c r="A4877" s="1">
        <v>4872</v>
      </c>
      <c r="B4877" s="1" t="s">
        <v>4</v>
      </c>
      <c r="C4877" s="1" t="str">
        <f>IF($B4877 = "Production Item", _xlfn.XLOOKUP($A4877, 'Instrument Table'!$J:$J, 'Instrument Table'!$B:$B, $C4876), IF($B4877 = "Service Item", _xlfn.XLOOKUP($A4877, 'Instrument Table'!$I:$I, 'Instrument Table'!$B:$B, $C4876), _xlfn.XLOOKUP($A4877, 'Instrument Table'!$H:$H, 'Instrument Table'!$B:$B, $C4876)))</f>
        <v>Instructional Material</v>
      </c>
      <c r="D4877" s="1" t="str">
        <f>VLOOKUP($C4877, 'Instrument Table'!$B:$C, 2, FALSE)</f>
        <v>Other</v>
      </c>
      <c r="E4877" s="1">
        <f t="shared" si="456"/>
        <v>3</v>
      </c>
      <c r="F4877" s="1">
        <f>_xlfn.XLOOKUP($C4877, 'Instrument Table'!$B:$B, 'Instrument Table'!$A:$A, "")</f>
        <v>63</v>
      </c>
      <c r="G4877" s="1" t="str">
        <f>TEXT(IF($B4877 = "Retail Item", IF((ROW($A4877) - 4504 - _xlfn.XMATCH($C4877, $C$4506:$C$5005, 0, 1)) &lt;= VLOOKUP($C4877, 'Instrument Table'!$B:$D, 3, FALSE), ROW($A4877) - 4504 - _xlfn.XMATCH($C4877, $C$4506:$C$5005, 0, 1), 0), 0), "00")</f>
        <v>12</v>
      </c>
      <c r="H4877" s="1" t="str">
        <f t="shared" si="457"/>
        <v>000</v>
      </c>
      <c r="I4877" s="1" t="str">
        <f t="shared" si="458"/>
        <v>36312-000</v>
      </c>
      <c r="J4877" s="1" t="str">
        <f t="shared" si="459"/>
        <v>Instructional material model #12</v>
      </c>
      <c r="K4877" s="1" t="str">
        <f>IF(SUM(COUNTIFS(I:I, I4877)) &gt; 1, "DUPLICATE", "UNIQUE")</f>
        <v>UNIQUE</v>
      </c>
      <c r="L4877" s="18">
        <v>87</v>
      </c>
      <c r="M4877" s="28">
        <v>7293</v>
      </c>
      <c r="N4877" s="6">
        <v>50</v>
      </c>
      <c r="O4877" s="30">
        <f t="shared" si="460"/>
        <v>634491</v>
      </c>
      <c r="P4877" s="30">
        <f t="shared" si="461"/>
        <v>364650</v>
      </c>
      <c r="Q4877" s="1">
        <f>COUNTIFS($P:$P, "&gt;" &amp; $P4877) + 1</f>
        <v>160</v>
      </c>
      <c r="R4877" s="63">
        <f>(COUNTIFS($P:$P, "&gt;" &amp; $P4877) + 1) / (COUNTA($I:$I) - 1)</f>
        <v>3.2000000000000001E-2</v>
      </c>
      <c r="S4877" s="23">
        <f>SUMIFS($P:$P, $Q:$Q, "&lt;" &amp; $Q4877)</f>
        <v>91694875</v>
      </c>
    </row>
    <row r="4878" spans="1:19" x14ac:dyDescent="0.25">
      <c r="A4878" s="1">
        <v>4873</v>
      </c>
      <c r="B4878" s="1" t="s">
        <v>4</v>
      </c>
      <c r="C4878" s="1" t="str">
        <f>IF($B4878 = "Production Item", _xlfn.XLOOKUP($A4878, 'Instrument Table'!$J:$J, 'Instrument Table'!$B:$B, $C4877), IF($B4878 = "Service Item", _xlfn.XLOOKUP($A4878, 'Instrument Table'!$I:$I, 'Instrument Table'!$B:$B, $C4877), _xlfn.XLOOKUP($A4878, 'Instrument Table'!$H:$H, 'Instrument Table'!$B:$B, $C4877)))</f>
        <v>Instructional Material</v>
      </c>
      <c r="D4878" s="1" t="str">
        <f>VLOOKUP($C4878, 'Instrument Table'!$B:$C, 2, FALSE)</f>
        <v>Other</v>
      </c>
      <c r="E4878" s="1">
        <f t="shared" si="456"/>
        <v>3</v>
      </c>
      <c r="F4878" s="1">
        <f>_xlfn.XLOOKUP($C4878, 'Instrument Table'!$B:$B, 'Instrument Table'!$A:$A, "")</f>
        <v>63</v>
      </c>
      <c r="G4878" s="1" t="str">
        <f>TEXT(IF($B4878 = "Retail Item", IF((ROW($A4878) - 4504 - _xlfn.XMATCH($C4878, $C$4506:$C$5005, 0, 1)) &lt;= VLOOKUP($C4878, 'Instrument Table'!$B:$D, 3, FALSE), ROW($A4878) - 4504 - _xlfn.XMATCH($C4878, $C$4506:$C$5005, 0, 1), 0), 0), "00")</f>
        <v>13</v>
      </c>
      <c r="H4878" s="1" t="str">
        <f t="shared" si="457"/>
        <v>000</v>
      </c>
      <c r="I4878" s="1" t="str">
        <f t="shared" si="458"/>
        <v>36313-000</v>
      </c>
      <c r="J4878" s="1" t="str">
        <f t="shared" si="459"/>
        <v>Instructional material model #13</v>
      </c>
      <c r="K4878" s="1" t="str">
        <f>IF(SUM(COUNTIFS(I:I, I4878)) &gt; 1, "DUPLICATE", "UNIQUE")</f>
        <v>UNIQUE</v>
      </c>
      <c r="L4878" s="18">
        <v>72</v>
      </c>
      <c r="M4878" s="28">
        <v>7172</v>
      </c>
      <c r="N4878" s="6">
        <v>57</v>
      </c>
      <c r="O4878" s="30">
        <f t="shared" si="460"/>
        <v>516384</v>
      </c>
      <c r="P4878" s="30">
        <f t="shared" si="461"/>
        <v>408804</v>
      </c>
      <c r="Q4878" s="1">
        <f>COUNTIFS($P:$P, "&gt;" &amp; $P4878) + 1</f>
        <v>139</v>
      </c>
      <c r="R4878" s="63">
        <f>(COUNTIFS($P:$P, "&gt;" &amp; $P4878) + 1) / (COUNTA($I:$I) - 1)</f>
        <v>2.7799999999999998E-2</v>
      </c>
      <c r="S4878" s="23">
        <f>SUMIFS($P:$P, $Q:$Q, "&lt;" &amp; $Q4878)</f>
        <v>83641780</v>
      </c>
    </row>
    <row r="4879" spans="1:19" x14ac:dyDescent="0.25">
      <c r="A4879" s="1">
        <v>4874</v>
      </c>
      <c r="B4879" s="1" t="s">
        <v>4</v>
      </c>
      <c r="C4879" s="1" t="str">
        <f>IF($B4879 = "Production Item", _xlfn.XLOOKUP($A4879, 'Instrument Table'!$J:$J, 'Instrument Table'!$B:$B, $C4878), IF($B4879 = "Service Item", _xlfn.XLOOKUP($A4879, 'Instrument Table'!$I:$I, 'Instrument Table'!$B:$B, $C4878), _xlfn.XLOOKUP($A4879, 'Instrument Table'!$H:$H, 'Instrument Table'!$B:$B, $C4878)))</f>
        <v>Instructional Material</v>
      </c>
      <c r="D4879" s="1" t="str">
        <f>VLOOKUP($C4879, 'Instrument Table'!$B:$C, 2, FALSE)</f>
        <v>Other</v>
      </c>
      <c r="E4879" s="1">
        <f t="shared" si="456"/>
        <v>3</v>
      </c>
      <c r="F4879" s="1">
        <f>_xlfn.XLOOKUP($C4879, 'Instrument Table'!$B:$B, 'Instrument Table'!$A:$A, "")</f>
        <v>63</v>
      </c>
      <c r="G4879" s="1" t="str">
        <f>TEXT(IF($B4879 = "Retail Item", IF((ROW($A4879) - 4504 - _xlfn.XMATCH($C4879, $C$4506:$C$5005, 0, 1)) &lt;= VLOOKUP($C4879, 'Instrument Table'!$B:$D, 3, FALSE), ROW($A4879) - 4504 - _xlfn.XMATCH($C4879, $C$4506:$C$5005, 0, 1), 0), 0), "00")</f>
        <v>14</v>
      </c>
      <c r="H4879" s="1" t="str">
        <f t="shared" si="457"/>
        <v>000</v>
      </c>
      <c r="I4879" s="1" t="str">
        <f t="shared" si="458"/>
        <v>36314-000</v>
      </c>
      <c r="J4879" s="1" t="str">
        <f t="shared" si="459"/>
        <v>Instructional material model #14</v>
      </c>
      <c r="K4879" s="1" t="str">
        <f>IF(SUM(COUNTIFS(I:I, I4879)) &gt; 1, "DUPLICATE", "UNIQUE")</f>
        <v>UNIQUE</v>
      </c>
      <c r="L4879" s="18">
        <v>66</v>
      </c>
      <c r="M4879" s="28">
        <v>8359</v>
      </c>
      <c r="N4879" s="6">
        <v>38</v>
      </c>
      <c r="O4879" s="30">
        <f t="shared" si="460"/>
        <v>551694</v>
      </c>
      <c r="P4879" s="30">
        <f t="shared" si="461"/>
        <v>317642</v>
      </c>
      <c r="Q4879" s="1">
        <f>COUNTIFS($P:$P, "&gt;" &amp; $P4879) + 1</f>
        <v>190</v>
      </c>
      <c r="R4879" s="63">
        <f>(COUNTIFS($P:$P, "&gt;" &amp; $P4879) + 1) / (COUNTA($I:$I) - 1)</f>
        <v>3.7999999999999999E-2</v>
      </c>
      <c r="S4879" s="23">
        <f>SUMIFS($P:$P, $Q:$Q, "&lt;" &amp; $Q4879)</f>
        <v>101827985</v>
      </c>
    </row>
    <row r="4880" spans="1:19" x14ac:dyDescent="0.25">
      <c r="A4880" s="1">
        <v>4875</v>
      </c>
      <c r="B4880" s="1" t="s">
        <v>4</v>
      </c>
      <c r="C4880" s="1" t="str">
        <f>IF($B4880 = "Production Item", _xlfn.XLOOKUP($A4880, 'Instrument Table'!$J:$J, 'Instrument Table'!$B:$B, $C4879), IF($B4880 = "Service Item", _xlfn.XLOOKUP($A4880, 'Instrument Table'!$I:$I, 'Instrument Table'!$B:$B, $C4879), _xlfn.XLOOKUP($A4880, 'Instrument Table'!$H:$H, 'Instrument Table'!$B:$B, $C4879)))</f>
        <v>Instructional Material</v>
      </c>
      <c r="D4880" s="1" t="str">
        <f>VLOOKUP($C4880, 'Instrument Table'!$B:$C, 2, FALSE)</f>
        <v>Other</v>
      </c>
      <c r="E4880" s="1">
        <f t="shared" si="456"/>
        <v>3</v>
      </c>
      <c r="F4880" s="1">
        <f>_xlfn.XLOOKUP($C4880, 'Instrument Table'!$B:$B, 'Instrument Table'!$A:$A, "")</f>
        <v>63</v>
      </c>
      <c r="G4880" s="1" t="str">
        <f>TEXT(IF($B4880 = "Retail Item", IF((ROW($A4880) - 4504 - _xlfn.XMATCH($C4880, $C$4506:$C$5005, 0, 1)) &lt;= VLOOKUP($C4880, 'Instrument Table'!$B:$D, 3, FALSE), ROW($A4880) - 4504 - _xlfn.XMATCH($C4880, $C$4506:$C$5005, 0, 1), 0), 0), "00")</f>
        <v>15</v>
      </c>
      <c r="H4880" s="1" t="str">
        <f t="shared" si="457"/>
        <v>000</v>
      </c>
      <c r="I4880" s="1" t="str">
        <f t="shared" si="458"/>
        <v>36315-000</v>
      </c>
      <c r="J4880" s="1" t="str">
        <f t="shared" si="459"/>
        <v>Instructional material model #15</v>
      </c>
      <c r="K4880" s="1" t="str">
        <f>IF(SUM(COUNTIFS(I:I, I4880)) &gt; 1, "DUPLICATE", "UNIQUE")</f>
        <v>UNIQUE</v>
      </c>
      <c r="L4880" s="18">
        <v>38</v>
      </c>
      <c r="M4880" s="28">
        <v>1429</v>
      </c>
      <c r="N4880" s="6">
        <v>24</v>
      </c>
      <c r="O4880" s="30">
        <f t="shared" si="460"/>
        <v>54302</v>
      </c>
      <c r="P4880" s="30">
        <f t="shared" si="461"/>
        <v>34296</v>
      </c>
      <c r="Q4880" s="1">
        <f>COUNTIFS($P:$P, "&gt;" &amp; $P4880) + 1</f>
        <v>614</v>
      </c>
      <c r="R4880" s="63">
        <f>(COUNTIFS($P:$P, "&gt;" &amp; $P4880) + 1) / (COUNTA($I:$I) - 1)</f>
        <v>0.12280000000000001</v>
      </c>
      <c r="S4880" s="23">
        <f>SUMIFS($P:$P, $Q:$Q, "&lt;" &amp; $Q4880)</f>
        <v>156357344</v>
      </c>
    </row>
    <row r="4881" spans="1:19" x14ac:dyDescent="0.25">
      <c r="A4881" s="1">
        <v>4876</v>
      </c>
      <c r="B4881" s="1" t="s">
        <v>4</v>
      </c>
      <c r="C4881" s="1" t="str">
        <f>IF($B4881 = "Production Item", _xlfn.XLOOKUP($A4881, 'Instrument Table'!$J:$J, 'Instrument Table'!$B:$B, $C4880), IF($B4881 = "Service Item", _xlfn.XLOOKUP($A4881, 'Instrument Table'!$I:$I, 'Instrument Table'!$B:$B, $C4880), _xlfn.XLOOKUP($A4881, 'Instrument Table'!$H:$H, 'Instrument Table'!$B:$B, $C4880)))</f>
        <v>Instructional Material</v>
      </c>
      <c r="D4881" s="1" t="str">
        <f>VLOOKUP($C4881, 'Instrument Table'!$B:$C, 2, FALSE)</f>
        <v>Other</v>
      </c>
      <c r="E4881" s="1">
        <f t="shared" si="456"/>
        <v>3</v>
      </c>
      <c r="F4881" s="1">
        <f>_xlfn.XLOOKUP($C4881, 'Instrument Table'!$B:$B, 'Instrument Table'!$A:$A, "")</f>
        <v>63</v>
      </c>
      <c r="G4881" s="1" t="str">
        <f>TEXT(IF($B4881 = "Retail Item", IF((ROW($A4881) - 4504 - _xlfn.XMATCH($C4881, $C$4506:$C$5005, 0, 1)) &lt;= VLOOKUP($C4881, 'Instrument Table'!$B:$D, 3, FALSE), ROW($A4881) - 4504 - _xlfn.XMATCH($C4881, $C$4506:$C$5005, 0, 1), 0), 0), "00")</f>
        <v>16</v>
      </c>
      <c r="H4881" s="1" t="str">
        <f t="shared" si="457"/>
        <v>000</v>
      </c>
      <c r="I4881" s="1" t="str">
        <f t="shared" si="458"/>
        <v>36316-000</v>
      </c>
      <c r="J4881" s="1" t="str">
        <f t="shared" si="459"/>
        <v>Instructional material model #16</v>
      </c>
      <c r="K4881" s="1" t="str">
        <f>IF(SUM(COUNTIFS(I:I, I4881)) &gt; 1, "DUPLICATE", "UNIQUE")</f>
        <v>UNIQUE</v>
      </c>
      <c r="L4881" s="18">
        <v>86</v>
      </c>
      <c r="M4881" s="28">
        <v>5870</v>
      </c>
      <c r="N4881" s="6">
        <v>34</v>
      </c>
      <c r="O4881" s="30">
        <f t="shared" si="460"/>
        <v>504820</v>
      </c>
      <c r="P4881" s="30">
        <f t="shared" si="461"/>
        <v>199580</v>
      </c>
      <c r="Q4881" s="1">
        <f>COUNTIFS($P:$P, "&gt;" &amp; $P4881) + 1</f>
        <v>289</v>
      </c>
      <c r="R4881" s="63">
        <f>(COUNTIFS($P:$P, "&gt;" &amp; $P4881) + 1) / (COUNTA($I:$I) - 1)</f>
        <v>5.7799999999999997E-2</v>
      </c>
      <c r="S4881" s="23">
        <f>SUMIFS($P:$P, $Q:$Q, "&lt;" &amp; $Q4881)</f>
        <v>127418491</v>
      </c>
    </row>
    <row r="4882" spans="1:19" x14ac:dyDescent="0.25">
      <c r="A4882" s="1">
        <v>4877</v>
      </c>
      <c r="B4882" s="1" t="s">
        <v>4</v>
      </c>
      <c r="C4882" s="1" t="str">
        <f>IF($B4882 = "Production Item", _xlfn.XLOOKUP($A4882, 'Instrument Table'!$J:$J, 'Instrument Table'!$B:$B, $C4881), IF($B4882 = "Service Item", _xlfn.XLOOKUP($A4882, 'Instrument Table'!$I:$I, 'Instrument Table'!$B:$B, $C4881), _xlfn.XLOOKUP($A4882, 'Instrument Table'!$H:$H, 'Instrument Table'!$B:$B, $C4881)))</f>
        <v>Instructional Material</v>
      </c>
      <c r="D4882" s="1" t="str">
        <f>VLOOKUP($C4882, 'Instrument Table'!$B:$C, 2, FALSE)</f>
        <v>Other</v>
      </c>
      <c r="E4882" s="1">
        <f t="shared" si="456"/>
        <v>3</v>
      </c>
      <c r="F4882" s="1">
        <f>_xlfn.XLOOKUP($C4882, 'Instrument Table'!$B:$B, 'Instrument Table'!$A:$A, "")</f>
        <v>63</v>
      </c>
      <c r="G4882" s="1" t="str">
        <f>TEXT(IF($B4882 = "Retail Item", IF((ROW($A4882) - 4504 - _xlfn.XMATCH($C4882, $C$4506:$C$5005, 0, 1)) &lt;= VLOOKUP($C4882, 'Instrument Table'!$B:$D, 3, FALSE), ROW($A4882) - 4504 - _xlfn.XMATCH($C4882, $C$4506:$C$5005, 0, 1), 0), 0), "00")</f>
        <v>17</v>
      </c>
      <c r="H4882" s="1" t="str">
        <f t="shared" si="457"/>
        <v>000</v>
      </c>
      <c r="I4882" s="1" t="str">
        <f t="shared" si="458"/>
        <v>36317-000</v>
      </c>
      <c r="J4882" s="1" t="str">
        <f t="shared" si="459"/>
        <v>Instructional material model #17</v>
      </c>
      <c r="K4882" s="1" t="str">
        <f>IF(SUM(COUNTIFS(I:I, I4882)) &gt; 1, "DUPLICATE", "UNIQUE")</f>
        <v>UNIQUE</v>
      </c>
      <c r="L4882" s="18">
        <v>3</v>
      </c>
      <c r="M4882" s="28">
        <v>4167</v>
      </c>
      <c r="N4882" s="6">
        <v>48</v>
      </c>
      <c r="O4882" s="30">
        <f t="shared" si="460"/>
        <v>12501</v>
      </c>
      <c r="P4882" s="30">
        <f t="shared" si="461"/>
        <v>200016</v>
      </c>
      <c r="Q4882" s="1">
        <f>COUNTIFS($P:$P, "&gt;" &amp; $P4882) + 1</f>
        <v>288</v>
      </c>
      <c r="R4882" s="63">
        <f>(COUNTIFS($P:$P, "&gt;" &amp; $P4882) + 1) / (COUNTA($I:$I) - 1)</f>
        <v>5.7599999999999998E-2</v>
      </c>
      <c r="S4882" s="23">
        <f>SUMIFS($P:$P, $Q:$Q, "&lt;" &amp; $Q4882)</f>
        <v>127218475</v>
      </c>
    </row>
    <row r="4883" spans="1:19" x14ac:dyDescent="0.25">
      <c r="A4883" s="1">
        <v>4878</v>
      </c>
      <c r="B4883" s="1" t="s">
        <v>4</v>
      </c>
      <c r="C4883" s="1" t="str">
        <f>IF($B4883 = "Production Item", _xlfn.XLOOKUP($A4883, 'Instrument Table'!$J:$J, 'Instrument Table'!$B:$B, $C4882), IF($B4883 = "Service Item", _xlfn.XLOOKUP($A4883, 'Instrument Table'!$I:$I, 'Instrument Table'!$B:$B, $C4882), _xlfn.XLOOKUP($A4883, 'Instrument Table'!$H:$H, 'Instrument Table'!$B:$B, $C4882)))</f>
        <v>Instructional Material</v>
      </c>
      <c r="D4883" s="1" t="str">
        <f>VLOOKUP($C4883, 'Instrument Table'!$B:$C, 2, FALSE)</f>
        <v>Other</v>
      </c>
      <c r="E4883" s="1">
        <f t="shared" si="456"/>
        <v>3</v>
      </c>
      <c r="F4883" s="1">
        <f>_xlfn.XLOOKUP($C4883, 'Instrument Table'!$B:$B, 'Instrument Table'!$A:$A, "")</f>
        <v>63</v>
      </c>
      <c r="G4883" s="1" t="str">
        <f>TEXT(IF($B4883 = "Retail Item", IF((ROW($A4883) - 4504 - _xlfn.XMATCH($C4883, $C$4506:$C$5005, 0, 1)) &lt;= VLOOKUP($C4883, 'Instrument Table'!$B:$D, 3, FALSE), ROW($A4883) - 4504 - _xlfn.XMATCH($C4883, $C$4506:$C$5005, 0, 1), 0), 0), "00")</f>
        <v>18</v>
      </c>
      <c r="H4883" s="1" t="str">
        <f t="shared" si="457"/>
        <v>000</v>
      </c>
      <c r="I4883" s="1" t="str">
        <f t="shared" si="458"/>
        <v>36318-000</v>
      </c>
      <c r="J4883" s="1" t="str">
        <f t="shared" si="459"/>
        <v>Instructional material model #18</v>
      </c>
      <c r="K4883" s="1" t="str">
        <f>IF(SUM(COUNTIFS(I:I, I4883)) &gt; 1, "DUPLICATE", "UNIQUE")</f>
        <v>UNIQUE</v>
      </c>
      <c r="L4883" s="18">
        <v>40</v>
      </c>
      <c r="M4883" s="28">
        <v>2852</v>
      </c>
      <c r="N4883" s="6">
        <v>99</v>
      </c>
      <c r="O4883" s="30">
        <f t="shared" si="460"/>
        <v>114080</v>
      </c>
      <c r="P4883" s="30">
        <f t="shared" si="461"/>
        <v>282348</v>
      </c>
      <c r="Q4883" s="1">
        <f>COUNTIFS($P:$P, "&gt;" &amp; $P4883) + 1</f>
        <v>218</v>
      </c>
      <c r="R4883" s="63">
        <f>(COUNTIFS($P:$P, "&gt;" &amp; $P4883) + 1) / (COUNTA($I:$I) - 1)</f>
        <v>4.36E-2</v>
      </c>
      <c r="S4883" s="23">
        <f>SUMIFS($P:$P, $Q:$Q, "&lt;" &amp; $Q4883)</f>
        <v>110249947</v>
      </c>
    </row>
    <row r="4884" spans="1:19" x14ac:dyDescent="0.25">
      <c r="A4884" s="1">
        <v>4879</v>
      </c>
      <c r="B4884" s="1" t="s">
        <v>4</v>
      </c>
      <c r="C4884" s="1" t="str">
        <f>IF($B4884 = "Production Item", _xlfn.XLOOKUP($A4884, 'Instrument Table'!$J:$J, 'Instrument Table'!$B:$B, $C4883), IF($B4884 = "Service Item", _xlfn.XLOOKUP($A4884, 'Instrument Table'!$I:$I, 'Instrument Table'!$B:$B, $C4883), _xlfn.XLOOKUP($A4884, 'Instrument Table'!$H:$H, 'Instrument Table'!$B:$B, $C4883)))</f>
        <v>Instructional Material</v>
      </c>
      <c r="D4884" s="1" t="str">
        <f>VLOOKUP($C4884, 'Instrument Table'!$B:$C, 2, FALSE)</f>
        <v>Other</v>
      </c>
      <c r="E4884" s="1">
        <f t="shared" si="456"/>
        <v>3</v>
      </c>
      <c r="F4884" s="1">
        <f>_xlfn.XLOOKUP($C4884, 'Instrument Table'!$B:$B, 'Instrument Table'!$A:$A, "")</f>
        <v>63</v>
      </c>
      <c r="G4884" s="1" t="str">
        <f>TEXT(IF($B4884 = "Retail Item", IF((ROW($A4884) - 4504 - _xlfn.XMATCH($C4884, $C$4506:$C$5005, 0, 1)) &lt;= VLOOKUP($C4884, 'Instrument Table'!$B:$D, 3, FALSE), ROW($A4884) - 4504 - _xlfn.XMATCH($C4884, $C$4506:$C$5005, 0, 1), 0), 0), "00")</f>
        <v>19</v>
      </c>
      <c r="H4884" s="1" t="str">
        <f t="shared" si="457"/>
        <v>000</v>
      </c>
      <c r="I4884" s="1" t="str">
        <f t="shared" si="458"/>
        <v>36319-000</v>
      </c>
      <c r="J4884" s="1" t="str">
        <f t="shared" si="459"/>
        <v>Instructional material model #19</v>
      </c>
      <c r="K4884" s="1" t="str">
        <f>IF(SUM(COUNTIFS(I:I, I4884)) &gt; 1, "DUPLICATE", "UNIQUE")</f>
        <v>UNIQUE</v>
      </c>
      <c r="L4884" s="18">
        <v>33</v>
      </c>
      <c r="M4884" s="28">
        <v>8886</v>
      </c>
      <c r="N4884" s="6">
        <v>27</v>
      </c>
      <c r="O4884" s="30">
        <f t="shared" si="460"/>
        <v>293238</v>
      </c>
      <c r="P4884" s="30">
        <f t="shared" si="461"/>
        <v>239922</v>
      </c>
      <c r="Q4884" s="1">
        <f>COUNTIFS($P:$P, "&gt;" &amp; $P4884) + 1</f>
        <v>255</v>
      </c>
      <c r="R4884" s="63">
        <f>(COUNTIFS($P:$P, "&gt;" &amp; $P4884) + 1) / (COUNTA($I:$I) - 1)</f>
        <v>5.0999999999999997E-2</v>
      </c>
      <c r="S4884" s="23">
        <f>SUMIFS($P:$P, $Q:$Q, "&lt;" &amp; $Q4884)</f>
        <v>119891463</v>
      </c>
    </row>
    <row r="4885" spans="1:19" x14ac:dyDescent="0.25">
      <c r="A4885" s="1">
        <v>4880</v>
      </c>
      <c r="B4885" s="1" t="s">
        <v>4</v>
      </c>
      <c r="C4885" s="1" t="str">
        <f>IF($B4885 = "Production Item", _xlfn.XLOOKUP($A4885, 'Instrument Table'!$J:$J, 'Instrument Table'!$B:$B, $C4884), IF($B4885 = "Service Item", _xlfn.XLOOKUP($A4885, 'Instrument Table'!$I:$I, 'Instrument Table'!$B:$B, $C4884), _xlfn.XLOOKUP($A4885, 'Instrument Table'!$H:$H, 'Instrument Table'!$B:$B, $C4884)))</f>
        <v>Instructional Material</v>
      </c>
      <c r="D4885" s="1" t="str">
        <f>VLOOKUP($C4885, 'Instrument Table'!$B:$C, 2, FALSE)</f>
        <v>Other</v>
      </c>
      <c r="E4885" s="1">
        <f t="shared" si="456"/>
        <v>3</v>
      </c>
      <c r="F4885" s="1">
        <f>_xlfn.XLOOKUP($C4885, 'Instrument Table'!$B:$B, 'Instrument Table'!$A:$A, "")</f>
        <v>63</v>
      </c>
      <c r="G4885" s="1" t="str">
        <f>TEXT(IF($B4885 = "Retail Item", IF((ROW($A4885) - 4504 - _xlfn.XMATCH($C4885, $C$4506:$C$5005, 0, 1)) &lt;= VLOOKUP($C4885, 'Instrument Table'!$B:$D, 3, FALSE), ROW($A4885) - 4504 - _xlfn.XMATCH($C4885, $C$4506:$C$5005, 0, 1), 0), 0), "00")</f>
        <v>20</v>
      </c>
      <c r="H4885" s="1" t="str">
        <f t="shared" si="457"/>
        <v>000</v>
      </c>
      <c r="I4885" s="1" t="str">
        <f t="shared" si="458"/>
        <v>36320-000</v>
      </c>
      <c r="J4885" s="1" t="str">
        <f t="shared" si="459"/>
        <v>Instructional material model #20</v>
      </c>
      <c r="K4885" s="1" t="str">
        <f>IF(SUM(COUNTIFS(I:I, I4885)) &gt; 1, "DUPLICATE", "UNIQUE")</f>
        <v>UNIQUE</v>
      </c>
      <c r="L4885" s="18">
        <v>64</v>
      </c>
      <c r="M4885" s="28">
        <v>4484</v>
      </c>
      <c r="N4885" s="6">
        <v>62</v>
      </c>
      <c r="O4885" s="30">
        <f t="shared" si="460"/>
        <v>286976</v>
      </c>
      <c r="P4885" s="30">
        <f t="shared" si="461"/>
        <v>278008</v>
      </c>
      <c r="Q4885" s="1">
        <f>COUNTIFS($P:$P, "&gt;" &amp; $P4885) + 1</f>
        <v>220</v>
      </c>
      <c r="R4885" s="63">
        <f>(COUNTIFS($P:$P, "&gt;" &amp; $P4885) + 1) / (COUNTA($I:$I) - 1)</f>
        <v>4.3999999999999997E-2</v>
      </c>
      <c r="S4885" s="23">
        <f>SUMIFS($P:$P, $Q:$Q, "&lt;" &amp; $Q4885)</f>
        <v>110810677</v>
      </c>
    </row>
    <row r="4886" spans="1:19" x14ac:dyDescent="0.25">
      <c r="A4886" s="1">
        <v>4881</v>
      </c>
      <c r="B4886" s="1" t="s">
        <v>4</v>
      </c>
      <c r="C4886" s="1" t="str">
        <f>IF($B4886 = "Production Item", _xlfn.XLOOKUP($A4886, 'Instrument Table'!$J:$J, 'Instrument Table'!$B:$B, $C4885), IF($B4886 = "Service Item", _xlfn.XLOOKUP($A4886, 'Instrument Table'!$I:$I, 'Instrument Table'!$B:$B, $C4885), _xlfn.XLOOKUP($A4886, 'Instrument Table'!$H:$H, 'Instrument Table'!$B:$B, $C4885)))</f>
        <v>Instructional Material</v>
      </c>
      <c r="D4886" s="1" t="str">
        <f>VLOOKUP($C4886, 'Instrument Table'!$B:$C, 2, FALSE)</f>
        <v>Other</v>
      </c>
      <c r="E4886" s="1">
        <f t="shared" si="456"/>
        <v>3</v>
      </c>
      <c r="F4886" s="1">
        <f>_xlfn.XLOOKUP($C4886, 'Instrument Table'!$B:$B, 'Instrument Table'!$A:$A, "")</f>
        <v>63</v>
      </c>
      <c r="G4886" s="1" t="str">
        <f>TEXT(IF($B4886 = "Retail Item", IF((ROW($A4886) - 4504 - _xlfn.XMATCH($C4886, $C$4506:$C$5005, 0, 1)) &lt;= VLOOKUP($C4886, 'Instrument Table'!$B:$D, 3, FALSE), ROW($A4886) - 4504 - _xlfn.XMATCH($C4886, $C$4506:$C$5005, 0, 1), 0), 0), "00")</f>
        <v>21</v>
      </c>
      <c r="H4886" s="1" t="str">
        <f t="shared" si="457"/>
        <v>000</v>
      </c>
      <c r="I4886" s="1" t="str">
        <f t="shared" si="458"/>
        <v>36321-000</v>
      </c>
      <c r="J4886" s="1" t="str">
        <f t="shared" si="459"/>
        <v>Instructional material model #21</v>
      </c>
      <c r="K4886" s="1" t="str">
        <f>IF(SUM(COUNTIFS(I:I, I4886)) &gt; 1, "DUPLICATE", "UNIQUE")</f>
        <v>UNIQUE</v>
      </c>
      <c r="L4886" s="18">
        <v>23</v>
      </c>
      <c r="M4886" s="28">
        <v>2934</v>
      </c>
      <c r="N4886" s="6">
        <v>87</v>
      </c>
      <c r="O4886" s="30">
        <f t="shared" si="460"/>
        <v>67482</v>
      </c>
      <c r="P4886" s="30">
        <f t="shared" si="461"/>
        <v>255258</v>
      </c>
      <c r="Q4886" s="1">
        <f>COUNTIFS($P:$P, "&gt;" &amp; $P4886) + 1</f>
        <v>242</v>
      </c>
      <c r="R4886" s="63">
        <f>(COUNTIFS($P:$P, "&gt;" &amp; $P4886) + 1) / (COUNTA($I:$I) - 1)</f>
        <v>4.8399999999999999E-2</v>
      </c>
      <c r="S4886" s="23">
        <f>SUMIFS($P:$P, $Q:$Q, "&lt;" &amp; $Q4886)</f>
        <v>116676778</v>
      </c>
    </row>
    <row r="4887" spans="1:19" x14ac:dyDescent="0.25">
      <c r="A4887" s="1">
        <v>4882</v>
      </c>
      <c r="B4887" s="1" t="s">
        <v>4</v>
      </c>
      <c r="C4887" s="1" t="str">
        <f>IF($B4887 = "Production Item", _xlfn.XLOOKUP($A4887, 'Instrument Table'!$J:$J, 'Instrument Table'!$B:$B, $C4886), IF($B4887 = "Service Item", _xlfn.XLOOKUP($A4887, 'Instrument Table'!$I:$I, 'Instrument Table'!$B:$B, $C4886), _xlfn.XLOOKUP($A4887, 'Instrument Table'!$H:$H, 'Instrument Table'!$B:$B, $C4886)))</f>
        <v>Instructional Material</v>
      </c>
      <c r="D4887" s="1" t="str">
        <f>VLOOKUP($C4887, 'Instrument Table'!$B:$C, 2, FALSE)</f>
        <v>Other</v>
      </c>
      <c r="E4887" s="1">
        <f t="shared" si="456"/>
        <v>3</v>
      </c>
      <c r="F4887" s="1">
        <f>_xlfn.XLOOKUP($C4887, 'Instrument Table'!$B:$B, 'Instrument Table'!$A:$A, "")</f>
        <v>63</v>
      </c>
      <c r="G4887" s="1" t="str">
        <f>TEXT(IF($B4887 = "Retail Item", IF((ROW($A4887) - 4504 - _xlfn.XMATCH($C4887, $C$4506:$C$5005, 0, 1)) &lt;= VLOOKUP($C4887, 'Instrument Table'!$B:$D, 3, FALSE), ROW($A4887) - 4504 - _xlfn.XMATCH($C4887, $C$4506:$C$5005, 0, 1), 0), 0), "00")</f>
        <v>22</v>
      </c>
      <c r="H4887" s="1" t="str">
        <f t="shared" si="457"/>
        <v>000</v>
      </c>
      <c r="I4887" s="1" t="str">
        <f t="shared" si="458"/>
        <v>36322-000</v>
      </c>
      <c r="J4887" s="1" t="str">
        <f t="shared" si="459"/>
        <v>Instructional material model #22</v>
      </c>
      <c r="K4887" s="1" t="str">
        <f>IF(SUM(COUNTIFS(I:I, I4887)) &gt; 1, "DUPLICATE", "UNIQUE")</f>
        <v>UNIQUE</v>
      </c>
      <c r="L4887" s="18">
        <v>23</v>
      </c>
      <c r="M4887" s="28">
        <v>9666</v>
      </c>
      <c r="N4887" s="6">
        <v>22</v>
      </c>
      <c r="O4887" s="30">
        <f t="shared" si="460"/>
        <v>222318</v>
      </c>
      <c r="P4887" s="30">
        <f t="shared" si="461"/>
        <v>212652</v>
      </c>
      <c r="Q4887" s="1">
        <f>COUNTIFS($P:$P, "&gt;" &amp; $P4887) + 1</f>
        <v>278</v>
      </c>
      <c r="R4887" s="63">
        <f>(COUNTIFS($P:$P, "&gt;" &amp; $P4887) + 1) / (COUNTA($I:$I) - 1)</f>
        <v>5.5599999999999997E-2</v>
      </c>
      <c r="S4887" s="23">
        <f>SUMIFS($P:$P, $Q:$Q, "&lt;" &amp; $Q4887)</f>
        <v>125140691</v>
      </c>
    </row>
    <row r="4888" spans="1:19" x14ac:dyDescent="0.25">
      <c r="A4888" s="1">
        <v>4883</v>
      </c>
      <c r="B4888" s="1" t="s">
        <v>4</v>
      </c>
      <c r="C4888" s="1" t="str">
        <f>IF($B4888 = "Production Item", _xlfn.XLOOKUP($A4888, 'Instrument Table'!$J:$J, 'Instrument Table'!$B:$B, $C4887), IF($B4888 = "Service Item", _xlfn.XLOOKUP($A4888, 'Instrument Table'!$I:$I, 'Instrument Table'!$B:$B, $C4887), _xlfn.XLOOKUP($A4888, 'Instrument Table'!$H:$H, 'Instrument Table'!$B:$B, $C4887)))</f>
        <v>Instructional Material</v>
      </c>
      <c r="D4888" s="1" t="str">
        <f>VLOOKUP($C4888, 'Instrument Table'!$B:$C, 2, FALSE)</f>
        <v>Other</v>
      </c>
      <c r="E4888" s="1">
        <f t="shared" si="456"/>
        <v>3</v>
      </c>
      <c r="F4888" s="1">
        <f>_xlfn.XLOOKUP($C4888, 'Instrument Table'!$B:$B, 'Instrument Table'!$A:$A, "")</f>
        <v>63</v>
      </c>
      <c r="G4888" s="1" t="str">
        <f>TEXT(IF($B4888 = "Retail Item", IF((ROW($A4888) - 4504 - _xlfn.XMATCH($C4888, $C$4506:$C$5005, 0, 1)) &lt;= VLOOKUP($C4888, 'Instrument Table'!$B:$D, 3, FALSE), ROW($A4888) - 4504 - _xlfn.XMATCH($C4888, $C$4506:$C$5005, 0, 1), 0), 0), "00")</f>
        <v>23</v>
      </c>
      <c r="H4888" s="1" t="str">
        <f t="shared" si="457"/>
        <v>000</v>
      </c>
      <c r="I4888" s="1" t="str">
        <f t="shared" si="458"/>
        <v>36323-000</v>
      </c>
      <c r="J4888" s="1" t="str">
        <f t="shared" si="459"/>
        <v>Instructional material model #23</v>
      </c>
      <c r="K4888" s="1" t="str">
        <f>IF(SUM(COUNTIFS(I:I, I4888)) &gt; 1, "DUPLICATE", "UNIQUE")</f>
        <v>UNIQUE</v>
      </c>
      <c r="L4888" s="18">
        <v>85</v>
      </c>
      <c r="M4888" s="28">
        <v>6617</v>
      </c>
      <c r="N4888" s="6">
        <v>94</v>
      </c>
      <c r="O4888" s="30">
        <f t="shared" si="460"/>
        <v>562445</v>
      </c>
      <c r="P4888" s="30">
        <f t="shared" si="461"/>
        <v>621998</v>
      </c>
      <c r="Q4888" s="1">
        <f>COUNTIFS($P:$P, "&gt;" &amp; $P4888) + 1</f>
        <v>56</v>
      </c>
      <c r="R4888" s="63">
        <f>(COUNTIFS($P:$P, "&gt;" &amp; $P4888) + 1) / (COUNTA($I:$I) - 1)</f>
        <v>1.12E-2</v>
      </c>
      <c r="S4888" s="23">
        <f>SUMIFS($P:$P, $Q:$Q, "&lt;" &amp; $Q4888)</f>
        <v>41703788</v>
      </c>
    </row>
    <row r="4889" spans="1:19" x14ac:dyDescent="0.25">
      <c r="A4889" s="1">
        <v>4884</v>
      </c>
      <c r="B4889" s="1" t="s">
        <v>4</v>
      </c>
      <c r="C4889" s="1" t="str">
        <f>IF($B4889 = "Production Item", _xlfn.XLOOKUP($A4889, 'Instrument Table'!$J:$J, 'Instrument Table'!$B:$B, $C4888), IF($B4889 = "Service Item", _xlfn.XLOOKUP($A4889, 'Instrument Table'!$I:$I, 'Instrument Table'!$B:$B, $C4888), _xlfn.XLOOKUP($A4889, 'Instrument Table'!$H:$H, 'Instrument Table'!$B:$B, $C4888)))</f>
        <v>Instructional Material</v>
      </c>
      <c r="D4889" s="1" t="str">
        <f>VLOOKUP($C4889, 'Instrument Table'!$B:$C, 2, FALSE)</f>
        <v>Other</v>
      </c>
      <c r="E4889" s="1">
        <f t="shared" si="456"/>
        <v>3</v>
      </c>
      <c r="F4889" s="1">
        <f>_xlfn.XLOOKUP($C4889, 'Instrument Table'!$B:$B, 'Instrument Table'!$A:$A, "")</f>
        <v>63</v>
      </c>
      <c r="G4889" s="1" t="str">
        <f>TEXT(IF($B4889 = "Retail Item", IF((ROW($A4889) - 4504 - _xlfn.XMATCH($C4889, $C$4506:$C$5005, 0, 1)) &lt;= VLOOKUP($C4889, 'Instrument Table'!$B:$D, 3, FALSE), ROW($A4889) - 4504 - _xlfn.XMATCH($C4889, $C$4506:$C$5005, 0, 1), 0), 0), "00")</f>
        <v>24</v>
      </c>
      <c r="H4889" s="1" t="str">
        <f t="shared" si="457"/>
        <v>000</v>
      </c>
      <c r="I4889" s="1" t="str">
        <f t="shared" si="458"/>
        <v>36324-000</v>
      </c>
      <c r="J4889" s="1" t="str">
        <f t="shared" si="459"/>
        <v>Instructional material model #24</v>
      </c>
      <c r="K4889" s="1" t="str">
        <f>IF(SUM(COUNTIFS(I:I, I4889)) &gt; 1, "DUPLICATE", "UNIQUE")</f>
        <v>UNIQUE</v>
      </c>
      <c r="L4889" s="18">
        <v>71</v>
      </c>
      <c r="M4889" s="28">
        <v>8695</v>
      </c>
      <c r="N4889" s="6">
        <v>89</v>
      </c>
      <c r="O4889" s="30">
        <f t="shared" si="460"/>
        <v>617345</v>
      </c>
      <c r="P4889" s="30">
        <f t="shared" si="461"/>
        <v>773855</v>
      </c>
      <c r="Q4889" s="1">
        <f>COUNTIFS($P:$P, "&gt;" &amp; $P4889) + 1</f>
        <v>23</v>
      </c>
      <c r="R4889" s="63">
        <f>(COUNTIFS($P:$P, "&gt;" &amp; $P4889) + 1) / (COUNTA($I:$I) - 1)</f>
        <v>4.5999999999999999E-3</v>
      </c>
      <c r="S4889" s="23">
        <f>SUMIFS($P:$P, $Q:$Q, "&lt;" &amp; $Q4889)</f>
        <v>18858971</v>
      </c>
    </row>
    <row r="4890" spans="1:19" x14ac:dyDescent="0.25">
      <c r="A4890" s="1">
        <v>4885</v>
      </c>
      <c r="B4890" s="1" t="s">
        <v>4</v>
      </c>
      <c r="C4890" s="1" t="str">
        <f>IF($B4890 = "Production Item", _xlfn.XLOOKUP($A4890, 'Instrument Table'!$J:$J, 'Instrument Table'!$B:$B, $C4889), IF($B4890 = "Service Item", _xlfn.XLOOKUP($A4890, 'Instrument Table'!$I:$I, 'Instrument Table'!$B:$B, $C4889), _xlfn.XLOOKUP($A4890, 'Instrument Table'!$H:$H, 'Instrument Table'!$B:$B, $C4889)))</f>
        <v>Instructional Material</v>
      </c>
      <c r="D4890" s="1" t="str">
        <f>VLOOKUP($C4890, 'Instrument Table'!$B:$C, 2, FALSE)</f>
        <v>Other</v>
      </c>
      <c r="E4890" s="1">
        <f t="shared" si="456"/>
        <v>3</v>
      </c>
      <c r="F4890" s="1">
        <f>_xlfn.XLOOKUP($C4890, 'Instrument Table'!$B:$B, 'Instrument Table'!$A:$A, "")</f>
        <v>63</v>
      </c>
      <c r="G4890" s="1" t="str">
        <f>TEXT(IF($B4890 = "Retail Item", IF((ROW($A4890) - 4504 - _xlfn.XMATCH($C4890, $C$4506:$C$5005, 0, 1)) &lt;= VLOOKUP($C4890, 'Instrument Table'!$B:$D, 3, FALSE), ROW($A4890) - 4504 - _xlfn.XMATCH($C4890, $C$4506:$C$5005, 0, 1), 0), 0), "00")</f>
        <v>25</v>
      </c>
      <c r="H4890" s="1" t="str">
        <f t="shared" si="457"/>
        <v>000</v>
      </c>
      <c r="I4890" s="1" t="str">
        <f t="shared" si="458"/>
        <v>36325-000</v>
      </c>
      <c r="J4890" s="1" t="str">
        <f t="shared" si="459"/>
        <v>Instructional material model #25</v>
      </c>
      <c r="K4890" s="1" t="str">
        <f>IF(SUM(COUNTIFS(I:I, I4890)) &gt; 1, "DUPLICATE", "UNIQUE")</f>
        <v>UNIQUE</v>
      </c>
      <c r="L4890" s="18">
        <v>10</v>
      </c>
      <c r="M4890" s="28">
        <v>8751</v>
      </c>
      <c r="N4890" s="6">
        <v>56</v>
      </c>
      <c r="O4890" s="30">
        <f t="shared" si="460"/>
        <v>87510</v>
      </c>
      <c r="P4890" s="30">
        <f t="shared" si="461"/>
        <v>490056</v>
      </c>
      <c r="Q4890" s="1">
        <f>COUNTIFS($P:$P, "&gt;" &amp; $P4890) + 1</f>
        <v>101</v>
      </c>
      <c r="R4890" s="63">
        <f>(COUNTIFS($P:$P, "&gt;" &amp; $P4890) + 1) / (COUNTA($I:$I) - 1)</f>
        <v>2.0199999999999999E-2</v>
      </c>
      <c r="S4890" s="23">
        <f>SUMIFS($P:$P, $Q:$Q, "&lt;" &amp; $Q4890)</f>
        <v>66639850</v>
      </c>
    </row>
    <row r="4891" spans="1:19" x14ac:dyDescent="0.25">
      <c r="A4891" s="1">
        <v>4886</v>
      </c>
      <c r="B4891" s="1" t="s">
        <v>4</v>
      </c>
      <c r="C4891" s="1" t="str">
        <f>IF($B4891 = "Production Item", _xlfn.XLOOKUP($A4891, 'Instrument Table'!$J:$J, 'Instrument Table'!$B:$B, $C4890), IF($B4891 = "Service Item", _xlfn.XLOOKUP($A4891, 'Instrument Table'!$I:$I, 'Instrument Table'!$B:$B, $C4890), _xlfn.XLOOKUP($A4891, 'Instrument Table'!$H:$H, 'Instrument Table'!$B:$B, $C4890)))</f>
        <v>Instructional Material</v>
      </c>
      <c r="D4891" s="1" t="str">
        <f>VLOOKUP($C4891, 'Instrument Table'!$B:$C, 2, FALSE)</f>
        <v>Other</v>
      </c>
      <c r="E4891" s="1">
        <f t="shared" si="456"/>
        <v>3</v>
      </c>
      <c r="F4891" s="1">
        <f>_xlfn.XLOOKUP($C4891, 'Instrument Table'!$B:$B, 'Instrument Table'!$A:$A, "")</f>
        <v>63</v>
      </c>
      <c r="G4891" s="1" t="str">
        <f>TEXT(IF($B4891 = "Retail Item", IF((ROW($A4891) - 4504 - _xlfn.XMATCH($C4891, $C$4506:$C$5005, 0, 1)) &lt;= VLOOKUP($C4891, 'Instrument Table'!$B:$D, 3, FALSE), ROW($A4891) - 4504 - _xlfn.XMATCH($C4891, $C$4506:$C$5005, 0, 1), 0), 0), "00")</f>
        <v>26</v>
      </c>
      <c r="H4891" s="1" t="str">
        <f t="shared" si="457"/>
        <v>000</v>
      </c>
      <c r="I4891" s="1" t="str">
        <f t="shared" si="458"/>
        <v>36326-000</v>
      </c>
      <c r="J4891" s="1" t="str">
        <f t="shared" si="459"/>
        <v>Instructional material model #26</v>
      </c>
      <c r="K4891" s="1" t="str">
        <f>IF(SUM(COUNTIFS(I:I, I4891)) &gt; 1, "DUPLICATE", "UNIQUE")</f>
        <v>UNIQUE</v>
      </c>
      <c r="L4891" s="18">
        <v>27</v>
      </c>
      <c r="M4891" s="28">
        <v>6780</v>
      </c>
      <c r="N4891" s="6">
        <v>13</v>
      </c>
      <c r="O4891" s="30">
        <f t="shared" si="460"/>
        <v>183060</v>
      </c>
      <c r="P4891" s="30">
        <f t="shared" si="461"/>
        <v>88140</v>
      </c>
      <c r="Q4891" s="1">
        <f>COUNTIFS($P:$P, "&gt;" &amp; $P4891) + 1</f>
        <v>431</v>
      </c>
      <c r="R4891" s="63">
        <f>(COUNTIFS($P:$P, "&gt;" &amp; $P4891) + 1) / (COUNTA($I:$I) - 1)</f>
        <v>8.6199999999999999E-2</v>
      </c>
      <c r="S4891" s="23">
        <f>SUMIFS($P:$P, $Q:$Q, "&lt;" &amp; $Q4891)</f>
        <v>146429348</v>
      </c>
    </row>
    <row r="4892" spans="1:19" x14ac:dyDescent="0.25">
      <c r="A4892" s="1">
        <v>4887</v>
      </c>
      <c r="B4892" s="1" t="s">
        <v>4</v>
      </c>
      <c r="C4892" s="1" t="str">
        <f>IF($B4892 = "Production Item", _xlfn.XLOOKUP($A4892, 'Instrument Table'!$J:$J, 'Instrument Table'!$B:$B, $C4891), IF($B4892 = "Service Item", _xlfn.XLOOKUP($A4892, 'Instrument Table'!$I:$I, 'Instrument Table'!$B:$B, $C4891), _xlfn.XLOOKUP($A4892, 'Instrument Table'!$H:$H, 'Instrument Table'!$B:$B, $C4891)))</f>
        <v>Instructional Material</v>
      </c>
      <c r="D4892" s="1" t="str">
        <f>VLOOKUP($C4892, 'Instrument Table'!$B:$C, 2, FALSE)</f>
        <v>Other</v>
      </c>
      <c r="E4892" s="1">
        <f t="shared" si="456"/>
        <v>3</v>
      </c>
      <c r="F4892" s="1">
        <f>_xlfn.XLOOKUP($C4892, 'Instrument Table'!$B:$B, 'Instrument Table'!$A:$A, "")</f>
        <v>63</v>
      </c>
      <c r="G4892" s="1" t="str">
        <f>TEXT(IF($B4892 = "Retail Item", IF((ROW($A4892) - 4504 - _xlfn.XMATCH($C4892, $C$4506:$C$5005, 0, 1)) &lt;= VLOOKUP($C4892, 'Instrument Table'!$B:$D, 3, FALSE), ROW($A4892) - 4504 - _xlfn.XMATCH($C4892, $C$4506:$C$5005, 0, 1), 0), 0), "00")</f>
        <v>27</v>
      </c>
      <c r="H4892" s="1" t="str">
        <f t="shared" si="457"/>
        <v>000</v>
      </c>
      <c r="I4892" s="1" t="str">
        <f t="shared" si="458"/>
        <v>36327-000</v>
      </c>
      <c r="J4892" s="1" t="str">
        <f t="shared" si="459"/>
        <v>Instructional material model #27</v>
      </c>
      <c r="K4892" s="1" t="str">
        <f>IF(SUM(COUNTIFS(I:I, I4892)) &gt; 1, "DUPLICATE", "UNIQUE")</f>
        <v>UNIQUE</v>
      </c>
      <c r="L4892" s="18">
        <v>86</v>
      </c>
      <c r="M4892" s="28">
        <v>2863</v>
      </c>
      <c r="N4892" s="6">
        <v>53</v>
      </c>
      <c r="O4892" s="30">
        <f t="shared" si="460"/>
        <v>246218</v>
      </c>
      <c r="P4892" s="30">
        <f t="shared" si="461"/>
        <v>151739</v>
      </c>
      <c r="Q4892" s="1">
        <f>COUNTIFS($P:$P, "&gt;" &amp; $P4892) + 1</f>
        <v>333</v>
      </c>
      <c r="R4892" s="63">
        <f>(COUNTIFS($P:$P, "&gt;" &amp; $P4892) + 1) / (COUNTA($I:$I) - 1)</f>
        <v>6.6600000000000006E-2</v>
      </c>
      <c r="S4892" s="23">
        <f>SUMIFS($P:$P, $Q:$Q, "&lt;" &amp; $Q4892)</f>
        <v>135019073</v>
      </c>
    </row>
    <row r="4893" spans="1:19" x14ac:dyDescent="0.25">
      <c r="A4893" s="1">
        <v>4888</v>
      </c>
      <c r="B4893" s="1" t="s">
        <v>4</v>
      </c>
      <c r="C4893" s="1" t="str">
        <f>IF($B4893 = "Production Item", _xlfn.XLOOKUP($A4893, 'Instrument Table'!$J:$J, 'Instrument Table'!$B:$B, $C4892), IF($B4893 = "Service Item", _xlfn.XLOOKUP($A4893, 'Instrument Table'!$I:$I, 'Instrument Table'!$B:$B, $C4892), _xlfn.XLOOKUP($A4893, 'Instrument Table'!$H:$H, 'Instrument Table'!$B:$B, $C4892)))</f>
        <v>Instructional Material</v>
      </c>
      <c r="D4893" s="1" t="str">
        <f>VLOOKUP($C4893, 'Instrument Table'!$B:$C, 2, FALSE)</f>
        <v>Other</v>
      </c>
      <c r="E4893" s="1">
        <f t="shared" si="456"/>
        <v>3</v>
      </c>
      <c r="F4893" s="1">
        <f>_xlfn.XLOOKUP($C4893, 'Instrument Table'!$B:$B, 'Instrument Table'!$A:$A, "")</f>
        <v>63</v>
      </c>
      <c r="G4893" s="1" t="str">
        <f>TEXT(IF($B4893 = "Retail Item", IF((ROW($A4893) - 4504 - _xlfn.XMATCH($C4893, $C$4506:$C$5005, 0, 1)) &lt;= VLOOKUP($C4893, 'Instrument Table'!$B:$D, 3, FALSE), ROW($A4893) - 4504 - _xlfn.XMATCH($C4893, $C$4506:$C$5005, 0, 1), 0), 0), "00")</f>
        <v>28</v>
      </c>
      <c r="H4893" s="1" t="str">
        <f t="shared" si="457"/>
        <v>000</v>
      </c>
      <c r="I4893" s="1" t="str">
        <f t="shared" si="458"/>
        <v>36328-000</v>
      </c>
      <c r="J4893" s="1" t="str">
        <f t="shared" si="459"/>
        <v>Instructional material model #28</v>
      </c>
      <c r="K4893" s="1" t="str">
        <f>IF(SUM(COUNTIFS(I:I, I4893)) &gt; 1, "DUPLICATE", "UNIQUE")</f>
        <v>UNIQUE</v>
      </c>
      <c r="L4893" s="18">
        <v>44</v>
      </c>
      <c r="M4893" s="28">
        <v>9778</v>
      </c>
      <c r="N4893" s="6">
        <v>13</v>
      </c>
      <c r="O4893" s="30">
        <f t="shared" si="460"/>
        <v>430232</v>
      </c>
      <c r="P4893" s="30">
        <f t="shared" si="461"/>
        <v>127114</v>
      </c>
      <c r="Q4893" s="1">
        <f>COUNTIFS($P:$P, "&gt;" &amp; $P4893) + 1</f>
        <v>360</v>
      </c>
      <c r="R4893" s="63">
        <f>(COUNTIFS($P:$P, "&gt;" &amp; $P4893) + 1) / (COUNTA($I:$I) - 1)</f>
        <v>7.1999999999999995E-2</v>
      </c>
      <c r="S4893" s="23">
        <f>SUMIFS($P:$P, $Q:$Q, "&lt;" &amp; $Q4893)</f>
        <v>138772808</v>
      </c>
    </row>
    <row r="4894" spans="1:19" x14ac:dyDescent="0.25">
      <c r="A4894" s="1">
        <v>4889</v>
      </c>
      <c r="B4894" s="1" t="s">
        <v>4</v>
      </c>
      <c r="C4894" s="1" t="str">
        <f>IF($B4894 = "Production Item", _xlfn.XLOOKUP($A4894, 'Instrument Table'!$J:$J, 'Instrument Table'!$B:$B, $C4893), IF($B4894 = "Service Item", _xlfn.XLOOKUP($A4894, 'Instrument Table'!$I:$I, 'Instrument Table'!$B:$B, $C4893), _xlfn.XLOOKUP($A4894, 'Instrument Table'!$H:$H, 'Instrument Table'!$B:$B, $C4893)))</f>
        <v>Instructional Material</v>
      </c>
      <c r="D4894" s="1" t="str">
        <f>VLOOKUP($C4894, 'Instrument Table'!$B:$C, 2, FALSE)</f>
        <v>Other</v>
      </c>
      <c r="E4894" s="1">
        <f t="shared" si="456"/>
        <v>3</v>
      </c>
      <c r="F4894" s="1">
        <f>_xlfn.XLOOKUP($C4894, 'Instrument Table'!$B:$B, 'Instrument Table'!$A:$A, "")</f>
        <v>63</v>
      </c>
      <c r="G4894" s="1" t="str">
        <f>TEXT(IF($B4894 = "Retail Item", IF((ROW($A4894) - 4504 - _xlfn.XMATCH($C4894, $C$4506:$C$5005, 0, 1)) &lt;= VLOOKUP($C4894, 'Instrument Table'!$B:$D, 3, FALSE), ROW($A4894) - 4504 - _xlfn.XMATCH($C4894, $C$4506:$C$5005, 0, 1), 0), 0), "00")</f>
        <v>29</v>
      </c>
      <c r="H4894" s="1" t="str">
        <f t="shared" si="457"/>
        <v>000</v>
      </c>
      <c r="I4894" s="1" t="str">
        <f t="shared" si="458"/>
        <v>36329-000</v>
      </c>
      <c r="J4894" s="1" t="str">
        <f t="shared" si="459"/>
        <v>Instructional material model #29</v>
      </c>
      <c r="K4894" s="1" t="str">
        <f>IF(SUM(COUNTIFS(I:I, I4894)) &gt; 1, "DUPLICATE", "UNIQUE")</f>
        <v>UNIQUE</v>
      </c>
      <c r="L4894" s="18">
        <v>37</v>
      </c>
      <c r="M4894" s="28">
        <v>9533</v>
      </c>
      <c r="N4894" s="6">
        <v>51</v>
      </c>
      <c r="O4894" s="30">
        <f t="shared" si="460"/>
        <v>352721</v>
      </c>
      <c r="P4894" s="30">
        <f t="shared" si="461"/>
        <v>486183</v>
      </c>
      <c r="Q4894" s="1">
        <f>COUNTIFS($P:$P, "&gt;" &amp; $P4894) + 1</f>
        <v>103</v>
      </c>
      <c r="R4894" s="63">
        <f>(COUNTIFS($P:$P, "&gt;" &amp; $P4894) + 1) / (COUNTA($I:$I) - 1)</f>
        <v>2.06E-2</v>
      </c>
      <c r="S4894" s="23">
        <f>SUMIFS($P:$P, $Q:$Q, "&lt;" &amp; $Q4894)</f>
        <v>67616206</v>
      </c>
    </row>
    <row r="4895" spans="1:19" x14ac:dyDescent="0.25">
      <c r="A4895" s="1">
        <v>4890</v>
      </c>
      <c r="B4895" s="1" t="s">
        <v>4</v>
      </c>
      <c r="C4895" s="1" t="str">
        <f>IF($B4895 = "Production Item", _xlfn.XLOOKUP($A4895, 'Instrument Table'!$J:$J, 'Instrument Table'!$B:$B, $C4894), IF($B4895 = "Service Item", _xlfn.XLOOKUP($A4895, 'Instrument Table'!$I:$I, 'Instrument Table'!$B:$B, $C4894), _xlfn.XLOOKUP($A4895, 'Instrument Table'!$H:$H, 'Instrument Table'!$B:$B, $C4894)))</f>
        <v>Instructional Material</v>
      </c>
      <c r="D4895" s="1" t="str">
        <f>VLOOKUP($C4895, 'Instrument Table'!$B:$C, 2, FALSE)</f>
        <v>Other</v>
      </c>
      <c r="E4895" s="1">
        <f t="shared" si="456"/>
        <v>3</v>
      </c>
      <c r="F4895" s="1">
        <f>_xlfn.XLOOKUP($C4895, 'Instrument Table'!$B:$B, 'Instrument Table'!$A:$A, "")</f>
        <v>63</v>
      </c>
      <c r="G4895" s="1" t="str">
        <f>TEXT(IF($B4895 = "Retail Item", IF((ROW($A4895) - 4504 - _xlfn.XMATCH($C4895, $C$4506:$C$5005, 0, 1)) &lt;= VLOOKUP($C4895, 'Instrument Table'!$B:$D, 3, FALSE), ROW($A4895) - 4504 - _xlfn.XMATCH($C4895, $C$4506:$C$5005, 0, 1), 0), 0), "00")</f>
        <v>30</v>
      </c>
      <c r="H4895" s="1" t="str">
        <f t="shared" si="457"/>
        <v>000</v>
      </c>
      <c r="I4895" s="1" t="str">
        <f t="shared" si="458"/>
        <v>36330-000</v>
      </c>
      <c r="J4895" s="1" t="str">
        <f t="shared" si="459"/>
        <v>Instructional material model #30</v>
      </c>
      <c r="K4895" s="1" t="str">
        <f>IF(SUM(COUNTIFS(I:I, I4895)) &gt; 1, "DUPLICATE", "UNIQUE")</f>
        <v>UNIQUE</v>
      </c>
      <c r="L4895" s="18">
        <v>6</v>
      </c>
      <c r="M4895" s="28">
        <v>6855</v>
      </c>
      <c r="N4895" s="6">
        <v>93</v>
      </c>
      <c r="O4895" s="30">
        <f t="shared" si="460"/>
        <v>41130</v>
      </c>
      <c r="P4895" s="30">
        <f t="shared" si="461"/>
        <v>637515</v>
      </c>
      <c r="Q4895" s="1">
        <f>COUNTIFS($P:$P, "&gt;" &amp; $P4895) + 1</f>
        <v>51</v>
      </c>
      <c r="R4895" s="63">
        <f>(COUNTIFS($P:$P, "&gt;" &amp; $P4895) + 1) / (COUNTA($I:$I) - 1)</f>
        <v>1.0200000000000001E-2</v>
      </c>
      <c r="S4895" s="23">
        <f>SUMIFS($P:$P, $Q:$Q, "&lt;" &amp; $Q4895)</f>
        <v>38560739</v>
      </c>
    </row>
    <row r="4896" spans="1:19" x14ac:dyDescent="0.25">
      <c r="A4896" s="1">
        <v>4891</v>
      </c>
      <c r="B4896" s="1" t="s">
        <v>4</v>
      </c>
      <c r="C4896" s="1" t="str">
        <f>IF($B4896 = "Production Item", _xlfn.XLOOKUP($A4896, 'Instrument Table'!$J:$J, 'Instrument Table'!$B:$B, $C4895), IF($B4896 = "Service Item", _xlfn.XLOOKUP($A4896, 'Instrument Table'!$I:$I, 'Instrument Table'!$B:$B, $C4895), _xlfn.XLOOKUP($A4896, 'Instrument Table'!$H:$H, 'Instrument Table'!$B:$B, $C4895)))</f>
        <v>Instructional Material</v>
      </c>
      <c r="D4896" s="1" t="str">
        <f>VLOOKUP($C4896, 'Instrument Table'!$B:$C, 2, FALSE)</f>
        <v>Other</v>
      </c>
      <c r="E4896" s="1">
        <f t="shared" si="456"/>
        <v>3</v>
      </c>
      <c r="F4896" s="1">
        <f>_xlfn.XLOOKUP($C4896, 'Instrument Table'!$B:$B, 'Instrument Table'!$A:$A, "")</f>
        <v>63</v>
      </c>
      <c r="G4896" s="1" t="str">
        <f>TEXT(IF($B4896 = "Retail Item", IF((ROW($A4896) - 4504 - _xlfn.XMATCH($C4896, $C$4506:$C$5005, 0, 1)) &lt;= VLOOKUP($C4896, 'Instrument Table'!$B:$D, 3, FALSE), ROW($A4896) - 4504 - _xlfn.XMATCH($C4896, $C$4506:$C$5005, 0, 1), 0), 0), "00")</f>
        <v>31</v>
      </c>
      <c r="H4896" s="1" t="str">
        <f t="shared" si="457"/>
        <v>000</v>
      </c>
      <c r="I4896" s="1" t="str">
        <f t="shared" si="458"/>
        <v>36331-000</v>
      </c>
      <c r="J4896" s="1" t="str">
        <f t="shared" si="459"/>
        <v>Instructional material model #31</v>
      </c>
      <c r="K4896" s="1" t="str">
        <f>IF(SUM(COUNTIFS(I:I, I4896)) &gt; 1, "DUPLICATE", "UNIQUE")</f>
        <v>UNIQUE</v>
      </c>
      <c r="L4896" s="18">
        <v>1</v>
      </c>
      <c r="M4896" s="28">
        <v>7936</v>
      </c>
      <c r="N4896" s="6">
        <v>69</v>
      </c>
      <c r="O4896" s="30">
        <f t="shared" si="460"/>
        <v>7936</v>
      </c>
      <c r="P4896" s="30">
        <f t="shared" si="461"/>
        <v>547584</v>
      </c>
      <c r="Q4896" s="1">
        <f>COUNTIFS($P:$P, "&gt;" &amp; $P4896) + 1</f>
        <v>78</v>
      </c>
      <c r="R4896" s="63">
        <f>(COUNTIFS($P:$P, "&gt;" &amp; $P4896) + 1) / (COUNTA($I:$I) - 1)</f>
        <v>1.5599999999999999E-2</v>
      </c>
      <c r="S4896" s="23">
        <f>SUMIFS($P:$P, $Q:$Q, "&lt;" &amp; $Q4896)</f>
        <v>54674357</v>
      </c>
    </row>
    <row r="4897" spans="1:19" x14ac:dyDescent="0.25">
      <c r="A4897" s="1">
        <v>4892</v>
      </c>
      <c r="B4897" s="1" t="s">
        <v>4</v>
      </c>
      <c r="C4897" s="1" t="str">
        <f>IF($B4897 = "Production Item", _xlfn.XLOOKUP($A4897, 'Instrument Table'!$J:$J, 'Instrument Table'!$B:$B, $C4896), IF($B4897 = "Service Item", _xlfn.XLOOKUP($A4897, 'Instrument Table'!$I:$I, 'Instrument Table'!$B:$B, $C4896), _xlfn.XLOOKUP($A4897, 'Instrument Table'!$H:$H, 'Instrument Table'!$B:$B, $C4896)))</f>
        <v>Instructional Material</v>
      </c>
      <c r="D4897" s="1" t="str">
        <f>VLOOKUP($C4897, 'Instrument Table'!$B:$C, 2, FALSE)</f>
        <v>Other</v>
      </c>
      <c r="E4897" s="1">
        <f t="shared" si="456"/>
        <v>3</v>
      </c>
      <c r="F4897" s="1">
        <f>_xlfn.XLOOKUP($C4897, 'Instrument Table'!$B:$B, 'Instrument Table'!$A:$A, "")</f>
        <v>63</v>
      </c>
      <c r="G4897" s="1" t="str">
        <f>TEXT(IF($B4897 = "Retail Item", IF((ROW($A4897) - 4504 - _xlfn.XMATCH($C4897, $C$4506:$C$5005, 0, 1)) &lt;= VLOOKUP($C4897, 'Instrument Table'!$B:$D, 3, FALSE), ROW($A4897) - 4504 - _xlfn.XMATCH($C4897, $C$4506:$C$5005, 0, 1), 0), 0), "00")</f>
        <v>32</v>
      </c>
      <c r="H4897" s="1" t="str">
        <f t="shared" si="457"/>
        <v>000</v>
      </c>
      <c r="I4897" s="1" t="str">
        <f t="shared" si="458"/>
        <v>36332-000</v>
      </c>
      <c r="J4897" s="1" t="str">
        <f t="shared" si="459"/>
        <v>Instructional material model #32</v>
      </c>
      <c r="K4897" s="1" t="str">
        <f>IF(SUM(COUNTIFS(I:I, I4897)) &gt; 1, "DUPLICATE", "UNIQUE")</f>
        <v>UNIQUE</v>
      </c>
      <c r="L4897" s="18">
        <v>20</v>
      </c>
      <c r="M4897" s="28">
        <v>1743</v>
      </c>
      <c r="N4897" s="6">
        <v>6</v>
      </c>
      <c r="O4897" s="30">
        <f t="shared" si="460"/>
        <v>34860</v>
      </c>
      <c r="P4897" s="30">
        <f t="shared" si="461"/>
        <v>10458</v>
      </c>
      <c r="Q4897" s="1">
        <f>COUNTIFS($P:$P, "&gt;" &amp; $P4897) + 1</f>
        <v>1735</v>
      </c>
      <c r="R4897" s="63">
        <f>(COUNTIFS($P:$P, "&gt;" &amp; $P4897) + 1) / (COUNTA($I:$I) - 1)</f>
        <v>0.34699999999999998</v>
      </c>
      <c r="S4897" s="23">
        <f>SUMIFS($P:$P, $Q:$Q, "&lt;" &amp; $Q4897)</f>
        <v>177586498</v>
      </c>
    </row>
    <row r="4898" spans="1:19" x14ac:dyDescent="0.25">
      <c r="A4898" s="1">
        <v>4893</v>
      </c>
      <c r="B4898" s="1" t="s">
        <v>4</v>
      </c>
      <c r="C4898" s="1" t="str">
        <f>IF($B4898 = "Production Item", _xlfn.XLOOKUP($A4898, 'Instrument Table'!$J:$J, 'Instrument Table'!$B:$B, $C4897), IF($B4898 = "Service Item", _xlfn.XLOOKUP($A4898, 'Instrument Table'!$I:$I, 'Instrument Table'!$B:$B, $C4897), _xlfn.XLOOKUP($A4898, 'Instrument Table'!$H:$H, 'Instrument Table'!$B:$B, $C4897)))</f>
        <v>Instructional Material</v>
      </c>
      <c r="D4898" s="1" t="str">
        <f>VLOOKUP($C4898, 'Instrument Table'!$B:$C, 2, FALSE)</f>
        <v>Other</v>
      </c>
      <c r="E4898" s="1">
        <f t="shared" si="456"/>
        <v>3</v>
      </c>
      <c r="F4898" s="1">
        <f>_xlfn.XLOOKUP($C4898, 'Instrument Table'!$B:$B, 'Instrument Table'!$A:$A, "")</f>
        <v>63</v>
      </c>
      <c r="G4898" s="1" t="str">
        <f>TEXT(IF($B4898 = "Retail Item", IF((ROW($A4898) - 4504 - _xlfn.XMATCH($C4898, $C$4506:$C$5005, 0, 1)) &lt;= VLOOKUP($C4898, 'Instrument Table'!$B:$D, 3, FALSE), ROW($A4898) - 4504 - _xlfn.XMATCH($C4898, $C$4506:$C$5005, 0, 1), 0), 0), "00")</f>
        <v>33</v>
      </c>
      <c r="H4898" s="1" t="str">
        <f t="shared" si="457"/>
        <v>000</v>
      </c>
      <c r="I4898" s="1" t="str">
        <f t="shared" si="458"/>
        <v>36333-000</v>
      </c>
      <c r="J4898" s="1" t="str">
        <f t="shared" si="459"/>
        <v>Instructional material model #33</v>
      </c>
      <c r="K4898" s="1" t="str">
        <f>IF(SUM(COUNTIFS(I:I, I4898)) &gt; 1, "DUPLICATE", "UNIQUE")</f>
        <v>UNIQUE</v>
      </c>
      <c r="L4898" s="18">
        <v>12</v>
      </c>
      <c r="M4898" s="28">
        <v>5723</v>
      </c>
      <c r="N4898" s="6">
        <v>51</v>
      </c>
      <c r="O4898" s="30">
        <f t="shared" si="460"/>
        <v>68676</v>
      </c>
      <c r="P4898" s="30">
        <f t="shared" si="461"/>
        <v>291873</v>
      </c>
      <c r="Q4898" s="1">
        <f>COUNTIFS($P:$P, "&gt;" &amp; $P4898) + 1</f>
        <v>214</v>
      </c>
      <c r="R4898" s="63">
        <f>(COUNTIFS($P:$P, "&gt;" &amp; $P4898) + 1) / (COUNTA($I:$I) - 1)</f>
        <v>4.2799999999999998E-2</v>
      </c>
      <c r="S4898" s="23">
        <f>SUMIFS($P:$P, $Q:$Q, "&lt;" &amp; $Q4898)</f>
        <v>109089853</v>
      </c>
    </row>
    <row r="4899" spans="1:19" x14ac:dyDescent="0.25">
      <c r="A4899" s="1">
        <v>4894</v>
      </c>
      <c r="B4899" s="1" t="s">
        <v>4</v>
      </c>
      <c r="C4899" s="1" t="str">
        <f>IF($B4899 = "Production Item", _xlfn.XLOOKUP($A4899, 'Instrument Table'!$J:$J, 'Instrument Table'!$B:$B, $C4898), IF($B4899 = "Service Item", _xlfn.XLOOKUP($A4899, 'Instrument Table'!$I:$I, 'Instrument Table'!$B:$B, $C4898), _xlfn.XLOOKUP($A4899, 'Instrument Table'!$H:$H, 'Instrument Table'!$B:$B, $C4898)))</f>
        <v>Instructional Material</v>
      </c>
      <c r="D4899" s="1" t="str">
        <f>VLOOKUP($C4899, 'Instrument Table'!$B:$C, 2, FALSE)</f>
        <v>Other</v>
      </c>
      <c r="E4899" s="1">
        <f t="shared" si="456"/>
        <v>3</v>
      </c>
      <c r="F4899" s="1">
        <f>_xlfn.XLOOKUP($C4899, 'Instrument Table'!$B:$B, 'Instrument Table'!$A:$A, "")</f>
        <v>63</v>
      </c>
      <c r="G4899" s="1" t="str">
        <f>TEXT(IF($B4899 = "Retail Item", IF((ROW($A4899) - 4504 - _xlfn.XMATCH($C4899, $C$4506:$C$5005, 0, 1)) &lt;= VLOOKUP($C4899, 'Instrument Table'!$B:$D, 3, FALSE), ROW($A4899) - 4504 - _xlfn.XMATCH($C4899, $C$4506:$C$5005, 0, 1), 0), 0), "00")</f>
        <v>34</v>
      </c>
      <c r="H4899" s="1" t="str">
        <f t="shared" si="457"/>
        <v>000</v>
      </c>
      <c r="I4899" s="1" t="str">
        <f t="shared" si="458"/>
        <v>36334-000</v>
      </c>
      <c r="J4899" s="1" t="str">
        <f t="shared" si="459"/>
        <v>Instructional material model #34</v>
      </c>
      <c r="K4899" s="1" t="str">
        <f>IF(SUM(COUNTIFS(I:I, I4899)) &gt; 1, "DUPLICATE", "UNIQUE")</f>
        <v>UNIQUE</v>
      </c>
      <c r="L4899" s="18">
        <v>33</v>
      </c>
      <c r="M4899" s="28">
        <v>3172</v>
      </c>
      <c r="N4899" s="6">
        <v>76</v>
      </c>
      <c r="O4899" s="30">
        <f t="shared" si="460"/>
        <v>104676</v>
      </c>
      <c r="P4899" s="30">
        <f t="shared" si="461"/>
        <v>241072</v>
      </c>
      <c r="Q4899" s="1">
        <f>COUNTIFS($P:$P, "&gt;" &amp; $P4899) + 1</f>
        <v>252</v>
      </c>
      <c r="R4899" s="63">
        <f>(COUNTIFS($P:$P, "&gt;" &amp; $P4899) + 1) / (COUNTA($I:$I) - 1)</f>
        <v>5.04E-2</v>
      </c>
      <c r="S4899" s="23">
        <f>SUMIFS($P:$P, $Q:$Q, "&lt;" &amp; $Q4899)</f>
        <v>119168437</v>
      </c>
    </row>
    <row r="4900" spans="1:19" x14ac:dyDescent="0.25">
      <c r="A4900" s="1">
        <v>4895</v>
      </c>
      <c r="B4900" s="1" t="s">
        <v>4</v>
      </c>
      <c r="C4900" s="1" t="str">
        <f>IF($B4900 = "Production Item", _xlfn.XLOOKUP($A4900, 'Instrument Table'!$J:$J, 'Instrument Table'!$B:$B, $C4899), IF($B4900 = "Service Item", _xlfn.XLOOKUP($A4900, 'Instrument Table'!$I:$I, 'Instrument Table'!$B:$B, $C4899), _xlfn.XLOOKUP($A4900, 'Instrument Table'!$H:$H, 'Instrument Table'!$B:$B, $C4899)))</f>
        <v>Instructional Material</v>
      </c>
      <c r="D4900" s="1" t="str">
        <f>VLOOKUP($C4900, 'Instrument Table'!$B:$C, 2, FALSE)</f>
        <v>Other</v>
      </c>
      <c r="E4900" s="1">
        <f t="shared" si="456"/>
        <v>3</v>
      </c>
      <c r="F4900" s="1">
        <f>_xlfn.XLOOKUP($C4900, 'Instrument Table'!$B:$B, 'Instrument Table'!$A:$A, "")</f>
        <v>63</v>
      </c>
      <c r="G4900" s="1" t="str">
        <f>TEXT(IF($B4900 = "Retail Item", IF((ROW($A4900) - 4504 - _xlfn.XMATCH($C4900, $C$4506:$C$5005, 0, 1)) &lt;= VLOOKUP($C4900, 'Instrument Table'!$B:$D, 3, FALSE), ROW($A4900) - 4504 - _xlfn.XMATCH($C4900, $C$4506:$C$5005, 0, 1), 0), 0), "00")</f>
        <v>35</v>
      </c>
      <c r="H4900" s="1" t="str">
        <f t="shared" si="457"/>
        <v>000</v>
      </c>
      <c r="I4900" s="1" t="str">
        <f t="shared" si="458"/>
        <v>36335-000</v>
      </c>
      <c r="J4900" s="1" t="str">
        <f t="shared" si="459"/>
        <v>Instructional material model #35</v>
      </c>
      <c r="K4900" s="1" t="str">
        <f>IF(SUM(COUNTIFS(I:I, I4900)) &gt; 1, "DUPLICATE", "UNIQUE")</f>
        <v>UNIQUE</v>
      </c>
      <c r="L4900" s="18">
        <v>1</v>
      </c>
      <c r="M4900" s="28">
        <v>9668</v>
      </c>
      <c r="N4900" s="6">
        <v>12</v>
      </c>
      <c r="O4900" s="30">
        <f t="shared" si="460"/>
        <v>9668</v>
      </c>
      <c r="P4900" s="30">
        <f t="shared" si="461"/>
        <v>116016</v>
      </c>
      <c r="Q4900" s="1">
        <f>COUNTIFS($P:$P, "&gt;" &amp; $P4900) + 1</f>
        <v>381</v>
      </c>
      <c r="R4900" s="63">
        <f>(COUNTIFS($P:$P, "&gt;" &amp; $P4900) + 1) / (COUNTA($I:$I) - 1)</f>
        <v>7.6200000000000004E-2</v>
      </c>
      <c r="S4900" s="23">
        <f>SUMIFS($P:$P, $Q:$Q, "&lt;" &amp; $Q4900)</f>
        <v>141323669</v>
      </c>
    </row>
    <row r="4901" spans="1:19" x14ac:dyDescent="0.25">
      <c r="A4901" s="1">
        <v>4896</v>
      </c>
      <c r="B4901" s="1" t="s">
        <v>4</v>
      </c>
      <c r="C4901" s="1" t="str">
        <f>IF($B4901 = "Production Item", _xlfn.XLOOKUP($A4901, 'Instrument Table'!$J:$J, 'Instrument Table'!$B:$B, $C4900), IF($B4901 = "Service Item", _xlfn.XLOOKUP($A4901, 'Instrument Table'!$I:$I, 'Instrument Table'!$B:$B, $C4900), _xlfn.XLOOKUP($A4901, 'Instrument Table'!$H:$H, 'Instrument Table'!$B:$B, $C4900)))</f>
        <v>Instructional Material</v>
      </c>
      <c r="D4901" s="1" t="str">
        <f>VLOOKUP($C4901, 'Instrument Table'!$B:$C, 2, FALSE)</f>
        <v>Other</v>
      </c>
      <c r="E4901" s="1">
        <f t="shared" si="456"/>
        <v>3</v>
      </c>
      <c r="F4901" s="1">
        <f>_xlfn.XLOOKUP($C4901, 'Instrument Table'!$B:$B, 'Instrument Table'!$A:$A, "")</f>
        <v>63</v>
      </c>
      <c r="G4901" s="1" t="str">
        <f>TEXT(IF($B4901 = "Retail Item", IF((ROW($A4901) - 4504 - _xlfn.XMATCH($C4901, $C$4506:$C$5005, 0, 1)) &lt;= VLOOKUP($C4901, 'Instrument Table'!$B:$D, 3, FALSE), ROW($A4901) - 4504 - _xlfn.XMATCH($C4901, $C$4506:$C$5005, 0, 1), 0), 0), "00")</f>
        <v>36</v>
      </c>
      <c r="H4901" s="1" t="str">
        <f t="shared" si="457"/>
        <v>000</v>
      </c>
      <c r="I4901" s="1" t="str">
        <f t="shared" si="458"/>
        <v>36336-000</v>
      </c>
      <c r="J4901" s="1" t="str">
        <f t="shared" si="459"/>
        <v>Instructional material model #36</v>
      </c>
      <c r="K4901" s="1" t="str">
        <f>IF(SUM(COUNTIFS(I:I, I4901)) &gt; 1, "DUPLICATE", "UNIQUE")</f>
        <v>UNIQUE</v>
      </c>
      <c r="L4901" s="18">
        <v>16</v>
      </c>
      <c r="M4901" s="28">
        <v>3412</v>
      </c>
      <c r="N4901" s="6">
        <v>15</v>
      </c>
      <c r="O4901" s="30">
        <f t="shared" si="460"/>
        <v>54592</v>
      </c>
      <c r="P4901" s="30">
        <f t="shared" si="461"/>
        <v>51180</v>
      </c>
      <c r="Q4901" s="1">
        <f>COUNTIFS($P:$P, "&gt;" &amp; $P4901) + 1</f>
        <v>526</v>
      </c>
      <c r="R4901" s="63">
        <f>(COUNTIFS($P:$P, "&gt;" &amp; $P4901) + 1) / (COUNTA($I:$I) - 1)</f>
        <v>0.1052</v>
      </c>
      <c r="S4901" s="23">
        <f>SUMIFS($P:$P, $Q:$Q, "&lt;" &amp; $Q4901)</f>
        <v>152901901</v>
      </c>
    </row>
    <row r="4902" spans="1:19" x14ac:dyDescent="0.25">
      <c r="A4902" s="1">
        <v>4897</v>
      </c>
      <c r="B4902" s="1" t="s">
        <v>4</v>
      </c>
      <c r="C4902" s="1" t="str">
        <f>IF($B4902 = "Production Item", _xlfn.XLOOKUP($A4902, 'Instrument Table'!$J:$J, 'Instrument Table'!$B:$B, $C4901), IF($B4902 = "Service Item", _xlfn.XLOOKUP($A4902, 'Instrument Table'!$I:$I, 'Instrument Table'!$B:$B, $C4901), _xlfn.XLOOKUP($A4902, 'Instrument Table'!$H:$H, 'Instrument Table'!$B:$B, $C4901)))</f>
        <v>Instructional Material</v>
      </c>
      <c r="D4902" s="1" t="str">
        <f>VLOOKUP($C4902, 'Instrument Table'!$B:$C, 2, FALSE)</f>
        <v>Other</v>
      </c>
      <c r="E4902" s="1">
        <f t="shared" si="456"/>
        <v>3</v>
      </c>
      <c r="F4902" s="1">
        <f>_xlfn.XLOOKUP($C4902, 'Instrument Table'!$B:$B, 'Instrument Table'!$A:$A, "")</f>
        <v>63</v>
      </c>
      <c r="G4902" s="1" t="str">
        <f>TEXT(IF($B4902 = "Retail Item", IF((ROW($A4902) - 4504 - _xlfn.XMATCH($C4902, $C$4506:$C$5005, 0, 1)) &lt;= VLOOKUP($C4902, 'Instrument Table'!$B:$D, 3, FALSE), ROW($A4902) - 4504 - _xlfn.XMATCH($C4902, $C$4506:$C$5005, 0, 1), 0), 0), "00")</f>
        <v>37</v>
      </c>
      <c r="H4902" s="1" t="str">
        <f t="shared" si="457"/>
        <v>000</v>
      </c>
      <c r="I4902" s="1" t="str">
        <f t="shared" si="458"/>
        <v>36337-000</v>
      </c>
      <c r="J4902" s="1" t="str">
        <f t="shared" si="459"/>
        <v>Instructional material model #37</v>
      </c>
      <c r="K4902" s="1" t="str">
        <f>IF(SUM(COUNTIFS(I:I, I4902)) &gt; 1, "DUPLICATE", "UNIQUE")</f>
        <v>UNIQUE</v>
      </c>
      <c r="L4902" s="18">
        <v>34</v>
      </c>
      <c r="M4902" s="28">
        <v>3779</v>
      </c>
      <c r="N4902" s="6">
        <v>20</v>
      </c>
      <c r="O4902" s="30">
        <f t="shared" si="460"/>
        <v>128486</v>
      </c>
      <c r="P4902" s="30">
        <f t="shared" si="461"/>
        <v>75580</v>
      </c>
      <c r="Q4902" s="1">
        <f>COUNTIFS($P:$P, "&gt;" &amp; $P4902) + 1</f>
        <v>455</v>
      </c>
      <c r="R4902" s="63">
        <f>(COUNTIFS($P:$P, "&gt;" &amp; $P4902) + 1) / (COUNTA($I:$I) - 1)</f>
        <v>9.0999999999999998E-2</v>
      </c>
      <c r="S4902" s="23">
        <f>SUMIFS($P:$P, $Q:$Q, "&lt;" &amp; $Q4902)</f>
        <v>148414151</v>
      </c>
    </row>
    <row r="4903" spans="1:19" x14ac:dyDescent="0.25">
      <c r="A4903" s="1">
        <v>4898</v>
      </c>
      <c r="B4903" s="1" t="s">
        <v>4</v>
      </c>
      <c r="C4903" s="1" t="str">
        <f>IF($B4903 = "Production Item", _xlfn.XLOOKUP($A4903, 'Instrument Table'!$J:$J, 'Instrument Table'!$B:$B, $C4902), IF($B4903 = "Service Item", _xlfn.XLOOKUP($A4903, 'Instrument Table'!$I:$I, 'Instrument Table'!$B:$B, $C4902), _xlfn.XLOOKUP($A4903, 'Instrument Table'!$H:$H, 'Instrument Table'!$B:$B, $C4902)))</f>
        <v>Instructional Material</v>
      </c>
      <c r="D4903" s="1" t="str">
        <f>VLOOKUP($C4903, 'Instrument Table'!$B:$C, 2, FALSE)</f>
        <v>Other</v>
      </c>
      <c r="E4903" s="1">
        <f t="shared" si="456"/>
        <v>3</v>
      </c>
      <c r="F4903" s="1">
        <f>_xlfn.XLOOKUP($C4903, 'Instrument Table'!$B:$B, 'Instrument Table'!$A:$A, "")</f>
        <v>63</v>
      </c>
      <c r="G4903" s="1" t="str">
        <f>TEXT(IF($B4903 = "Retail Item", IF((ROW($A4903) - 4504 - _xlfn.XMATCH($C4903, $C$4506:$C$5005, 0, 1)) &lt;= VLOOKUP($C4903, 'Instrument Table'!$B:$D, 3, FALSE), ROW($A4903) - 4504 - _xlfn.XMATCH($C4903, $C$4506:$C$5005, 0, 1), 0), 0), "00")</f>
        <v>38</v>
      </c>
      <c r="H4903" s="1" t="str">
        <f t="shared" si="457"/>
        <v>000</v>
      </c>
      <c r="I4903" s="1" t="str">
        <f t="shared" si="458"/>
        <v>36338-000</v>
      </c>
      <c r="J4903" s="1" t="str">
        <f t="shared" si="459"/>
        <v>Instructional material model #38</v>
      </c>
      <c r="K4903" s="1" t="str">
        <f>IF(SUM(COUNTIFS(I:I, I4903)) &gt; 1, "DUPLICATE", "UNIQUE")</f>
        <v>UNIQUE</v>
      </c>
      <c r="L4903" s="18">
        <v>85</v>
      </c>
      <c r="M4903" s="28">
        <v>8800</v>
      </c>
      <c r="N4903" s="6">
        <v>51</v>
      </c>
      <c r="O4903" s="30">
        <f t="shared" si="460"/>
        <v>748000</v>
      </c>
      <c r="P4903" s="30">
        <f t="shared" si="461"/>
        <v>448800</v>
      </c>
      <c r="Q4903" s="1">
        <f>COUNTIFS($P:$P, "&gt;" &amp; $P4903) + 1</f>
        <v>121</v>
      </c>
      <c r="R4903" s="63">
        <f>(COUNTIFS($P:$P, "&gt;" &amp; $P4903) + 1) / (COUNTA($I:$I) - 1)</f>
        <v>2.4199999999999999E-2</v>
      </c>
      <c r="S4903" s="23">
        <f>SUMIFS($P:$P, $Q:$Q, "&lt;" &amp; $Q4903)</f>
        <v>75968129</v>
      </c>
    </row>
    <row r="4904" spans="1:19" x14ac:dyDescent="0.25">
      <c r="A4904" s="1">
        <v>4899</v>
      </c>
      <c r="B4904" s="1" t="s">
        <v>4</v>
      </c>
      <c r="C4904" s="1" t="str">
        <f>IF($B4904 = "Production Item", _xlfn.XLOOKUP($A4904, 'Instrument Table'!$J:$J, 'Instrument Table'!$B:$B, $C4903), IF($B4904 = "Service Item", _xlfn.XLOOKUP($A4904, 'Instrument Table'!$I:$I, 'Instrument Table'!$B:$B, $C4903), _xlfn.XLOOKUP($A4904, 'Instrument Table'!$H:$H, 'Instrument Table'!$B:$B, $C4903)))</f>
        <v>Instructional Material</v>
      </c>
      <c r="D4904" s="1" t="str">
        <f>VLOOKUP($C4904, 'Instrument Table'!$B:$C, 2, FALSE)</f>
        <v>Other</v>
      </c>
      <c r="E4904" s="1">
        <f t="shared" si="456"/>
        <v>3</v>
      </c>
      <c r="F4904" s="1">
        <f>_xlfn.XLOOKUP($C4904, 'Instrument Table'!$B:$B, 'Instrument Table'!$A:$A, "")</f>
        <v>63</v>
      </c>
      <c r="G4904" s="1" t="str">
        <f>TEXT(IF($B4904 = "Retail Item", IF((ROW($A4904) - 4504 - _xlfn.XMATCH($C4904, $C$4506:$C$5005, 0, 1)) &lt;= VLOOKUP($C4904, 'Instrument Table'!$B:$D, 3, FALSE), ROW($A4904) - 4504 - _xlfn.XMATCH($C4904, $C$4506:$C$5005, 0, 1), 0), 0), "00")</f>
        <v>39</v>
      </c>
      <c r="H4904" s="1" t="str">
        <f t="shared" si="457"/>
        <v>000</v>
      </c>
      <c r="I4904" s="1" t="str">
        <f t="shared" si="458"/>
        <v>36339-000</v>
      </c>
      <c r="J4904" s="1" t="str">
        <f t="shared" si="459"/>
        <v>Instructional material model #39</v>
      </c>
      <c r="K4904" s="1" t="str">
        <f>IF(SUM(COUNTIFS(I:I, I4904)) &gt; 1, "DUPLICATE", "UNIQUE")</f>
        <v>UNIQUE</v>
      </c>
      <c r="L4904" s="18">
        <v>60</v>
      </c>
      <c r="M4904" s="28">
        <v>5791</v>
      </c>
      <c r="N4904" s="6">
        <v>66</v>
      </c>
      <c r="O4904" s="30">
        <f t="shared" si="460"/>
        <v>347460</v>
      </c>
      <c r="P4904" s="30">
        <f t="shared" si="461"/>
        <v>382206</v>
      </c>
      <c r="Q4904" s="1">
        <f>COUNTIFS($P:$P, "&gt;" &amp; $P4904) + 1</f>
        <v>150</v>
      </c>
      <c r="R4904" s="63">
        <f>(COUNTIFS($P:$P, "&gt;" &amp; $P4904) + 1) / (COUNTA($I:$I) - 1)</f>
        <v>0.03</v>
      </c>
      <c r="S4904" s="23">
        <f>SUMIFS($P:$P, $Q:$Q, "&lt;" &amp; $Q4904)</f>
        <v>87957952</v>
      </c>
    </row>
    <row r="4905" spans="1:19" x14ac:dyDescent="0.25">
      <c r="A4905" s="1">
        <v>4900</v>
      </c>
      <c r="B4905" s="1" t="s">
        <v>4</v>
      </c>
      <c r="C4905" s="1" t="str">
        <f>IF($B4905 = "Production Item", _xlfn.XLOOKUP($A4905, 'Instrument Table'!$J:$J, 'Instrument Table'!$B:$B, $C4904), IF($B4905 = "Service Item", _xlfn.XLOOKUP($A4905, 'Instrument Table'!$I:$I, 'Instrument Table'!$B:$B, $C4904), _xlfn.XLOOKUP($A4905, 'Instrument Table'!$H:$H, 'Instrument Table'!$B:$B, $C4904)))</f>
        <v>Instructional Material</v>
      </c>
      <c r="D4905" s="1" t="str">
        <f>VLOOKUP($C4905, 'Instrument Table'!$B:$C, 2, FALSE)</f>
        <v>Other</v>
      </c>
      <c r="E4905" s="1">
        <f t="shared" si="456"/>
        <v>3</v>
      </c>
      <c r="F4905" s="1">
        <f>_xlfn.XLOOKUP($C4905, 'Instrument Table'!$B:$B, 'Instrument Table'!$A:$A, "")</f>
        <v>63</v>
      </c>
      <c r="G4905" s="1" t="str">
        <f>TEXT(IF($B4905 = "Retail Item", IF((ROW($A4905) - 4504 - _xlfn.XMATCH($C4905, $C$4506:$C$5005, 0, 1)) &lt;= VLOOKUP($C4905, 'Instrument Table'!$B:$D, 3, FALSE), ROW($A4905) - 4504 - _xlfn.XMATCH($C4905, $C$4506:$C$5005, 0, 1), 0), 0), "00")</f>
        <v>40</v>
      </c>
      <c r="H4905" s="1" t="str">
        <f t="shared" si="457"/>
        <v>000</v>
      </c>
      <c r="I4905" s="1" t="str">
        <f t="shared" si="458"/>
        <v>36340-000</v>
      </c>
      <c r="J4905" s="1" t="str">
        <f t="shared" si="459"/>
        <v>Instructional material model #40</v>
      </c>
      <c r="K4905" s="1" t="str">
        <f>IF(SUM(COUNTIFS(I:I, I4905)) &gt; 1, "DUPLICATE", "UNIQUE")</f>
        <v>UNIQUE</v>
      </c>
      <c r="L4905" s="18">
        <v>26</v>
      </c>
      <c r="M4905" s="28">
        <v>3519</v>
      </c>
      <c r="N4905" s="6">
        <v>23</v>
      </c>
      <c r="O4905" s="30">
        <f t="shared" si="460"/>
        <v>91494</v>
      </c>
      <c r="P4905" s="30">
        <f t="shared" si="461"/>
        <v>80937</v>
      </c>
      <c r="Q4905" s="1">
        <f>COUNTIFS($P:$P, "&gt;" &amp; $P4905) + 1</f>
        <v>446</v>
      </c>
      <c r="R4905" s="63">
        <f>(COUNTIFS($P:$P, "&gt;" &amp; $P4905) + 1) / (COUNTA($I:$I) - 1)</f>
        <v>8.9200000000000002E-2</v>
      </c>
      <c r="S4905" s="23">
        <f>SUMIFS($P:$P, $Q:$Q, "&lt;" &amp; $Q4905)</f>
        <v>147698307</v>
      </c>
    </row>
    <row r="4906" spans="1:19" x14ac:dyDescent="0.25">
      <c r="A4906" s="1">
        <v>4901</v>
      </c>
      <c r="B4906" s="1" t="s">
        <v>4</v>
      </c>
      <c r="C4906" s="1" t="str">
        <f>IF($B4906 = "Production Item", _xlfn.XLOOKUP($A4906, 'Instrument Table'!$J:$J, 'Instrument Table'!$B:$B, $C4905), IF($B4906 = "Service Item", _xlfn.XLOOKUP($A4906, 'Instrument Table'!$I:$I, 'Instrument Table'!$B:$B, $C4905), _xlfn.XLOOKUP($A4906, 'Instrument Table'!$H:$H, 'Instrument Table'!$B:$B, $C4905)))</f>
        <v>Instructional Material</v>
      </c>
      <c r="D4906" s="1" t="str">
        <f>VLOOKUP($C4906, 'Instrument Table'!$B:$C, 2, FALSE)</f>
        <v>Other</v>
      </c>
      <c r="E4906" s="1">
        <f t="shared" si="456"/>
        <v>3</v>
      </c>
      <c r="F4906" s="1">
        <f>_xlfn.XLOOKUP($C4906, 'Instrument Table'!$B:$B, 'Instrument Table'!$A:$A, "")</f>
        <v>63</v>
      </c>
      <c r="G4906" s="1" t="str">
        <f>TEXT(IF($B4906 = "Retail Item", IF((ROW($A4906) - 4504 - _xlfn.XMATCH($C4906, $C$4506:$C$5005, 0, 1)) &lt;= VLOOKUP($C4906, 'Instrument Table'!$B:$D, 3, FALSE), ROW($A4906) - 4504 - _xlfn.XMATCH($C4906, $C$4506:$C$5005, 0, 1), 0), 0), "00")</f>
        <v>41</v>
      </c>
      <c r="H4906" s="1" t="str">
        <f t="shared" si="457"/>
        <v>000</v>
      </c>
      <c r="I4906" s="1" t="str">
        <f t="shared" si="458"/>
        <v>36341-000</v>
      </c>
      <c r="J4906" s="1" t="str">
        <f t="shared" si="459"/>
        <v>Instructional material model #41</v>
      </c>
      <c r="K4906" s="1" t="str">
        <f>IF(SUM(COUNTIFS(I:I, I4906)) &gt; 1, "DUPLICATE", "UNIQUE")</f>
        <v>UNIQUE</v>
      </c>
      <c r="L4906" s="18">
        <v>6</v>
      </c>
      <c r="M4906" s="28">
        <v>5287</v>
      </c>
      <c r="N4906" s="6">
        <v>71</v>
      </c>
      <c r="O4906" s="30">
        <f t="shared" si="460"/>
        <v>31722</v>
      </c>
      <c r="P4906" s="30">
        <f t="shared" si="461"/>
        <v>375377</v>
      </c>
      <c r="Q4906" s="1">
        <f>COUNTIFS($P:$P, "&gt;" &amp; $P4906) + 1</f>
        <v>155</v>
      </c>
      <c r="R4906" s="63">
        <f>(COUNTIFS($P:$P, "&gt;" &amp; $P4906) + 1) / (COUNTA($I:$I) - 1)</f>
        <v>3.1E-2</v>
      </c>
      <c r="S4906" s="23">
        <f>SUMIFS($P:$P, $Q:$Q, "&lt;" &amp; $Q4906)</f>
        <v>89849706</v>
      </c>
    </row>
    <row r="4907" spans="1:19" x14ac:dyDescent="0.25">
      <c r="A4907" s="1">
        <v>4902</v>
      </c>
      <c r="B4907" s="1" t="s">
        <v>4</v>
      </c>
      <c r="C4907" s="1" t="str">
        <f>IF($B4907 = "Production Item", _xlfn.XLOOKUP($A4907, 'Instrument Table'!$J:$J, 'Instrument Table'!$B:$B, $C4906), IF($B4907 = "Service Item", _xlfn.XLOOKUP($A4907, 'Instrument Table'!$I:$I, 'Instrument Table'!$B:$B, $C4906), _xlfn.XLOOKUP($A4907, 'Instrument Table'!$H:$H, 'Instrument Table'!$B:$B, $C4906)))</f>
        <v>Instructional Material</v>
      </c>
      <c r="D4907" s="1" t="str">
        <f>VLOOKUP($C4907, 'Instrument Table'!$B:$C, 2, FALSE)</f>
        <v>Other</v>
      </c>
      <c r="E4907" s="1">
        <f t="shared" si="456"/>
        <v>3</v>
      </c>
      <c r="F4907" s="1">
        <f>_xlfn.XLOOKUP($C4907, 'Instrument Table'!$B:$B, 'Instrument Table'!$A:$A, "")</f>
        <v>63</v>
      </c>
      <c r="G4907" s="1" t="str">
        <f>TEXT(IF($B4907 = "Retail Item", IF((ROW($A4907) - 4504 - _xlfn.XMATCH($C4907, $C$4506:$C$5005, 0, 1)) &lt;= VLOOKUP($C4907, 'Instrument Table'!$B:$D, 3, FALSE), ROW($A4907) - 4504 - _xlfn.XMATCH($C4907, $C$4506:$C$5005, 0, 1), 0), 0), "00")</f>
        <v>42</v>
      </c>
      <c r="H4907" s="1" t="str">
        <f t="shared" si="457"/>
        <v>000</v>
      </c>
      <c r="I4907" s="1" t="str">
        <f t="shared" si="458"/>
        <v>36342-000</v>
      </c>
      <c r="J4907" s="1" t="str">
        <f t="shared" si="459"/>
        <v>Instructional material model #42</v>
      </c>
      <c r="K4907" s="1" t="str">
        <f>IF(SUM(COUNTIFS(I:I, I4907)) &gt; 1, "DUPLICATE", "UNIQUE")</f>
        <v>UNIQUE</v>
      </c>
      <c r="L4907" s="18">
        <v>55</v>
      </c>
      <c r="M4907" s="28">
        <v>7532</v>
      </c>
      <c r="N4907" s="6">
        <v>76</v>
      </c>
      <c r="O4907" s="30">
        <f t="shared" si="460"/>
        <v>414260</v>
      </c>
      <c r="P4907" s="30">
        <f t="shared" si="461"/>
        <v>572432</v>
      </c>
      <c r="Q4907" s="1">
        <f>COUNTIFS($P:$P, "&gt;" &amp; $P4907) + 1</f>
        <v>71</v>
      </c>
      <c r="R4907" s="63">
        <f>(COUNTIFS($P:$P, "&gt;" &amp; $P4907) + 1) / (COUNTA($I:$I) - 1)</f>
        <v>1.4200000000000001E-2</v>
      </c>
      <c r="S4907" s="23">
        <f>SUMIFS($P:$P, $Q:$Q, "&lt;" &amp; $Q4907)</f>
        <v>50720986</v>
      </c>
    </row>
    <row r="4908" spans="1:19" x14ac:dyDescent="0.25">
      <c r="A4908" s="1">
        <v>4903</v>
      </c>
      <c r="B4908" s="1" t="s">
        <v>4</v>
      </c>
      <c r="C4908" s="1" t="str">
        <f>IF($B4908 = "Production Item", _xlfn.XLOOKUP($A4908, 'Instrument Table'!$J:$J, 'Instrument Table'!$B:$B, $C4907), IF($B4908 = "Service Item", _xlfn.XLOOKUP($A4908, 'Instrument Table'!$I:$I, 'Instrument Table'!$B:$B, $C4907), _xlfn.XLOOKUP($A4908, 'Instrument Table'!$H:$H, 'Instrument Table'!$B:$B, $C4907)))</f>
        <v>Instructional Material</v>
      </c>
      <c r="D4908" s="1" t="str">
        <f>VLOOKUP($C4908, 'Instrument Table'!$B:$C, 2, FALSE)</f>
        <v>Other</v>
      </c>
      <c r="E4908" s="1">
        <f t="shared" si="456"/>
        <v>3</v>
      </c>
      <c r="F4908" s="1">
        <f>_xlfn.XLOOKUP($C4908, 'Instrument Table'!$B:$B, 'Instrument Table'!$A:$A, "")</f>
        <v>63</v>
      </c>
      <c r="G4908" s="1" t="str">
        <f>TEXT(IF($B4908 = "Retail Item", IF((ROW($A4908) - 4504 - _xlfn.XMATCH($C4908, $C$4506:$C$5005, 0, 1)) &lt;= VLOOKUP($C4908, 'Instrument Table'!$B:$D, 3, FALSE), ROW($A4908) - 4504 - _xlfn.XMATCH($C4908, $C$4506:$C$5005, 0, 1), 0), 0), "00")</f>
        <v>43</v>
      </c>
      <c r="H4908" s="1" t="str">
        <f t="shared" si="457"/>
        <v>000</v>
      </c>
      <c r="I4908" s="1" t="str">
        <f t="shared" si="458"/>
        <v>36343-000</v>
      </c>
      <c r="J4908" s="1" t="str">
        <f t="shared" si="459"/>
        <v>Instructional material model #43</v>
      </c>
      <c r="K4908" s="1" t="str">
        <f>IF(SUM(COUNTIFS(I:I, I4908)) &gt; 1, "DUPLICATE", "UNIQUE")</f>
        <v>UNIQUE</v>
      </c>
      <c r="L4908" s="18">
        <v>62</v>
      </c>
      <c r="M4908" s="28">
        <v>5947</v>
      </c>
      <c r="N4908" s="6">
        <v>24</v>
      </c>
      <c r="O4908" s="30">
        <f t="shared" si="460"/>
        <v>368714</v>
      </c>
      <c r="P4908" s="30">
        <f t="shared" si="461"/>
        <v>142728</v>
      </c>
      <c r="Q4908" s="1">
        <f>COUNTIFS($P:$P, "&gt;" &amp; $P4908) + 1</f>
        <v>343</v>
      </c>
      <c r="R4908" s="63">
        <f>(COUNTIFS($P:$P, "&gt;" &amp; $P4908) + 1) / (COUNTA($I:$I) - 1)</f>
        <v>6.8599999999999994E-2</v>
      </c>
      <c r="S4908" s="23">
        <f>SUMIFS($P:$P, $Q:$Q, "&lt;" &amp; $Q4908)</f>
        <v>136489013</v>
      </c>
    </row>
    <row r="4909" spans="1:19" x14ac:dyDescent="0.25">
      <c r="A4909" s="1">
        <v>4904</v>
      </c>
      <c r="B4909" s="1" t="s">
        <v>4</v>
      </c>
      <c r="C4909" s="1" t="str">
        <f>IF($B4909 = "Production Item", _xlfn.XLOOKUP($A4909, 'Instrument Table'!$J:$J, 'Instrument Table'!$B:$B, $C4908), IF($B4909 = "Service Item", _xlfn.XLOOKUP($A4909, 'Instrument Table'!$I:$I, 'Instrument Table'!$B:$B, $C4908), _xlfn.XLOOKUP($A4909, 'Instrument Table'!$H:$H, 'Instrument Table'!$B:$B, $C4908)))</f>
        <v>Instructional Material</v>
      </c>
      <c r="D4909" s="1" t="str">
        <f>VLOOKUP($C4909, 'Instrument Table'!$B:$C, 2, FALSE)</f>
        <v>Other</v>
      </c>
      <c r="E4909" s="1">
        <f t="shared" si="456"/>
        <v>3</v>
      </c>
      <c r="F4909" s="1">
        <f>_xlfn.XLOOKUP($C4909, 'Instrument Table'!$B:$B, 'Instrument Table'!$A:$A, "")</f>
        <v>63</v>
      </c>
      <c r="G4909" s="1" t="str">
        <f>TEXT(IF($B4909 = "Retail Item", IF((ROW($A4909) - 4504 - _xlfn.XMATCH($C4909, $C$4506:$C$5005, 0, 1)) &lt;= VLOOKUP($C4909, 'Instrument Table'!$B:$D, 3, FALSE), ROW($A4909) - 4504 - _xlfn.XMATCH($C4909, $C$4506:$C$5005, 0, 1), 0), 0), "00")</f>
        <v>44</v>
      </c>
      <c r="H4909" s="1" t="str">
        <f t="shared" si="457"/>
        <v>000</v>
      </c>
      <c r="I4909" s="1" t="str">
        <f t="shared" si="458"/>
        <v>36344-000</v>
      </c>
      <c r="J4909" s="1" t="str">
        <f t="shared" si="459"/>
        <v>Instructional material model #44</v>
      </c>
      <c r="K4909" s="1" t="str">
        <f>IF(SUM(COUNTIFS(I:I, I4909)) &gt; 1, "DUPLICATE", "UNIQUE")</f>
        <v>UNIQUE</v>
      </c>
      <c r="L4909" s="18">
        <v>49</v>
      </c>
      <c r="M4909" s="28">
        <v>4328</v>
      </c>
      <c r="N4909" s="6">
        <v>90</v>
      </c>
      <c r="O4909" s="30">
        <f t="shared" si="460"/>
        <v>212072</v>
      </c>
      <c r="P4909" s="30">
        <f t="shared" si="461"/>
        <v>389520</v>
      </c>
      <c r="Q4909" s="1">
        <f>COUNTIFS($P:$P, "&gt;" &amp; $P4909) + 1</f>
        <v>144</v>
      </c>
      <c r="R4909" s="63">
        <f>(COUNTIFS($P:$P, "&gt;" &amp; $P4909) + 1) / (COUNTA($I:$I) - 1)</f>
        <v>2.8799999999999999E-2</v>
      </c>
      <c r="S4909" s="23">
        <f>SUMIFS($P:$P, $Q:$Q, "&lt;" &amp; $Q4909)</f>
        <v>85638948</v>
      </c>
    </row>
    <row r="4910" spans="1:19" x14ac:dyDescent="0.25">
      <c r="A4910" s="1">
        <v>4905</v>
      </c>
      <c r="B4910" s="1" t="s">
        <v>4</v>
      </c>
      <c r="C4910" s="1" t="str">
        <f>IF($B4910 = "Production Item", _xlfn.XLOOKUP($A4910, 'Instrument Table'!$J:$J, 'Instrument Table'!$B:$B, $C4909), IF($B4910 = "Service Item", _xlfn.XLOOKUP($A4910, 'Instrument Table'!$I:$I, 'Instrument Table'!$B:$B, $C4909), _xlfn.XLOOKUP($A4910, 'Instrument Table'!$H:$H, 'Instrument Table'!$B:$B, $C4909)))</f>
        <v>Instructional Material</v>
      </c>
      <c r="D4910" s="1" t="str">
        <f>VLOOKUP($C4910, 'Instrument Table'!$B:$C, 2, FALSE)</f>
        <v>Other</v>
      </c>
      <c r="E4910" s="1">
        <f t="shared" si="456"/>
        <v>3</v>
      </c>
      <c r="F4910" s="1">
        <f>_xlfn.XLOOKUP($C4910, 'Instrument Table'!$B:$B, 'Instrument Table'!$A:$A, "")</f>
        <v>63</v>
      </c>
      <c r="G4910" s="1" t="str">
        <f>TEXT(IF($B4910 = "Retail Item", IF((ROW($A4910) - 4504 - _xlfn.XMATCH($C4910, $C$4506:$C$5005, 0, 1)) &lt;= VLOOKUP($C4910, 'Instrument Table'!$B:$D, 3, FALSE), ROW($A4910) - 4504 - _xlfn.XMATCH($C4910, $C$4506:$C$5005, 0, 1), 0), 0), "00")</f>
        <v>45</v>
      </c>
      <c r="H4910" s="1" t="str">
        <f t="shared" si="457"/>
        <v>000</v>
      </c>
      <c r="I4910" s="1" t="str">
        <f t="shared" si="458"/>
        <v>36345-000</v>
      </c>
      <c r="J4910" s="1" t="str">
        <f t="shared" si="459"/>
        <v>Instructional material model #45</v>
      </c>
      <c r="K4910" s="1" t="str">
        <f>IF(SUM(COUNTIFS(I:I, I4910)) &gt; 1, "DUPLICATE", "UNIQUE")</f>
        <v>UNIQUE</v>
      </c>
      <c r="L4910" s="18">
        <v>20</v>
      </c>
      <c r="M4910" s="28">
        <v>9141</v>
      </c>
      <c r="N4910" s="6">
        <v>25</v>
      </c>
      <c r="O4910" s="30">
        <f t="shared" si="460"/>
        <v>182820</v>
      </c>
      <c r="P4910" s="30">
        <f t="shared" si="461"/>
        <v>228525</v>
      </c>
      <c r="Q4910" s="1">
        <f>COUNTIFS($P:$P, "&gt;" &amp; $P4910) + 1</f>
        <v>264</v>
      </c>
      <c r="R4910" s="63">
        <f>(COUNTIFS($P:$P, "&gt;" &amp; $P4910) + 1) / (COUNTA($I:$I) - 1)</f>
        <v>5.28E-2</v>
      </c>
      <c r="S4910" s="23">
        <f>SUMIFS($P:$P, $Q:$Q, "&lt;" &amp; $Q4910)</f>
        <v>121995460</v>
      </c>
    </row>
    <row r="4911" spans="1:19" x14ac:dyDescent="0.25">
      <c r="A4911" s="1">
        <v>4906</v>
      </c>
      <c r="B4911" s="1" t="s">
        <v>4</v>
      </c>
      <c r="C4911" s="1" t="str">
        <f>IF($B4911 = "Production Item", _xlfn.XLOOKUP($A4911, 'Instrument Table'!$J:$J, 'Instrument Table'!$B:$B, $C4910), IF($B4911 = "Service Item", _xlfn.XLOOKUP($A4911, 'Instrument Table'!$I:$I, 'Instrument Table'!$B:$B, $C4910), _xlfn.XLOOKUP($A4911, 'Instrument Table'!$H:$H, 'Instrument Table'!$B:$B, $C4910)))</f>
        <v>Instructional Material</v>
      </c>
      <c r="D4911" s="1" t="str">
        <f>VLOOKUP($C4911, 'Instrument Table'!$B:$C, 2, FALSE)</f>
        <v>Other</v>
      </c>
      <c r="E4911" s="1">
        <f t="shared" si="456"/>
        <v>3</v>
      </c>
      <c r="F4911" s="1">
        <f>_xlfn.XLOOKUP($C4911, 'Instrument Table'!$B:$B, 'Instrument Table'!$A:$A, "")</f>
        <v>63</v>
      </c>
      <c r="G4911" s="1" t="str">
        <f>TEXT(IF($B4911 = "Retail Item", IF((ROW($A4911) - 4504 - _xlfn.XMATCH($C4911, $C$4506:$C$5005, 0, 1)) &lt;= VLOOKUP($C4911, 'Instrument Table'!$B:$D, 3, FALSE), ROW($A4911) - 4504 - _xlfn.XMATCH($C4911, $C$4506:$C$5005, 0, 1), 0), 0), "00")</f>
        <v>46</v>
      </c>
      <c r="H4911" s="1" t="str">
        <f t="shared" si="457"/>
        <v>000</v>
      </c>
      <c r="I4911" s="1" t="str">
        <f t="shared" si="458"/>
        <v>36346-000</v>
      </c>
      <c r="J4911" s="1" t="str">
        <f t="shared" si="459"/>
        <v>Instructional material model #46</v>
      </c>
      <c r="K4911" s="1" t="str">
        <f>IF(SUM(COUNTIFS(I:I, I4911)) &gt; 1, "DUPLICATE", "UNIQUE")</f>
        <v>UNIQUE</v>
      </c>
      <c r="L4911" s="18">
        <v>79</v>
      </c>
      <c r="M4911" s="28">
        <v>1285</v>
      </c>
      <c r="N4911" s="6">
        <v>37</v>
      </c>
      <c r="O4911" s="30">
        <f t="shared" si="460"/>
        <v>101515</v>
      </c>
      <c r="P4911" s="30">
        <f t="shared" si="461"/>
        <v>47545</v>
      </c>
      <c r="Q4911" s="1">
        <f>COUNTIFS($P:$P, "&gt;" &amp; $P4911) + 1</f>
        <v>530</v>
      </c>
      <c r="R4911" s="63">
        <f>(COUNTIFS($P:$P, "&gt;" &amp; $P4911) + 1) / (COUNTA($I:$I) - 1)</f>
        <v>0.106</v>
      </c>
      <c r="S4911" s="23">
        <f>SUMIFS($P:$P, $Q:$Q, "&lt;" &amp; $Q4911)</f>
        <v>153100568</v>
      </c>
    </row>
    <row r="4912" spans="1:19" x14ac:dyDescent="0.25">
      <c r="A4912" s="1">
        <v>4907</v>
      </c>
      <c r="B4912" s="1" t="s">
        <v>4</v>
      </c>
      <c r="C4912" s="1" t="str">
        <f>IF($B4912 = "Production Item", _xlfn.XLOOKUP($A4912, 'Instrument Table'!$J:$J, 'Instrument Table'!$B:$B, $C4911), IF($B4912 = "Service Item", _xlfn.XLOOKUP($A4912, 'Instrument Table'!$I:$I, 'Instrument Table'!$B:$B, $C4911), _xlfn.XLOOKUP($A4912, 'Instrument Table'!$H:$H, 'Instrument Table'!$B:$B, $C4911)))</f>
        <v>Instructional Material</v>
      </c>
      <c r="D4912" s="1" t="str">
        <f>VLOOKUP($C4912, 'Instrument Table'!$B:$C, 2, FALSE)</f>
        <v>Other</v>
      </c>
      <c r="E4912" s="1">
        <f t="shared" si="456"/>
        <v>3</v>
      </c>
      <c r="F4912" s="1">
        <f>_xlfn.XLOOKUP($C4912, 'Instrument Table'!$B:$B, 'Instrument Table'!$A:$A, "")</f>
        <v>63</v>
      </c>
      <c r="G4912" s="1" t="str">
        <f>TEXT(IF($B4912 = "Retail Item", IF((ROW($A4912) - 4504 - _xlfn.XMATCH($C4912, $C$4506:$C$5005, 0, 1)) &lt;= VLOOKUP($C4912, 'Instrument Table'!$B:$D, 3, FALSE), ROW($A4912) - 4504 - _xlfn.XMATCH($C4912, $C$4506:$C$5005, 0, 1), 0), 0), "00")</f>
        <v>47</v>
      </c>
      <c r="H4912" s="1" t="str">
        <f t="shared" si="457"/>
        <v>000</v>
      </c>
      <c r="I4912" s="1" t="str">
        <f t="shared" si="458"/>
        <v>36347-000</v>
      </c>
      <c r="J4912" s="1" t="str">
        <f t="shared" si="459"/>
        <v>Instructional material model #47</v>
      </c>
      <c r="K4912" s="1" t="str">
        <f>IF(SUM(COUNTIFS(I:I, I4912)) &gt; 1, "DUPLICATE", "UNIQUE")</f>
        <v>UNIQUE</v>
      </c>
      <c r="L4912" s="18">
        <v>36</v>
      </c>
      <c r="M4912" s="28">
        <v>2435</v>
      </c>
      <c r="N4912" s="6">
        <v>34</v>
      </c>
      <c r="O4912" s="30">
        <f t="shared" si="460"/>
        <v>87660</v>
      </c>
      <c r="P4912" s="30">
        <f t="shared" si="461"/>
        <v>82790</v>
      </c>
      <c r="Q4912" s="1">
        <f>COUNTIFS($P:$P, "&gt;" &amp; $P4912) + 1</f>
        <v>443</v>
      </c>
      <c r="R4912" s="63">
        <f>(COUNTIFS($P:$P, "&gt;" &amp; $P4912) + 1) / (COUNTA($I:$I) - 1)</f>
        <v>8.8599999999999998E-2</v>
      </c>
      <c r="S4912" s="23">
        <f>SUMIFS($P:$P, $Q:$Q, "&lt;" &amp; $Q4912)</f>
        <v>147451835</v>
      </c>
    </row>
    <row r="4913" spans="1:19" x14ac:dyDescent="0.25">
      <c r="A4913" s="1">
        <v>4908</v>
      </c>
      <c r="B4913" s="1" t="s">
        <v>4</v>
      </c>
      <c r="C4913" s="1" t="str">
        <f>IF($B4913 = "Production Item", _xlfn.XLOOKUP($A4913, 'Instrument Table'!$J:$J, 'Instrument Table'!$B:$B, $C4912), IF($B4913 = "Service Item", _xlfn.XLOOKUP($A4913, 'Instrument Table'!$I:$I, 'Instrument Table'!$B:$B, $C4912), _xlfn.XLOOKUP($A4913, 'Instrument Table'!$H:$H, 'Instrument Table'!$B:$B, $C4912)))</f>
        <v>Instructional Material</v>
      </c>
      <c r="D4913" s="1" t="str">
        <f>VLOOKUP($C4913, 'Instrument Table'!$B:$C, 2, FALSE)</f>
        <v>Other</v>
      </c>
      <c r="E4913" s="1">
        <f t="shared" si="456"/>
        <v>3</v>
      </c>
      <c r="F4913" s="1">
        <f>_xlfn.XLOOKUP($C4913, 'Instrument Table'!$B:$B, 'Instrument Table'!$A:$A, "")</f>
        <v>63</v>
      </c>
      <c r="G4913" s="1" t="str">
        <f>TEXT(IF($B4913 = "Retail Item", IF((ROW($A4913) - 4504 - _xlfn.XMATCH($C4913, $C$4506:$C$5005, 0, 1)) &lt;= VLOOKUP($C4913, 'Instrument Table'!$B:$D, 3, FALSE), ROW($A4913) - 4504 - _xlfn.XMATCH($C4913, $C$4506:$C$5005, 0, 1), 0), 0), "00")</f>
        <v>48</v>
      </c>
      <c r="H4913" s="1" t="str">
        <f t="shared" si="457"/>
        <v>000</v>
      </c>
      <c r="I4913" s="1" t="str">
        <f t="shared" si="458"/>
        <v>36348-000</v>
      </c>
      <c r="J4913" s="1" t="str">
        <f t="shared" si="459"/>
        <v>Instructional material model #48</v>
      </c>
      <c r="K4913" s="1" t="str">
        <f>IF(SUM(COUNTIFS(I:I, I4913)) &gt; 1, "DUPLICATE", "UNIQUE")</f>
        <v>UNIQUE</v>
      </c>
      <c r="L4913" s="18">
        <v>19</v>
      </c>
      <c r="M4913" s="28">
        <v>8282</v>
      </c>
      <c r="N4913" s="6">
        <v>64</v>
      </c>
      <c r="O4913" s="30">
        <f t="shared" si="460"/>
        <v>157358</v>
      </c>
      <c r="P4913" s="30">
        <f t="shared" si="461"/>
        <v>530048</v>
      </c>
      <c r="Q4913" s="1">
        <f>COUNTIFS($P:$P, "&gt;" &amp; $P4913) + 1</f>
        <v>84</v>
      </c>
      <c r="R4913" s="63">
        <f>(COUNTIFS($P:$P, "&gt;" &amp; $P4913) + 1) / (COUNTA($I:$I) - 1)</f>
        <v>1.6799999999999999E-2</v>
      </c>
      <c r="S4913" s="23">
        <f>SUMIFS($P:$P, $Q:$Q, "&lt;" &amp; $Q4913)</f>
        <v>57930969</v>
      </c>
    </row>
    <row r="4914" spans="1:19" x14ac:dyDescent="0.25">
      <c r="A4914" s="1">
        <v>4909</v>
      </c>
      <c r="B4914" s="1" t="s">
        <v>4</v>
      </c>
      <c r="C4914" s="1" t="str">
        <f>IF($B4914 = "Production Item", _xlfn.XLOOKUP($A4914, 'Instrument Table'!$J:$J, 'Instrument Table'!$B:$B, $C4913), IF($B4914 = "Service Item", _xlfn.XLOOKUP($A4914, 'Instrument Table'!$I:$I, 'Instrument Table'!$B:$B, $C4913), _xlfn.XLOOKUP($A4914, 'Instrument Table'!$H:$H, 'Instrument Table'!$B:$B, $C4913)))</f>
        <v>Instructional Material</v>
      </c>
      <c r="D4914" s="1" t="str">
        <f>VLOOKUP($C4914, 'Instrument Table'!$B:$C, 2, FALSE)</f>
        <v>Other</v>
      </c>
      <c r="E4914" s="1">
        <f t="shared" si="456"/>
        <v>3</v>
      </c>
      <c r="F4914" s="1">
        <f>_xlfn.XLOOKUP($C4914, 'Instrument Table'!$B:$B, 'Instrument Table'!$A:$A, "")</f>
        <v>63</v>
      </c>
      <c r="G4914" s="1" t="str">
        <f>TEXT(IF($B4914 = "Retail Item", IF((ROW($A4914) - 4504 - _xlfn.XMATCH($C4914, $C$4506:$C$5005, 0, 1)) &lt;= VLOOKUP($C4914, 'Instrument Table'!$B:$D, 3, FALSE), ROW($A4914) - 4504 - _xlfn.XMATCH($C4914, $C$4506:$C$5005, 0, 1), 0), 0), "00")</f>
        <v>49</v>
      </c>
      <c r="H4914" s="1" t="str">
        <f t="shared" si="457"/>
        <v>000</v>
      </c>
      <c r="I4914" s="1" t="str">
        <f t="shared" si="458"/>
        <v>36349-000</v>
      </c>
      <c r="J4914" s="1" t="str">
        <f t="shared" si="459"/>
        <v>Instructional material model #49</v>
      </c>
      <c r="K4914" s="1" t="str">
        <f>IF(SUM(COUNTIFS(I:I, I4914)) &gt; 1, "DUPLICATE", "UNIQUE")</f>
        <v>UNIQUE</v>
      </c>
      <c r="L4914" s="18">
        <v>75</v>
      </c>
      <c r="M4914" s="28">
        <v>7676</v>
      </c>
      <c r="N4914" s="6">
        <v>76</v>
      </c>
      <c r="O4914" s="30">
        <f t="shared" si="460"/>
        <v>575700</v>
      </c>
      <c r="P4914" s="30">
        <f t="shared" si="461"/>
        <v>583376</v>
      </c>
      <c r="Q4914" s="1">
        <f>COUNTIFS($P:$P, "&gt;" &amp; $P4914) + 1</f>
        <v>66</v>
      </c>
      <c r="R4914" s="63">
        <f>(COUNTIFS($P:$P, "&gt;" &amp; $P4914) + 1) / (COUNTA($I:$I) - 1)</f>
        <v>1.32E-2</v>
      </c>
      <c r="S4914" s="23">
        <f>SUMIFS($P:$P, $Q:$Q, "&lt;" &amp; $Q4914)</f>
        <v>47825930</v>
      </c>
    </row>
    <row r="4915" spans="1:19" x14ac:dyDescent="0.25">
      <c r="A4915" s="1">
        <v>4910</v>
      </c>
      <c r="B4915" s="1" t="s">
        <v>4</v>
      </c>
      <c r="C4915" s="1" t="str">
        <f>IF($B4915 = "Production Item", _xlfn.XLOOKUP($A4915, 'Instrument Table'!$J:$J, 'Instrument Table'!$B:$B, $C4914), IF($B4915 = "Service Item", _xlfn.XLOOKUP($A4915, 'Instrument Table'!$I:$I, 'Instrument Table'!$B:$B, $C4914), _xlfn.XLOOKUP($A4915, 'Instrument Table'!$H:$H, 'Instrument Table'!$B:$B, $C4914)))</f>
        <v>Instructional Material</v>
      </c>
      <c r="D4915" s="1" t="str">
        <f>VLOOKUP($C4915, 'Instrument Table'!$B:$C, 2, FALSE)</f>
        <v>Other</v>
      </c>
      <c r="E4915" s="1">
        <f t="shared" si="456"/>
        <v>3</v>
      </c>
      <c r="F4915" s="1">
        <f>_xlfn.XLOOKUP($C4915, 'Instrument Table'!$B:$B, 'Instrument Table'!$A:$A, "")</f>
        <v>63</v>
      </c>
      <c r="G4915" s="1" t="str">
        <f>TEXT(IF($B4915 = "Retail Item", IF((ROW($A4915) - 4504 - _xlfn.XMATCH($C4915, $C$4506:$C$5005, 0, 1)) &lt;= VLOOKUP($C4915, 'Instrument Table'!$B:$D, 3, FALSE), ROW($A4915) - 4504 - _xlfn.XMATCH($C4915, $C$4506:$C$5005, 0, 1), 0), 0), "00")</f>
        <v>50</v>
      </c>
      <c r="H4915" s="1" t="str">
        <f t="shared" si="457"/>
        <v>000</v>
      </c>
      <c r="I4915" s="1" t="str">
        <f t="shared" si="458"/>
        <v>36350-000</v>
      </c>
      <c r="J4915" s="1" t="str">
        <f t="shared" si="459"/>
        <v>Instructional material model #50</v>
      </c>
      <c r="K4915" s="1" t="str">
        <f>IF(SUM(COUNTIFS(I:I, I4915)) &gt; 1, "DUPLICATE", "UNIQUE")</f>
        <v>UNIQUE</v>
      </c>
      <c r="L4915" s="18">
        <v>11</v>
      </c>
      <c r="M4915" s="28">
        <v>1071</v>
      </c>
      <c r="N4915" s="6">
        <v>56</v>
      </c>
      <c r="O4915" s="30">
        <f t="shared" si="460"/>
        <v>11781</v>
      </c>
      <c r="P4915" s="30">
        <f t="shared" si="461"/>
        <v>59976</v>
      </c>
      <c r="Q4915" s="1">
        <f>COUNTIFS($P:$P, "&gt;" &amp; $P4915) + 1</f>
        <v>499</v>
      </c>
      <c r="R4915" s="63">
        <f>(COUNTIFS($P:$P, "&gt;" &amp; $P4915) + 1) / (COUNTA($I:$I) - 1)</f>
        <v>9.98E-2</v>
      </c>
      <c r="S4915" s="23">
        <f>SUMIFS($P:$P, $Q:$Q, "&lt;" &amp; $Q4915)</f>
        <v>151404941</v>
      </c>
    </row>
    <row r="4916" spans="1:19" x14ac:dyDescent="0.25">
      <c r="A4916" s="1">
        <v>4911</v>
      </c>
      <c r="B4916" s="1" t="s">
        <v>4</v>
      </c>
      <c r="C4916" s="1" t="str">
        <f>IF($B4916 = "Production Item", _xlfn.XLOOKUP($A4916, 'Instrument Table'!$J:$J, 'Instrument Table'!$B:$B, $C4915), IF($B4916 = "Service Item", _xlfn.XLOOKUP($A4916, 'Instrument Table'!$I:$I, 'Instrument Table'!$B:$B, $C4915), _xlfn.XLOOKUP($A4916, 'Instrument Table'!$H:$H, 'Instrument Table'!$B:$B, $C4915)))</f>
        <v>Instructional Material</v>
      </c>
      <c r="D4916" s="1" t="str">
        <f>VLOOKUP($C4916, 'Instrument Table'!$B:$C, 2, FALSE)</f>
        <v>Other</v>
      </c>
      <c r="E4916" s="1">
        <f t="shared" si="456"/>
        <v>3</v>
      </c>
      <c r="F4916" s="1">
        <f>_xlfn.XLOOKUP($C4916, 'Instrument Table'!$B:$B, 'Instrument Table'!$A:$A, "")</f>
        <v>63</v>
      </c>
      <c r="G4916" s="1" t="str">
        <f>TEXT(IF($B4916 = "Retail Item", IF((ROW($A4916) - 4504 - _xlfn.XMATCH($C4916, $C$4506:$C$5005, 0, 1)) &lt;= VLOOKUP($C4916, 'Instrument Table'!$B:$D, 3, FALSE), ROW($A4916) - 4504 - _xlfn.XMATCH($C4916, $C$4506:$C$5005, 0, 1), 0), 0), "00")</f>
        <v>51</v>
      </c>
      <c r="H4916" s="1" t="str">
        <f t="shared" si="457"/>
        <v>000</v>
      </c>
      <c r="I4916" s="1" t="str">
        <f t="shared" si="458"/>
        <v>36351-000</v>
      </c>
      <c r="J4916" s="1" t="str">
        <f t="shared" si="459"/>
        <v>Instructional material model #51</v>
      </c>
      <c r="K4916" s="1" t="str">
        <f>IF(SUM(COUNTIFS(I:I, I4916)) &gt; 1, "DUPLICATE", "UNIQUE")</f>
        <v>UNIQUE</v>
      </c>
      <c r="L4916" s="18">
        <v>40</v>
      </c>
      <c r="M4916" s="28">
        <v>5055</v>
      </c>
      <c r="N4916" s="6">
        <v>82</v>
      </c>
      <c r="O4916" s="30">
        <f t="shared" si="460"/>
        <v>202200</v>
      </c>
      <c r="P4916" s="30">
        <f t="shared" si="461"/>
        <v>414510</v>
      </c>
      <c r="Q4916" s="1">
        <f>COUNTIFS($P:$P, "&gt;" &amp; $P4916) + 1</f>
        <v>134</v>
      </c>
      <c r="R4916" s="63">
        <f>(COUNTIFS($P:$P, "&gt;" &amp; $P4916) + 1) / (COUNTA($I:$I) - 1)</f>
        <v>2.6800000000000001E-2</v>
      </c>
      <c r="S4916" s="23">
        <f>SUMIFS($P:$P, $Q:$Q, "&lt;" &amp; $Q4916)</f>
        <v>81577875</v>
      </c>
    </row>
    <row r="4917" spans="1:19" x14ac:dyDescent="0.25">
      <c r="A4917" s="1">
        <v>4912</v>
      </c>
      <c r="B4917" s="1" t="s">
        <v>4</v>
      </c>
      <c r="C4917" s="1" t="str">
        <f>IF($B4917 = "Production Item", _xlfn.XLOOKUP($A4917, 'Instrument Table'!$J:$J, 'Instrument Table'!$B:$B, $C4916), IF($B4917 = "Service Item", _xlfn.XLOOKUP($A4917, 'Instrument Table'!$I:$I, 'Instrument Table'!$B:$B, $C4916), _xlfn.XLOOKUP($A4917, 'Instrument Table'!$H:$H, 'Instrument Table'!$B:$B, $C4916)))</f>
        <v>Instructional Material</v>
      </c>
      <c r="D4917" s="1" t="str">
        <f>VLOOKUP($C4917, 'Instrument Table'!$B:$C, 2, FALSE)</f>
        <v>Other</v>
      </c>
      <c r="E4917" s="1">
        <f t="shared" si="456"/>
        <v>3</v>
      </c>
      <c r="F4917" s="1">
        <f>_xlfn.XLOOKUP($C4917, 'Instrument Table'!$B:$B, 'Instrument Table'!$A:$A, "")</f>
        <v>63</v>
      </c>
      <c r="G4917" s="1" t="str">
        <f>TEXT(IF($B4917 = "Retail Item", IF((ROW($A4917) - 4504 - _xlfn.XMATCH($C4917, $C$4506:$C$5005, 0, 1)) &lt;= VLOOKUP($C4917, 'Instrument Table'!$B:$D, 3, FALSE), ROW($A4917) - 4504 - _xlfn.XMATCH($C4917, $C$4506:$C$5005, 0, 1), 0), 0), "00")</f>
        <v>52</v>
      </c>
      <c r="H4917" s="1" t="str">
        <f t="shared" si="457"/>
        <v>000</v>
      </c>
      <c r="I4917" s="1" t="str">
        <f t="shared" si="458"/>
        <v>36352-000</v>
      </c>
      <c r="J4917" s="1" t="str">
        <f t="shared" si="459"/>
        <v>Instructional material model #52</v>
      </c>
      <c r="K4917" s="1" t="str">
        <f>IF(SUM(COUNTIFS(I:I, I4917)) &gt; 1, "DUPLICATE", "UNIQUE")</f>
        <v>UNIQUE</v>
      </c>
      <c r="L4917" s="18">
        <v>82</v>
      </c>
      <c r="M4917" s="28">
        <v>1408</v>
      </c>
      <c r="N4917" s="6">
        <v>30</v>
      </c>
      <c r="O4917" s="30">
        <f t="shared" si="460"/>
        <v>115456</v>
      </c>
      <c r="P4917" s="30">
        <f t="shared" si="461"/>
        <v>42240</v>
      </c>
      <c r="Q4917" s="1">
        <f>COUNTIFS($P:$P, "&gt;" &amp; $P4917) + 1</f>
        <v>543</v>
      </c>
      <c r="R4917" s="63">
        <f>(COUNTIFS($P:$P, "&gt;" &amp; $P4917) + 1) / (COUNTA($I:$I) - 1)</f>
        <v>0.1086</v>
      </c>
      <c r="S4917" s="23">
        <f>SUMIFS($P:$P, $Q:$Q, "&lt;" &amp; $Q4917)</f>
        <v>153687415</v>
      </c>
    </row>
    <row r="4918" spans="1:19" x14ac:dyDescent="0.25">
      <c r="A4918" s="1">
        <v>4913</v>
      </c>
      <c r="B4918" s="1" t="s">
        <v>4</v>
      </c>
      <c r="C4918" s="1" t="str">
        <f>IF($B4918 = "Production Item", _xlfn.XLOOKUP($A4918, 'Instrument Table'!$J:$J, 'Instrument Table'!$B:$B, $C4917), IF($B4918 = "Service Item", _xlfn.XLOOKUP($A4918, 'Instrument Table'!$I:$I, 'Instrument Table'!$B:$B, $C4917), _xlfn.XLOOKUP($A4918, 'Instrument Table'!$H:$H, 'Instrument Table'!$B:$B, $C4917)))</f>
        <v>Instructional Material</v>
      </c>
      <c r="D4918" s="1" t="str">
        <f>VLOOKUP($C4918, 'Instrument Table'!$B:$C, 2, FALSE)</f>
        <v>Other</v>
      </c>
      <c r="E4918" s="1">
        <f t="shared" si="456"/>
        <v>3</v>
      </c>
      <c r="F4918" s="1">
        <f>_xlfn.XLOOKUP($C4918, 'Instrument Table'!$B:$B, 'Instrument Table'!$A:$A, "")</f>
        <v>63</v>
      </c>
      <c r="G4918" s="1" t="str">
        <f>TEXT(IF($B4918 = "Retail Item", IF((ROW($A4918) - 4504 - _xlfn.XMATCH($C4918, $C$4506:$C$5005, 0, 1)) &lt;= VLOOKUP($C4918, 'Instrument Table'!$B:$D, 3, FALSE), ROW($A4918) - 4504 - _xlfn.XMATCH($C4918, $C$4506:$C$5005, 0, 1), 0), 0), "00")</f>
        <v>53</v>
      </c>
      <c r="H4918" s="1" t="str">
        <f t="shared" si="457"/>
        <v>000</v>
      </c>
      <c r="I4918" s="1" t="str">
        <f t="shared" si="458"/>
        <v>36353-000</v>
      </c>
      <c r="J4918" s="1" t="str">
        <f t="shared" si="459"/>
        <v>Instructional material model #53</v>
      </c>
      <c r="K4918" s="1" t="str">
        <f>IF(SUM(COUNTIFS(I:I, I4918)) &gt; 1, "DUPLICATE", "UNIQUE")</f>
        <v>UNIQUE</v>
      </c>
      <c r="L4918" s="18">
        <v>6</v>
      </c>
      <c r="M4918" s="28">
        <v>6594</v>
      </c>
      <c r="N4918" s="6">
        <v>99</v>
      </c>
      <c r="O4918" s="30">
        <f t="shared" si="460"/>
        <v>39564</v>
      </c>
      <c r="P4918" s="30">
        <f t="shared" si="461"/>
        <v>652806</v>
      </c>
      <c r="Q4918" s="1">
        <f>COUNTIFS($P:$P, "&gt;" &amp; $P4918) + 1</f>
        <v>45</v>
      </c>
      <c r="R4918" s="63">
        <f>(COUNTIFS($P:$P, "&gt;" &amp; $P4918) + 1) / (COUNTA($I:$I) - 1)</f>
        <v>8.9999999999999993E-3</v>
      </c>
      <c r="S4918" s="23">
        <f>SUMIFS($P:$P, $Q:$Q, "&lt;" &amp; $Q4918)</f>
        <v>34683251</v>
      </c>
    </row>
    <row r="4919" spans="1:19" x14ac:dyDescent="0.25">
      <c r="A4919" s="1">
        <v>4914</v>
      </c>
      <c r="B4919" s="1" t="s">
        <v>4</v>
      </c>
      <c r="C4919" s="1" t="str">
        <f>IF($B4919 = "Production Item", _xlfn.XLOOKUP($A4919, 'Instrument Table'!$J:$J, 'Instrument Table'!$B:$B, $C4918), IF($B4919 = "Service Item", _xlfn.XLOOKUP($A4919, 'Instrument Table'!$I:$I, 'Instrument Table'!$B:$B, $C4918), _xlfn.XLOOKUP($A4919, 'Instrument Table'!$H:$H, 'Instrument Table'!$B:$B, $C4918)))</f>
        <v>Instructional Material</v>
      </c>
      <c r="D4919" s="1" t="str">
        <f>VLOOKUP($C4919, 'Instrument Table'!$B:$C, 2, FALSE)</f>
        <v>Other</v>
      </c>
      <c r="E4919" s="1">
        <f t="shared" si="456"/>
        <v>3</v>
      </c>
      <c r="F4919" s="1">
        <f>_xlfn.XLOOKUP($C4919, 'Instrument Table'!$B:$B, 'Instrument Table'!$A:$A, "")</f>
        <v>63</v>
      </c>
      <c r="G4919" s="1" t="str">
        <f>TEXT(IF($B4919 = "Retail Item", IF((ROW($A4919) - 4504 - _xlfn.XMATCH($C4919, $C$4506:$C$5005, 0, 1)) &lt;= VLOOKUP($C4919, 'Instrument Table'!$B:$D, 3, FALSE), ROW($A4919) - 4504 - _xlfn.XMATCH($C4919, $C$4506:$C$5005, 0, 1), 0), 0), "00")</f>
        <v>54</v>
      </c>
      <c r="H4919" s="1" t="str">
        <f t="shared" si="457"/>
        <v>000</v>
      </c>
      <c r="I4919" s="1" t="str">
        <f t="shared" si="458"/>
        <v>36354-000</v>
      </c>
      <c r="J4919" s="1" t="str">
        <f t="shared" si="459"/>
        <v>Instructional material model #54</v>
      </c>
      <c r="K4919" s="1" t="str">
        <f>IF(SUM(COUNTIFS(I:I, I4919)) &gt; 1, "DUPLICATE", "UNIQUE")</f>
        <v>UNIQUE</v>
      </c>
      <c r="L4919" s="18">
        <v>41</v>
      </c>
      <c r="M4919" s="28">
        <v>6218</v>
      </c>
      <c r="N4919" s="6">
        <v>47</v>
      </c>
      <c r="O4919" s="30">
        <f t="shared" si="460"/>
        <v>254938</v>
      </c>
      <c r="P4919" s="30">
        <f t="shared" si="461"/>
        <v>292246</v>
      </c>
      <c r="Q4919" s="1">
        <f>COUNTIFS($P:$P, "&gt;" &amp; $P4919) + 1</f>
        <v>213</v>
      </c>
      <c r="R4919" s="63">
        <f>(COUNTIFS($P:$P, "&gt;" &amp; $P4919) + 1) / (COUNTA($I:$I) - 1)</f>
        <v>4.2599999999999999E-2</v>
      </c>
      <c r="S4919" s="23">
        <f>SUMIFS($P:$P, $Q:$Q, "&lt;" &amp; $Q4919)</f>
        <v>108797607</v>
      </c>
    </row>
    <row r="4920" spans="1:19" x14ac:dyDescent="0.25">
      <c r="A4920" s="1">
        <v>4915</v>
      </c>
      <c r="B4920" s="1" t="s">
        <v>4</v>
      </c>
      <c r="C4920" s="1" t="str">
        <f>IF($B4920 = "Production Item", _xlfn.XLOOKUP($A4920, 'Instrument Table'!$J:$J, 'Instrument Table'!$B:$B, $C4919), IF($B4920 = "Service Item", _xlfn.XLOOKUP($A4920, 'Instrument Table'!$I:$I, 'Instrument Table'!$B:$B, $C4919), _xlfn.XLOOKUP($A4920, 'Instrument Table'!$H:$H, 'Instrument Table'!$B:$B, $C4919)))</f>
        <v>Instructional Material</v>
      </c>
      <c r="D4920" s="1" t="str">
        <f>VLOOKUP($C4920, 'Instrument Table'!$B:$C, 2, FALSE)</f>
        <v>Other</v>
      </c>
      <c r="E4920" s="1">
        <f t="shared" si="456"/>
        <v>3</v>
      </c>
      <c r="F4920" s="1">
        <f>_xlfn.XLOOKUP($C4920, 'Instrument Table'!$B:$B, 'Instrument Table'!$A:$A, "")</f>
        <v>63</v>
      </c>
      <c r="G4920" s="1" t="str">
        <f>TEXT(IF($B4920 = "Retail Item", IF((ROW($A4920) - 4504 - _xlfn.XMATCH($C4920, $C$4506:$C$5005, 0, 1)) &lt;= VLOOKUP($C4920, 'Instrument Table'!$B:$D, 3, FALSE), ROW($A4920) - 4504 - _xlfn.XMATCH($C4920, $C$4506:$C$5005, 0, 1), 0), 0), "00")</f>
        <v>55</v>
      </c>
      <c r="H4920" s="1" t="str">
        <f t="shared" si="457"/>
        <v>000</v>
      </c>
      <c r="I4920" s="1" t="str">
        <f t="shared" si="458"/>
        <v>36355-000</v>
      </c>
      <c r="J4920" s="1" t="str">
        <f t="shared" si="459"/>
        <v>Instructional material model #55</v>
      </c>
      <c r="K4920" s="1" t="str">
        <f>IF(SUM(COUNTIFS(I:I, I4920)) &gt; 1, "DUPLICATE", "UNIQUE")</f>
        <v>UNIQUE</v>
      </c>
      <c r="L4920" s="18">
        <v>36</v>
      </c>
      <c r="M4920" s="28">
        <v>7639</v>
      </c>
      <c r="N4920" s="6">
        <v>27</v>
      </c>
      <c r="O4920" s="30">
        <f t="shared" si="460"/>
        <v>275004</v>
      </c>
      <c r="P4920" s="30">
        <f t="shared" si="461"/>
        <v>206253</v>
      </c>
      <c r="Q4920" s="1">
        <f>COUNTIFS($P:$P, "&gt;" &amp; $P4920) + 1</f>
        <v>284</v>
      </c>
      <c r="R4920" s="63">
        <f>(COUNTIFS($P:$P, "&gt;" &amp; $P4920) + 1) / (COUNTA($I:$I) - 1)</f>
        <v>5.6800000000000003E-2</v>
      </c>
      <c r="S4920" s="23">
        <f>SUMIFS($P:$P, $Q:$Q, "&lt;" &amp; $Q4920)</f>
        <v>126399390</v>
      </c>
    </row>
    <row r="4921" spans="1:19" x14ac:dyDescent="0.25">
      <c r="A4921" s="1">
        <v>4916</v>
      </c>
      <c r="B4921" s="1" t="s">
        <v>4</v>
      </c>
      <c r="C4921" s="1" t="str">
        <f>IF($B4921 = "Production Item", _xlfn.XLOOKUP($A4921, 'Instrument Table'!$J:$J, 'Instrument Table'!$B:$B, $C4920), IF($B4921 = "Service Item", _xlfn.XLOOKUP($A4921, 'Instrument Table'!$I:$I, 'Instrument Table'!$B:$B, $C4920), _xlfn.XLOOKUP($A4921, 'Instrument Table'!$H:$H, 'Instrument Table'!$B:$B, $C4920)))</f>
        <v>Instructional Material</v>
      </c>
      <c r="D4921" s="1" t="str">
        <f>VLOOKUP($C4921, 'Instrument Table'!$B:$C, 2, FALSE)</f>
        <v>Other</v>
      </c>
      <c r="E4921" s="1">
        <f t="shared" si="456"/>
        <v>3</v>
      </c>
      <c r="F4921" s="1">
        <f>_xlfn.XLOOKUP($C4921, 'Instrument Table'!$B:$B, 'Instrument Table'!$A:$A, "")</f>
        <v>63</v>
      </c>
      <c r="G4921" s="1" t="str">
        <f>TEXT(IF($B4921 = "Retail Item", IF((ROW($A4921) - 4504 - _xlfn.XMATCH($C4921, $C$4506:$C$5005, 0, 1)) &lt;= VLOOKUP($C4921, 'Instrument Table'!$B:$D, 3, FALSE), ROW($A4921) - 4504 - _xlfn.XMATCH($C4921, $C$4506:$C$5005, 0, 1), 0), 0), "00")</f>
        <v>56</v>
      </c>
      <c r="H4921" s="1" t="str">
        <f t="shared" si="457"/>
        <v>000</v>
      </c>
      <c r="I4921" s="1" t="str">
        <f t="shared" si="458"/>
        <v>36356-000</v>
      </c>
      <c r="J4921" s="1" t="str">
        <f t="shared" si="459"/>
        <v>Instructional material model #56</v>
      </c>
      <c r="K4921" s="1" t="str">
        <f>IF(SUM(COUNTIFS(I:I, I4921)) &gt; 1, "DUPLICATE", "UNIQUE")</f>
        <v>UNIQUE</v>
      </c>
      <c r="L4921" s="18">
        <v>18</v>
      </c>
      <c r="M4921" s="28">
        <v>8804</v>
      </c>
      <c r="N4921" s="6">
        <v>74</v>
      </c>
      <c r="O4921" s="30">
        <f t="shared" si="460"/>
        <v>158472</v>
      </c>
      <c r="P4921" s="30">
        <f t="shared" si="461"/>
        <v>651496</v>
      </c>
      <c r="Q4921" s="1">
        <f>COUNTIFS($P:$P, "&gt;" &amp; $P4921) + 1</f>
        <v>46</v>
      </c>
      <c r="R4921" s="63">
        <f>(COUNTIFS($P:$P, "&gt;" &amp; $P4921) + 1) / (COUNTA($I:$I) - 1)</f>
        <v>9.1999999999999998E-3</v>
      </c>
      <c r="S4921" s="23">
        <f>SUMIFS($P:$P, $Q:$Q, "&lt;" &amp; $Q4921)</f>
        <v>35336057</v>
      </c>
    </row>
    <row r="4922" spans="1:19" x14ac:dyDescent="0.25">
      <c r="A4922" s="1">
        <v>4917</v>
      </c>
      <c r="B4922" s="1" t="s">
        <v>4</v>
      </c>
      <c r="C4922" s="1" t="str">
        <f>IF($B4922 = "Production Item", _xlfn.XLOOKUP($A4922, 'Instrument Table'!$J:$J, 'Instrument Table'!$B:$B, $C4921), IF($B4922 = "Service Item", _xlfn.XLOOKUP($A4922, 'Instrument Table'!$I:$I, 'Instrument Table'!$B:$B, $C4921), _xlfn.XLOOKUP($A4922, 'Instrument Table'!$H:$H, 'Instrument Table'!$B:$B, $C4921)))</f>
        <v>Instructional Material</v>
      </c>
      <c r="D4922" s="1" t="str">
        <f>VLOOKUP($C4922, 'Instrument Table'!$B:$C, 2, FALSE)</f>
        <v>Other</v>
      </c>
      <c r="E4922" s="1">
        <f t="shared" si="456"/>
        <v>3</v>
      </c>
      <c r="F4922" s="1">
        <f>_xlfn.XLOOKUP($C4922, 'Instrument Table'!$B:$B, 'Instrument Table'!$A:$A, "")</f>
        <v>63</v>
      </c>
      <c r="G4922" s="1" t="str">
        <f>TEXT(IF($B4922 = "Retail Item", IF((ROW($A4922) - 4504 - _xlfn.XMATCH($C4922, $C$4506:$C$5005, 0, 1)) &lt;= VLOOKUP($C4922, 'Instrument Table'!$B:$D, 3, FALSE), ROW($A4922) - 4504 - _xlfn.XMATCH($C4922, $C$4506:$C$5005, 0, 1), 0), 0), "00")</f>
        <v>57</v>
      </c>
      <c r="H4922" s="1" t="str">
        <f t="shared" si="457"/>
        <v>000</v>
      </c>
      <c r="I4922" s="1" t="str">
        <f t="shared" si="458"/>
        <v>36357-000</v>
      </c>
      <c r="J4922" s="1" t="str">
        <f t="shared" si="459"/>
        <v>Instructional material model #57</v>
      </c>
      <c r="K4922" s="1" t="str">
        <f>IF(SUM(COUNTIFS(I:I, I4922)) &gt; 1, "DUPLICATE", "UNIQUE")</f>
        <v>UNIQUE</v>
      </c>
      <c r="L4922" s="18">
        <v>72</v>
      </c>
      <c r="M4922" s="28">
        <v>4841</v>
      </c>
      <c r="N4922" s="6">
        <v>43</v>
      </c>
      <c r="O4922" s="30">
        <f t="shared" si="460"/>
        <v>348552</v>
      </c>
      <c r="P4922" s="30">
        <f t="shared" si="461"/>
        <v>208163</v>
      </c>
      <c r="Q4922" s="1">
        <f>COUNTIFS($P:$P, "&gt;" &amp; $P4922) + 1</f>
        <v>281</v>
      </c>
      <c r="R4922" s="63">
        <f>(COUNTIFS($P:$P, "&gt;" &amp; $P4922) + 1) / (COUNTA($I:$I) - 1)</f>
        <v>5.62E-2</v>
      </c>
      <c r="S4922" s="23">
        <f>SUMIFS($P:$P, $Q:$Q, "&lt;" &amp; $Q4922)</f>
        <v>125777123</v>
      </c>
    </row>
    <row r="4923" spans="1:19" x14ac:dyDescent="0.25">
      <c r="A4923" s="1">
        <v>4918</v>
      </c>
      <c r="B4923" s="1" t="s">
        <v>4</v>
      </c>
      <c r="C4923" s="1" t="str">
        <f>IF($B4923 = "Production Item", _xlfn.XLOOKUP($A4923, 'Instrument Table'!$J:$J, 'Instrument Table'!$B:$B, $C4922), IF($B4923 = "Service Item", _xlfn.XLOOKUP($A4923, 'Instrument Table'!$I:$I, 'Instrument Table'!$B:$B, $C4922), _xlfn.XLOOKUP($A4923, 'Instrument Table'!$H:$H, 'Instrument Table'!$B:$B, $C4922)))</f>
        <v>Instructional Material</v>
      </c>
      <c r="D4923" s="1" t="str">
        <f>VLOOKUP($C4923, 'Instrument Table'!$B:$C, 2, FALSE)</f>
        <v>Other</v>
      </c>
      <c r="E4923" s="1">
        <f t="shared" si="456"/>
        <v>3</v>
      </c>
      <c r="F4923" s="1">
        <f>_xlfn.XLOOKUP($C4923, 'Instrument Table'!$B:$B, 'Instrument Table'!$A:$A, "")</f>
        <v>63</v>
      </c>
      <c r="G4923" s="1" t="str">
        <f>TEXT(IF($B4923 = "Retail Item", IF((ROW($A4923) - 4504 - _xlfn.XMATCH($C4923, $C$4506:$C$5005, 0, 1)) &lt;= VLOOKUP($C4923, 'Instrument Table'!$B:$D, 3, FALSE), ROW($A4923) - 4504 - _xlfn.XMATCH($C4923, $C$4506:$C$5005, 0, 1), 0), 0), "00")</f>
        <v>58</v>
      </c>
      <c r="H4923" s="1" t="str">
        <f t="shared" si="457"/>
        <v>000</v>
      </c>
      <c r="I4923" s="1" t="str">
        <f t="shared" si="458"/>
        <v>36358-000</v>
      </c>
      <c r="J4923" s="1" t="str">
        <f t="shared" si="459"/>
        <v>Instructional material model #58</v>
      </c>
      <c r="K4923" s="1" t="str">
        <f>IF(SUM(COUNTIFS(I:I, I4923)) &gt; 1, "DUPLICATE", "UNIQUE")</f>
        <v>UNIQUE</v>
      </c>
      <c r="L4923" s="18">
        <v>3</v>
      </c>
      <c r="M4923" s="28">
        <v>9681</v>
      </c>
      <c r="N4923" s="6">
        <v>76</v>
      </c>
      <c r="O4923" s="30">
        <f t="shared" si="460"/>
        <v>29043</v>
      </c>
      <c r="P4923" s="30">
        <f t="shared" si="461"/>
        <v>735756</v>
      </c>
      <c r="Q4923" s="1">
        <f>COUNTIFS($P:$P, "&gt;" &amp; $P4923) + 1</f>
        <v>31</v>
      </c>
      <c r="R4923" s="63">
        <f>(COUNTIFS($P:$P, "&gt;" &amp; $P4923) + 1) / (COUNTA($I:$I) - 1)</f>
        <v>6.1999999999999998E-3</v>
      </c>
      <c r="S4923" s="23">
        <f>SUMIFS($P:$P, $Q:$Q, "&lt;" &amp; $Q4923)</f>
        <v>24902013</v>
      </c>
    </row>
    <row r="4924" spans="1:19" x14ac:dyDescent="0.25">
      <c r="A4924" s="1">
        <v>4919</v>
      </c>
      <c r="B4924" s="1" t="s">
        <v>4</v>
      </c>
      <c r="C4924" s="1" t="str">
        <f>IF($B4924 = "Production Item", _xlfn.XLOOKUP($A4924, 'Instrument Table'!$J:$J, 'Instrument Table'!$B:$B, $C4923), IF($B4924 = "Service Item", _xlfn.XLOOKUP($A4924, 'Instrument Table'!$I:$I, 'Instrument Table'!$B:$B, $C4923), _xlfn.XLOOKUP($A4924, 'Instrument Table'!$H:$H, 'Instrument Table'!$B:$B, $C4923)))</f>
        <v>Instructional Material</v>
      </c>
      <c r="D4924" s="1" t="str">
        <f>VLOOKUP($C4924, 'Instrument Table'!$B:$C, 2, FALSE)</f>
        <v>Other</v>
      </c>
      <c r="E4924" s="1">
        <f t="shared" si="456"/>
        <v>3</v>
      </c>
      <c r="F4924" s="1">
        <f>_xlfn.XLOOKUP($C4924, 'Instrument Table'!$B:$B, 'Instrument Table'!$A:$A, "")</f>
        <v>63</v>
      </c>
      <c r="G4924" s="1" t="str">
        <f>TEXT(IF($B4924 = "Retail Item", IF((ROW($A4924) - 4504 - _xlfn.XMATCH($C4924, $C$4506:$C$5005, 0, 1)) &lt;= VLOOKUP($C4924, 'Instrument Table'!$B:$D, 3, FALSE), ROW($A4924) - 4504 - _xlfn.XMATCH($C4924, $C$4506:$C$5005, 0, 1), 0), 0), "00")</f>
        <v>59</v>
      </c>
      <c r="H4924" s="1" t="str">
        <f t="shared" si="457"/>
        <v>000</v>
      </c>
      <c r="I4924" s="1" t="str">
        <f t="shared" si="458"/>
        <v>36359-000</v>
      </c>
      <c r="J4924" s="1" t="str">
        <f t="shared" si="459"/>
        <v>Instructional material model #59</v>
      </c>
      <c r="K4924" s="1" t="str">
        <f>IF(SUM(COUNTIFS(I:I, I4924)) &gt; 1, "DUPLICATE", "UNIQUE")</f>
        <v>UNIQUE</v>
      </c>
      <c r="L4924" s="18">
        <v>99</v>
      </c>
      <c r="M4924" s="28">
        <v>5615</v>
      </c>
      <c r="N4924" s="6">
        <v>53</v>
      </c>
      <c r="O4924" s="30">
        <f t="shared" si="460"/>
        <v>555885</v>
      </c>
      <c r="P4924" s="30">
        <f t="shared" si="461"/>
        <v>297595</v>
      </c>
      <c r="Q4924" s="1">
        <f>COUNTIFS($P:$P, "&gt;" &amp; $P4924) + 1</f>
        <v>205</v>
      </c>
      <c r="R4924" s="63">
        <f>(COUNTIFS($P:$P, "&gt;" &amp; $P4924) + 1) / (COUNTA($I:$I) - 1)</f>
        <v>4.1000000000000002E-2</v>
      </c>
      <c r="S4924" s="23">
        <f>SUMIFS($P:$P, $Q:$Q, "&lt;" &amp; $Q4924)</f>
        <v>106436292</v>
      </c>
    </row>
    <row r="4925" spans="1:19" x14ac:dyDescent="0.25">
      <c r="A4925" s="1">
        <v>4920</v>
      </c>
      <c r="B4925" s="1" t="s">
        <v>4</v>
      </c>
      <c r="C4925" s="1" t="str">
        <f>IF($B4925 = "Production Item", _xlfn.XLOOKUP($A4925, 'Instrument Table'!$J:$J, 'Instrument Table'!$B:$B, $C4924), IF($B4925 = "Service Item", _xlfn.XLOOKUP($A4925, 'Instrument Table'!$I:$I, 'Instrument Table'!$B:$B, $C4924), _xlfn.XLOOKUP($A4925, 'Instrument Table'!$H:$H, 'Instrument Table'!$B:$B, $C4924)))</f>
        <v>Instructional Material</v>
      </c>
      <c r="D4925" s="1" t="str">
        <f>VLOOKUP($C4925, 'Instrument Table'!$B:$C, 2, FALSE)</f>
        <v>Other</v>
      </c>
      <c r="E4925" s="1">
        <f t="shared" si="456"/>
        <v>3</v>
      </c>
      <c r="F4925" s="1">
        <f>_xlfn.XLOOKUP($C4925, 'Instrument Table'!$B:$B, 'Instrument Table'!$A:$A, "")</f>
        <v>63</v>
      </c>
      <c r="G4925" s="1" t="str">
        <f>TEXT(IF($B4925 = "Retail Item", IF((ROW($A4925) - 4504 - _xlfn.XMATCH($C4925, $C$4506:$C$5005, 0, 1)) &lt;= VLOOKUP($C4925, 'Instrument Table'!$B:$D, 3, FALSE), ROW($A4925) - 4504 - _xlfn.XMATCH($C4925, $C$4506:$C$5005, 0, 1), 0), 0), "00")</f>
        <v>60</v>
      </c>
      <c r="H4925" s="1" t="str">
        <f t="shared" si="457"/>
        <v>000</v>
      </c>
      <c r="I4925" s="1" t="str">
        <f t="shared" si="458"/>
        <v>36360-000</v>
      </c>
      <c r="J4925" s="1" t="str">
        <f t="shared" si="459"/>
        <v>Instructional material model #60</v>
      </c>
      <c r="K4925" s="1" t="str">
        <f>IF(SUM(COUNTIFS(I:I, I4925)) &gt; 1, "DUPLICATE", "UNIQUE")</f>
        <v>UNIQUE</v>
      </c>
      <c r="L4925" s="18">
        <v>6</v>
      </c>
      <c r="M4925" s="28">
        <v>5887</v>
      </c>
      <c r="N4925" s="6">
        <v>17</v>
      </c>
      <c r="O4925" s="30">
        <f t="shared" si="460"/>
        <v>35322</v>
      </c>
      <c r="P4925" s="30">
        <f t="shared" si="461"/>
        <v>100079</v>
      </c>
      <c r="Q4925" s="1">
        <f>COUNTIFS($P:$P, "&gt;" &amp; $P4925) + 1</f>
        <v>408</v>
      </c>
      <c r="R4925" s="63">
        <f>(COUNTIFS($P:$P, "&gt;" &amp; $P4925) + 1) / (COUNTA($I:$I) - 1)</f>
        <v>8.1600000000000006E-2</v>
      </c>
      <c r="S4925" s="23">
        <f>SUMIFS($P:$P, $Q:$Q, "&lt;" &amp; $Q4925)</f>
        <v>144260253</v>
      </c>
    </row>
    <row r="4926" spans="1:19" x14ac:dyDescent="0.25">
      <c r="A4926" s="1">
        <v>4921</v>
      </c>
      <c r="B4926" s="1" t="s">
        <v>4</v>
      </c>
      <c r="C4926" s="1" t="str">
        <f>IF($B4926 = "Production Item", _xlfn.XLOOKUP($A4926, 'Instrument Table'!$J:$J, 'Instrument Table'!$B:$B, $C4925), IF($B4926 = "Service Item", _xlfn.XLOOKUP($A4926, 'Instrument Table'!$I:$I, 'Instrument Table'!$B:$B, $C4925), _xlfn.XLOOKUP($A4926, 'Instrument Table'!$H:$H, 'Instrument Table'!$B:$B, $C4925)))</f>
        <v>Musical Accessories</v>
      </c>
      <c r="D4926" s="1" t="str">
        <f>VLOOKUP($C4926, 'Instrument Table'!$B:$C, 2, FALSE)</f>
        <v>Other</v>
      </c>
      <c r="E4926" s="1">
        <f t="shared" si="456"/>
        <v>3</v>
      </c>
      <c r="F4926" s="1">
        <f>_xlfn.XLOOKUP($C4926, 'Instrument Table'!$B:$B, 'Instrument Table'!$A:$A, "")</f>
        <v>64</v>
      </c>
      <c r="G4926" s="1" t="str">
        <f>TEXT(IF($B4926 = "Retail Item", IF((ROW($A4926) - 4504 - _xlfn.XMATCH($C4926, $C$4506:$C$5005, 0, 1)) &lt;= VLOOKUP($C4926, 'Instrument Table'!$B:$D, 3, FALSE), ROW($A4926) - 4504 - _xlfn.XMATCH($C4926, $C$4506:$C$5005, 0, 1), 0), 0), "00")</f>
        <v>01</v>
      </c>
      <c r="H4926" s="1" t="str">
        <f t="shared" si="457"/>
        <v>000</v>
      </c>
      <c r="I4926" s="1" t="str">
        <f t="shared" si="458"/>
        <v>36401-000</v>
      </c>
      <c r="J4926" s="1" t="str">
        <f t="shared" si="459"/>
        <v>Musical accessories model #01</v>
      </c>
      <c r="K4926" s="1" t="str">
        <f>IF(SUM(COUNTIFS(I:I, I4926)) &gt; 1, "DUPLICATE", "UNIQUE")</f>
        <v>UNIQUE</v>
      </c>
      <c r="L4926" s="18">
        <v>70</v>
      </c>
      <c r="M4926" s="28">
        <v>1664</v>
      </c>
      <c r="N4926" s="6">
        <v>88</v>
      </c>
      <c r="O4926" s="30">
        <f t="shared" si="460"/>
        <v>116480</v>
      </c>
      <c r="P4926" s="30">
        <f t="shared" si="461"/>
        <v>146432</v>
      </c>
      <c r="Q4926" s="1">
        <f>COUNTIFS($P:$P, "&gt;" &amp; $P4926) + 1</f>
        <v>337</v>
      </c>
      <c r="R4926" s="63">
        <f>(COUNTIFS($P:$P, "&gt;" &amp; $P4926) + 1) / (COUNTA($I:$I) - 1)</f>
        <v>6.7400000000000002E-2</v>
      </c>
      <c r="S4926" s="23">
        <f>SUMIFS($P:$P, $Q:$Q, "&lt;" &amp; $Q4926)</f>
        <v>135617594</v>
      </c>
    </row>
    <row r="4927" spans="1:19" x14ac:dyDescent="0.25">
      <c r="A4927" s="1">
        <v>4922</v>
      </c>
      <c r="B4927" s="1" t="s">
        <v>4</v>
      </c>
      <c r="C4927" s="1" t="str">
        <f>IF($B4927 = "Production Item", _xlfn.XLOOKUP($A4927, 'Instrument Table'!$J:$J, 'Instrument Table'!$B:$B, $C4926), IF($B4927 = "Service Item", _xlfn.XLOOKUP($A4927, 'Instrument Table'!$I:$I, 'Instrument Table'!$B:$B, $C4926), _xlfn.XLOOKUP($A4927, 'Instrument Table'!$H:$H, 'Instrument Table'!$B:$B, $C4926)))</f>
        <v>Musical Accessories</v>
      </c>
      <c r="D4927" s="1" t="str">
        <f>VLOOKUP($C4927, 'Instrument Table'!$B:$C, 2, FALSE)</f>
        <v>Other</v>
      </c>
      <c r="E4927" s="1">
        <f t="shared" si="456"/>
        <v>3</v>
      </c>
      <c r="F4927" s="1">
        <f>_xlfn.XLOOKUP($C4927, 'Instrument Table'!$B:$B, 'Instrument Table'!$A:$A, "")</f>
        <v>64</v>
      </c>
      <c r="G4927" s="1" t="str">
        <f>TEXT(IF($B4927 = "Retail Item", IF((ROW($A4927) - 4504 - _xlfn.XMATCH($C4927, $C$4506:$C$5005, 0, 1)) &lt;= VLOOKUP($C4927, 'Instrument Table'!$B:$D, 3, FALSE), ROW($A4927) - 4504 - _xlfn.XMATCH($C4927, $C$4506:$C$5005, 0, 1), 0), 0), "00")</f>
        <v>02</v>
      </c>
      <c r="H4927" s="1" t="str">
        <f t="shared" si="457"/>
        <v>000</v>
      </c>
      <c r="I4927" s="1" t="str">
        <f t="shared" si="458"/>
        <v>36402-000</v>
      </c>
      <c r="J4927" s="1" t="str">
        <f t="shared" si="459"/>
        <v>Musical accessories model #02</v>
      </c>
      <c r="K4927" s="1" t="str">
        <f>IF(SUM(COUNTIFS(I:I, I4927)) &gt; 1, "DUPLICATE", "UNIQUE")</f>
        <v>UNIQUE</v>
      </c>
      <c r="L4927" s="18">
        <v>33</v>
      </c>
      <c r="M4927" s="28">
        <v>1261</v>
      </c>
      <c r="N4927" s="6">
        <v>53</v>
      </c>
      <c r="O4927" s="30">
        <f t="shared" si="460"/>
        <v>41613</v>
      </c>
      <c r="P4927" s="30">
        <f t="shared" si="461"/>
        <v>66833</v>
      </c>
      <c r="Q4927" s="1">
        <f>COUNTIFS($P:$P, "&gt;" &amp; $P4927) + 1</f>
        <v>479</v>
      </c>
      <c r="R4927" s="63">
        <f>(COUNTIFS($P:$P, "&gt;" &amp; $P4927) + 1) / (COUNTA($I:$I) - 1)</f>
        <v>9.5799999999999996E-2</v>
      </c>
      <c r="S4927" s="23">
        <f>SUMIFS($P:$P, $Q:$Q, "&lt;" &amp; $Q4927)</f>
        <v>150121557</v>
      </c>
    </row>
    <row r="4928" spans="1:19" x14ac:dyDescent="0.25">
      <c r="A4928" s="1">
        <v>4923</v>
      </c>
      <c r="B4928" s="1" t="s">
        <v>4</v>
      </c>
      <c r="C4928" s="1" t="str">
        <f>IF($B4928 = "Production Item", _xlfn.XLOOKUP($A4928, 'Instrument Table'!$J:$J, 'Instrument Table'!$B:$B, $C4927), IF($B4928 = "Service Item", _xlfn.XLOOKUP($A4928, 'Instrument Table'!$I:$I, 'Instrument Table'!$B:$B, $C4927), _xlfn.XLOOKUP($A4928, 'Instrument Table'!$H:$H, 'Instrument Table'!$B:$B, $C4927)))</f>
        <v>Musical Accessories</v>
      </c>
      <c r="D4928" s="1" t="str">
        <f>VLOOKUP($C4928, 'Instrument Table'!$B:$C, 2, FALSE)</f>
        <v>Other</v>
      </c>
      <c r="E4928" s="1">
        <f t="shared" si="456"/>
        <v>3</v>
      </c>
      <c r="F4928" s="1">
        <f>_xlfn.XLOOKUP($C4928, 'Instrument Table'!$B:$B, 'Instrument Table'!$A:$A, "")</f>
        <v>64</v>
      </c>
      <c r="G4928" s="1" t="str">
        <f>TEXT(IF($B4928 = "Retail Item", IF((ROW($A4928) - 4504 - _xlfn.XMATCH($C4928, $C$4506:$C$5005, 0, 1)) &lt;= VLOOKUP($C4928, 'Instrument Table'!$B:$D, 3, FALSE), ROW($A4928) - 4504 - _xlfn.XMATCH($C4928, $C$4506:$C$5005, 0, 1), 0), 0), "00")</f>
        <v>03</v>
      </c>
      <c r="H4928" s="1" t="str">
        <f t="shared" si="457"/>
        <v>000</v>
      </c>
      <c r="I4928" s="1" t="str">
        <f t="shared" si="458"/>
        <v>36403-000</v>
      </c>
      <c r="J4928" s="1" t="str">
        <f t="shared" si="459"/>
        <v>Musical accessories model #03</v>
      </c>
      <c r="K4928" s="1" t="str">
        <f>IF(SUM(COUNTIFS(I:I, I4928)) &gt; 1, "DUPLICATE", "UNIQUE")</f>
        <v>UNIQUE</v>
      </c>
      <c r="L4928" s="18">
        <v>75</v>
      </c>
      <c r="M4928" s="28">
        <v>4640</v>
      </c>
      <c r="N4928" s="6">
        <v>72</v>
      </c>
      <c r="O4928" s="30">
        <f t="shared" si="460"/>
        <v>348000</v>
      </c>
      <c r="P4928" s="30">
        <f t="shared" si="461"/>
        <v>334080</v>
      </c>
      <c r="Q4928" s="1">
        <f>COUNTIFS($P:$P, "&gt;" &amp; $P4928) + 1</f>
        <v>175</v>
      </c>
      <c r="R4928" s="63">
        <f>(COUNTIFS($P:$P, "&gt;" &amp; $P4928) + 1) / (COUNTA($I:$I) - 1)</f>
        <v>3.5000000000000003E-2</v>
      </c>
      <c r="S4928" s="23">
        <f>SUMIFS($P:$P, $Q:$Q, "&lt;" &amp; $Q4928)</f>
        <v>96940350</v>
      </c>
    </row>
    <row r="4929" spans="1:19" x14ac:dyDescent="0.25">
      <c r="A4929" s="1">
        <v>4924</v>
      </c>
      <c r="B4929" s="1" t="s">
        <v>4</v>
      </c>
      <c r="C4929" s="1" t="str">
        <f>IF($B4929 = "Production Item", _xlfn.XLOOKUP($A4929, 'Instrument Table'!$J:$J, 'Instrument Table'!$B:$B, $C4928), IF($B4929 = "Service Item", _xlfn.XLOOKUP($A4929, 'Instrument Table'!$I:$I, 'Instrument Table'!$B:$B, $C4928), _xlfn.XLOOKUP($A4929, 'Instrument Table'!$H:$H, 'Instrument Table'!$B:$B, $C4928)))</f>
        <v>Musical Accessories</v>
      </c>
      <c r="D4929" s="1" t="str">
        <f>VLOOKUP($C4929, 'Instrument Table'!$B:$C, 2, FALSE)</f>
        <v>Other</v>
      </c>
      <c r="E4929" s="1">
        <f t="shared" si="456"/>
        <v>3</v>
      </c>
      <c r="F4929" s="1">
        <f>_xlfn.XLOOKUP($C4929, 'Instrument Table'!$B:$B, 'Instrument Table'!$A:$A, "")</f>
        <v>64</v>
      </c>
      <c r="G4929" s="1" t="str">
        <f>TEXT(IF($B4929 = "Retail Item", IF((ROW($A4929) - 4504 - _xlfn.XMATCH($C4929, $C$4506:$C$5005, 0, 1)) &lt;= VLOOKUP($C4929, 'Instrument Table'!$B:$D, 3, FALSE), ROW($A4929) - 4504 - _xlfn.XMATCH($C4929, $C$4506:$C$5005, 0, 1), 0), 0), "00")</f>
        <v>04</v>
      </c>
      <c r="H4929" s="1" t="str">
        <f t="shared" si="457"/>
        <v>000</v>
      </c>
      <c r="I4929" s="1" t="str">
        <f t="shared" si="458"/>
        <v>36404-000</v>
      </c>
      <c r="J4929" s="1" t="str">
        <f t="shared" si="459"/>
        <v>Musical accessories model #04</v>
      </c>
      <c r="K4929" s="1" t="str">
        <f>IF(SUM(COUNTIFS(I:I, I4929)) &gt; 1, "DUPLICATE", "UNIQUE")</f>
        <v>UNIQUE</v>
      </c>
      <c r="L4929" s="18">
        <v>86</v>
      </c>
      <c r="M4929" s="28">
        <v>8071</v>
      </c>
      <c r="N4929" s="6">
        <v>31</v>
      </c>
      <c r="O4929" s="30">
        <f t="shared" si="460"/>
        <v>694106</v>
      </c>
      <c r="P4929" s="30">
        <f t="shared" si="461"/>
        <v>250201</v>
      </c>
      <c r="Q4929" s="1">
        <f>COUNTIFS($P:$P, "&gt;" &amp; $P4929) + 1</f>
        <v>246</v>
      </c>
      <c r="R4929" s="63">
        <f>(COUNTIFS($P:$P, "&gt;" &amp; $P4929) + 1) / (COUNTA($I:$I) - 1)</f>
        <v>4.9200000000000001E-2</v>
      </c>
      <c r="S4929" s="23">
        <f>SUMIFS($P:$P, $Q:$Q, "&lt;" &amp; $Q4929)</f>
        <v>117687594</v>
      </c>
    </row>
    <row r="4930" spans="1:19" x14ac:dyDescent="0.25">
      <c r="A4930" s="1">
        <v>4925</v>
      </c>
      <c r="B4930" s="1" t="s">
        <v>4</v>
      </c>
      <c r="C4930" s="1" t="str">
        <f>IF($B4930 = "Production Item", _xlfn.XLOOKUP($A4930, 'Instrument Table'!$J:$J, 'Instrument Table'!$B:$B, $C4929), IF($B4930 = "Service Item", _xlfn.XLOOKUP($A4930, 'Instrument Table'!$I:$I, 'Instrument Table'!$B:$B, $C4929), _xlfn.XLOOKUP($A4930, 'Instrument Table'!$H:$H, 'Instrument Table'!$B:$B, $C4929)))</f>
        <v>Musical Accessories</v>
      </c>
      <c r="D4930" s="1" t="str">
        <f>VLOOKUP($C4930, 'Instrument Table'!$B:$C, 2, FALSE)</f>
        <v>Other</v>
      </c>
      <c r="E4930" s="1">
        <f t="shared" si="456"/>
        <v>3</v>
      </c>
      <c r="F4930" s="1">
        <f>_xlfn.XLOOKUP($C4930, 'Instrument Table'!$B:$B, 'Instrument Table'!$A:$A, "")</f>
        <v>64</v>
      </c>
      <c r="G4930" s="1" t="str">
        <f>TEXT(IF($B4930 = "Retail Item", IF((ROW($A4930) - 4504 - _xlfn.XMATCH($C4930, $C$4506:$C$5005, 0, 1)) &lt;= VLOOKUP($C4930, 'Instrument Table'!$B:$D, 3, FALSE), ROW($A4930) - 4504 - _xlfn.XMATCH($C4930, $C$4506:$C$5005, 0, 1), 0), 0), "00")</f>
        <v>05</v>
      </c>
      <c r="H4930" s="1" t="str">
        <f t="shared" si="457"/>
        <v>000</v>
      </c>
      <c r="I4930" s="1" t="str">
        <f t="shared" si="458"/>
        <v>36405-000</v>
      </c>
      <c r="J4930" s="1" t="str">
        <f t="shared" si="459"/>
        <v>Musical accessories model #05</v>
      </c>
      <c r="K4930" s="1" t="str">
        <f>IF(SUM(COUNTIFS(I:I, I4930)) &gt; 1, "DUPLICATE", "UNIQUE")</f>
        <v>UNIQUE</v>
      </c>
      <c r="L4930" s="18">
        <v>68</v>
      </c>
      <c r="M4930" s="28">
        <v>5377</v>
      </c>
      <c r="N4930" s="6">
        <v>81</v>
      </c>
      <c r="O4930" s="30">
        <f t="shared" si="460"/>
        <v>365636</v>
      </c>
      <c r="P4930" s="30">
        <f t="shared" si="461"/>
        <v>435537</v>
      </c>
      <c r="Q4930" s="1">
        <f>COUNTIFS($P:$P, "&gt;" &amp; $P4930) + 1</f>
        <v>124</v>
      </c>
      <c r="R4930" s="63">
        <f>(COUNTIFS($P:$P, "&gt;" &amp; $P4930) + 1) / (COUNTA($I:$I) - 1)</f>
        <v>2.4799999999999999E-2</v>
      </c>
      <c r="S4930" s="23">
        <f>SUMIFS($P:$P, $Q:$Q, "&lt;" &amp; $Q4930)</f>
        <v>77300349</v>
      </c>
    </row>
    <row r="4931" spans="1:19" x14ac:dyDescent="0.25">
      <c r="A4931" s="1">
        <v>4926</v>
      </c>
      <c r="B4931" s="1" t="s">
        <v>4</v>
      </c>
      <c r="C4931" s="1" t="str">
        <f>IF($B4931 = "Production Item", _xlfn.XLOOKUP($A4931, 'Instrument Table'!$J:$J, 'Instrument Table'!$B:$B, $C4930), IF($B4931 = "Service Item", _xlfn.XLOOKUP($A4931, 'Instrument Table'!$I:$I, 'Instrument Table'!$B:$B, $C4930), _xlfn.XLOOKUP($A4931, 'Instrument Table'!$H:$H, 'Instrument Table'!$B:$B, $C4930)))</f>
        <v>Musical Accessories</v>
      </c>
      <c r="D4931" s="1" t="str">
        <f>VLOOKUP($C4931, 'Instrument Table'!$B:$C, 2, FALSE)</f>
        <v>Other</v>
      </c>
      <c r="E4931" s="1">
        <f t="shared" si="456"/>
        <v>3</v>
      </c>
      <c r="F4931" s="1">
        <f>_xlfn.XLOOKUP($C4931, 'Instrument Table'!$B:$B, 'Instrument Table'!$A:$A, "")</f>
        <v>64</v>
      </c>
      <c r="G4931" s="1" t="str">
        <f>TEXT(IF($B4931 = "Retail Item", IF((ROW($A4931) - 4504 - _xlfn.XMATCH($C4931, $C$4506:$C$5005, 0, 1)) &lt;= VLOOKUP($C4931, 'Instrument Table'!$B:$D, 3, FALSE), ROW($A4931) - 4504 - _xlfn.XMATCH($C4931, $C$4506:$C$5005, 0, 1), 0), 0), "00")</f>
        <v>06</v>
      </c>
      <c r="H4931" s="1" t="str">
        <f t="shared" si="457"/>
        <v>000</v>
      </c>
      <c r="I4931" s="1" t="str">
        <f t="shared" si="458"/>
        <v>36406-000</v>
      </c>
      <c r="J4931" s="1" t="str">
        <f t="shared" si="459"/>
        <v>Musical accessories model #06</v>
      </c>
      <c r="K4931" s="1" t="str">
        <f>IF(SUM(COUNTIFS(I:I, I4931)) &gt; 1, "DUPLICATE", "UNIQUE")</f>
        <v>UNIQUE</v>
      </c>
      <c r="L4931" s="18">
        <v>81</v>
      </c>
      <c r="M4931" s="28">
        <v>9170</v>
      </c>
      <c r="N4931" s="6">
        <v>44</v>
      </c>
      <c r="O4931" s="30">
        <f t="shared" si="460"/>
        <v>742770</v>
      </c>
      <c r="P4931" s="30">
        <f t="shared" si="461"/>
        <v>403480</v>
      </c>
      <c r="Q4931" s="1">
        <f>COUNTIFS($P:$P, "&gt;" &amp; $P4931) + 1</f>
        <v>141</v>
      </c>
      <c r="R4931" s="63">
        <f>(COUNTIFS($P:$P, "&gt;" &amp; $P4931) + 1) / (COUNTA($I:$I) - 1)</f>
        <v>2.8199999999999999E-2</v>
      </c>
      <c r="S4931" s="23">
        <f>SUMIFS($P:$P, $Q:$Q, "&lt;" &amp; $Q4931)</f>
        <v>84454234</v>
      </c>
    </row>
    <row r="4932" spans="1:19" x14ac:dyDescent="0.25">
      <c r="A4932" s="1">
        <v>4927</v>
      </c>
      <c r="B4932" s="1" t="s">
        <v>4</v>
      </c>
      <c r="C4932" s="1" t="str">
        <f>IF($B4932 = "Production Item", _xlfn.XLOOKUP($A4932, 'Instrument Table'!$J:$J, 'Instrument Table'!$B:$B, $C4931), IF($B4932 = "Service Item", _xlfn.XLOOKUP($A4932, 'Instrument Table'!$I:$I, 'Instrument Table'!$B:$B, $C4931), _xlfn.XLOOKUP($A4932, 'Instrument Table'!$H:$H, 'Instrument Table'!$B:$B, $C4931)))</f>
        <v>Musical Accessories</v>
      </c>
      <c r="D4932" s="1" t="str">
        <f>VLOOKUP($C4932, 'Instrument Table'!$B:$C, 2, FALSE)</f>
        <v>Other</v>
      </c>
      <c r="E4932" s="1">
        <f t="shared" si="456"/>
        <v>3</v>
      </c>
      <c r="F4932" s="1">
        <f>_xlfn.XLOOKUP($C4932, 'Instrument Table'!$B:$B, 'Instrument Table'!$A:$A, "")</f>
        <v>64</v>
      </c>
      <c r="G4932" s="1" t="str">
        <f>TEXT(IF($B4932 = "Retail Item", IF((ROW($A4932) - 4504 - _xlfn.XMATCH($C4932, $C$4506:$C$5005, 0, 1)) &lt;= VLOOKUP($C4932, 'Instrument Table'!$B:$D, 3, FALSE), ROW($A4932) - 4504 - _xlfn.XMATCH($C4932, $C$4506:$C$5005, 0, 1), 0), 0), "00")</f>
        <v>07</v>
      </c>
      <c r="H4932" s="1" t="str">
        <f t="shared" si="457"/>
        <v>000</v>
      </c>
      <c r="I4932" s="1" t="str">
        <f t="shared" si="458"/>
        <v>36407-000</v>
      </c>
      <c r="J4932" s="1" t="str">
        <f t="shared" si="459"/>
        <v>Musical accessories model #07</v>
      </c>
      <c r="K4932" s="1" t="str">
        <f>IF(SUM(COUNTIFS(I:I, I4932)) &gt; 1, "DUPLICATE", "UNIQUE")</f>
        <v>UNIQUE</v>
      </c>
      <c r="L4932" s="18">
        <v>47</v>
      </c>
      <c r="M4932" s="28">
        <v>6702</v>
      </c>
      <c r="N4932" s="6">
        <v>86</v>
      </c>
      <c r="O4932" s="30">
        <f t="shared" si="460"/>
        <v>314994</v>
      </c>
      <c r="P4932" s="30">
        <f t="shared" si="461"/>
        <v>576372</v>
      </c>
      <c r="Q4932" s="1">
        <f>COUNTIFS($P:$P, "&gt;" &amp; $P4932) + 1</f>
        <v>69</v>
      </c>
      <c r="R4932" s="63">
        <f>(COUNTIFS($P:$P, "&gt;" &amp; $P4932) + 1) / (COUNTA($I:$I) - 1)</f>
        <v>1.38E-2</v>
      </c>
      <c r="S4932" s="23">
        <f>SUMIFS($P:$P, $Q:$Q, "&lt;" &amp; $Q4932)</f>
        <v>49568326</v>
      </c>
    </row>
    <row r="4933" spans="1:19" x14ac:dyDescent="0.25">
      <c r="A4933" s="1">
        <v>4928</v>
      </c>
      <c r="B4933" s="1" t="s">
        <v>4</v>
      </c>
      <c r="C4933" s="1" t="str">
        <f>IF($B4933 = "Production Item", _xlfn.XLOOKUP($A4933, 'Instrument Table'!$J:$J, 'Instrument Table'!$B:$B, $C4932), IF($B4933 = "Service Item", _xlfn.XLOOKUP($A4933, 'Instrument Table'!$I:$I, 'Instrument Table'!$B:$B, $C4932), _xlfn.XLOOKUP($A4933, 'Instrument Table'!$H:$H, 'Instrument Table'!$B:$B, $C4932)))</f>
        <v>Musical Accessories</v>
      </c>
      <c r="D4933" s="1" t="str">
        <f>VLOOKUP($C4933, 'Instrument Table'!$B:$C, 2, FALSE)</f>
        <v>Other</v>
      </c>
      <c r="E4933" s="1">
        <f t="shared" si="456"/>
        <v>3</v>
      </c>
      <c r="F4933" s="1">
        <f>_xlfn.XLOOKUP($C4933, 'Instrument Table'!$B:$B, 'Instrument Table'!$A:$A, "")</f>
        <v>64</v>
      </c>
      <c r="G4933" s="1" t="str">
        <f>TEXT(IF($B4933 = "Retail Item", IF((ROW($A4933) - 4504 - _xlfn.XMATCH($C4933, $C$4506:$C$5005, 0, 1)) &lt;= VLOOKUP($C4933, 'Instrument Table'!$B:$D, 3, FALSE), ROW($A4933) - 4504 - _xlfn.XMATCH($C4933, $C$4506:$C$5005, 0, 1), 0), 0), "00")</f>
        <v>08</v>
      </c>
      <c r="H4933" s="1" t="str">
        <f t="shared" si="457"/>
        <v>000</v>
      </c>
      <c r="I4933" s="1" t="str">
        <f t="shared" si="458"/>
        <v>36408-000</v>
      </c>
      <c r="J4933" s="1" t="str">
        <f t="shared" si="459"/>
        <v>Musical accessories model #08</v>
      </c>
      <c r="K4933" s="1" t="str">
        <f>IF(SUM(COUNTIFS(I:I, I4933)) &gt; 1, "DUPLICATE", "UNIQUE")</f>
        <v>UNIQUE</v>
      </c>
      <c r="L4933" s="18">
        <v>44</v>
      </c>
      <c r="M4933" s="28">
        <v>3279</v>
      </c>
      <c r="N4933" s="6">
        <v>11</v>
      </c>
      <c r="O4933" s="30">
        <f t="shared" si="460"/>
        <v>144276</v>
      </c>
      <c r="P4933" s="30">
        <f t="shared" si="461"/>
        <v>36069</v>
      </c>
      <c r="Q4933" s="1">
        <f>COUNTIFS($P:$P, "&gt;" &amp; $P4933) + 1</f>
        <v>590</v>
      </c>
      <c r="R4933" s="63">
        <f>(COUNTIFS($P:$P, "&gt;" &amp; $P4933) + 1) / (COUNTA($I:$I) - 1)</f>
        <v>0.11799999999999999</v>
      </c>
      <c r="S4933" s="23">
        <f>SUMIFS($P:$P, $Q:$Q, "&lt;" &amp; $Q4933)</f>
        <v>155512569</v>
      </c>
    </row>
    <row r="4934" spans="1:19" x14ac:dyDescent="0.25">
      <c r="A4934" s="1">
        <v>4929</v>
      </c>
      <c r="B4934" s="1" t="s">
        <v>4</v>
      </c>
      <c r="C4934" s="1" t="str">
        <f>IF($B4934 = "Production Item", _xlfn.XLOOKUP($A4934, 'Instrument Table'!$J:$J, 'Instrument Table'!$B:$B, $C4933), IF($B4934 = "Service Item", _xlfn.XLOOKUP($A4934, 'Instrument Table'!$I:$I, 'Instrument Table'!$B:$B, $C4933), _xlfn.XLOOKUP($A4934, 'Instrument Table'!$H:$H, 'Instrument Table'!$B:$B, $C4933)))</f>
        <v>Musical Accessories</v>
      </c>
      <c r="D4934" s="1" t="str">
        <f>VLOOKUP($C4934, 'Instrument Table'!$B:$C, 2, FALSE)</f>
        <v>Other</v>
      </c>
      <c r="E4934" s="1">
        <f t="shared" si="456"/>
        <v>3</v>
      </c>
      <c r="F4934" s="1">
        <f>_xlfn.XLOOKUP($C4934, 'Instrument Table'!$B:$B, 'Instrument Table'!$A:$A, "")</f>
        <v>64</v>
      </c>
      <c r="G4934" s="1" t="str">
        <f>TEXT(IF($B4934 = "Retail Item", IF((ROW($A4934) - 4504 - _xlfn.XMATCH($C4934, $C$4506:$C$5005, 0, 1)) &lt;= VLOOKUP($C4934, 'Instrument Table'!$B:$D, 3, FALSE), ROW($A4934) - 4504 - _xlfn.XMATCH($C4934, $C$4506:$C$5005, 0, 1), 0), 0), "00")</f>
        <v>09</v>
      </c>
      <c r="H4934" s="1" t="str">
        <f t="shared" si="457"/>
        <v>000</v>
      </c>
      <c r="I4934" s="1" t="str">
        <f t="shared" si="458"/>
        <v>36409-000</v>
      </c>
      <c r="J4934" s="1" t="str">
        <f t="shared" si="459"/>
        <v>Musical accessories model #09</v>
      </c>
      <c r="K4934" s="1" t="str">
        <f>IF(SUM(COUNTIFS(I:I, I4934)) &gt; 1, "DUPLICATE", "UNIQUE")</f>
        <v>UNIQUE</v>
      </c>
      <c r="L4934" s="18">
        <v>37</v>
      </c>
      <c r="M4934" s="28">
        <v>9552</v>
      </c>
      <c r="N4934" s="6">
        <v>44</v>
      </c>
      <c r="O4934" s="30">
        <f t="shared" si="460"/>
        <v>353424</v>
      </c>
      <c r="P4934" s="30">
        <f t="shared" si="461"/>
        <v>420288</v>
      </c>
      <c r="Q4934" s="1">
        <f>COUNTIFS($P:$P, "&gt;" &amp; $P4934) + 1</f>
        <v>131</v>
      </c>
      <c r="R4934" s="63">
        <f>(COUNTIFS($P:$P, "&gt;" &amp; $P4934) + 1) / (COUNTA($I:$I) - 1)</f>
        <v>2.6200000000000001E-2</v>
      </c>
      <c r="S4934" s="23">
        <f>SUMIFS($P:$P, $Q:$Q, "&lt;" &amp; $Q4934)</f>
        <v>80323786</v>
      </c>
    </row>
    <row r="4935" spans="1:19" x14ac:dyDescent="0.25">
      <c r="A4935" s="1">
        <v>4930</v>
      </c>
      <c r="B4935" s="1" t="s">
        <v>4</v>
      </c>
      <c r="C4935" s="1" t="str">
        <f>IF($B4935 = "Production Item", _xlfn.XLOOKUP($A4935, 'Instrument Table'!$J:$J, 'Instrument Table'!$B:$B, $C4934), IF($B4935 = "Service Item", _xlfn.XLOOKUP($A4935, 'Instrument Table'!$I:$I, 'Instrument Table'!$B:$B, $C4934), _xlfn.XLOOKUP($A4935, 'Instrument Table'!$H:$H, 'Instrument Table'!$B:$B, $C4934)))</f>
        <v>Musical Accessories</v>
      </c>
      <c r="D4935" s="1" t="str">
        <f>VLOOKUP($C4935, 'Instrument Table'!$B:$C, 2, FALSE)</f>
        <v>Other</v>
      </c>
      <c r="E4935" s="1">
        <f t="shared" ref="E4935:E4998" si="462">IF($B4935 = "Production Item", 1, IF($B4935 = "Service Item", 2, IF($B4935 = "Retail Item", 3, "")))</f>
        <v>3</v>
      </c>
      <c r="F4935" s="1">
        <f>_xlfn.XLOOKUP($C4935, 'Instrument Table'!$B:$B, 'Instrument Table'!$A:$A, "")</f>
        <v>64</v>
      </c>
      <c r="G4935" s="1" t="str">
        <f>TEXT(IF($B4935 = "Retail Item", IF((ROW($A4935) - 4504 - _xlfn.XMATCH($C4935, $C$4506:$C$5005, 0, 1)) &lt;= VLOOKUP($C4935, 'Instrument Table'!$B:$D, 3, FALSE), ROW($A4935) - 4504 - _xlfn.XMATCH($C4935, $C$4506:$C$5005, 0, 1), 0), 0), "00")</f>
        <v>10</v>
      </c>
      <c r="H4935" s="1" t="str">
        <f t="shared" ref="H4935:H4998" si="463">TEXT(IF($E4935 &amp; $F4935 &amp; $G4935 = $E4934 &amp; $F4934 &amp; $G4934, 1 + H4934, 0), "000")</f>
        <v>000</v>
      </c>
      <c r="I4935" s="1" t="str">
        <f t="shared" ref="I4935:I4998" si="464" xml:space="preserve"> _xlfn.CONCAT($E4935, $F4935, $G4935, "-", H4935)</f>
        <v>36410-000</v>
      </c>
      <c r="J4935" s="1" t="str">
        <f t="shared" ref="J4935:J4998" si="465">LEFT($C4935, 1) &amp; LOWER(RIGHT($C4935, LEN($C4935) - 1)) &amp; IF(AND($G4935 &lt;&gt; "00", $B4935 = "Retail Item"), " model #" &amp; $G4935, " " &amp; LOWER($B4935) &amp; " #" &amp; $H4935)</f>
        <v>Musical accessories model #10</v>
      </c>
      <c r="K4935" s="1" t="str">
        <f>IF(SUM(COUNTIFS(I:I, I4935)) &gt; 1, "DUPLICATE", "UNIQUE")</f>
        <v>UNIQUE</v>
      </c>
      <c r="L4935" s="18">
        <v>10</v>
      </c>
      <c r="M4935" s="28">
        <v>5969</v>
      </c>
      <c r="N4935" s="6">
        <v>38</v>
      </c>
      <c r="O4935" s="30">
        <f t="shared" ref="O4935:O4998" si="466">$L4935 * $M4935</f>
        <v>59690</v>
      </c>
      <c r="P4935" s="30">
        <f t="shared" ref="P4935:P4998" si="467">$N4935 * $M4935</f>
        <v>226822</v>
      </c>
      <c r="Q4935" s="1">
        <f>COUNTIFS($P:$P, "&gt;" &amp; $P4935) + 1</f>
        <v>267</v>
      </c>
      <c r="R4935" s="63">
        <f>(COUNTIFS($P:$P, "&gt;" &amp; $P4935) + 1) / (COUNTA($I:$I) - 1)</f>
        <v>5.3400000000000003E-2</v>
      </c>
      <c r="S4935" s="23">
        <f>SUMIFS($P:$P, $Q:$Q, "&lt;" &amp; $Q4935)</f>
        <v>122679044</v>
      </c>
    </row>
    <row r="4936" spans="1:19" x14ac:dyDescent="0.25">
      <c r="A4936" s="1">
        <v>4931</v>
      </c>
      <c r="B4936" s="1" t="s">
        <v>4</v>
      </c>
      <c r="C4936" s="1" t="str">
        <f>IF($B4936 = "Production Item", _xlfn.XLOOKUP($A4936, 'Instrument Table'!$J:$J, 'Instrument Table'!$B:$B, $C4935), IF($B4936 = "Service Item", _xlfn.XLOOKUP($A4936, 'Instrument Table'!$I:$I, 'Instrument Table'!$B:$B, $C4935), _xlfn.XLOOKUP($A4936, 'Instrument Table'!$H:$H, 'Instrument Table'!$B:$B, $C4935)))</f>
        <v>Musical Accessories</v>
      </c>
      <c r="D4936" s="1" t="str">
        <f>VLOOKUP($C4936, 'Instrument Table'!$B:$C, 2, FALSE)</f>
        <v>Other</v>
      </c>
      <c r="E4936" s="1">
        <f t="shared" si="462"/>
        <v>3</v>
      </c>
      <c r="F4936" s="1">
        <f>_xlfn.XLOOKUP($C4936, 'Instrument Table'!$B:$B, 'Instrument Table'!$A:$A, "")</f>
        <v>64</v>
      </c>
      <c r="G4936" s="1" t="str">
        <f>TEXT(IF($B4936 = "Retail Item", IF((ROW($A4936) - 4504 - _xlfn.XMATCH($C4936, $C$4506:$C$5005, 0, 1)) &lt;= VLOOKUP($C4936, 'Instrument Table'!$B:$D, 3, FALSE), ROW($A4936) - 4504 - _xlfn.XMATCH($C4936, $C$4506:$C$5005, 0, 1), 0), 0), "00")</f>
        <v>11</v>
      </c>
      <c r="H4936" s="1" t="str">
        <f t="shared" si="463"/>
        <v>000</v>
      </c>
      <c r="I4936" s="1" t="str">
        <f t="shared" si="464"/>
        <v>36411-000</v>
      </c>
      <c r="J4936" s="1" t="str">
        <f t="shared" si="465"/>
        <v>Musical accessories model #11</v>
      </c>
      <c r="K4936" s="1" t="str">
        <f>IF(SUM(COUNTIFS(I:I, I4936)) &gt; 1, "DUPLICATE", "UNIQUE")</f>
        <v>UNIQUE</v>
      </c>
      <c r="L4936" s="18">
        <v>7</v>
      </c>
      <c r="M4936" s="28">
        <v>2860</v>
      </c>
      <c r="N4936" s="6">
        <v>19</v>
      </c>
      <c r="O4936" s="30">
        <f t="shared" si="466"/>
        <v>20020</v>
      </c>
      <c r="P4936" s="30">
        <f t="shared" si="467"/>
        <v>54340</v>
      </c>
      <c r="Q4936" s="1">
        <f>COUNTIFS($P:$P, "&gt;" &amp; $P4936) + 1</f>
        <v>515</v>
      </c>
      <c r="R4936" s="63">
        <f>(COUNTIFS($P:$P, "&gt;" &amp; $P4936) + 1) / (COUNTA($I:$I) - 1)</f>
        <v>0.10299999999999999</v>
      </c>
      <c r="S4936" s="23">
        <f>SUMIFS($P:$P, $Q:$Q, "&lt;" &amp; $Q4936)</f>
        <v>152321145</v>
      </c>
    </row>
    <row r="4937" spans="1:19" x14ac:dyDescent="0.25">
      <c r="A4937" s="1">
        <v>4932</v>
      </c>
      <c r="B4937" s="1" t="s">
        <v>4</v>
      </c>
      <c r="C4937" s="1" t="str">
        <f>IF($B4937 = "Production Item", _xlfn.XLOOKUP($A4937, 'Instrument Table'!$J:$J, 'Instrument Table'!$B:$B, $C4936), IF($B4937 = "Service Item", _xlfn.XLOOKUP($A4937, 'Instrument Table'!$I:$I, 'Instrument Table'!$B:$B, $C4936), _xlfn.XLOOKUP($A4937, 'Instrument Table'!$H:$H, 'Instrument Table'!$B:$B, $C4936)))</f>
        <v>Musical Accessories</v>
      </c>
      <c r="D4937" s="1" t="str">
        <f>VLOOKUP($C4937, 'Instrument Table'!$B:$C, 2, FALSE)</f>
        <v>Other</v>
      </c>
      <c r="E4937" s="1">
        <f t="shared" si="462"/>
        <v>3</v>
      </c>
      <c r="F4937" s="1">
        <f>_xlfn.XLOOKUP($C4937, 'Instrument Table'!$B:$B, 'Instrument Table'!$A:$A, "")</f>
        <v>64</v>
      </c>
      <c r="G4937" s="1" t="str">
        <f>TEXT(IF($B4937 = "Retail Item", IF((ROW($A4937) - 4504 - _xlfn.XMATCH($C4937, $C$4506:$C$5005, 0, 1)) &lt;= VLOOKUP($C4937, 'Instrument Table'!$B:$D, 3, FALSE), ROW($A4937) - 4504 - _xlfn.XMATCH($C4937, $C$4506:$C$5005, 0, 1), 0), 0), "00")</f>
        <v>12</v>
      </c>
      <c r="H4937" s="1" t="str">
        <f t="shared" si="463"/>
        <v>000</v>
      </c>
      <c r="I4937" s="1" t="str">
        <f t="shared" si="464"/>
        <v>36412-000</v>
      </c>
      <c r="J4937" s="1" t="str">
        <f t="shared" si="465"/>
        <v>Musical accessories model #12</v>
      </c>
      <c r="K4937" s="1" t="str">
        <f>IF(SUM(COUNTIFS(I:I, I4937)) &gt; 1, "DUPLICATE", "UNIQUE")</f>
        <v>UNIQUE</v>
      </c>
      <c r="L4937" s="18">
        <v>35</v>
      </c>
      <c r="M4937" s="28">
        <v>4517</v>
      </c>
      <c r="N4937" s="6">
        <v>5</v>
      </c>
      <c r="O4937" s="30">
        <f t="shared" si="466"/>
        <v>158095</v>
      </c>
      <c r="P4937" s="30">
        <f t="shared" si="467"/>
        <v>22585</v>
      </c>
      <c r="Q4937" s="1">
        <f>COUNTIFS($P:$P, "&gt;" &amp; $P4937) + 1</f>
        <v>922</v>
      </c>
      <c r="R4937" s="63">
        <f>(COUNTIFS($P:$P, "&gt;" &amp; $P4937) + 1) / (COUNTA($I:$I) - 1)</f>
        <v>0.18440000000000001</v>
      </c>
      <c r="S4937" s="23">
        <f>SUMIFS($P:$P, $Q:$Q, "&lt;" &amp; $Q4937)</f>
        <v>164784104</v>
      </c>
    </row>
    <row r="4938" spans="1:19" x14ac:dyDescent="0.25">
      <c r="A4938" s="1">
        <v>4933</v>
      </c>
      <c r="B4938" s="1" t="s">
        <v>4</v>
      </c>
      <c r="C4938" s="1" t="str">
        <f>IF($B4938 = "Production Item", _xlfn.XLOOKUP($A4938, 'Instrument Table'!$J:$J, 'Instrument Table'!$B:$B, $C4937), IF($B4938 = "Service Item", _xlfn.XLOOKUP($A4938, 'Instrument Table'!$I:$I, 'Instrument Table'!$B:$B, $C4937), _xlfn.XLOOKUP($A4938, 'Instrument Table'!$H:$H, 'Instrument Table'!$B:$B, $C4937)))</f>
        <v>Musical Accessories</v>
      </c>
      <c r="D4938" s="1" t="str">
        <f>VLOOKUP($C4938, 'Instrument Table'!$B:$C, 2, FALSE)</f>
        <v>Other</v>
      </c>
      <c r="E4938" s="1">
        <f t="shared" si="462"/>
        <v>3</v>
      </c>
      <c r="F4938" s="1">
        <f>_xlfn.XLOOKUP($C4938, 'Instrument Table'!$B:$B, 'Instrument Table'!$A:$A, "")</f>
        <v>64</v>
      </c>
      <c r="G4938" s="1" t="str">
        <f>TEXT(IF($B4938 = "Retail Item", IF((ROW($A4938) - 4504 - _xlfn.XMATCH($C4938, $C$4506:$C$5005, 0, 1)) &lt;= VLOOKUP($C4938, 'Instrument Table'!$B:$D, 3, FALSE), ROW($A4938) - 4504 - _xlfn.XMATCH($C4938, $C$4506:$C$5005, 0, 1), 0), 0), "00")</f>
        <v>13</v>
      </c>
      <c r="H4938" s="1" t="str">
        <f t="shared" si="463"/>
        <v>000</v>
      </c>
      <c r="I4938" s="1" t="str">
        <f t="shared" si="464"/>
        <v>36413-000</v>
      </c>
      <c r="J4938" s="1" t="str">
        <f t="shared" si="465"/>
        <v>Musical accessories model #13</v>
      </c>
      <c r="K4938" s="1" t="str">
        <f>IF(SUM(COUNTIFS(I:I, I4938)) &gt; 1, "DUPLICATE", "UNIQUE")</f>
        <v>UNIQUE</v>
      </c>
      <c r="L4938" s="18">
        <v>42</v>
      </c>
      <c r="M4938" s="28">
        <v>9691</v>
      </c>
      <c r="N4938" s="6">
        <v>99</v>
      </c>
      <c r="O4938" s="30">
        <f t="shared" si="466"/>
        <v>407022</v>
      </c>
      <c r="P4938" s="30">
        <f t="shared" si="467"/>
        <v>959409</v>
      </c>
      <c r="Q4938" s="1">
        <f>COUNTIFS($P:$P, "&gt;" &amp; $P4938) + 1</f>
        <v>1</v>
      </c>
      <c r="R4938" s="63">
        <f>(COUNTIFS($P:$P, "&gt;" &amp; $P4938) + 1) / (COUNTA($I:$I) - 1)</f>
        <v>2.0000000000000001E-4</v>
      </c>
      <c r="S4938" s="23">
        <f>SUMIFS($P:$P, $Q:$Q, "&lt;" &amp; $Q4938)</f>
        <v>0</v>
      </c>
    </row>
    <row r="4939" spans="1:19" x14ac:dyDescent="0.25">
      <c r="A4939" s="1">
        <v>4934</v>
      </c>
      <c r="B4939" s="1" t="s">
        <v>4</v>
      </c>
      <c r="C4939" s="1" t="str">
        <f>IF($B4939 = "Production Item", _xlfn.XLOOKUP($A4939, 'Instrument Table'!$J:$J, 'Instrument Table'!$B:$B, $C4938), IF($B4939 = "Service Item", _xlfn.XLOOKUP($A4939, 'Instrument Table'!$I:$I, 'Instrument Table'!$B:$B, $C4938), _xlfn.XLOOKUP($A4939, 'Instrument Table'!$H:$H, 'Instrument Table'!$B:$B, $C4938)))</f>
        <v>Musical Accessories</v>
      </c>
      <c r="D4939" s="1" t="str">
        <f>VLOOKUP($C4939, 'Instrument Table'!$B:$C, 2, FALSE)</f>
        <v>Other</v>
      </c>
      <c r="E4939" s="1">
        <f t="shared" si="462"/>
        <v>3</v>
      </c>
      <c r="F4939" s="1">
        <f>_xlfn.XLOOKUP($C4939, 'Instrument Table'!$B:$B, 'Instrument Table'!$A:$A, "")</f>
        <v>64</v>
      </c>
      <c r="G4939" s="1" t="str">
        <f>TEXT(IF($B4939 = "Retail Item", IF((ROW($A4939) - 4504 - _xlfn.XMATCH($C4939, $C$4506:$C$5005, 0, 1)) &lt;= VLOOKUP($C4939, 'Instrument Table'!$B:$D, 3, FALSE), ROW($A4939) - 4504 - _xlfn.XMATCH($C4939, $C$4506:$C$5005, 0, 1), 0), 0), "00")</f>
        <v>14</v>
      </c>
      <c r="H4939" s="1" t="str">
        <f t="shared" si="463"/>
        <v>000</v>
      </c>
      <c r="I4939" s="1" t="str">
        <f t="shared" si="464"/>
        <v>36414-000</v>
      </c>
      <c r="J4939" s="1" t="str">
        <f t="shared" si="465"/>
        <v>Musical accessories model #14</v>
      </c>
      <c r="K4939" s="1" t="str">
        <f>IF(SUM(COUNTIFS(I:I, I4939)) &gt; 1, "DUPLICATE", "UNIQUE")</f>
        <v>UNIQUE</v>
      </c>
      <c r="L4939" s="18">
        <v>10</v>
      </c>
      <c r="M4939" s="28">
        <v>9209</v>
      </c>
      <c r="N4939" s="6">
        <v>55</v>
      </c>
      <c r="O4939" s="30">
        <f t="shared" si="466"/>
        <v>92090</v>
      </c>
      <c r="P4939" s="30">
        <f t="shared" si="467"/>
        <v>506495</v>
      </c>
      <c r="Q4939" s="1">
        <f>COUNTIFS($P:$P, "&gt;" &amp; $P4939) + 1</f>
        <v>94</v>
      </c>
      <c r="R4939" s="63">
        <f>(COUNTIFS($P:$P, "&gt;" &amp; $P4939) + 1) / (COUNTA($I:$I) - 1)</f>
        <v>1.8800000000000001E-2</v>
      </c>
      <c r="S4939" s="23">
        <f>SUMIFS($P:$P, $Q:$Q, "&lt;" &amp; $Q4939)</f>
        <v>63133149</v>
      </c>
    </row>
    <row r="4940" spans="1:19" x14ac:dyDescent="0.25">
      <c r="A4940" s="1">
        <v>4935</v>
      </c>
      <c r="B4940" s="1" t="s">
        <v>4</v>
      </c>
      <c r="C4940" s="1" t="str">
        <f>IF($B4940 = "Production Item", _xlfn.XLOOKUP($A4940, 'Instrument Table'!$J:$J, 'Instrument Table'!$B:$B, $C4939), IF($B4940 = "Service Item", _xlfn.XLOOKUP($A4940, 'Instrument Table'!$I:$I, 'Instrument Table'!$B:$B, $C4939), _xlfn.XLOOKUP($A4940, 'Instrument Table'!$H:$H, 'Instrument Table'!$B:$B, $C4939)))</f>
        <v>Musical Accessories</v>
      </c>
      <c r="D4940" s="1" t="str">
        <f>VLOOKUP($C4940, 'Instrument Table'!$B:$C, 2, FALSE)</f>
        <v>Other</v>
      </c>
      <c r="E4940" s="1">
        <f t="shared" si="462"/>
        <v>3</v>
      </c>
      <c r="F4940" s="1">
        <f>_xlfn.XLOOKUP($C4940, 'Instrument Table'!$B:$B, 'Instrument Table'!$A:$A, "")</f>
        <v>64</v>
      </c>
      <c r="G4940" s="1" t="str">
        <f>TEXT(IF($B4940 = "Retail Item", IF((ROW($A4940) - 4504 - _xlfn.XMATCH($C4940, $C$4506:$C$5005, 0, 1)) &lt;= VLOOKUP($C4940, 'Instrument Table'!$B:$D, 3, FALSE), ROW($A4940) - 4504 - _xlfn.XMATCH($C4940, $C$4506:$C$5005, 0, 1), 0), 0), "00")</f>
        <v>15</v>
      </c>
      <c r="H4940" s="1" t="str">
        <f t="shared" si="463"/>
        <v>000</v>
      </c>
      <c r="I4940" s="1" t="str">
        <f t="shared" si="464"/>
        <v>36415-000</v>
      </c>
      <c r="J4940" s="1" t="str">
        <f t="shared" si="465"/>
        <v>Musical accessories model #15</v>
      </c>
      <c r="K4940" s="1" t="str">
        <f>IF(SUM(COUNTIFS(I:I, I4940)) &gt; 1, "DUPLICATE", "UNIQUE")</f>
        <v>UNIQUE</v>
      </c>
      <c r="L4940" s="18">
        <v>14</v>
      </c>
      <c r="M4940" s="28">
        <v>8830</v>
      </c>
      <c r="N4940" s="6">
        <v>44</v>
      </c>
      <c r="O4940" s="30">
        <f t="shared" si="466"/>
        <v>123620</v>
      </c>
      <c r="P4940" s="30">
        <f t="shared" si="467"/>
        <v>388520</v>
      </c>
      <c r="Q4940" s="1">
        <f>COUNTIFS($P:$P, "&gt;" &amp; $P4940) + 1</f>
        <v>145</v>
      </c>
      <c r="R4940" s="63">
        <f>(COUNTIFS($P:$P, "&gt;" &amp; $P4940) + 1) / (COUNTA($I:$I) - 1)</f>
        <v>2.9000000000000001E-2</v>
      </c>
      <c r="S4940" s="23">
        <f>SUMIFS($P:$P, $Q:$Q, "&lt;" &amp; $Q4940)</f>
        <v>86028468</v>
      </c>
    </row>
    <row r="4941" spans="1:19" x14ac:dyDescent="0.25">
      <c r="A4941" s="1">
        <v>4936</v>
      </c>
      <c r="B4941" s="1" t="s">
        <v>4</v>
      </c>
      <c r="C4941" s="1" t="str">
        <f>IF($B4941 = "Production Item", _xlfn.XLOOKUP($A4941, 'Instrument Table'!$J:$J, 'Instrument Table'!$B:$B, $C4940), IF($B4941 = "Service Item", _xlfn.XLOOKUP($A4941, 'Instrument Table'!$I:$I, 'Instrument Table'!$B:$B, $C4940), _xlfn.XLOOKUP($A4941, 'Instrument Table'!$H:$H, 'Instrument Table'!$B:$B, $C4940)))</f>
        <v>Musical Accessories</v>
      </c>
      <c r="D4941" s="1" t="str">
        <f>VLOOKUP($C4941, 'Instrument Table'!$B:$C, 2, FALSE)</f>
        <v>Other</v>
      </c>
      <c r="E4941" s="1">
        <f t="shared" si="462"/>
        <v>3</v>
      </c>
      <c r="F4941" s="1">
        <f>_xlfn.XLOOKUP($C4941, 'Instrument Table'!$B:$B, 'Instrument Table'!$A:$A, "")</f>
        <v>64</v>
      </c>
      <c r="G4941" s="1" t="str">
        <f>TEXT(IF($B4941 = "Retail Item", IF((ROW($A4941) - 4504 - _xlfn.XMATCH($C4941, $C$4506:$C$5005, 0, 1)) &lt;= VLOOKUP($C4941, 'Instrument Table'!$B:$D, 3, FALSE), ROW($A4941) - 4504 - _xlfn.XMATCH($C4941, $C$4506:$C$5005, 0, 1), 0), 0), "00")</f>
        <v>16</v>
      </c>
      <c r="H4941" s="1" t="str">
        <f t="shared" si="463"/>
        <v>000</v>
      </c>
      <c r="I4941" s="1" t="str">
        <f t="shared" si="464"/>
        <v>36416-000</v>
      </c>
      <c r="J4941" s="1" t="str">
        <f t="shared" si="465"/>
        <v>Musical accessories model #16</v>
      </c>
      <c r="K4941" s="1" t="str">
        <f>IF(SUM(COUNTIFS(I:I, I4941)) &gt; 1, "DUPLICATE", "UNIQUE")</f>
        <v>UNIQUE</v>
      </c>
      <c r="L4941" s="18">
        <v>54</v>
      </c>
      <c r="M4941" s="28">
        <v>5328</v>
      </c>
      <c r="N4941" s="6">
        <v>32</v>
      </c>
      <c r="O4941" s="30">
        <f t="shared" si="466"/>
        <v>287712</v>
      </c>
      <c r="P4941" s="30">
        <f t="shared" si="467"/>
        <v>170496</v>
      </c>
      <c r="Q4941" s="1">
        <f>COUNTIFS($P:$P, "&gt;" &amp; $P4941) + 1</f>
        <v>311</v>
      </c>
      <c r="R4941" s="63">
        <f>(COUNTIFS($P:$P, "&gt;" &amp; $P4941) + 1) / (COUNTA($I:$I) - 1)</f>
        <v>6.2199999999999998E-2</v>
      </c>
      <c r="S4941" s="23">
        <f>SUMIFS($P:$P, $Q:$Q, "&lt;" &amp; $Q4941)</f>
        <v>131496703</v>
      </c>
    </row>
    <row r="4942" spans="1:19" x14ac:dyDescent="0.25">
      <c r="A4942" s="1">
        <v>4937</v>
      </c>
      <c r="B4942" s="1" t="s">
        <v>4</v>
      </c>
      <c r="C4942" s="1" t="str">
        <f>IF($B4942 = "Production Item", _xlfn.XLOOKUP($A4942, 'Instrument Table'!$J:$J, 'Instrument Table'!$B:$B, $C4941), IF($B4942 = "Service Item", _xlfn.XLOOKUP($A4942, 'Instrument Table'!$I:$I, 'Instrument Table'!$B:$B, $C4941), _xlfn.XLOOKUP($A4942, 'Instrument Table'!$H:$H, 'Instrument Table'!$B:$B, $C4941)))</f>
        <v>Musical Accessories</v>
      </c>
      <c r="D4942" s="1" t="str">
        <f>VLOOKUP($C4942, 'Instrument Table'!$B:$C, 2, FALSE)</f>
        <v>Other</v>
      </c>
      <c r="E4942" s="1">
        <f t="shared" si="462"/>
        <v>3</v>
      </c>
      <c r="F4942" s="1">
        <f>_xlfn.XLOOKUP($C4942, 'Instrument Table'!$B:$B, 'Instrument Table'!$A:$A, "")</f>
        <v>64</v>
      </c>
      <c r="G4942" s="1" t="str">
        <f>TEXT(IF($B4942 = "Retail Item", IF((ROW($A4942) - 4504 - _xlfn.XMATCH($C4942, $C$4506:$C$5005, 0, 1)) &lt;= VLOOKUP($C4942, 'Instrument Table'!$B:$D, 3, FALSE), ROW($A4942) - 4504 - _xlfn.XMATCH($C4942, $C$4506:$C$5005, 0, 1), 0), 0), "00")</f>
        <v>17</v>
      </c>
      <c r="H4942" s="1" t="str">
        <f t="shared" si="463"/>
        <v>000</v>
      </c>
      <c r="I4942" s="1" t="str">
        <f t="shared" si="464"/>
        <v>36417-000</v>
      </c>
      <c r="J4942" s="1" t="str">
        <f t="shared" si="465"/>
        <v>Musical accessories model #17</v>
      </c>
      <c r="K4942" s="1" t="str">
        <f>IF(SUM(COUNTIFS(I:I, I4942)) &gt; 1, "DUPLICATE", "UNIQUE")</f>
        <v>UNIQUE</v>
      </c>
      <c r="L4942" s="18">
        <v>41</v>
      </c>
      <c r="M4942" s="28">
        <v>3619</v>
      </c>
      <c r="N4942" s="6">
        <v>66</v>
      </c>
      <c r="O4942" s="30">
        <f t="shared" si="466"/>
        <v>148379</v>
      </c>
      <c r="P4942" s="30">
        <f t="shared" si="467"/>
        <v>238854</v>
      </c>
      <c r="Q4942" s="1">
        <f>COUNTIFS($P:$P, "&gt;" &amp; $P4942) + 1</f>
        <v>256</v>
      </c>
      <c r="R4942" s="63">
        <f>(COUNTIFS($P:$P, "&gt;" &amp; $P4942) + 1) / (COUNTA($I:$I) - 1)</f>
        <v>5.1200000000000002E-2</v>
      </c>
      <c r="S4942" s="23">
        <f>SUMIFS($P:$P, $Q:$Q, "&lt;" &amp; $Q4942)</f>
        <v>120131385</v>
      </c>
    </row>
    <row r="4943" spans="1:19" x14ac:dyDescent="0.25">
      <c r="A4943" s="1">
        <v>4938</v>
      </c>
      <c r="B4943" s="1" t="s">
        <v>4</v>
      </c>
      <c r="C4943" s="1" t="str">
        <f>IF($B4943 = "Production Item", _xlfn.XLOOKUP($A4943, 'Instrument Table'!$J:$J, 'Instrument Table'!$B:$B, $C4942), IF($B4943 = "Service Item", _xlfn.XLOOKUP($A4943, 'Instrument Table'!$I:$I, 'Instrument Table'!$B:$B, $C4942), _xlfn.XLOOKUP($A4943, 'Instrument Table'!$H:$H, 'Instrument Table'!$B:$B, $C4942)))</f>
        <v>Musical Accessories</v>
      </c>
      <c r="D4943" s="1" t="str">
        <f>VLOOKUP($C4943, 'Instrument Table'!$B:$C, 2, FALSE)</f>
        <v>Other</v>
      </c>
      <c r="E4943" s="1">
        <f t="shared" si="462"/>
        <v>3</v>
      </c>
      <c r="F4943" s="1">
        <f>_xlfn.XLOOKUP($C4943, 'Instrument Table'!$B:$B, 'Instrument Table'!$A:$A, "")</f>
        <v>64</v>
      </c>
      <c r="G4943" s="1" t="str">
        <f>TEXT(IF($B4943 = "Retail Item", IF((ROW($A4943) - 4504 - _xlfn.XMATCH($C4943, $C$4506:$C$5005, 0, 1)) &lt;= VLOOKUP($C4943, 'Instrument Table'!$B:$D, 3, FALSE), ROW($A4943) - 4504 - _xlfn.XMATCH($C4943, $C$4506:$C$5005, 0, 1), 0), 0), "00")</f>
        <v>18</v>
      </c>
      <c r="H4943" s="1" t="str">
        <f t="shared" si="463"/>
        <v>000</v>
      </c>
      <c r="I4943" s="1" t="str">
        <f t="shared" si="464"/>
        <v>36418-000</v>
      </c>
      <c r="J4943" s="1" t="str">
        <f t="shared" si="465"/>
        <v>Musical accessories model #18</v>
      </c>
      <c r="K4943" s="1" t="str">
        <f>IF(SUM(COUNTIFS(I:I, I4943)) &gt; 1, "DUPLICATE", "UNIQUE")</f>
        <v>UNIQUE</v>
      </c>
      <c r="L4943" s="18">
        <v>9</v>
      </c>
      <c r="M4943" s="28">
        <v>9644</v>
      </c>
      <c r="N4943" s="6">
        <v>45</v>
      </c>
      <c r="O4943" s="30">
        <f t="shared" si="466"/>
        <v>86796</v>
      </c>
      <c r="P4943" s="30">
        <f t="shared" si="467"/>
        <v>433980</v>
      </c>
      <c r="Q4943" s="1">
        <f>COUNTIFS($P:$P, "&gt;" &amp; $P4943) + 1</f>
        <v>127</v>
      </c>
      <c r="R4943" s="63">
        <f>(COUNTIFS($P:$P, "&gt;" &amp; $P4943) + 1) / (COUNTA($I:$I) - 1)</f>
        <v>2.5399999999999999E-2</v>
      </c>
      <c r="S4943" s="23">
        <f>SUMIFS($P:$P, $Q:$Q, "&lt;" &amp; $Q4943)</f>
        <v>78605989</v>
      </c>
    </row>
    <row r="4944" spans="1:19" x14ac:dyDescent="0.25">
      <c r="A4944" s="1">
        <v>4939</v>
      </c>
      <c r="B4944" s="1" t="s">
        <v>4</v>
      </c>
      <c r="C4944" s="1" t="str">
        <f>IF($B4944 = "Production Item", _xlfn.XLOOKUP($A4944, 'Instrument Table'!$J:$J, 'Instrument Table'!$B:$B, $C4943), IF($B4944 = "Service Item", _xlfn.XLOOKUP($A4944, 'Instrument Table'!$I:$I, 'Instrument Table'!$B:$B, $C4943), _xlfn.XLOOKUP($A4944, 'Instrument Table'!$H:$H, 'Instrument Table'!$B:$B, $C4943)))</f>
        <v>Musical Accessories</v>
      </c>
      <c r="D4944" s="1" t="str">
        <f>VLOOKUP($C4944, 'Instrument Table'!$B:$C, 2, FALSE)</f>
        <v>Other</v>
      </c>
      <c r="E4944" s="1">
        <f t="shared" si="462"/>
        <v>3</v>
      </c>
      <c r="F4944" s="1">
        <f>_xlfn.XLOOKUP($C4944, 'Instrument Table'!$B:$B, 'Instrument Table'!$A:$A, "")</f>
        <v>64</v>
      </c>
      <c r="G4944" s="1" t="str">
        <f>TEXT(IF($B4944 = "Retail Item", IF((ROW($A4944) - 4504 - _xlfn.XMATCH($C4944, $C$4506:$C$5005, 0, 1)) &lt;= VLOOKUP($C4944, 'Instrument Table'!$B:$D, 3, FALSE), ROW($A4944) - 4504 - _xlfn.XMATCH($C4944, $C$4506:$C$5005, 0, 1), 0), 0), "00")</f>
        <v>19</v>
      </c>
      <c r="H4944" s="1" t="str">
        <f t="shared" si="463"/>
        <v>000</v>
      </c>
      <c r="I4944" s="1" t="str">
        <f t="shared" si="464"/>
        <v>36419-000</v>
      </c>
      <c r="J4944" s="1" t="str">
        <f t="shared" si="465"/>
        <v>Musical accessories model #19</v>
      </c>
      <c r="K4944" s="1" t="str">
        <f>IF(SUM(COUNTIFS(I:I, I4944)) &gt; 1, "DUPLICATE", "UNIQUE")</f>
        <v>UNIQUE</v>
      </c>
      <c r="L4944" s="18">
        <v>51</v>
      </c>
      <c r="M4944" s="28">
        <v>7594</v>
      </c>
      <c r="N4944" s="6">
        <v>25</v>
      </c>
      <c r="O4944" s="30">
        <f t="shared" si="466"/>
        <v>387294</v>
      </c>
      <c r="P4944" s="30">
        <f t="shared" si="467"/>
        <v>189850</v>
      </c>
      <c r="Q4944" s="1">
        <f>COUNTIFS($P:$P, "&gt;" &amp; $P4944) + 1</f>
        <v>297</v>
      </c>
      <c r="R4944" s="63">
        <f>(COUNTIFS($P:$P, "&gt;" &amp; $P4944) + 1) / (COUNTA($I:$I) - 1)</f>
        <v>5.9400000000000001E-2</v>
      </c>
      <c r="S4944" s="23">
        <f>SUMIFS($P:$P, $Q:$Q, "&lt;" &amp; $Q4944)</f>
        <v>128973539</v>
      </c>
    </row>
    <row r="4945" spans="1:19" x14ac:dyDescent="0.25">
      <c r="A4945" s="1">
        <v>4940</v>
      </c>
      <c r="B4945" s="1" t="s">
        <v>4</v>
      </c>
      <c r="C4945" s="1" t="str">
        <f>IF($B4945 = "Production Item", _xlfn.XLOOKUP($A4945, 'Instrument Table'!$J:$J, 'Instrument Table'!$B:$B, $C4944), IF($B4945 = "Service Item", _xlfn.XLOOKUP($A4945, 'Instrument Table'!$I:$I, 'Instrument Table'!$B:$B, $C4944), _xlfn.XLOOKUP($A4945, 'Instrument Table'!$H:$H, 'Instrument Table'!$B:$B, $C4944)))</f>
        <v>Musical Accessories</v>
      </c>
      <c r="D4945" s="1" t="str">
        <f>VLOOKUP($C4945, 'Instrument Table'!$B:$C, 2, FALSE)</f>
        <v>Other</v>
      </c>
      <c r="E4945" s="1">
        <f t="shared" si="462"/>
        <v>3</v>
      </c>
      <c r="F4945" s="1">
        <f>_xlfn.XLOOKUP($C4945, 'Instrument Table'!$B:$B, 'Instrument Table'!$A:$A, "")</f>
        <v>64</v>
      </c>
      <c r="G4945" s="1" t="str">
        <f>TEXT(IF($B4945 = "Retail Item", IF((ROW($A4945) - 4504 - _xlfn.XMATCH($C4945, $C$4506:$C$5005, 0, 1)) &lt;= VLOOKUP($C4945, 'Instrument Table'!$B:$D, 3, FALSE), ROW($A4945) - 4504 - _xlfn.XMATCH($C4945, $C$4506:$C$5005, 0, 1), 0), 0), "00")</f>
        <v>20</v>
      </c>
      <c r="H4945" s="1" t="str">
        <f t="shared" si="463"/>
        <v>000</v>
      </c>
      <c r="I4945" s="1" t="str">
        <f t="shared" si="464"/>
        <v>36420-000</v>
      </c>
      <c r="J4945" s="1" t="str">
        <f t="shared" si="465"/>
        <v>Musical accessories model #20</v>
      </c>
      <c r="K4945" s="1" t="str">
        <f>IF(SUM(COUNTIFS(I:I, I4945)) &gt; 1, "DUPLICATE", "UNIQUE")</f>
        <v>UNIQUE</v>
      </c>
      <c r="L4945" s="18">
        <v>38</v>
      </c>
      <c r="M4945" s="28">
        <v>5373</v>
      </c>
      <c r="N4945" s="6">
        <v>80</v>
      </c>
      <c r="O4945" s="30">
        <f t="shared" si="466"/>
        <v>204174</v>
      </c>
      <c r="P4945" s="30">
        <f t="shared" si="467"/>
        <v>429840</v>
      </c>
      <c r="Q4945" s="1">
        <f>COUNTIFS($P:$P, "&gt;" &amp; $P4945) + 1</f>
        <v>129</v>
      </c>
      <c r="R4945" s="63">
        <f>(COUNTIFS($P:$P, "&gt;" &amp; $P4945) + 1) / (COUNTA($I:$I) - 1)</f>
        <v>2.58E-2</v>
      </c>
      <c r="S4945" s="23">
        <f>SUMIFS($P:$P, $Q:$Q, "&lt;" &amp; $Q4945)</f>
        <v>79472639</v>
      </c>
    </row>
    <row r="4946" spans="1:19" x14ac:dyDescent="0.25">
      <c r="A4946" s="1">
        <v>4941</v>
      </c>
      <c r="B4946" s="1" t="s">
        <v>4</v>
      </c>
      <c r="C4946" s="1" t="str">
        <f>IF($B4946 = "Production Item", _xlfn.XLOOKUP($A4946, 'Instrument Table'!$J:$J, 'Instrument Table'!$B:$B, $C4945), IF($B4946 = "Service Item", _xlfn.XLOOKUP($A4946, 'Instrument Table'!$I:$I, 'Instrument Table'!$B:$B, $C4945), _xlfn.XLOOKUP($A4946, 'Instrument Table'!$H:$H, 'Instrument Table'!$B:$B, $C4945)))</f>
        <v>Musical Accessories</v>
      </c>
      <c r="D4946" s="1" t="str">
        <f>VLOOKUP($C4946, 'Instrument Table'!$B:$C, 2, FALSE)</f>
        <v>Other</v>
      </c>
      <c r="E4946" s="1">
        <f t="shared" si="462"/>
        <v>3</v>
      </c>
      <c r="F4946" s="1">
        <f>_xlfn.XLOOKUP($C4946, 'Instrument Table'!$B:$B, 'Instrument Table'!$A:$A, "")</f>
        <v>64</v>
      </c>
      <c r="G4946" s="1" t="str">
        <f>TEXT(IF($B4946 = "Retail Item", IF((ROW($A4946) - 4504 - _xlfn.XMATCH($C4946, $C$4506:$C$5005, 0, 1)) &lt;= VLOOKUP($C4946, 'Instrument Table'!$B:$D, 3, FALSE), ROW($A4946) - 4504 - _xlfn.XMATCH($C4946, $C$4506:$C$5005, 0, 1), 0), 0), "00")</f>
        <v>21</v>
      </c>
      <c r="H4946" s="1" t="str">
        <f t="shared" si="463"/>
        <v>000</v>
      </c>
      <c r="I4946" s="1" t="str">
        <f t="shared" si="464"/>
        <v>36421-000</v>
      </c>
      <c r="J4946" s="1" t="str">
        <f t="shared" si="465"/>
        <v>Musical accessories model #21</v>
      </c>
      <c r="K4946" s="1" t="str">
        <f>IF(SUM(COUNTIFS(I:I, I4946)) &gt; 1, "DUPLICATE", "UNIQUE")</f>
        <v>UNIQUE</v>
      </c>
      <c r="L4946" s="18">
        <v>27</v>
      </c>
      <c r="M4946" s="28">
        <v>5461</v>
      </c>
      <c r="N4946" s="6">
        <v>47</v>
      </c>
      <c r="O4946" s="30">
        <f t="shared" si="466"/>
        <v>147447</v>
      </c>
      <c r="P4946" s="30">
        <f t="shared" si="467"/>
        <v>256667</v>
      </c>
      <c r="Q4946" s="1">
        <f>COUNTIFS($P:$P, "&gt;" &amp; $P4946) + 1</f>
        <v>237</v>
      </c>
      <c r="R4946" s="63">
        <f>(COUNTIFS($P:$P, "&gt;" &amp; $P4946) + 1) / (COUNTA($I:$I) - 1)</f>
        <v>4.7399999999999998E-2</v>
      </c>
      <c r="S4946" s="23">
        <f>SUMIFS($P:$P, $Q:$Q, "&lt;" &amp; $Q4946)</f>
        <v>115394813</v>
      </c>
    </row>
    <row r="4947" spans="1:19" x14ac:dyDescent="0.25">
      <c r="A4947" s="1">
        <v>4942</v>
      </c>
      <c r="B4947" s="1" t="s">
        <v>4</v>
      </c>
      <c r="C4947" s="1" t="str">
        <f>IF($B4947 = "Production Item", _xlfn.XLOOKUP($A4947, 'Instrument Table'!$J:$J, 'Instrument Table'!$B:$B, $C4946), IF($B4947 = "Service Item", _xlfn.XLOOKUP($A4947, 'Instrument Table'!$I:$I, 'Instrument Table'!$B:$B, $C4946), _xlfn.XLOOKUP($A4947, 'Instrument Table'!$H:$H, 'Instrument Table'!$B:$B, $C4946)))</f>
        <v>Musical Accessories</v>
      </c>
      <c r="D4947" s="1" t="str">
        <f>VLOOKUP($C4947, 'Instrument Table'!$B:$C, 2, FALSE)</f>
        <v>Other</v>
      </c>
      <c r="E4947" s="1">
        <f t="shared" si="462"/>
        <v>3</v>
      </c>
      <c r="F4947" s="1">
        <f>_xlfn.XLOOKUP($C4947, 'Instrument Table'!$B:$B, 'Instrument Table'!$A:$A, "")</f>
        <v>64</v>
      </c>
      <c r="G4947" s="1" t="str">
        <f>TEXT(IF($B4947 = "Retail Item", IF((ROW($A4947) - 4504 - _xlfn.XMATCH($C4947, $C$4506:$C$5005, 0, 1)) &lt;= VLOOKUP($C4947, 'Instrument Table'!$B:$D, 3, FALSE), ROW($A4947) - 4504 - _xlfn.XMATCH($C4947, $C$4506:$C$5005, 0, 1), 0), 0), "00")</f>
        <v>22</v>
      </c>
      <c r="H4947" s="1" t="str">
        <f t="shared" si="463"/>
        <v>000</v>
      </c>
      <c r="I4947" s="1" t="str">
        <f t="shared" si="464"/>
        <v>36422-000</v>
      </c>
      <c r="J4947" s="1" t="str">
        <f t="shared" si="465"/>
        <v>Musical accessories model #22</v>
      </c>
      <c r="K4947" s="1" t="str">
        <f>IF(SUM(COUNTIFS(I:I, I4947)) &gt; 1, "DUPLICATE", "UNIQUE")</f>
        <v>UNIQUE</v>
      </c>
      <c r="L4947" s="18">
        <v>3</v>
      </c>
      <c r="M4947" s="28">
        <v>2733</v>
      </c>
      <c r="N4947" s="6">
        <v>31</v>
      </c>
      <c r="O4947" s="30">
        <f t="shared" si="466"/>
        <v>8199</v>
      </c>
      <c r="P4947" s="30">
        <f t="shared" si="467"/>
        <v>84723</v>
      </c>
      <c r="Q4947" s="1">
        <f>COUNTIFS($P:$P, "&gt;" &amp; $P4947) + 1</f>
        <v>436</v>
      </c>
      <c r="R4947" s="63">
        <f>(COUNTIFS($P:$P, "&gt;" &amp; $P4947) + 1) / (COUNTA($I:$I) - 1)</f>
        <v>8.72E-2</v>
      </c>
      <c r="S4947" s="23">
        <f>SUMIFS($P:$P, $Q:$Q, "&lt;" &amp; $Q4947)</f>
        <v>146866043</v>
      </c>
    </row>
    <row r="4948" spans="1:19" x14ac:dyDescent="0.25">
      <c r="A4948" s="1">
        <v>4943</v>
      </c>
      <c r="B4948" s="1" t="s">
        <v>4</v>
      </c>
      <c r="C4948" s="1" t="str">
        <f>IF($B4948 = "Production Item", _xlfn.XLOOKUP($A4948, 'Instrument Table'!$J:$J, 'Instrument Table'!$B:$B, $C4947), IF($B4948 = "Service Item", _xlfn.XLOOKUP($A4948, 'Instrument Table'!$I:$I, 'Instrument Table'!$B:$B, $C4947), _xlfn.XLOOKUP($A4948, 'Instrument Table'!$H:$H, 'Instrument Table'!$B:$B, $C4947)))</f>
        <v>Musical Accessories</v>
      </c>
      <c r="D4948" s="1" t="str">
        <f>VLOOKUP($C4948, 'Instrument Table'!$B:$C, 2, FALSE)</f>
        <v>Other</v>
      </c>
      <c r="E4948" s="1">
        <f t="shared" si="462"/>
        <v>3</v>
      </c>
      <c r="F4948" s="1">
        <f>_xlfn.XLOOKUP($C4948, 'Instrument Table'!$B:$B, 'Instrument Table'!$A:$A, "")</f>
        <v>64</v>
      </c>
      <c r="G4948" s="1" t="str">
        <f>TEXT(IF($B4948 = "Retail Item", IF((ROW($A4948) - 4504 - _xlfn.XMATCH($C4948, $C$4506:$C$5005, 0, 1)) &lt;= VLOOKUP($C4948, 'Instrument Table'!$B:$D, 3, FALSE), ROW($A4948) - 4504 - _xlfn.XMATCH($C4948, $C$4506:$C$5005, 0, 1), 0), 0), "00")</f>
        <v>23</v>
      </c>
      <c r="H4948" s="1" t="str">
        <f t="shared" si="463"/>
        <v>000</v>
      </c>
      <c r="I4948" s="1" t="str">
        <f t="shared" si="464"/>
        <v>36423-000</v>
      </c>
      <c r="J4948" s="1" t="str">
        <f t="shared" si="465"/>
        <v>Musical accessories model #23</v>
      </c>
      <c r="K4948" s="1" t="str">
        <f>IF(SUM(COUNTIFS(I:I, I4948)) &gt; 1, "DUPLICATE", "UNIQUE")</f>
        <v>UNIQUE</v>
      </c>
      <c r="L4948" s="18">
        <v>14</v>
      </c>
      <c r="M4948" s="28">
        <v>9437</v>
      </c>
      <c r="N4948" s="6">
        <v>100</v>
      </c>
      <c r="O4948" s="30">
        <f t="shared" si="466"/>
        <v>132118</v>
      </c>
      <c r="P4948" s="30">
        <f t="shared" si="467"/>
        <v>943700</v>
      </c>
      <c r="Q4948" s="1">
        <f>COUNTIFS($P:$P, "&gt;" &amp; $P4948) + 1</f>
        <v>3</v>
      </c>
      <c r="R4948" s="63">
        <f>(COUNTIFS($P:$P, "&gt;" &amp; $P4948) + 1) / (COUNTA($I:$I) - 1)</f>
        <v>5.9999999999999995E-4</v>
      </c>
      <c r="S4948" s="23">
        <f>SUMIFS($P:$P, $Q:$Q, "&lt;" &amp; $Q4948)</f>
        <v>1907794</v>
      </c>
    </row>
    <row r="4949" spans="1:19" x14ac:dyDescent="0.25">
      <c r="A4949" s="1">
        <v>4944</v>
      </c>
      <c r="B4949" s="1" t="s">
        <v>4</v>
      </c>
      <c r="C4949" s="1" t="str">
        <f>IF($B4949 = "Production Item", _xlfn.XLOOKUP($A4949, 'Instrument Table'!$J:$J, 'Instrument Table'!$B:$B, $C4948), IF($B4949 = "Service Item", _xlfn.XLOOKUP($A4949, 'Instrument Table'!$I:$I, 'Instrument Table'!$B:$B, $C4948), _xlfn.XLOOKUP($A4949, 'Instrument Table'!$H:$H, 'Instrument Table'!$B:$B, $C4948)))</f>
        <v>Musical Accessories</v>
      </c>
      <c r="D4949" s="1" t="str">
        <f>VLOOKUP($C4949, 'Instrument Table'!$B:$C, 2, FALSE)</f>
        <v>Other</v>
      </c>
      <c r="E4949" s="1">
        <f t="shared" si="462"/>
        <v>3</v>
      </c>
      <c r="F4949" s="1">
        <f>_xlfn.XLOOKUP($C4949, 'Instrument Table'!$B:$B, 'Instrument Table'!$A:$A, "")</f>
        <v>64</v>
      </c>
      <c r="G4949" s="1" t="str">
        <f>TEXT(IF($B4949 = "Retail Item", IF((ROW($A4949) - 4504 - _xlfn.XMATCH($C4949, $C$4506:$C$5005, 0, 1)) &lt;= VLOOKUP($C4949, 'Instrument Table'!$B:$D, 3, FALSE), ROW($A4949) - 4504 - _xlfn.XMATCH($C4949, $C$4506:$C$5005, 0, 1), 0), 0), "00")</f>
        <v>24</v>
      </c>
      <c r="H4949" s="1" t="str">
        <f t="shared" si="463"/>
        <v>000</v>
      </c>
      <c r="I4949" s="1" t="str">
        <f t="shared" si="464"/>
        <v>36424-000</v>
      </c>
      <c r="J4949" s="1" t="str">
        <f t="shared" si="465"/>
        <v>Musical accessories model #24</v>
      </c>
      <c r="K4949" s="1" t="str">
        <f>IF(SUM(COUNTIFS(I:I, I4949)) &gt; 1, "DUPLICATE", "UNIQUE")</f>
        <v>UNIQUE</v>
      </c>
      <c r="L4949" s="18">
        <v>18</v>
      </c>
      <c r="M4949" s="28">
        <v>8900</v>
      </c>
      <c r="N4949" s="6">
        <v>22</v>
      </c>
      <c r="O4949" s="30">
        <f t="shared" si="466"/>
        <v>160200</v>
      </c>
      <c r="P4949" s="30">
        <f t="shared" si="467"/>
        <v>195800</v>
      </c>
      <c r="Q4949" s="1">
        <f>COUNTIFS($P:$P, "&gt;" &amp; $P4949) + 1</f>
        <v>290</v>
      </c>
      <c r="R4949" s="63">
        <f>(COUNTIFS($P:$P, "&gt;" &amp; $P4949) + 1) / (COUNTA($I:$I) - 1)</f>
        <v>5.8000000000000003E-2</v>
      </c>
      <c r="S4949" s="23">
        <f>SUMIFS($P:$P, $Q:$Q, "&lt;" &amp; $Q4949)</f>
        <v>127618071</v>
      </c>
    </row>
    <row r="4950" spans="1:19" x14ac:dyDescent="0.25">
      <c r="A4950" s="1">
        <v>4945</v>
      </c>
      <c r="B4950" s="1" t="s">
        <v>4</v>
      </c>
      <c r="C4950" s="1" t="str">
        <f>IF($B4950 = "Production Item", _xlfn.XLOOKUP($A4950, 'Instrument Table'!$J:$J, 'Instrument Table'!$B:$B, $C4949), IF($B4950 = "Service Item", _xlfn.XLOOKUP($A4950, 'Instrument Table'!$I:$I, 'Instrument Table'!$B:$B, $C4949), _xlfn.XLOOKUP($A4950, 'Instrument Table'!$H:$H, 'Instrument Table'!$B:$B, $C4949)))</f>
        <v>Musical Accessories</v>
      </c>
      <c r="D4950" s="1" t="str">
        <f>VLOOKUP($C4950, 'Instrument Table'!$B:$C, 2, FALSE)</f>
        <v>Other</v>
      </c>
      <c r="E4950" s="1">
        <f t="shared" si="462"/>
        <v>3</v>
      </c>
      <c r="F4950" s="1">
        <f>_xlfn.XLOOKUP($C4950, 'Instrument Table'!$B:$B, 'Instrument Table'!$A:$A, "")</f>
        <v>64</v>
      </c>
      <c r="G4950" s="1" t="str">
        <f>TEXT(IF($B4950 = "Retail Item", IF((ROW($A4950) - 4504 - _xlfn.XMATCH($C4950, $C$4506:$C$5005, 0, 1)) &lt;= VLOOKUP($C4950, 'Instrument Table'!$B:$D, 3, FALSE), ROW($A4950) - 4504 - _xlfn.XMATCH($C4950, $C$4506:$C$5005, 0, 1), 0), 0), "00")</f>
        <v>25</v>
      </c>
      <c r="H4950" s="1" t="str">
        <f t="shared" si="463"/>
        <v>000</v>
      </c>
      <c r="I4950" s="1" t="str">
        <f t="shared" si="464"/>
        <v>36425-000</v>
      </c>
      <c r="J4950" s="1" t="str">
        <f t="shared" si="465"/>
        <v>Musical accessories model #25</v>
      </c>
      <c r="K4950" s="1" t="str">
        <f>IF(SUM(COUNTIFS(I:I, I4950)) &gt; 1, "DUPLICATE", "UNIQUE")</f>
        <v>UNIQUE</v>
      </c>
      <c r="L4950" s="18">
        <v>15</v>
      </c>
      <c r="M4950" s="28">
        <v>3795</v>
      </c>
      <c r="N4950" s="6">
        <v>8</v>
      </c>
      <c r="O4950" s="30">
        <f t="shared" si="466"/>
        <v>56925</v>
      </c>
      <c r="P4950" s="30">
        <f t="shared" si="467"/>
        <v>30360</v>
      </c>
      <c r="Q4950" s="1">
        <f>COUNTIFS($P:$P, "&gt;" &amp; $P4950) + 1</f>
        <v>684</v>
      </c>
      <c r="R4950" s="63">
        <f>(COUNTIFS($P:$P, "&gt;" &amp; $P4950) + 1) / (COUNTA($I:$I) - 1)</f>
        <v>0.1368</v>
      </c>
      <c r="S4950" s="23">
        <f>SUMIFS($P:$P, $Q:$Q, "&lt;" &amp; $Q4950)</f>
        <v>158607545</v>
      </c>
    </row>
    <row r="4951" spans="1:19" x14ac:dyDescent="0.25">
      <c r="A4951" s="1">
        <v>4946</v>
      </c>
      <c r="B4951" s="1" t="s">
        <v>4</v>
      </c>
      <c r="C4951" s="1" t="str">
        <f>IF($B4951 = "Production Item", _xlfn.XLOOKUP($A4951, 'Instrument Table'!$J:$J, 'Instrument Table'!$B:$B, $C4950), IF($B4951 = "Service Item", _xlfn.XLOOKUP($A4951, 'Instrument Table'!$I:$I, 'Instrument Table'!$B:$B, $C4950), _xlfn.XLOOKUP($A4951, 'Instrument Table'!$H:$H, 'Instrument Table'!$B:$B, $C4950)))</f>
        <v>Musical Accessories</v>
      </c>
      <c r="D4951" s="1" t="str">
        <f>VLOOKUP($C4951, 'Instrument Table'!$B:$C, 2, FALSE)</f>
        <v>Other</v>
      </c>
      <c r="E4951" s="1">
        <f t="shared" si="462"/>
        <v>3</v>
      </c>
      <c r="F4951" s="1">
        <f>_xlfn.XLOOKUP($C4951, 'Instrument Table'!$B:$B, 'Instrument Table'!$A:$A, "")</f>
        <v>64</v>
      </c>
      <c r="G4951" s="1" t="str">
        <f>TEXT(IF($B4951 = "Retail Item", IF((ROW($A4951) - 4504 - _xlfn.XMATCH($C4951, $C$4506:$C$5005, 0, 1)) &lt;= VLOOKUP($C4951, 'Instrument Table'!$B:$D, 3, FALSE), ROW($A4951) - 4504 - _xlfn.XMATCH($C4951, $C$4506:$C$5005, 0, 1), 0), 0), "00")</f>
        <v>26</v>
      </c>
      <c r="H4951" s="1" t="str">
        <f t="shared" si="463"/>
        <v>000</v>
      </c>
      <c r="I4951" s="1" t="str">
        <f t="shared" si="464"/>
        <v>36426-000</v>
      </c>
      <c r="J4951" s="1" t="str">
        <f t="shared" si="465"/>
        <v>Musical accessories model #26</v>
      </c>
      <c r="K4951" s="1" t="str">
        <f>IF(SUM(COUNTIFS(I:I, I4951)) &gt; 1, "DUPLICATE", "UNIQUE")</f>
        <v>UNIQUE</v>
      </c>
      <c r="L4951" s="18">
        <v>80</v>
      </c>
      <c r="M4951" s="28">
        <v>6677</v>
      </c>
      <c r="N4951" s="6">
        <v>19</v>
      </c>
      <c r="O4951" s="30">
        <f t="shared" si="466"/>
        <v>534160</v>
      </c>
      <c r="P4951" s="30">
        <f t="shared" si="467"/>
        <v>126863</v>
      </c>
      <c r="Q4951" s="1">
        <f>COUNTIFS($P:$P, "&gt;" &amp; $P4951) + 1</f>
        <v>361</v>
      </c>
      <c r="R4951" s="63">
        <f>(COUNTIFS($P:$P, "&gt;" &amp; $P4951) + 1) / (COUNTA($I:$I) - 1)</f>
        <v>7.22E-2</v>
      </c>
      <c r="S4951" s="23">
        <f>SUMIFS($P:$P, $Q:$Q, "&lt;" &amp; $Q4951)</f>
        <v>138899922</v>
      </c>
    </row>
    <row r="4952" spans="1:19" x14ac:dyDescent="0.25">
      <c r="A4952" s="1">
        <v>4947</v>
      </c>
      <c r="B4952" s="1" t="s">
        <v>4</v>
      </c>
      <c r="C4952" s="1" t="str">
        <f>IF($B4952 = "Production Item", _xlfn.XLOOKUP($A4952, 'Instrument Table'!$J:$J, 'Instrument Table'!$B:$B, $C4951), IF($B4952 = "Service Item", _xlfn.XLOOKUP($A4952, 'Instrument Table'!$I:$I, 'Instrument Table'!$B:$B, $C4951), _xlfn.XLOOKUP($A4952, 'Instrument Table'!$H:$H, 'Instrument Table'!$B:$B, $C4951)))</f>
        <v>Musical Accessories</v>
      </c>
      <c r="D4952" s="1" t="str">
        <f>VLOOKUP($C4952, 'Instrument Table'!$B:$C, 2, FALSE)</f>
        <v>Other</v>
      </c>
      <c r="E4952" s="1">
        <f t="shared" si="462"/>
        <v>3</v>
      </c>
      <c r="F4952" s="1">
        <f>_xlfn.XLOOKUP($C4952, 'Instrument Table'!$B:$B, 'Instrument Table'!$A:$A, "")</f>
        <v>64</v>
      </c>
      <c r="G4952" s="1" t="str">
        <f>TEXT(IF($B4952 = "Retail Item", IF((ROW($A4952) - 4504 - _xlfn.XMATCH($C4952, $C$4506:$C$5005, 0, 1)) &lt;= VLOOKUP($C4952, 'Instrument Table'!$B:$D, 3, FALSE), ROW($A4952) - 4504 - _xlfn.XMATCH($C4952, $C$4506:$C$5005, 0, 1), 0), 0), "00")</f>
        <v>27</v>
      </c>
      <c r="H4952" s="1" t="str">
        <f t="shared" si="463"/>
        <v>000</v>
      </c>
      <c r="I4952" s="1" t="str">
        <f t="shared" si="464"/>
        <v>36427-000</v>
      </c>
      <c r="J4952" s="1" t="str">
        <f t="shared" si="465"/>
        <v>Musical accessories model #27</v>
      </c>
      <c r="K4952" s="1" t="str">
        <f>IF(SUM(COUNTIFS(I:I, I4952)) &gt; 1, "DUPLICATE", "UNIQUE")</f>
        <v>UNIQUE</v>
      </c>
      <c r="L4952" s="18">
        <v>46</v>
      </c>
      <c r="M4952" s="28">
        <v>7053</v>
      </c>
      <c r="N4952" s="6">
        <v>20</v>
      </c>
      <c r="O4952" s="30">
        <f t="shared" si="466"/>
        <v>324438</v>
      </c>
      <c r="P4952" s="30">
        <f t="shared" si="467"/>
        <v>141060</v>
      </c>
      <c r="Q4952" s="1">
        <f>COUNTIFS($P:$P, "&gt;" &amp; $P4952) + 1</f>
        <v>345</v>
      </c>
      <c r="R4952" s="63">
        <f>(COUNTIFS($P:$P, "&gt;" &amp; $P4952) + 1) / (COUNTA($I:$I) - 1)</f>
        <v>6.9000000000000006E-2</v>
      </c>
      <c r="S4952" s="23">
        <f>SUMIFS($P:$P, $Q:$Q, "&lt;" &amp; $Q4952)</f>
        <v>136773145</v>
      </c>
    </row>
    <row r="4953" spans="1:19" x14ac:dyDescent="0.25">
      <c r="A4953" s="1">
        <v>4948</v>
      </c>
      <c r="B4953" s="1" t="s">
        <v>4</v>
      </c>
      <c r="C4953" s="1" t="str">
        <f>IF($B4953 = "Production Item", _xlfn.XLOOKUP($A4953, 'Instrument Table'!$J:$J, 'Instrument Table'!$B:$B, $C4952), IF($B4953 = "Service Item", _xlfn.XLOOKUP($A4953, 'Instrument Table'!$I:$I, 'Instrument Table'!$B:$B, $C4952), _xlfn.XLOOKUP($A4953, 'Instrument Table'!$H:$H, 'Instrument Table'!$B:$B, $C4952)))</f>
        <v>Musical Accessories</v>
      </c>
      <c r="D4953" s="1" t="str">
        <f>VLOOKUP($C4953, 'Instrument Table'!$B:$C, 2, FALSE)</f>
        <v>Other</v>
      </c>
      <c r="E4953" s="1">
        <f t="shared" si="462"/>
        <v>3</v>
      </c>
      <c r="F4953" s="1">
        <f>_xlfn.XLOOKUP($C4953, 'Instrument Table'!$B:$B, 'Instrument Table'!$A:$A, "")</f>
        <v>64</v>
      </c>
      <c r="G4953" s="1" t="str">
        <f>TEXT(IF($B4953 = "Retail Item", IF((ROW($A4953) - 4504 - _xlfn.XMATCH($C4953, $C$4506:$C$5005, 0, 1)) &lt;= VLOOKUP($C4953, 'Instrument Table'!$B:$D, 3, FALSE), ROW($A4953) - 4504 - _xlfn.XMATCH($C4953, $C$4506:$C$5005, 0, 1), 0), 0), "00")</f>
        <v>28</v>
      </c>
      <c r="H4953" s="1" t="str">
        <f t="shared" si="463"/>
        <v>000</v>
      </c>
      <c r="I4953" s="1" t="str">
        <f t="shared" si="464"/>
        <v>36428-000</v>
      </c>
      <c r="J4953" s="1" t="str">
        <f t="shared" si="465"/>
        <v>Musical accessories model #28</v>
      </c>
      <c r="K4953" s="1" t="str">
        <f>IF(SUM(COUNTIFS(I:I, I4953)) &gt; 1, "DUPLICATE", "UNIQUE")</f>
        <v>UNIQUE</v>
      </c>
      <c r="L4953" s="18">
        <v>81</v>
      </c>
      <c r="M4953" s="28">
        <v>6041</v>
      </c>
      <c r="N4953" s="6">
        <v>24</v>
      </c>
      <c r="O4953" s="30">
        <f t="shared" si="466"/>
        <v>489321</v>
      </c>
      <c r="P4953" s="30">
        <f t="shared" si="467"/>
        <v>144984</v>
      </c>
      <c r="Q4953" s="1">
        <f>COUNTIFS($P:$P, "&gt;" &amp; $P4953) + 1</f>
        <v>341</v>
      </c>
      <c r="R4953" s="63">
        <f>(COUNTIFS($P:$P, "&gt;" &amp; $P4953) + 1) / (COUNTA($I:$I) - 1)</f>
        <v>6.8199999999999997E-2</v>
      </c>
      <c r="S4953" s="23">
        <f>SUMIFS($P:$P, $Q:$Q, "&lt;" &amp; $Q4953)</f>
        <v>136201139</v>
      </c>
    </row>
    <row r="4954" spans="1:19" x14ac:dyDescent="0.25">
      <c r="A4954" s="1">
        <v>4949</v>
      </c>
      <c r="B4954" s="1" t="s">
        <v>4</v>
      </c>
      <c r="C4954" s="1" t="str">
        <f>IF($B4954 = "Production Item", _xlfn.XLOOKUP($A4954, 'Instrument Table'!$J:$J, 'Instrument Table'!$B:$B, $C4953), IF($B4954 = "Service Item", _xlfn.XLOOKUP($A4954, 'Instrument Table'!$I:$I, 'Instrument Table'!$B:$B, $C4953), _xlfn.XLOOKUP($A4954, 'Instrument Table'!$H:$H, 'Instrument Table'!$B:$B, $C4953)))</f>
        <v>Musical Accessories</v>
      </c>
      <c r="D4954" s="1" t="str">
        <f>VLOOKUP($C4954, 'Instrument Table'!$B:$C, 2, FALSE)</f>
        <v>Other</v>
      </c>
      <c r="E4954" s="1">
        <f t="shared" si="462"/>
        <v>3</v>
      </c>
      <c r="F4954" s="1">
        <f>_xlfn.XLOOKUP($C4954, 'Instrument Table'!$B:$B, 'Instrument Table'!$A:$A, "")</f>
        <v>64</v>
      </c>
      <c r="G4954" s="1" t="str">
        <f>TEXT(IF($B4954 = "Retail Item", IF((ROW($A4954) - 4504 - _xlfn.XMATCH($C4954, $C$4506:$C$5005, 0, 1)) &lt;= VLOOKUP($C4954, 'Instrument Table'!$B:$D, 3, FALSE), ROW($A4954) - 4504 - _xlfn.XMATCH($C4954, $C$4506:$C$5005, 0, 1), 0), 0), "00")</f>
        <v>29</v>
      </c>
      <c r="H4954" s="1" t="str">
        <f t="shared" si="463"/>
        <v>000</v>
      </c>
      <c r="I4954" s="1" t="str">
        <f t="shared" si="464"/>
        <v>36429-000</v>
      </c>
      <c r="J4954" s="1" t="str">
        <f t="shared" si="465"/>
        <v>Musical accessories model #29</v>
      </c>
      <c r="K4954" s="1" t="str">
        <f>IF(SUM(COUNTIFS(I:I, I4954)) &gt; 1, "DUPLICATE", "UNIQUE")</f>
        <v>UNIQUE</v>
      </c>
      <c r="L4954" s="18">
        <v>77</v>
      </c>
      <c r="M4954" s="28">
        <v>4262</v>
      </c>
      <c r="N4954" s="6">
        <v>85</v>
      </c>
      <c r="O4954" s="30">
        <f t="shared" si="466"/>
        <v>328174</v>
      </c>
      <c r="P4954" s="30">
        <f t="shared" si="467"/>
        <v>362270</v>
      </c>
      <c r="Q4954" s="1">
        <f>COUNTIFS($P:$P, "&gt;" &amp; $P4954) + 1</f>
        <v>161</v>
      </c>
      <c r="R4954" s="63">
        <f>(COUNTIFS($P:$P, "&gt;" &amp; $P4954) + 1) / (COUNTA($I:$I) - 1)</f>
        <v>3.2199999999999999E-2</v>
      </c>
      <c r="S4954" s="23">
        <f>SUMIFS($P:$P, $Q:$Q, "&lt;" &amp; $Q4954)</f>
        <v>92059525</v>
      </c>
    </row>
    <row r="4955" spans="1:19" x14ac:dyDescent="0.25">
      <c r="A4955" s="1">
        <v>4950</v>
      </c>
      <c r="B4955" s="1" t="s">
        <v>4</v>
      </c>
      <c r="C4955" s="1" t="str">
        <f>IF($B4955 = "Production Item", _xlfn.XLOOKUP($A4955, 'Instrument Table'!$J:$J, 'Instrument Table'!$B:$B, $C4954), IF($B4955 = "Service Item", _xlfn.XLOOKUP($A4955, 'Instrument Table'!$I:$I, 'Instrument Table'!$B:$B, $C4954), _xlfn.XLOOKUP($A4955, 'Instrument Table'!$H:$H, 'Instrument Table'!$B:$B, $C4954)))</f>
        <v>Musical Accessories</v>
      </c>
      <c r="D4955" s="1" t="str">
        <f>VLOOKUP($C4955, 'Instrument Table'!$B:$C, 2, FALSE)</f>
        <v>Other</v>
      </c>
      <c r="E4955" s="1">
        <f t="shared" si="462"/>
        <v>3</v>
      </c>
      <c r="F4955" s="1">
        <f>_xlfn.XLOOKUP($C4955, 'Instrument Table'!$B:$B, 'Instrument Table'!$A:$A, "")</f>
        <v>64</v>
      </c>
      <c r="G4955" s="1" t="str">
        <f>TEXT(IF($B4955 = "Retail Item", IF((ROW($A4955) - 4504 - _xlfn.XMATCH($C4955, $C$4506:$C$5005, 0, 1)) &lt;= VLOOKUP($C4955, 'Instrument Table'!$B:$D, 3, FALSE), ROW($A4955) - 4504 - _xlfn.XMATCH($C4955, $C$4506:$C$5005, 0, 1), 0), 0), "00")</f>
        <v>30</v>
      </c>
      <c r="H4955" s="1" t="str">
        <f t="shared" si="463"/>
        <v>000</v>
      </c>
      <c r="I4955" s="1" t="str">
        <f t="shared" si="464"/>
        <v>36430-000</v>
      </c>
      <c r="J4955" s="1" t="str">
        <f t="shared" si="465"/>
        <v>Musical accessories model #30</v>
      </c>
      <c r="K4955" s="1" t="str">
        <f>IF(SUM(COUNTIFS(I:I, I4955)) &gt; 1, "DUPLICATE", "UNIQUE")</f>
        <v>UNIQUE</v>
      </c>
      <c r="L4955" s="18">
        <v>70</v>
      </c>
      <c r="M4955" s="28">
        <v>9764</v>
      </c>
      <c r="N4955" s="6">
        <v>52</v>
      </c>
      <c r="O4955" s="30">
        <f t="shared" si="466"/>
        <v>683480</v>
      </c>
      <c r="P4955" s="30">
        <f t="shared" si="467"/>
        <v>507728</v>
      </c>
      <c r="Q4955" s="1">
        <f>COUNTIFS($P:$P, "&gt;" &amp; $P4955) + 1</f>
        <v>93</v>
      </c>
      <c r="R4955" s="63">
        <f>(COUNTIFS($P:$P, "&gt;" &amp; $P4955) + 1) / (COUNTA($I:$I) - 1)</f>
        <v>1.8599999999999998E-2</v>
      </c>
      <c r="S4955" s="23">
        <f>SUMIFS($P:$P, $Q:$Q, "&lt;" &amp; $Q4955)</f>
        <v>62625421</v>
      </c>
    </row>
    <row r="4956" spans="1:19" x14ac:dyDescent="0.25">
      <c r="A4956" s="1">
        <v>4951</v>
      </c>
      <c r="B4956" s="1" t="s">
        <v>4</v>
      </c>
      <c r="C4956" s="1" t="str">
        <f>IF($B4956 = "Production Item", _xlfn.XLOOKUP($A4956, 'Instrument Table'!$J:$J, 'Instrument Table'!$B:$B, $C4955), IF($B4956 = "Service Item", _xlfn.XLOOKUP($A4956, 'Instrument Table'!$I:$I, 'Instrument Table'!$B:$B, $C4955), _xlfn.XLOOKUP($A4956, 'Instrument Table'!$H:$H, 'Instrument Table'!$B:$B, $C4955)))</f>
        <v>Musical Accessories</v>
      </c>
      <c r="D4956" s="1" t="str">
        <f>VLOOKUP($C4956, 'Instrument Table'!$B:$C, 2, FALSE)</f>
        <v>Other</v>
      </c>
      <c r="E4956" s="1">
        <f t="shared" si="462"/>
        <v>3</v>
      </c>
      <c r="F4956" s="1">
        <f>_xlfn.XLOOKUP($C4956, 'Instrument Table'!$B:$B, 'Instrument Table'!$A:$A, "")</f>
        <v>64</v>
      </c>
      <c r="G4956" s="1" t="str">
        <f>TEXT(IF($B4956 = "Retail Item", IF((ROW($A4956) - 4504 - _xlfn.XMATCH($C4956, $C$4506:$C$5005, 0, 1)) &lt;= VLOOKUP($C4956, 'Instrument Table'!$B:$D, 3, FALSE), ROW($A4956) - 4504 - _xlfn.XMATCH($C4956, $C$4506:$C$5005, 0, 1), 0), 0), "00")</f>
        <v>31</v>
      </c>
      <c r="H4956" s="1" t="str">
        <f t="shared" si="463"/>
        <v>000</v>
      </c>
      <c r="I4956" s="1" t="str">
        <f t="shared" si="464"/>
        <v>36431-000</v>
      </c>
      <c r="J4956" s="1" t="str">
        <f t="shared" si="465"/>
        <v>Musical accessories model #31</v>
      </c>
      <c r="K4956" s="1" t="str">
        <f>IF(SUM(COUNTIFS(I:I, I4956)) &gt; 1, "DUPLICATE", "UNIQUE")</f>
        <v>UNIQUE</v>
      </c>
      <c r="L4956" s="18">
        <v>70</v>
      </c>
      <c r="M4956" s="28">
        <v>4577</v>
      </c>
      <c r="N4956" s="6">
        <v>79</v>
      </c>
      <c r="O4956" s="30">
        <f t="shared" si="466"/>
        <v>320390</v>
      </c>
      <c r="P4956" s="30">
        <f t="shared" si="467"/>
        <v>361583</v>
      </c>
      <c r="Q4956" s="1">
        <f>COUNTIFS($P:$P, "&gt;" &amp; $P4956) + 1</f>
        <v>162</v>
      </c>
      <c r="R4956" s="63">
        <f>(COUNTIFS($P:$P, "&gt;" &amp; $P4956) + 1) / (COUNTA($I:$I) - 1)</f>
        <v>3.2399999999999998E-2</v>
      </c>
      <c r="S4956" s="23">
        <f>SUMIFS($P:$P, $Q:$Q, "&lt;" &amp; $Q4956)</f>
        <v>92421795</v>
      </c>
    </row>
    <row r="4957" spans="1:19" x14ac:dyDescent="0.25">
      <c r="A4957" s="1">
        <v>4952</v>
      </c>
      <c r="B4957" s="1" t="s">
        <v>4</v>
      </c>
      <c r="C4957" s="1" t="str">
        <f>IF($B4957 = "Production Item", _xlfn.XLOOKUP($A4957, 'Instrument Table'!$J:$J, 'Instrument Table'!$B:$B, $C4956), IF($B4957 = "Service Item", _xlfn.XLOOKUP($A4957, 'Instrument Table'!$I:$I, 'Instrument Table'!$B:$B, $C4956), _xlfn.XLOOKUP($A4957, 'Instrument Table'!$H:$H, 'Instrument Table'!$B:$B, $C4956)))</f>
        <v>Musical Accessories</v>
      </c>
      <c r="D4957" s="1" t="str">
        <f>VLOOKUP($C4957, 'Instrument Table'!$B:$C, 2, FALSE)</f>
        <v>Other</v>
      </c>
      <c r="E4957" s="1">
        <f t="shared" si="462"/>
        <v>3</v>
      </c>
      <c r="F4957" s="1">
        <f>_xlfn.XLOOKUP($C4957, 'Instrument Table'!$B:$B, 'Instrument Table'!$A:$A, "")</f>
        <v>64</v>
      </c>
      <c r="G4957" s="1" t="str">
        <f>TEXT(IF($B4957 = "Retail Item", IF((ROW($A4957) - 4504 - _xlfn.XMATCH($C4957, $C$4506:$C$5005, 0, 1)) &lt;= VLOOKUP($C4957, 'Instrument Table'!$B:$D, 3, FALSE), ROW($A4957) - 4504 - _xlfn.XMATCH($C4957, $C$4506:$C$5005, 0, 1), 0), 0), "00")</f>
        <v>32</v>
      </c>
      <c r="H4957" s="1" t="str">
        <f t="shared" si="463"/>
        <v>000</v>
      </c>
      <c r="I4957" s="1" t="str">
        <f t="shared" si="464"/>
        <v>36432-000</v>
      </c>
      <c r="J4957" s="1" t="str">
        <f t="shared" si="465"/>
        <v>Musical accessories model #32</v>
      </c>
      <c r="K4957" s="1" t="str">
        <f>IF(SUM(COUNTIFS(I:I, I4957)) &gt; 1, "DUPLICATE", "UNIQUE")</f>
        <v>UNIQUE</v>
      </c>
      <c r="L4957" s="18">
        <v>49</v>
      </c>
      <c r="M4957" s="28">
        <v>8707</v>
      </c>
      <c r="N4957" s="6">
        <v>76</v>
      </c>
      <c r="O4957" s="30">
        <f t="shared" si="466"/>
        <v>426643</v>
      </c>
      <c r="P4957" s="30">
        <f t="shared" si="467"/>
        <v>661732</v>
      </c>
      <c r="Q4957" s="1">
        <f>COUNTIFS($P:$P, "&gt;" &amp; $P4957) + 1</f>
        <v>44</v>
      </c>
      <c r="R4957" s="63">
        <f>(COUNTIFS($P:$P, "&gt;" &amp; $P4957) + 1) / (COUNTA($I:$I) - 1)</f>
        <v>8.8000000000000005E-3</v>
      </c>
      <c r="S4957" s="23">
        <f>SUMIFS($P:$P, $Q:$Q, "&lt;" &amp; $Q4957)</f>
        <v>34021519</v>
      </c>
    </row>
    <row r="4958" spans="1:19" x14ac:dyDescent="0.25">
      <c r="A4958" s="1">
        <v>4953</v>
      </c>
      <c r="B4958" s="1" t="s">
        <v>4</v>
      </c>
      <c r="C4958" s="1" t="str">
        <f>IF($B4958 = "Production Item", _xlfn.XLOOKUP($A4958, 'Instrument Table'!$J:$J, 'Instrument Table'!$B:$B, $C4957), IF($B4958 = "Service Item", _xlfn.XLOOKUP($A4958, 'Instrument Table'!$I:$I, 'Instrument Table'!$B:$B, $C4957), _xlfn.XLOOKUP($A4958, 'Instrument Table'!$H:$H, 'Instrument Table'!$B:$B, $C4957)))</f>
        <v>Musical Accessories</v>
      </c>
      <c r="D4958" s="1" t="str">
        <f>VLOOKUP($C4958, 'Instrument Table'!$B:$C, 2, FALSE)</f>
        <v>Other</v>
      </c>
      <c r="E4958" s="1">
        <f t="shared" si="462"/>
        <v>3</v>
      </c>
      <c r="F4958" s="1">
        <f>_xlfn.XLOOKUP($C4958, 'Instrument Table'!$B:$B, 'Instrument Table'!$A:$A, "")</f>
        <v>64</v>
      </c>
      <c r="G4958" s="1" t="str">
        <f>TEXT(IF($B4958 = "Retail Item", IF((ROW($A4958) - 4504 - _xlfn.XMATCH($C4958, $C$4506:$C$5005, 0, 1)) &lt;= VLOOKUP($C4958, 'Instrument Table'!$B:$D, 3, FALSE), ROW($A4958) - 4504 - _xlfn.XMATCH($C4958, $C$4506:$C$5005, 0, 1), 0), 0), "00")</f>
        <v>33</v>
      </c>
      <c r="H4958" s="1" t="str">
        <f t="shared" si="463"/>
        <v>000</v>
      </c>
      <c r="I4958" s="1" t="str">
        <f t="shared" si="464"/>
        <v>36433-000</v>
      </c>
      <c r="J4958" s="1" t="str">
        <f t="shared" si="465"/>
        <v>Musical accessories model #33</v>
      </c>
      <c r="K4958" s="1" t="str">
        <f>IF(SUM(COUNTIFS(I:I, I4958)) &gt; 1, "DUPLICATE", "UNIQUE")</f>
        <v>UNIQUE</v>
      </c>
      <c r="L4958" s="18">
        <v>26</v>
      </c>
      <c r="M4958" s="28">
        <v>3104</v>
      </c>
      <c r="N4958" s="6">
        <v>33</v>
      </c>
      <c r="O4958" s="30">
        <f t="shared" si="466"/>
        <v>80704</v>
      </c>
      <c r="P4958" s="30">
        <f t="shared" si="467"/>
        <v>102432</v>
      </c>
      <c r="Q4958" s="1">
        <f>COUNTIFS($P:$P, "&gt;" &amp; $P4958) + 1</f>
        <v>403</v>
      </c>
      <c r="R4958" s="63">
        <f>(COUNTIFS($P:$P, "&gt;" &amp; $P4958) + 1) / (COUNTA($I:$I) - 1)</f>
        <v>8.0600000000000005E-2</v>
      </c>
      <c r="S4958" s="23">
        <f>SUMIFS($P:$P, $Q:$Q, "&lt;" &amp; $Q4958)</f>
        <v>143752157</v>
      </c>
    </row>
    <row r="4959" spans="1:19" x14ac:dyDescent="0.25">
      <c r="A4959" s="1">
        <v>4954</v>
      </c>
      <c r="B4959" s="1" t="s">
        <v>4</v>
      </c>
      <c r="C4959" s="1" t="str">
        <f>IF($B4959 = "Production Item", _xlfn.XLOOKUP($A4959, 'Instrument Table'!$J:$J, 'Instrument Table'!$B:$B, $C4958), IF($B4959 = "Service Item", _xlfn.XLOOKUP($A4959, 'Instrument Table'!$I:$I, 'Instrument Table'!$B:$B, $C4958), _xlfn.XLOOKUP($A4959, 'Instrument Table'!$H:$H, 'Instrument Table'!$B:$B, $C4958)))</f>
        <v>Musical Accessories</v>
      </c>
      <c r="D4959" s="1" t="str">
        <f>VLOOKUP($C4959, 'Instrument Table'!$B:$C, 2, FALSE)</f>
        <v>Other</v>
      </c>
      <c r="E4959" s="1">
        <f t="shared" si="462"/>
        <v>3</v>
      </c>
      <c r="F4959" s="1">
        <f>_xlfn.XLOOKUP($C4959, 'Instrument Table'!$B:$B, 'Instrument Table'!$A:$A, "")</f>
        <v>64</v>
      </c>
      <c r="G4959" s="1" t="str">
        <f>TEXT(IF($B4959 = "Retail Item", IF((ROW($A4959) - 4504 - _xlfn.XMATCH($C4959, $C$4506:$C$5005, 0, 1)) &lt;= VLOOKUP($C4959, 'Instrument Table'!$B:$D, 3, FALSE), ROW($A4959) - 4504 - _xlfn.XMATCH($C4959, $C$4506:$C$5005, 0, 1), 0), 0), "00")</f>
        <v>34</v>
      </c>
      <c r="H4959" s="1" t="str">
        <f t="shared" si="463"/>
        <v>000</v>
      </c>
      <c r="I4959" s="1" t="str">
        <f t="shared" si="464"/>
        <v>36434-000</v>
      </c>
      <c r="J4959" s="1" t="str">
        <f t="shared" si="465"/>
        <v>Musical accessories model #34</v>
      </c>
      <c r="K4959" s="1" t="str">
        <f>IF(SUM(COUNTIFS(I:I, I4959)) &gt; 1, "DUPLICATE", "UNIQUE")</f>
        <v>UNIQUE</v>
      </c>
      <c r="L4959" s="18">
        <v>67</v>
      </c>
      <c r="M4959" s="28">
        <v>6970</v>
      </c>
      <c r="N4959" s="6">
        <v>67</v>
      </c>
      <c r="O4959" s="30">
        <f t="shared" si="466"/>
        <v>466990</v>
      </c>
      <c r="P4959" s="30">
        <f t="shared" si="467"/>
        <v>466990</v>
      </c>
      <c r="Q4959" s="1">
        <f>COUNTIFS($P:$P, "&gt;" &amp; $P4959) + 1</f>
        <v>108</v>
      </c>
      <c r="R4959" s="63">
        <f>(COUNTIFS($P:$P, "&gt;" &amp; $P4959) + 1) / (COUNTA($I:$I) - 1)</f>
        <v>2.1600000000000001E-2</v>
      </c>
      <c r="S4959" s="23">
        <f>SUMIFS($P:$P, $Q:$Q, "&lt;" &amp; $Q4959)</f>
        <v>70010225</v>
      </c>
    </row>
    <row r="4960" spans="1:19" x14ac:dyDescent="0.25">
      <c r="A4960" s="1">
        <v>4955</v>
      </c>
      <c r="B4960" s="1" t="s">
        <v>4</v>
      </c>
      <c r="C4960" s="1" t="str">
        <f>IF($B4960 = "Production Item", _xlfn.XLOOKUP($A4960, 'Instrument Table'!$J:$J, 'Instrument Table'!$B:$B, $C4959), IF($B4960 = "Service Item", _xlfn.XLOOKUP($A4960, 'Instrument Table'!$I:$I, 'Instrument Table'!$B:$B, $C4959), _xlfn.XLOOKUP($A4960, 'Instrument Table'!$H:$H, 'Instrument Table'!$B:$B, $C4959)))</f>
        <v>Musical Accessories</v>
      </c>
      <c r="D4960" s="1" t="str">
        <f>VLOOKUP($C4960, 'Instrument Table'!$B:$C, 2, FALSE)</f>
        <v>Other</v>
      </c>
      <c r="E4960" s="1">
        <f t="shared" si="462"/>
        <v>3</v>
      </c>
      <c r="F4960" s="1">
        <f>_xlfn.XLOOKUP($C4960, 'Instrument Table'!$B:$B, 'Instrument Table'!$A:$A, "")</f>
        <v>64</v>
      </c>
      <c r="G4960" s="1" t="str">
        <f>TEXT(IF($B4960 = "Retail Item", IF((ROW($A4960) - 4504 - _xlfn.XMATCH($C4960, $C$4506:$C$5005, 0, 1)) &lt;= VLOOKUP($C4960, 'Instrument Table'!$B:$D, 3, FALSE), ROW($A4960) - 4504 - _xlfn.XMATCH($C4960, $C$4506:$C$5005, 0, 1), 0), 0), "00")</f>
        <v>35</v>
      </c>
      <c r="H4960" s="1" t="str">
        <f t="shared" si="463"/>
        <v>000</v>
      </c>
      <c r="I4960" s="1" t="str">
        <f t="shared" si="464"/>
        <v>36435-000</v>
      </c>
      <c r="J4960" s="1" t="str">
        <f t="shared" si="465"/>
        <v>Musical accessories model #35</v>
      </c>
      <c r="K4960" s="1" t="str">
        <f>IF(SUM(COUNTIFS(I:I, I4960)) &gt; 1, "DUPLICATE", "UNIQUE")</f>
        <v>UNIQUE</v>
      </c>
      <c r="L4960" s="18">
        <v>73</v>
      </c>
      <c r="M4960" s="28">
        <v>4207</v>
      </c>
      <c r="N4960" s="6">
        <v>15</v>
      </c>
      <c r="O4960" s="30">
        <f t="shared" si="466"/>
        <v>307111</v>
      </c>
      <c r="P4960" s="30">
        <f t="shared" si="467"/>
        <v>63105</v>
      </c>
      <c r="Q4960" s="1">
        <f>COUNTIFS($P:$P, "&gt;" &amp; $P4960) + 1</f>
        <v>491</v>
      </c>
      <c r="R4960" s="63">
        <f>(COUNTIFS($P:$P, "&gt;" &amp; $P4960) + 1) / (COUNTA($I:$I) - 1)</f>
        <v>9.8199999999999996E-2</v>
      </c>
      <c r="S4960" s="23">
        <f>SUMIFS($P:$P, $Q:$Q, "&lt;" &amp; $Q4960)</f>
        <v>150909491</v>
      </c>
    </row>
    <row r="4961" spans="1:19" x14ac:dyDescent="0.25">
      <c r="A4961" s="1">
        <v>4956</v>
      </c>
      <c r="B4961" s="1" t="s">
        <v>4</v>
      </c>
      <c r="C4961" s="1" t="str">
        <f>IF($B4961 = "Production Item", _xlfn.XLOOKUP($A4961, 'Instrument Table'!$J:$J, 'Instrument Table'!$B:$B, $C4960), IF($B4961 = "Service Item", _xlfn.XLOOKUP($A4961, 'Instrument Table'!$I:$I, 'Instrument Table'!$B:$B, $C4960), _xlfn.XLOOKUP($A4961, 'Instrument Table'!$H:$H, 'Instrument Table'!$B:$B, $C4960)))</f>
        <v>Musical Accessories</v>
      </c>
      <c r="D4961" s="1" t="str">
        <f>VLOOKUP($C4961, 'Instrument Table'!$B:$C, 2, FALSE)</f>
        <v>Other</v>
      </c>
      <c r="E4961" s="1">
        <f t="shared" si="462"/>
        <v>3</v>
      </c>
      <c r="F4961" s="1">
        <f>_xlfn.XLOOKUP($C4961, 'Instrument Table'!$B:$B, 'Instrument Table'!$A:$A, "")</f>
        <v>64</v>
      </c>
      <c r="G4961" s="1" t="str">
        <f>TEXT(IF($B4961 = "Retail Item", IF((ROW($A4961) - 4504 - _xlfn.XMATCH($C4961, $C$4506:$C$5005, 0, 1)) &lt;= VLOOKUP($C4961, 'Instrument Table'!$B:$D, 3, FALSE), ROW($A4961) - 4504 - _xlfn.XMATCH($C4961, $C$4506:$C$5005, 0, 1), 0), 0), "00")</f>
        <v>36</v>
      </c>
      <c r="H4961" s="1" t="str">
        <f t="shared" si="463"/>
        <v>000</v>
      </c>
      <c r="I4961" s="1" t="str">
        <f t="shared" si="464"/>
        <v>36436-000</v>
      </c>
      <c r="J4961" s="1" t="str">
        <f t="shared" si="465"/>
        <v>Musical accessories model #36</v>
      </c>
      <c r="K4961" s="1" t="str">
        <f>IF(SUM(COUNTIFS(I:I, I4961)) &gt; 1, "DUPLICATE", "UNIQUE")</f>
        <v>UNIQUE</v>
      </c>
      <c r="L4961" s="18">
        <v>88</v>
      </c>
      <c r="M4961" s="28">
        <v>6090</v>
      </c>
      <c r="N4961" s="6">
        <v>7</v>
      </c>
      <c r="O4961" s="30">
        <f t="shared" si="466"/>
        <v>535920</v>
      </c>
      <c r="P4961" s="30">
        <f t="shared" si="467"/>
        <v>42630</v>
      </c>
      <c r="Q4961" s="1">
        <f>COUNTIFS($P:$P, "&gt;" &amp; $P4961) + 1</f>
        <v>542</v>
      </c>
      <c r="R4961" s="63">
        <f>(COUNTIFS($P:$P, "&gt;" &amp; $P4961) + 1) / (COUNTA($I:$I) - 1)</f>
        <v>0.1084</v>
      </c>
      <c r="S4961" s="23">
        <f>SUMIFS($P:$P, $Q:$Q, "&lt;" &amp; $Q4961)</f>
        <v>153644785</v>
      </c>
    </row>
    <row r="4962" spans="1:19" x14ac:dyDescent="0.25">
      <c r="A4962" s="1">
        <v>4957</v>
      </c>
      <c r="B4962" s="1" t="s">
        <v>4</v>
      </c>
      <c r="C4962" s="1" t="str">
        <f>IF($B4962 = "Production Item", _xlfn.XLOOKUP($A4962, 'Instrument Table'!$J:$J, 'Instrument Table'!$B:$B, $C4961), IF($B4962 = "Service Item", _xlfn.XLOOKUP($A4962, 'Instrument Table'!$I:$I, 'Instrument Table'!$B:$B, $C4961), _xlfn.XLOOKUP($A4962, 'Instrument Table'!$H:$H, 'Instrument Table'!$B:$B, $C4961)))</f>
        <v>Musical Accessories</v>
      </c>
      <c r="D4962" s="1" t="str">
        <f>VLOOKUP($C4962, 'Instrument Table'!$B:$C, 2, FALSE)</f>
        <v>Other</v>
      </c>
      <c r="E4962" s="1">
        <f t="shared" si="462"/>
        <v>3</v>
      </c>
      <c r="F4962" s="1">
        <f>_xlfn.XLOOKUP($C4962, 'Instrument Table'!$B:$B, 'Instrument Table'!$A:$A, "")</f>
        <v>64</v>
      </c>
      <c r="G4962" s="1" t="str">
        <f>TEXT(IF($B4962 = "Retail Item", IF((ROW($A4962) - 4504 - _xlfn.XMATCH($C4962, $C$4506:$C$5005, 0, 1)) &lt;= VLOOKUP($C4962, 'Instrument Table'!$B:$D, 3, FALSE), ROW($A4962) - 4504 - _xlfn.XMATCH($C4962, $C$4506:$C$5005, 0, 1), 0), 0), "00")</f>
        <v>37</v>
      </c>
      <c r="H4962" s="1" t="str">
        <f t="shared" si="463"/>
        <v>000</v>
      </c>
      <c r="I4962" s="1" t="str">
        <f t="shared" si="464"/>
        <v>36437-000</v>
      </c>
      <c r="J4962" s="1" t="str">
        <f t="shared" si="465"/>
        <v>Musical accessories model #37</v>
      </c>
      <c r="K4962" s="1" t="str">
        <f>IF(SUM(COUNTIFS(I:I, I4962)) &gt; 1, "DUPLICATE", "UNIQUE")</f>
        <v>UNIQUE</v>
      </c>
      <c r="L4962" s="18">
        <v>27</v>
      </c>
      <c r="M4962" s="28">
        <v>2233</v>
      </c>
      <c r="N4962" s="6">
        <v>58</v>
      </c>
      <c r="O4962" s="30">
        <f t="shared" si="466"/>
        <v>60291</v>
      </c>
      <c r="P4962" s="30">
        <f t="shared" si="467"/>
        <v>129514</v>
      </c>
      <c r="Q4962" s="1">
        <f>COUNTIFS($P:$P, "&gt;" &amp; $P4962) + 1</f>
        <v>356</v>
      </c>
      <c r="R4962" s="63">
        <f>(COUNTIFS($P:$P, "&gt;" &amp; $P4962) + 1) / (COUNTA($I:$I) - 1)</f>
        <v>7.1199999999999999E-2</v>
      </c>
      <c r="S4962" s="23">
        <f>SUMIFS($P:$P, $Q:$Q, "&lt;" &amp; $Q4962)</f>
        <v>138257320</v>
      </c>
    </row>
    <row r="4963" spans="1:19" x14ac:dyDescent="0.25">
      <c r="A4963" s="1">
        <v>4958</v>
      </c>
      <c r="B4963" s="1" t="s">
        <v>4</v>
      </c>
      <c r="C4963" s="1" t="str">
        <f>IF($B4963 = "Production Item", _xlfn.XLOOKUP($A4963, 'Instrument Table'!$J:$J, 'Instrument Table'!$B:$B, $C4962), IF($B4963 = "Service Item", _xlfn.XLOOKUP($A4963, 'Instrument Table'!$I:$I, 'Instrument Table'!$B:$B, $C4962), _xlfn.XLOOKUP($A4963, 'Instrument Table'!$H:$H, 'Instrument Table'!$B:$B, $C4962)))</f>
        <v>Musical Accessories</v>
      </c>
      <c r="D4963" s="1" t="str">
        <f>VLOOKUP($C4963, 'Instrument Table'!$B:$C, 2, FALSE)</f>
        <v>Other</v>
      </c>
      <c r="E4963" s="1">
        <f t="shared" si="462"/>
        <v>3</v>
      </c>
      <c r="F4963" s="1">
        <f>_xlfn.XLOOKUP($C4963, 'Instrument Table'!$B:$B, 'Instrument Table'!$A:$A, "")</f>
        <v>64</v>
      </c>
      <c r="G4963" s="1" t="str">
        <f>TEXT(IF($B4963 = "Retail Item", IF((ROW($A4963) - 4504 - _xlfn.XMATCH($C4963, $C$4506:$C$5005, 0, 1)) &lt;= VLOOKUP($C4963, 'Instrument Table'!$B:$D, 3, FALSE), ROW($A4963) - 4504 - _xlfn.XMATCH($C4963, $C$4506:$C$5005, 0, 1), 0), 0), "00")</f>
        <v>38</v>
      </c>
      <c r="H4963" s="1" t="str">
        <f t="shared" si="463"/>
        <v>000</v>
      </c>
      <c r="I4963" s="1" t="str">
        <f t="shared" si="464"/>
        <v>36438-000</v>
      </c>
      <c r="J4963" s="1" t="str">
        <f t="shared" si="465"/>
        <v>Musical accessories model #38</v>
      </c>
      <c r="K4963" s="1" t="str">
        <f>IF(SUM(COUNTIFS(I:I, I4963)) &gt; 1, "DUPLICATE", "UNIQUE")</f>
        <v>UNIQUE</v>
      </c>
      <c r="L4963" s="18">
        <v>49</v>
      </c>
      <c r="M4963" s="28">
        <v>8725</v>
      </c>
      <c r="N4963" s="6">
        <v>99</v>
      </c>
      <c r="O4963" s="30">
        <f t="shared" si="466"/>
        <v>427525</v>
      </c>
      <c r="P4963" s="30">
        <f t="shared" si="467"/>
        <v>863775</v>
      </c>
      <c r="Q4963" s="1">
        <f>COUNTIFS($P:$P, "&gt;" &amp; $P4963) + 1</f>
        <v>10</v>
      </c>
      <c r="R4963" s="63">
        <f>(COUNTIFS($P:$P, "&gt;" &amp; $P4963) + 1) / (COUNTA($I:$I) - 1)</f>
        <v>2E-3</v>
      </c>
      <c r="S4963" s="23">
        <f>SUMIFS($P:$P, $Q:$Q, "&lt;" &amp; $Q4963)</f>
        <v>8238574</v>
      </c>
    </row>
    <row r="4964" spans="1:19" x14ac:dyDescent="0.25">
      <c r="A4964" s="1">
        <v>4959</v>
      </c>
      <c r="B4964" s="1" t="s">
        <v>4</v>
      </c>
      <c r="C4964" s="1" t="str">
        <f>IF($B4964 = "Production Item", _xlfn.XLOOKUP($A4964, 'Instrument Table'!$J:$J, 'Instrument Table'!$B:$B, $C4963), IF($B4964 = "Service Item", _xlfn.XLOOKUP($A4964, 'Instrument Table'!$I:$I, 'Instrument Table'!$B:$B, $C4963), _xlfn.XLOOKUP($A4964, 'Instrument Table'!$H:$H, 'Instrument Table'!$B:$B, $C4963)))</f>
        <v>Musical Accessories</v>
      </c>
      <c r="D4964" s="1" t="str">
        <f>VLOOKUP($C4964, 'Instrument Table'!$B:$C, 2, FALSE)</f>
        <v>Other</v>
      </c>
      <c r="E4964" s="1">
        <f t="shared" si="462"/>
        <v>3</v>
      </c>
      <c r="F4964" s="1">
        <f>_xlfn.XLOOKUP($C4964, 'Instrument Table'!$B:$B, 'Instrument Table'!$A:$A, "")</f>
        <v>64</v>
      </c>
      <c r="G4964" s="1" t="str">
        <f>TEXT(IF($B4964 = "Retail Item", IF((ROW($A4964) - 4504 - _xlfn.XMATCH($C4964, $C$4506:$C$5005, 0, 1)) &lt;= VLOOKUP($C4964, 'Instrument Table'!$B:$D, 3, FALSE), ROW($A4964) - 4504 - _xlfn.XMATCH($C4964, $C$4506:$C$5005, 0, 1), 0), 0), "00")</f>
        <v>39</v>
      </c>
      <c r="H4964" s="1" t="str">
        <f t="shared" si="463"/>
        <v>000</v>
      </c>
      <c r="I4964" s="1" t="str">
        <f t="shared" si="464"/>
        <v>36439-000</v>
      </c>
      <c r="J4964" s="1" t="str">
        <f t="shared" si="465"/>
        <v>Musical accessories model #39</v>
      </c>
      <c r="K4964" s="1" t="str">
        <f>IF(SUM(COUNTIFS(I:I, I4964)) &gt; 1, "DUPLICATE", "UNIQUE")</f>
        <v>UNIQUE</v>
      </c>
      <c r="L4964" s="18">
        <v>99</v>
      </c>
      <c r="M4964" s="28">
        <v>4486</v>
      </c>
      <c r="N4964" s="6">
        <v>24</v>
      </c>
      <c r="O4964" s="30">
        <f t="shared" si="466"/>
        <v>444114</v>
      </c>
      <c r="P4964" s="30">
        <f t="shared" si="467"/>
        <v>107664</v>
      </c>
      <c r="Q4964" s="1">
        <f>COUNTIFS($P:$P, "&gt;" &amp; $P4964) + 1</f>
        <v>397</v>
      </c>
      <c r="R4964" s="63">
        <f>(COUNTIFS($P:$P, "&gt;" &amp; $P4964) + 1) / (COUNTA($I:$I) - 1)</f>
        <v>7.9399999999999998E-2</v>
      </c>
      <c r="S4964" s="23">
        <f>SUMIFS($P:$P, $Q:$Q, "&lt;" &amp; $Q4964)</f>
        <v>143126384</v>
      </c>
    </row>
    <row r="4965" spans="1:19" x14ac:dyDescent="0.25">
      <c r="A4965" s="1">
        <v>4960</v>
      </c>
      <c r="B4965" s="1" t="s">
        <v>4</v>
      </c>
      <c r="C4965" s="1" t="str">
        <f>IF($B4965 = "Production Item", _xlfn.XLOOKUP($A4965, 'Instrument Table'!$J:$J, 'Instrument Table'!$B:$B, $C4964), IF($B4965 = "Service Item", _xlfn.XLOOKUP($A4965, 'Instrument Table'!$I:$I, 'Instrument Table'!$B:$B, $C4964), _xlfn.XLOOKUP($A4965, 'Instrument Table'!$H:$H, 'Instrument Table'!$B:$B, $C4964)))</f>
        <v>Musical Accessories</v>
      </c>
      <c r="D4965" s="1" t="str">
        <f>VLOOKUP($C4965, 'Instrument Table'!$B:$C, 2, FALSE)</f>
        <v>Other</v>
      </c>
      <c r="E4965" s="1">
        <f t="shared" si="462"/>
        <v>3</v>
      </c>
      <c r="F4965" s="1">
        <f>_xlfn.XLOOKUP($C4965, 'Instrument Table'!$B:$B, 'Instrument Table'!$A:$A, "")</f>
        <v>64</v>
      </c>
      <c r="G4965" s="1" t="str">
        <f>TEXT(IF($B4965 = "Retail Item", IF((ROW($A4965) - 4504 - _xlfn.XMATCH($C4965, $C$4506:$C$5005, 0, 1)) &lt;= VLOOKUP($C4965, 'Instrument Table'!$B:$D, 3, FALSE), ROW($A4965) - 4504 - _xlfn.XMATCH($C4965, $C$4506:$C$5005, 0, 1), 0), 0), "00")</f>
        <v>40</v>
      </c>
      <c r="H4965" s="1" t="str">
        <f t="shared" si="463"/>
        <v>000</v>
      </c>
      <c r="I4965" s="1" t="str">
        <f t="shared" si="464"/>
        <v>36440-000</v>
      </c>
      <c r="J4965" s="1" t="str">
        <f t="shared" si="465"/>
        <v>Musical accessories model #40</v>
      </c>
      <c r="K4965" s="1" t="str">
        <f>IF(SUM(COUNTIFS(I:I, I4965)) &gt; 1, "DUPLICATE", "UNIQUE")</f>
        <v>UNIQUE</v>
      </c>
      <c r="L4965" s="18">
        <v>48</v>
      </c>
      <c r="M4965" s="28">
        <v>8645</v>
      </c>
      <c r="N4965" s="6">
        <v>90</v>
      </c>
      <c r="O4965" s="30">
        <f t="shared" si="466"/>
        <v>414960</v>
      </c>
      <c r="P4965" s="30">
        <f t="shared" si="467"/>
        <v>778050</v>
      </c>
      <c r="Q4965" s="1">
        <f>COUNTIFS($P:$P, "&gt;" &amp; $P4965) + 1</f>
        <v>21</v>
      </c>
      <c r="R4965" s="63">
        <f>(COUNTIFS($P:$P, "&gt;" &amp; $P4965) + 1) / (COUNTA($I:$I) - 1)</f>
        <v>4.1999999999999997E-3</v>
      </c>
      <c r="S4965" s="23">
        <f>SUMIFS($P:$P, $Q:$Q, "&lt;" &amp; $Q4965)</f>
        <v>17304779</v>
      </c>
    </row>
    <row r="4966" spans="1:19" x14ac:dyDescent="0.25">
      <c r="A4966" s="1">
        <v>4961</v>
      </c>
      <c r="B4966" s="1" t="s">
        <v>4</v>
      </c>
      <c r="C4966" s="1" t="str">
        <f>IF($B4966 = "Production Item", _xlfn.XLOOKUP($A4966, 'Instrument Table'!$J:$J, 'Instrument Table'!$B:$B, $C4965), IF($B4966 = "Service Item", _xlfn.XLOOKUP($A4966, 'Instrument Table'!$I:$I, 'Instrument Table'!$B:$B, $C4965), _xlfn.XLOOKUP($A4966, 'Instrument Table'!$H:$H, 'Instrument Table'!$B:$B, $C4965)))</f>
        <v>Musical Accessories</v>
      </c>
      <c r="D4966" s="1" t="str">
        <f>VLOOKUP($C4966, 'Instrument Table'!$B:$C, 2, FALSE)</f>
        <v>Other</v>
      </c>
      <c r="E4966" s="1">
        <f t="shared" si="462"/>
        <v>3</v>
      </c>
      <c r="F4966" s="1">
        <f>_xlfn.XLOOKUP($C4966, 'Instrument Table'!$B:$B, 'Instrument Table'!$A:$A, "")</f>
        <v>64</v>
      </c>
      <c r="G4966" s="1" t="str">
        <f>TEXT(IF($B4966 = "Retail Item", IF((ROW($A4966) - 4504 - _xlfn.XMATCH($C4966, $C$4506:$C$5005, 0, 1)) &lt;= VLOOKUP($C4966, 'Instrument Table'!$B:$D, 3, FALSE), ROW($A4966) - 4504 - _xlfn.XMATCH($C4966, $C$4506:$C$5005, 0, 1), 0), 0), "00")</f>
        <v>41</v>
      </c>
      <c r="H4966" s="1" t="str">
        <f t="shared" si="463"/>
        <v>000</v>
      </c>
      <c r="I4966" s="1" t="str">
        <f t="shared" si="464"/>
        <v>36441-000</v>
      </c>
      <c r="J4966" s="1" t="str">
        <f t="shared" si="465"/>
        <v>Musical accessories model #41</v>
      </c>
      <c r="K4966" s="1" t="str">
        <f>IF(SUM(COUNTIFS(I:I, I4966)) &gt; 1, "DUPLICATE", "UNIQUE")</f>
        <v>UNIQUE</v>
      </c>
      <c r="L4966" s="18">
        <v>80</v>
      </c>
      <c r="M4966" s="28">
        <v>4698</v>
      </c>
      <c r="N4966" s="6">
        <v>16</v>
      </c>
      <c r="O4966" s="30">
        <f t="shared" si="466"/>
        <v>375840</v>
      </c>
      <c r="P4966" s="30">
        <f t="shared" si="467"/>
        <v>75168</v>
      </c>
      <c r="Q4966" s="1">
        <f>COUNTIFS($P:$P, "&gt;" &amp; $P4966) + 1</f>
        <v>456</v>
      </c>
      <c r="R4966" s="63">
        <f>(COUNTIFS($P:$P, "&gt;" &amp; $P4966) + 1) / (COUNTA($I:$I) - 1)</f>
        <v>9.1200000000000003E-2</v>
      </c>
      <c r="S4966" s="23">
        <f>SUMIFS($P:$P, $Q:$Q, "&lt;" &amp; $Q4966)</f>
        <v>148489731</v>
      </c>
    </row>
    <row r="4967" spans="1:19" x14ac:dyDescent="0.25">
      <c r="A4967" s="1">
        <v>4962</v>
      </c>
      <c r="B4967" s="1" t="s">
        <v>4</v>
      </c>
      <c r="C4967" s="1" t="str">
        <f>IF($B4967 = "Production Item", _xlfn.XLOOKUP($A4967, 'Instrument Table'!$J:$J, 'Instrument Table'!$B:$B, $C4966), IF($B4967 = "Service Item", _xlfn.XLOOKUP($A4967, 'Instrument Table'!$I:$I, 'Instrument Table'!$B:$B, $C4966), _xlfn.XLOOKUP($A4967, 'Instrument Table'!$H:$H, 'Instrument Table'!$B:$B, $C4966)))</f>
        <v>Musical Accessories</v>
      </c>
      <c r="D4967" s="1" t="str">
        <f>VLOOKUP($C4967, 'Instrument Table'!$B:$C, 2, FALSE)</f>
        <v>Other</v>
      </c>
      <c r="E4967" s="1">
        <f t="shared" si="462"/>
        <v>3</v>
      </c>
      <c r="F4967" s="1">
        <f>_xlfn.XLOOKUP($C4967, 'Instrument Table'!$B:$B, 'Instrument Table'!$A:$A, "")</f>
        <v>64</v>
      </c>
      <c r="G4967" s="1" t="str">
        <f>TEXT(IF($B4967 = "Retail Item", IF((ROW($A4967) - 4504 - _xlfn.XMATCH($C4967, $C$4506:$C$5005, 0, 1)) &lt;= VLOOKUP($C4967, 'Instrument Table'!$B:$D, 3, FALSE), ROW($A4967) - 4504 - _xlfn.XMATCH($C4967, $C$4506:$C$5005, 0, 1), 0), 0), "00")</f>
        <v>42</v>
      </c>
      <c r="H4967" s="1" t="str">
        <f t="shared" si="463"/>
        <v>000</v>
      </c>
      <c r="I4967" s="1" t="str">
        <f t="shared" si="464"/>
        <v>36442-000</v>
      </c>
      <c r="J4967" s="1" t="str">
        <f t="shared" si="465"/>
        <v>Musical accessories model #42</v>
      </c>
      <c r="K4967" s="1" t="str">
        <f>IF(SUM(COUNTIFS(I:I, I4967)) &gt; 1, "DUPLICATE", "UNIQUE")</f>
        <v>UNIQUE</v>
      </c>
      <c r="L4967" s="18">
        <v>12</v>
      </c>
      <c r="M4967" s="28">
        <v>8979</v>
      </c>
      <c r="N4967" s="6">
        <v>38</v>
      </c>
      <c r="O4967" s="30">
        <f t="shared" si="466"/>
        <v>107748</v>
      </c>
      <c r="P4967" s="30">
        <f t="shared" si="467"/>
        <v>341202</v>
      </c>
      <c r="Q4967" s="1">
        <f>COUNTIFS($P:$P, "&gt;" &amp; $P4967) + 1</f>
        <v>170</v>
      </c>
      <c r="R4967" s="63">
        <f>(COUNTIFS($P:$P, "&gt;" &amp; $P4967) + 1) / (COUNTA($I:$I) - 1)</f>
        <v>3.4000000000000002E-2</v>
      </c>
      <c r="S4967" s="23">
        <f>SUMIFS($P:$P, $Q:$Q, "&lt;" &amp; $Q4967)</f>
        <v>95244307</v>
      </c>
    </row>
    <row r="4968" spans="1:19" x14ac:dyDescent="0.25">
      <c r="A4968" s="1">
        <v>4963</v>
      </c>
      <c r="B4968" s="1" t="s">
        <v>4</v>
      </c>
      <c r="C4968" s="1" t="str">
        <f>IF($B4968 = "Production Item", _xlfn.XLOOKUP($A4968, 'Instrument Table'!$J:$J, 'Instrument Table'!$B:$B, $C4967), IF($B4968 = "Service Item", _xlfn.XLOOKUP($A4968, 'Instrument Table'!$I:$I, 'Instrument Table'!$B:$B, $C4967), _xlfn.XLOOKUP($A4968, 'Instrument Table'!$H:$H, 'Instrument Table'!$B:$B, $C4967)))</f>
        <v>Musical Accessories</v>
      </c>
      <c r="D4968" s="1" t="str">
        <f>VLOOKUP($C4968, 'Instrument Table'!$B:$C, 2, FALSE)</f>
        <v>Other</v>
      </c>
      <c r="E4968" s="1">
        <f t="shared" si="462"/>
        <v>3</v>
      </c>
      <c r="F4968" s="1">
        <f>_xlfn.XLOOKUP($C4968, 'Instrument Table'!$B:$B, 'Instrument Table'!$A:$A, "")</f>
        <v>64</v>
      </c>
      <c r="G4968" s="1" t="str">
        <f>TEXT(IF($B4968 = "Retail Item", IF((ROW($A4968) - 4504 - _xlfn.XMATCH($C4968, $C$4506:$C$5005, 0, 1)) &lt;= VLOOKUP($C4968, 'Instrument Table'!$B:$D, 3, FALSE), ROW($A4968) - 4504 - _xlfn.XMATCH($C4968, $C$4506:$C$5005, 0, 1), 0), 0), "00")</f>
        <v>43</v>
      </c>
      <c r="H4968" s="1" t="str">
        <f t="shared" si="463"/>
        <v>000</v>
      </c>
      <c r="I4968" s="1" t="str">
        <f t="shared" si="464"/>
        <v>36443-000</v>
      </c>
      <c r="J4968" s="1" t="str">
        <f t="shared" si="465"/>
        <v>Musical accessories model #43</v>
      </c>
      <c r="K4968" s="1" t="str">
        <f>IF(SUM(COUNTIFS(I:I, I4968)) &gt; 1, "DUPLICATE", "UNIQUE")</f>
        <v>UNIQUE</v>
      </c>
      <c r="L4968" s="18">
        <v>46</v>
      </c>
      <c r="M4968" s="28">
        <v>3624</v>
      </c>
      <c r="N4968" s="6">
        <v>60</v>
      </c>
      <c r="O4968" s="30">
        <f t="shared" si="466"/>
        <v>166704</v>
      </c>
      <c r="P4968" s="30">
        <f t="shared" si="467"/>
        <v>217440</v>
      </c>
      <c r="Q4968" s="1">
        <f>COUNTIFS($P:$P, "&gt;" &amp; $P4968) + 1</f>
        <v>277</v>
      </c>
      <c r="R4968" s="63">
        <f>(COUNTIFS($P:$P, "&gt;" &amp; $P4968) + 1) / (COUNTA($I:$I) - 1)</f>
        <v>5.5399999999999998E-2</v>
      </c>
      <c r="S4968" s="23">
        <f>SUMIFS($P:$P, $Q:$Q, "&lt;" &amp; $Q4968)</f>
        <v>124923251</v>
      </c>
    </row>
    <row r="4969" spans="1:19" x14ac:dyDescent="0.25">
      <c r="A4969" s="1">
        <v>4964</v>
      </c>
      <c r="B4969" s="1" t="s">
        <v>4</v>
      </c>
      <c r="C4969" s="1" t="str">
        <f>IF($B4969 = "Production Item", _xlfn.XLOOKUP($A4969, 'Instrument Table'!$J:$J, 'Instrument Table'!$B:$B, $C4968), IF($B4969 = "Service Item", _xlfn.XLOOKUP($A4969, 'Instrument Table'!$I:$I, 'Instrument Table'!$B:$B, $C4968), _xlfn.XLOOKUP($A4969, 'Instrument Table'!$H:$H, 'Instrument Table'!$B:$B, $C4968)))</f>
        <v>Musical Accessories</v>
      </c>
      <c r="D4969" s="1" t="str">
        <f>VLOOKUP($C4969, 'Instrument Table'!$B:$C, 2, FALSE)</f>
        <v>Other</v>
      </c>
      <c r="E4969" s="1">
        <f t="shared" si="462"/>
        <v>3</v>
      </c>
      <c r="F4969" s="1">
        <f>_xlfn.XLOOKUP($C4969, 'Instrument Table'!$B:$B, 'Instrument Table'!$A:$A, "")</f>
        <v>64</v>
      </c>
      <c r="G4969" s="1" t="str">
        <f>TEXT(IF($B4969 = "Retail Item", IF((ROW($A4969) - 4504 - _xlfn.XMATCH($C4969, $C$4506:$C$5005, 0, 1)) &lt;= VLOOKUP($C4969, 'Instrument Table'!$B:$D, 3, FALSE), ROW($A4969) - 4504 - _xlfn.XMATCH($C4969, $C$4506:$C$5005, 0, 1), 0), 0), "00")</f>
        <v>44</v>
      </c>
      <c r="H4969" s="1" t="str">
        <f t="shared" si="463"/>
        <v>000</v>
      </c>
      <c r="I4969" s="1" t="str">
        <f t="shared" si="464"/>
        <v>36444-000</v>
      </c>
      <c r="J4969" s="1" t="str">
        <f t="shared" si="465"/>
        <v>Musical accessories model #44</v>
      </c>
      <c r="K4969" s="1" t="str">
        <f>IF(SUM(COUNTIFS(I:I, I4969)) &gt; 1, "DUPLICATE", "UNIQUE")</f>
        <v>UNIQUE</v>
      </c>
      <c r="L4969" s="18">
        <v>35</v>
      </c>
      <c r="M4969" s="28">
        <v>5885</v>
      </c>
      <c r="N4969" s="6">
        <v>39</v>
      </c>
      <c r="O4969" s="30">
        <f t="shared" si="466"/>
        <v>205975</v>
      </c>
      <c r="P4969" s="30">
        <f t="shared" si="467"/>
        <v>229515</v>
      </c>
      <c r="Q4969" s="1">
        <f>COUNTIFS($P:$P, "&gt;" &amp; $P4969) + 1</f>
        <v>262</v>
      </c>
      <c r="R4969" s="63">
        <f>(COUNTIFS($P:$P, "&gt;" &amp; $P4969) + 1) / (COUNTA($I:$I) - 1)</f>
        <v>5.2400000000000002E-2</v>
      </c>
      <c r="S4969" s="23">
        <f>SUMIFS($P:$P, $Q:$Q, "&lt;" &amp; $Q4969)</f>
        <v>121537072</v>
      </c>
    </row>
    <row r="4970" spans="1:19" x14ac:dyDescent="0.25">
      <c r="A4970" s="1">
        <v>4965</v>
      </c>
      <c r="B4970" s="1" t="s">
        <v>4</v>
      </c>
      <c r="C4970" s="1" t="str">
        <f>IF($B4970 = "Production Item", _xlfn.XLOOKUP($A4970, 'Instrument Table'!$J:$J, 'Instrument Table'!$B:$B, $C4969), IF($B4970 = "Service Item", _xlfn.XLOOKUP($A4970, 'Instrument Table'!$I:$I, 'Instrument Table'!$B:$B, $C4969), _xlfn.XLOOKUP($A4970, 'Instrument Table'!$H:$H, 'Instrument Table'!$B:$B, $C4969)))</f>
        <v>Musical Accessories</v>
      </c>
      <c r="D4970" s="1" t="str">
        <f>VLOOKUP($C4970, 'Instrument Table'!$B:$C, 2, FALSE)</f>
        <v>Other</v>
      </c>
      <c r="E4970" s="1">
        <f t="shared" si="462"/>
        <v>3</v>
      </c>
      <c r="F4970" s="1">
        <f>_xlfn.XLOOKUP($C4970, 'Instrument Table'!$B:$B, 'Instrument Table'!$A:$A, "")</f>
        <v>64</v>
      </c>
      <c r="G4970" s="1" t="str">
        <f>TEXT(IF($B4970 = "Retail Item", IF((ROW($A4970) - 4504 - _xlfn.XMATCH($C4970, $C$4506:$C$5005, 0, 1)) &lt;= VLOOKUP($C4970, 'Instrument Table'!$B:$D, 3, FALSE), ROW($A4970) - 4504 - _xlfn.XMATCH($C4970, $C$4506:$C$5005, 0, 1), 0), 0), "00")</f>
        <v>45</v>
      </c>
      <c r="H4970" s="1" t="str">
        <f t="shared" si="463"/>
        <v>000</v>
      </c>
      <c r="I4970" s="1" t="str">
        <f t="shared" si="464"/>
        <v>36445-000</v>
      </c>
      <c r="J4970" s="1" t="str">
        <f t="shared" si="465"/>
        <v>Musical accessories model #45</v>
      </c>
      <c r="K4970" s="1" t="str">
        <f>IF(SUM(COUNTIFS(I:I, I4970)) &gt; 1, "DUPLICATE", "UNIQUE")</f>
        <v>UNIQUE</v>
      </c>
      <c r="L4970" s="18">
        <v>29</v>
      </c>
      <c r="M4970" s="28">
        <v>1862</v>
      </c>
      <c r="N4970" s="6">
        <v>23</v>
      </c>
      <c r="O4970" s="30">
        <f t="shared" si="466"/>
        <v>53998</v>
      </c>
      <c r="P4970" s="30">
        <f t="shared" si="467"/>
        <v>42826</v>
      </c>
      <c r="Q4970" s="1">
        <f>COUNTIFS($P:$P, "&gt;" &amp; $P4970) + 1</f>
        <v>541</v>
      </c>
      <c r="R4970" s="63">
        <f>(COUNTIFS($P:$P, "&gt;" &amp; $P4970) + 1) / (COUNTA($I:$I) - 1)</f>
        <v>0.1082</v>
      </c>
      <c r="S4970" s="23">
        <f>SUMIFS($P:$P, $Q:$Q, "&lt;" &amp; $Q4970)</f>
        <v>153601959</v>
      </c>
    </row>
    <row r="4971" spans="1:19" x14ac:dyDescent="0.25">
      <c r="A4971" s="1">
        <v>4966</v>
      </c>
      <c r="B4971" s="1" t="s">
        <v>4</v>
      </c>
      <c r="C4971" s="1" t="str">
        <f>IF($B4971 = "Production Item", _xlfn.XLOOKUP($A4971, 'Instrument Table'!$J:$J, 'Instrument Table'!$B:$B, $C4970), IF($B4971 = "Service Item", _xlfn.XLOOKUP($A4971, 'Instrument Table'!$I:$I, 'Instrument Table'!$B:$B, $C4970), _xlfn.XLOOKUP($A4971, 'Instrument Table'!$H:$H, 'Instrument Table'!$B:$B, $C4970)))</f>
        <v>Musical Accessories</v>
      </c>
      <c r="D4971" s="1" t="str">
        <f>VLOOKUP($C4971, 'Instrument Table'!$B:$C, 2, FALSE)</f>
        <v>Other</v>
      </c>
      <c r="E4971" s="1">
        <f t="shared" si="462"/>
        <v>3</v>
      </c>
      <c r="F4971" s="1">
        <f>_xlfn.XLOOKUP($C4971, 'Instrument Table'!$B:$B, 'Instrument Table'!$A:$A, "")</f>
        <v>64</v>
      </c>
      <c r="G4971" s="1" t="str">
        <f>TEXT(IF($B4971 = "Retail Item", IF((ROW($A4971) - 4504 - _xlfn.XMATCH($C4971, $C$4506:$C$5005, 0, 1)) &lt;= VLOOKUP($C4971, 'Instrument Table'!$B:$D, 3, FALSE), ROW($A4971) - 4504 - _xlfn.XMATCH($C4971, $C$4506:$C$5005, 0, 1), 0), 0), "00")</f>
        <v>46</v>
      </c>
      <c r="H4971" s="1" t="str">
        <f t="shared" si="463"/>
        <v>000</v>
      </c>
      <c r="I4971" s="1" t="str">
        <f t="shared" si="464"/>
        <v>36446-000</v>
      </c>
      <c r="J4971" s="1" t="str">
        <f t="shared" si="465"/>
        <v>Musical accessories model #46</v>
      </c>
      <c r="K4971" s="1" t="str">
        <f>IF(SUM(COUNTIFS(I:I, I4971)) &gt; 1, "DUPLICATE", "UNIQUE")</f>
        <v>UNIQUE</v>
      </c>
      <c r="L4971" s="18">
        <v>26</v>
      </c>
      <c r="M4971" s="28">
        <v>7339</v>
      </c>
      <c r="N4971" s="6">
        <v>40</v>
      </c>
      <c r="O4971" s="30">
        <f t="shared" si="466"/>
        <v>190814</v>
      </c>
      <c r="P4971" s="30">
        <f t="shared" si="467"/>
        <v>293560</v>
      </c>
      <c r="Q4971" s="1">
        <f>COUNTIFS($P:$P, "&gt;" &amp; $P4971) + 1</f>
        <v>210</v>
      </c>
      <c r="R4971" s="63">
        <f>(COUNTIFS($P:$P, "&gt;" &amp; $P4971) + 1) / (COUNTA($I:$I) - 1)</f>
        <v>4.2000000000000003E-2</v>
      </c>
      <c r="S4971" s="23">
        <f>SUMIFS($P:$P, $Q:$Q, "&lt;" &amp; $Q4971)</f>
        <v>107919159</v>
      </c>
    </row>
    <row r="4972" spans="1:19" x14ac:dyDescent="0.25">
      <c r="A4972" s="1">
        <v>4967</v>
      </c>
      <c r="B4972" s="1" t="s">
        <v>4</v>
      </c>
      <c r="C4972" s="1" t="str">
        <f>IF($B4972 = "Production Item", _xlfn.XLOOKUP($A4972, 'Instrument Table'!$J:$J, 'Instrument Table'!$B:$B, $C4971), IF($B4972 = "Service Item", _xlfn.XLOOKUP($A4972, 'Instrument Table'!$I:$I, 'Instrument Table'!$B:$B, $C4971), _xlfn.XLOOKUP($A4972, 'Instrument Table'!$H:$H, 'Instrument Table'!$B:$B, $C4971)))</f>
        <v>Musical Accessories</v>
      </c>
      <c r="D4972" s="1" t="str">
        <f>VLOOKUP($C4972, 'Instrument Table'!$B:$C, 2, FALSE)</f>
        <v>Other</v>
      </c>
      <c r="E4972" s="1">
        <f t="shared" si="462"/>
        <v>3</v>
      </c>
      <c r="F4972" s="1">
        <f>_xlfn.XLOOKUP($C4972, 'Instrument Table'!$B:$B, 'Instrument Table'!$A:$A, "")</f>
        <v>64</v>
      </c>
      <c r="G4972" s="1" t="str">
        <f>TEXT(IF($B4972 = "Retail Item", IF((ROW($A4972) - 4504 - _xlfn.XMATCH($C4972, $C$4506:$C$5005, 0, 1)) &lt;= VLOOKUP($C4972, 'Instrument Table'!$B:$D, 3, FALSE), ROW($A4972) - 4504 - _xlfn.XMATCH($C4972, $C$4506:$C$5005, 0, 1), 0), 0), "00")</f>
        <v>47</v>
      </c>
      <c r="H4972" s="1" t="str">
        <f t="shared" si="463"/>
        <v>000</v>
      </c>
      <c r="I4972" s="1" t="str">
        <f t="shared" si="464"/>
        <v>36447-000</v>
      </c>
      <c r="J4972" s="1" t="str">
        <f t="shared" si="465"/>
        <v>Musical accessories model #47</v>
      </c>
      <c r="K4972" s="1" t="str">
        <f>IF(SUM(COUNTIFS(I:I, I4972)) &gt; 1, "DUPLICATE", "UNIQUE")</f>
        <v>UNIQUE</v>
      </c>
      <c r="L4972" s="18">
        <v>82</v>
      </c>
      <c r="M4972" s="28">
        <v>4566</v>
      </c>
      <c r="N4972" s="6">
        <v>65</v>
      </c>
      <c r="O4972" s="30">
        <f t="shared" si="466"/>
        <v>374412</v>
      </c>
      <c r="P4972" s="30">
        <f t="shared" si="467"/>
        <v>296790</v>
      </c>
      <c r="Q4972" s="1">
        <f>COUNTIFS($P:$P, "&gt;" &amp; $P4972) + 1</f>
        <v>207</v>
      </c>
      <c r="R4972" s="63">
        <f>(COUNTIFS($P:$P, "&gt;" &amp; $P4972) + 1) / (COUNTA($I:$I) - 1)</f>
        <v>4.1399999999999999E-2</v>
      </c>
      <c r="S4972" s="23">
        <f>SUMIFS($P:$P, $Q:$Q, "&lt;" &amp; $Q4972)</f>
        <v>107031217</v>
      </c>
    </row>
    <row r="4973" spans="1:19" x14ac:dyDescent="0.25">
      <c r="A4973" s="1">
        <v>4968</v>
      </c>
      <c r="B4973" s="1" t="s">
        <v>4</v>
      </c>
      <c r="C4973" s="1" t="str">
        <f>IF($B4973 = "Production Item", _xlfn.XLOOKUP($A4973, 'Instrument Table'!$J:$J, 'Instrument Table'!$B:$B, $C4972), IF($B4973 = "Service Item", _xlfn.XLOOKUP($A4973, 'Instrument Table'!$I:$I, 'Instrument Table'!$B:$B, $C4972), _xlfn.XLOOKUP($A4973, 'Instrument Table'!$H:$H, 'Instrument Table'!$B:$B, $C4972)))</f>
        <v>Musical Accessories</v>
      </c>
      <c r="D4973" s="1" t="str">
        <f>VLOOKUP($C4973, 'Instrument Table'!$B:$C, 2, FALSE)</f>
        <v>Other</v>
      </c>
      <c r="E4973" s="1">
        <f t="shared" si="462"/>
        <v>3</v>
      </c>
      <c r="F4973" s="1">
        <f>_xlfn.XLOOKUP($C4973, 'Instrument Table'!$B:$B, 'Instrument Table'!$A:$A, "")</f>
        <v>64</v>
      </c>
      <c r="G4973" s="1" t="str">
        <f>TEXT(IF($B4973 = "Retail Item", IF((ROW($A4973) - 4504 - _xlfn.XMATCH($C4973, $C$4506:$C$5005, 0, 1)) &lt;= VLOOKUP($C4973, 'Instrument Table'!$B:$D, 3, FALSE), ROW($A4973) - 4504 - _xlfn.XMATCH($C4973, $C$4506:$C$5005, 0, 1), 0), 0), "00")</f>
        <v>48</v>
      </c>
      <c r="H4973" s="1" t="str">
        <f t="shared" si="463"/>
        <v>000</v>
      </c>
      <c r="I4973" s="1" t="str">
        <f t="shared" si="464"/>
        <v>36448-000</v>
      </c>
      <c r="J4973" s="1" t="str">
        <f t="shared" si="465"/>
        <v>Musical accessories model #48</v>
      </c>
      <c r="K4973" s="1" t="str">
        <f>IF(SUM(COUNTIFS(I:I, I4973)) &gt; 1, "DUPLICATE", "UNIQUE")</f>
        <v>UNIQUE</v>
      </c>
      <c r="L4973" s="18">
        <v>92</v>
      </c>
      <c r="M4973" s="28">
        <v>2838</v>
      </c>
      <c r="N4973" s="6">
        <v>82</v>
      </c>
      <c r="O4973" s="30">
        <f t="shared" si="466"/>
        <v>261096</v>
      </c>
      <c r="P4973" s="30">
        <f t="shared" si="467"/>
        <v>232716</v>
      </c>
      <c r="Q4973" s="1">
        <f>COUNTIFS($P:$P, "&gt;" &amp; $P4973) + 1</f>
        <v>260</v>
      </c>
      <c r="R4973" s="63">
        <f>(COUNTIFS($P:$P, "&gt;" &amp; $P4973) + 1) / (COUNTA($I:$I) - 1)</f>
        <v>5.1999999999999998E-2</v>
      </c>
      <c r="S4973" s="23">
        <f>SUMIFS($P:$P, $Q:$Q, "&lt;" &amp; $Q4973)</f>
        <v>121073785</v>
      </c>
    </row>
    <row r="4974" spans="1:19" x14ac:dyDescent="0.25">
      <c r="A4974" s="1">
        <v>4969</v>
      </c>
      <c r="B4974" s="1" t="s">
        <v>4</v>
      </c>
      <c r="C4974" s="1" t="str">
        <f>IF($B4974 = "Production Item", _xlfn.XLOOKUP($A4974, 'Instrument Table'!$J:$J, 'Instrument Table'!$B:$B, $C4973), IF($B4974 = "Service Item", _xlfn.XLOOKUP($A4974, 'Instrument Table'!$I:$I, 'Instrument Table'!$B:$B, $C4973), _xlfn.XLOOKUP($A4974, 'Instrument Table'!$H:$H, 'Instrument Table'!$B:$B, $C4973)))</f>
        <v>Musical Accessories</v>
      </c>
      <c r="D4974" s="1" t="str">
        <f>VLOOKUP($C4974, 'Instrument Table'!$B:$C, 2, FALSE)</f>
        <v>Other</v>
      </c>
      <c r="E4974" s="1">
        <f t="shared" si="462"/>
        <v>3</v>
      </c>
      <c r="F4974" s="1">
        <f>_xlfn.XLOOKUP($C4974, 'Instrument Table'!$B:$B, 'Instrument Table'!$A:$A, "")</f>
        <v>64</v>
      </c>
      <c r="G4974" s="1" t="str">
        <f>TEXT(IF($B4974 = "Retail Item", IF((ROW($A4974) - 4504 - _xlfn.XMATCH($C4974, $C$4506:$C$5005, 0, 1)) &lt;= VLOOKUP($C4974, 'Instrument Table'!$B:$D, 3, FALSE), ROW($A4974) - 4504 - _xlfn.XMATCH($C4974, $C$4506:$C$5005, 0, 1), 0), 0), "00")</f>
        <v>49</v>
      </c>
      <c r="H4974" s="1" t="str">
        <f t="shared" si="463"/>
        <v>000</v>
      </c>
      <c r="I4974" s="1" t="str">
        <f t="shared" si="464"/>
        <v>36449-000</v>
      </c>
      <c r="J4974" s="1" t="str">
        <f t="shared" si="465"/>
        <v>Musical accessories model #49</v>
      </c>
      <c r="K4974" s="1" t="str">
        <f>IF(SUM(COUNTIFS(I:I, I4974)) &gt; 1, "DUPLICATE", "UNIQUE")</f>
        <v>UNIQUE</v>
      </c>
      <c r="L4974" s="18">
        <v>19</v>
      </c>
      <c r="M4974" s="28">
        <v>4703</v>
      </c>
      <c r="N4974" s="6">
        <v>44</v>
      </c>
      <c r="O4974" s="30">
        <f t="shared" si="466"/>
        <v>89357</v>
      </c>
      <c r="P4974" s="30">
        <f t="shared" si="467"/>
        <v>206932</v>
      </c>
      <c r="Q4974" s="1">
        <f>COUNTIFS($P:$P, "&gt;" &amp; $P4974) + 1</f>
        <v>283</v>
      </c>
      <c r="R4974" s="63">
        <f>(COUNTIFS($P:$P, "&gt;" &amp; $P4974) + 1) / (COUNTA($I:$I) - 1)</f>
        <v>5.6599999999999998E-2</v>
      </c>
      <c r="S4974" s="23">
        <f>SUMIFS($P:$P, $Q:$Q, "&lt;" &amp; $Q4974)</f>
        <v>126192458</v>
      </c>
    </row>
    <row r="4975" spans="1:19" x14ac:dyDescent="0.25">
      <c r="A4975" s="1">
        <v>4970</v>
      </c>
      <c r="B4975" s="1" t="s">
        <v>4</v>
      </c>
      <c r="C4975" s="1" t="str">
        <f>IF($B4975 = "Production Item", _xlfn.XLOOKUP($A4975, 'Instrument Table'!$J:$J, 'Instrument Table'!$B:$B, $C4974), IF($B4975 = "Service Item", _xlfn.XLOOKUP($A4975, 'Instrument Table'!$I:$I, 'Instrument Table'!$B:$B, $C4974), _xlfn.XLOOKUP($A4975, 'Instrument Table'!$H:$H, 'Instrument Table'!$B:$B, $C4974)))</f>
        <v>Musical Accessories</v>
      </c>
      <c r="D4975" s="1" t="str">
        <f>VLOOKUP($C4975, 'Instrument Table'!$B:$C, 2, FALSE)</f>
        <v>Other</v>
      </c>
      <c r="E4975" s="1">
        <f t="shared" si="462"/>
        <v>3</v>
      </c>
      <c r="F4975" s="1">
        <f>_xlfn.XLOOKUP($C4975, 'Instrument Table'!$B:$B, 'Instrument Table'!$A:$A, "")</f>
        <v>64</v>
      </c>
      <c r="G4975" s="1" t="str">
        <f>TEXT(IF($B4975 = "Retail Item", IF((ROW($A4975) - 4504 - _xlfn.XMATCH($C4975, $C$4506:$C$5005, 0, 1)) &lt;= VLOOKUP($C4975, 'Instrument Table'!$B:$D, 3, FALSE), ROW($A4975) - 4504 - _xlfn.XMATCH($C4975, $C$4506:$C$5005, 0, 1), 0), 0), "00")</f>
        <v>50</v>
      </c>
      <c r="H4975" s="1" t="str">
        <f t="shared" si="463"/>
        <v>000</v>
      </c>
      <c r="I4975" s="1" t="str">
        <f t="shared" si="464"/>
        <v>36450-000</v>
      </c>
      <c r="J4975" s="1" t="str">
        <f t="shared" si="465"/>
        <v>Musical accessories model #50</v>
      </c>
      <c r="K4975" s="1" t="str">
        <f>IF(SUM(COUNTIFS(I:I, I4975)) &gt; 1, "DUPLICATE", "UNIQUE")</f>
        <v>UNIQUE</v>
      </c>
      <c r="L4975" s="18">
        <v>76</v>
      </c>
      <c r="M4975" s="28">
        <v>8947</v>
      </c>
      <c r="N4975" s="6">
        <v>11</v>
      </c>
      <c r="O4975" s="30">
        <f t="shared" si="466"/>
        <v>679972</v>
      </c>
      <c r="P4975" s="30">
        <f t="shared" si="467"/>
        <v>98417</v>
      </c>
      <c r="Q4975" s="1">
        <f>COUNTIFS($P:$P, "&gt;" &amp; $P4975) + 1</f>
        <v>412</v>
      </c>
      <c r="R4975" s="63">
        <f>(COUNTIFS($P:$P, "&gt;" &amp; $P4975) + 1) / (COUNTA($I:$I) - 1)</f>
        <v>8.2400000000000001E-2</v>
      </c>
      <c r="S4975" s="23">
        <f>SUMIFS($P:$P, $Q:$Q, "&lt;" &amp; $Q4975)</f>
        <v>144659739</v>
      </c>
    </row>
    <row r="4976" spans="1:19" x14ac:dyDescent="0.25">
      <c r="A4976" s="1">
        <v>4971</v>
      </c>
      <c r="B4976" s="1" t="s">
        <v>4</v>
      </c>
      <c r="C4976" s="1" t="str">
        <f>IF($B4976 = "Production Item", _xlfn.XLOOKUP($A4976, 'Instrument Table'!$J:$J, 'Instrument Table'!$B:$B, $C4975), IF($B4976 = "Service Item", _xlfn.XLOOKUP($A4976, 'Instrument Table'!$I:$I, 'Instrument Table'!$B:$B, $C4975), _xlfn.XLOOKUP($A4976, 'Instrument Table'!$H:$H, 'Instrument Table'!$B:$B, $C4975)))</f>
        <v>Musical Accessories</v>
      </c>
      <c r="D4976" s="1" t="str">
        <f>VLOOKUP($C4976, 'Instrument Table'!$B:$C, 2, FALSE)</f>
        <v>Other</v>
      </c>
      <c r="E4976" s="1">
        <f t="shared" si="462"/>
        <v>3</v>
      </c>
      <c r="F4976" s="1">
        <f>_xlfn.XLOOKUP($C4976, 'Instrument Table'!$B:$B, 'Instrument Table'!$A:$A, "")</f>
        <v>64</v>
      </c>
      <c r="G4976" s="1" t="str">
        <f>TEXT(IF($B4976 = "Retail Item", IF((ROW($A4976) - 4504 - _xlfn.XMATCH($C4976, $C$4506:$C$5005, 0, 1)) &lt;= VLOOKUP($C4976, 'Instrument Table'!$B:$D, 3, FALSE), ROW($A4976) - 4504 - _xlfn.XMATCH($C4976, $C$4506:$C$5005, 0, 1), 0), 0), "00")</f>
        <v>51</v>
      </c>
      <c r="H4976" s="1" t="str">
        <f t="shared" si="463"/>
        <v>000</v>
      </c>
      <c r="I4976" s="1" t="str">
        <f t="shared" si="464"/>
        <v>36451-000</v>
      </c>
      <c r="J4976" s="1" t="str">
        <f t="shared" si="465"/>
        <v>Musical accessories model #51</v>
      </c>
      <c r="K4976" s="1" t="str">
        <f>IF(SUM(COUNTIFS(I:I, I4976)) &gt; 1, "DUPLICATE", "UNIQUE")</f>
        <v>UNIQUE</v>
      </c>
      <c r="L4976" s="18">
        <v>33</v>
      </c>
      <c r="M4976" s="28">
        <v>3732</v>
      </c>
      <c r="N4976" s="6">
        <v>40</v>
      </c>
      <c r="O4976" s="30">
        <f t="shared" si="466"/>
        <v>123156</v>
      </c>
      <c r="P4976" s="30">
        <f t="shared" si="467"/>
        <v>149280</v>
      </c>
      <c r="Q4976" s="1">
        <f>COUNTIFS($P:$P, "&gt;" &amp; $P4976) + 1</f>
        <v>335</v>
      </c>
      <c r="R4976" s="63">
        <f>(COUNTIFS($P:$P, "&gt;" &amp; $P4976) + 1) / (COUNTA($I:$I) - 1)</f>
        <v>6.7000000000000004E-2</v>
      </c>
      <c r="S4976" s="23">
        <f>SUMIFS($P:$P, $Q:$Q, "&lt;" &amp; $Q4976)</f>
        <v>135321121</v>
      </c>
    </row>
    <row r="4977" spans="1:19" x14ac:dyDescent="0.25">
      <c r="A4977" s="1">
        <v>4972</v>
      </c>
      <c r="B4977" s="1" t="s">
        <v>4</v>
      </c>
      <c r="C4977" s="1" t="str">
        <f>IF($B4977 = "Production Item", _xlfn.XLOOKUP($A4977, 'Instrument Table'!$J:$J, 'Instrument Table'!$B:$B, $C4976), IF($B4977 = "Service Item", _xlfn.XLOOKUP($A4977, 'Instrument Table'!$I:$I, 'Instrument Table'!$B:$B, $C4976), _xlfn.XLOOKUP($A4977, 'Instrument Table'!$H:$H, 'Instrument Table'!$B:$B, $C4976)))</f>
        <v>Musical Accessories</v>
      </c>
      <c r="D4977" s="1" t="str">
        <f>VLOOKUP($C4977, 'Instrument Table'!$B:$C, 2, FALSE)</f>
        <v>Other</v>
      </c>
      <c r="E4977" s="1">
        <f t="shared" si="462"/>
        <v>3</v>
      </c>
      <c r="F4977" s="1">
        <f>_xlfn.XLOOKUP($C4977, 'Instrument Table'!$B:$B, 'Instrument Table'!$A:$A, "")</f>
        <v>64</v>
      </c>
      <c r="G4977" s="1" t="str">
        <f>TEXT(IF($B4977 = "Retail Item", IF((ROW($A4977) - 4504 - _xlfn.XMATCH($C4977, $C$4506:$C$5005, 0, 1)) &lt;= VLOOKUP($C4977, 'Instrument Table'!$B:$D, 3, FALSE), ROW($A4977) - 4504 - _xlfn.XMATCH($C4977, $C$4506:$C$5005, 0, 1), 0), 0), "00")</f>
        <v>52</v>
      </c>
      <c r="H4977" s="1" t="str">
        <f t="shared" si="463"/>
        <v>000</v>
      </c>
      <c r="I4977" s="1" t="str">
        <f t="shared" si="464"/>
        <v>36452-000</v>
      </c>
      <c r="J4977" s="1" t="str">
        <f t="shared" si="465"/>
        <v>Musical accessories model #52</v>
      </c>
      <c r="K4977" s="1" t="str">
        <f>IF(SUM(COUNTIFS(I:I, I4977)) &gt; 1, "DUPLICATE", "UNIQUE")</f>
        <v>UNIQUE</v>
      </c>
      <c r="L4977" s="18">
        <v>26</v>
      </c>
      <c r="M4977" s="28">
        <v>3336</v>
      </c>
      <c r="N4977" s="6">
        <v>82</v>
      </c>
      <c r="O4977" s="30">
        <f t="shared" si="466"/>
        <v>86736</v>
      </c>
      <c r="P4977" s="30">
        <f t="shared" si="467"/>
        <v>273552</v>
      </c>
      <c r="Q4977" s="1">
        <f>COUNTIFS($P:$P, "&gt;" &amp; $P4977) + 1</f>
        <v>223</v>
      </c>
      <c r="R4977" s="63">
        <f>(COUNTIFS($P:$P, "&gt;" &amp; $P4977) + 1) / (COUNTA($I:$I) - 1)</f>
        <v>4.4600000000000001E-2</v>
      </c>
      <c r="S4977" s="23">
        <f>SUMIFS($P:$P, $Q:$Q, "&lt;" &amp; $Q4977)</f>
        <v>111639499</v>
      </c>
    </row>
    <row r="4978" spans="1:19" x14ac:dyDescent="0.25">
      <c r="A4978" s="1">
        <v>4973</v>
      </c>
      <c r="B4978" s="1" t="s">
        <v>4</v>
      </c>
      <c r="C4978" s="1" t="str">
        <f>IF($B4978 = "Production Item", _xlfn.XLOOKUP($A4978, 'Instrument Table'!$J:$J, 'Instrument Table'!$B:$B, $C4977), IF($B4978 = "Service Item", _xlfn.XLOOKUP($A4978, 'Instrument Table'!$I:$I, 'Instrument Table'!$B:$B, $C4977), _xlfn.XLOOKUP($A4978, 'Instrument Table'!$H:$H, 'Instrument Table'!$B:$B, $C4977)))</f>
        <v>Musical Accessories</v>
      </c>
      <c r="D4978" s="1" t="str">
        <f>VLOOKUP($C4978, 'Instrument Table'!$B:$C, 2, FALSE)</f>
        <v>Other</v>
      </c>
      <c r="E4978" s="1">
        <f t="shared" si="462"/>
        <v>3</v>
      </c>
      <c r="F4978" s="1">
        <f>_xlfn.XLOOKUP($C4978, 'Instrument Table'!$B:$B, 'Instrument Table'!$A:$A, "")</f>
        <v>64</v>
      </c>
      <c r="G4978" s="1" t="str">
        <f>TEXT(IF($B4978 = "Retail Item", IF((ROW($A4978) - 4504 - _xlfn.XMATCH($C4978, $C$4506:$C$5005, 0, 1)) &lt;= VLOOKUP($C4978, 'Instrument Table'!$B:$D, 3, FALSE), ROW($A4978) - 4504 - _xlfn.XMATCH($C4978, $C$4506:$C$5005, 0, 1), 0), 0), "00")</f>
        <v>53</v>
      </c>
      <c r="H4978" s="1" t="str">
        <f t="shared" si="463"/>
        <v>000</v>
      </c>
      <c r="I4978" s="1" t="str">
        <f t="shared" si="464"/>
        <v>36453-000</v>
      </c>
      <c r="J4978" s="1" t="str">
        <f t="shared" si="465"/>
        <v>Musical accessories model #53</v>
      </c>
      <c r="K4978" s="1" t="str">
        <f>IF(SUM(COUNTIFS(I:I, I4978)) &gt; 1, "DUPLICATE", "UNIQUE")</f>
        <v>UNIQUE</v>
      </c>
      <c r="L4978" s="18">
        <v>86</v>
      </c>
      <c r="M4978" s="28">
        <v>5048</v>
      </c>
      <c r="N4978" s="6">
        <v>26</v>
      </c>
      <c r="O4978" s="30">
        <f t="shared" si="466"/>
        <v>434128</v>
      </c>
      <c r="P4978" s="30">
        <f t="shared" si="467"/>
        <v>131248</v>
      </c>
      <c r="Q4978" s="1">
        <f>COUNTIFS($P:$P, "&gt;" &amp; $P4978) + 1</f>
        <v>354</v>
      </c>
      <c r="R4978" s="63">
        <f>(COUNTIFS($P:$P, "&gt;" &amp; $P4978) + 1) / (COUNTA($I:$I) - 1)</f>
        <v>7.0800000000000002E-2</v>
      </c>
      <c r="S4978" s="23">
        <f>SUMIFS($P:$P, $Q:$Q, "&lt;" &amp; $Q4978)</f>
        <v>137994942</v>
      </c>
    </row>
    <row r="4979" spans="1:19" x14ac:dyDescent="0.25">
      <c r="A4979" s="1">
        <v>4974</v>
      </c>
      <c r="B4979" s="1" t="s">
        <v>4</v>
      </c>
      <c r="C4979" s="1" t="str">
        <f>IF($B4979 = "Production Item", _xlfn.XLOOKUP($A4979, 'Instrument Table'!$J:$J, 'Instrument Table'!$B:$B, $C4978), IF($B4979 = "Service Item", _xlfn.XLOOKUP($A4979, 'Instrument Table'!$I:$I, 'Instrument Table'!$B:$B, $C4978), _xlfn.XLOOKUP($A4979, 'Instrument Table'!$H:$H, 'Instrument Table'!$B:$B, $C4978)))</f>
        <v>Musical Accessories</v>
      </c>
      <c r="D4979" s="1" t="str">
        <f>VLOOKUP($C4979, 'Instrument Table'!$B:$C, 2, FALSE)</f>
        <v>Other</v>
      </c>
      <c r="E4979" s="1">
        <f t="shared" si="462"/>
        <v>3</v>
      </c>
      <c r="F4979" s="1">
        <f>_xlfn.XLOOKUP($C4979, 'Instrument Table'!$B:$B, 'Instrument Table'!$A:$A, "")</f>
        <v>64</v>
      </c>
      <c r="G4979" s="1" t="str">
        <f>TEXT(IF($B4979 = "Retail Item", IF((ROW($A4979) - 4504 - _xlfn.XMATCH($C4979, $C$4506:$C$5005, 0, 1)) &lt;= VLOOKUP($C4979, 'Instrument Table'!$B:$D, 3, FALSE), ROW($A4979) - 4504 - _xlfn.XMATCH($C4979, $C$4506:$C$5005, 0, 1), 0), 0), "00")</f>
        <v>54</v>
      </c>
      <c r="H4979" s="1" t="str">
        <f t="shared" si="463"/>
        <v>000</v>
      </c>
      <c r="I4979" s="1" t="str">
        <f t="shared" si="464"/>
        <v>36454-000</v>
      </c>
      <c r="J4979" s="1" t="str">
        <f t="shared" si="465"/>
        <v>Musical accessories model #54</v>
      </c>
      <c r="K4979" s="1" t="str">
        <f>IF(SUM(COUNTIFS(I:I, I4979)) &gt; 1, "DUPLICATE", "UNIQUE")</f>
        <v>UNIQUE</v>
      </c>
      <c r="L4979" s="18">
        <v>0</v>
      </c>
      <c r="M4979" s="28">
        <v>6319</v>
      </c>
      <c r="N4979" s="6">
        <v>32</v>
      </c>
      <c r="O4979" s="30">
        <f t="shared" si="466"/>
        <v>0</v>
      </c>
      <c r="P4979" s="30">
        <f t="shared" si="467"/>
        <v>202208</v>
      </c>
      <c r="Q4979" s="1">
        <f>COUNTIFS($P:$P, "&gt;" &amp; $P4979) + 1</f>
        <v>287</v>
      </c>
      <c r="R4979" s="63">
        <f>(COUNTIFS($P:$P, "&gt;" &amp; $P4979) + 1) / (COUNTA($I:$I) - 1)</f>
        <v>5.74E-2</v>
      </c>
      <c r="S4979" s="23">
        <f>SUMIFS($P:$P, $Q:$Q, "&lt;" &amp; $Q4979)</f>
        <v>127016267</v>
      </c>
    </row>
    <row r="4980" spans="1:19" x14ac:dyDescent="0.25">
      <c r="A4980" s="1">
        <v>4975</v>
      </c>
      <c r="B4980" s="1" t="s">
        <v>4</v>
      </c>
      <c r="C4980" s="1" t="str">
        <f>IF($B4980 = "Production Item", _xlfn.XLOOKUP($A4980, 'Instrument Table'!$J:$J, 'Instrument Table'!$B:$B, $C4979), IF($B4980 = "Service Item", _xlfn.XLOOKUP($A4980, 'Instrument Table'!$I:$I, 'Instrument Table'!$B:$B, $C4979), _xlfn.XLOOKUP($A4980, 'Instrument Table'!$H:$H, 'Instrument Table'!$B:$B, $C4979)))</f>
        <v>Musical Accessories</v>
      </c>
      <c r="D4980" s="1" t="str">
        <f>VLOOKUP($C4980, 'Instrument Table'!$B:$C, 2, FALSE)</f>
        <v>Other</v>
      </c>
      <c r="E4980" s="1">
        <f t="shared" si="462"/>
        <v>3</v>
      </c>
      <c r="F4980" s="1">
        <f>_xlfn.XLOOKUP($C4980, 'Instrument Table'!$B:$B, 'Instrument Table'!$A:$A, "")</f>
        <v>64</v>
      </c>
      <c r="G4980" s="1" t="str">
        <f>TEXT(IF($B4980 = "Retail Item", IF((ROW($A4980) - 4504 - _xlfn.XMATCH($C4980, $C$4506:$C$5005, 0, 1)) &lt;= VLOOKUP($C4980, 'Instrument Table'!$B:$D, 3, FALSE), ROW($A4980) - 4504 - _xlfn.XMATCH($C4980, $C$4506:$C$5005, 0, 1), 0), 0), "00")</f>
        <v>55</v>
      </c>
      <c r="H4980" s="1" t="str">
        <f t="shared" si="463"/>
        <v>000</v>
      </c>
      <c r="I4980" s="1" t="str">
        <f t="shared" si="464"/>
        <v>36455-000</v>
      </c>
      <c r="J4980" s="1" t="str">
        <f t="shared" si="465"/>
        <v>Musical accessories model #55</v>
      </c>
      <c r="K4980" s="1" t="str">
        <f>IF(SUM(COUNTIFS(I:I, I4980)) &gt; 1, "DUPLICATE", "UNIQUE")</f>
        <v>UNIQUE</v>
      </c>
      <c r="L4980" s="18">
        <v>36</v>
      </c>
      <c r="M4980" s="28">
        <v>9990</v>
      </c>
      <c r="N4980" s="6">
        <v>46</v>
      </c>
      <c r="O4980" s="30">
        <f t="shared" si="466"/>
        <v>359640</v>
      </c>
      <c r="P4980" s="30">
        <f t="shared" si="467"/>
        <v>459540</v>
      </c>
      <c r="Q4980" s="1">
        <f>COUNTIFS($P:$P, "&gt;" &amp; $P4980) + 1</f>
        <v>113</v>
      </c>
      <c r="R4980" s="63">
        <f>(COUNTIFS($P:$P, "&gt;" &amp; $P4980) + 1) / (COUNTA($I:$I) - 1)</f>
        <v>2.2599999999999999E-2</v>
      </c>
      <c r="S4980" s="23">
        <f>SUMIFS($P:$P, $Q:$Q, "&lt;" &amp; $Q4980)</f>
        <v>72335023</v>
      </c>
    </row>
    <row r="4981" spans="1:19" x14ac:dyDescent="0.25">
      <c r="A4981" s="1">
        <v>4976</v>
      </c>
      <c r="B4981" s="1" t="s">
        <v>4</v>
      </c>
      <c r="C4981" s="1" t="str">
        <f>IF($B4981 = "Production Item", _xlfn.XLOOKUP($A4981, 'Instrument Table'!$J:$J, 'Instrument Table'!$B:$B, $C4980), IF($B4981 = "Service Item", _xlfn.XLOOKUP($A4981, 'Instrument Table'!$I:$I, 'Instrument Table'!$B:$B, $C4980), _xlfn.XLOOKUP($A4981, 'Instrument Table'!$H:$H, 'Instrument Table'!$B:$B, $C4980)))</f>
        <v>Musical Accessories</v>
      </c>
      <c r="D4981" s="1" t="str">
        <f>VLOOKUP($C4981, 'Instrument Table'!$B:$C, 2, FALSE)</f>
        <v>Other</v>
      </c>
      <c r="E4981" s="1">
        <f t="shared" si="462"/>
        <v>3</v>
      </c>
      <c r="F4981" s="1">
        <f>_xlfn.XLOOKUP($C4981, 'Instrument Table'!$B:$B, 'Instrument Table'!$A:$A, "")</f>
        <v>64</v>
      </c>
      <c r="G4981" s="1" t="str">
        <f>TEXT(IF($B4981 = "Retail Item", IF((ROW($A4981) - 4504 - _xlfn.XMATCH($C4981, $C$4506:$C$5005, 0, 1)) &lt;= VLOOKUP($C4981, 'Instrument Table'!$B:$D, 3, FALSE), ROW($A4981) - 4504 - _xlfn.XMATCH($C4981, $C$4506:$C$5005, 0, 1), 0), 0), "00")</f>
        <v>56</v>
      </c>
      <c r="H4981" s="1" t="str">
        <f t="shared" si="463"/>
        <v>000</v>
      </c>
      <c r="I4981" s="1" t="str">
        <f t="shared" si="464"/>
        <v>36456-000</v>
      </c>
      <c r="J4981" s="1" t="str">
        <f t="shared" si="465"/>
        <v>Musical accessories model #56</v>
      </c>
      <c r="K4981" s="1" t="str">
        <f>IF(SUM(COUNTIFS(I:I, I4981)) &gt; 1, "DUPLICATE", "UNIQUE")</f>
        <v>UNIQUE</v>
      </c>
      <c r="L4981" s="18">
        <v>94</v>
      </c>
      <c r="M4981" s="28">
        <v>5518</v>
      </c>
      <c r="N4981" s="6">
        <v>53</v>
      </c>
      <c r="O4981" s="30">
        <f t="shared" si="466"/>
        <v>518692</v>
      </c>
      <c r="P4981" s="30">
        <f t="shared" si="467"/>
        <v>292454</v>
      </c>
      <c r="Q4981" s="1">
        <f>COUNTIFS($P:$P, "&gt;" &amp; $P4981) + 1</f>
        <v>211</v>
      </c>
      <c r="R4981" s="63">
        <f>(COUNTIFS($P:$P, "&gt;" &amp; $P4981) + 1) / (COUNTA($I:$I) - 1)</f>
        <v>4.2200000000000001E-2</v>
      </c>
      <c r="S4981" s="23">
        <f>SUMIFS($P:$P, $Q:$Q, "&lt;" &amp; $Q4981)</f>
        <v>108212719</v>
      </c>
    </row>
    <row r="4982" spans="1:19" x14ac:dyDescent="0.25">
      <c r="A4982" s="1">
        <v>4977</v>
      </c>
      <c r="B4982" s="1" t="s">
        <v>4</v>
      </c>
      <c r="C4982" s="1" t="str">
        <f>IF($B4982 = "Production Item", _xlfn.XLOOKUP($A4982, 'Instrument Table'!$J:$J, 'Instrument Table'!$B:$B, $C4981), IF($B4982 = "Service Item", _xlfn.XLOOKUP($A4982, 'Instrument Table'!$I:$I, 'Instrument Table'!$B:$B, $C4981), _xlfn.XLOOKUP($A4982, 'Instrument Table'!$H:$H, 'Instrument Table'!$B:$B, $C4981)))</f>
        <v>Musical Accessories</v>
      </c>
      <c r="D4982" s="1" t="str">
        <f>VLOOKUP($C4982, 'Instrument Table'!$B:$C, 2, FALSE)</f>
        <v>Other</v>
      </c>
      <c r="E4982" s="1">
        <f t="shared" si="462"/>
        <v>3</v>
      </c>
      <c r="F4982" s="1">
        <f>_xlfn.XLOOKUP($C4982, 'Instrument Table'!$B:$B, 'Instrument Table'!$A:$A, "")</f>
        <v>64</v>
      </c>
      <c r="G4982" s="1" t="str">
        <f>TEXT(IF($B4982 = "Retail Item", IF((ROW($A4982) - 4504 - _xlfn.XMATCH($C4982, $C$4506:$C$5005, 0, 1)) &lt;= VLOOKUP($C4982, 'Instrument Table'!$B:$D, 3, FALSE), ROW($A4982) - 4504 - _xlfn.XMATCH($C4982, $C$4506:$C$5005, 0, 1), 0), 0), "00")</f>
        <v>57</v>
      </c>
      <c r="H4982" s="1" t="str">
        <f t="shared" si="463"/>
        <v>000</v>
      </c>
      <c r="I4982" s="1" t="str">
        <f t="shared" si="464"/>
        <v>36457-000</v>
      </c>
      <c r="J4982" s="1" t="str">
        <f t="shared" si="465"/>
        <v>Musical accessories model #57</v>
      </c>
      <c r="K4982" s="1" t="str">
        <f>IF(SUM(COUNTIFS(I:I, I4982)) &gt; 1, "DUPLICATE", "UNIQUE")</f>
        <v>UNIQUE</v>
      </c>
      <c r="L4982" s="18">
        <v>96</v>
      </c>
      <c r="M4982" s="28">
        <v>3631</v>
      </c>
      <c r="N4982" s="6">
        <v>5</v>
      </c>
      <c r="O4982" s="30">
        <f t="shared" si="466"/>
        <v>348576</v>
      </c>
      <c r="P4982" s="30">
        <f t="shared" si="467"/>
        <v>18155</v>
      </c>
      <c r="Q4982" s="1">
        <f>COUNTIFS($P:$P, "&gt;" &amp; $P4982) + 1</f>
        <v>1158</v>
      </c>
      <c r="R4982" s="63">
        <f>(COUNTIFS($P:$P, "&gt;" &amp; $P4982) + 1) / (COUNTA($I:$I) - 1)</f>
        <v>0.2316</v>
      </c>
      <c r="S4982" s="23">
        <f>SUMIFS($P:$P, $Q:$Q, "&lt;" &amp; $Q4982)</f>
        <v>169582185</v>
      </c>
    </row>
    <row r="4983" spans="1:19" x14ac:dyDescent="0.25">
      <c r="A4983" s="1">
        <v>4978</v>
      </c>
      <c r="B4983" s="1" t="s">
        <v>4</v>
      </c>
      <c r="C4983" s="1" t="str">
        <f>IF($B4983 = "Production Item", _xlfn.XLOOKUP($A4983, 'Instrument Table'!$J:$J, 'Instrument Table'!$B:$B, $C4982), IF($B4983 = "Service Item", _xlfn.XLOOKUP($A4983, 'Instrument Table'!$I:$I, 'Instrument Table'!$B:$B, $C4982), _xlfn.XLOOKUP($A4983, 'Instrument Table'!$H:$H, 'Instrument Table'!$B:$B, $C4982)))</f>
        <v>Musical Accessories</v>
      </c>
      <c r="D4983" s="1" t="str">
        <f>VLOOKUP($C4983, 'Instrument Table'!$B:$C, 2, FALSE)</f>
        <v>Other</v>
      </c>
      <c r="E4983" s="1">
        <f t="shared" si="462"/>
        <v>3</v>
      </c>
      <c r="F4983" s="1">
        <f>_xlfn.XLOOKUP($C4983, 'Instrument Table'!$B:$B, 'Instrument Table'!$A:$A, "")</f>
        <v>64</v>
      </c>
      <c r="G4983" s="1" t="str">
        <f>TEXT(IF($B4983 = "Retail Item", IF((ROW($A4983) - 4504 - _xlfn.XMATCH($C4983, $C$4506:$C$5005, 0, 1)) &lt;= VLOOKUP($C4983, 'Instrument Table'!$B:$D, 3, FALSE), ROW($A4983) - 4504 - _xlfn.XMATCH($C4983, $C$4506:$C$5005, 0, 1), 0), 0), "00")</f>
        <v>58</v>
      </c>
      <c r="H4983" s="1" t="str">
        <f t="shared" si="463"/>
        <v>000</v>
      </c>
      <c r="I4983" s="1" t="str">
        <f t="shared" si="464"/>
        <v>36458-000</v>
      </c>
      <c r="J4983" s="1" t="str">
        <f t="shared" si="465"/>
        <v>Musical accessories model #58</v>
      </c>
      <c r="K4983" s="1" t="str">
        <f>IF(SUM(COUNTIFS(I:I, I4983)) &gt; 1, "DUPLICATE", "UNIQUE")</f>
        <v>UNIQUE</v>
      </c>
      <c r="L4983" s="18">
        <v>79</v>
      </c>
      <c r="M4983" s="28">
        <v>5254</v>
      </c>
      <c r="N4983" s="6">
        <v>22</v>
      </c>
      <c r="O4983" s="30">
        <f t="shared" si="466"/>
        <v>415066</v>
      </c>
      <c r="P4983" s="30">
        <f t="shared" si="467"/>
        <v>115588</v>
      </c>
      <c r="Q4983" s="1">
        <f>COUNTIFS($P:$P, "&gt;" &amp; $P4983) + 1</f>
        <v>383</v>
      </c>
      <c r="R4983" s="63">
        <f>(COUNTIFS($P:$P, "&gt;" &amp; $P4983) + 1) / (COUNTA($I:$I) - 1)</f>
        <v>7.6600000000000001E-2</v>
      </c>
      <c r="S4983" s="23">
        <f>SUMIFS($P:$P, $Q:$Q, "&lt;" &amp; $Q4983)</f>
        <v>141555677</v>
      </c>
    </row>
    <row r="4984" spans="1:19" x14ac:dyDescent="0.25">
      <c r="A4984" s="1">
        <v>4979</v>
      </c>
      <c r="B4984" s="1" t="s">
        <v>4</v>
      </c>
      <c r="C4984" s="1" t="str">
        <f>IF($B4984 = "Production Item", _xlfn.XLOOKUP($A4984, 'Instrument Table'!$J:$J, 'Instrument Table'!$B:$B, $C4983), IF($B4984 = "Service Item", _xlfn.XLOOKUP($A4984, 'Instrument Table'!$I:$I, 'Instrument Table'!$B:$B, $C4983), _xlfn.XLOOKUP($A4984, 'Instrument Table'!$H:$H, 'Instrument Table'!$B:$B, $C4983)))</f>
        <v>Musical Accessories</v>
      </c>
      <c r="D4984" s="1" t="str">
        <f>VLOOKUP($C4984, 'Instrument Table'!$B:$C, 2, FALSE)</f>
        <v>Other</v>
      </c>
      <c r="E4984" s="1">
        <f t="shared" si="462"/>
        <v>3</v>
      </c>
      <c r="F4984" s="1">
        <f>_xlfn.XLOOKUP($C4984, 'Instrument Table'!$B:$B, 'Instrument Table'!$A:$A, "")</f>
        <v>64</v>
      </c>
      <c r="G4984" s="1" t="str">
        <f>TEXT(IF($B4984 = "Retail Item", IF((ROW($A4984) - 4504 - _xlfn.XMATCH($C4984, $C$4506:$C$5005, 0, 1)) &lt;= VLOOKUP($C4984, 'Instrument Table'!$B:$D, 3, FALSE), ROW($A4984) - 4504 - _xlfn.XMATCH($C4984, $C$4506:$C$5005, 0, 1), 0), 0), "00")</f>
        <v>59</v>
      </c>
      <c r="H4984" s="1" t="str">
        <f t="shared" si="463"/>
        <v>000</v>
      </c>
      <c r="I4984" s="1" t="str">
        <f t="shared" si="464"/>
        <v>36459-000</v>
      </c>
      <c r="J4984" s="1" t="str">
        <f t="shared" si="465"/>
        <v>Musical accessories model #59</v>
      </c>
      <c r="K4984" s="1" t="str">
        <f>IF(SUM(COUNTIFS(I:I, I4984)) &gt; 1, "DUPLICATE", "UNIQUE")</f>
        <v>UNIQUE</v>
      </c>
      <c r="L4984" s="18">
        <v>83</v>
      </c>
      <c r="M4984" s="28">
        <v>7458</v>
      </c>
      <c r="N4984" s="6">
        <v>35</v>
      </c>
      <c r="O4984" s="30">
        <f t="shared" si="466"/>
        <v>619014</v>
      </c>
      <c r="P4984" s="30">
        <f t="shared" si="467"/>
        <v>261030</v>
      </c>
      <c r="Q4984" s="1">
        <f>COUNTIFS($P:$P, "&gt;" &amp; $P4984) + 1</f>
        <v>235</v>
      </c>
      <c r="R4984" s="63">
        <f>(COUNTIFS($P:$P, "&gt;" &amp; $P4984) + 1) / (COUNTA($I:$I) - 1)</f>
        <v>4.7E-2</v>
      </c>
      <c r="S4984" s="23">
        <f>SUMIFS($P:$P, $Q:$Q, "&lt;" &amp; $Q4984)</f>
        <v>114874784</v>
      </c>
    </row>
    <row r="4985" spans="1:19" x14ac:dyDescent="0.25">
      <c r="A4985" s="1">
        <v>4980</v>
      </c>
      <c r="B4985" s="1" t="s">
        <v>4</v>
      </c>
      <c r="C4985" s="1" t="str">
        <f>IF($B4985 = "Production Item", _xlfn.XLOOKUP($A4985, 'Instrument Table'!$J:$J, 'Instrument Table'!$B:$B, $C4984), IF($B4985 = "Service Item", _xlfn.XLOOKUP($A4985, 'Instrument Table'!$I:$I, 'Instrument Table'!$B:$B, $C4984), _xlfn.XLOOKUP($A4985, 'Instrument Table'!$H:$H, 'Instrument Table'!$B:$B, $C4984)))</f>
        <v>Musical Accessories</v>
      </c>
      <c r="D4985" s="1" t="str">
        <f>VLOOKUP($C4985, 'Instrument Table'!$B:$C, 2, FALSE)</f>
        <v>Other</v>
      </c>
      <c r="E4985" s="1">
        <f t="shared" si="462"/>
        <v>3</v>
      </c>
      <c r="F4985" s="1">
        <f>_xlfn.XLOOKUP($C4985, 'Instrument Table'!$B:$B, 'Instrument Table'!$A:$A, "")</f>
        <v>64</v>
      </c>
      <c r="G4985" s="1" t="str">
        <f>TEXT(IF($B4985 = "Retail Item", IF((ROW($A4985) - 4504 - _xlfn.XMATCH($C4985, $C$4506:$C$5005, 0, 1)) &lt;= VLOOKUP($C4985, 'Instrument Table'!$B:$D, 3, FALSE), ROW($A4985) - 4504 - _xlfn.XMATCH($C4985, $C$4506:$C$5005, 0, 1), 0), 0), "00")</f>
        <v>60</v>
      </c>
      <c r="H4985" s="1" t="str">
        <f t="shared" si="463"/>
        <v>000</v>
      </c>
      <c r="I4985" s="1" t="str">
        <f t="shared" si="464"/>
        <v>36460-000</v>
      </c>
      <c r="J4985" s="1" t="str">
        <f t="shared" si="465"/>
        <v>Musical accessories model #60</v>
      </c>
      <c r="K4985" s="1" t="str">
        <f>IF(SUM(COUNTIFS(I:I, I4985)) &gt; 1, "DUPLICATE", "UNIQUE")</f>
        <v>UNIQUE</v>
      </c>
      <c r="L4985" s="18">
        <v>87</v>
      </c>
      <c r="M4985" s="28">
        <v>4386</v>
      </c>
      <c r="N4985" s="6">
        <v>38</v>
      </c>
      <c r="O4985" s="30">
        <f t="shared" si="466"/>
        <v>381582</v>
      </c>
      <c r="P4985" s="30">
        <f t="shared" si="467"/>
        <v>166668</v>
      </c>
      <c r="Q4985" s="1">
        <f>COUNTIFS($P:$P, "&gt;" &amp; $P4985) + 1</f>
        <v>314</v>
      </c>
      <c r="R4985" s="63">
        <f>(COUNTIFS($P:$P, "&gt;" &amp; $P4985) + 1) / (COUNTA($I:$I) - 1)</f>
        <v>6.2799999999999995E-2</v>
      </c>
      <c r="S4985" s="23">
        <f>SUMIFS($P:$P, $Q:$Q, "&lt;" &amp; $Q4985)</f>
        <v>132001852</v>
      </c>
    </row>
    <row r="4986" spans="1:19" x14ac:dyDescent="0.25">
      <c r="A4986" s="1">
        <v>4981</v>
      </c>
      <c r="B4986" s="1" t="s">
        <v>4</v>
      </c>
      <c r="C4986" s="1" t="str">
        <f>IF($B4986 = "Production Item", _xlfn.XLOOKUP($A4986, 'Instrument Table'!$J:$J, 'Instrument Table'!$B:$B, $C4985), IF($B4986 = "Service Item", _xlfn.XLOOKUP($A4986, 'Instrument Table'!$I:$I, 'Instrument Table'!$B:$B, $C4985), _xlfn.XLOOKUP($A4986, 'Instrument Table'!$H:$H, 'Instrument Table'!$B:$B, $C4985)))</f>
        <v>Musical Accessories</v>
      </c>
      <c r="D4986" s="1" t="str">
        <f>VLOOKUP($C4986, 'Instrument Table'!$B:$C, 2, FALSE)</f>
        <v>Other</v>
      </c>
      <c r="E4986" s="1">
        <f t="shared" si="462"/>
        <v>3</v>
      </c>
      <c r="F4986" s="1">
        <f>_xlfn.XLOOKUP($C4986, 'Instrument Table'!$B:$B, 'Instrument Table'!$A:$A, "")</f>
        <v>64</v>
      </c>
      <c r="G4986" s="1" t="str">
        <f>TEXT(IF($B4986 = "Retail Item", IF((ROW($A4986) - 4504 - _xlfn.XMATCH($C4986, $C$4506:$C$5005, 0, 1)) &lt;= VLOOKUP($C4986, 'Instrument Table'!$B:$D, 3, FALSE), ROW($A4986) - 4504 - _xlfn.XMATCH($C4986, $C$4506:$C$5005, 0, 1), 0), 0), "00")</f>
        <v>61</v>
      </c>
      <c r="H4986" s="1" t="str">
        <f t="shared" si="463"/>
        <v>000</v>
      </c>
      <c r="I4986" s="1" t="str">
        <f t="shared" si="464"/>
        <v>36461-000</v>
      </c>
      <c r="J4986" s="1" t="str">
        <f t="shared" si="465"/>
        <v>Musical accessories model #61</v>
      </c>
      <c r="K4986" s="1" t="str">
        <f>IF(SUM(COUNTIFS(I:I, I4986)) &gt; 1, "DUPLICATE", "UNIQUE")</f>
        <v>UNIQUE</v>
      </c>
      <c r="L4986" s="18">
        <v>31</v>
      </c>
      <c r="M4986" s="28">
        <v>2045</v>
      </c>
      <c r="N4986" s="6">
        <v>56</v>
      </c>
      <c r="O4986" s="30">
        <f t="shared" si="466"/>
        <v>63395</v>
      </c>
      <c r="P4986" s="30">
        <f t="shared" si="467"/>
        <v>114520</v>
      </c>
      <c r="Q4986" s="1">
        <f>COUNTIFS($P:$P, "&gt;" &amp; $P4986) + 1</f>
        <v>386</v>
      </c>
      <c r="R4986" s="63">
        <f>(COUNTIFS($P:$P, "&gt;" &amp; $P4986) + 1) / (COUNTA($I:$I) - 1)</f>
        <v>7.7200000000000005E-2</v>
      </c>
      <c r="S4986" s="23">
        <f>SUMIFS($P:$P, $Q:$Q, "&lt;" &amp; $Q4986)</f>
        <v>141901455</v>
      </c>
    </row>
    <row r="4987" spans="1:19" x14ac:dyDescent="0.25">
      <c r="A4987" s="1">
        <v>4982</v>
      </c>
      <c r="B4987" s="1" t="s">
        <v>4</v>
      </c>
      <c r="C4987" s="1" t="str">
        <f>IF($B4987 = "Production Item", _xlfn.XLOOKUP($A4987, 'Instrument Table'!$J:$J, 'Instrument Table'!$B:$B, $C4986), IF($B4987 = "Service Item", _xlfn.XLOOKUP($A4987, 'Instrument Table'!$I:$I, 'Instrument Table'!$B:$B, $C4986), _xlfn.XLOOKUP($A4987, 'Instrument Table'!$H:$H, 'Instrument Table'!$B:$B, $C4986)))</f>
        <v>Musical Accessories</v>
      </c>
      <c r="D4987" s="1" t="str">
        <f>VLOOKUP($C4987, 'Instrument Table'!$B:$C, 2, FALSE)</f>
        <v>Other</v>
      </c>
      <c r="E4987" s="1">
        <f t="shared" si="462"/>
        <v>3</v>
      </c>
      <c r="F4987" s="1">
        <f>_xlfn.XLOOKUP($C4987, 'Instrument Table'!$B:$B, 'Instrument Table'!$A:$A, "")</f>
        <v>64</v>
      </c>
      <c r="G4987" s="1" t="str">
        <f>TEXT(IF($B4987 = "Retail Item", IF((ROW($A4987) - 4504 - _xlfn.XMATCH($C4987, $C$4506:$C$5005, 0, 1)) &lt;= VLOOKUP($C4987, 'Instrument Table'!$B:$D, 3, FALSE), ROW($A4987) - 4504 - _xlfn.XMATCH($C4987, $C$4506:$C$5005, 0, 1), 0), 0), "00")</f>
        <v>62</v>
      </c>
      <c r="H4987" s="1" t="str">
        <f t="shared" si="463"/>
        <v>000</v>
      </c>
      <c r="I4987" s="1" t="str">
        <f t="shared" si="464"/>
        <v>36462-000</v>
      </c>
      <c r="J4987" s="1" t="str">
        <f t="shared" si="465"/>
        <v>Musical accessories model #62</v>
      </c>
      <c r="K4987" s="1" t="str">
        <f>IF(SUM(COUNTIFS(I:I, I4987)) &gt; 1, "DUPLICATE", "UNIQUE")</f>
        <v>UNIQUE</v>
      </c>
      <c r="L4987" s="18">
        <v>67</v>
      </c>
      <c r="M4987" s="28">
        <v>3549</v>
      </c>
      <c r="N4987" s="6">
        <v>52</v>
      </c>
      <c r="O4987" s="30">
        <f t="shared" si="466"/>
        <v>237783</v>
      </c>
      <c r="P4987" s="30">
        <f t="shared" si="467"/>
        <v>184548</v>
      </c>
      <c r="Q4987" s="1">
        <f>COUNTIFS($P:$P, "&gt;" &amp; $P4987) + 1</f>
        <v>300</v>
      </c>
      <c r="R4987" s="63">
        <f>(COUNTIFS($P:$P, "&gt;" &amp; $P4987) + 1) / (COUNTA($I:$I) - 1)</f>
        <v>0.06</v>
      </c>
      <c r="S4987" s="23">
        <f>SUMIFS($P:$P, $Q:$Q, "&lt;" &amp; $Q4987)</f>
        <v>129536931</v>
      </c>
    </row>
    <row r="4988" spans="1:19" x14ac:dyDescent="0.25">
      <c r="A4988" s="1">
        <v>4983</v>
      </c>
      <c r="B4988" s="1" t="s">
        <v>4</v>
      </c>
      <c r="C4988" s="1" t="str">
        <f>IF($B4988 = "Production Item", _xlfn.XLOOKUP($A4988, 'Instrument Table'!$J:$J, 'Instrument Table'!$B:$B, $C4987), IF($B4988 = "Service Item", _xlfn.XLOOKUP($A4988, 'Instrument Table'!$I:$I, 'Instrument Table'!$B:$B, $C4987), _xlfn.XLOOKUP($A4988, 'Instrument Table'!$H:$H, 'Instrument Table'!$B:$B, $C4987)))</f>
        <v>Musical Accessories</v>
      </c>
      <c r="D4988" s="1" t="str">
        <f>VLOOKUP($C4988, 'Instrument Table'!$B:$C, 2, FALSE)</f>
        <v>Other</v>
      </c>
      <c r="E4988" s="1">
        <f t="shared" si="462"/>
        <v>3</v>
      </c>
      <c r="F4988" s="1">
        <f>_xlfn.XLOOKUP($C4988, 'Instrument Table'!$B:$B, 'Instrument Table'!$A:$A, "")</f>
        <v>64</v>
      </c>
      <c r="G4988" s="1" t="str">
        <f>TEXT(IF($B4988 = "Retail Item", IF((ROW($A4988) - 4504 - _xlfn.XMATCH($C4988, $C$4506:$C$5005, 0, 1)) &lt;= VLOOKUP($C4988, 'Instrument Table'!$B:$D, 3, FALSE), ROW($A4988) - 4504 - _xlfn.XMATCH($C4988, $C$4506:$C$5005, 0, 1), 0), 0), "00")</f>
        <v>63</v>
      </c>
      <c r="H4988" s="1" t="str">
        <f t="shared" si="463"/>
        <v>000</v>
      </c>
      <c r="I4988" s="1" t="str">
        <f t="shared" si="464"/>
        <v>36463-000</v>
      </c>
      <c r="J4988" s="1" t="str">
        <f t="shared" si="465"/>
        <v>Musical accessories model #63</v>
      </c>
      <c r="K4988" s="1" t="str">
        <f>IF(SUM(COUNTIFS(I:I, I4988)) &gt; 1, "DUPLICATE", "UNIQUE")</f>
        <v>UNIQUE</v>
      </c>
      <c r="L4988" s="18">
        <v>89</v>
      </c>
      <c r="M4988" s="28">
        <v>9538</v>
      </c>
      <c r="N4988" s="6">
        <v>76</v>
      </c>
      <c r="O4988" s="30">
        <f t="shared" si="466"/>
        <v>848882</v>
      </c>
      <c r="P4988" s="30">
        <f t="shared" si="467"/>
        <v>724888</v>
      </c>
      <c r="Q4988" s="1">
        <f>COUNTIFS($P:$P, "&gt;" &amp; $P4988) + 1</f>
        <v>33</v>
      </c>
      <c r="R4988" s="63">
        <f>(COUNTIFS($P:$P, "&gt;" &amp; $P4988) + 1) / (COUNTA($I:$I) - 1)</f>
        <v>6.6E-3</v>
      </c>
      <c r="S4988" s="23">
        <f>SUMIFS($P:$P, $Q:$Q, "&lt;" &amp; $Q4988)</f>
        <v>26372769</v>
      </c>
    </row>
    <row r="4989" spans="1:19" x14ac:dyDescent="0.25">
      <c r="A4989" s="1">
        <v>4984</v>
      </c>
      <c r="B4989" s="1" t="s">
        <v>4</v>
      </c>
      <c r="C4989" s="1" t="str">
        <f>IF($B4989 = "Production Item", _xlfn.XLOOKUP($A4989, 'Instrument Table'!$J:$J, 'Instrument Table'!$B:$B, $C4988), IF($B4989 = "Service Item", _xlfn.XLOOKUP($A4989, 'Instrument Table'!$I:$I, 'Instrument Table'!$B:$B, $C4988), _xlfn.XLOOKUP($A4989, 'Instrument Table'!$H:$H, 'Instrument Table'!$B:$B, $C4988)))</f>
        <v>Musical Accessories</v>
      </c>
      <c r="D4989" s="1" t="str">
        <f>VLOOKUP($C4989, 'Instrument Table'!$B:$C, 2, FALSE)</f>
        <v>Other</v>
      </c>
      <c r="E4989" s="1">
        <f t="shared" si="462"/>
        <v>3</v>
      </c>
      <c r="F4989" s="1">
        <f>_xlfn.XLOOKUP($C4989, 'Instrument Table'!$B:$B, 'Instrument Table'!$A:$A, "")</f>
        <v>64</v>
      </c>
      <c r="G4989" s="1" t="str">
        <f>TEXT(IF($B4989 = "Retail Item", IF((ROW($A4989) - 4504 - _xlfn.XMATCH($C4989, $C$4506:$C$5005, 0, 1)) &lt;= VLOOKUP($C4989, 'Instrument Table'!$B:$D, 3, FALSE), ROW($A4989) - 4504 - _xlfn.XMATCH($C4989, $C$4506:$C$5005, 0, 1), 0), 0), "00")</f>
        <v>64</v>
      </c>
      <c r="H4989" s="1" t="str">
        <f t="shared" si="463"/>
        <v>000</v>
      </c>
      <c r="I4989" s="1" t="str">
        <f t="shared" si="464"/>
        <v>36464-000</v>
      </c>
      <c r="J4989" s="1" t="str">
        <f t="shared" si="465"/>
        <v>Musical accessories model #64</v>
      </c>
      <c r="K4989" s="1" t="str">
        <f>IF(SUM(COUNTIFS(I:I, I4989)) &gt; 1, "DUPLICATE", "UNIQUE")</f>
        <v>UNIQUE</v>
      </c>
      <c r="L4989" s="18">
        <v>98</v>
      </c>
      <c r="M4989" s="28">
        <v>5294</v>
      </c>
      <c r="N4989" s="6">
        <v>70</v>
      </c>
      <c r="O4989" s="30">
        <f t="shared" si="466"/>
        <v>518812</v>
      </c>
      <c r="P4989" s="30">
        <f t="shared" si="467"/>
        <v>370580</v>
      </c>
      <c r="Q4989" s="1">
        <f>COUNTIFS($P:$P, "&gt;" &amp; $P4989) + 1</f>
        <v>156</v>
      </c>
      <c r="R4989" s="63">
        <f>(COUNTIFS($P:$P, "&gt;" &amp; $P4989) + 1) / (COUNTA($I:$I) - 1)</f>
        <v>3.1199999999999999E-2</v>
      </c>
      <c r="S4989" s="23">
        <f>SUMIFS($P:$P, $Q:$Q, "&lt;" &amp; $Q4989)</f>
        <v>90225083</v>
      </c>
    </row>
    <row r="4990" spans="1:19" x14ac:dyDescent="0.25">
      <c r="A4990" s="1">
        <v>4985</v>
      </c>
      <c r="B4990" s="1" t="s">
        <v>4</v>
      </c>
      <c r="C4990" s="1" t="str">
        <f>IF($B4990 = "Production Item", _xlfn.XLOOKUP($A4990, 'Instrument Table'!$J:$J, 'Instrument Table'!$B:$B, $C4989), IF($B4990 = "Service Item", _xlfn.XLOOKUP($A4990, 'Instrument Table'!$I:$I, 'Instrument Table'!$B:$B, $C4989), _xlfn.XLOOKUP($A4990, 'Instrument Table'!$H:$H, 'Instrument Table'!$B:$B, $C4989)))</f>
        <v>Musical Accessories</v>
      </c>
      <c r="D4990" s="1" t="str">
        <f>VLOOKUP($C4990, 'Instrument Table'!$B:$C, 2, FALSE)</f>
        <v>Other</v>
      </c>
      <c r="E4990" s="1">
        <f t="shared" si="462"/>
        <v>3</v>
      </c>
      <c r="F4990" s="1">
        <f>_xlfn.XLOOKUP($C4990, 'Instrument Table'!$B:$B, 'Instrument Table'!$A:$A, "")</f>
        <v>64</v>
      </c>
      <c r="G4990" s="1" t="str">
        <f>TEXT(IF($B4990 = "Retail Item", IF((ROW($A4990) - 4504 - _xlfn.XMATCH($C4990, $C$4506:$C$5005, 0, 1)) &lt;= VLOOKUP($C4990, 'Instrument Table'!$B:$D, 3, FALSE), ROW($A4990) - 4504 - _xlfn.XMATCH($C4990, $C$4506:$C$5005, 0, 1), 0), 0), "00")</f>
        <v>65</v>
      </c>
      <c r="H4990" s="1" t="str">
        <f t="shared" si="463"/>
        <v>000</v>
      </c>
      <c r="I4990" s="1" t="str">
        <f t="shared" si="464"/>
        <v>36465-000</v>
      </c>
      <c r="J4990" s="1" t="str">
        <f t="shared" si="465"/>
        <v>Musical accessories model #65</v>
      </c>
      <c r="K4990" s="1" t="str">
        <f>IF(SUM(COUNTIFS(I:I, I4990)) &gt; 1, "DUPLICATE", "UNIQUE")</f>
        <v>UNIQUE</v>
      </c>
      <c r="L4990" s="18">
        <v>16</v>
      </c>
      <c r="M4990" s="28">
        <v>5244</v>
      </c>
      <c r="N4990" s="6">
        <v>26</v>
      </c>
      <c r="O4990" s="30">
        <f t="shared" si="466"/>
        <v>83904</v>
      </c>
      <c r="P4990" s="30">
        <f t="shared" si="467"/>
        <v>136344</v>
      </c>
      <c r="Q4990" s="1">
        <f>COUNTIFS($P:$P, "&gt;" &amp; $P4990) + 1</f>
        <v>348</v>
      </c>
      <c r="R4990" s="63">
        <f>(COUNTIFS($P:$P, "&gt;" &amp; $P4990) + 1) / (COUNTA($I:$I) - 1)</f>
        <v>6.9599999999999995E-2</v>
      </c>
      <c r="S4990" s="23">
        <f>SUMIFS($P:$P, $Q:$Q, "&lt;" &amp; $Q4990)</f>
        <v>137191400</v>
      </c>
    </row>
    <row r="4991" spans="1:19" x14ac:dyDescent="0.25">
      <c r="A4991" s="1">
        <v>4986</v>
      </c>
      <c r="B4991" s="1" t="s">
        <v>4</v>
      </c>
      <c r="C4991" s="1" t="str">
        <f>IF($B4991 = "Production Item", _xlfn.XLOOKUP($A4991, 'Instrument Table'!$J:$J, 'Instrument Table'!$B:$B, $C4990), IF($B4991 = "Service Item", _xlfn.XLOOKUP($A4991, 'Instrument Table'!$I:$I, 'Instrument Table'!$B:$B, $C4990), _xlfn.XLOOKUP($A4991, 'Instrument Table'!$H:$H, 'Instrument Table'!$B:$B, $C4990)))</f>
        <v>Musical Accessories</v>
      </c>
      <c r="D4991" s="1" t="str">
        <f>VLOOKUP($C4991, 'Instrument Table'!$B:$C, 2, FALSE)</f>
        <v>Other</v>
      </c>
      <c r="E4991" s="1">
        <f t="shared" si="462"/>
        <v>3</v>
      </c>
      <c r="F4991" s="1">
        <f>_xlfn.XLOOKUP($C4991, 'Instrument Table'!$B:$B, 'Instrument Table'!$A:$A, "")</f>
        <v>64</v>
      </c>
      <c r="G4991" s="1" t="str">
        <f>TEXT(IF($B4991 = "Retail Item", IF((ROW($A4991) - 4504 - _xlfn.XMATCH($C4991, $C$4506:$C$5005, 0, 1)) &lt;= VLOOKUP($C4991, 'Instrument Table'!$B:$D, 3, FALSE), ROW($A4991) - 4504 - _xlfn.XMATCH($C4991, $C$4506:$C$5005, 0, 1), 0), 0), "00")</f>
        <v>66</v>
      </c>
      <c r="H4991" s="1" t="str">
        <f t="shared" si="463"/>
        <v>000</v>
      </c>
      <c r="I4991" s="1" t="str">
        <f t="shared" si="464"/>
        <v>36466-000</v>
      </c>
      <c r="J4991" s="1" t="str">
        <f t="shared" si="465"/>
        <v>Musical accessories model #66</v>
      </c>
      <c r="K4991" s="1" t="str">
        <f>IF(SUM(COUNTIFS(I:I, I4991)) &gt; 1, "DUPLICATE", "UNIQUE")</f>
        <v>UNIQUE</v>
      </c>
      <c r="L4991" s="18">
        <v>61</v>
      </c>
      <c r="M4991" s="28">
        <v>2413</v>
      </c>
      <c r="N4991" s="6">
        <v>61</v>
      </c>
      <c r="O4991" s="30">
        <f t="shared" si="466"/>
        <v>147193</v>
      </c>
      <c r="P4991" s="30">
        <f t="shared" si="467"/>
        <v>147193</v>
      </c>
      <c r="Q4991" s="1">
        <f>COUNTIFS($P:$P, "&gt;" &amp; $P4991) + 1</f>
        <v>336</v>
      </c>
      <c r="R4991" s="63">
        <f>(COUNTIFS($P:$P, "&gt;" &amp; $P4991) + 1) / (COUNTA($I:$I) - 1)</f>
        <v>6.7199999999999996E-2</v>
      </c>
      <c r="S4991" s="23">
        <f>SUMIFS($P:$P, $Q:$Q, "&lt;" &amp; $Q4991)</f>
        <v>135470401</v>
      </c>
    </row>
    <row r="4992" spans="1:19" x14ac:dyDescent="0.25">
      <c r="A4992" s="1">
        <v>4987</v>
      </c>
      <c r="B4992" s="1" t="s">
        <v>4</v>
      </c>
      <c r="C4992" s="1" t="str">
        <f>IF($B4992 = "Production Item", _xlfn.XLOOKUP($A4992, 'Instrument Table'!$J:$J, 'Instrument Table'!$B:$B, $C4991), IF($B4992 = "Service Item", _xlfn.XLOOKUP($A4992, 'Instrument Table'!$I:$I, 'Instrument Table'!$B:$B, $C4991), _xlfn.XLOOKUP($A4992, 'Instrument Table'!$H:$H, 'Instrument Table'!$B:$B, $C4991)))</f>
        <v>Musical Accessories</v>
      </c>
      <c r="D4992" s="1" t="str">
        <f>VLOOKUP($C4992, 'Instrument Table'!$B:$C, 2, FALSE)</f>
        <v>Other</v>
      </c>
      <c r="E4992" s="1">
        <f t="shared" si="462"/>
        <v>3</v>
      </c>
      <c r="F4992" s="1">
        <f>_xlfn.XLOOKUP($C4992, 'Instrument Table'!$B:$B, 'Instrument Table'!$A:$A, "")</f>
        <v>64</v>
      </c>
      <c r="G4992" s="1" t="str">
        <f>TEXT(IF($B4992 = "Retail Item", IF((ROW($A4992) - 4504 - _xlfn.XMATCH($C4992, $C$4506:$C$5005, 0, 1)) &lt;= VLOOKUP($C4992, 'Instrument Table'!$B:$D, 3, FALSE), ROW($A4992) - 4504 - _xlfn.XMATCH($C4992, $C$4506:$C$5005, 0, 1), 0), 0), "00")</f>
        <v>67</v>
      </c>
      <c r="H4992" s="1" t="str">
        <f t="shared" si="463"/>
        <v>000</v>
      </c>
      <c r="I4992" s="1" t="str">
        <f t="shared" si="464"/>
        <v>36467-000</v>
      </c>
      <c r="J4992" s="1" t="str">
        <f t="shared" si="465"/>
        <v>Musical accessories model #67</v>
      </c>
      <c r="K4992" s="1" t="str">
        <f>IF(SUM(COUNTIFS(I:I, I4992)) &gt; 1, "DUPLICATE", "UNIQUE")</f>
        <v>UNIQUE</v>
      </c>
      <c r="L4992" s="18">
        <v>83</v>
      </c>
      <c r="M4992" s="28">
        <v>3092</v>
      </c>
      <c r="N4992" s="6">
        <v>73</v>
      </c>
      <c r="O4992" s="30">
        <f t="shared" si="466"/>
        <v>256636</v>
      </c>
      <c r="P4992" s="30">
        <f t="shared" si="467"/>
        <v>225716</v>
      </c>
      <c r="Q4992" s="1">
        <f>COUNTIFS($P:$P, "&gt;" &amp; $P4992) + 1</f>
        <v>271</v>
      </c>
      <c r="R4992" s="63">
        <f>(COUNTIFS($P:$P, "&gt;" &amp; $P4992) + 1) / (COUNTA($I:$I) - 1)</f>
        <v>5.4199999999999998E-2</v>
      </c>
      <c r="S4992" s="23">
        <f>SUMIFS($P:$P, $Q:$Q, "&lt;" &amp; $Q4992)</f>
        <v>123584293</v>
      </c>
    </row>
    <row r="4993" spans="1:19" x14ac:dyDescent="0.25">
      <c r="A4993" s="1">
        <v>4988</v>
      </c>
      <c r="B4993" s="1" t="s">
        <v>4</v>
      </c>
      <c r="C4993" s="1" t="str">
        <f>IF($B4993 = "Production Item", _xlfn.XLOOKUP($A4993, 'Instrument Table'!$J:$J, 'Instrument Table'!$B:$B, $C4992), IF($B4993 = "Service Item", _xlfn.XLOOKUP($A4993, 'Instrument Table'!$I:$I, 'Instrument Table'!$B:$B, $C4992), _xlfn.XLOOKUP($A4993, 'Instrument Table'!$H:$H, 'Instrument Table'!$B:$B, $C4992)))</f>
        <v>Musical Accessories</v>
      </c>
      <c r="D4993" s="1" t="str">
        <f>VLOOKUP($C4993, 'Instrument Table'!$B:$C, 2, FALSE)</f>
        <v>Other</v>
      </c>
      <c r="E4993" s="1">
        <f t="shared" si="462"/>
        <v>3</v>
      </c>
      <c r="F4993" s="1">
        <f>_xlfn.XLOOKUP($C4993, 'Instrument Table'!$B:$B, 'Instrument Table'!$A:$A, "")</f>
        <v>64</v>
      </c>
      <c r="G4993" s="1" t="str">
        <f>TEXT(IF($B4993 = "Retail Item", IF((ROW($A4993) - 4504 - _xlfn.XMATCH($C4993, $C$4506:$C$5005, 0, 1)) &lt;= VLOOKUP($C4993, 'Instrument Table'!$B:$D, 3, FALSE), ROW($A4993) - 4504 - _xlfn.XMATCH($C4993, $C$4506:$C$5005, 0, 1), 0), 0), "00")</f>
        <v>68</v>
      </c>
      <c r="H4993" s="1" t="str">
        <f t="shared" si="463"/>
        <v>000</v>
      </c>
      <c r="I4993" s="1" t="str">
        <f t="shared" si="464"/>
        <v>36468-000</v>
      </c>
      <c r="J4993" s="1" t="str">
        <f t="shared" si="465"/>
        <v>Musical accessories model #68</v>
      </c>
      <c r="K4993" s="1" t="str">
        <f>IF(SUM(COUNTIFS(I:I, I4993)) &gt; 1, "DUPLICATE", "UNIQUE")</f>
        <v>UNIQUE</v>
      </c>
      <c r="L4993" s="18">
        <v>65</v>
      </c>
      <c r="M4993" s="28">
        <v>7383</v>
      </c>
      <c r="N4993" s="6">
        <v>31</v>
      </c>
      <c r="O4993" s="30">
        <f t="shared" si="466"/>
        <v>479895</v>
      </c>
      <c r="P4993" s="30">
        <f t="shared" si="467"/>
        <v>228873</v>
      </c>
      <c r="Q4993" s="1">
        <f>COUNTIFS($P:$P, "&gt;" &amp; $P4993) + 1</f>
        <v>263</v>
      </c>
      <c r="R4993" s="63">
        <f>(COUNTIFS($P:$P, "&gt;" &amp; $P4993) + 1) / (COUNTA($I:$I) - 1)</f>
        <v>5.2600000000000001E-2</v>
      </c>
      <c r="S4993" s="23">
        <f>SUMIFS($P:$P, $Q:$Q, "&lt;" &amp; $Q4993)</f>
        <v>121766587</v>
      </c>
    </row>
    <row r="4994" spans="1:19" x14ac:dyDescent="0.25">
      <c r="A4994" s="1">
        <v>4989</v>
      </c>
      <c r="B4994" s="1" t="s">
        <v>4</v>
      </c>
      <c r="C4994" s="1" t="str">
        <f>IF($B4994 = "Production Item", _xlfn.XLOOKUP($A4994, 'Instrument Table'!$J:$J, 'Instrument Table'!$B:$B, $C4993), IF($B4994 = "Service Item", _xlfn.XLOOKUP($A4994, 'Instrument Table'!$I:$I, 'Instrument Table'!$B:$B, $C4993), _xlfn.XLOOKUP($A4994, 'Instrument Table'!$H:$H, 'Instrument Table'!$B:$B, $C4993)))</f>
        <v>Musical Accessories</v>
      </c>
      <c r="D4994" s="1" t="str">
        <f>VLOOKUP($C4994, 'Instrument Table'!$B:$C, 2, FALSE)</f>
        <v>Other</v>
      </c>
      <c r="E4994" s="1">
        <f t="shared" si="462"/>
        <v>3</v>
      </c>
      <c r="F4994" s="1">
        <f>_xlfn.XLOOKUP($C4994, 'Instrument Table'!$B:$B, 'Instrument Table'!$A:$A, "")</f>
        <v>64</v>
      </c>
      <c r="G4994" s="1" t="str">
        <f>TEXT(IF($B4994 = "Retail Item", IF((ROW($A4994) - 4504 - _xlfn.XMATCH($C4994, $C$4506:$C$5005, 0, 1)) &lt;= VLOOKUP($C4994, 'Instrument Table'!$B:$D, 3, FALSE), ROW($A4994) - 4504 - _xlfn.XMATCH($C4994, $C$4506:$C$5005, 0, 1), 0), 0), "00")</f>
        <v>69</v>
      </c>
      <c r="H4994" s="1" t="str">
        <f t="shared" si="463"/>
        <v>000</v>
      </c>
      <c r="I4994" s="1" t="str">
        <f t="shared" si="464"/>
        <v>36469-000</v>
      </c>
      <c r="J4994" s="1" t="str">
        <f t="shared" si="465"/>
        <v>Musical accessories model #69</v>
      </c>
      <c r="K4994" s="1" t="str">
        <f>IF(SUM(COUNTIFS(I:I, I4994)) &gt; 1, "DUPLICATE", "UNIQUE")</f>
        <v>UNIQUE</v>
      </c>
      <c r="L4994" s="18">
        <v>61</v>
      </c>
      <c r="M4994" s="28">
        <v>7964</v>
      </c>
      <c r="N4994" s="6">
        <v>41</v>
      </c>
      <c r="O4994" s="30">
        <f t="shared" si="466"/>
        <v>485804</v>
      </c>
      <c r="P4994" s="30">
        <f t="shared" si="467"/>
        <v>326524</v>
      </c>
      <c r="Q4994" s="1">
        <f>COUNTIFS($P:$P, "&gt;" &amp; $P4994) + 1</f>
        <v>181</v>
      </c>
      <c r="R4994" s="63">
        <f>(COUNTIFS($P:$P, "&gt;" &amp; $P4994) + 1) / (COUNTA($I:$I) - 1)</f>
        <v>3.6200000000000003E-2</v>
      </c>
      <c r="S4994" s="23">
        <f>SUMIFS($P:$P, $Q:$Q, "&lt;" &amp; $Q4994)</f>
        <v>98929366</v>
      </c>
    </row>
    <row r="4995" spans="1:19" x14ac:dyDescent="0.25">
      <c r="A4995" s="1">
        <v>4990</v>
      </c>
      <c r="B4995" s="1" t="s">
        <v>4</v>
      </c>
      <c r="C4995" s="1" t="str">
        <f>IF($B4995 = "Production Item", _xlfn.XLOOKUP($A4995, 'Instrument Table'!$J:$J, 'Instrument Table'!$B:$B, $C4994), IF($B4995 = "Service Item", _xlfn.XLOOKUP($A4995, 'Instrument Table'!$I:$I, 'Instrument Table'!$B:$B, $C4994), _xlfn.XLOOKUP($A4995, 'Instrument Table'!$H:$H, 'Instrument Table'!$B:$B, $C4994)))</f>
        <v>Musical Accessories</v>
      </c>
      <c r="D4995" s="1" t="str">
        <f>VLOOKUP($C4995, 'Instrument Table'!$B:$C, 2, FALSE)</f>
        <v>Other</v>
      </c>
      <c r="E4995" s="1">
        <f t="shared" si="462"/>
        <v>3</v>
      </c>
      <c r="F4995" s="1">
        <f>_xlfn.XLOOKUP($C4995, 'Instrument Table'!$B:$B, 'Instrument Table'!$A:$A, "")</f>
        <v>64</v>
      </c>
      <c r="G4995" s="1" t="str">
        <f>TEXT(IF($B4995 = "Retail Item", IF((ROW($A4995) - 4504 - _xlfn.XMATCH($C4995, $C$4506:$C$5005, 0, 1)) &lt;= VLOOKUP($C4995, 'Instrument Table'!$B:$D, 3, FALSE), ROW($A4995) - 4504 - _xlfn.XMATCH($C4995, $C$4506:$C$5005, 0, 1), 0), 0), "00")</f>
        <v>70</v>
      </c>
      <c r="H4995" s="1" t="str">
        <f t="shared" si="463"/>
        <v>000</v>
      </c>
      <c r="I4995" s="1" t="str">
        <f t="shared" si="464"/>
        <v>36470-000</v>
      </c>
      <c r="J4995" s="1" t="str">
        <f t="shared" si="465"/>
        <v>Musical accessories model #70</v>
      </c>
      <c r="K4995" s="1" t="str">
        <f>IF(SUM(COUNTIFS(I:I, I4995)) &gt; 1, "DUPLICATE", "UNIQUE")</f>
        <v>UNIQUE</v>
      </c>
      <c r="L4995" s="18">
        <v>16</v>
      </c>
      <c r="M4995" s="28">
        <v>9582</v>
      </c>
      <c r="N4995" s="6">
        <v>81</v>
      </c>
      <c r="O4995" s="30">
        <f t="shared" si="466"/>
        <v>153312</v>
      </c>
      <c r="P4995" s="30">
        <f t="shared" si="467"/>
        <v>776142</v>
      </c>
      <c r="Q4995" s="1">
        <f>COUNTIFS($P:$P, "&gt;" &amp; $P4995) + 1</f>
        <v>22</v>
      </c>
      <c r="R4995" s="63">
        <f>(COUNTIFS($P:$P, "&gt;" &amp; $P4995) + 1) / (COUNTA($I:$I) - 1)</f>
        <v>4.4000000000000003E-3</v>
      </c>
      <c r="S4995" s="23">
        <f>SUMIFS($P:$P, $Q:$Q, "&lt;" &amp; $Q4995)</f>
        <v>18082829</v>
      </c>
    </row>
    <row r="4996" spans="1:19" x14ac:dyDescent="0.25">
      <c r="A4996" s="1">
        <v>4991</v>
      </c>
      <c r="B4996" s="1" t="s">
        <v>4</v>
      </c>
      <c r="C4996" s="1" t="str">
        <f>IF($B4996 = "Production Item", _xlfn.XLOOKUP($A4996, 'Instrument Table'!$J:$J, 'Instrument Table'!$B:$B, $C4995), IF($B4996 = "Service Item", _xlfn.XLOOKUP($A4996, 'Instrument Table'!$I:$I, 'Instrument Table'!$B:$B, $C4995), _xlfn.XLOOKUP($A4996, 'Instrument Table'!$H:$H, 'Instrument Table'!$B:$B, $C4995)))</f>
        <v>Musical Accessories</v>
      </c>
      <c r="D4996" s="1" t="str">
        <f>VLOOKUP($C4996, 'Instrument Table'!$B:$C, 2, FALSE)</f>
        <v>Other</v>
      </c>
      <c r="E4996" s="1">
        <f t="shared" si="462"/>
        <v>3</v>
      </c>
      <c r="F4996" s="1">
        <f>_xlfn.XLOOKUP($C4996, 'Instrument Table'!$B:$B, 'Instrument Table'!$A:$A, "")</f>
        <v>64</v>
      </c>
      <c r="G4996" s="1" t="str">
        <f>TEXT(IF($B4996 = "Retail Item", IF((ROW($A4996) - 4504 - _xlfn.XMATCH($C4996, $C$4506:$C$5005, 0, 1)) &lt;= VLOOKUP($C4996, 'Instrument Table'!$B:$D, 3, FALSE), ROW($A4996) - 4504 - _xlfn.XMATCH($C4996, $C$4506:$C$5005, 0, 1), 0), 0), "00")</f>
        <v>71</v>
      </c>
      <c r="H4996" s="1" t="str">
        <f t="shared" si="463"/>
        <v>000</v>
      </c>
      <c r="I4996" s="1" t="str">
        <f t="shared" si="464"/>
        <v>36471-000</v>
      </c>
      <c r="J4996" s="1" t="str">
        <f t="shared" si="465"/>
        <v>Musical accessories model #71</v>
      </c>
      <c r="K4996" s="1" t="str">
        <f>IF(SUM(COUNTIFS(I:I, I4996)) &gt; 1, "DUPLICATE", "UNIQUE")</f>
        <v>UNIQUE</v>
      </c>
      <c r="L4996" s="18">
        <v>30</v>
      </c>
      <c r="M4996" s="28">
        <v>1476</v>
      </c>
      <c r="N4996" s="6">
        <v>85</v>
      </c>
      <c r="O4996" s="30">
        <f t="shared" si="466"/>
        <v>44280</v>
      </c>
      <c r="P4996" s="30">
        <f t="shared" si="467"/>
        <v>125460</v>
      </c>
      <c r="Q4996" s="1">
        <f>COUNTIFS($P:$P, "&gt;" &amp; $P4996) + 1</f>
        <v>362</v>
      </c>
      <c r="R4996" s="63">
        <f>(COUNTIFS($P:$P, "&gt;" &amp; $P4996) + 1) / (COUNTA($I:$I) - 1)</f>
        <v>7.2400000000000006E-2</v>
      </c>
      <c r="S4996" s="23">
        <f>SUMIFS($P:$P, $Q:$Q, "&lt;" &amp; $Q4996)</f>
        <v>139026785</v>
      </c>
    </row>
    <row r="4997" spans="1:19" x14ac:dyDescent="0.25">
      <c r="A4997" s="1">
        <v>4992</v>
      </c>
      <c r="B4997" s="1" t="s">
        <v>4</v>
      </c>
      <c r="C4997" s="1" t="str">
        <f>IF($B4997 = "Production Item", _xlfn.XLOOKUP($A4997, 'Instrument Table'!$J:$J, 'Instrument Table'!$B:$B, $C4996), IF($B4997 = "Service Item", _xlfn.XLOOKUP($A4997, 'Instrument Table'!$I:$I, 'Instrument Table'!$B:$B, $C4996), _xlfn.XLOOKUP($A4997, 'Instrument Table'!$H:$H, 'Instrument Table'!$B:$B, $C4996)))</f>
        <v>Musical Accessories</v>
      </c>
      <c r="D4997" s="1" t="str">
        <f>VLOOKUP($C4997, 'Instrument Table'!$B:$C, 2, FALSE)</f>
        <v>Other</v>
      </c>
      <c r="E4997" s="1">
        <f t="shared" si="462"/>
        <v>3</v>
      </c>
      <c r="F4997" s="1">
        <f>_xlfn.XLOOKUP($C4997, 'Instrument Table'!$B:$B, 'Instrument Table'!$A:$A, "")</f>
        <v>64</v>
      </c>
      <c r="G4997" s="1" t="str">
        <f>TEXT(IF($B4997 = "Retail Item", IF((ROW($A4997) - 4504 - _xlfn.XMATCH($C4997, $C$4506:$C$5005, 0, 1)) &lt;= VLOOKUP($C4997, 'Instrument Table'!$B:$D, 3, FALSE), ROW($A4997) - 4504 - _xlfn.XMATCH($C4997, $C$4506:$C$5005, 0, 1), 0), 0), "00")</f>
        <v>72</v>
      </c>
      <c r="H4997" s="1" t="str">
        <f t="shared" si="463"/>
        <v>000</v>
      </c>
      <c r="I4997" s="1" t="str">
        <f t="shared" si="464"/>
        <v>36472-000</v>
      </c>
      <c r="J4997" s="1" t="str">
        <f t="shared" si="465"/>
        <v>Musical accessories model #72</v>
      </c>
      <c r="K4997" s="1" t="str">
        <f>IF(SUM(COUNTIFS(I:I, I4997)) &gt; 1, "DUPLICATE", "UNIQUE")</f>
        <v>UNIQUE</v>
      </c>
      <c r="L4997" s="18">
        <v>9</v>
      </c>
      <c r="M4997" s="28">
        <v>1263</v>
      </c>
      <c r="N4997" s="6">
        <v>27</v>
      </c>
      <c r="O4997" s="30">
        <f t="shared" si="466"/>
        <v>11367</v>
      </c>
      <c r="P4997" s="30">
        <f t="shared" si="467"/>
        <v>34101</v>
      </c>
      <c r="Q4997" s="1">
        <f>COUNTIFS($P:$P, "&gt;" &amp; $P4997) + 1</f>
        <v>619</v>
      </c>
      <c r="R4997" s="63">
        <f>(COUNTIFS($P:$P, "&gt;" &amp; $P4997) + 1) / (COUNTA($I:$I) - 1)</f>
        <v>0.12379999999999999</v>
      </c>
      <c r="S4997" s="23">
        <f>SUMIFS($P:$P, $Q:$Q, "&lt;" &amp; $Q4997)</f>
        <v>156528820</v>
      </c>
    </row>
    <row r="4998" spans="1:19" x14ac:dyDescent="0.25">
      <c r="A4998" s="1">
        <v>4993</v>
      </c>
      <c r="B4998" s="1" t="s">
        <v>4</v>
      </c>
      <c r="C4998" s="1" t="str">
        <f>IF($B4998 = "Production Item", _xlfn.XLOOKUP($A4998, 'Instrument Table'!$J:$J, 'Instrument Table'!$B:$B, $C4997), IF($B4998 = "Service Item", _xlfn.XLOOKUP($A4998, 'Instrument Table'!$I:$I, 'Instrument Table'!$B:$B, $C4997), _xlfn.XLOOKUP($A4998, 'Instrument Table'!$H:$H, 'Instrument Table'!$B:$B, $C4997)))</f>
        <v>Musical Accessories</v>
      </c>
      <c r="D4998" s="1" t="str">
        <f>VLOOKUP($C4998, 'Instrument Table'!$B:$C, 2, FALSE)</f>
        <v>Other</v>
      </c>
      <c r="E4998" s="1">
        <f t="shared" si="462"/>
        <v>3</v>
      </c>
      <c r="F4998" s="1">
        <f>_xlfn.XLOOKUP($C4998, 'Instrument Table'!$B:$B, 'Instrument Table'!$A:$A, "")</f>
        <v>64</v>
      </c>
      <c r="G4998" s="1" t="str">
        <f>TEXT(IF($B4998 = "Retail Item", IF((ROW($A4998) - 4504 - _xlfn.XMATCH($C4998, $C$4506:$C$5005, 0, 1)) &lt;= VLOOKUP($C4998, 'Instrument Table'!$B:$D, 3, FALSE), ROW($A4998) - 4504 - _xlfn.XMATCH($C4998, $C$4506:$C$5005, 0, 1), 0), 0), "00")</f>
        <v>73</v>
      </c>
      <c r="H4998" s="1" t="str">
        <f t="shared" si="463"/>
        <v>000</v>
      </c>
      <c r="I4998" s="1" t="str">
        <f t="shared" si="464"/>
        <v>36473-000</v>
      </c>
      <c r="J4998" s="1" t="str">
        <f t="shared" si="465"/>
        <v>Musical accessories model #73</v>
      </c>
      <c r="K4998" s="1" t="str">
        <f>IF(SUM(COUNTIFS(I:I, I4998)) &gt; 1, "DUPLICATE", "UNIQUE")</f>
        <v>UNIQUE</v>
      </c>
      <c r="L4998" s="18">
        <v>9</v>
      </c>
      <c r="M4998" s="28">
        <v>6286</v>
      </c>
      <c r="N4998" s="6">
        <v>82</v>
      </c>
      <c r="O4998" s="30">
        <f t="shared" si="466"/>
        <v>56574</v>
      </c>
      <c r="P4998" s="30">
        <f t="shared" si="467"/>
        <v>515452</v>
      </c>
      <c r="Q4998" s="1">
        <f>COUNTIFS($P:$P, "&gt;" &amp; $P4998) + 1</f>
        <v>91</v>
      </c>
      <c r="R4998" s="63">
        <f>(COUNTIFS($P:$P, "&gt;" &amp; $P4998) + 1) / (COUNTA($I:$I) - 1)</f>
        <v>1.8200000000000001E-2</v>
      </c>
      <c r="S4998" s="23">
        <f>SUMIFS($P:$P, $Q:$Q, "&lt;" &amp; $Q4998)</f>
        <v>61594580</v>
      </c>
    </row>
    <row r="4999" spans="1:19" x14ac:dyDescent="0.25">
      <c r="A4999" s="1">
        <v>4994</v>
      </c>
      <c r="B4999" s="1" t="s">
        <v>4</v>
      </c>
      <c r="C4999" s="1" t="str">
        <f>IF($B4999 = "Production Item", _xlfn.XLOOKUP($A4999, 'Instrument Table'!$J:$J, 'Instrument Table'!$B:$B, $C4998), IF($B4999 = "Service Item", _xlfn.XLOOKUP($A4999, 'Instrument Table'!$I:$I, 'Instrument Table'!$B:$B, $C4998), _xlfn.XLOOKUP($A4999, 'Instrument Table'!$H:$H, 'Instrument Table'!$B:$B, $C4998)))</f>
        <v>Musical Accessories</v>
      </c>
      <c r="D4999" s="1" t="str">
        <f>VLOOKUP($C4999, 'Instrument Table'!$B:$C, 2, FALSE)</f>
        <v>Other</v>
      </c>
      <c r="E4999" s="1">
        <f t="shared" ref="E4999:E5005" si="468">IF($B4999 = "Production Item", 1, IF($B4999 = "Service Item", 2, IF($B4999 = "Retail Item", 3, "")))</f>
        <v>3</v>
      </c>
      <c r="F4999" s="1">
        <f>_xlfn.XLOOKUP($C4999, 'Instrument Table'!$B:$B, 'Instrument Table'!$A:$A, "")</f>
        <v>64</v>
      </c>
      <c r="G4999" s="1" t="str">
        <f>TEXT(IF($B4999 = "Retail Item", IF((ROW($A4999) - 4504 - _xlfn.XMATCH($C4999, $C$4506:$C$5005, 0, 1)) &lt;= VLOOKUP($C4999, 'Instrument Table'!$B:$D, 3, FALSE), ROW($A4999) - 4504 - _xlfn.XMATCH($C4999, $C$4506:$C$5005, 0, 1), 0), 0), "00")</f>
        <v>74</v>
      </c>
      <c r="H4999" s="1" t="str">
        <f t="shared" ref="H4999:H5005" si="469">TEXT(IF($E4999 &amp; $F4999 &amp; $G4999 = $E4998 &amp; $F4998 &amp; $G4998, 1 + H4998, 0), "000")</f>
        <v>000</v>
      </c>
      <c r="I4999" s="1" t="str">
        <f t="shared" ref="I4999:I5005" si="470" xml:space="preserve"> _xlfn.CONCAT($E4999, $F4999, $G4999, "-", H4999)</f>
        <v>36474-000</v>
      </c>
      <c r="J4999" s="1" t="str">
        <f t="shared" ref="J4999:J5005" si="471">LEFT($C4999, 1) &amp; LOWER(RIGHT($C4999, LEN($C4999) - 1)) &amp; IF(AND($G4999 &lt;&gt; "00", $B4999 = "Retail Item"), " model #" &amp; $G4999, " " &amp; LOWER($B4999) &amp; " #" &amp; $H4999)</f>
        <v>Musical accessories model #74</v>
      </c>
      <c r="K4999" s="1" t="str">
        <f>IF(SUM(COUNTIFS(I:I, I4999)) &gt; 1, "DUPLICATE", "UNIQUE")</f>
        <v>UNIQUE</v>
      </c>
      <c r="L4999" s="18">
        <v>90</v>
      </c>
      <c r="M4999" s="28">
        <v>7587</v>
      </c>
      <c r="N4999" s="6">
        <v>61</v>
      </c>
      <c r="O4999" s="30">
        <f t="shared" ref="O4999:O5005" si="472">$L4999 * $M4999</f>
        <v>682830</v>
      </c>
      <c r="P4999" s="30">
        <f t="shared" ref="P4999:P5005" si="473">$N4999 * $M4999</f>
        <v>462807</v>
      </c>
      <c r="Q4999" s="1">
        <f>COUNTIFS($P:$P, "&gt;" &amp; $P4999) + 1</f>
        <v>111</v>
      </c>
      <c r="R4999" s="63">
        <f>(COUNTIFS($P:$P, "&gt;" &amp; $P4999) + 1) / (COUNTA($I:$I) - 1)</f>
        <v>2.2200000000000001E-2</v>
      </c>
      <c r="S4999" s="23">
        <f>SUMIFS($P:$P, $Q:$Q, "&lt;" &amp; $Q4999)</f>
        <v>71410282</v>
      </c>
    </row>
    <row r="5000" spans="1:19" x14ac:dyDescent="0.25">
      <c r="A5000" s="1">
        <v>4995</v>
      </c>
      <c r="B5000" s="1" t="s">
        <v>4</v>
      </c>
      <c r="C5000" s="1" t="str">
        <f>IF($B5000 = "Production Item", _xlfn.XLOOKUP($A5000, 'Instrument Table'!$J:$J, 'Instrument Table'!$B:$B, $C4999), IF($B5000 = "Service Item", _xlfn.XLOOKUP($A5000, 'Instrument Table'!$I:$I, 'Instrument Table'!$B:$B, $C4999), _xlfn.XLOOKUP($A5000, 'Instrument Table'!$H:$H, 'Instrument Table'!$B:$B, $C4999)))</f>
        <v>Musical Accessories</v>
      </c>
      <c r="D5000" s="1" t="str">
        <f>VLOOKUP($C5000, 'Instrument Table'!$B:$C, 2, FALSE)</f>
        <v>Other</v>
      </c>
      <c r="E5000" s="1">
        <f t="shared" si="468"/>
        <v>3</v>
      </c>
      <c r="F5000" s="1">
        <f>_xlfn.XLOOKUP($C5000, 'Instrument Table'!$B:$B, 'Instrument Table'!$A:$A, "")</f>
        <v>64</v>
      </c>
      <c r="G5000" s="1" t="str">
        <f>TEXT(IF($B5000 = "Retail Item", IF((ROW($A5000) - 4504 - _xlfn.XMATCH($C5000, $C$4506:$C$5005, 0, 1)) &lt;= VLOOKUP($C5000, 'Instrument Table'!$B:$D, 3, FALSE), ROW($A5000) - 4504 - _xlfn.XMATCH($C5000, $C$4506:$C$5005, 0, 1), 0), 0), "00")</f>
        <v>75</v>
      </c>
      <c r="H5000" s="1" t="str">
        <f t="shared" si="469"/>
        <v>000</v>
      </c>
      <c r="I5000" s="1" t="str">
        <f t="shared" si="470"/>
        <v>36475-000</v>
      </c>
      <c r="J5000" s="1" t="str">
        <f t="shared" si="471"/>
        <v>Musical accessories model #75</v>
      </c>
      <c r="K5000" s="1" t="str">
        <f>IF(SUM(COUNTIFS(I:I, I5000)) &gt; 1, "DUPLICATE", "UNIQUE")</f>
        <v>UNIQUE</v>
      </c>
      <c r="L5000" s="18">
        <v>31</v>
      </c>
      <c r="M5000" s="28">
        <v>3583</v>
      </c>
      <c r="N5000" s="6">
        <v>75</v>
      </c>
      <c r="O5000" s="30">
        <f t="shared" si="472"/>
        <v>111073</v>
      </c>
      <c r="P5000" s="30">
        <f t="shared" si="473"/>
        <v>268725</v>
      </c>
      <c r="Q5000" s="1">
        <f>COUNTIFS($P:$P, "&gt;" &amp; $P5000) + 1</f>
        <v>231</v>
      </c>
      <c r="R5000" s="63">
        <f>(COUNTIFS($P:$P, "&gt;" &amp; $P5000) + 1) / (COUNTA($I:$I) - 1)</f>
        <v>4.6199999999999998E-2</v>
      </c>
      <c r="S5000" s="23">
        <f>SUMIFS($P:$P, $Q:$Q, "&lt;" &amp; $Q5000)</f>
        <v>113809357</v>
      </c>
    </row>
    <row r="5001" spans="1:19" x14ac:dyDescent="0.25">
      <c r="A5001" s="1">
        <v>4996</v>
      </c>
      <c r="B5001" s="1" t="s">
        <v>4</v>
      </c>
      <c r="C5001" s="1" t="str">
        <f>IF($B5001 = "Production Item", _xlfn.XLOOKUP($A5001, 'Instrument Table'!$J:$J, 'Instrument Table'!$B:$B, $C5000), IF($B5001 = "Service Item", _xlfn.XLOOKUP($A5001, 'Instrument Table'!$I:$I, 'Instrument Table'!$B:$B, $C5000), _xlfn.XLOOKUP($A5001, 'Instrument Table'!$H:$H, 'Instrument Table'!$B:$B, $C5000)))</f>
        <v>Musical Accessories</v>
      </c>
      <c r="D5001" s="1" t="str">
        <f>VLOOKUP($C5001, 'Instrument Table'!$B:$C, 2, FALSE)</f>
        <v>Other</v>
      </c>
      <c r="E5001" s="1">
        <f t="shared" si="468"/>
        <v>3</v>
      </c>
      <c r="F5001" s="1">
        <f>_xlfn.XLOOKUP($C5001, 'Instrument Table'!$B:$B, 'Instrument Table'!$A:$A, "")</f>
        <v>64</v>
      </c>
      <c r="G5001" s="1" t="str">
        <f>TEXT(IF($B5001 = "Retail Item", IF((ROW($A5001) - 4504 - _xlfn.XMATCH($C5001, $C$4506:$C$5005, 0, 1)) &lt;= VLOOKUP($C5001, 'Instrument Table'!$B:$D, 3, FALSE), ROW($A5001) - 4504 - _xlfn.XMATCH($C5001, $C$4506:$C$5005, 0, 1), 0), 0), "00")</f>
        <v>76</v>
      </c>
      <c r="H5001" s="1" t="str">
        <f t="shared" si="469"/>
        <v>000</v>
      </c>
      <c r="I5001" s="1" t="str">
        <f t="shared" si="470"/>
        <v>36476-000</v>
      </c>
      <c r="J5001" s="1" t="str">
        <f t="shared" si="471"/>
        <v>Musical accessories model #76</v>
      </c>
      <c r="K5001" s="1" t="str">
        <f>IF(SUM(COUNTIFS(I:I, I5001)) &gt; 1, "DUPLICATE", "UNIQUE")</f>
        <v>UNIQUE</v>
      </c>
      <c r="L5001" s="18">
        <v>80</v>
      </c>
      <c r="M5001" s="28">
        <v>9051</v>
      </c>
      <c r="N5001" s="6">
        <v>25</v>
      </c>
      <c r="O5001" s="30">
        <f t="shared" si="472"/>
        <v>724080</v>
      </c>
      <c r="P5001" s="30">
        <f t="shared" si="473"/>
        <v>226275</v>
      </c>
      <c r="Q5001" s="1">
        <f>COUNTIFS($P:$P, "&gt;" &amp; $P5001) + 1</f>
        <v>269</v>
      </c>
      <c r="R5001" s="63">
        <f>(COUNTIFS($P:$P, "&gt;" &amp; $P5001) + 1) / (COUNTA($I:$I) - 1)</f>
        <v>5.3800000000000001E-2</v>
      </c>
      <c r="S5001" s="23">
        <f>SUMIFS($P:$P, $Q:$Q, "&lt;" &amp; $Q5001)</f>
        <v>123132166</v>
      </c>
    </row>
    <row r="5002" spans="1:19" x14ac:dyDescent="0.25">
      <c r="A5002" s="1">
        <v>4997</v>
      </c>
      <c r="B5002" s="1" t="s">
        <v>4</v>
      </c>
      <c r="C5002" s="1" t="str">
        <f>IF($B5002 = "Production Item", _xlfn.XLOOKUP($A5002, 'Instrument Table'!$J:$J, 'Instrument Table'!$B:$B, $C5001), IF($B5002 = "Service Item", _xlfn.XLOOKUP($A5002, 'Instrument Table'!$I:$I, 'Instrument Table'!$B:$B, $C5001), _xlfn.XLOOKUP($A5002, 'Instrument Table'!$H:$H, 'Instrument Table'!$B:$B, $C5001)))</f>
        <v>Musical Accessories</v>
      </c>
      <c r="D5002" s="1" t="str">
        <f>VLOOKUP($C5002, 'Instrument Table'!$B:$C, 2, FALSE)</f>
        <v>Other</v>
      </c>
      <c r="E5002" s="1">
        <f t="shared" si="468"/>
        <v>3</v>
      </c>
      <c r="F5002" s="1">
        <f>_xlfn.XLOOKUP($C5002, 'Instrument Table'!$B:$B, 'Instrument Table'!$A:$A, "")</f>
        <v>64</v>
      </c>
      <c r="G5002" s="1" t="str">
        <f>TEXT(IF($B5002 = "Retail Item", IF((ROW($A5002) - 4504 - _xlfn.XMATCH($C5002, $C$4506:$C$5005, 0, 1)) &lt;= VLOOKUP($C5002, 'Instrument Table'!$B:$D, 3, FALSE), ROW($A5002) - 4504 - _xlfn.XMATCH($C5002, $C$4506:$C$5005, 0, 1), 0), 0), "00")</f>
        <v>77</v>
      </c>
      <c r="H5002" s="1" t="str">
        <f t="shared" si="469"/>
        <v>000</v>
      </c>
      <c r="I5002" s="1" t="str">
        <f t="shared" si="470"/>
        <v>36477-000</v>
      </c>
      <c r="J5002" s="1" t="str">
        <f t="shared" si="471"/>
        <v>Musical accessories model #77</v>
      </c>
      <c r="K5002" s="1" t="str">
        <f>IF(SUM(COUNTIFS(I:I, I5002)) &gt; 1, "DUPLICATE", "UNIQUE")</f>
        <v>UNIQUE</v>
      </c>
      <c r="L5002" s="18">
        <v>29</v>
      </c>
      <c r="M5002" s="28">
        <v>5725</v>
      </c>
      <c r="N5002" s="6">
        <v>34</v>
      </c>
      <c r="O5002" s="30">
        <f t="shared" si="472"/>
        <v>166025</v>
      </c>
      <c r="P5002" s="30">
        <f t="shared" si="473"/>
        <v>194650</v>
      </c>
      <c r="Q5002" s="1">
        <f>COUNTIFS($P:$P, "&gt;" &amp; $P5002) + 1</f>
        <v>291</v>
      </c>
      <c r="R5002" s="63">
        <f>(COUNTIFS($P:$P, "&gt;" &amp; $P5002) + 1) / (COUNTA($I:$I) - 1)</f>
        <v>5.8200000000000002E-2</v>
      </c>
      <c r="S5002" s="23">
        <f>SUMIFS($P:$P, $Q:$Q, "&lt;" &amp; $Q5002)</f>
        <v>127813871</v>
      </c>
    </row>
    <row r="5003" spans="1:19" x14ac:dyDescent="0.25">
      <c r="A5003" s="1">
        <v>4998</v>
      </c>
      <c r="B5003" s="1" t="s">
        <v>4</v>
      </c>
      <c r="C5003" s="1" t="str">
        <f>IF($B5003 = "Production Item", _xlfn.XLOOKUP($A5003, 'Instrument Table'!$J:$J, 'Instrument Table'!$B:$B, $C5002), IF($B5003 = "Service Item", _xlfn.XLOOKUP($A5003, 'Instrument Table'!$I:$I, 'Instrument Table'!$B:$B, $C5002), _xlfn.XLOOKUP($A5003, 'Instrument Table'!$H:$H, 'Instrument Table'!$B:$B, $C5002)))</f>
        <v>Musical Accessories</v>
      </c>
      <c r="D5003" s="1" t="str">
        <f>VLOOKUP($C5003, 'Instrument Table'!$B:$C, 2, FALSE)</f>
        <v>Other</v>
      </c>
      <c r="E5003" s="1">
        <f t="shared" si="468"/>
        <v>3</v>
      </c>
      <c r="F5003" s="1">
        <f>_xlfn.XLOOKUP($C5003, 'Instrument Table'!$B:$B, 'Instrument Table'!$A:$A, "")</f>
        <v>64</v>
      </c>
      <c r="G5003" s="1" t="str">
        <f>TEXT(IF($B5003 = "Retail Item", IF((ROW($A5003) - 4504 - _xlfn.XMATCH($C5003, $C$4506:$C$5005, 0, 1)) &lt;= VLOOKUP($C5003, 'Instrument Table'!$B:$D, 3, FALSE), ROW($A5003) - 4504 - _xlfn.XMATCH($C5003, $C$4506:$C$5005, 0, 1), 0), 0), "00")</f>
        <v>78</v>
      </c>
      <c r="H5003" s="1" t="str">
        <f t="shared" si="469"/>
        <v>000</v>
      </c>
      <c r="I5003" s="1" t="str">
        <f t="shared" si="470"/>
        <v>36478-000</v>
      </c>
      <c r="J5003" s="1" t="str">
        <f t="shared" si="471"/>
        <v>Musical accessories model #78</v>
      </c>
      <c r="K5003" s="1" t="str">
        <f>IF(SUM(COUNTIFS(I:I, I5003)) &gt; 1, "DUPLICATE", "UNIQUE")</f>
        <v>UNIQUE</v>
      </c>
      <c r="L5003" s="18">
        <v>53</v>
      </c>
      <c r="M5003" s="28">
        <v>9751</v>
      </c>
      <c r="N5003" s="6">
        <v>56</v>
      </c>
      <c r="O5003" s="30">
        <f t="shared" si="472"/>
        <v>516803</v>
      </c>
      <c r="P5003" s="30">
        <f t="shared" si="473"/>
        <v>546056</v>
      </c>
      <c r="Q5003" s="1">
        <f>COUNTIFS($P:$P, "&gt;" &amp; $P5003) + 1</f>
        <v>79</v>
      </c>
      <c r="R5003" s="63">
        <f>(COUNTIFS($P:$P, "&gt;" &amp; $P5003) + 1) / (COUNTA($I:$I) - 1)</f>
        <v>1.5800000000000002E-2</v>
      </c>
      <c r="S5003" s="23">
        <f>SUMIFS($P:$P, $Q:$Q, "&lt;" &amp; $Q5003)</f>
        <v>55221941</v>
      </c>
    </row>
    <row r="5004" spans="1:19" x14ac:dyDescent="0.25">
      <c r="A5004" s="1">
        <v>4999</v>
      </c>
      <c r="B5004" s="1" t="s">
        <v>4</v>
      </c>
      <c r="C5004" s="1" t="str">
        <f>IF($B5004 = "Production Item", _xlfn.XLOOKUP($A5004, 'Instrument Table'!$J:$J, 'Instrument Table'!$B:$B, $C5003), IF($B5004 = "Service Item", _xlfn.XLOOKUP($A5004, 'Instrument Table'!$I:$I, 'Instrument Table'!$B:$B, $C5003), _xlfn.XLOOKUP($A5004, 'Instrument Table'!$H:$H, 'Instrument Table'!$B:$B, $C5003)))</f>
        <v>Musical Accessories</v>
      </c>
      <c r="D5004" s="1" t="str">
        <f>VLOOKUP($C5004, 'Instrument Table'!$B:$C, 2, FALSE)</f>
        <v>Other</v>
      </c>
      <c r="E5004" s="1">
        <f t="shared" si="468"/>
        <v>3</v>
      </c>
      <c r="F5004" s="1">
        <f>_xlfn.XLOOKUP($C5004, 'Instrument Table'!$B:$B, 'Instrument Table'!$A:$A, "")</f>
        <v>64</v>
      </c>
      <c r="G5004" s="1" t="str">
        <f>TEXT(IF($B5004 = "Retail Item", IF((ROW($A5004) - 4504 - _xlfn.XMATCH($C5004, $C$4506:$C$5005, 0, 1)) &lt;= VLOOKUP($C5004, 'Instrument Table'!$B:$D, 3, FALSE), ROW($A5004) - 4504 - _xlfn.XMATCH($C5004, $C$4506:$C$5005, 0, 1), 0), 0), "00")</f>
        <v>79</v>
      </c>
      <c r="H5004" s="1" t="str">
        <f t="shared" si="469"/>
        <v>000</v>
      </c>
      <c r="I5004" s="1" t="str">
        <f t="shared" si="470"/>
        <v>36479-000</v>
      </c>
      <c r="J5004" s="1" t="str">
        <f t="shared" si="471"/>
        <v>Musical accessories model #79</v>
      </c>
      <c r="K5004" s="1" t="str">
        <f>IF(SUM(COUNTIFS(I:I, I5004)) &gt; 1, "DUPLICATE", "UNIQUE")</f>
        <v>UNIQUE</v>
      </c>
      <c r="L5004" s="18">
        <v>21</v>
      </c>
      <c r="M5004" s="28">
        <v>7873</v>
      </c>
      <c r="N5004" s="6">
        <v>91</v>
      </c>
      <c r="O5004" s="30">
        <f t="shared" si="472"/>
        <v>165333</v>
      </c>
      <c r="P5004" s="30">
        <f t="shared" si="473"/>
        <v>716443</v>
      </c>
      <c r="Q5004" s="1">
        <f>COUNTIFS($P:$P, "&gt;" &amp; $P5004) + 1</f>
        <v>34</v>
      </c>
      <c r="R5004" s="63">
        <f>(COUNTIFS($P:$P, "&gt;" &amp; $P5004) + 1) / (COUNTA($I:$I) - 1)</f>
        <v>6.7999999999999996E-3</v>
      </c>
      <c r="S5004" s="23">
        <f>SUMIFS($P:$P, $Q:$Q, "&lt;" &amp; $Q5004)</f>
        <v>27097657</v>
      </c>
    </row>
    <row r="5005" spans="1:19" x14ac:dyDescent="0.25">
      <c r="A5005" s="1">
        <v>5000</v>
      </c>
      <c r="B5005" s="1" t="s">
        <v>4</v>
      </c>
      <c r="C5005" s="1" t="str">
        <f>IF($B5005 = "Production Item", _xlfn.XLOOKUP($A5005, 'Instrument Table'!$J:$J, 'Instrument Table'!$B:$B, $C5004), IF($B5005 = "Service Item", _xlfn.XLOOKUP($A5005, 'Instrument Table'!$I:$I, 'Instrument Table'!$B:$B, $C5004), _xlfn.XLOOKUP($A5005, 'Instrument Table'!$H:$H, 'Instrument Table'!$B:$B, $C5004)))</f>
        <v>Musical Accessories</v>
      </c>
      <c r="D5005" s="1" t="str">
        <f>VLOOKUP($C5005, 'Instrument Table'!$B:$C, 2, FALSE)</f>
        <v>Other</v>
      </c>
      <c r="E5005" s="1">
        <f t="shared" si="468"/>
        <v>3</v>
      </c>
      <c r="F5005" s="1">
        <f>_xlfn.XLOOKUP($C5005, 'Instrument Table'!$B:$B, 'Instrument Table'!$A:$A, "")</f>
        <v>64</v>
      </c>
      <c r="G5005" s="1" t="str">
        <f>TEXT(IF($B5005 = "Retail Item", IF((ROW($A5005) - 4504 - _xlfn.XMATCH($C5005, $C$4506:$C$5005, 0, 1)) &lt;= VLOOKUP($C5005, 'Instrument Table'!$B:$D, 3, FALSE), ROW($A5005) - 4504 - _xlfn.XMATCH($C5005, $C$4506:$C$5005, 0, 1), 0), 0), "00")</f>
        <v>80</v>
      </c>
      <c r="H5005" s="1" t="str">
        <f t="shared" si="469"/>
        <v>000</v>
      </c>
      <c r="I5005" s="1" t="str">
        <f t="shared" si="470"/>
        <v>36480-000</v>
      </c>
      <c r="J5005" s="1" t="str">
        <f t="shared" si="471"/>
        <v>Musical accessories model #80</v>
      </c>
      <c r="K5005" s="1" t="str">
        <f>IF(SUM(COUNTIFS(I:I, I5005)) &gt; 1, "DUPLICATE", "UNIQUE")</f>
        <v>UNIQUE</v>
      </c>
      <c r="L5005" s="18">
        <v>26</v>
      </c>
      <c r="M5005" s="28">
        <v>1872</v>
      </c>
      <c r="N5005" s="6">
        <v>99</v>
      </c>
      <c r="O5005" s="30">
        <f t="shared" si="472"/>
        <v>48672</v>
      </c>
      <c r="P5005" s="30">
        <f t="shared" si="473"/>
        <v>185328</v>
      </c>
      <c r="Q5005" s="1">
        <f>COUNTIFS($P:$P, "&gt;" &amp; $P5005) + 1</f>
        <v>299</v>
      </c>
      <c r="R5005" s="63">
        <f>(COUNTIFS($P:$P, "&gt;" &amp; $P5005) + 1) / (COUNTA($I:$I) - 1)</f>
        <v>5.9799999999999999E-2</v>
      </c>
      <c r="S5005" s="23">
        <f>SUMIFS($P:$P, $Q:$Q, "&lt;" &amp; $Q5005)</f>
        <v>129351603</v>
      </c>
    </row>
  </sheetData>
  <autoFilter ref="A5:S5005" xr:uid="{1A664150-A990-436A-BD7B-02FBA68CBFB9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7E683-B075-4760-AA98-C4AB9853E9A9}">
  <dimension ref="A1:J40"/>
  <sheetViews>
    <sheetView workbookViewId="0">
      <selection activeCell="D3" sqref="D3"/>
    </sheetView>
  </sheetViews>
  <sheetFormatPr defaultRowHeight="15" x14ac:dyDescent="0.25"/>
  <cols>
    <col min="1" max="1" width="7" style="1" customWidth="1"/>
    <col min="2" max="2" width="22.42578125" style="1" customWidth="1"/>
    <col min="3" max="3" width="31.140625" style="1" customWidth="1"/>
    <col min="4" max="4" width="9" style="1" customWidth="1"/>
    <col min="5" max="5" width="19.28515625" style="1" customWidth="1"/>
    <col min="6" max="6" width="24.28515625" style="1" customWidth="1"/>
    <col min="7" max="7" width="25.28515625" style="1" customWidth="1"/>
    <col min="8" max="8" width="21.5703125" style="1" customWidth="1"/>
    <col min="9" max="9" width="23.28515625" style="1" customWidth="1"/>
    <col min="10" max="10" width="24.42578125" style="1" customWidth="1"/>
    <col min="11" max="16384" width="9.140625" style="1"/>
  </cols>
  <sheetData>
    <row r="1" spans="1:10" x14ac:dyDescent="0.25">
      <c r="A1" s="3" t="s">
        <v>53</v>
      </c>
    </row>
    <row r="2" spans="1:10" x14ac:dyDescent="0.25">
      <c r="A2" s="4" t="s">
        <v>68</v>
      </c>
    </row>
    <row r="5" spans="1:10" x14ac:dyDescent="0.25">
      <c r="A5" s="76" t="s">
        <v>119</v>
      </c>
      <c r="B5" s="76" t="s">
        <v>55</v>
      </c>
      <c r="C5" s="76" t="s">
        <v>13</v>
      </c>
      <c r="D5" s="76" t="s">
        <v>36</v>
      </c>
      <c r="E5" s="76" t="s">
        <v>37</v>
      </c>
      <c r="F5" s="76" t="s">
        <v>38</v>
      </c>
      <c r="G5" s="76" t="s">
        <v>44</v>
      </c>
      <c r="H5" s="76" t="s">
        <v>42</v>
      </c>
      <c r="I5" s="76" t="s">
        <v>43</v>
      </c>
      <c r="J5" s="76" t="s">
        <v>52</v>
      </c>
    </row>
    <row r="6" spans="1:10" x14ac:dyDescent="0.25">
      <c r="A6" s="1">
        <v>10</v>
      </c>
      <c r="B6" s="1" t="s">
        <v>19</v>
      </c>
      <c r="C6" s="1" t="s">
        <v>51</v>
      </c>
      <c r="D6" s="1">
        <v>5</v>
      </c>
      <c r="E6" s="1">
        <v>10</v>
      </c>
      <c r="F6" s="1">
        <v>40</v>
      </c>
      <c r="G6" s="1">
        <v>300</v>
      </c>
      <c r="H6" s="1">
        <v>4501</v>
      </c>
      <c r="I6" s="1">
        <v>4001</v>
      </c>
      <c r="J6" s="1">
        <v>1</v>
      </c>
    </row>
    <row r="7" spans="1:10" x14ac:dyDescent="0.25">
      <c r="A7" s="1">
        <v>11</v>
      </c>
      <c r="B7" s="1" t="s">
        <v>20</v>
      </c>
      <c r="C7" s="1" t="s">
        <v>51</v>
      </c>
      <c r="D7" s="1">
        <v>5</v>
      </c>
      <c r="E7" s="1">
        <v>10</v>
      </c>
      <c r="F7" s="1">
        <v>40</v>
      </c>
      <c r="G7" s="1">
        <v>200</v>
      </c>
      <c r="H7" s="1">
        <f>$H6 + $D6 + $E6</f>
        <v>4516</v>
      </c>
      <c r="I7" s="1">
        <f t="shared" ref="I7:I33" si="0">$I6 + $F6 + IF($C5 &lt;&gt; $C6, VLOOKUP("Shared " &amp; $C6, $E$35:$G$40, 2, FALSE))</f>
        <v>4071</v>
      </c>
      <c r="J7" s="1">
        <f t="shared" ref="J7:J33" si="1">$J6 + $G6 + IF($C5 &lt;&gt; $C6, VLOOKUP("Shared " &amp; $C6, $E$35:$G$40, 3, FALSE))</f>
        <v>551</v>
      </c>
    </row>
    <row r="8" spans="1:10" x14ac:dyDescent="0.25">
      <c r="A8" s="1">
        <v>12</v>
      </c>
      <c r="B8" s="1" t="s">
        <v>21</v>
      </c>
      <c r="C8" s="1" t="s">
        <v>51</v>
      </c>
      <c r="D8" s="1">
        <v>5</v>
      </c>
      <c r="E8" s="1">
        <v>10</v>
      </c>
      <c r="F8" s="1">
        <v>20</v>
      </c>
      <c r="G8" s="1">
        <v>200</v>
      </c>
      <c r="H8" s="1">
        <f t="shared" ref="H8:H33" si="2">$H7 + $D7 + $E7</f>
        <v>4531</v>
      </c>
      <c r="I8" s="1">
        <f t="shared" si="0"/>
        <v>4111</v>
      </c>
      <c r="J8" s="1">
        <f t="shared" si="1"/>
        <v>751</v>
      </c>
    </row>
    <row r="9" spans="1:10" x14ac:dyDescent="0.25">
      <c r="A9" s="1">
        <v>20</v>
      </c>
      <c r="B9" s="1" t="s">
        <v>5</v>
      </c>
      <c r="C9" s="1" t="s">
        <v>14</v>
      </c>
      <c r="D9" s="1">
        <v>5</v>
      </c>
      <c r="E9" s="1">
        <v>5</v>
      </c>
      <c r="F9" s="1">
        <v>10</v>
      </c>
      <c r="G9" s="1">
        <v>50</v>
      </c>
      <c r="H9" s="1">
        <f t="shared" si="2"/>
        <v>4546</v>
      </c>
      <c r="I9" s="1">
        <f t="shared" si="0"/>
        <v>4131</v>
      </c>
      <c r="J9" s="1">
        <f t="shared" si="1"/>
        <v>951</v>
      </c>
    </row>
    <row r="10" spans="1:10" x14ac:dyDescent="0.25">
      <c r="A10" s="1">
        <v>21</v>
      </c>
      <c r="B10" s="1" t="s">
        <v>6</v>
      </c>
      <c r="C10" s="1" t="s">
        <v>14</v>
      </c>
      <c r="D10" s="1">
        <v>5</v>
      </c>
      <c r="E10" s="1">
        <v>5</v>
      </c>
      <c r="F10" s="1">
        <v>10</v>
      </c>
      <c r="G10" s="1">
        <v>50</v>
      </c>
      <c r="H10" s="1">
        <f t="shared" si="2"/>
        <v>4556</v>
      </c>
      <c r="I10" s="1">
        <f t="shared" si="0"/>
        <v>4161</v>
      </c>
      <c r="J10" s="1">
        <f t="shared" si="1"/>
        <v>1201</v>
      </c>
    </row>
    <row r="11" spans="1:10" x14ac:dyDescent="0.25">
      <c r="A11" s="1">
        <v>22</v>
      </c>
      <c r="B11" s="1" t="s">
        <v>7</v>
      </c>
      <c r="C11" s="1" t="s">
        <v>14</v>
      </c>
      <c r="D11" s="1">
        <v>5</v>
      </c>
      <c r="E11" s="1">
        <v>5</v>
      </c>
      <c r="F11" s="1">
        <v>10</v>
      </c>
      <c r="G11" s="1">
        <v>50</v>
      </c>
      <c r="H11" s="1">
        <f t="shared" si="2"/>
        <v>4566</v>
      </c>
      <c r="I11" s="1">
        <f t="shared" si="0"/>
        <v>4171</v>
      </c>
      <c r="J11" s="1">
        <f t="shared" si="1"/>
        <v>1251</v>
      </c>
    </row>
    <row r="12" spans="1:10" x14ac:dyDescent="0.25">
      <c r="A12" s="1">
        <v>23</v>
      </c>
      <c r="B12" s="1" t="s">
        <v>8</v>
      </c>
      <c r="C12" s="1" t="s">
        <v>14</v>
      </c>
      <c r="D12" s="1">
        <v>5</v>
      </c>
      <c r="E12" s="1">
        <v>5</v>
      </c>
      <c r="F12" s="1">
        <v>10</v>
      </c>
      <c r="G12" s="1">
        <v>50</v>
      </c>
      <c r="H12" s="1">
        <f t="shared" si="2"/>
        <v>4576</v>
      </c>
      <c r="I12" s="1">
        <f t="shared" si="0"/>
        <v>4181</v>
      </c>
      <c r="J12" s="1">
        <f t="shared" si="1"/>
        <v>1301</v>
      </c>
    </row>
    <row r="13" spans="1:10" x14ac:dyDescent="0.25">
      <c r="A13" s="1">
        <v>24</v>
      </c>
      <c r="B13" s="1" t="s">
        <v>23</v>
      </c>
      <c r="C13" s="1" t="s">
        <v>14</v>
      </c>
      <c r="D13" s="1">
        <v>15</v>
      </c>
      <c r="E13" s="1">
        <v>5</v>
      </c>
      <c r="F13" s="1">
        <v>20</v>
      </c>
      <c r="G13" s="1">
        <v>200</v>
      </c>
      <c r="H13" s="1">
        <f t="shared" si="2"/>
        <v>4586</v>
      </c>
      <c r="I13" s="1">
        <f t="shared" si="0"/>
        <v>4191</v>
      </c>
      <c r="J13" s="1">
        <f t="shared" si="1"/>
        <v>1351</v>
      </c>
    </row>
    <row r="14" spans="1:10" x14ac:dyDescent="0.25">
      <c r="A14" s="1">
        <v>25</v>
      </c>
      <c r="B14" s="1" t="s">
        <v>22</v>
      </c>
      <c r="C14" s="1" t="s">
        <v>14</v>
      </c>
      <c r="D14" s="1">
        <v>25</v>
      </c>
      <c r="E14" s="1">
        <v>10</v>
      </c>
      <c r="F14" s="1">
        <v>20</v>
      </c>
      <c r="G14" s="1">
        <v>200</v>
      </c>
      <c r="H14" s="1">
        <f t="shared" si="2"/>
        <v>4606</v>
      </c>
      <c r="I14" s="1">
        <f t="shared" si="0"/>
        <v>4211</v>
      </c>
      <c r="J14" s="1">
        <f t="shared" si="1"/>
        <v>1551</v>
      </c>
    </row>
    <row r="15" spans="1:10" x14ac:dyDescent="0.25">
      <c r="A15" s="1">
        <v>30</v>
      </c>
      <c r="B15" s="1" t="s">
        <v>24</v>
      </c>
      <c r="C15" s="1" t="s">
        <v>15</v>
      </c>
      <c r="D15" s="1">
        <v>6</v>
      </c>
      <c r="E15" s="1">
        <v>10</v>
      </c>
      <c r="F15" s="1">
        <v>10</v>
      </c>
      <c r="G15" s="1">
        <v>200</v>
      </c>
      <c r="H15" s="1">
        <f t="shared" si="2"/>
        <v>4641</v>
      </c>
      <c r="I15" s="1">
        <f t="shared" si="0"/>
        <v>4231</v>
      </c>
      <c r="J15" s="1">
        <f t="shared" si="1"/>
        <v>1751</v>
      </c>
    </row>
    <row r="16" spans="1:10" x14ac:dyDescent="0.25">
      <c r="A16" s="1">
        <v>31</v>
      </c>
      <c r="B16" s="1" t="s">
        <v>25</v>
      </c>
      <c r="C16" s="1" t="s">
        <v>15</v>
      </c>
      <c r="D16" s="1">
        <v>6</v>
      </c>
      <c r="E16" s="1">
        <v>10</v>
      </c>
      <c r="F16" s="1">
        <v>20</v>
      </c>
      <c r="G16" s="1">
        <v>100</v>
      </c>
      <c r="H16" s="1">
        <f t="shared" si="2"/>
        <v>4657</v>
      </c>
      <c r="I16" s="1">
        <f t="shared" si="0"/>
        <v>4261</v>
      </c>
      <c r="J16" s="1">
        <f t="shared" si="1"/>
        <v>2151</v>
      </c>
    </row>
    <row r="17" spans="1:10" x14ac:dyDescent="0.25">
      <c r="A17" s="1">
        <v>32</v>
      </c>
      <c r="B17" s="1" t="s">
        <v>9</v>
      </c>
      <c r="C17" s="1" t="s">
        <v>15</v>
      </c>
      <c r="D17" s="1">
        <v>3</v>
      </c>
      <c r="E17" s="1">
        <v>5</v>
      </c>
      <c r="F17" s="1">
        <v>5</v>
      </c>
      <c r="G17" s="1">
        <v>50</v>
      </c>
      <c r="H17" s="1">
        <f t="shared" si="2"/>
        <v>4673</v>
      </c>
      <c r="I17" s="1">
        <f t="shared" si="0"/>
        <v>4281</v>
      </c>
      <c r="J17" s="1">
        <f t="shared" si="1"/>
        <v>2251</v>
      </c>
    </row>
    <row r="18" spans="1:10" x14ac:dyDescent="0.25">
      <c r="A18" s="1">
        <v>33</v>
      </c>
      <c r="B18" s="1" t="s">
        <v>10</v>
      </c>
      <c r="C18" s="1" t="s">
        <v>15</v>
      </c>
      <c r="D18" s="1">
        <v>3</v>
      </c>
      <c r="E18" s="1">
        <v>5</v>
      </c>
      <c r="F18" s="1">
        <v>5</v>
      </c>
      <c r="G18" s="1">
        <v>50</v>
      </c>
      <c r="H18" s="1">
        <f t="shared" si="2"/>
        <v>4681</v>
      </c>
      <c r="I18" s="1">
        <f t="shared" si="0"/>
        <v>4286</v>
      </c>
      <c r="J18" s="1">
        <f t="shared" si="1"/>
        <v>2301</v>
      </c>
    </row>
    <row r="19" spans="1:10" x14ac:dyDescent="0.25">
      <c r="A19" s="1">
        <v>34</v>
      </c>
      <c r="B19" s="1" t="s">
        <v>11</v>
      </c>
      <c r="C19" s="1" t="s">
        <v>15</v>
      </c>
      <c r="D19" s="1">
        <v>3</v>
      </c>
      <c r="E19" s="1">
        <v>10</v>
      </c>
      <c r="F19" s="1">
        <v>10</v>
      </c>
      <c r="G19" s="1">
        <v>50</v>
      </c>
      <c r="H19" s="1">
        <f t="shared" si="2"/>
        <v>4689</v>
      </c>
      <c r="I19" s="1">
        <f t="shared" si="0"/>
        <v>4291</v>
      </c>
      <c r="J19" s="1">
        <f t="shared" si="1"/>
        <v>2351</v>
      </c>
    </row>
    <row r="20" spans="1:10" x14ac:dyDescent="0.25">
      <c r="A20" s="1">
        <v>35</v>
      </c>
      <c r="B20" s="1" t="s">
        <v>12</v>
      </c>
      <c r="C20" s="1" t="s">
        <v>15</v>
      </c>
      <c r="D20" s="1">
        <v>3</v>
      </c>
      <c r="E20" s="1">
        <v>10</v>
      </c>
      <c r="F20" s="1">
        <v>10</v>
      </c>
      <c r="G20" s="1">
        <v>50</v>
      </c>
      <c r="H20" s="1">
        <f t="shared" si="2"/>
        <v>4702</v>
      </c>
      <c r="I20" s="1">
        <f t="shared" si="0"/>
        <v>4301</v>
      </c>
      <c r="J20" s="1">
        <f t="shared" si="1"/>
        <v>2401</v>
      </c>
    </row>
    <row r="21" spans="1:10" x14ac:dyDescent="0.25">
      <c r="A21" s="1">
        <v>40</v>
      </c>
      <c r="B21" s="1" t="s">
        <v>29</v>
      </c>
      <c r="C21" s="1" t="s">
        <v>16</v>
      </c>
      <c r="D21" s="1">
        <v>2</v>
      </c>
      <c r="E21" s="1">
        <v>5</v>
      </c>
      <c r="F21" s="1">
        <v>10</v>
      </c>
      <c r="G21" s="1">
        <v>50</v>
      </c>
      <c r="H21" s="1">
        <f t="shared" si="2"/>
        <v>4715</v>
      </c>
      <c r="I21" s="1">
        <f t="shared" si="0"/>
        <v>4311</v>
      </c>
      <c r="J21" s="1">
        <f t="shared" si="1"/>
        <v>2451</v>
      </c>
    </row>
    <row r="22" spans="1:10" x14ac:dyDescent="0.25">
      <c r="A22" s="1">
        <v>41</v>
      </c>
      <c r="B22" s="1" t="s">
        <v>26</v>
      </c>
      <c r="C22" s="1" t="s">
        <v>16</v>
      </c>
      <c r="D22" s="1">
        <v>2</v>
      </c>
      <c r="E22" s="1">
        <v>5</v>
      </c>
      <c r="F22" s="1">
        <v>10</v>
      </c>
      <c r="G22" s="1">
        <v>50</v>
      </c>
      <c r="H22" s="1">
        <f t="shared" si="2"/>
        <v>4722</v>
      </c>
      <c r="I22" s="1">
        <f t="shared" si="0"/>
        <v>4331</v>
      </c>
      <c r="J22" s="1">
        <f t="shared" si="1"/>
        <v>2651</v>
      </c>
    </row>
    <row r="23" spans="1:10" x14ac:dyDescent="0.25">
      <c r="A23" s="1">
        <v>42</v>
      </c>
      <c r="B23" s="1" t="s">
        <v>27</v>
      </c>
      <c r="C23" s="1" t="s">
        <v>16</v>
      </c>
      <c r="D23" s="1">
        <v>2</v>
      </c>
      <c r="E23" s="1">
        <v>5</v>
      </c>
      <c r="F23" s="1">
        <v>10</v>
      </c>
      <c r="G23" s="1">
        <v>50</v>
      </c>
      <c r="H23" s="1">
        <f t="shared" si="2"/>
        <v>4729</v>
      </c>
      <c r="I23" s="1">
        <f t="shared" si="0"/>
        <v>4341</v>
      </c>
      <c r="J23" s="1">
        <f t="shared" si="1"/>
        <v>2701</v>
      </c>
    </row>
    <row r="24" spans="1:10" x14ac:dyDescent="0.25">
      <c r="A24" s="1">
        <v>43</v>
      </c>
      <c r="B24" s="1" t="s">
        <v>28</v>
      </c>
      <c r="C24" s="1" t="s">
        <v>16</v>
      </c>
      <c r="D24" s="1">
        <v>2</v>
      </c>
      <c r="E24" s="1">
        <v>5</v>
      </c>
      <c r="F24" s="1">
        <v>10</v>
      </c>
      <c r="G24" s="1">
        <v>50</v>
      </c>
      <c r="H24" s="1">
        <f t="shared" si="2"/>
        <v>4736</v>
      </c>
      <c r="I24" s="1">
        <f t="shared" si="0"/>
        <v>4351</v>
      </c>
      <c r="J24" s="1">
        <f t="shared" si="1"/>
        <v>2751</v>
      </c>
    </row>
    <row r="25" spans="1:10" x14ac:dyDescent="0.25">
      <c r="A25" s="1">
        <v>50</v>
      </c>
      <c r="B25" s="1" t="s">
        <v>30</v>
      </c>
      <c r="C25" s="1" t="s">
        <v>17</v>
      </c>
      <c r="D25" s="1">
        <v>2</v>
      </c>
      <c r="E25" s="1">
        <v>10</v>
      </c>
      <c r="F25" s="1">
        <v>10</v>
      </c>
      <c r="G25" s="1">
        <v>50</v>
      </c>
      <c r="H25" s="1">
        <f t="shared" si="2"/>
        <v>4743</v>
      </c>
      <c r="I25" s="1">
        <f t="shared" si="0"/>
        <v>4361</v>
      </c>
      <c r="J25" s="1">
        <f t="shared" si="1"/>
        <v>2801</v>
      </c>
    </row>
    <row r="26" spans="1:10" x14ac:dyDescent="0.25">
      <c r="A26" s="1">
        <v>51</v>
      </c>
      <c r="B26" s="1" t="s">
        <v>31</v>
      </c>
      <c r="C26" s="1" t="s">
        <v>17</v>
      </c>
      <c r="D26" s="1">
        <v>2</v>
      </c>
      <c r="E26" s="1">
        <v>5</v>
      </c>
      <c r="F26" s="1">
        <v>10</v>
      </c>
      <c r="G26" s="1">
        <v>50</v>
      </c>
      <c r="H26" s="1">
        <f t="shared" si="2"/>
        <v>4755</v>
      </c>
      <c r="I26" s="1">
        <f t="shared" si="0"/>
        <v>4381</v>
      </c>
      <c r="J26" s="1">
        <f t="shared" si="1"/>
        <v>3001</v>
      </c>
    </row>
    <row r="27" spans="1:10" x14ac:dyDescent="0.25">
      <c r="A27" s="1">
        <v>52</v>
      </c>
      <c r="B27" s="1" t="s">
        <v>32</v>
      </c>
      <c r="C27" s="1" t="s">
        <v>17</v>
      </c>
      <c r="D27" s="1">
        <v>2</v>
      </c>
      <c r="E27" s="1">
        <v>5</v>
      </c>
      <c r="F27" s="1">
        <v>10</v>
      </c>
      <c r="G27" s="1">
        <v>50</v>
      </c>
      <c r="H27" s="1">
        <f t="shared" si="2"/>
        <v>4762</v>
      </c>
      <c r="I27" s="1">
        <f t="shared" si="0"/>
        <v>4391</v>
      </c>
      <c r="J27" s="1">
        <f t="shared" si="1"/>
        <v>3051</v>
      </c>
    </row>
    <row r="28" spans="1:10" x14ac:dyDescent="0.25">
      <c r="A28" s="1">
        <v>53</v>
      </c>
      <c r="B28" s="1" t="s">
        <v>33</v>
      </c>
      <c r="C28" s="1" t="s">
        <v>17</v>
      </c>
      <c r="D28" s="1">
        <v>5</v>
      </c>
      <c r="E28" s="1">
        <v>5</v>
      </c>
      <c r="F28" s="1">
        <v>10</v>
      </c>
      <c r="G28" s="1">
        <v>50</v>
      </c>
      <c r="H28" s="1">
        <f t="shared" si="2"/>
        <v>4769</v>
      </c>
      <c r="I28" s="1">
        <f t="shared" si="0"/>
        <v>4401</v>
      </c>
      <c r="J28" s="1">
        <f t="shared" si="1"/>
        <v>3101</v>
      </c>
    </row>
    <row r="29" spans="1:10" x14ac:dyDescent="0.25">
      <c r="A29" s="1">
        <v>60</v>
      </c>
      <c r="B29" s="1" t="s">
        <v>34</v>
      </c>
      <c r="C29" s="1" t="s">
        <v>18</v>
      </c>
      <c r="D29" s="1">
        <v>1</v>
      </c>
      <c r="E29" s="1">
        <v>20</v>
      </c>
      <c r="F29" s="1">
        <v>40</v>
      </c>
      <c r="G29" s="1">
        <v>250</v>
      </c>
      <c r="H29" s="1">
        <f t="shared" si="2"/>
        <v>4779</v>
      </c>
      <c r="I29" s="1">
        <f t="shared" si="0"/>
        <v>4411</v>
      </c>
      <c r="J29" s="1">
        <f t="shared" si="1"/>
        <v>3151</v>
      </c>
    </row>
    <row r="30" spans="1:10" x14ac:dyDescent="0.25">
      <c r="A30" s="1">
        <v>61</v>
      </c>
      <c r="B30" s="1" t="s">
        <v>35</v>
      </c>
      <c r="C30" s="1" t="s">
        <v>18</v>
      </c>
      <c r="D30" s="1">
        <v>1</v>
      </c>
      <c r="E30" s="1">
        <v>20</v>
      </c>
      <c r="F30" s="1">
        <v>40</v>
      </c>
      <c r="G30" s="1">
        <v>250</v>
      </c>
      <c r="H30" s="1">
        <f t="shared" si="2"/>
        <v>4800</v>
      </c>
      <c r="I30" s="1">
        <f t="shared" si="0"/>
        <v>4461</v>
      </c>
      <c r="J30" s="1">
        <f t="shared" si="1"/>
        <v>3451</v>
      </c>
    </row>
    <row r="31" spans="1:10" x14ac:dyDescent="0.25">
      <c r="A31" s="1">
        <v>62</v>
      </c>
      <c r="B31" s="1" t="s">
        <v>39</v>
      </c>
      <c r="C31" s="1" t="s">
        <v>18</v>
      </c>
      <c r="D31" s="1">
        <v>40</v>
      </c>
      <c r="E31" s="1">
        <v>0</v>
      </c>
      <c r="F31" s="1">
        <v>0</v>
      </c>
      <c r="G31" s="1">
        <v>50</v>
      </c>
      <c r="H31" s="1">
        <f t="shared" si="2"/>
        <v>4821</v>
      </c>
      <c r="I31" s="1">
        <f t="shared" si="0"/>
        <v>4501</v>
      </c>
      <c r="J31" s="1">
        <f t="shared" si="1"/>
        <v>3701</v>
      </c>
    </row>
    <row r="32" spans="1:10" x14ac:dyDescent="0.25">
      <c r="A32" s="1">
        <v>63</v>
      </c>
      <c r="B32" s="1" t="s">
        <v>40</v>
      </c>
      <c r="C32" s="1" t="s">
        <v>18</v>
      </c>
      <c r="D32" s="1">
        <v>60</v>
      </c>
      <c r="E32" s="1">
        <v>0</v>
      </c>
      <c r="F32" s="1">
        <v>0</v>
      </c>
      <c r="G32" s="1">
        <v>50</v>
      </c>
      <c r="H32" s="1">
        <f t="shared" si="2"/>
        <v>4861</v>
      </c>
      <c r="I32" s="1">
        <f t="shared" si="0"/>
        <v>4501</v>
      </c>
      <c r="J32" s="1">
        <f t="shared" si="1"/>
        <v>3751</v>
      </c>
    </row>
    <row r="33" spans="1:10" x14ac:dyDescent="0.25">
      <c r="A33" s="1">
        <v>64</v>
      </c>
      <c r="B33" s="1" t="s">
        <v>41</v>
      </c>
      <c r="C33" s="1" t="s">
        <v>18</v>
      </c>
      <c r="D33" s="1">
        <v>80</v>
      </c>
      <c r="E33" s="1">
        <v>0</v>
      </c>
      <c r="F33" s="1">
        <v>0</v>
      </c>
      <c r="G33" s="1">
        <v>200</v>
      </c>
      <c r="H33" s="1">
        <f t="shared" si="2"/>
        <v>4921</v>
      </c>
      <c r="I33" s="1">
        <f t="shared" si="0"/>
        <v>4501</v>
      </c>
      <c r="J33" s="1">
        <f t="shared" si="1"/>
        <v>3801</v>
      </c>
    </row>
    <row r="35" spans="1:10" x14ac:dyDescent="0.25">
      <c r="E35" s="1" t="s">
        <v>50</v>
      </c>
      <c r="F35" s="1">
        <v>30</v>
      </c>
      <c r="G35" s="1">
        <v>250</v>
      </c>
    </row>
    <row r="36" spans="1:10" x14ac:dyDescent="0.25">
      <c r="E36" s="1" t="s">
        <v>45</v>
      </c>
      <c r="F36" s="1">
        <v>20</v>
      </c>
      <c r="G36" s="1">
        <v>200</v>
      </c>
    </row>
    <row r="37" spans="1:10" x14ac:dyDescent="0.25">
      <c r="E37" s="1" t="s">
        <v>46</v>
      </c>
      <c r="F37" s="1">
        <v>20</v>
      </c>
      <c r="G37" s="1">
        <v>200</v>
      </c>
    </row>
    <row r="38" spans="1:10" x14ac:dyDescent="0.25">
      <c r="E38" s="1" t="s">
        <v>47</v>
      </c>
      <c r="F38" s="1">
        <v>10</v>
      </c>
      <c r="G38" s="1">
        <v>150</v>
      </c>
    </row>
    <row r="39" spans="1:10" x14ac:dyDescent="0.25">
      <c r="E39" s="1" t="s">
        <v>48</v>
      </c>
      <c r="F39" s="1">
        <v>10</v>
      </c>
      <c r="G39" s="1">
        <v>150</v>
      </c>
    </row>
    <row r="40" spans="1:10" x14ac:dyDescent="0.25">
      <c r="E40" s="1" t="s">
        <v>49</v>
      </c>
      <c r="F40" s="1">
        <v>10</v>
      </c>
      <c r="G40" s="1">
        <v>50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23F93-CF7D-436F-9652-22289862891C}">
  <dimension ref="A1:F83"/>
  <sheetViews>
    <sheetView workbookViewId="0">
      <selection activeCell="B10" sqref="B10"/>
    </sheetView>
  </sheetViews>
  <sheetFormatPr defaultRowHeight="15" x14ac:dyDescent="0.25"/>
  <cols>
    <col min="1" max="1" width="20.28515625" bestFit="1" customWidth="1"/>
    <col min="2" max="2" width="17.85546875" style="11" bestFit="1" customWidth="1"/>
    <col min="3" max="3" width="23.5703125" bestFit="1" customWidth="1"/>
    <col min="4" max="4" width="23.5703125" style="14" bestFit="1" customWidth="1"/>
    <col min="5" max="5" width="27" style="14" bestFit="1" customWidth="1"/>
    <col min="6" max="6" width="23.5703125" style="14" bestFit="1" customWidth="1"/>
  </cols>
  <sheetData>
    <row r="1" spans="1:6" x14ac:dyDescent="0.25">
      <c r="A1" s="8" t="s">
        <v>87</v>
      </c>
      <c r="F1"/>
    </row>
    <row r="2" spans="1:6" x14ac:dyDescent="0.25">
      <c r="A2" s="9" t="s">
        <v>88</v>
      </c>
      <c r="F2"/>
    </row>
    <row r="3" spans="1:6" x14ac:dyDescent="0.25">
      <c r="F3"/>
    </row>
    <row r="4" spans="1:6" x14ac:dyDescent="0.25">
      <c r="F4"/>
    </row>
    <row r="5" spans="1:6" x14ac:dyDescent="0.25">
      <c r="A5" s="10" t="s">
        <v>13</v>
      </c>
      <c r="B5" t="s">
        <v>89</v>
      </c>
      <c r="F5"/>
    </row>
    <row r="6" spans="1:6" x14ac:dyDescent="0.25">
      <c r="A6" s="10" t="s">
        <v>54</v>
      </c>
      <c r="B6" t="s">
        <v>89</v>
      </c>
    </row>
    <row r="7" spans="1:6" x14ac:dyDescent="0.25">
      <c r="B7"/>
    </row>
    <row r="8" spans="1:6" x14ac:dyDescent="0.25">
      <c r="A8" s="10" t="s">
        <v>79</v>
      </c>
      <c r="B8" s="12" t="s">
        <v>81</v>
      </c>
      <c r="C8" t="s">
        <v>82</v>
      </c>
      <c r="D8" s="15" t="s">
        <v>84</v>
      </c>
      <c r="E8" s="15" t="s">
        <v>83</v>
      </c>
    </row>
    <row r="9" spans="1:6" x14ac:dyDescent="0.25">
      <c r="A9" s="1" t="s">
        <v>2</v>
      </c>
      <c r="B9" s="12">
        <v>2278206</v>
      </c>
      <c r="C9" s="13">
        <v>108.80875</v>
      </c>
      <c r="D9" s="15">
        <v>237594326</v>
      </c>
      <c r="E9" s="15">
        <v>1082950993</v>
      </c>
    </row>
    <row r="10" spans="1:6" x14ac:dyDescent="0.25">
      <c r="A10" s="1" t="s">
        <v>3</v>
      </c>
      <c r="B10" s="12">
        <v>4422</v>
      </c>
      <c r="C10" s="13">
        <v>1702.7940000000001</v>
      </c>
      <c r="D10" s="15">
        <v>8001002</v>
      </c>
      <c r="E10" s="15">
        <v>1569313195</v>
      </c>
    </row>
    <row r="11" spans="1:6" x14ac:dyDescent="0.25">
      <c r="A11" s="1" t="s">
        <v>4</v>
      </c>
      <c r="B11" s="12">
        <v>5499</v>
      </c>
      <c r="C11" s="13">
        <v>80873.694000000003</v>
      </c>
      <c r="D11" s="15">
        <v>298184364</v>
      </c>
      <c r="E11" s="15">
        <v>1948933899</v>
      </c>
    </row>
    <row r="12" spans="1:6" x14ac:dyDescent="0.25">
      <c r="A12" s="1" t="s">
        <v>80</v>
      </c>
      <c r="B12" s="12">
        <v>2288127</v>
      </c>
      <c r="C12" s="13">
        <v>8344.6957999999995</v>
      </c>
      <c r="D12" s="15">
        <v>543779692</v>
      </c>
      <c r="E12" s="15">
        <v>4601198087</v>
      </c>
    </row>
    <row r="16" spans="1:6" x14ac:dyDescent="0.25">
      <c r="A16" s="10" t="s">
        <v>1</v>
      </c>
      <c r="B16" t="s">
        <v>89</v>
      </c>
    </row>
    <row r="18" spans="1:5" x14ac:dyDescent="0.25">
      <c r="A18" s="10" t="s">
        <v>79</v>
      </c>
      <c r="B18" s="12" t="s">
        <v>81</v>
      </c>
      <c r="C18" t="s">
        <v>82</v>
      </c>
      <c r="D18" s="15" t="s">
        <v>84</v>
      </c>
      <c r="E18" s="15" t="s">
        <v>83</v>
      </c>
    </row>
    <row r="19" spans="1:5" x14ac:dyDescent="0.25">
      <c r="A19" s="1" t="s">
        <v>16</v>
      </c>
      <c r="B19" s="12">
        <v>243620</v>
      </c>
      <c r="C19" s="13">
        <v>7668.1004672897197</v>
      </c>
      <c r="D19" s="15">
        <v>86522749</v>
      </c>
      <c r="E19" s="15">
        <v>377068713</v>
      </c>
    </row>
    <row r="20" spans="1:5" x14ac:dyDescent="0.25">
      <c r="A20" s="1" t="s">
        <v>18</v>
      </c>
      <c r="B20" s="12">
        <v>451487</v>
      </c>
      <c r="C20" s="13">
        <v>13460.469879518072</v>
      </c>
      <c r="D20" s="15">
        <v>144359594</v>
      </c>
      <c r="E20" s="15">
        <v>1272886223</v>
      </c>
    </row>
    <row r="21" spans="1:5" x14ac:dyDescent="0.25">
      <c r="A21" s="1" t="s">
        <v>17</v>
      </c>
      <c r="B21" s="12">
        <v>201992</v>
      </c>
      <c r="C21" s="13">
        <v>5206.0321100917436</v>
      </c>
      <c r="D21" s="15">
        <v>35337539</v>
      </c>
      <c r="E21" s="15">
        <v>328672150</v>
      </c>
    </row>
    <row r="22" spans="1:5" x14ac:dyDescent="0.25">
      <c r="A22" s="1" t="s">
        <v>51</v>
      </c>
      <c r="B22" s="12">
        <v>602000</v>
      </c>
      <c r="C22" s="13">
        <v>3090.1875555555557</v>
      </c>
      <c r="D22" s="15">
        <v>100801303</v>
      </c>
      <c r="E22" s="15">
        <v>811167333</v>
      </c>
    </row>
    <row r="23" spans="1:5" x14ac:dyDescent="0.25">
      <c r="A23" s="1" t="s">
        <v>14</v>
      </c>
      <c r="B23" s="12">
        <v>407165</v>
      </c>
      <c r="C23" s="13">
        <v>7910.1195979899494</v>
      </c>
      <c r="D23" s="15">
        <v>50636670</v>
      </c>
      <c r="E23" s="15">
        <v>951422660</v>
      </c>
    </row>
    <row r="24" spans="1:5" x14ac:dyDescent="0.25">
      <c r="A24" s="1" t="s">
        <v>15</v>
      </c>
      <c r="B24" s="12">
        <v>381863</v>
      </c>
      <c r="C24" s="13">
        <v>10753.63700234192</v>
      </c>
      <c r="D24" s="15">
        <v>126121837</v>
      </c>
      <c r="E24" s="15">
        <v>859981008</v>
      </c>
    </row>
    <row r="25" spans="1:5" x14ac:dyDescent="0.25">
      <c r="A25" s="1" t="s">
        <v>80</v>
      </c>
      <c r="B25" s="12">
        <v>2288127</v>
      </c>
      <c r="C25" s="13">
        <v>8344.6957999999995</v>
      </c>
      <c r="D25" s="15">
        <v>543779692</v>
      </c>
      <c r="E25" s="15">
        <v>4601198087</v>
      </c>
    </row>
    <row r="26" spans="1:5" x14ac:dyDescent="0.25">
      <c r="B26"/>
      <c r="D26"/>
      <c r="E26"/>
    </row>
    <row r="27" spans="1:5" x14ac:dyDescent="0.25">
      <c r="B27"/>
      <c r="D27"/>
      <c r="E27"/>
    </row>
    <row r="28" spans="1:5" x14ac:dyDescent="0.25">
      <c r="B28"/>
      <c r="D28"/>
      <c r="E28"/>
    </row>
    <row r="29" spans="1:5" x14ac:dyDescent="0.25">
      <c r="A29" s="10" t="s">
        <v>13</v>
      </c>
      <c r="B29" t="s">
        <v>89</v>
      </c>
    </row>
    <row r="31" spans="1:5" x14ac:dyDescent="0.25">
      <c r="A31" s="10" t="s">
        <v>79</v>
      </c>
      <c r="B31" s="12" t="s">
        <v>81</v>
      </c>
      <c r="C31" t="s">
        <v>82</v>
      </c>
      <c r="D31" s="15" t="s">
        <v>84</v>
      </c>
      <c r="E31" s="15" t="s">
        <v>83</v>
      </c>
    </row>
    <row r="32" spans="1:5" x14ac:dyDescent="0.25">
      <c r="A32" s="1" t="s">
        <v>23</v>
      </c>
      <c r="B32" s="12">
        <v>89841</v>
      </c>
      <c r="C32" s="13">
        <v>8963.4833333333336</v>
      </c>
      <c r="D32" s="15">
        <v>8470032</v>
      </c>
      <c r="E32" s="15">
        <v>230745267</v>
      </c>
    </row>
    <row r="33" spans="1:5" x14ac:dyDescent="0.25">
      <c r="A33" s="1" t="s">
        <v>8</v>
      </c>
      <c r="B33" s="12">
        <v>31945</v>
      </c>
      <c r="C33" s="13">
        <v>12307.057142857142</v>
      </c>
      <c r="D33" s="15">
        <v>5092992</v>
      </c>
      <c r="E33" s="15">
        <v>89185867</v>
      </c>
    </row>
    <row r="34" spans="1:5" x14ac:dyDescent="0.25">
      <c r="A34" s="1" t="s">
        <v>32</v>
      </c>
      <c r="B34" s="12">
        <v>20727</v>
      </c>
      <c r="C34" s="13">
        <v>557.1343283582089</v>
      </c>
      <c r="D34" s="15">
        <v>666714</v>
      </c>
      <c r="E34" s="15">
        <v>24675989</v>
      </c>
    </row>
    <row r="35" spans="1:5" x14ac:dyDescent="0.25">
      <c r="A35" s="1" t="s">
        <v>12</v>
      </c>
      <c r="B35" s="12">
        <v>10607</v>
      </c>
      <c r="C35" s="13">
        <v>38886.71232876712</v>
      </c>
      <c r="D35" s="15">
        <v>7907433</v>
      </c>
      <c r="E35" s="15">
        <v>217741718</v>
      </c>
    </row>
    <row r="36" spans="1:5" x14ac:dyDescent="0.25">
      <c r="A36" s="1" t="s">
        <v>7</v>
      </c>
      <c r="B36" s="12">
        <v>28268</v>
      </c>
      <c r="C36" s="13">
        <v>24171.514285714286</v>
      </c>
      <c r="D36" s="15">
        <v>2117905</v>
      </c>
      <c r="E36" s="15">
        <v>70168148</v>
      </c>
    </row>
    <row r="37" spans="1:5" x14ac:dyDescent="0.25">
      <c r="A37" s="1" t="s">
        <v>24</v>
      </c>
      <c r="B37" s="12">
        <v>248003</v>
      </c>
      <c r="C37" s="13">
        <v>3089.4170403587445</v>
      </c>
      <c r="D37" s="15">
        <v>56207709</v>
      </c>
      <c r="E37" s="15">
        <v>277807847</v>
      </c>
    </row>
    <row r="38" spans="1:5" x14ac:dyDescent="0.25">
      <c r="A38" s="1" t="s">
        <v>33</v>
      </c>
      <c r="B38" s="12">
        <v>36751</v>
      </c>
      <c r="C38" s="13">
        <v>6529.9571428571426</v>
      </c>
      <c r="D38" s="15">
        <v>7389304</v>
      </c>
      <c r="E38" s="15">
        <v>85245814</v>
      </c>
    </row>
    <row r="39" spans="1:5" x14ac:dyDescent="0.25">
      <c r="A39" s="1" t="s">
        <v>22</v>
      </c>
      <c r="B39" s="12">
        <v>116864</v>
      </c>
      <c r="C39" s="13">
        <v>10703.607843137255</v>
      </c>
      <c r="D39" s="15">
        <v>23494338</v>
      </c>
      <c r="E39" s="15">
        <v>250342777</v>
      </c>
    </row>
    <row r="40" spans="1:5" x14ac:dyDescent="0.25">
      <c r="A40" s="1" t="s">
        <v>21</v>
      </c>
      <c r="B40" s="12">
        <v>140999</v>
      </c>
      <c r="C40" s="13">
        <v>7678.7659574468089</v>
      </c>
      <c r="D40" s="15">
        <v>31702655</v>
      </c>
      <c r="E40" s="15">
        <v>170257393</v>
      </c>
    </row>
    <row r="41" spans="1:5" x14ac:dyDescent="0.25">
      <c r="A41" s="1" t="s">
        <v>9</v>
      </c>
      <c r="B41" s="12">
        <v>14510</v>
      </c>
      <c r="C41" s="13">
        <v>8111.0158730158728</v>
      </c>
      <c r="D41" s="15">
        <v>2783188</v>
      </c>
      <c r="E41" s="15">
        <v>32696028</v>
      </c>
    </row>
    <row r="42" spans="1:5" x14ac:dyDescent="0.25">
      <c r="A42" s="1" t="s">
        <v>29</v>
      </c>
      <c r="B42" s="12">
        <v>176165</v>
      </c>
      <c r="C42" s="13">
        <v>7172.7621145374451</v>
      </c>
      <c r="D42" s="15">
        <v>71780852</v>
      </c>
      <c r="E42" s="15">
        <v>138180989</v>
      </c>
    </row>
    <row r="43" spans="1:5" x14ac:dyDescent="0.25">
      <c r="A43" s="1" t="s">
        <v>19</v>
      </c>
      <c r="B43" s="12">
        <v>376465</v>
      </c>
      <c r="C43" s="13">
        <v>2480.6047244094489</v>
      </c>
      <c r="D43" s="15">
        <v>54325810</v>
      </c>
      <c r="E43" s="15">
        <v>379450328</v>
      </c>
    </row>
    <row r="44" spans="1:5" x14ac:dyDescent="0.25">
      <c r="A44" s="1" t="s">
        <v>40</v>
      </c>
      <c r="B44" s="12">
        <v>33105</v>
      </c>
      <c r="C44" s="13">
        <v>39544.272727272728</v>
      </c>
      <c r="D44" s="15">
        <v>46218495</v>
      </c>
      <c r="E44" s="15">
        <v>166003544</v>
      </c>
    </row>
    <row r="45" spans="1:5" x14ac:dyDescent="0.25">
      <c r="A45" s="1" t="s">
        <v>41</v>
      </c>
      <c r="B45" s="12">
        <v>67315</v>
      </c>
      <c r="C45" s="13">
        <v>20962.539285714287</v>
      </c>
      <c r="D45" s="15">
        <v>44480909</v>
      </c>
      <c r="E45" s="15">
        <v>386913570</v>
      </c>
    </row>
    <row r="46" spans="1:5" x14ac:dyDescent="0.25">
      <c r="A46" s="1" t="s">
        <v>11</v>
      </c>
      <c r="B46" s="12">
        <v>32947</v>
      </c>
      <c r="C46" s="13">
        <v>18065.150684931508</v>
      </c>
      <c r="D46" s="15">
        <v>27960545</v>
      </c>
      <c r="E46" s="15">
        <v>64987648</v>
      </c>
    </row>
    <row r="47" spans="1:5" x14ac:dyDescent="0.25">
      <c r="A47" s="1" t="s">
        <v>10</v>
      </c>
      <c r="B47" s="12">
        <v>17917</v>
      </c>
      <c r="C47" s="13">
        <v>21072.4126984127</v>
      </c>
      <c r="D47" s="15">
        <v>9740505</v>
      </c>
      <c r="E47" s="15">
        <v>113203711</v>
      </c>
    </row>
    <row r="48" spans="1:5" x14ac:dyDescent="0.25">
      <c r="A48" s="1" t="s">
        <v>25</v>
      </c>
      <c r="B48" s="12">
        <v>57879</v>
      </c>
      <c r="C48" s="13">
        <v>13306.5</v>
      </c>
      <c r="D48" s="15">
        <v>21522457</v>
      </c>
      <c r="E48" s="15">
        <v>153544056</v>
      </c>
    </row>
    <row r="49" spans="1:5" x14ac:dyDescent="0.25">
      <c r="A49" s="1" t="s">
        <v>30</v>
      </c>
      <c r="B49" s="12">
        <v>108657</v>
      </c>
      <c r="C49" s="13">
        <v>6282.8836206896549</v>
      </c>
      <c r="D49" s="15">
        <v>24204446</v>
      </c>
      <c r="E49" s="15">
        <v>167543096</v>
      </c>
    </row>
    <row r="50" spans="1:5" x14ac:dyDescent="0.25">
      <c r="A50" s="1" t="s">
        <v>39</v>
      </c>
      <c r="B50" s="12">
        <v>21768</v>
      </c>
      <c r="C50" s="13">
        <v>7670.1555555555551</v>
      </c>
      <c r="D50" s="15">
        <v>1881199</v>
      </c>
      <c r="E50" s="15">
        <v>54933722</v>
      </c>
    </row>
    <row r="51" spans="1:5" x14ac:dyDescent="0.25">
      <c r="A51" s="1" t="s">
        <v>35</v>
      </c>
      <c r="B51" s="12">
        <v>83035</v>
      </c>
      <c r="C51" s="13">
        <v>6239.096463022508</v>
      </c>
      <c r="D51" s="15">
        <v>26007248</v>
      </c>
      <c r="E51" s="15">
        <v>267058448</v>
      </c>
    </row>
    <row r="52" spans="1:5" x14ac:dyDescent="0.25">
      <c r="A52" s="1" t="s">
        <v>34</v>
      </c>
      <c r="B52" s="12">
        <v>246264</v>
      </c>
      <c r="C52" s="13">
        <v>7522.9433962264147</v>
      </c>
      <c r="D52" s="15">
        <v>25771743</v>
      </c>
      <c r="E52" s="15">
        <v>397976939</v>
      </c>
    </row>
    <row r="53" spans="1:5" x14ac:dyDescent="0.25">
      <c r="A53" s="1" t="s">
        <v>31</v>
      </c>
      <c r="B53" s="12">
        <v>35857</v>
      </c>
      <c r="C53" s="13">
        <v>4742.9253731343288</v>
      </c>
      <c r="D53" s="15">
        <v>3077075</v>
      </c>
      <c r="E53" s="15">
        <v>51207251</v>
      </c>
    </row>
    <row r="54" spans="1:5" x14ac:dyDescent="0.25">
      <c r="A54" s="1" t="s">
        <v>27</v>
      </c>
      <c r="B54" s="12">
        <v>8802</v>
      </c>
      <c r="C54" s="13">
        <v>11533.805970149253</v>
      </c>
      <c r="D54" s="15">
        <v>6271048</v>
      </c>
      <c r="E54" s="15">
        <v>130335770</v>
      </c>
    </row>
    <row r="55" spans="1:5" x14ac:dyDescent="0.25">
      <c r="A55" s="1" t="s">
        <v>26</v>
      </c>
      <c r="B55" s="12">
        <v>30785</v>
      </c>
      <c r="C55" s="13">
        <v>9118.686567164179</v>
      </c>
      <c r="D55" s="15">
        <v>5552531</v>
      </c>
      <c r="E55" s="15">
        <v>86850028</v>
      </c>
    </row>
    <row r="56" spans="1:5" x14ac:dyDescent="0.25">
      <c r="A56" s="1" t="s">
        <v>28</v>
      </c>
      <c r="B56" s="12">
        <v>27868</v>
      </c>
      <c r="C56" s="13">
        <v>4030.0447761194032</v>
      </c>
      <c r="D56" s="15">
        <v>2918318</v>
      </c>
      <c r="E56" s="15">
        <v>21701926</v>
      </c>
    </row>
    <row r="57" spans="1:5" x14ac:dyDescent="0.25">
      <c r="A57" s="1" t="s">
        <v>20</v>
      </c>
      <c r="B57" s="12">
        <v>84536</v>
      </c>
      <c r="C57" s="13">
        <v>379.47843137254904</v>
      </c>
      <c r="D57" s="15">
        <v>14772838</v>
      </c>
      <c r="E57" s="15">
        <v>261459612</v>
      </c>
    </row>
    <row r="58" spans="1:5" x14ac:dyDescent="0.25">
      <c r="A58" s="1" t="s">
        <v>6</v>
      </c>
      <c r="B58" s="12">
        <v>33020</v>
      </c>
      <c r="C58" s="13">
        <v>4910.1142857142859</v>
      </c>
      <c r="D58" s="15">
        <v>1240424</v>
      </c>
      <c r="E58" s="15">
        <v>84511432</v>
      </c>
    </row>
    <row r="59" spans="1:5" x14ac:dyDescent="0.25">
      <c r="A59" s="1" t="s">
        <v>5</v>
      </c>
      <c r="B59" s="12">
        <v>107227</v>
      </c>
      <c r="C59" s="13">
        <v>319.67241379310343</v>
      </c>
      <c r="D59" s="15">
        <v>10220979</v>
      </c>
      <c r="E59" s="15">
        <v>226469169</v>
      </c>
    </row>
    <row r="60" spans="1:5" x14ac:dyDescent="0.25">
      <c r="A60" s="1" t="s">
        <v>80</v>
      </c>
      <c r="B60" s="12">
        <v>2288127</v>
      </c>
      <c r="C60" s="13">
        <v>8344.6957999999995</v>
      </c>
      <c r="D60" s="15">
        <v>543779692</v>
      </c>
      <c r="E60" s="15">
        <v>4601198087</v>
      </c>
    </row>
    <row r="61" spans="1:5" x14ac:dyDescent="0.25">
      <c r="B61"/>
      <c r="D61"/>
      <c r="E61"/>
    </row>
    <row r="62" spans="1:5" x14ac:dyDescent="0.25">
      <c r="B62"/>
      <c r="D62"/>
      <c r="E62"/>
    </row>
    <row r="63" spans="1:5" x14ac:dyDescent="0.25">
      <c r="B63"/>
      <c r="D63"/>
      <c r="E63"/>
    </row>
    <row r="64" spans="1:5" x14ac:dyDescent="0.25">
      <c r="B64"/>
      <c r="D64"/>
      <c r="E64"/>
    </row>
    <row r="65" spans="2:5" x14ac:dyDescent="0.25">
      <c r="B65"/>
      <c r="D65"/>
      <c r="E65"/>
    </row>
    <row r="66" spans="2:5" x14ac:dyDescent="0.25">
      <c r="B66"/>
      <c r="D66"/>
      <c r="E66"/>
    </row>
    <row r="67" spans="2:5" x14ac:dyDescent="0.25">
      <c r="B67"/>
      <c r="D67"/>
      <c r="E67"/>
    </row>
    <row r="68" spans="2:5" x14ac:dyDescent="0.25">
      <c r="B68"/>
      <c r="D68"/>
      <c r="E68"/>
    </row>
    <row r="69" spans="2:5" x14ac:dyDescent="0.25">
      <c r="B69"/>
      <c r="D69"/>
      <c r="E69"/>
    </row>
    <row r="70" spans="2:5" x14ac:dyDescent="0.25">
      <c r="B70"/>
      <c r="D70"/>
      <c r="E70"/>
    </row>
    <row r="71" spans="2:5" x14ac:dyDescent="0.25">
      <c r="B71"/>
      <c r="D71"/>
      <c r="E71"/>
    </row>
    <row r="72" spans="2:5" x14ac:dyDescent="0.25">
      <c r="B72"/>
      <c r="D72"/>
      <c r="E72"/>
    </row>
    <row r="73" spans="2:5" x14ac:dyDescent="0.25">
      <c r="B73"/>
      <c r="D73"/>
      <c r="E73"/>
    </row>
    <row r="74" spans="2:5" x14ac:dyDescent="0.25">
      <c r="B74"/>
      <c r="D74"/>
      <c r="E74"/>
    </row>
    <row r="75" spans="2:5" x14ac:dyDescent="0.25">
      <c r="B75"/>
      <c r="D75"/>
      <c r="E75"/>
    </row>
    <row r="76" spans="2:5" x14ac:dyDescent="0.25">
      <c r="B76"/>
      <c r="D76"/>
      <c r="E76"/>
    </row>
    <row r="77" spans="2:5" x14ac:dyDescent="0.25">
      <c r="B77"/>
      <c r="D77"/>
      <c r="E77"/>
    </row>
    <row r="78" spans="2:5" x14ac:dyDescent="0.25">
      <c r="B78"/>
      <c r="D78"/>
      <c r="E78"/>
    </row>
    <row r="79" spans="2:5" x14ac:dyDescent="0.25">
      <c r="B79"/>
      <c r="D79"/>
      <c r="E79"/>
    </row>
    <row r="80" spans="2:5" x14ac:dyDescent="0.25">
      <c r="B80"/>
      <c r="D80"/>
      <c r="E80"/>
    </row>
    <row r="81" spans="2:5" x14ac:dyDescent="0.25">
      <c r="B81"/>
      <c r="D81"/>
      <c r="E81"/>
    </row>
    <row r="82" spans="2:5" x14ac:dyDescent="0.25">
      <c r="B82"/>
      <c r="D82"/>
      <c r="E82"/>
    </row>
    <row r="83" spans="2:5" x14ac:dyDescent="0.25">
      <c r="B83"/>
      <c r="D83"/>
      <c r="E8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a02d049-4b56-4fed-9514-c4049e7d4e50">
      <Terms xmlns="http://schemas.microsoft.com/office/infopath/2007/PartnerControls"/>
    </lcf76f155ced4ddcb4097134ff3c332f>
    <TaxCatchAll xmlns="ccb6af9b-5ea9-4948-ac94-460ae36f3779" xsi:nil="true"/>
    <PowerBINotes xmlns="da02d049-4b56-4fed-9514-c4049e7d4e50" xsi:nil="true"/>
    <FileNotes xmlns="da02d049-4b56-4fed-9514-c4049e7d4e5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90933DB8CAC4287B0F0642202D396" ma:contentTypeVersion="19" ma:contentTypeDescription="Create a new document." ma:contentTypeScope="" ma:versionID="6f55f7a2c2580a1c6ab5b8879897d5f9">
  <xsd:schema xmlns:xsd="http://www.w3.org/2001/XMLSchema" xmlns:xs="http://www.w3.org/2001/XMLSchema" xmlns:p="http://schemas.microsoft.com/office/2006/metadata/properties" xmlns:ns2="da02d049-4b56-4fed-9514-c4049e7d4e50" xmlns:ns3="ccb6af9b-5ea9-4948-ac94-460ae36f3779" targetNamespace="http://schemas.microsoft.com/office/2006/metadata/properties" ma:root="true" ma:fieldsID="7dddfc7396d95cc776dabb691ef553b3" ns2:_="" ns3:_="">
    <xsd:import namespace="da02d049-4b56-4fed-9514-c4049e7d4e50"/>
    <xsd:import namespace="ccb6af9b-5ea9-4948-ac94-460ae36f37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FileNote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PowerBINote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02d049-4b56-4fed-9514-c4049e7d4e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FileNotes" ma:index="14" nillable="true" ma:displayName="File Notes" ma:format="Dropdown" ma:internalName="FileNotes">
      <xsd:simpleType>
        <xsd:restriction base="dms:Text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PowerBINotes" ma:index="21" nillable="true" ma:displayName="Power BI Notes" ma:format="Dropdown" ma:internalName="PowerBINote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bd28ed0-8302-4771-9153-b177497330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b6af9b-5ea9-4948-ac94-460ae36f377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37657865-f130-48fb-ba8a-c9d4312de7c7}" ma:internalName="TaxCatchAll" ma:showField="CatchAllData" ma:web="ccb6af9b-5ea9-4948-ac94-460ae36f377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5AA17A-7900-4CBC-8D76-CBD6C1A7773C}">
  <ds:schemaRefs>
    <ds:schemaRef ds:uri="http://schemas.microsoft.com/office/2006/metadata/properties"/>
    <ds:schemaRef ds:uri="http://schemas.microsoft.com/office/infopath/2007/PartnerControls"/>
    <ds:schemaRef ds:uri="da02d049-4b56-4fed-9514-c4049e7d4e50"/>
    <ds:schemaRef ds:uri="ccb6af9b-5ea9-4948-ac94-460ae36f3779"/>
  </ds:schemaRefs>
</ds:datastoreItem>
</file>

<file path=customXml/itemProps2.xml><?xml version="1.0" encoding="utf-8"?>
<ds:datastoreItem xmlns:ds="http://schemas.openxmlformats.org/officeDocument/2006/customXml" ds:itemID="{B6E73D0C-8FDC-4B0E-9C8C-A492943FF8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B4289F-773C-43A2-BC1A-6358CE6C02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02d049-4b56-4fed-9514-c4049e7d4e50"/>
    <ds:schemaRef ds:uri="ccb6af9b-5ea9-4948-ac94-460ae36f37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ABC Analysis</vt:lpstr>
      <vt:lpstr>Item Master</vt:lpstr>
      <vt:lpstr>Instrument Table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Solamon</dc:creator>
  <cp:lastModifiedBy>Greg Solamon</cp:lastModifiedBy>
  <dcterms:created xsi:type="dcterms:W3CDTF">2023-02-28T18:44:27Z</dcterms:created>
  <dcterms:modified xsi:type="dcterms:W3CDTF">2023-03-06T18:39:44Z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0x01010074D90933DB8CAC4287B0F0642202D396</vt:lpwstr>
  </property>
  <property fmtid="{D5CDD505-2E9C-101B-9397-08002B2CF9AE}" pid="3" name="MediaServiceImageTags">
    <vt:lpwstr/>
  </property>
</Properties>
</file>